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0.xml.rels" ContentType="application/vnd.openxmlformats-package.relationships+xml"/>
  <Override PartName="/xl/worksheets/_rels/sheet1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Executive Output" sheetId="2" state="visible" r:id="rId4"/>
    <sheet name="Assumptions" sheetId="3" state="visible" r:id="rId5"/>
    <sheet name="Market Sizing" sheetId="4" state="visible" r:id="rId6"/>
    <sheet name="ACV Build" sheetId="5" state="visible" r:id="rId7"/>
    <sheet name="GTM Funnel" sheetId="6" state="visible" r:id="rId8"/>
    <sheet name="Revenue Model" sheetId="7" state="visible" r:id="rId9"/>
    <sheet name="Unit Economics" sheetId="8" state="visible" r:id="rId10"/>
    <sheet name="Scenarios" sheetId="9" state="visible" r:id="rId11"/>
    <sheet name="Sensitivity" sheetId="10" state="visible" r:id="rId12"/>
    <sheet name="Monte Carlo" sheetId="11" state="visible" r:id="rId13"/>
    <sheet name="Engine Runs" sheetId="12" state="visible" r:id="rId14"/>
    <sheet name="Change Log" sheetId="13" state="visible" r:id="rId15"/>
    <sheet name="Sources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<sst xmlns="http://schemas.openxmlformats.org/spreadsheetml/2006/main" count="27890" uniqueCount="1105">
  <si>
    <t xml:space="preserve">07 — Financial Model v2: should Clay fund a U.S. vertical program in 2027–2029?</t>
  </si>
  <si>
    <t xml:space="preserve">Independent portfolio case study by Zhuoran (Zora) Wang · Not commissioned by or affiliated with Clay Labs Inc. · v2 rebuilt 2026-10-19 after partner review</t>
  </si>
  <si>
    <t xml:space="preserve">Question</t>
  </si>
  <si>
    <t xml:space="preserve">Does any vertical program (distribution or professional services; lean pilot, sales-led team or solution play) create value above a 12% hurdle and above Option 0 — the same money spent in Clay's core motion?</t>
  </si>
  <si>
    <t xml:space="preserve">Structure</t>
  </si>
  <si>
    <t xml:space="preserve">Assumptions (3 selectors) → Market Sizing → ACV Build → GTM Funnel → Revenue Model → Unit Economics (live) → Scenarios, Sensitivity (full model copies on Engine Runs) → Monte Carlo (Python mirror, reconciled run by run) → Executive Output. Change Log maps v1 → v2.</t>
  </si>
  <si>
    <t xml:space="preserve">Time and units</t>
  </si>
  <si>
    <t xml:space="preserve">Quarterly, Q1 2027–Q4 2029; annual totals P–R, 2027–29 in S. US$ nominal. ARR is end-of-quarter run-rate; recognized revenue = average ARR ÷ 4.</t>
  </si>
  <si>
    <t xml:space="preserve">Valuation</t>
  </si>
  <si>
    <t xml:space="preserve">NPV = Σ PV[(gross profit × (1 − incrementality haircut)) − incremental cost] + PV of 5 years of gross profit from the 2029 ARR base (net of CS, decaying at GRR, haircut). Option 0 NPV is computed on the same non-CS spend.</t>
  </si>
  <si>
    <t xml:space="preserve">Evidence classes</t>
  </si>
  <si>
    <t xml:space="preserve">A verified fact · B benchmark · C analyst estimate · D scenario assumption · E recommendation. Each input row carries its class, Monte Carlo group and source.</t>
  </si>
  <si>
    <t xml:space="preserve">Color legend</t>
  </si>
  <si>
    <t xml:space="preserve">Blue = input · black = formula · green = link to another tab · yellow fill = judgment · green fill = key output · red fill = negative NPV.</t>
  </si>
  <si>
    <t xml:space="preserve">Not a forecast</t>
  </si>
  <si>
    <t xml:space="preserve">Outputs are scenario and simulation estimates, not Clay forecasts. Monte Carlo values are static results of appendix/clay_engine.py (seed 42).</t>
  </si>
  <si>
    <t xml:space="preserve">Executive Output — is any vertical program worth funding in 2027–2029? (v2, after partner review)</t>
  </si>
  <si>
    <t xml:space="preserve">Scenario and simulation outputs are illustrative estimates built from public data and labeled assumptions. They are not Clay forecasts and use no Clay internal data.</t>
  </si>
  <si>
    <t xml:space="preserve">Option (Base case, deterministic)</t>
  </si>
  <si>
    <t xml:space="preserve">NPV at 12%</t>
  </si>
  <si>
    <t xml:space="preserve">NPV advantage vs Option 0</t>
  </si>
  <si>
    <t xml:space="preserve">Exit ARR Q4 2029</t>
  </si>
  <si>
    <t xml:space="preserve">Average first-year ACV</t>
  </si>
  <si>
    <t xml:space="preserve">CAC payback, 2029 cohort</t>
  </si>
  <si>
    <t xml:space="preserve">Cumulative P&amp;L 2027–29</t>
  </si>
  <si>
    <t xml:space="preserve">Peak investment</t>
  </si>
  <si>
    <t xml:space="preserve">Industrial distribution — Lean partner-led pilot</t>
  </si>
  <si>
    <t xml:space="preserve">Industrial distribution — Sales-led vertical team</t>
  </si>
  <si>
    <t xml:space="preserve">Industrial distribution — Solution play (no vertical team)</t>
  </si>
  <si>
    <t xml:space="preserve">Professional services — Lean partner-led pilot</t>
  </si>
  <si>
    <t xml:space="preserve">Professional services — Sales-led vertical team</t>
  </si>
  <si>
    <t xml:space="preserve">Professional services — Solution play (no vertical team)</t>
  </si>
  <si>
    <t xml:space="preserve">Simulation (5,000 draws; correlated inputs)</t>
  </si>
  <si>
    <t xml:space="preserve">Mean NPV</t>
  </si>
  <si>
    <t xml:space="preserve">P10</t>
  </si>
  <si>
    <t xml:space="preserve">P90</t>
  </si>
  <si>
    <t xml:space="preserve">P(NPV &gt; 0)</t>
  </si>
  <si>
    <t xml:space="preserve">P(beats Option 0)</t>
  </si>
  <si>
    <t xml:space="preserve">Stopped at Gate 1</t>
  </si>
  <si>
    <t xml:space="preserve">Scaled at Gate 1</t>
  </si>
  <si>
    <t xml:space="preserve">Industrial distribution — Lean pilot, staged</t>
  </si>
  <si>
    <t xml:space="preserve">Industrial distribution — Sales-led team</t>
  </si>
  <si>
    <t xml:space="preserve">Industrial distribution — Solution play</t>
  </si>
  <si>
    <t xml:space="preserve">Professional services — Lean pilot, staged</t>
  </si>
  <si>
    <t xml:space="preserve">Professional services — Sales-led team</t>
  </si>
  <si>
    <t xml:space="preserve">Professional services — Solution play</t>
  </si>
  <si>
    <t xml:space="preserve">Model checks</t>
  </si>
  <si>
    <t xml:space="preserve">Live model reconciles to engine runs (0 = pass)</t>
  </si>
  <si>
    <t xml:space="preserve">Python engine reconciles to Excel engine (max abs. NPV difference, $)</t>
  </si>
  <si>
    <t xml:space="preserve">What the model shows (v2)</t>
  </si>
  <si>
    <t xml:space="preserve">1. No option clears a 12% hurdle in Base. Distribution lean pilot: NPV −$1.89M, exit ARR $0.51M, average first-year ACV $8.8K once the win mix is derived from the account base (v1 assumed $13.8K).</t>
  </si>
  <si>
    <t xml:space="preserve">2. Upside is NPV-positive (+$1.53M) only when favorable values occur together. With correlated uncertainty, the staged pilot's P(NPV &gt; 0) is 0% and its P90 is −$0.87M; even near-comonotonic inputs or 2× wider ranges keep P(NPV &gt; 0) at or below 10%.</t>
  </si>
  <si>
    <t xml:space="preserve">3. Against Option 0 (the same spend in Clay's core motion at a discounted benchmark payback) every staffed option loses, in Base and in Upside. The bar a vertical must clear is the core's return, not zero.</t>
  </si>
  <si>
    <t xml:space="preserve">4. A sales-led team now builds its own pipeline and adds ARR (exit $0.82M vs $0.51M lean), but NPV falls to −$5.44M: a ~5,000-account market cannot carry six AEs.</t>
  </si>
  <si>
    <t xml:space="preserve">5. Professional services is no better on the same engine: list-price ACV sits at the Growth floor for SMB and Mid-Market, and more of its wins would have come anyway (Base NPV −$2.04M).</t>
  </si>
  <si>
    <t xml:space="preserve">6. The cheapest test — a solution play with templates and data providers but no vertical team — loses least (distribution Base NPV −$0.54M; simulated P(NPV &gt; 0) 0%) and is the only option that beats Option 0 in Upside. Recommendation: validate before staffing anything.</t>
  </si>
  <si>
    <t xml:space="preserve">Assumptions — every input, by segment and scenario (v2)</t>
  </si>
  <si>
    <t xml:space="preserve">Edit blue cells only. 'Live' feeds the main model via the three selectors. Scenarios, Sensitivity and Monte Carlo run their own copies. Segment-level market inputs are fixed across scenarios: the universe does not flex, only performance does.</t>
  </si>
  <si>
    <t xml:space="preserve">Scenario (1 = Downside, 2 = Base, 3 = Upside)</t>
  </si>
  <si>
    <t xml:space="preserve">Segment (1 = Industrial distribution, 2 = Professional services)</t>
  </si>
  <si>
    <t xml:space="preserve">Motion (1 = Lean partner-led pilot, 2 = Sales-led vertical team, 3 = Solution play, no vertical team)</t>
  </si>
  <si>
    <t xml:space="preserve">ID</t>
  </si>
  <si>
    <t xml:space="preserve">Input</t>
  </si>
  <si>
    <t xml:space="preserve">Unit</t>
  </si>
  <si>
    <t xml:space="preserve">Dist: Downside</t>
  </si>
  <si>
    <t xml:space="preserve">Dist: Base</t>
  </si>
  <si>
    <t xml:space="preserve">Dist: Upside</t>
  </si>
  <si>
    <t xml:space="preserve">PS: Downside</t>
  </si>
  <si>
    <t xml:space="preserve">PS: Base</t>
  </si>
  <si>
    <t xml:space="preserve">PS: Upside</t>
  </si>
  <si>
    <t xml:space="preserve">Live</t>
  </si>
  <si>
    <t xml:space="preserve">Class</t>
  </si>
  <si>
    <t xml:space="preserve">MC group</t>
  </si>
  <si>
    <t xml:space="preserve">Source / rationale</t>
  </si>
  <si>
    <t xml:space="preserve">MARKET (fixed across scenarios)</t>
  </si>
  <si>
    <t xml:space="preserve">A1</t>
  </si>
  <si>
    <t xml:space="preserve">SAM filter 1: active outbound / territory sales motion</t>
  </si>
  <si>
    <t xml:space="preserve">%</t>
  </si>
  <si>
    <t xml:space="preserve">D</t>
  </si>
  <si>
    <t xml:space="preserve">fixed</t>
  </si>
  <si>
    <t xml:space="preserve">Phase 1 (02 A4/A6); sales occupations 22.0% vs 6.2% (S15)</t>
  </si>
  <si>
    <t xml:space="preserve">A2</t>
  </si>
  <si>
    <t xml:space="preserve">SAM filter 2: CRM in use (integrable today)</t>
  </si>
  <si>
    <t xml:space="preserve">B/D</t>
  </si>
  <si>
    <t xml:space="preserve">Dist: 56% use CRM, Phocas/DSG 2026 (S25) — newest evidence (v1 used 65%). PS: no public rate; Phase 1 assumption (02 A9)</t>
  </si>
  <si>
    <t xml:space="preserve">A3</t>
  </si>
  <si>
    <t xml:space="preserve">Share of SAM already Clay customers (excluded)</t>
  </si>
  <si>
    <t xml:space="preserve">No public data. PS higher: Clay markets to PS (S06) and IT services is a top industry of detected Clay users (S32)</t>
  </si>
  <si>
    <t xml:space="preserve">A4</t>
  </si>
  <si>
    <t xml:space="preserve">Wave 1 launch quarter (Dist 4236 electrical · PS 5413 A&amp;E)</t>
  </si>
  <si>
    <t xml:space="preserve">qtr</t>
  </si>
  <si>
    <t xml:space="preserve">E</t>
  </si>
  <si>
    <t xml:space="preserve">Beachheads: 06 drilldown (Dist); A&amp;E pursuit-data gap, Deltek/Unanet ecosystem (PS, 05)</t>
  </si>
  <si>
    <t xml:space="preserve">A5</t>
  </si>
  <si>
    <t xml:space="preserve">Wave 2 launch quarter (Dist 4237 PHVAC · PS 5416 consulting)</t>
  </si>
  <si>
    <t xml:space="preserve">timing</t>
  </si>
  <si>
    <t xml:space="preserve">After Gate 1; Downside delays</t>
  </si>
  <si>
    <t xml:space="preserve">A6</t>
  </si>
  <si>
    <t xml:space="preserve">Wave 3 launch quarter, 99 = never (Dist 4238 MRO · PS 5415 IT services)</t>
  </si>
  <si>
    <t xml:space="preserve">PS excludes 5418 advertising/PR: Clay's agency partners (channel conflict) [E]</t>
  </si>
  <si>
    <t xml:space="preserve">DEMAND AND FUNNEL</t>
  </si>
  <si>
    <t xml:space="preserve">A7</t>
  </si>
  <si>
    <t xml:space="preserve">Automated outbound coverage: share of active SAM sequenced per quarter</t>
  </si>
  <si>
    <t xml:space="preserve">demand</t>
  </si>
  <si>
    <t xml:space="preserve">Clay-run outbound with its own product</t>
  </si>
  <si>
    <t xml:space="preserve">A8</t>
  </si>
  <si>
    <t xml:space="preserve">ICP tilt: outbound weight on Mid-Market accounts (vs SMB = 1)</t>
  </si>
  <si>
    <t xml:space="preserve">x</t>
  </si>
  <si>
    <t xml:space="preserve">Strategic lever (08 ICP); changes allocation of the same coverage, not the total</t>
  </si>
  <si>
    <t xml:space="preserve">A9</t>
  </si>
  <si>
    <t xml:space="preserve">ICP tilt: outbound weight on Enterprise accounts (vs SMB = 1)</t>
  </si>
  <si>
    <t xml:space="preserve">Strategic lever</t>
  </si>
  <si>
    <t xml:space="preserve">A10</t>
  </si>
  <si>
    <t xml:space="preserve">Meeting rate per account sequenced (first year)</t>
  </si>
  <si>
    <t xml:space="preserve">Cold outbound 1–5% [K]; PS buyers more heavily prospected → lower</t>
  </si>
  <si>
    <t xml:space="preserve">A11</t>
  </si>
  <si>
    <t xml:space="preserve">Meeting-rate retention per year of re-sequencing the same accounts</t>
  </si>
  <si>
    <t xml:space="preserve">x/yr</t>
  </si>
  <si>
    <t xml:space="preserve">indep</t>
  </si>
  <si>
    <t xml:space="preserve">Outbound fatigue (review m3); applied by wave age</t>
  </si>
  <si>
    <t xml:space="preserve">A12</t>
  </si>
  <si>
    <t xml:space="preserve">Inbound / template MQLs per quarter at base program spend (% of active SAM)</t>
  </si>
  <si>
    <t xml:space="preserve">PS more digital → higher</t>
  </si>
  <si>
    <t xml:space="preserve">A13</t>
  </si>
  <si>
    <t xml:space="preserve">Cost per extra MQL from program spend above base</t>
  </si>
  <si>
    <t xml:space="preserve">$</t>
  </si>
  <si>
    <t xml:space="preserve">cost</t>
  </si>
  <si>
    <t xml:space="preserve">SaaS CPL commonly cited at $200–350 (S55); niche industrial audience costs more</t>
  </si>
  <si>
    <t xml:space="preserve">A14</t>
  </si>
  <si>
    <t xml:space="preserve">Ceiling on extra MQLs per quarter (% of active SAM)</t>
  </si>
  <si>
    <t xml:space="preserve">Diminishing returns: extra MQLs = cap × (1 − e^(−spend/(CPL × cap)))</t>
  </si>
  <si>
    <t xml:space="preserve">A15</t>
  </si>
  <si>
    <t xml:space="preserve">Partners active at launch</t>
  </si>
  <si>
    <t xml:space="preserve">#</t>
  </si>
  <si>
    <t xml:space="preserve">Dist: no distribution partners visible today (S35). PS: agency ecosystem exists (S34) but competes</t>
  </si>
  <si>
    <t xml:space="preserve">A16</t>
  </si>
  <si>
    <t xml:space="preserve">Partners added per quarter</t>
  </si>
  <si>
    <t xml:space="preserve">#/qtr</t>
  </si>
  <si>
    <t xml:space="preserve">A17</t>
  </si>
  <si>
    <t xml:space="preserve">Partner network cap</t>
  </si>
  <si>
    <t xml:space="preserve">A18</t>
  </si>
  <si>
    <t xml:space="preserve">Introductions per active partner per quarter</t>
  </si>
  <si>
    <t xml:space="preserve">A19</t>
  </si>
  <si>
    <t xml:space="preserve">Outbound meeting → opportunity</t>
  </si>
  <si>
    <t xml:space="preserve">SQL→opportunity 42% (S49); a booked meeting ≈ SQL stage (fixes v1 stage mix-up, review M4)</t>
  </si>
  <si>
    <t xml:space="preserve">A20</t>
  </si>
  <si>
    <t xml:space="preserve">Partner introduction → opportunity</t>
  </si>
  <si>
    <t xml:space="preserve">Warm, pre-vetted introductions</t>
  </si>
  <si>
    <t xml:space="preserve">A21</t>
  </si>
  <si>
    <t xml:space="preserve">Inbound MQL → opportunity</t>
  </si>
  <si>
    <t xml:space="preserve">B</t>
  </si>
  <si>
    <t xml:space="preserve">MQL→SQL 39% × SQL→opp 42% (S49)</t>
  </si>
  <si>
    <t xml:space="preserve">A22</t>
  </si>
  <si>
    <t xml:space="preserve">Win rate (opportunity → won)</t>
  </si>
  <si>
    <t xml:space="preserve">HubSpot average 21% (S48) as Base for a new vertical with one reference (v1: 28%). PS lower: competitive position 2.3 vs 4.0 (04)</t>
  </si>
  <si>
    <t xml:space="preserve">A23</t>
  </si>
  <si>
    <t xml:space="preserve">Mid-Market opportunity propensity per sequenced account (SMB = 1)</t>
  </si>
  <si>
    <t xml:space="preserve">A24</t>
  </si>
  <si>
    <t xml:space="preserve">Enterprise opportunity propensity per sequenced account (SMB = 1)</t>
  </si>
  <si>
    <t xml:space="preserve">value</t>
  </si>
  <si>
    <t xml:space="preserve">Enterprise: buying committees, incumbents; lower conversion (review C2)</t>
  </si>
  <si>
    <t xml:space="preserve">A25</t>
  </si>
  <si>
    <t xml:space="preserve">Sales cycle, SMB &amp; Mid-Market (quarters from opportunity to close)</t>
  </si>
  <si>
    <t xml:space="preserve">Deals &lt; $25K close in 2–3 months (S48)</t>
  </si>
  <si>
    <t xml:space="preserve">A26</t>
  </si>
  <si>
    <t xml:space="preserve">Sales cycle, Enterprise (quarters)</t>
  </si>
  <si>
    <t xml:space="preserve">Longer enterprise cycles (review C2)</t>
  </si>
  <si>
    <t xml:space="preserve">A27</t>
  </si>
  <si>
    <t xml:space="preserve">Self-serve share of SMB wins (no AE)</t>
  </si>
  <si>
    <t xml:space="preserve">Builder capacity: Dist 0.69× vs PS 7.2× technical-talent index (H4)</t>
  </si>
  <si>
    <t xml:space="preserve">A28</t>
  </si>
  <si>
    <t xml:space="preserve">Accounts a ramped dedicated AE works per quarter (beyond automated coverage)</t>
  </si>
  <si>
    <t xml:space="preserve">AE self-sourcing (review C1); practitioner guidance: AEs self-source &lt; ~30% of pipeline [K]</t>
  </si>
  <si>
    <t xml:space="preserve">A29</t>
  </si>
  <si>
    <t xml:space="preserve">AE outreach meeting-rate multiplier vs automated outbound</t>
  </si>
  <si>
    <t xml:space="preserve">Human, multi-channel prospecting</t>
  </si>
  <si>
    <t xml:space="preserve">ACV BUILD (usage-based pricing)</t>
  </si>
  <si>
    <t xml:space="preserve">A30</t>
  </si>
  <si>
    <t xml:space="preserve">Sales occupations share of employment</t>
  </si>
  <si>
    <t xml:space="preserve">A→C</t>
  </si>
  <si>
    <t xml:space="preserve">OEWS May 2025 (S15)</t>
  </si>
  <si>
    <t xml:space="preserve">A31</t>
  </si>
  <si>
    <t xml:space="preserve">Accounts tracked per seller</t>
  </si>
  <si>
    <t xml:space="preserve">Same for both segments (neutrality)</t>
  </si>
  <si>
    <t xml:space="preserve">A32</t>
  </si>
  <si>
    <t xml:space="preserve">Usage intensity factor</t>
  </si>
  <si>
    <t xml:space="preserve">A33</t>
  </si>
  <si>
    <t xml:space="preserve">Contacts per account</t>
  </si>
  <si>
    <t xml:space="preserve">A34</t>
  </si>
  <si>
    <t xml:space="preserve">Contact refreshes per year</t>
  </si>
  <si>
    <t xml:space="preserve">#/yr</t>
  </si>
  <si>
    <t xml:space="preserve">A35</t>
  </si>
  <si>
    <t xml:space="preserve">Data credits per contact refresh</t>
  </si>
  <si>
    <t xml:space="preserve">credits</t>
  </si>
  <si>
    <t xml:space="preserve">S51</t>
  </si>
  <si>
    <t xml:space="preserve">A36</t>
  </si>
  <si>
    <t xml:space="preserve">AI research credits per account per year</t>
  </si>
  <si>
    <t xml:space="preserve">S01</t>
  </si>
  <si>
    <t xml:space="preserve">A37</t>
  </si>
  <si>
    <t xml:space="preserve">New accounts sourced per year (% of tracked)</t>
  </si>
  <si>
    <t xml:space="preserve">A38</t>
  </si>
  <si>
    <t xml:space="preserve">Data credits per new account sourced</t>
  </si>
  <si>
    <t xml:space="preserve">A39</t>
  </si>
  <si>
    <t xml:space="preserve">Actions per row operation</t>
  </si>
  <si>
    <t xml:space="preserve">actions</t>
  </si>
  <si>
    <t xml:space="preserve">A40</t>
  </si>
  <si>
    <t xml:space="preserve">Data-credit pack price (Growth, 72K credits/yr)</t>
  </si>
  <si>
    <t xml:space="preserve">$/mo</t>
  </si>
  <si>
    <t xml:space="preserve">A</t>
  </si>
  <si>
    <t xml:space="preserve">A41</t>
  </si>
  <si>
    <t xml:space="preserve">Data-credit pack size</t>
  </si>
  <si>
    <t xml:space="preserve">A42</t>
  </si>
  <si>
    <t xml:space="preserve">Actions pack price (Growth, 480K actions/yr)</t>
  </si>
  <si>
    <t xml:space="preserve">A43</t>
  </si>
  <si>
    <t xml:space="preserve">Actions pack size</t>
  </si>
  <si>
    <t xml:space="preserve">A44</t>
  </si>
  <si>
    <t xml:space="preserve">Enterprise minimum data credits per year</t>
  </si>
  <si>
    <t xml:space="preserve">A45</t>
  </si>
  <si>
    <t xml:space="preserve">Enterprise minimum actions per year</t>
  </si>
  <si>
    <t xml:space="preserve">A46</t>
  </si>
  <si>
    <t xml:space="preserve">Enterprise discount vs list</t>
  </si>
  <si>
    <t xml:space="preserve">Vendr (S16)</t>
  </si>
  <si>
    <t xml:space="preserve">RETENTION AND EXPANSION (annual)</t>
  </si>
  <si>
    <t xml:space="preserve">A47</t>
  </si>
  <si>
    <t xml:space="preserve">GRR — SMB</t>
  </si>
  <si>
    <t xml:space="preserve">SaaS Capital 2025 (S43)</t>
  </si>
  <si>
    <t xml:space="preserve">A48</t>
  </si>
  <si>
    <t xml:space="preserve">GRR — Mid-Market</t>
  </si>
  <si>
    <t xml:space="preserve">S43</t>
  </si>
  <si>
    <t xml:space="preserve">A49</t>
  </si>
  <si>
    <t xml:space="preserve">GRR — Enterprise</t>
  </si>
  <si>
    <t xml:space="preserve">A50</t>
  </si>
  <si>
    <t xml:space="preserve">NRR — SMB</t>
  </si>
  <si>
    <t xml:space="preserve">A51</t>
  </si>
  <si>
    <t xml:space="preserve">NRR — Mid-Market</t>
  </si>
  <si>
    <t xml:space="preserve">A52</t>
  </si>
  <si>
    <t xml:space="preserve">NRR — Enterprise</t>
  </si>
  <si>
    <t xml:space="preserve">S43; Clay enterprise NRR &gt; 200% (S02) not assumed</t>
  </si>
  <si>
    <t xml:space="preserve">SALES CAPACITY AND COST RATES</t>
  </si>
  <si>
    <t xml:space="preserve">A53</t>
  </si>
  <si>
    <t xml:space="preserve">AE annual quota</t>
  </si>
  <si>
    <t xml:space="preserve">Bridge Group 2026 (S44)</t>
  </si>
  <si>
    <t xml:space="preserve">A54</t>
  </si>
  <si>
    <t xml:space="preserve">AE productivity (attainment)</t>
  </si>
  <si>
    <t xml:space="preserve">S44: 48% of reps at quota</t>
  </si>
  <si>
    <t xml:space="preserve">A55</t>
  </si>
  <si>
    <t xml:space="preserve">AE on-target earnings</t>
  </si>
  <si>
    <t xml:space="preserve">S44</t>
  </si>
  <si>
    <t xml:space="preserve">A56</t>
  </si>
  <si>
    <t xml:space="preserve">Wages as share of total compensation</t>
  </si>
  <si>
    <t xml:space="preserve">BLS ECEC June 2026 (S45)</t>
  </si>
  <si>
    <t xml:space="preserve">A57</t>
  </si>
  <si>
    <t xml:space="preserve">Sales manager wage</t>
  </si>
  <si>
    <t xml:space="preserve">OEWS 513200 (S46)</t>
  </si>
  <si>
    <t xml:space="preserve">A58</t>
  </si>
  <si>
    <t xml:space="preserve">Marketing manager wage</t>
  </si>
  <si>
    <t xml:space="preserve">S46</t>
  </si>
  <si>
    <t xml:space="preserve">A59</t>
  </si>
  <si>
    <t xml:space="preserve">Software developer wage</t>
  </si>
  <si>
    <t xml:space="preserve">A60</t>
  </si>
  <si>
    <t xml:space="preserve">Business operations specialist wage (CS)</t>
  </si>
  <si>
    <t xml:space="preserve">A61</t>
  </si>
  <si>
    <t xml:space="preserve">Mid-Market + Enterprise accounts per CSM</t>
  </si>
  <si>
    <t xml:space="preserve">A62</t>
  </si>
  <si>
    <t xml:space="preserve">SMB accounts per CSM</t>
  </si>
  <si>
    <t xml:space="preserve">A63</t>
  </si>
  <si>
    <t xml:space="preserve">Gross margin on Clay revenue</t>
  </si>
  <si>
    <t xml:space="preserve">No reported figure; data-heavy margins (S52)</t>
  </si>
  <si>
    <t xml:space="preserve">A64</t>
  </si>
  <si>
    <t xml:space="preserve">Launch marketing per wave</t>
  </si>
  <si>
    <t xml:space="preserve">A65</t>
  </si>
  <si>
    <t xml:space="preserve">Program spend embedded in the base inbound rate</t>
  </si>
  <si>
    <t xml:space="preserve">$/qtr</t>
  </si>
  <si>
    <t xml:space="preserve">Spend above this buys extra MQLs at the CPL</t>
  </si>
  <si>
    <t xml:space="preserve">A66</t>
  </si>
  <si>
    <t xml:space="preserve">Partner fee on partner-sourced first-year ACV</t>
  </si>
  <si>
    <t xml:space="preserve">S50</t>
  </si>
  <si>
    <t xml:space="preserve">A67</t>
  </si>
  <si>
    <t xml:space="preserve">Enablement per active partner per quarter</t>
  </si>
  <si>
    <t xml:space="preserve">A68</t>
  </si>
  <si>
    <t xml:space="preserve">Onboarding subsidy, MM &amp; Ent (% first-year ACV)</t>
  </si>
  <si>
    <t xml:space="preserve">S50; PS buyers need less help (adoption fit 4.5 vs 2.0)</t>
  </si>
  <si>
    <t xml:space="preserve">A69</t>
  </si>
  <si>
    <t xml:space="preserve">Template &amp; connector build (one-time)</t>
  </si>
  <si>
    <t xml:space="preserve">A70</t>
  </si>
  <si>
    <t xml:space="preserve">Quarters over which build is spent</t>
  </si>
  <si>
    <t xml:space="preserve">qtrs</t>
  </si>
  <si>
    <t xml:space="preserve">A71</t>
  </si>
  <si>
    <t xml:space="preserve">Program stop quarter (99 = never; 4 = stopped at Gate 1)</t>
  </si>
  <si>
    <t xml:space="preserve">A72</t>
  </si>
  <si>
    <t xml:space="preserve">Years of post-2029 value from the 2029 ARR base</t>
  </si>
  <si>
    <t xml:space="preserve">yrs</t>
  </si>
  <si>
    <t xml:space="preserve">VALUATION, INCREMENTALITY AND OPTION 0</t>
  </si>
  <si>
    <t xml:space="preserve">A73</t>
  </si>
  <si>
    <t xml:space="preserve">Discount rate (hurdle) for NPV</t>
  </si>
  <si>
    <t xml:space="preserve">Typical growth-software hurdle; tested 8–15% on Sensitivity</t>
  </si>
  <si>
    <t xml:space="preserve">A74</t>
  </si>
  <si>
    <t xml:space="preserve">Incrementality haircut: share of program wins that would have happened anyway</t>
  </si>
  <si>
    <t xml:space="preserve">Dist: few organic distributor wins (one case study). PS: Clay already markets to and sells in PS (S06, S32, S34)</t>
  </si>
  <si>
    <t xml:space="preserve">A75</t>
  </si>
  <si>
    <t xml:space="preserve">Option 0: CAC payback of marginal spend in Clay's core motion</t>
  </si>
  <si>
    <t xml:space="preserve">months</t>
  </si>
  <si>
    <t xml:space="preserve">Mid-market benchmark 14–18 months (S47)</t>
  </si>
  <si>
    <t xml:space="preserve">A76</t>
  </si>
  <si>
    <t xml:space="preserve">Option 0: marginal efficiency vs benchmark (diminishing returns)</t>
  </si>
  <si>
    <t xml:space="preserve">Core already funded; marginal $ assumed 40% less efficient than average</t>
  </si>
  <si>
    <t xml:space="preserve">A77</t>
  </si>
  <si>
    <t xml:space="preserve">Option 0: GRR of core customers</t>
  </si>
  <si>
    <t xml:space="preserve">SaaS Capital median 91% (S43)</t>
  </si>
  <si>
    <t xml:space="preserve">A78</t>
  </si>
  <si>
    <t xml:space="preserve">Option 0: NRR of core customers</t>
  </si>
  <si>
    <t xml:space="preserve">SaaS Capital median 101% (S43)</t>
  </si>
  <si>
    <t xml:space="preserve">A79</t>
  </si>
  <si>
    <t xml:space="preserve">Option 0: customer-success cost as % of ARR</t>
  </si>
  <si>
    <t xml:space="preserve">MOTION DESIGN (team, programs, scope)</t>
  </si>
  <si>
    <t xml:space="preserve">Lean pilot</t>
  </si>
  <si>
    <t xml:space="preserve">Sales-led</t>
  </si>
  <si>
    <t xml:space="preserve">Solution play</t>
  </si>
  <si>
    <t xml:space="preserve">Rationale</t>
  </si>
  <si>
    <t xml:space="preserve">M1</t>
  </si>
  <si>
    <t xml:space="preserve">Vertical lead (FTE)</t>
  </si>
  <si>
    <t xml:space="preserve">FTE</t>
  </si>
  <si>
    <t xml:space="preserve">D/E</t>
  </si>
  <si>
    <t xml:space="preserve">Owns the vertical P&amp;L; none in the solution play</t>
  </si>
  <si>
    <t xml:space="preserve">M2</t>
  </si>
  <si>
    <t xml:space="preserve">Partner managers — 2027 (FTE)</t>
  </si>
  <si>
    <t xml:space="preserve">M3</t>
  </si>
  <si>
    <t xml:space="preserve">Partner managers — 2028+ (FTE)</t>
  </si>
  <si>
    <t xml:space="preserve">M4</t>
  </si>
  <si>
    <t xml:space="preserve">GTM / solutions engineers — 2027 (FTE)</t>
  </si>
  <si>
    <t xml:space="preserve">M5</t>
  </si>
  <si>
    <t xml:space="preserve">GTM / solutions engineers — 2028+ (FTE)</t>
  </si>
  <si>
    <t xml:space="preserve">M6</t>
  </si>
  <si>
    <t xml:space="preserve">Product marketing (FTE)</t>
  </si>
  <si>
    <t xml:space="preserve">M7</t>
  </si>
  <si>
    <t xml:space="preserve">Program marketing per quarter</t>
  </si>
  <si>
    <t xml:space="preserve">Above $25K buys extra MQLs at the CPL (diminishing); below $25K scales inbound down</t>
  </si>
  <si>
    <t xml:space="preserve">M8</t>
  </si>
  <si>
    <t xml:space="preserve">Shared AE capacity borrowed from the core team</t>
  </si>
  <si>
    <t xml:space="preserve">AE-eq.</t>
  </si>
  <si>
    <t xml:space="preserve">Lean and play close with existing AEs at a variable cost per $ closed</t>
  </si>
  <si>
    <t xml:space="preserve">M9</t>
  </si>
  <si>
    <t xml:space="preserve">Charge variable AE cost (1 = yes)</t>
  </si>
  <si>
    <t xml:space="preserve">flag</t>
  </si>
  <si>
    <t xml:space="preserve">M10</t>
  </si>
  <si>
    <t xml:space="preserve">Automated outbound coverage multiplier</t>
  </si>
  <si>
    <t xml:space="preserve">Play: core team runs half the outbound</t>
  </si>
  <si>
    <t xml:space="preserve">M11</t>
  </si>
  <si>
    <t xml:space="preserve">Partner network multiplier</t>
  </si>
  <si>
    <t xml:space="preserve">Play: no one owns partner recruitment</t>
  </si>
  <si>
    <t xml:space="preserve">M12</t>
  </si>
  <si>
    <t xml:space="preserve">Template &amp; connector build multiplier</t>
  </si>
  <si>
    <t xml:space="preserve">Play: templates only, no connector</t>
  </si>
  <si>
    <t xml:space="preserve">Dedicated AE headcount by quarter (FTE)</t>
  </si>
  <si>
    <t xml:space="preserve">Q1 2027</t>
  </si>
  <si>
    <t xml:space="preserve">Q2 2027</t>
  </si>
  <si>
    <t xml:space="preserve">Q3 2027</t>
  </si>
  <si>
    <t xml:space="preserve">Q4 2027</t>
  </si>
  <si>
    <t xml:space="preserve">Q1 2028</t>
  </si>
  <si>
    <t xml:space="preserve">Q2 2028</t>
  </si>
  <si>
    <t xml:space="preserve">Q3 2028</t>
  </si>
  <si>
    <t xml:space="preserve">Q4 2028</t>
  </si>
  <si>
    <t xml:space="preserve">Q1 2029</t>
  </si>
  <si>
    <t xml:space="preserve">Q2 2029</t>
  </si>
  <si>
    <t xml:space="preserve">Q3 2029</t>
  </si>
  <si>
    <t xml:space="preserve">Q4 2029</t>
  </si>
  <si>
    <t xml:space="preserve">Sales-led team</t>
  </si>
  <si>
    <t xml:space="preserve">Lean pilot + scale-up after Gate 1 (gated runs)</t>
  </si>
  <si>
    <t xml:space="preserve">Live (by motion selector)</t>
  </si>
  <si>
    <t xml:space="preserve">GATE 1 RULE (Q4 2027) — used by the Monte Carlo staged policy. Thresholds = midpoints between the Downside/Base (stop) and Base/Upside (scale) model paths.</t>
  </si>
  <si>
    <t xml:space="preserve">Test</t>
  </si>
  <si>
    <t xml:space="preserve">Distribution</t>
  </si>
  <si>
    <t xml:space="preserve">Prof. services</t>
  </si>
  <si>
    <t xml:space="preserve">Logic</t>
  </si>
  <si>
    <t xml:space="preserve">STOP test: opportunities created in 2027 below</t>
  </si>
  <si>
    <t xml:space="preserve">STOP if any two STOP tests fail</t>
  </si>
  <si>
    <t xml:space="preserve">STOP test: new customers in 2027 below</t>
  </si>
  <si>
    <t xml:space="preserve">STOP test: partner introductions in 2027 below</t>
  </si>
  <si>
    <t xml:space="preserve">STOP test: average first-year ACV below</t>
  </si>
  <si>
    <t xml:space="preserve">STOP test: observed win rate below (only with ≥ 10 decided opportunities)</t>
  </si>
  <si>
    <t xml:space="preserve">Minimum decided opportunities to use the win rate</t>
  </si>
  <si>
    <t xml:space="preserve">SCALE test: average first-year ACV at least</t>
  </si>
  <si>
    <t xml:space="preserve">SCALE (hire 2 AEs in H1 2028) if every SCALE test passes and no STOP</t>
  </si>
  <si>
    <t xml:space="preserve">SCALE test: new customers in 2027 at least</t>
  </si>
  <si>
    <t xml:space="preserve">SCALE test: observed win rate at least</t>
  </si>
  <si>
    <t xml:space="preserve">Market Sizing — unique firms with 20+ employees by wave and size band (Census 2022, S14)</t>
  </si>
  <si>
    <t xml:space="preserve">Distribution waves: 4236 electrical → 4237 PHVAC → 4238 machinery/MRO. Professional-services waves: 5413 A&amp;E → 5416 consulting → 5415 IT services (5418 advertising/PR excluded: Clay's agency partner channel). Firms, not establishments.</t>
  </si>
  <si>
    <t xml:space="preserve">NAICS</t>
  </si>
  <si>
    <t xml:space="preserve">Sub-industry</t>
  </si>
  <si>
    <t xml:space="preserve">Firms 20–49</t>
  </si>
  <si>
    <t xml:space="preserve">50–99</t>
  </si>
  <si>
    <t xml:space="preserve">100–249</t>
  </si>
  <si>
    <t xml:space="preserve">250–499</t>
  </si>
  <si>
    <t xml:space="preserve">500+</t>
  </si>
  <si>
    <t xml:space="preserve">Emp. 20–49</t>
  </si>
  <si>
    <t xml:space="preserve">4236</t>
  </si>
  <si>
    <t xml:space="preserve">Electrical &amp; electronic goods wholesalers</t>
  </si>
  <si>
    <t xml:space="preserve">4237</t>
  </si>
  <si>
    <t xml:space="preserve">Hardware, plumbing &amp; HVAC wholesalers</t>
  </si>
  <si>
    <t xml:space="preserve">4238</t>
  </si>
  <si>
    <t xml:space="preserve">Machinery, equipment &amp; supplies wholesalers</t>
  </si>
  <si>
    <t xml:space="preserve">5413</t>
  </si>
  <si>
    <t xml:space="preserve">Architectural &amp; engineering services</t>
  </si>
  <si>
    <t xml:space="preserve">5416</t>
  </si>
  <si>
    <t xml:space="preserve">Management &amp; technical consulting</t>
  </si>
  <si>
    <t xml:space="preserve">5415</t>
  </si>
  <si>
    <t xml:space="preserve">Computer systems design (IT services)</t>
  </si>
  <si>
    <t xml:space="preserve">De-duplication factor by band (sector firms ÷ Σ sub-industry firms)</t>
  </si>
  <si>
    <t xml:space="preserve">DIST</t>
  </si>
  <si>
    <t xml:space="preserve">Sector 423 (50–499 not measurable: suppressed cells → 1.0)</t>
  </si>
  <si>
    <t xml:space="preserve">PS</t>
  </si>
  <si>
    <t xml:space="preserve">Sector 54</t>
  </si>
  <si>
    <t xml:space="preserve">Wave</t>
  </si>
  <si>
    <t xml:space="preserve">SMB 20–99</t>
  </si>
  <si>
    <t xml:space="preserve">Mid-Market 100–499</t>
  </si>
  <si>
    <t xml:space="preserve">Enterprise 500+</t>
  </si>
  <si>
    <t xml:space="preserve">Total</t>
  </si>
  <si>
    <t xml:space="preserve">DIST W1</t>
  </si>
  <si>
    <t xml:space="preserve">DIST W2</t>
  </si>
  <si>
    <t xml:space="preserve">DIST W3</t>
  </si>
  <si>
    <t xml:space="preserve">PS W1</t>
  </si>
  <si>
    <t xml:space="preserve">PS W2</t>
  </si>
  <si>
    <t xml:space="preserve">PS W3</t>
  </si>
  <si>
    <t xml:space="preserve">Segment</t>
  </si>
  <si>
    <t xml:space="preserve">Band</t>
  </si>
  <si>
    <t xml:space="preserve">Firms (3 waves)</t>
  </si>
  <si>
    <t xml:space="preserve">Employees</t>
  </si>
  <si>
    <t xml:space="preserve">Avg employees per firm</t>
  </si>
  <si>
    <t xml:space="preserve">Industrial distribution</t>
  </si>
  <si>
    <t xml:space="preserve">Professional services</t>
  </si>
  <si>
    <t xml:space="preserve">Serviceable accounts (SAM) are computed inside each model run as firms × filter 1 × filter 2 × (1 − existing Clay customers), with the filters fixed across scenarios (v2, review M1/M2). Known limitation (review M3): Census sizes firms by total firm employment, and NAICS wholesale includes manufacturers' sales branches, so 500+ 'distributors' include manufacturers' sales arms: 4–22% of the band per Census type of operation (02 Firm_Counts Block 7). Removing them moves the lean-pilot Base NPV by −$0.01M to −$0.03M (appendix/msbo_sensitivity.py).</t>
  </si>
  <si>
    <t xml:space="preserve">ACV Build — usage-based first-year ACV by segment, band and scenario</t>
  </si>
  <si>
    <t xml:space="preserve">Sellers per firm × accounts tracked × Clay's published usage meters (S01). SMB/Mid-Market floored at the Growth plan; Enterprise floored at the Enterprise minimum, less discount.</t>
  </si>
  <si>
    <t xml:space="preserve">SMB (20–99)</t>
  </si>
  <si>
    <t xml:space="preserve">Mid-Market (100–499)</t>
  </si>
  <si>
    <t xml:space="preserve">Enterprise (500+)</t>
  </si>
  <si>
    <t xml:space="preserve">Sellers per firm (Base)</t>
  </si>
  <si>
    <t xml:space="preserve">SMB</t>
  </si>
  <si>
    <t xml:space="preserve">Mid-Market</t>
  </si>
  <si>
    <t xml:space="preserve">Enterprise</t>
  </si>
  <si>
    <t xml:space="preserve">Reading: at list prices, a distributor's seller density lifts ACV above the Growth floor only from Mid-Market up. Professional-services firms have ~4× fewer sellers per firm, so their SMB and Mid-Market ACV both sit at the floor. Base Enterprise ACV for distribution ≈ Vendr's median Clay buyer ($59,996, S16).</t>
  </si>
  <si>
    <t xml:space="preserve">GTM Funnel — live model (selected segment, scenario and motion)</t>
  </si>
  <si>
    <t xml:space="preserve">Accounts → meetings, MQLs and partner introductions → opportunities (mix by band derived from accounts) → wins, with a closing-capacity constraint.</t>
  </si>
  <si>
    <t xml:space="preserve">Live model — run constants</t>
  </si>
  <si>
    <t xml:space="preserve">Unit / note</t>
  </si>
  <si>
    <t xml:space="preserve">2027</t>
  </si>
  <si>
    <t xml:space="preserve">2028</t>
  </si>
  <si>
    <t xml:space="preserve">2029</t>
  </si>
  <si>
    <t xml:space="preserve">2027–29</t>
  </si>
  <si>
    <t xml:space="preserve">SAM accounts — wave 1, S</t>
  </si>
  <si>
    <t xml:space="preserve">firms × filters</t>
  </si>
  <si>
    <t xml:space="preserve">SAM accounts — wave 1, M</t>
  </si>
  <si>
    <t xml:space="preserve">SAM accounts — wave 1, E</t>
  </si>
  <si>
    <t xml:space="preserve">SAM accounts — wave 1, total</t>
  </si>
  <si>
    <t xml:space="preserve">SAM accounts — wave 2, S</t>
  </si>
  <si>
    <t xml:space="preserve">SAM accounts — wave 2, M</t>
  </si>
  <si>
    <t xml:space="preserve">SAM accounts — wave 2, E</t>
  </si>
  <si>
    <t xml:space="preserve">SAM accounts — wave 2, total</t>
  </si>
  <si>
    <t xml:space="preserve">SAM accounts — wave 3, S</t>
  </si>
  <si>
    <t xml:space="preserve">SAM accounts — wave 3, M</t>
  </si>
  <si>
    <t xml:space="preserve">SAM accounts — wave 3, E</t>
  </si>
  <si>
    <t xml:space="preserve">SAM accounts — wave 3, total</t>
  </si>
  <si>
    <t xml:space="preserve">First-year ACV — S</t>
  </si>
  <si>
    <t xml:space="preserve">usage build</t>
  </si>
  <si>
    <t xml:space="preserve">First-year ACV — M</t>
  </si>
  <si>
    <t xml:space="preserve">First-year ACV — E</t>
  </si>
  <si>
    <t xml:space="preserve">Automated outbound coverage per quarter</t>
  </si>
  <si>
    <t xml:space="preserve">coverage × motion multiplier</t>
  </si>
  <si>
    <t xml:space="preserve">AE fully loaded annual cost</t>
  </si>
  <si>
    <t xml:space="preserve">OTE ÷ wage share</t>
  </si>
  <si>
    <t xml:space="preserve">ARR one ramped AE closes per quarter</t>
  </si>
  <si>
    <t xml:space="preserve">quota × productivity ÷ 4</t>
  </si>
  <si>
    <t xml:space="preserve">AE cost per $ of first-year ACV closed</t>
  </si>
  <si>
    <t xml:space="preserve">Program spend above base, per quarter</t>
  </si>
  <si>
    <t xml:space="preserve">Demand and funnel</t>
  </si>
  <si>
    <t xml:space="preserve">Quarter number</t>
  </si>
  <si>
    <t xml:space="preserve">Program running (1) / stopped (0)</t>
  </si>
  <si>
    <t xml:space="preserve">Wave 1 active (0.5 in launch quarter)</t>
  </si>
  <si>
    <t xml:space="preserve">factor</t>
  </si>
  <si>
    <t xml:space="preserve">Wave 2 active (0.5 in launch quarter)</t>
  </si>
  <si>
    <t xml:space="preserve">Wave 3 active (0.5 in launch quarter)</t>
  </si>
  <si>
    <t xml:space="preserve">Wave 1 outbound fatigue factor</t>
  </si>
  <si>
    <t xml:space="preserve">Wave 2 outbound fatigue factor</t>
  </si>
  <si>
    <t xml:space="preserve">Wave 3 outbound fatigue factor</t>
  </si>
  <si>
    <t xml:space="preserve">Active SAM accounts — S</t>
  </si>
  <si>
    <t xml:space="preserve">accounts</t>
  </si>
  <si>
    <t xml:space="preserve">Active SAM accounts — M</t>
  </si>
  <si>
    <t xml:space="preserve">Active SAM accounts — E</t>
  </si>
  <si>
    <t xml:space="preserve">Active SAM accounts — total</t>
  </si>
  <si>
    <t xml:space="preserve">Fatigue-weighted active accounts</t>
  </si>
  <si>
    <t xml:space="preserve">Meetings — automated outbound</t>
  </si>
  <si>
    <t xml:space="preserve">meetings</t>
  </si>
  <si>
    <t xml:space="preserve">Dedicated AEs (headcount)</t>
  </si>
  <si>
    <t xml:space="preserve">Ramped dedicated AEs (≈6-month ramp)</t>
  </si>
  <si>
    <t xml:space="preserve">Accounts worked by dedicated AEs</t>
  </si>
  <si>
    <t xml:space="preserve">Meetings — AE self-sourced outreach</t>
  </si>
  <si>
    <t xml:space="preserve">Extra MQLs bought by program spend above base</t>
  </si>
  <si>
    <t xml:space="preserve">MQLs</t>
  </si>
  <si>
    <t xml:space="preserve">MQLs — inbound / templates</t>
  </si>
  <si>
    <t xml:space="preserve">Active partners</t>
  </si>
  <si>
    <t xml:space="preserve">partners</t>
  </si>
  <si>
    <t xml:space="preserve">Partner introductions</t>
  </si>
  <si>
    <t xml:space="preserve">intros</t>
  </si>
  <si>
    <t xml:space="preserve">Opportunities — outbound (automated + AE)</t>
  </si>
  <si>
    <t xml:space="preserve">opps</t>
  </si>
  <si>
    <t xml:space="preserve">Opportunities — inbound</t>
  </si>
  <si>
    <t xml:space="preserve">Opportunities — partner</t>
  </si>
  <si>
    <t xml:space="preserve">Opportunities — total</t>
  </si>
  <si>
    <t xml:space="preserve">Band weight — SMB (accounts)</t>
  </si>
  <si>
    <t xml:space="preserve">weight</t>
  </si>
  <si>
    <t xml:space="preserve">Band weight — Mid-Market (accounts × tilt × propensity)</t>
  </si>
  <si>
    <t xml:space="preserve">Band weight — Enterprise (accounts × tilt × propensity)</t>
  </si>
  <si>
    <t xml:space="preserve">Opportunity mix — S (derived, not assumed)</t>
  </si>
  <si>
    <t xml:space="preserve">Opportunity mix — M (derived, not assumed)</t>
  </si>
  <si>
    <t xml:space="preserve">Opportunity mix — E (derived, not assumed)</t>
  </si>
  <si>
    <t xml:space="preserve">Wins (demand) — SMB</t>
  </si>
  <si>
    <t xml:space="preserve">wins</t>
  </si>
  <si>
    <t xml:space="preserve">Wins (demand) — Mid-Market</t>
  </si>
  <si>
    <t xml:space="preserve">Wins (demand) — Enterprise (longer cycle)</t>
  </si>
  <si>
    <t xml:space="preserve">Partner-sourced share of closing opportunities</t>
  </si>
  <si>
    <t xml:space="preserve">Self-serve SMB wins (no AE)</t>
  </si>
  <si>
    <t xml:space="preserve">Sales-assisted demand — SMB</t>
  </si>
  <si>
    <t xml:space="preserve">Sales-assisted demand (first-year ACV)</t>
  </si>
  <si>
    <t xml:space="preserve">Closing capacity (dedicated + shared AEs)</t>
  </si>
  <si>
    <t xml:space="preserve">Share of demand closed = MIN(1, capacity ÷ demand)</t>
  </si>
  <si>
    <t xml:space="preserve">First-year ACV lost to the capacity constraint</t>
  </si>
  <si>
    <t xml:space="preserve">New customers — SMB</t>
  </si>
  <si>
    <t xml:space="preserve">customers</t>
  </si>
  <si>
    <t xml:space="preserve">New customers — Mid-Market</t>
  </si>
  <si>
    <t xml:space="preserve">New customers — Enterprise</t>
  </si>
  <si>
    <t xml:space="preserve">New customers — total</t>
  </si>
  <si>
    <t xml:space="preserve">Revenue Model — customers, ARR and recognized revenue</t>
  </si>
  <si>
    <t xml:space="preserve">ARR = prior ARR × NRR^(1/4) + new customers × ACV. Recognized revenue = average ARR ÷ 4 (kept separate from ARR).</t>
  </si>
  <si>
    <t xml:space="preserve">Customers, ARR and revenue</t>
  </si>
  <si>
    <t xml:space="preserve">Customers — SMB</t>
  </si>
  <si>
    <t xml:space="preserve">Customers — Mid-Market</t>
  </si>
  <si>
    <t xml:space="preserve">Customers — Enterprise</t>
  </si>
  <si>
    <t xml:space="preserve">Customers — total</t>
  </si>
  <si>
    <t xml:space="preserve">ARR — SMB</t>
  </si>
  <si>
    <t xml:space="preserve">ARR — Mid-Market</t>
  </si>
  <si>
    <t xml:space="preserve">ARR — Enterprise</t>
  </si>
  <si>
    <t xml:space="preserve">ARR — total (end of quarter)</t>
  </si>
  <si>
    <t xml:space="preserve">New ARR booked (first-year ACV)</t>
  </si>
  <si>
    <t xml:space="preserve">Recognized revenue (average ARR ÷ 4)</t>
  </si>
  <si>
    <t xml:space="preserve">Gross profit</t>
  </si>
  <si>
    <t xml:space="preserve">Unit Economics — cost, P&amp;L, NPV and Option 0</t>
  </si>
  <si>
    <t xml:space="preserve">Incremental cost only. NPV discounts quarterly at the hurdle rate and haircuts gross profit for wins that would have happened anyway. Option 0 redeploys the same non-CS spend into Clay's core motion.</t>
  </si>
  <si>
    <t xml:space="preserve">Incremental program cost</t>
  </si>
  <si>
    <t xml:space="preserve">FTE — vertical lead</t>
  </si>
  <si>
    <t xml:space="preserve">FTE — dedicated AEs</t>
  </si>
  <si>
    <t xml:space="preserve">FTE — partner managers</t>
  </si>
  <si>
    <t xml:space="preserve">FTE — GTM / solutions engineers</t>
  </si>
  <si>
    <t xml:space="preserve">FTE — product marketing</t>
  </si>
  <si>
    <t xml:space="preserve">FTE — customer success</t>
  </si>
  <si>
    <t xml:space="preserve">Cost — vertical lead + partner managers</t>
  </si>
  <si>
    <t xml:space="preserve">Cost — dedicated AEs</t>
  </si>
  <si>
    <t xml:space="preserve">Cost — variable AE cost (shared capacity)</t>
  </si>
  <si>
    <t xml:space="preserve">Cost — product marketing</t>
  </si>
  <si>
    <t xml:space="preserve">Cost — programs and launches</t>
  </si>
  <si>
    <t xml:space="preserve">Cost — partner fees</t>
  </si>
  <si>
    <t xml:space="preserve">Cost — partner enablement</t>
  </si>
  <si>
    <t xml:space="preserve">Cost — onboarding subsidy (MM &amp; Ent)</t>
  </si>
  <si>
    <t xml:space="preserve">Sales &amp; marketing cost (CAC basis)</t>
  </si>
  <si>
    <t xml:space="preserve">Cost — GTM / solutions engineers</t>
  </si>
  <si>
    <t xml:space="preserve">Cost — template &amp; connector build</t>
  </si>
  <si>
    <t xml:space="preserve">Cost — customer success</t>
  </si>
  <si>
    <t xml:space="preserve">Total incremental program cost</t>
  </si>
  <si>
    <t xml:space="preserve">Program P&amp;L, NPV and the Option 0 benchmark</t>
  </si>
  <si>
    <t xml:space="preserve">Program P&amp;L (gross profit − incremental cost)</t>
  </si>
  <si>
    <t xml:space="preserve">Cumulative program P&amp;L</t>
  </si>
  <si>
    <t xml:space="preserve">Discount factor (end of quarter)</t>
  </si>
  <si>
    <t xml:space="preserve">PV of incremental P&amp;L (gross profit × (1 − haircut) − cost)</t>
  </si>
  <si>
    <t xml:space="preserve">Option 0: core ARR bought with the same non-CS spend</t>
  </si>
  <si>
    <t xml:space="preserve">Option 0: core ARR (end of quarter)</t>
  </si>
  <si>
    <t xml:space="preserve">Option 0: P&amp;L (gross profit − spend − CS)</t>
  </si>
  <si>
    <t xml:space="preserve">Option 0: PV of P&amp;L</t>
  </si>
  <si>
    <t xml:space="preserve">ARR-weighted GRR of new customers</t>
  </si>
  <si>
    <t xml:space="preserve">CS cost as % of ARR at exit</t>
  </si>
  <si>
    <t xml:space="preserve">grr ÷ (1 + discount rate)</t>
  </si>
  <si>
    <t xml:space="preserve">Option 0: grr0 ÷ (1 + discount rate)</t>
  </si>
  <si>
    <t xml:space="preserve">Key outputs of this run</t>
  </si>
  <si>
    <t xml:space="preserve">Exit ARR, Q4 2029</t>
  </si>
  <si>
    <t xml:space="preserve">Customers, Q4 2029</t>
  </si>
  <si>
    <t xml:space="preserve">New customers 2027–29</t>
  </si>
  <si>
    <t xml:space="preserve">Recognized revenue 2027–29</t>
  </si>
  <si>
    <t xml:space="preserve">CAC, fully loaded (S&amp;M ÷ new customers)</t>
  </si>
  <si>
    <t xml:space="preserve">CAC, marginal (variable AE, programs, partner costs, subsidies)</t>
  </si>
  <si>
    <t xml:space="preserve">CAC payback, 2027–29 (months)</t>
  </si>
  <si>
    <t xml:space="preserve">CAC payback, 2029 cohort (months)</t>
  </si>
  <si>
    <t xml:space="preserve">Total incremental cost 2027–29</t>
  </si>
  <si>
    <t xml:space="preserve">Cumulative program P&amp;L 2027–29 (undiscounted, gross)</t>
  </si>
  <si>
    <t xml:space="preserve">Peak investment (lowest cumulative P&amp;L)</t>
  </si>
  <si>
    <t xml:space="preserve">Undiscounted post-2029 value of the 2029 ARR base (gross)</t>
  </si>
  <si>
    <t xml:space="preserve">PV of post-2029 value, after incrementality haircut</t>
  </si>
  <si>
    <t xml:space="preserve">NPV of the program (incremental, at hurdle rate)</t>
  </si>
  <si>
    <t xml:space="preserve">NPV of Option 0 (same spend in the core motion)</t>
  </si>
  <si>
    <t xml:space="preserve">NPV advantage over Option 0 (program NPV − Option 0 NPV)</t>
  </si>
  <si>
    <t xml:space="preserve">First-year ACV lost to capacity, 2027–29</t>
  </si>
  <si>
    <t xml:space="preserve">Gate metric: opportunities created in 2027</t>
  </si>
  <si>
    <t xml:space="preserve">Gate metric: new customers in 2027</t>
  </si>
  <si>
    <t xml:space="preserve">Gate metric: partner introductions in 2027</t>
  </si>
  <si>
    <t xml:space="preserve">Gate metric: average first-year ACV, 2027</t>
  </si>
  <si>
    <t xml:space="preserve">Scenarios — options compared on one engine (deterministic Downside / Base / Upside)</t>
  </si>
  <si>
    <t xml:space="preserve">Every figure links to a full run on 'Engine Runs'. NPV at the hurdle rate, after the incrementality haircut. Illustrative scenario outputs — not Clay forecasts.</t>
  </si>
  <si>
    <t xml:space="preserve">Output</t>
  </si>
  <si>
    <t xml:space="preserve">Dist · Lean partner-led pilot · Downside</t>
  </si>
  <si>
    <t xml:space="preserve">Dist · Lean partner-led pilot · Base</t>
  </si>
  <si>
    <t xml:space="preserve">Dist · Lean partner-led pilot · Upside</t>
  </si>
  <si>
    <t xml:space="preserve">Dist · Sales-led vertical team · Downside</t>
  </si>
  <si>
    <t xml:space="preserve">Dist · Sales-led vertical team · Base</t>
  </si>
  <si>
    <t xml:space="preserve">Dist · Sales-led vertical team · Upside</t>
  </si>
  <si>
    <t xml:space="preserve">Dist · Solution play · Downside</t>
  </si>
  <si>
    <t xml:space="preserve">Dist · Solution play · Base</t>
  </si>
  <si>
    <t xml:space="preserve">Dist · Solution play · Upside</t>
  </si>
  <si>
    <t xml:space="preserve">PS · Lean partner-led pilot · Downside</t>
  </si>
  <si>
    <t xml:space="preserve">PS · Lean partner-led pilot · Base</t>
  </si>
  <si>
    <t xml:space="preserve">PS · Lean partner-led pilot · Upside</t>
  </si>
  <si>
    <t xml:space="preserve">PS · Sales-led vertical team · Downside</t>
  </si>
  <si>
    <t xml:space="preserve">PS · Sales-led vertical team · Base</t>
  </si>
  <si>
    <t xml:space="preserve">PS · Sales-led vertical team · Upside</t>
  </si>
  <si>
    <t xml:space="preserve">PS · Solution play · Downside</t>
  </si>
  <si>
    <t xml:space="preserve">PS · Solution play · Base</t>
  </si>
  <si>
    <t xml:space="preserve">PS · Solution play · Upside</t>
  </si>
  <si>
    <t xml:space="preserve">NPV of the program at hurdle rate</t>
  </si>
  <si>
    <t xml:space="preserve">NPV of Option 0 (same spend in core)</t>
  </si>
  <si>
    <t xml:space="preserve">NPV advantage over Option 0</t>
  </si>
  <si>
    <t xml:space="preserve">CAC, fully loaded</t>
  </si>
  <si>
    <t xml:space="preserve">CAC, marginal</t>
  </si>
  <si>
    <t xml:space="preserve">Cumulative P&amp;L 2027–29 (undiscounted)</t>
  </si>
  <si>
    <t xml:space="preserve">ACV lost to capacity</t>
  </si>
  <si>
    <t xml:space="preserve">Gate metric: 2027 opportunities</t>
  </si>
  <si>
    <t xml:space="preserve">Gate metric: 2027 new customers</t>
  </si>
  <si>
    <t xml:space="preserve">Gate metric: 2027 partner introductions</t>
  </si>
  <si>
    <t xml:space="preserve">Gate metric: 2027 average ACV</t>
  </si>
  <si>
    <t xml:space="preserve">Gated variants (lean pilot)</t>
  </si>
  <si>
    <t xml:space="preserve">Dist · Downside stopped at Gate 1</t>
  </si>
  <si>
    <t xml:space="preserve">Dist · Upside + 2 AEs after Gate 1</t>
  </si>
  <si>
    <t xml:space="preserve">PS · Downside stopped at Gate 1</t>
  </si>
  <si>
    <t xml:space="preserve">PS · Upside + 2 AEs after Gate 1</t>
  </si>
  <si>
    <t xml:space="preserve">Reconciliation: live model vs matching engine run (should be 0)</t>
  </si>
  <si>
    <t xml:space="preserve">NPV difference</t>
  </si>
  <si>
    <t xml:space="preserve">Exit ARR difference</t>
  </si>
  <si>
    <t xml:space="preserve">ARR trajectory by quarter — distribution (for charts)</t>
  </si>
  <si>
    <t xml:space="preserve">Lean pilot — Downside</t>
  </si>
  <si>
    <t xml:space="preserve">Lean pilot — Base</t>
  </si>
  <si>
    <t xml:space="preserve">Lean pilot — Upside</t>
  </si>
  <si>
    <t xml:space="preserve">Sales-led team — Base</t>
  </si>
  <si>
    <t xml:space="preserve">Solution play — Base</t>
  </si>
  <si>
    <t xml:space="preserve">Sensitivity — distribution lean pilot, Base: what moves NPV, and what would have to be true</t>
  </si>
  <si>
    <t xml:space="preserve">Block A: one input at a time between its Downside and Upside values (ICP tilt and discount rate use the stated values). Block B: win rate × usage grid. Block C: can a sales-led team beat the pilot if its AEs prospect harder?</t>
  </si>
  <si>
    <t xml:space="preserve">Input swung</t>
  </si>
  <si>
    <t xml:space="preserve">Low value</t>
  </si>
  <si>
    <t xml:space="preserve">High value</t>
  </si>
  <si>
    <t xml:space="preserve">NPV @ low</t>
  </si>
  <si>
    <t xml:space="preserve">NPV @ high</t>
  </si>
  <si>
    <t xml:space="preserve">Swing (NPV)</t>
  </si>
  <si>
    <t xml:space="preserve">Advantage vs Option 0 @ low</t>
  </si>
  <si>
    <t xml:space="preserve">@ high</t>
  </si>
  <si>
    <t xml:space="preserve">Exit ARR @ low</t>
  </si>
  <si>
    <t xml:space="preserve">Automated outbound coverage</t>
  </si>
  <si>
    <t xml:space="preserve">Meeting rate</t>
  </si>
  <si>
    <t xml:space="preserve">Outbound fatigue</t>
  </si>
  <si>
    <t xml:space="preserve">Inbound MQL rate</t>
  </si>
  <si>
    <t xml:space="preserve">Partner network (start, adds, cap, intros)</t>
  </si>
  <si>
    <t xml:space="preserve">Funnel conversion (meeting / intro / MQL → opp)</t>
  </si>
  <si>
    <t xml:space="preserve">Win rate</t>
  </si>
  <si>
    <t xml:space="preserve">Enterprise propensity (mix)</t>
  </si>
  <si>
    <t xml:space="preserve">ICP tilt to Mid-Market / Enterprise (1× ↔ 3×)</t>
  </si>
  <si>
    <t xml:space="preserve">Usage intensity (ACV)</t>
  </si>
  <si>
    <t xml:space="preserve">Gross revenue retention</t>
  </si>
  <si>
    <t xml:space="preserve">Net revenue retention</t>
  </si>
  <si>
    <t xml:space="preserve">Gross margin</t>
  </si>
  <si>
    <t xml:space="preserve">Wave timing</t>
  </si>
  <si>
    <t xml:space="preserve">Partner fee and onboarding subsidy</t>
  </si>
  <si>
    <t xml:space="preserve">Self-serve share of SMB</t>
  </si>
  <si>
    <t xml:space="preserve">Incrementality haircut</t>
  </si>
  <si>
    <t xml:space="preserve">Discount rate (15% ↔ 8%)</t>
  </si>
  <si>
    <t xml:space="preserve">Base case</t>
  </si>
  <si>
    <t xml:space="preserve">Block B — NPV of the distribution lean pilot: win rate (rows) × usage intensity (columns), all else Base</t>
  </si>
  <si>
    <t xml:space="preserve">Win rate ↓ / usage →</t>
  </si>
  <si>
    <t xml:space="preserve">Block B2 — Same grid: NPV advantage over Option 0</t>
  </si>
  <si>
    <t xml:space="preserve">Block C — Sales-led team (Base) with more AE prospecting vs the lean pilot (Base)</t>
  </si>
  <si>
    <t xml:space="preserve">Accounts each ramped AE works per quarter</t>
  </si>
  <si>
    <t xml:space="preserve">New customers</t>
  </si>
  <si>
    <t xml:space="preserve">Exit ARR</t>
  </si>
  <si>
    <t xml:space="preserve">NPV</t>
  </si>
  <si>
    <t xml:space="preserve">Lean pilot NPV</t>
  </si>
  <si>
    <t xml:space="preserve">Sales-led − lean</t>
  </si>
  <si>
    <t xml:space="preserve">Reading (v2): the sales-led team now generates its own pipeline, so the comparison is no longer true by construction (review C1). It adds customers and ARR, but in a ~5,000-account market the extra ACV does not pay for six AEs. Block B: at Base volumes, NPV turns positive only with win rates well above the 21% benchmark and usage far above the base build.</t>
  </si>
  <si>
    <t xml:space="preserve">Monte Carlo and gate policy — computed by appendix/clay_engine.py (a Python mirror of this workbook)</t>
  </si>
  <si>
    <t xml:space="preserve">Each draw samples every non-fixed input from triangular(Downside, Base, Upside); inputs in the same group (demand, value, cost, timing) are correlated through a Gaussian copula (ρ = 0.5). Values are static; rerun build_financial_model.py to refresh.</t>
  </si>
  <si>
    <t xml:space="preserve">Option / policy</t>
  </si>
  <si>
    <t xml:space="preserve">P50</t>
  </si>
  <si>
    <t xml:space="preserve">Mean advantage vs Option 0</t>
  </si>
  <si>
    <t xml:space="preserve">Industrial distribution — Lean pilot — run all 12 quarters (ungated)</t>
  </si>
  <si>
    <t xml:space="preserve">Industrial distribution — Lean pilot — staged: Gate 1 with observation noise</t>
  </si>
  <si>
    <t xml:space="preserve">Professional services — Lean pilot — run all 12 quarters (ungated)</t>
  </si>
  <si>
    <t xml:space="preserve">Professional services — Lean pilot — staged: Gate 1 with observation noise</t>
  </si>
  <si>
    <t xml:space="preserve">Robustness of P(NPV &gt; 0), distribution lean pilot (ungated): correlation and range width (2,000 draws each)</t>
  </si>
  <si>
    <t xml:space="preserve">Specification</t>
  </si>
  <si>
    <t xml:space="preserve">Within-group ρ</t>
  </si>
  <si>
    <t xml:space="preserve">Cross-group γ</t>
  </si>
  <si>
    <t xml:space="preserve">Range × (around Base)</t>
  </si>
  <si>
    <t xml:space="preserve">P90 NPV</t>
  </si>
  <si>
    <t xml:space="preserve">Base specification</t>
  </si>
  <si>
    <t xml:space="preserve">Strong correlation</t>
  </si>
  <si>
    <t xml:space="preserve">Near-comonotonic (≈ joint scenarios)</t>
  </si>
  <si>
    <t xml:space="preserve">Ranges 1.5× wider</t>
  </si>
  <si>
    <t xml:space="preserve">Ranges 1.5× wider + strong correlation</t>
  </si>
  <si>
    <t xml:space="preserve">Ranges 2× wider + strong correlation</t>
  </si>
  <si>
    <t xml:space="preserve">What would have to be true — single-input break-evens (Python bisection, all else Base)</t>
  </si>
  <si>
    <t xml:space="preserve">Break-even</t>
  </si>
  <si>
    <t xml:space="preserve">Distribution lean</t>
  </si>
  <si>
    <t xml:space="preserve">Distribution play</t>
  </si>
  <si>
    <t xml:space="preserve">PS lean</t>
  </si>
  <si>
    <t xml:space="preserve">PS play</t>
  </si>
  <si>
    <t xml:space="preserve">Base value</t>
  </si>
  <si>
    <t xml:space="preserve">Usage intensity needed for NPV = 0 (Base)</t>
  </si>
  <si>
    <t xml:space="preserve">not reachable</t>
  </si>
  <si>
    <t xml:space="preserve">1.00x</t>
  </si>
  <si>
    <t xml:space="preserve">Win rate needed for NPV = 0 (Base; capped by borrowed AE capacity)</t>
  </si>
  <si>
    <t xml:space="preserve">21% / 18%</t>
  </si>
  <si>
    <t xml:space="preserve">Option 0 efficiency at which the program ties Option 0 (Upside)</t>
  </si>
  <si>
    <t xml:space="preserve">0.60</t>
  </si>
  <si>
    <t xml:space="preserve">Option 0 efficiency at which the program ties Option 0 (Base)</t>
  </si>
  <si>
    <t xml:space="preserve">Reconciliation — Python engine vs Excel engine, scenario runs (difference should be 0)</t>
  </si>
  <si>
    <t xml:space="preserve">Run</t>
  </si>
  <si>
    <t xml:space="preserve">Python NPV</t>
  </si>
  <si>
    <t xml:space="preserve">Excel NPV</t>
  </si>
  <si>
    <t xml:space="preserve">Difference</t>
  </si>
  <si>
    <t xml:space="preserve">Python exit ARR</t>
  </si>
  <si>
    <t xml:space="preserve">Excel exit ARR</t>
  </si>
  <si>
    <t xml:space="preserve">Industrial distribution — lean pilot — Downside</t>
  </si>
  <si>
    <t xml:space="preserve">Industrial distribution — lean pilot — Base</t>
  </si>
  <si>
    <t xml:space="preserve">Industrial distribution — lean pilot — Upside</t>
  </si>
  <si>
    <t xml:space="preserve">Industrial distribution — lean pilot — Downside, stopped at Gate 1 (Q4 2027)</t>
  </si>
  <si>
    <t xml:space="preserve">Industrial distribution — lean pilot — Upside, 2 AEs hired after Gate 1</t>
  </si>
  <si>
    <t xml:space="preserve">Industrial distribution — sales-led vertical team — Downside</t>
  </si>
  <si>
    <t xml:space="preserve">Industrial distribution — sales-led vertical team — Base</t>
  </si>
  <si>
    <t xml:space="preserve">Industrial distribution — sales-led vertical team — Upside</t>
  </si>
  <si>
    <t xml:space="preserve">Industrial distribution — solution play — Downside</t>
  </si>
  <si>
    <t xml:space="preserve">Industrial distribution — solution play — Base</t>
  </si>
  <si>
    <t xml:space="preserve">Industrial distribution — solution play — Upside</t>
  </si>
  <si>
    <t xml:space="preserve">Professional services — lean pilot — Downside</t>
  </si>
  <si>
    <t xml:space="preserve">Professional services — lean pilot — Base</t>
  </si>
  <si>
    <t xml:space="preserve">Professional services — lean pilot — Upside</t>
  </si>
  <si>
    <t xml:space="preserve">Professional services — lean pilot — Downside, stopped at Gate 1 (Q4 2027)</t>
  </si>
  <si>
    <t xml:space="preserve">Professional services — lean pilot — Upside, 2 AEs hired after Gate 1</t>
  </si>
  <si>
    <t xml:space="preserve">Professional services — sales-led vertical team — Downside</t>
  </si>
  <si>
    <t xml:space="preserve">Professional services — sales-led vertical team — Base</t>
  </si>
  <si>
    <t xml:space="preserve">Professional services — sales-led vertical team — Upside</t>
  </si>
  <si>
    <t xml:space="preserve">Professional services — solution play — Downside</t>
  </si>
  <si>
    <t xml:space="preserve">Professional services — solution play — Base</t>
  </si>
  <si>
    <t xml:space="preserve">Professional services — solution play — Upside</t>
  </si>
  <si>
    <t xml:space="preserve">Maximum absolute difference</t>
  </si>
  <si>
    <t xml:space="preserve">NPV distribution — distribution segment (share of draws per $250K bin; end bins are open)</t>
  </si>
  <si>
    <t xml:space="preserve">NPV bin (lower edge)</t>
  </si>
  <si>
    <t xml:space="preserve">Lean pilot, staged</t>
  </si>
  <si>
    <t xml:space="preserve">Gate thresholds (Assumptions › Gate 1 rule) sit at the midpoints between the deterministic Downside/Base and Base/Upside 2027 paths. Observed 2027 metrics are drawn with Poisson/binomial noise, so the gate can misclassify (review C3). Staged-policy NPV includes 2027 spend even when the program is stopped.</t>
  </si>
  <si>
    <t xml:space="preserve">Engine Runs — full copies of the model for every scenario, option and sensitivity case</t>
  </si>
  <si>
    <t xml:space="preserve">Generated by the same code as the live model. Each block lists its overrides; the Python engine (appendix/clay_engine.py) reproduces every scenario block (Monte Carlo › reconciliation).</t>
  </si>
  <si>
    <t xml:space="preserve">RUN: Industrial distribution — lean pilot — Downside</t>
  </si>
  <si>
    <t xml:space="preserve">Industrial distribution — lean pilot — Downside — run constants</t>
  </si>
  <si>
    <t xml:space="preserve">RUN: Industrial distribution — lean pilot — Base</t>
  </si>
  <si>
    <t xml:space="preserve">Industrial distribution — lean pilot — Base — run constants</t>
  </si>
  <si>
    <t xml:space="preserve">RUN: Industrial distribution — lean pilot — Upside</t>
  </si>
  <si>
    <t xml:space="preserve">Industrial distribution — lean pilot — Upside — run constants</t>
  </si>
  <si>
    <t xml:space="preserve">RUN: Industrial distribution — lean pilot — Downside, stopped at Gate 1 (Q4 2027)</t>
  </si>
  <si>
    <t xml:space="preserve">Overrides: stop = 4</t>
  </si>
  <si>
    <t xml:space="preserve">Industrial distribution — lean pilot — Downside, stopped at Gate 1 (Q4 2027) — run constants</t>
  </si>
  <si>
    <t xml:space="preserve">RUN: Industrial distribution — lean pilot — Upside, 2 AEs hired after Gate 1</t>
  </si>
  <si>
    <t xml:space="preserve">Overrides: AE hiring = scale</t>
  </si>
  <si>
    <t xml:space="preserve">Industrial distribution — lean pilot — Upside, 2 AEs hired after Gate 1 — run constants</t>
  </si>
  <si>
    <t xml:space="preserve">RUN: Industrial distribution — sales-led vertical team — Downside</t>
  </si>
  <si>
    <t xml:space="preserve">Industrial distribution — sales-led vertical team — Downside — run constants</t>
  </si>
  <si>
    <t xml:space="preserve">RUN: Industrial distribution — sales-led vertical team — Base</t>
  </si>
  <si>
    <t xml:space="preserve">Industrial distribution — sales-led vertical team — Base — run constants</t>
  </si>
  <si>
    <t xml:space="preserve">RUN: Industrial distribution — sales-led vertical team — Upside</t>
  </si>
  <si>
    <t xml:space="preserve">Industrial distribution — sales-led vertical team — Upside — run constants</t>
  </si>
  <si>
    <t xml:space="preserve">RUN: Industrial distribution — solution play — Downside</t>
  </si>
  <si>
    <t xml:space="preserve">Industrial distribution — solution play — Downside — run constants</t>
  </si>
  <si>
    <t xml:space="preserve">RUN: Industrial distribution — solution play — Base</t>
  </si>
  <si>
    <t xml:space="preserve">Industrial distribution — solution play — Base — run constants</t>
  </si>
  <si>
    <t xml:space="preserve">RUN: Industrial distribution — solution play — Upside</t>
  </si>
  <si>
    <t xml:space="preserve">Industrial distribution — solution play — Upside — run constants</t>
  </si>
  <si>
    <t xml:space="preserve">RUN: Professional services — lean pilot — Downside</t>
  </si>
  <si>
    <t xml:space="preserve">Professional services — lean pilot — Downside — run constants</t>
  </si>
  <si>
    <t xml:space="preserve">RUN: Professional services — lean pilot — Base</t>
  </si>
  <si>
    <t xml:space="preserve">Professional services — lean pilot — Base — run constants</t>
  </si>
  <si>
    <t xml:space="preserve">RUN: Professional services — lean pilot — Upside</t>
  </si>
  <si>
    <t xml:space="preserve">Professional services — lean pilot — Upside — run constants</t>
  </si>
  <si>
    <t xml:space="preserve">RUN: Professional services — lean pilot — Downside, stopped at Gate 1 (Q4 2027)</t>
  </si>
  <si>
    <t xml:space="preserve">Professional services — lean pilot — Downside, stopped at Gate 1 (Q4 2027) — run constants</t>
  </si>
  <si>
    <t xml:space="preserve">RUN: Professional services — lean pilot — Upside, 2 AEs hired after Gate 1</t>
  </si>
  <si>
    <t xml:space="preserve">Professional services — lean pilot — Upside, 2 AEs hired after Gate 1 — run constants</t>
  </si>
  <si>
    <t xml:space="preserve">RUN: Professional services — sales-led vertical team — Downside</t>
  </si>
  <si>
    <t xml:space="preserve">Professional services — sales-led vertical team — Downside — run constants</t>
  </si>
  <si>
    <t xml:space="preserve">RUN: Professional services — sales-led vertical team — Base</t>
  </si>
  <si>
    <t xml:space="preserve">Professional services — sales-led vertical team — Base — run constants</t>
  </si>
  <si>
    <t xml:space="preserve">RUN: Professional services — sales-led vertical team — Upside</t>
  </si>
  <si>
    <t xml:space="preserve">Professional services — sales-led vertical team — Upside — run constants</t>
  </si>
  <si>
    <t xml:space="preserve">RUN: Professional services — solution play — Downside</t>
  </si>
  <si>
    <t xml:space="preserve">Professional services — solution play — Downside — run constants</t>
  </si>
  <si>
    <t xml:space="preserve">RUN: Professional services — solution play — Base</t>
  </si>
  <si>
    <t xml:space="preserve">Professional services — solution play — Base — run constants</t>
  </si>
  <si>
    <t xml:space="preserve">RUN: Professional services — solution play — Upside</t>
  </si>
  <si>
    <t xml:space="preserve">Professional services — solution play — Upside — run constants</t>
  </si>
  <si>
    <t xml:space="preserve">RUN: Sensitivity — Automated outbound coverage: Downside value</t>
  </si>
  <si>
    <t xml:space="preserve">Overrides: cov = Assumptions!$D$17</t>
  </si>
  <si>
    <t xml:space="preserve">Sensitivity — Automated outbound coverage: Downside value — run constants</t>
  </si>
  <si>
    <t xml:space="preserve">RUN: Sensitivity — Automated outbound coverage: Upside value</t>
  </si>
  <si>
    <t xml:space="preserve">Overrides: cov = Assumptions!$F$17</t>
  </si>
  <si>
    <t xml:space="preserve">Sensitivity — Automated outbound coverage: Upside value — run constants</t>
  </si>
  <si>
    <t xml:space="preserve">RUN: Sensitivity — Meeting rate: Downside value</t>
  </si>
  <si>
    <t xml:space="preserve">Overrides: meet = Assumptions!$D$20</t>
  </si>
  <si>
    <t xml:space="preserve">Sensitivity — Meeting rate: Downside value — run constants</t>
  </si>
  <si>
    <t xml:space="preserve">RUN: Sensitivity — Meeting rate: Upside value</t>
  </si>
  <si>
    <t xml:space="preserve">Overrides: meet = Assumptions!$F$20</t>
  </si>
  <si>
    <t xml:space="preserve">Sensitivity — Meeting rate: Upside value — run constants</t>
  </si>
  <si>
    <t xml:space="preserve">RUN: Sensitivity — Outbound fatigue: Downside value</t>
  </si>
  <si>
    <t xml:space="preserve">Overrides: fatigue = Assumptions!$D$21</t>
  </si>
  <si>
    <t xml:space="preserve">Sensitivity — Outbound fatigue: Downside value — run constants</t>
  </si>
  <si>
    <t xml:space="preserve">RUN: Sensitivity — Outbound fatigue: Upside value</t>
  </si>
  <si>
    <t xml:space="preserve">Overrides: fatigue = Assumptions!$F$21</t>
  </si>
  <si>
    <t xml:space="preserve">Sensitivity — Outbound fatigue: Upside value — run constants</t>
  </si>
  <si>
    <t xml:space="preserve">RUN: Sensitivity — Inbound MQL rate: Downside value</t>
  </si>
  <si>
    <t xml:space="preserve">Overrides: inb = Assumptions!$D$22</t>
  </si>
  <si>
    <t xml:space="preserve">Sensitivity — Inbound MQL rate: Downside value — run constants</t>
  </si>
  <si>
    <t xml:space="preserve">RUN: Sensitivity — Inbound MQL rate: Upside value</t>
  </si>
  <si>
    <t xml:space="preserve">Overrides: inb = Assumptions!$F$22</t>
  </si>
  <si>
    <t xml:space="preserve">Sensitivity — Inbound MQL rate: Upside value — run constants</t>
  </si>
  <si>
    <t xml:space="preserve">RUN: Sensitivity — Partner network (start, adds, cap, intros): Downside value</t>
  </si>
  <si>
    <t xml:space="preserve">Overrides: p0 = Assumptions!$D$25; padd = Assumptions!$D$26; pcap = Assumptions!$D$27; lpp = Assumptions!$D$28</t>
  </si>
  <si>
    <t xml:space="preserve">Sensitivity — Partner network (start, adds, cap, intros): Downside value — run constants</t>
  </si>
  <si>
    <t xml:space="preserve">RUN: Sensitivity — Partner network (start, adds, cap, intros): Upside value</t>
  </si>
  <si>
    <t xml:space="preserve">Overrides: p0 = Assumptions!$F$25; padd = Assumptions!$F$26; pcap = Assumptions!$F$27; lpp = Assumptions!$F$28</t>
  </si>
  <si>
    <t xml:space="preserve">Sensitivity — Partner network (start, adds, cap, intros): Upside value — run constants</t>
  </si>
  <si>
    <t xml:space="preserve">RUN: Sensitivity — Funnel conversion (meeting / intro / MQL → opp): Downside value</t>
  </si>
  <si>
    <t xml:space="preserve">Overrides: m2o = Assumptions!$D$29; p2o = Assumptions!$D$30; i2o = Assumptions!$D$31</t>
  </si>
  <si>
    <t xml:space="preserve">Sensitivity — Funnel conversion (meeting / intro / MQL → opp): Downside value — run constants</t>
  </si>
  <si>
    <t xml:space="preserve">RUN: Sensitivity — Funnel conversion (meeting / intro / MQL → opp): Upside value</t>
  </si>
  <si>
    <t xml:space="preserve">Overrides: m2o = Assumptions!$F$29; p2o = Assumptions!$F$30; i2o = Assumptions!$F$31</t>
  </si>
  <si>
    <t xml:space="preserve">Sensitivity — Funnel conversion (meeting / intro / MQL → opp): Upside value — run constants</t>
  </si>
  <si>
    <t xml:space="preserve">RUN: Sensitivity — Win rate: Downside value</t>
  </si>
  <si>
    <t xml:space="preserve">Overrides: win = Assumptions!$D$32</t>
  </si>
  <si>
    <t xml:space="preserve">Sensitivity — Win rate: Downside value — run constants</t>
  </si>
  <si>
    <t xml:space="preserve">RUN: Sensitivity — Win rate: Upside value</t>
  </si>
  <si>
    <t xml:space="preserve">Overrides: win = Assumptions!$F$32</t>
  </si>
  <si>
    <t xml:space="preserve">Sensitivity — Win rate: Upside value — run constants</t>
  </si>
  <si>
    <t xml:space="preserve">RUN: Sensitivity — Enterprise propensity (mix): Downside value</t>
  </si>
  <si>
    <t xml:space="preserve">Overrides: propE = Assumptions!$D$34</t>
  </si>
  <si>
    <t xml:space="preserve">Sensitivity — Enterprise propensity (mix): Downside value — run constants</t>
  </si>
  <si>
    <t xml:space="preserve">RUN: Sensitivity — Enterprise propensity (mix): Upside value</t>
  </si>
  <si>
    <t xml:space="preserve">Overrides: propE = Assumptions!$F$34</t>
  </si>
  <si>
    <t xml:space="preserve">Sensitivity — Enterprise propensity (mix): Upside value — run constants</t>
  </si>
  <si>
    <t xml:space="preserve">RUN: Sensitivity — ICP tilt to Mid-Market / Enterprise (1× ↔ 3×): low</t>
  </si>
  <si>
    <t xml:space="preserve">Overrides: tiltM = 1; tiltE = 1</t>
  </si>
  <si>
    <t xml:space="preserve">Sensitivity — ICP tilt to Mid-Market / Enterprise (1× ↔ 3×): low — run constants</t>
  </si>
  <si>
    <t xml:space="preserve">RUN: Sensitivity — ICP tilt to Mid-Market / Enterprise (1× ↔ 3×): high</t>
  </si>
  <si>
    <t xml:space="preserve">Overrides: tiltM = 3; tiltE = 3</t>
  </si>
  <si>
    <t xml:space="preserve">Sensitivity — ICP tilt to Mid-Market / Enterprise (1× ↔ 3×): high — run constants</t>
  </si>
  <si>
    <t xml:space="preserve">RUN: Sensitivity — Usage intensity (ACV): Downside value</t>
  </si>
  <si>
    <t xml:space="preserve">Overrides: usage = Assumptions!$D$43</t>
  </si>
  <si>
    <t xml:space="preserve">Sensitivity — Usage intensity (ACV): Downside value — run constants</t>
  </si>
  <si>
    <t xml:space="preserve">RUN: Sensitivity — Usage intensity (ACV): Upside value</t>
  </si>
  <si>
    <t xml:space="preserve">Overrides: usage = Assumptions!$F$43</t>
  </si>
  <si>
    <t xml:space="preserve">Sensitivity — Usage intensity (ACV): Upside value — run constants</t>
  </si>
  <si>
    <t xml:space="preserve">RUN: Sensitivity — Gross revenue retention: Downside value</t>
  </si>
  <si>
    <t xml:space="preserve">Overrides: grrS = Assumptions!$D$59; grrM = Assumptions!$D$60; grrE = Assumptions!$D$61</t>
  </si>
  <si>
    <t xml:space="preserve">Sensitivity — Gross revenue retention: Downside value — run constants</t>
  </si>
  <si>
    <t xml:space="preserve">RUN: Sensitivity — Gross revenue retention: Upside value</t>
  </si>
  <si>
    <t xml:space="preserve">Overrides: grrS = Assumptions!$F$59; grrM = Assumptions!$F$60; grrE = Assumptions!$F$61</t>
  </si>
  <si>
    <t xml:space="preserve">Sensitivity — Gross revenue retention: Upside value — run constants</t>
  </si>
  <si>
    <t xml:space="preserve">RUN: Sensitivity — Net revenue retention: Downside value</t>
  </si>
  <si>
    <t xml:space="preserve">Overrides: nrrS = Assumptions!$D$62; nrrM = Assumptions!$D$63; nrrE = Assumptions!$D$64</t>
  </si>
  <si>
    <t xml:space="preserve">Sensitivity — Net revenue retention: Downside value — run constants</t>
  </si>
  <si>
    <t xml:space="preserve">RUN: Sensitivity — Net revenue retention: Upside value</t>
  </si>
  <si>
    <t xml:space="preserve">Overrides: nrrS = Assumptions!$F$62; nrrM = Assumptions!$F$63; nrrE = Assumptions!$F$64</t>
  </si>
  <si>
    <t xml:space="preserve">Sensitivity — Net revenue retention: Upside value — run constants</t>
  </si>
  <si>
    <t xml:space="preserve">RUN: Sensitivity — Gross margin: Downside value</t>
  </si>
  <si>
    <t xml:space="preserve">Overrides: gm = Assumptions!$D$76</t>
  </si>
  <si>
    <t xml:space="preserve">Sensitivity — Gross margin: Downside value — run constants</t>
  </si>
  <si>
    <t xml:space="preserve">RUN: Sensitivity — Gross margin: Upside value</t>
  </si>
  <si>
    <t xml:space="preserve">Overrides: gm = Assumptions!$F$76</t>
  </si>
  <si>
    <t xml:space="preserve">Sensitivity — Gross margin: Upside value — run constants</t>
  </si>
  <si>
    <t xml:space="preserve">RUN: Sensitivity — Wave timing: Downside value</t>
  </si>
  <si>
    <t xml:space="preserve">Overrides: w2 = Assumptions!$D$14; w3 = Assumptions!$D$15</t>
  </si>
  <si>
    <t xml:space="preserve">Sensitivity — Wave timing: Downside value — run constants</t>
  </si>
  <si>
    <t xml:space="preserve">RUN: Sensitivity — Wave timing: Upside value</t>
  </si>
  <si>
    <t xml:space="preserve">Overrides: w2 = Assumptions!$F$14; w3 = Assumptions!$F$15</t>
  </si>
  <si>
    <t xml:space="preserve">Sensitivity — Wave timing: Upside value — run constants</t>
  </si>
  <si>
    <t xml:space="preserve">RUN: Sensitivity — Partner fee and onboarding subsidy: Downside value</t>
  </si>
  <si>
    <t xml:space="preserve">Overrides: ref = Assumptions!$D$79; onb = Assumptions!$D$81</t>
  </si>
  <si>
    <t xml:space="preserve">Sensitivity — Partner fee and onboarding subsidy: Downside value — run constants</t>
  </si>
  <si>
    <t xml:space="preserve">RUN: Sensitivity — Partner fee and onboarding subsidy: Upside value</t>
  </si>
  <si>
    <t xml:space="preserve">Overrides: ref = Assumptions!$F$79; onb = Assumptions!$F$81</t>
  </si>
  <si>
    <t xml:space="preserve">Sensitivity — Partner fee and onboarding subsidy: Upside value — run constants</t>
  </si>
  <si>
    <t xml:space="preserve">RUN: Sensitivity — Self-serve share of SMB: Downside value</t>
  </si>
  <si>
    <t xml:space="preserve">Overrides: ss = Assumptions!$D$37</t>
  </si>
  <si>
    <t xml:space="preserve">Sensitivity — Self-serve share of SMB: Downside value — run constants</t>
  </si>
  <si>
    <t xml:space="preserve">RUN: Sensitivity — Self-serve share of SMB: Upside value</t>
  </si>
  <si>
    <t xml:space="preserve">Overrides: ss = Assumptions!$F$37</t>
  </si>
  <si>
    <t xml:space="preserve">Sensitivity — Self-serve share of SMB: Upside value — run constants</t>
  </si>
  <si>
    <t xml:space="preserve">RUN: Sensitivity — Incrementality haircut: Downside value</t>
  </si>
  <si>
    <t xml:space="preserve">Overrides: hair = Assumptions!$D$88</t>
  </si>
  <si>
    <t xml:space="preserve">Sensitivity — Incrementality haircut: Downside value — run constants</t>
  </si>
  <si>
    <t xml:space="preserve">RUN: Sensitivity — Incrementality haircut: Upside value</t>
  </si>
  <si>
    <t xml:space="preserve">Overrides: hair = Assumptions!$F$88</t>
  </si>
  <si>
    <t xml:space="preserve">Sensitivity — Incrementality haircut: Upside value — run constants</t>
  </si>
  <si>
    <t xml:space="preserve">RUN: Sensitivity — Discount rate (15% ↔ 8%): low</t>
  </si>
  <si>
    <t xml:space="preserve">Overrides: disc = 0.15</t>
  </si>
  <si>
    <t xml:space="preserve">Sensitivity — Discount rate (15% ↔ 8%): low — run constants</t>
  </si>
  <si>
    <t xml:space="preserve">RUN: Sensitivity — Discount rate (15% ↔ 8%): high</t>
  </si>
  <si>
    <t xml:space="preserve">Overrides: disc = 0.08</t>
  </si>
  <si>
    <t xml:space="preserve">Sensitivity — Discount rate (15% ↔ 8%): high — run constants</t>
  </si>
  <si>
    <t xml:space="preserve">RUN: Grid — win 15% × usage 0.75x</t>
  </si>
  <si>
    <t xml:space="preserve">Overrides: win = 0.15; usage = 0.75</t>
  </si>
  <si>
    <t xml:space="preserve">Grid — win 15% × usage 0.75x — run constants</t>
  </si>
  <si>
    <t xml:space="preserve">RUN: Grid — win 15% × usage 1.0x</t>
  </si>
  <si>
    <t xml:space="preserve">Overrides: win = 0.15; usage = 1.0</t>
  </si>
  <si>
    <t xml:space="preserve">Grid — win 15% × usage 1.0x — run constants</t>
  </si>
  <si>
    <t xml:space="preserve">RUN: Grid — win 15% × usage 1.5x</t>
  </si>
  <si>
    <t xml:space="preserve">Overrides: win = 0.15; usage = 1.5</t>
  </si>
  <si>
    <t xml:space="preserve">Grid — win 15% × usage 1.5x — run constants</t>
  </si>
  <si>
    <t xml:space="preserve">RUN: Grid — win 15% × usage 2.5x</t>
  </si>
  <si>
    <t xml:space="preserve">Overrides: win = 0.15; usage = 2.5</t>
  </si>
  <si>
    <t xml:space="preserve">Grid — win 15% × usage 2.5x — run constants</t>
  </si>
  <si>
    <t xml:space="preserve">RUN: Grid — win 21% × usage 0.75x</t>
  </si>
  <si>
    <t xml:space="preserve">Overrides: win = 0.21; usage = 0.75</t>
  </si>
  <si>
    <t xml:space="preserve">Grid — win 21% × usage 0.75x — run constants</t>
  </si>
  <si>
    <t xml:space="preserve">RUN: Grid — win 21% × usage 1.0x</t>
  </si>
  <si>
    <t xml:space="preserve">Overrides: win = 0.21; usage = 1.0</t>
  </si>
  <si>
    <t xml:space="preserve">Grid — win 21% × usage 1.0x — run constants</t>
  </si>
  <si>
    <t xml:space="preserve">RUN: Grid — win 21% × usage 1.5x</t>
  </si>
  <si>
    <t xml:space="preserve">Overrides: win = 0.21; usage = 1.5</t>
  </si>
  <si>
    <t xml:space="preserve">Grid — win 21% × usage 1.5x — run constants</t>
  </si>
  <si>
    <t xml:space="preserve">RUN: Grid — win 21% × usage 2.5x</t>
  </si>
  <si>
    <t xml:space="preserve">Overrides: win = 0.21; usage = 2.5</t>
  </si>
  <si>
    <t xml:space="preserve">Grid — win 21% × usage 2.5x — run constants</t>
  </si>
  <si>
    <t xml:space="preserve">RUN: Grid — win 30% × usage 0.75x</t>
  </si>
  <si>
    <t xml:space="preserve">Overrides: win = 0.3; usage = 0.75</t>
  </si>
  <si>
    <t xml:space="preserve">Grid — win 30% × usage 0.75x — run constants</t>
  </si>
  <si>
    <t xml:space="preserve">RUN: Grid — win 30% × usage 1.0x</t>
  </si>
  <si>
    <t xml:space="preserve">Overrides: win = 0.3; usage = 1.0</t>
  </si>
  <si>
    <t xml:space="preserve">Grid — win 30% × usage 1.0x — run constants</t>
  </si>
  <si>
    <t xml:space="preserve">RUN: Grid — win 30% × usage 1.5x</t>
  </si>
  <si>
    <t xml:space="preserve">Overrides: win = 0.3; usage = 1.5</t>
  </si>
  <si>
    <t xml:space="preserve">Grid — win 30% × usage 1.5x — run constants</t>
  </si>
  <si>
    <t xml:space="preserve">RUN: Grid — win 30% × usage 2.5x</t>
  </si>
  <si>
    <t xml:space="preserve">Overrides: win = 0.3; usage = 2.5</t>
  </si>
  <si>
    <t xml:space="preserve">Grid — win 30% × usage 2.5x — run constants</t>
  </si>
  <si>
    <t xml:space="preserve">RUN: Grid — win 40% × usage 0.75x</t>
  </si>
  <si>
    <t xml:space="preserve">Overrides: win = 0.4; usage = 0.75</t>
  </si>
  <si>
    <t xml:space="preserve">Grid — win 40% × usage 0.75x — run constants</t>
  </si>
  <si>
    <t xml:space="preserve">RUN: Grid — win 40% × usage 1.0x</t>
  </si>
  <si>
    <t xml:space="preserve">Overrides: win = 0.4; usage = 1.0</t>
  </si>
  <si>
    <t xml:space="preserve">Grid — win 40% × usage 1.0x — run constants</t>
  </si>
  <si>
    <t xml:space="preserve">RUN: Grid — win 40% × usage 1.5x</t>
  </si>
  <si>
    <t xml:space="preserve">Overrides: win = 0.4; usage = 1.5</t>
  </si>
  <si>
    <t xml:space="preserve">Grid — win 40% × usage 1.5x — run constants</t>
  </si>
  <si>
    <t xml:space="preserve">RUN: Grid — win 40% × usage 2.5x</t>
  </si>
  <si>
    <t xml:space="preserve">Overrides: win = 0.4; usage = 2.5</t>
  </si>
  <si>
    <t xml:space="preserve">Grid — win 40% × usage 2.5x — run constants</t>
  </si>
  <si>
    <t xml:space="preserve">RUN: Sales-led team — Base — AE accounts per quarter = 0</t>
  </si>
  <si>
    <t xml:space="preserve">Overrides: aeacc = 0</t>
  </si>
  <si>
    <t xml:space="preserve">Sales-led team — Base — AE accounts per quarter = 0 — run constants</t>
  </si>
  <si>
    <t xml:space="preserve">RUN: Sales-led team — Base — AE accounts per quarter = 150</t>
  </si>
  <si>
    <t xml:space="preserve">Overrides: aeacc = 150</t>
  </si>
  <si>
    <t xml:space="preserve">Sales-led team — Base — AE accounts per quarter = 150 — run constants</t>
  </si>
  <si>
    <t xml:space="preserve">RUN: Sales-led team — Base — AE accounts per quarter = 300</t>
  </si>
  <si>
    <t xml:space="preserve">Overrides: aeacc = 300</t>
  </si>
  <si>
    <t xml:space="preserve">Sales-led team — Base — AE accounts per quarter = 300 — run constants</t>
  </si>
  <si>
    <t xml:space="preserve">RUN: Sales-led team — Base — AE accounts per quarter = 600</t>
  </si>
  <si>
    <t xml:space="preserve">Overrides: aeacc = 600</t>
  </si>
  <si>
    <t xml:space="preserve">Sales-led team — Base — AE accounts per quarter = 600 — run constants</t>
  </si>
  <si>
    <t xml:space="preserve">Change Log — v1 → v2 (response to the partner review of 2026-10-19)</t>
  </si>
  <si>
    <t xml:space="preserve">Review: review/Partner_Review_2026-10-19.md. v1 workbook and build script archived in appendix/archive/.</t>
  </si>
  <si>
    <t xml:space="preserve">Review issue</t>
  </si>
  <si>
    <t xml:space="preserve">v1 behaviour</t>
  </si>
  <si>
    <t xml:space="preserve">v2 change</t>
  </si>
  <si>
    <t xml:space="preserve">Effect (distribution, Base)</t>
  </si>
  <si>
    <t xml:space="preserve">C2 win mix</t>
  </si>
  <si>
    <t xml:space="preserve">Fixed 50/38/12 SMB/MM/Ent mix: enterprise accounts converted 5.4× SMB</t>
  </si>
  <si>
    <t xml:space="preserve">Mix derived each quarter from active accounts × ICP tilt × band propensity; enterprise cycle 2 quarters</t>
  </si>
  <si>
    <t xml:space="preserve">Average first-year ACV $13.8K → $8.8K</t>
  </si>
  <si>
    <t xml:space="preserve">C1 sales-led</t>
  </si>
  <si>
    <t xml:space="preserve">Demand fixed regardless of motion; extra AEs could only add cost</t>
  </si>
  <si>
    <t xml:space="preserve">Dedicated AEs work extra accounts (meeting-rate multiplier); program spend above $25K/qtr buys MQLs at a CPL with diminishing returns</t>
  </si>
  <si>
    <t xml:space="preserve">v1: sales-led ARR = lean $0.86M. v2: sales-led $0.82M vs lean $0.51M</t>
  </si>
  <si>
    <t xml:space="preserve">C3 valuation</t>
  </si>
  <si>
    <t xml:space="preserve">Undiscounted 'total value'; 35/45/20 weights on joint scenarios; perfect gate; no incrementality</t>
  </si>
  <si>
    <t xml:space="preserve">NPV at 12%; incrementality haircut on gross profit; Monte Carlo with correlated inputs; gate with observation noise</t>
  </si>
  <si>
    <t xml:space="preserve">v1 total value -1.04M → v2 NPV -1.89M</t>
  </si>
  <si>
    <t xml:space="preserve">C4 alternatives</t>
  </si>
  <si>
    <t xml:space="preserve">Only distribution modeled, against zero</t>
  </si>
  <si>
    <t xml:space="preserve">Professional services on the same engine; Option 0 benchmark in every run; solution-play motion added</t>
  </si>
  <si>
    <t xml:space="preserve">See Scenarios and Executive Output</t>
  </si>
  <si>
    <t xml:space="preserve">M2 SAM</t>
  </si>
  <si>
    <t xml:space="preserve">CRM-ready 65% Base; SAM flexed 52–76% across scenarios</t>
  </si>
  <si>
    <t xml:space="preserve">CRM in use 56% (S25, 2026) fixed across scenarios; only performance flexes</t>
  </si>
  <si>
    <t xml:space="preserve">Serviceable accounts no longer flex</t>
  </si>
  <si>
    <t xml:space="preserve">M4 funnel</t>
  </si>
  <si>
    <t xml:space="preserve">Booked meetings run through MQL→SQL and SQL→opp benchmarks; win rate 28%</t>
  </si>
  <si>
    <t xml:space="preserve">Stages: meeting / intro / MQL → opportunity → win; Base win rate 21% (HubSpot average)</t>
  </si>
  <si>
    <t xml:space="preserve">m1 CAC</t>
  </si>
  <si>
    <t xml:space="preserve">Fully loaded only</t>
  </si>
  <si>
    <t xml:space="preserve">Fully loaded and marginal CAC</t>
  </si>
  <si>
    <t xml:space="preserve">m3 fatigue</t>
  </si>
  <si>
    <t xml:space="preserve">Constant meeting rate on re-sequenced accounts</t>
  </si>
  <si>
    <t xml:space="preserve">Meeting rate decays by wave age (75% retention per year, Base)</t>
  </si>
  <si>
    <t xml:space="preserve">De-dup</t>
  </si>
  <si>
    <t xml:space="preserve">0.973 on the 20–49 band for distribution only</t>
  </si>
  <si>
    <t xml:space="preserve">Band-specific factors for both sectors (54: 0.951–0.988); 423 mid bands remain unmeasurable</t>
  </si>
  <si>
    <t xml:space="preserve">Pending</t>
  </si>
  <si>
    <t xml:space="preserve">—</t>
  </si>
  <si>
    <t xml:space="preserve">Scorecard rebuild (06, review C5), sizing refresh (02/03, M1), documents 08/09 and the deck</t>
  </si>
  <si>
    <t xml:space="preserve">Next step</t>
  </si>
  <si>
    <t xml:space="preserve">Sources</t>
  </si>
  <si>
    <t xml:space="preserve">Full register with dates, reliability and limitations: Research_Sources.csv</t>
  </si>
  <si>
    <t xml:space="preserve">Source</t>
  </si>
  <si>
    <t xml:space="preserve">Publisher</t>
  </si>
  <si>
    <t xml:space="preserve">Date / reference</t>
  </si>
  <si>
    <t xml:space="preserve">Used for</t>
  </si>
  <si>
    <t xml:space="preserve">URL</t>
  </si>
  <si>
    <t xml:space="preserve">Clay pricing page (plans, Actions &amp; Data Credits, Enterprise minimums, unlimited seats)</t>
  </si>
  <si>
    <t xml:space="preserve">Clay Labs Inc.</t>
  </si>
  <si>
    <t xml:space="preserve">Live, Oct 2026</t>
  </si>
  <si>
    <t xml:space="preserve">ACV Build</t>
  </si>
  <si>
    <t xml:space="preserve">https://www.clay.com/pricing</t>
  </si>
  <si>
    <t xml:space="preserve">S14</t>
  </si>
  <si>
    <t xml:space="preserve">2022 Economic Census — Employment Size of Firms</t>
  </si>
  <si>
    <t xml:space="preserve">U.S. Census Bureau</t>
  </si>
  <si>
    <t xml:space="preserve">Ref. year 2022</t>
  </si>
  <si>
    <t xml:space="preserve">Firm counts, employees per firm</t>
  </si>
  <si>
    <t xml:space="preserve">https://data.census.gov/table/ECNSIZE2022.EC2200SIZEEMPFIRM</t>
  </si>
  <si>
    <t xml:space="preserve">S15</t>
  </si>
  <si>
    <t xml:space="preserve">OEWS May 2025 industry-specific estimates</t>
  </si>
  <si>
    <t xml:space="preserve">U.S. BLS</t>
  </si>
  <si>
    <t xml:space="preserve">May 2025</t>
  </si>
  <si>
    <t xml:space="preserve">Sales share of employment</t>
  </si>
  <si>
    <t xml:space="preserve">https://data.bls.gov/oes/</t>
  </si>
  <si>
    <t xml:space="preserve">S16</t>
  </si>
  <si>
    <t xml:space="preserve">Clay buyer pricing data</t>
  </si>
  <si>
    <t xml:space="preserve">Vendr</t>
  </si>
  <si>
    <t xml:space="preserve">Feb 2026</t>
  </si>
  <si>
    <t xml:space="preserve">Enterprise discount, ACV check</t>
  </si>
  <si>
    <t xml:space="preserve">https://www.vendr.com/marketplace/clay</t>
  </si>
  <si>
    <t xml:space="preserve">S25</t>
  </si>
  <si>
    <t xml:space="preserve">State of Sales in Distribution 2026 (Phocas), reported by Distribution Strategy Group</t>
  </si>
  <si>
    <t xml:space="preserve">Distribution Strategy Group</t>
  </si>
  <si>
    <t xml:space="preserve">2026</t>
  </si>
  <si>
    <t xml:space="preserve">CRM use 56% (SAM filter 2)</t>
  </si>
  <si>
    <t xml:space="preserve">see Research_Sources.csv</t>
  </si>
  <si>
    <t xml:space="preserve">2025 B2B SaaS Retention Benchmarks</t>
  </si>
  <si>
    <t xml:space="preserve">SaaS Capital</t>
  </si>
  <si>
    <t xml:space="preserve">2025-09</t>
  </si>
  <si>
    <t xml:space="preserve">GRR / NRR; Option 0 core retention</t>
  </si>
  <si>
    <t xml:space="preserve">https://www.saas-capital.com/wp-content/uploads/2025/09/RB32WS1-2025-B2B-SaaS-Retention-Benchmarks.pdf</t>
  </si>
  <si>
    <t xml:space="preserve">2026 AE Models, Motions &amp; Metrics</t>
  </si>
  <si>
    <t xml:space="preserve">The Bridge Group</t>
  </si>
  <si>
    <t xml:space="preserve">2026-06-22</t>
  </si>
  <si>
    <t xml:space="preserve">AE quota, OTE, attainment</t>
  </si>
  <si>
    <t xml:space="preserve">https://www.bridgegroupinc.com/research/2026-ae-models-motions-metrics</t>
  </si>
  <si>
    <t xml:space="preserve">S45</t>
  </si>
  <si>
    <t xml:space="preserve">Employer Costs for Employee Compensation, June 2026</t>
  </si>
  <si>
    <t xml:space="preserve">U.S. BLS (TED)</t>
  </si>
  <si>
    <t xml:space="preserve">2026-09</t>
  </si>
  <si>
    <t xml:space="preserve">Cost loading</t>
  </si>
  <si>
    <t xml:space="preserve">https://www.bls.gov/opub/ted/2026/compensation-costs-for-private-industry-workers-averaged-46-89-per-hour-worked-in-june-2026.htm</t>
  </si>
  <si>
    <t xml:space="preserve">OEWS May 2025 — Software Publishers (513200) wages</t>
  </si>
  <si>
    <t xml:space="preserve">Role wages</t>
  </si>
  <si>
    <t xml:space="preserve">https://data.bls.gov/oes/#/industry/513200/2025</t>
  </si>
  <si>
    <t xml:space="preserve">S47</t>
  </si>
  <si>
    <t xml:space="preserve">CAC payback benchmarks (Maxio, Benchmarkit, MetricHQ compilation)</t>
  </si>
  <si>
    <t xml:space="preserve">SaaS Hero</t>
  </si>
  <si>
    <t xml:space="preserve">Updated 2026-07-18</t>
  </si>
  <si>
    <t xml:space="preserve">Option 0 payback</t>
  </si>
  <si>
    <t xml:space="preserve">https://www.saashero.net/strategy/maxio-cac-benchmarks-b2b-saas/</t>
  </si>
  <si>
    <t xml:space="preserve">S48</t>
  </si>
  <si>
    <t xml:space="preserve">Win rate statistics (HubSpot 2024; Ebsta 2024; Norwest 2025)</t>
  </si>
  <si>
    <t xml:space="preserve">Webtonic (compilation)</t>
  </si>
  <si>
    <t xml:space="preserve">Win rate, cycle</t>
  </si>
  <si>
    <t xml:space="preserve">https://www.webtonic.io/blog/win-rate-statistics</t>
  </si>
  <si>
    <t xml:space="preserve">S49</t>
  </si>
  <si>
    <t xml:space="preserve">Pipeline performance benchmarks 2025</t>
  </si>
  <si>
    <t xml:space="preserve">The Digital Bloom (compilation)</t>
  </si>
  <si>
    <t xml:space="preserve">2025-10-22</t>
  </si>
  <si>
    <t xml:space="preserve">Funnel conversion</t>
  </si>
  <si>
    <t xml:space="preserve">https://thedigitalbloom.com/learn/pipeline-performance-benchmarks-2025/</t>
  </si>
  <si>
    <t xml:space="preserve">What margin should we give partners? (Freshworks, Bessemer)</t>
  </si>
  <si>
    <t xml:space="preserve">Echai Ventures</t>
  </si>
  <si>
    <t xml:space="preserve">Undated</t>
  </si>
  <si>
    <t xml:space="preserve">Partner fees, subsidy</t>
  </si>
  <si>
    <t xml:space="preserve">https://echai.ventures/gtm/gtm-channel-ecosystem/what-margin-should-we-give-partners-and-how-do-we-stop-channel-conflict</t>
  </si>
  <si>
    <t xml:space="preserve">S52</t>
  </si>
  <si>
    <t xml:space="preserve">Clay company profile</t>
  </si>
  <si>
    <t xml:space="preserve">Sacra</t>
  </si>
  <si>
    <t xml:space="preserve">Gross-margin context</t>
  </si>
  <si>
    <t xml:space="preserve">https://sacra.com/c/clay/</t>
  </si>
  <si>
    <t xml:space="preserve">S55</t>
  </si>
  <si>
    <t xml:space="preserve">B2B cost per lead and conversion benchmarks 2025</t>
  </si>
  <si>
    <t xml:space="preserve">The Starr Conspiracy</t>
  </si>
  <si>
    <t xml:space="preserve">2026-05-22</t>
  </si>
  <si>
    <t xml:space="preserve">CPL ($200–350 commonly cited for SaaS)</t>
  </si>
  <si>
    <t xml:space="preserve">https://thestarrconspiracy.com/insights/benchmarks/b2b-cost-per-lead-conversion-benchmarks-2025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</si>
</sst>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\$#,##0;&quot;($&quot;#,##0\);\-"/>
    <numFmt numFmtId="166" formatCode="0.0&quot; mo&quot;;\(0.0&quot; mo)&quot;;\-"/>
    <numFmt numFmtId="167" formatCode="0.0%;\(0.0%\);\-"/>
    <numFmt numFmtId="168" formatCode="\$#,##0,\K"/>
    <numFmt numFmtId="169" formatCode="0%"/>
    <numFmt numFmtId="170" formatCode="#,##0;\(#,##0\);\-"/>
    <numFmt numFmtId="171" formatCode="0.00"/>
    <numFmt numFmtId="172" formatCode="General"/>
    <numFmt numFmtId="173" formatCode="0.000"/>
    <numFmt numFmtId="174" formatCode="#,##0.0;\(#,##0.0\);\-"/>
    <numFmt numFmtId="175" formatCode="0.0"/>
    <numFmt numFmtId="176" formatCode="0.0000"/>
    <numFmt numFmtId="177" formatCode="0.00\x"/>
    <numFmt numFmtId="178" formatCode="0.0\x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A4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8ECF3"/>
        <bgColor rgb="FFFFF2CC"/>
      </patternFill>
    </fill>
    <fill>
      <patternFill patternType="solid">
        <fgColor rgb="FF1F2A44"/>
        <bgColor rgb="FF003366"/>
      </patternFill>
    </fill>
    <fill>
      <patternFill patternType="solid">
        <fgColor rgb="FFFFF2CC"/>
        <bgColor rgb="FFE8ECF3"/>
      </patternFill>
    </fill>
    <fill>
      <patternFill patternType="solid">
        <fgColor rgb="FFC6E0B4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0" fontId="6" fillId="2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5" fontId="7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5" fontId="6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5" fontId="6" fillId="2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1" fontId="6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1" fontId="6" fillId="2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4" fontId="7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4" fontId="6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4" fontId="6" fillId="2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7" fontId="6" fillId="2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3" fontId="7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3" fontId="6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3" fontId="6" fillId="2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8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8CBAD"/>
        </patternFill>
      </fill>
    </dxf>
    <dxf>
      <fill>
        <patternFill>
          <bgColor rgb="FFC6E0B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0AD47"/>
      <rgbColor rgb="FF800080"/>
      <rgbColor rgb="FF4F81BD"/>
      <rgbColor rgb="FFBFBFBF"/>
      <rgbColor rgb="FF878787"/>
      <rgbColor rgb="FF9999FF"/>
      <rgbColor rgb="FFBE4B48"/>
      <rgbColor rgb="FFFFF2CC"/>
      <rgbColor rgb="FFE8EC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BBB59"/>
      <rgbColor rgb="FFFF99CC"/>
      <rgbColor rgb="FFCC99FF"/>
      <rgbColor rgb="FFF8CBAD"/>
      <rgbColor rgb="FF4472C4"/>
      <rgbColor rgb="FF46AAC4"/>
      <rgbColor rgb="FF98B855"/>
      <rgbColor rgb="FFFFC000"/>
      <rgbColor rgb="FFFF9900"/>
      <rgbColor rgb="FFFF6600"/>
      <rgbColor rgb="FF7D5FA0"/>
      <rgbColor rgb="FFA6A6A6"/>
      <rgbColor rgb="FF003366"/>
      <rgbColor rgb="FF4A7EBB"/>
      <rgbColor rgb="FF003300"/>
      <rgbColor rgb="FF333300"/>
      <rgbColor rgb="FF993300"/>
      <rgbColor rgb="FFC0504D"/>
      <rgbColor rgb="FF555555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Distribution: ARR by quarter, 2027–2029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"Lean pilot — Downside"</c:f>
              <c:strCache>
                <c:ptCount val="1"/>
                <c:pt idx="0">
                  <c:v>Lean pilot — Downside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Scenarios!$C$45:$N$45</c:f>
              <c:multiLvlStrCache>
                <c:ptCount val="1"/>
                <c:lvl>
                  <c:pt idx="0">
                    <c:v>Q4 2029</c:v>
                  </c:pt>
                </c:lvl>
                <c:lvl>
                  <c:pt idx="0">
                    <c:v>Q3 2029</c:v>
                  </c:pt>
                </c:lvl>
                <c:lvl>
                  <c:pt idx="0">
                    <c:v>Q2 2029</c:v>
                  </c:pt>
                </c:lvl>
                <c:lvl>
                  <c:pt idx="0">
                    <c:v>Q1 2029</c:v>
                  </c:pt>
                </c:lvl>
                <c:lvl>
                  <c:pt idx="0">
                    <c:v>Q4 2028</c:v>
                  </c:pt>
                </c:lvl>
                <c:lvl>
                  <c:pt idx="0">
                    <c:v>Q3 2028</c:v>
                  </c:pt>
                </c:lvl>
                <c:lvl>
                  <c:pt idx="0">
                    <c:v>Q2 2028</c:v>
                  </c:pt>
                </c:lvl>
                <c:lvl>
                  <c:pt idx="0">
                    <c:v>Q1 2028</c:v>
                  </c:pt>
                </c:lvl>
                <c:lvl>
                  <c:pt idx="0">
                    <c:v>Q4 2027</c:v>
                  </c:pt>
                </c:lvl>
                <c:lvl>
                  <c:pt idx="0">
                    <c:v>Q3 2027</c:v>
                  </c:pt>
                </c:lvl>
                <c:lvl>
                  <c:pt idx="0">
                    <c:v>Q2 2027</c:v>
                  </c:pt>
                </c:lvl>
                <c:lvl>
                  <c:pt idx="0">
                    <c:v>Q1 2027</c:v>
                  </c:pt>
                </c:lvl>
              </c:multiLvlStrCache>
            </c:multiLvlStrRef>
          </c:cat>
          <c:val>
            <c:numRef>
              <c:f>Scenarios!$C$46:$N$46</c:f>
              <c:numCache>
                <c:formatCode>\$#,##0;"($"#,##0\);\-</c:formatCode>
                <c:ptCount val="12"/>
                <c:pt idx="0">
                  <c:v>0</c:v>
                </c:pt>
                <c:pt idx="1">
                  <c:v>1795.40624257169</c:v>
                </c:pt>
                <c:pt idx="2">
                  <c:v>5695.73016836743</c:v>
                </c:pt>
                <c:pt idx="3">
                  <c:v>10546.4948532564</c:v>
                </c:pt>
                <c:pt idx="4">
                  <c:v>16044.1536896732</c:v>
                </c:pt>
                <c:pt idx="5">
                  <c:v>22209.8981354365</c:v>
                </c:pt>
                <c:pt idx="6">
                  <c:v>28367.6844595626</c:v>
                </c:pt>
                <c:pt idx="7">
                  <c:v>35119.0362847356</c:v>
                </c:pt>
                <c:pt idx="8">
                  <c:v>42435.0385728229</c:v>
                </c:pt>
                <c:pt idx="9">
                  <c:v>49546.9448961098</c:v>
                </c:pt>
                <c:pt idx="10">
                  <c:v>56359.659197126</c:v>
                </c:pt>
                <c:pt idx="11">
                  <c:v>62906.1562730314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"Lean pilot — Base"</c:f>
              <c:strCache>
                <c:ptCount val="1"/>
                <c:pt idx="0">
                  <c:v>Lean pilot — Base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Scenarios!$C$45:$N$45</c:f>
              <c:multiLvlStrCache>
                <c:ptCount val="1"/>
                <c:lvl>
                  <c:pt idx="0">
                    <c:v>Q4 2029</c:v>
                  </c:pt>
                </c:lvl>
                <c:lvl>
                  <c:pt idx="0">
                    <c:v>Q3 2029</c:v>
                  </c:pt>
                </c:lvl>
                <c:lvl>
                  <c:pt idx="0">
                    <c:v>Q2 2029</c:v>
                  </c:pt>
                </c:lvl>
                <c:lvl>
                  <c:pt idx="0">
                    <c:v>Q1 2029</c:v>
                  </c:pt>
                </c:lvl>
                <c:lvl>
                  <c:pt idx="0">
                    <c:v>Q4 2028</c:v>
                  </c:pt>
                </c:lvl>
                <c:lvl>
                  <c:pt idx="0">
                    <c:v>Q3 2028</c:v>
                  </c:pt>
                </c:lvl>
                <c:lvl>
                  <c:pt idx="0">
                    <c:v>Q2 2028</c:v>
                  </c:pt>
                </c:lvl>
                <c:lvl>
                  <c:pt idx="0">
                    <c:v>Q1 2028</c:v>
                  </c:pt>
                </c:lvl>
                <c:lvl>
                  <c:pt idx="0">
                    <c:v>Q4 2027</c:v>
                  </c:pt>
                </c:lvl>
                <c:lvl>
                  <c:pt idx="0">
                    <c:v>Q3 2027</c:v>
                  </c:pt>
                </c:lvl>
                <c:lvl>
                  <c:pt idx="0">
                    <c:v>Q2 2027</c:v>
                  </c:pt>
                </c:lvl>
                <c:lvl>
                  <c:pt idx="0">
                    <c:v>Q1 2027</c:v>
                  </c:pt>
                </c:lvl>
              </c:multiLvlStrCache>
            </c:multiLvlStrRef>
          </c:cat>
          <c:val>
            <c:numRef>
              <c:f>Scenarios!$C$47:$N$47</c:f>
              <c:numCache>
                <c:formatCode>\$#,##0;"($"#,##0\);\-</c:formatCode>
                <c:ptCount val="12"/>
                <c:pt idx="0">
                  <c:v>0</c:v>
                </c:pt>
                <c:pt idx="1">
                  <c:v>8876.43319038757</c:v>
                </c:pt>
                <c:pt idx="2">
                  <c:v>28556.8328798949</c:v>
                </c:pt>
                <c:pt idx="3">
                  <c:v>53219.0446912122</c:v>
                </c:pt>
                <c:pt idx="4">
                  <c:v>80661.5284149939</c:v>
                </c:pt>
                <c:pt idx="5">
                  <c:v>114397.200378599</c:v>
                </c:pt>
                <c:pt idx="6">
                  <c:v>155018.116366178</c:v>
                </c:pt>
                <c:pt idx="7">
                  <c:v>210178.596103656</c:v>
                </c:pt>
                <c:pt idx="8">
                  <c:v>281455.503508684</c:v>
                </c:pt>
                <c:pt idx="9">
                  <c:v>357934.868621746</c:v>
                </c:pt>
                <c:pt idx="10">
                  <c:v>434190.644323734</c:v>
                </c:pt>
                <c:pt idx="11">
                  <c:v>509612.726732255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"Lean pilot — Upside"</c:f>
              <c:strCache>
                <c:ptCount val="1"/>
                <c:pt idx="0">
                  <c:v>Lean pilot — Upside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Scenarios!$C$45:$N$45</c:f>
              <c:multiLvlStrCache>
                <c:ptCount val="1"/>
                <c:lvl>
                  <c:pt idx="0">
                    <c:v>Q4 2029</c:v>
                  </c:pt>
                </c:lvl>
                <c:lvl>
                  <c:pt idx="0">
                    <c:v>Q3 2029</c:v>
                  </c:pt>
                </c:lvl>
                <c:lvl>
                  <c:pt idx="0">
                    <c:v>Q2 2029</c:v>
                  </c:pt>
                </c:lvl>
                <c:lvl>
                  <c:pt idx="0">
                    <c:v>Q1 2029</c:v>
                  </c:pt>
                </c:lvl>
                <c:lvl>
                  <c:pt idx="0">
                    <c:v>Q4 2028</c:v>
                  </c:pt>
                </c:lvl>
                <c:lvl>
                  <c:pt idx="0">
                    <c:v>Q3 2028</c:v>
                  </c:pt>
                </c:lvl>
                <c:lvl>
                  <c:pt idx="0">
                    <c:v>Q2 2028</c:v>
                  </c:pt>
                </c:lvl>
                <c:lvl>
                  <c:pt idx="0">
                    <c:v>Q1 2028</c:v>
                  </c:pt>
                </c:lvl>
                <c:lvl>
                  <c:pt idx="0">
                    <c:v>Q4 2027</c:v>
                  </c:pt>
                </c:lvl>
                <c:lvl>
                  <c:pt idx="0">
                    <c:v>Q3 2027</c:v>
                  </c:pt>
                </c:lvl>
                <c:lvl>
                  <c:pt idx="0">
                    <c:v>Q2 2027</c:v>
                  </c:pt>
                </c:lvl>
                <c:lvl>
                  <c:pt idx="0">
                    <c:v>Q1 2027</c:v>
                  </c:pt>
                </c:lvl>
              </c:multiLvlStrCache>
            </c:multiLvlStrRef>
          </c:cat>
          <c:val>
            <c:numRef>
              <c:f>Scenarios!$C$48:$N$48</c:f>
              <c:numCache>
                <c:formatCode>\$#,##0;"($"#,##0\);\-</c:formatCode>
                <c:ptCount val="12"/>
                <c:pt idx="0">
                  <c:v>0</c:v>
                </c:pt>
                <c:pt idx="1">
                  <c:v>36090.5039438446</c:v>
                </c:pt>
                <c:pt idx="2">
                  <c:v>130249.715900034</c:v>
                </c:pt>
                <c:pt idx="3">
                  <c:v>260899.811525988</c:v>
                </c:pt>
                <c:pt idx="4">
                  <c:v>428872.530221052</c:v>
                </c:pt>
                <c:pt idx="5">
                  <c:v>639714.563948626</c:v>
                </c:pt>
                <c:pt idx="6">
                  <c:v>924070.943676515</c:v>
                </c:pt>
                <c:pt idx="7">
                  <c:v>1297120.41898565</c:v>
                </c:pt>
                <c:pt idx="8">
                  <c:v>1708303.67891516</c:v>
                </c:pt>
                <c:pt idx="9">
                  <c:v>2130736.84995223</c:v>
                </c:pt>
                <c:pt idx="10">
                  <c:v>2565375.40807015</c:v>
                </c:pt>
                <c:pt idx="11">
                  <c:v>3013219.53633262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"Sales-led team — Base"</c:f>
              <c:strCache>
                <c:ptCount val="1"/>
                <c:pt idx="0">
                  <c:v>Sales-led team — Base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Scenarios!$C$45:$N$45</c:f>
              <c:multiLvlStrCache>
                <c:ptCount val="1"/>
                <c:lvl>
                  <c:pt idx="0">
                    <c:v>Q4 2029</c:v>
                  </c:pt>
                </c:lvl>
                <c:lvl>
                  <c:pt idx="0">
                    <c:v>Q3 2029</c:v>
                  </c:pt>
                </c:lvl>
                <c:lvl>
                  <c:pt idx="0">
                    <c:v>Q2 2029</c:v>
                  </c:pt>
                </c:lvl>
                <c:lvl>
                  <c:pt idx="0">
                    <c:v>Q1 2029</c:v>
                  </c:pt>
                </c:lvl>
                <c:lvl>
                  <c:pt idx="0">
                    <c:v>Q4 2028</c:v>
                  </c:pt>
                </c:lvl>
                <c:lvl>
                  <c:pt idx="0">
                    <c:v>Q3 2028</c:v>
                  </c:pt>
                </c:lvl>
                <c:lvl>
                  <c:pt idx="0">
                    <c:v>Q2 2028</c:v>
                  </c:pt>
                </c:lvl>
                <c:lvl>
                  <c:pt idx="0">
                    <c:v>Q1 2028</c:v>
                  </c:pt>
                </c:lvl>
                <c:lvl>
                  <c:pt idx="0">
                    <c:v>Q4 2027</c:v>
                  </c:pt>
                </c:lvl>
                <c:lvl>
                  <c:pt idx="0">
                    <c:v>Q3 2027</c:v>
                  </c:pt>
                </c:lvl>
                <c:lvl>
                  <c:pt idx="0">
                    <c:v>Q2 2027</c:v>
                  </c:pt>
                </c:lvl>
                <c:lvl>
                  <c:pt idx="0">
                    <c:v>Q1 2027</c:v>
                  </c:pt>
                </c:lvl>
              </c:multiLvlStrCache>
            </c:multiLvlStrRef>
          </c:cat>
          <c:val>
            <c:numRef>
              <c:f>Scenarios!$C$49:$N$49</c:f>
              <c:numCache>
                <c:formatCode>\$#,##0;"($"#,##0\);\-</c:formatCode>
                <c:ptCount val="12"/>
                <c:pt idx="0">
                  <c:v>0</c:v>
                </c:pt>
                <c:pt idx="1">
                  <c:v>12457.995003187</c:v>
                </c:pt>
                <c:pt idx="2">
                  <c:v>44041.686003686</c:v>
                </c:pt>
                <c:pt idx="3">
                  <c:v>86916.3691817893</c:v>
                </c:pt>
                <c:pt idx="4">
                  <c:v>135340.74430879</c:v>
                </c:pt>
                <c:pt idx="5">
                  <c:v>194186.651800538</c:v>
                </c:pt>
                <c:pt idx="6">
                  <c:v>263847.38791525</c:v>
                </c:pt>
                <c:pt idx="7">
                  <c:v>354092.013499653</c:v>
                </c:pt>
                <c:pt idx="8">
                  <c:v>465005.559417863</c:v>
                </c:pt>
                <c:pt idx="9">
                  <c:v>582893.895766009</c:v>
                </c:pt>
                <c:pt idx="10">
                  <c:v>701714.996157534</c:v>
                </c:pt>
                <c:pt idx="11">
                  <c:v>820721.594513904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"Solution play — Base"</c:f>
              <c:strCache>
                <c:ptCount val="1"/>
                <c:pt idx="0">
                  <c:v>Solution play — Base</c:v>
                </c:pt>
              </c:strCache>
            </c:strRef>
          </c:tx>
          <c:spPr>
            <a:solidFill>
              <a:srgbClr val="46aac4"/>
            </a:solidFill>
            <a:ln w="2844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Scenarios!$C$45:$N$45</c:f>
              <c:multiLvlStrCache>
                <c:ptCount val="1"/>
                <c:lvl>
                  <c:pt idx="0">
                    <c:v>Q4 2029</c:v>
                  </c:pt>
                </c:lvl>
                <c:lvl>
                  <c:pt idx="0">
                    <c:v>Q3 2029</c:v>
                  </c:pt>
                </c:lvl>
                <c:lvl>
                  <c:pt idx="0">
                    <c:v>Q2 2029</c:v>
                  </c:pt>
                </c:lvl>
                <c:lvl>
                  <c:pt idx="0">
                    <c:v>Q1 2029</c:v>
                  </c:pt>
                </c:lvl>
                <c:lvl>
                  <c:pt idx="0">
                    <c:v>Q4 2028</c:v>
                  </c:pt>
                </c:lvl>
                <c:lvl>
                  <c:pt idx="0">
                    <c:v>Q3 2028</c:v>
                  </c:pt>
                </c:lvl>
                <c:lvl>
                  <c:pt idx="0">
                    <c:v>Q2 2028</c:v>
                  </c:pt>
                </c:lvl>
                <c:lvl>
                  <c:pt idx="0">
                    <c:v>Q1 2028</c:v>
                  </c:pt>
                </c:lvl>
                <c:lvl>
                  <c:pt idx="0">
                    <c:v>Q4 2027</c:v>
                  </c:pt>
                </c:lvl>
                <c:lvl>
                  <c:pt idx="0">
                    <c:v>Q3 2027</c:v>
                  </c:pt>
                </c:lvl>
                <c:lvl>
                  <c:pt idx="0">
                    <c:v>Q2 2027</c:v>
                  </c:pt>
                </c:lvl>
                <c:lvl>
                  <c:pt idx="0">
                    <c:v>Q1 2027</c:v>
                  </c:pt>
                </c:lvl>
              </c:multiLvlStrCache>
            </c:multiLvlStrRef>
          </c:cat>
          <c:val>
            <c:numRef>
              <c:f>Scenarios!$C$50:$N$50</c:f>
              <c:numCache>
                <c:formatCode>\$#,##0;"($"#,##0\);\-</c:formatCode>
                <c:ptCount val="12"/>
                <c:pt idx="0">
                  <c:v>0</c:v>
                </c:pt>
                <c:pt idx="1">
                  <c:v>4318.22312460352</c:v>
                </c:pt>
                <c:pt idx="2">
                  <c:v>13858.0704928493</c:v>
                </c:pt>
                <c:pt idx="3">
                  <c:v>25825.4884858417</c:v>
                </c:pt>
                <c:pt idx="4">
                  <c:v>39177.0148504212</c:v>
                </c:pt>
                <c:pt idx="5">
                  <c:v>55583.8202023846</c:v>
                </c:pt>
                <c:pt idx="6">
                  <c:v>75310.9520859215</c:v>
                </c:pt>
                <c:pt idx="7">
                  <c:v>101992.4586488</c:v>
                </c:pt>
                <c:pt idx="8">
                  <c:v>136345.611335541</c:v>
                </c:pt>
                <c:pt idx="9">
                  <c:v>173184.419965394</c:v>
                </c:pt>
                <c:pt idx="10">
                  <c:v>209890.006668174</c:v>
                </c:pt>
                <c:pt idx="11">
                  <c:v>246156.696716439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5381381"/>
        <c:axId val="55837432"/>
      </c:lineChart>
      <c:catAx>
        <c:axId val="8538138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837432"/>
        <c:crosses val="autoZero"/>
        <c:auto val="1"/>
        <c:lblAlgn val="ctr"/>
        <c:lblOffset val="100"/>
        <c:noMultiLvlLbl val="0"/>
      </c:catAx>
      <c:valAx>
        <c:axId val="558374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38138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Simulated NPV, distribution (share of draws)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'Monte Carlo'!B57</c:f>
              <c:strCache>
                <c:ptCount val="1"/>
                <c:pt idx="0">
                  <c:v>Lean pilot, staged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'Monte Carlo'!$A$58:$A$92</c:f>
              <c:strCache>
                <c:ptCount val="35"/>
                <c:pt idx="0">
                  <c:v>-$6,500K</c:v>
                </c:pt>
                <c:pt idx="1">
                  <c:v>-$6,250K</c:v>
                </c:pt>
                <c:pt idx="2">
                  <c:v>-$6,000K</c:v>
                </c:pt>
                <c:pt idx="3">
                  <c:v>-$5,750K</c:v>
                </c:pt>
                <c:pt idx="4">
                  <c:v>-$5,500K</c:v>
                </c:pt>
                <c:pt idx="5">
                  <c:v>-$5,250K</c:v>
                </c:pt>
                <c:pt idx="6">
                  <c:v>-$5,000K</c:v>
                </c:pt>
                <c:pt idx="7">
                  <c:v>-$4,750K</c:v>
                </c:pt>
                <c:pt idx="8">
                  <c:v>-$4,500K</c:v>
                </c:pt>
                <c:pt idx="9">
                  <c:v>-$4,250K</c:v>
                </c:pt>
                <c:pt idx="10">
                  <c:v>-$4,000K</c:v>
                </c:pt>
                <c:pt idx="11">
                  <c:v>-$3,750K</c:v>
                </c:pt>
                <c:pt idx="12">
                  <c:v>-$3,500K</c:v>
                </c:pt>
                <c:pt idx="13">
                  <c:v>-$3,250K</c:v>
                </c:pt>
                <c:pt idx="14">
                  <c:v>-$3,000K</c:v>
                </c:pt>
                <c:pt idx="15">
                  <c:v>-$2,750K</c:v>
                </c:pt>
                <c:pt idx="16">
                  <c:v>-$2,500K</c:v>
                </c:pt>
                <c:pt idx="17">
                  <c:v>-$2,250K</c:v>
                </c:pt>
                <c:pt idx="18">
                  <c:v>-$2,000K</c:v>
                </c:pt>
                <c:pt idx="19">
                  <c:v>-$1,750K</c:v>
                </c:pt>
                <c:pt idx="20">
                  <c:v>-$1,500K</c:v>
                </c:pt>
                <c:pt idx="21">
                  <c:v>-$1,250K</c:v>
                </c:pt>
                <c:pt idx="22">
                  <c:v>-$1,000K</c:v>
                </c:pt>
                <c:pt idx="23">
                  <c:v>-$750K</c:v>
                </c:pt>
                <c:pt idx="24">
                  <c:v>-$500K</c:v>
                </c:pt>
                <c:pt idx="25">
                  <c:v>-$250K</c:v>
                </c:pt>
                <c:pt idx="26">
                  <c:v>$0K</c:v>
                </c:pt>
                <c:pt idx="27">
                  <c:v>$250K</c:v>
                </c:pt>
                <c:pt idx="28">
                  <c:v>$500K</c:v>
                </c:pt>
                <c:pt idx="29">
                  <c:v>$750K</c:v>
                </c:pt>
                <c:pt idx="30">
                  <c:v>$1,000K</c:v>
                </c:pt>
                <c:pt idx="31">
                  <c:v>$1,250K</c:v>
                </c:pt>
                <c:pt idx="32">
                  <c:v>$1,500K</c:v>
                </c:pt>
                <c:pt idx="33">
                  <c:v>$1,750K</c:v>
                </c:pt>
                <c:pt idx="34">
                  <c:v>$2,000K</c:v>
                </c:pt>
              </c:strCache>
            </c:strRef>
          </c:cat>
          <c:val>
            <c:numRef>
              <c:f>'Monte Carlo'!$B$58:$B$92</c:f>
              <c:numCache>
                <c:formatCode>0.0%;\(0.0%\);\-</c:formatCode>
                <c:ptCount val="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0.0014</c:v>
                </c:pt>
                <c:pt idx="16">
                  <c:v>0.0022</c:v>
                </c:pt>
                <c:pt idx="17">
                  <c:v>0.0716</c:v>
                </c:pt>
                <c:pt idx="18">
                  <c:v>0.3646</c:v>
                </c:pt>
                <c:pt idx="19">
                  <c:v>0.163</c:v>
                </c:pt>
                <c:pt idx="20">
                  <c:v>0.047</c:v>
                </c:pt>
                <c:pt idx="21">
                  <c:v>0.0106</c:v>
                </c:pt>
                <c:pt idx="22">
                  <c:v>0.3382</c:v>
                </c:pt>
                <c:pt idx="23">
                  <c:v>0.0014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</c:ser>
        <c:ser>
          <c:idx val="1"/>
          <c:order val="1"/>
          <c:tx>
            <c:strRef>
              <c:f>'Monte Carlo'!C57</c:f>
              <c:strCache>
                <c:ptCount val="1"/>
                <c:pt idx="0">
                  <c:v>Sales-led team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'Monte Carlo'!$A$58:$A$92</c:f>
              <c:strCache>
                <c:ptCount val="35"/>
                <c:pt idx="0">
                  <c:v>-$6,500K</c:v>
                </c:pt>
                <c:pt idx="1">
                  <c:v>-$6,250K</c:v>
                </c:pt>
                <c:pt idx="2">
                  <c:v>-$6,000K</c:v>
                </c:pt>
                <c:pt idx="3">
                  <c:v>-$5,750K</c:v>
                </c:pt>
                <c:pt idx="4">
                  <c:v>-$5,500K</c:v>
                </c:pt>
                <c:pt idx="5">
                  <c:v>-$5,250K</c:v>
                </c:pt>
                <c:pt idx="6">
                  <c:v>-$5,000K</c:v>
                </c:pt>
                <c:pt idx="7">
                  <c:v>-$4,750K</c:v>
                </c:pt>
                <c:pt idx="8">
                  <c:v>-$4,500K</c:v>
                </c:pt>
                <c:pt idx="9">
                  <c:v>-$4,250K</c:v>
                </c:pt>
                <c:pt idx="10">
                  <c:v>-$4,000K</c:v>
                </c:pt>
                <c:pt idx="11">
                  <c:v>-$3,750K</c:v>
                </c:pt>
                <c:pt idx="12">
                  <c:v>-$3,500K</c:v>
                </c:pt>
                <c:pt idx="13">
                  <c:v>-$3,250K</c:v>
                </c:pt>
                <c:pt idx="14">
                  <c:v>-$3,000K</c:v>
                </c:pt>
                <c:pt idx="15">
                  <c:v>-$2,750K</c:v>
                </c:pt>
                <c:pt idx="16">
                  <c:v>-$2,500K</c:v>
                </c:pt>
                <c:pt idx="17">
                  <c:v>-$2,250K</c:v>
                </c:pt>
                <c:pt idx="18">
                  <c:v>-$2,000K</c:v>
                </c:pt>
                <c:pt idx="19">
                  <c:v>-$1,750K</c:v>
                </c:pt>
                <c:pt idx="20">
                  <c:v>-$1,500K</c:v>
                </c:pt>
                <c:pt idx="21">
                  <c:v>-$1,250K</c:v>
                </c:pt>
                <c:pt idx="22">
                  <c:v>-$1,000K</c:v>
                </c:pt>
                <c:pt idx="23">
                  <c:v>-$750K</c:v>
                </c:pt>
                <c:pt idx="24">
                  <c:v>-$500K</c:v>
                </c:pt>
                <c:pt idx="25">
                  <c:v>-$250K</c:v>
                </c:pt>
                <c:pt idx="26">
                  <c:v>$0K</c:v>
                </c:pt>
                <c:pt idx="27">
                  <c:v>$250K</c:v>
                </c:pt>
                <c:pt idx="28">
                  <c:v>$500K</c:v>
                </c:pt>
                <c:pt idx="29">
                  <c:v>$750K</c:v>
                </c:pt>
                <c:pt idx="30">
                  <c:v>$1,000K</c:v>
                </c:pt>
                <c:pt idx="31">
                  <c:v>$1,250K</c:v>
                </c:pt>
                <c:pt idx="32">
                  <c:v>$1,500K</c:v>
                </c:pt>
                <c:pt idx="33">
                  <c:v>$1,750K</c:v>
                </c:pt>
                <c:pt idx="34">
                  <c:v>$2,000K</c:v>
                </c:pt>
              </c:strCache>
            </c:strRef>
          </c:cat>
          <c:val>
            <c:numRef>
              <c:f>'Monte Carlo'!$C$58:$C$92</c:f>
              <c:numCache>
                <c:formatCode>0.0%;\(0.0%\);\-</c:formatCode>
                <c:ptCount val="35"/>
                <c:pt idx="0">
                  <c:v>0</c:v>
                </c:pt>
                <c:pt idx="1">
                  <c:v>0</c:v>
                </c:pt>
                <c:pt idx="2">
                  <c:v>0.0908</c:v>
                </c:pt>
                <c:pt idx="3">
                  <c:v>0.2934</c:v>
                </c:pt>
                <c:pt idx="4">
                  <c:v>0.265</c:v>
                </c:pt>
                <c:pt idx="5">
                  <c:v>0.166</c:v>
                </c:pt>
                <c:pt idx="6">
                  <c:v>0.0914</c:v>
                </c:pt>
                <c:pt idx="7">
                  <c:v>0.0462</c:v>
                </c:pt>
                <c:pt idx="8">
                  <c:v>0.025</c:v>
                </c:pt>
                <c:pt idx="9">
                  <c:v>0.0132</c:v>
                </c:pt>
                <c:pt idx="10">
                  <c:v>0.006</c:v>
                </c:pt>
                <c:pt idx="11">
                  <c:v>0.0016</c:v>
                </c:pt>
                <c:pt idx="12">
                  <c:v>0.0012</c:v>
                </c:pt>
                <c:pt idx="13">
                  <c:v>0.0002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</c:ser>
        <c:ser>
          <c:idx val="2"/>
          <c:order val="2"/>
          <c:tx>
            <c:strRef>
              <c:f>'Monte Carlo'!D57</c:f>
              <c:strCache>
                <c:ptCount val="1"/>
                <c:pt idx="0">
                  <c:v>Solution play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'Monte Carlo'!$A$58:$A$92</c:f>
              <c:strCache>
                <c:ptCount val="35"/>
                <c:pt idx="0">
                  <c:v>-$6,500K</c:v>
                </c:pt>
                <c:pt idx="1">
                  <c:v>-$6,250K</c:v>
                </c:pt>
                <c:pt idx="2">
                  <c:v>-$6,000K</c:v>
                </c:pt>
                <c:pt idx="3">
                  <c:v>-$5,750K</c:v>
                </c:pt>
                <c:pt idx="4">
                  <c:v>-$5,500K</c:v>
                </c:pt>
                <c:pt idx="5">
                  <c:v>-$5,250K</c:v>
                </c:pt>
                <c:pt idx="6">
                  <c:v>-$5,000K</c:v>
                </c:pt>
                <c:pt idx="7">
                  <c:v>-$4,750K</c:v>
                </c:pt>
                <c:pt idx="8">
                  <c:v>-$4,500K</c:v>
                </c:pt>
                <c:pt idx="9">
                  <c:v>-$4,250K</c:v>
                </c:pt>
                <c:pt idx="10">
                  <c:v>-$4,000K</c:v>
                </c:pt>
                <c:pt idx="11">
                  <c:v>-$3,750K</c:v>
                </c:pt>
                <c:pt idx="12">
                  <c:v>-$3,500K</c:v>
                </c:pt>
                <c:pt idx="13">
                  <c:v>-$3,250K</c:v>
                </c:pt>
                <c:pt idx="14">
                  <c:v>-$3,000K</c:v>
                </c:pt>
                <c:pt idx="15">
                  <c:v>-$2,750K</c:v>
                </c:pt>
                <c:pt idx="16">
                  <c:v>-$2,500K</c:v>
                </c:pt>
                <c:pt idx="17">
                  <c:v>-$2,250K</c:v>
                </c:pt>
                <c:pt idx="18">
                  <c:v>-$2,000K</c:v>
                </c:pt>
                <c:pt idx="19">
                  <c:v>-$1,750K</c:v>
                </c:pt>
                <c:pt idx="20">
                  <c:v>-$1,500K</c:v>
                </c:pt>
                <c:pt idx="21">
                  <c:v>-$1,250K</c:v>
                </c:pt>
                <c:pt idx="22">
                  <c:v>-$1,000K</c:v>
                </c:pt>
                <c:pt idx="23">
                  <c:v>-$750K</c:v>
                </c:pt>
                <c:pt idx="24">
                  <c:v>-$500K</c:v>
                </c:pt>
                <c:pt idx="25">
                  <c:v>-$250K</c:v>
                </c:pt>
                <c:pt idx="26">
                  <c:v>$0K</c:v>
                </c:pt>
                <c:pt idx="27">
                  <c:v>$250K</c:v>
                </c:pt>
                <c:pt idx="28">
                  <c:v>$500K</c:v>
                </c:pt>
                <c:pt idx="29">
                  <c:v>$750K</c:v>
                </c:pt>
                <c:pt idx="30">
                  <c:v>$1,000K</c:v>
                </c:pt>
                <c:pt idx="31">
                  <c:v>$1,250K</c:v>
                </c:pt>
                <c:pt idx="32">
                  <c:v>$1,500K</c:v>
                </c:pt>
                <c:pt idx="33">
                  <c:v>$1,750K</c:v>
                </c:pt>
                <c:pt idx="34">
                  <c:v>$2,000K</c:v>
                </c:pt>
              </c:strCache>
            </c:strRef>
          </c:cat>
          <c:val>
            <c:numRef>
              <c:f>'Monte Carlo'!$D$58:$D$92</c:f>
              <c:numCache>
                <c:formatCode>0.0%;\(0.0%\);\-</c:formatCode>
                <c:ptCount val="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0.6474</c:v>
                </c:pt>
                <c:pt idx="24">
                  <c:v>0.335</c:v>
                </c:pt>
                <c:pt idx="25">
                  <c:v>0.0174</c:v>
                </c:pt>
                <c:pt idx="26">
                  <c:v>0.0002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</c:ser>
        <c:gapWidth val="150"/>
        <c:overlap val="0"/>
        <c:axId val="53400735"/>
        <c:axId val="51623417"/>
      </c:barChart>
      <c:catAx>
        <c:axId val="53400735"/>
        <c:scaling>
          <c:orientation val="minMax"/>
        </c:scaling>
        <c:delete val="0"/>
        <c:axPos val="b"/>
        <c:numFmt formatCode="\$#,##0,\K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623417"/>
        <c:crosses val="autoZero"/>
        <c:auto val="1"/>
        <c:lblAlgn val="ctr"/>
        <c:lblOffset val="100"/>
        <c:noMultiLvlLbl val="0"/>
      </c:catAx>
      <c:valAx>
        <c:axId val="516234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40073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Swing in NPV (one input, low ↔ high)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Sensitivity!F4</c:f>
              <c:strCache>
                <c:ptCount val="1"/>
                <c:pt idx="0">
                  <c:v>Swing (NPV)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Sensitivity!$A$5:$A$22</c:f>
              <c:strCache>
                <c:ptCount val="18"/>
                <c:pt idx="0">
                  <c:v>Automated outbound coverage</c:v>
                </c:pt>
                <c:pt idx="1">
                  <c:v>Meeting rate</c:v>
                </c:pt>
                <c:pt idx="2">
                  <c:v>Outbound fatigue</c:v>
                </c:pt>
                <c:pt idx="3">
                  <c:v>Inbound MQL rate</c:v>
                </c:pt>
                <c:pt idx="4">
                  <c:v>Partner network (start, adds, cap, intros)</c:v>
                </c:pt>
                <c:pt idx="5">
                  <c:v>Funnel conversion (meeting / intro / MQL → opp)</c:v>
                </c:pt>
                <c:pt idx="6">
                  <c:v>Win rate</c:v>
                </c:pt>
                <c:pt idx="7">
                  <c:v>Enterprise propensity (mix)</c:v>
                </c:pt>
                <c:pt idx="8">
                  <c:v>ICP tilt to Mid-Market / Enterprise (1× ↔ 3×)</c:v>
                </c:pt>
                <c:pt idx="9">
                  <c:v>Usage intensity (ACV)</c:v>
                </c:pt>
                <c:pt idx="10">
                  <c:v>Gross revenue retention</c:v>
                </c:pt>
                <c:pt idx="11">
                  <c:v>Net revenue retention</c:v>
                </c:pt>
                <c:pt idx="12">
                  <c:v>Gross margin</c:v>
                </c:pt>
                <c:pt idx="13">
                  <c:v>Wave timing</c:v>
                </c:pt>
                <c:pt idx="14">
                  <c:v>Partner fee and onboarding subsidy</c:v>
                </c:pt>
                <c:pt idx="15">
                  <c:v>Self-serve share of SMB</c:v>
                </c:pt>
                <c:pt idx="16">
                  <c:v>Incrementality haircut</c:v>
                </c:pt>
                <c:pt idx="17">
                  <c:v>Discount rate (15% ↔ 8%)</c:v>
                </c:pt>
              </c:strCache>
            </c:strRef>
          </c:cat>
          <c:val>
            <c:numRef>
              <c:f>Sensitivity!$F$5:$F$22</c:f>
              <c:numCache>
                <c:formatCode>\$#,##0;"($"#,##0\);\-</c:formatCode>
                <c:ptCount val="18"/>
                <c:pt idx="0">
                  <c:v>63571.0183007661</c:v>
                </c:pt>
                <c:pt idx="1">
                  <c:v>105952.904557141</c:v>
                </c:pt>
                <c:pt idx="2">
                  <c:v>28259.5017274162</c:v>
                </c:pt>
                <c:pt idx="3">
                  <c:v>52094.2446290946</c:v>
                </c:pt>
                <c:pt idx="4">
                  <c:v>55788.300232783</c:v>
                </c:pt>
                <c:pt idx="5">
                  <c:v>145458.983885927</c:v>
                </c:pt>
                <c:pt idx="6">
                  <c:v>204485.223180866</c:v>
                </c:pt>
                <c:pt idx="7">
                  <c:v>62891.9206850841</c:v>
                </c:pt>
                <c:pt idx="8">
                  <c:v>29636.9905534582</c:v>
                </c:pt>
                <c:pt idx="9">
                  <c:v>227149.342576513</c:v>
                </c:pt>
                <c:pt idx="10">
                  <c:v>61144.4956742609</c:v>
                </c:pt>
                <c:pt idx="11">
                  <c:v>101456.872008502</c:v>
                </c:pt>
                <c:pt idx="12">
                  <c:v>192344.87226589</c:v>
                </c:pt>
                <c:pt idx="13">
                  <c:v>54008.4146322559</c:v>
                </c:pt>
                <c:pt idx="14">
                  <c:v>39231.1568083316</c:v>
                </c:pt>
                <c:pt idx="15">
                  <c:v>17702.9525316837</c:v>
                </c:pt>
                <c:pt idx="16">
                  <c:v>147395.367353136</c:v>
                </c:pt>
                <c:pt idx="17">
                  <c:v>82707.9525908129</c:v>
                </c:pt>
              </c:numCache>
            </c:numRef>
          </c:val>
        </c:ser>
        <c:gapWidth val="150"/>
        <c:overlap val="0"/>
        <c:axId val="48678223"/>
        <c:axId val="31862818"/>
      </c:barChart>
      <c:catAx>
        <c:axId val="48678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862818"/>
        <c:crosses val="autoZero"/>
        <c:auto val="1"/>
        <c:lblAlgn val="ctr"/>
        <c:lblOffset val="100"/>
        <c:noMultiLvlLbl val="0"/>
      </c:catAx>
      <c:valAx>
        <c:axId val="318628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67822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Simulated NPV, distribution segment (5,000 draws)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'Monte Carlo'!B57</c:f>
              <c:strCache>
                <c:ptCount val="1"/>
                <c:pt idx="0">
                  <c:v>Lean pilot, staged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'Monte Carlo'!$A$58:$A$92</c:f>
              <c:strCache>
                <c:ptCount val="35"/>
                <c:pt idx="0">
                  <c:v>-$6,500K</c:v>
                </c:pt>
                <c:pt idx="1">
                  <c:v>-$6,250K</c:v>
                </c:pt>
                <c:pt idx="2">
                  <c:v>-$6,000K</c:v>
                </c:pt>
                <c:pt idx="3">
                  <c:v>-$5,750K</c:v>
                </c:pt>
                <c:pt idx="4">
                  <c:v>-$5,500K</c:v>
                </c:pt>
                <c:pt idx="5">
                  <c:v>-$5,250K</c:v>
                </c:pt>
                <c:pt idx="6">
                  <c:v>-$5,000K</c:v>
                </c:pt>
                <c:pt idx="7">
                  <c:v>-$4,750K</c:v>
                </c:pt>
                <c:pt idx="8">
                  <c:v>-$4,500K</c:v>
                </c:pt>
                <c:pt idx="9">
                  <c:v>-$4,250K</c:v>
                </c:pt>
                <c:pt idx="10">
                  <c:v>-$4,000K</c:v>
                </c:pt>
                <c:pt idx="11">
                  <c:v>-$3,750K</c:v>
                </c:pt>
                <c:pt idx="12">
                  <c:v>-$3,500K</c:v>
                </c:pt>
                <c:pt idx="13">
                  <c:v>-$3,250K</c:v>
                </c:pt>
                <c:pt idx="14">
                  <c:v>-$3,000K</c:v>
                </c:pt>
                <c:pt idx="15">
                  <c:v>-$2,750K</c:v>
                </c:pt>
                <c:pt idx="16">
                  <c:v>-$2,500K</c:v>
                </c:pt>
                <c:pt idx="17">
                  <c:v>-$2,250K</c:v>
                </c:pt>
                <c:pt idx="18">
                  <c:v>-$2,000K</c:v>
                </c:pt>
                <c:pt idx="19">
                  <c:v>-$1,750K</c:v>
                </c:pt>
                <c:pt idx="20">
                  <c:v>-$1,500K</c:v>
                </c:pt>
                <c:pt idx="21">
                  <c:v>-$1,250K</c:v>
                </c:pt>
                <c:pt idx="22">
                  <c:v>-$1,000K</c:v>
                </c:pt>
                <c:pt idx="23">
                  <c:v>-$750K</c:v>
                </c:pt>
                <c:pt idx="24">
                  <c:v>-$500K</c:v>
                </c:pt>
                <c:pt idx="25">
                  <c:v>-$250K</c:v>
                </c:pt>
                <c:pt idx="26">
                  <c:v>$0K</c:v>
                </c:pt>
                <c:pt idx="27">
                  <c:v>$250K</c:v>
                </c:pt>
                <c:pt idx="28">
                  <c:v>$500K</c:v>
                </c:pt>
                <c:pt idx="29">
                  <c:v>$750K</c:v>
                </c:pt>
                <c:pt idx="30">
                  <c:v>$1,000K</c:v>
                </c:pt>
                <c:pt idx="31">
                  <c:v>$1,250K</c:v>
                </c:pt>
                <c:pt idx="32">
                  <c:v>$1,500K</c:v>
                </c:pt>
                <c:pt idx="33">
                  <c:v>$1,750K</c:v>
                </c:pt>
                <c:pt idx="34">
                  <c:v>$2,000K</c:v>
                </c:pt>
              </c:strCache>
            </c:strRef>
          </c:cat>
          <c:val>
            <c:numRef>
              <c:f>'Monte Carlo'!$B$58:$B$92</c:f>
              <c:numCache>
                <c:formatCode>0.0%;\(0.0%\);\-</c:formatCode>
                <c:ptCount val="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0.0014</c:v>
                </c:pt>
                <c:pt idx="16">
                  <c:v>0.0022</c:v>
                </c:pt>
                <c:pt idx="17">
                  <c:v>0.0716</c:v>
                </c:pt>
                <c:pt idx="18">
                  <c:v>0.3646</c:v>
                </c:pt>
                <c:pt idx="19">
                  <c:v>0.163</c:v>
                </c:pt>
                <c:pt idx="20">
                  <c:v>0.047</c:v>
                </c:pt>
                <c:pt idx="21">
                  <c:v>0.0106</c:v>
                </c:pt>
                <c:pt idx="22">
                  <c:v>0.3382</c:v>
                </c:pt>
                <c:pt idx="23">
                  <c:v>0.0014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</c:ser>
        <c:ser>
          <c:idx val="1"/>
          <c:order val="1"/>
          <c:tx>
            <c:strRef>
              <c:f>'Monte Carlo'!C57</c:f>
              <c:strCache>
                <c:ptCount val="1"/>
                <c:pt idx="0">
                  <c:v>Sales-led team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'Monte Carlo'!$A$58:$A$92</c:f>
              <c:strCache>
                <c:ptCount val="35"/>
                <c:pt idx="0">
                  <c:v>-$6,500K</c:v>
                </c:pt>
                <c:pt idx="1">
                  <c:v>-$6,250K</c:v>
                </c:pt>
                <c:pt idx="2">
                  <c:v>-$6,000K</c:v>
                </c:pt>
                <c:pt idx="3">
                  <c:v>-$5,750K</c:v>
                </c:pt>
                <c:pt idx="4">
                  <c:v>-$5,500K</c:v>
                </c:pt>
                <c:pt idx="5">
                  <c:v>-$5,250K</c:v>
                </c:pt>
                <c:pt idx="6">
                  <c:v>-$5,000K</c:v>
                </c:pt>
                <c:pt idx="7">
                  <c:v>-$4,750K</c:v>
                </c:pt>
                <c:pt idx="8">
                  <c:v>-$4,500K</c:v>
                </c:pt>
                <c:pt idx="9">
                  <c:v>-$4,250K</c:v>
                </c:pt>
                <c:pt idx="10">
                  <c:v>-$4,000K</c:v>
                </c:pt>
                <c:pt idx="11">
                  <c:v>-$3,750K</c:v>
                </c:pt>
                <c:pt idx="12">
                  <c:v>-$3,500K</c:v>
                </c:pt>
                <c:pt idx="13">
                  <c:v>-$3,250K</c:v>
                </c:pt>
                <c:pt idx="14">
                  <c:v>-$3,000K</c:v>
                </c:pt>
                <c:pt idx="15">
                  <c:v>-$2,750K</c:v>
                </c:pt>
                <c:pt idx="16">
                  <c:v>-$2,500K</c:v>
                </c:pt>
                <c:pt idx="17">
                  <c:v>-$2,250K</c:v>
                </c:pt>
                <c:pt idx="18">
                  <c:v>-$2,000K</c:v>
                </c:pt>
                <c:pt idx="19">
                  <c:v>-$1,750K</c:v>
                </c:pt>
                <c:pt idx="20">
                  <c:v>-$1,500K</c:v>
                </c:pt>
                <c:pt idx="21">
                  <c:v>-$1,250K</c:v>
                </c:pt>
                <c:pt idx="22">
                  <c:v>-$1,000K</c:v>
                </c:pt>
                <c:pt idx="23">
                  <c:v>-$750K</c:v>
                </c:pt>
                <c:pt idx="24">
                  <c:v>-$500K</c:v>
                </c:pt>
                <c:pt idx="25">
                  <c:v>-$250K</c:v>
                </c:pt>
                <c:pt idx="26">
                  <c:v>$0K</c:v>
                </c:pt>
                <c:pt idx="27">
                  <c:v>$250K</c:v>
                </c:pt>
                <c:pt idx="28">
                  <c:v>$500K</c:v>
                </c:pt>
                <c:pt idx="29">
                  <c:v>$750K</c:v>
                </c:pt>
                <c:pt idx="30">
                  <c:v>$1,000K</c:v>
                </c:pt>
                <c:pt idx="31">
                  <c:v>$1,250K</c:v>
                </c:pt>
                <c:pt idx="32">
                  <c:v>$1,500K</c:v>
                </c:pt>
                <c:pt idx="33">
                  <c:v>$1,750K</c:v>
                </c:pt>
                <c:pt idx="34">
                  <c:v>$2,000K</c:v>
                </c:pt>
              </c:strCache>
            </c:strRef>
          </c:cat>
          <c:val>
            <c:numRef>
              <c:f>'Monte Carlo'!$C$58:$C$92</c:f>
              <c:numCache>
                <c:formatCode>0.0%;\(0.0%\);\-</c:formatCode>
                <c:ptCount val="35"/>
                <c:pt idx="0">
                  <c:v>0</c:v>
                </c:pt>
                <c:pt idx="1">
                  <c:v>0</c:v>
                </c:pt>
                <c:pt idx="2">
                  <c:v>0.0908</c:v>
                </c:pt>
                <c:pt idx="3">
                  <c:v>0.2934</c:v>
                </c:pt>
                <c:pt idx="4">
                  <c:v>0.265</c:v>
                </c:pt>
                <c:pt idx="5">
                  <c:v>0.166</c:v>
                </c:pt>
                <c:pt idx="6">
                  <c:v>0.0914</c:v>
                </c:pt>
                <c:pt idx="7">
                  <c:v>0.0462</c:v>
                </c:pt>
                <c:pt idx="8">
                  <c:v>0.025</c:v>
                </c:pt>
                <c:pt idx="9">
                  <c:v>0.0132</c:v>
                </c:pt>
                <c:pt idx="10">
                  <c:v>0.006</c:v>
                </c:pt>
                <c:pt idx="11">
                  <c:v>0.0016</c:v>
                </c:pt>
                <c:pt idx="12">
                  <c:v>0.0012</c:v>
                </c:pt>
                <c:pt idx="13">
                  <c:v>0.0002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</c:ser>
        <c:ser>
          <c:idx val="2"/>
          <c:order val="2"/>
          <c:tx>
            <c:strRef>
              <c:f>'Monte Carlo'!D57</c:f>
              <c:strCache>
                <c:ptCount val="1"/>
                <c:pt idx="0">
                  <c:v>Solution play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'Monte Carlo'!$A$58:$A$92</c:f>
              <c:strCache>
                <c:ptCount val="35"/>
                <c:pt idx="0">
                  <c:v>-$6,500K</c:v>
                </c:pt>
                <c:pt idx="1">
                  <c:v>-$6,250K</c:v>
                </c:pt>
                <c:pt idx="2">
                  <c:v>-$6,000K</c:v>
                </c:pt>
                <c:pt idx="3">
                  <c:v>-$5,750K</c:v>
                </c:pt>
                <c:pt idx="4">
                  <c:v>-$5,500K</c:v>
                </c:pt>
                <c:pt idx="5">
                  <c:v>-$5,250K</c:v>
                </c:pt>
                <c:pt idx="6">
                  <c:v>-$5,000K</c:v>
                </c:pt>
                <c:pt idx="7">
                  <c:v>-$4,750K</c:v>
                </c:pt>
                <c:pt idx="8">
                  <c:v>-$4,500K</c:v>
                </c:pt>
                <c:pt idx="9">
                  <c:v>-$4,250K</c:v>
                </c:pt>
                <c:pt idx="10">
                  <c:v>-$4,000K</c:v>
                </c:pt>
                <c:pt idx="11">
                  <c:v>-$3,750K</c:v>
                </c:pt>
                <c:pt idx="12">
                  <c:v>-$3,500K</c:v>
                </c:pt>
                <c:pt idx="13">
                  <c:v>-$3,250K</c:v>
                </c:pt>
                <c:pt idx="14">
                  <c:v>-$3,000K</c:v>
                </c:pt>
                <c:pt idx="15">
                  <c:v>-$2,750K</c:v>
                </c:pt>
                <c:pt idx="16">
                  <c:v>-$2,500K</c:v>
                </c:pt>
                <c:pt idx="17">
                  <c:v>-$2,250K</c:v>
                </c:pt>
                <c:pt idx="18">
                  <c:v>-$2,000K</c:v>
                </c:pt>
                <c:pt idx="19">
                  <c:v>-$1,750K</c:v>
                </c:pt>
                <c:pt idx="20">
                  <c:v>-$1,500K</c:v>
                </c:pt>
                <c:pt idx="21">
                  <c:v>-$1,250K</c:v>
                </c:pt>
                <c:pt idx="22">
                  <c:v>-$1,000K</c:v>
                </c:pt>
                <c:pt idx="23">
                  <c:v>-$750K</c:v>
                </c:pt>
                <c:pt idx="24">
                  <c:v>-$500K</c:v>
                </c:pt>
                <c:pt idx="25">
                  <c:v>-$250K</c:v>
                </c:pt>
                <c:pt idx="26">
                  <c:v>$0K</c:v>
                </c:pt>
                <c:pt idx="27">
                  <c:v>$250K</c:v>
                </c:pt>
                <c:pt idx="28">
                  <c:v>$500K</c:v>
                </c:pt>
                <c:pt idx="29">
                  <c:v>$750K</c:v>
                </c:pt>
                <c:pt idx="30">
                  <c:v>$1,000K</c:v>
                </c:pt>
                <c:pt idx="31">
                  <c:v>$1,250K</c:v>
                </c:pt>
                <c:pt idx="32">
                  <c:v>$1,500K</c:v>
                </c:pt>
                <c:pt idx="33">
                  <c:v>$1,750K</c:v>
                </c:pt>
                <c:pt idx="34">
                  <c:v>$2,000K</c:v>
                </c:pt>
              </c:strCache>
            </c:strRef>
          </c:cat>
          <c:val>
            <c:numRef>
              <c:f>'Monte Carlo'!$D$58:$D$92</c:f>
              <c:numCache>
                <c:formatCode>0.0%;\(0.0%\);\-</c:formatCode>
                <c:ptCount val="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0.6474</c:v>
                </c:pt>
                <c:pt idx="24">
                  <c:v>0.335</c:v>
                </c:pt>
                <c:pt idx="25">
                  <c:v>0.0174</c:v>
                </c:pt>
                <c:pt idx="26">
                  <c:v>0.0002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</c:ser>
        <c:gapWidth val="150"/>
        <c:overlap val="0"/>
        <c:axId val="35626188"/>
        <c:axId val="1876209"/>
      </c:barChart>
      <c:catAx>
        <c:axId val="35626188"/>
        <c:scaling>
          <c:orientation val="minMax"/>
        </c:scaling>
        <c:delete val="0"/>
        <c:axPos val="b"/>
        <c:numFmt formatCode="\$#,##0,\K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76209"/>
        <c:crosses val="autoZero"/>
        <c:auto val="1"/>
        <c:lblAlgn val="ctr"/>
        <c:lblOffset val="100"/>
        <c:noMultiLvlLbl val="0"/>
      </c:catAx>
      <c:valAx>
        <c:axId val="18762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62618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30</xdr:row>
      <xdr:rowOff>364320</xdr:rowOff>
    </xdr:from>
    <xdr:to>
      <xdr:col>3</xdr:col>
      <xdr:colOff>269280</xdr:colOff>
      <xdr:row>47</xdr:row>
      <xdr:rowOff>127440</xdr:rowOff>
    </xdr:to>
    <xdr:graphicFrame>
      <xdr:nvGraphicFramePr>
        <xdr:cNvPr id="0" name="Chart 1"/>
        <xdr:cNvGraphicFramePr/>
      </xdr:nvGraphicFramePr>
      <xdr:xfrm>
        <a:off x="0" y="790560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30</xdr:row>
      <xdr:rowOff>364320</xdr:rowOff>
    </xdr:from>
    <xdr:to>
      <xdr:col>10</xdr:col>
      <xdr:colOff>526680</xdr:colOff>
      <xdr:row>47</xdr:row>
      <xdr:rowOff>127440</xdr:rowOff>
    </xdr:to>
    <xdr:graphicFrame>
      <xdr:nvGraphicFramePr>
        <xdr:cNvPr id="1" name="Chart 2"/>
        <xdr:cNvGraphicFramePr/>
      </xdr:nvGraphicFramePr>
      <xdr:xfrm>
        <a:off x="6907680" y="790560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2</xdr:row>
      <xdr:rowOff>160920</xdr:rowOff>
    </xdr:from>
    <xdr:to>
      <xdr:col>21</xdr:col>
      <xdr:colOff>364680</xdr:colOff>
      <xdr:row>20</xdr:row>
      <xdr:rowOff>141120</xdr:rowOff>
    </xdr:to>
    <xdr:graphicFrame>
      <xdr:nvGraphicFramePr>
        <xdr:cNvPr id="2" name="Chart 1"/>
        <xdr:cNvGraphicFramePr/>
      </xdr:nvGraphicFramePr>
      <xdr:xfrm>
        <a:off x="12805560" y="57168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2</xdr:row>
      <xdr:rowOff>160920</xdr:rowOff>
    </xdr:from>
    <xdr:to>
      <xdr:col>23</xdr:col>
      <xdr:colOff>581760</xdr:colOff>
      <xdr:row>16</xdr:row>
      <xdr:rowOff>15120</xdr:rowOff>
    </xdr:to>
    <xdr:graphicFrame>
      <xdr:nvGraphicFramePr>
        <xdr:cNvPr id="3" name="Chart 1"/>
        <xdr:cNvGraphicFramePr/>
      </xdr:nvGraphicFramePr>
      <xdr:xfrm>
        <a:off x="13721760" y="57168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A44"/>
    <pageSetUpPr fitToPage="false"/>
  </sheetPr>
  <dimension ref="A1:B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5.75" hidden="false" customHeight="true" outlineLevel="0" collapsed="false">
      <c r="A4" s="3" t="s">
        <v>2</v>
      </c>
      <c r="B4" s="4" t="s">
        <v>3</v>
      </c>
    </row>
    <row r="5" customFormat="false" ht="45.75" hidden="false" customHeight="true" outlineLevel="0" collapsed="false">
      <c r="A5" s="3" t="s">
        <v>4</v>
      </c>
      <c r="B5" s="4" t="s">
        <v>5</v>
      </c>
    </row>
    <row r="6" customFormat="false" ht="45.75" hidden="false" customHeight="true" outlineLevel="0" collapsed="false">
      <c r="A6" s="3" t="s">
        <v>6</v>
      </c>
      <c r="B6" s="4" t="s">
        <v>7</v>
      </c>
    </row>
    <row r="7" customFormat="false" ht="45.75" hidden="false" customHeight="true" outlineLevel="0" collapsed="false">
      <c r="A7" s="3" t="s">
        <v>8</v>
      </c>
      <c r="B7" s="4" t="s">
        <v>9</v>
      </c>
    </row>
    <row r="8" customFormat="false" ht="45.75" hidden="false" customHeight="true" outlineLevel="0" collapsed="false">
      <c r="A8" s="3" t="s">
        <v>10</v>
      </c>
      <c r="B8" s="4" t="s">
        <v>11</v>
      </c>
    </row>
    <row r="9" customFormat="false" ht="45.75" hidden="false" customHeight="true" outlineLevel="0" collapsed="false">
      <c r="A9" s="3" t="s">
        <v>12</v>
      </c>
      <c r="B9" s="4" t="s">
        <v>13</v>
      </c>
    </row>
    <row r="10" customFormat="false" ht="45.75" hidden="false" customHeight="true" outlineLevel="0" collapsed="false">
      <c r="A10" s="3" t="s">
        <v>14</v>
      </c>
      <c r="B10" s="4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A44"/>
    <pageSetUpPr fitToPage="false"/>
  </sheetPr>
  <dimension ref="A1:H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5"/>
    <col collapsed="false" customWidth="true" hidden="false" outlineLevel="0" max="3" min="3" style="0" width="18"/>
    <col collapsed="false" customWidth="true" hidden="false" outlineLevel="0" max="6" min="4" style="0" width="15"/>
    <col collapsed="false" customWidth="true" hidden="false" outlineLevel="0" max="7" min="7" style="0" width="17"/>
    <col collapsed="false" customWidth="true" hidden="false" outlineLevel="0" max="8" min="8" style="0" width="15"/>
  </cols>
  <sheetData>
    <row r="1" customFormat="false" ht="17.35" hidden="false" customHeight="false" outlineLevel="0" collapsed="false">
      <c r="A1" s="1" t="s">
        <v>16</v>
      </c>
    </row>
    <row r="2" customFormat="false" ht="15" hidden="false" customHeight="false" outlineLevel="0" collapsed="false">
      <c r="A2" s="2" t="s">
        <v>17</v>
      </c>
    </row>
    <row r="3" customFormat="false" ht="23.85" hidden="false" customHeight="false" outlineLevel="0" collapsed="false">
      <c r="A3" s="5" t="str">
        <f aca="false">"Live model: "&amp;Assumptions!$E$5&amp;" · "&amp;Assumptions!$E$4&amp;" · "&amp;Assumptions!$E$6&amp;"  (selectors on Assumptions D4:D6)"</f>
        <v>Live model: Industrial distribution · Base · Lean partner-led pilot  (selectors on Assumptions D4:D6)</v>
      </c>
    </row>
    <row r="5" customFormat="false" ht="30" hidden="false" customHeight="true" outlineLevel="0" collapsed="false">
      <c r="A5" s="6" t="s">
        <v>18</v>
      </c>
      <c r="B5" s="6" t="s">
        <v>19</v>
      </c>
      <c r="C5" s="6" t="s">
        <v>20</v>
      </c>
      <c r="D5" s="6" t="s">
        <v>21</v>
      </c>
      <c r="E5" s="6" t="s">
        <v>22</v>
      </c>
      <c r="F5" s="6" t="s">
        <v>23</v>
      </c>
      <c r="G5" s="6" t="s">
        <v>24</v>
      </c>
      <c r="H5" s="6" t="s">
        <v>25</v>
      </c>
    </row>
    <row r="6" customFormat="false" ht="15" hidden="false" customHeight="false" outlineLevel="0" collapsed="false">
      <c r="A6" s="4" t="s">
        <v>26</v>
      </c>
      <c r="B6" s="7" t="n">
        <f aca="false">Scenarios!D5</f>
        <v>-1892876.99701321</v>
      </c>
      <c r="C6" s="7" t="n">
        <f aca="false">Scenarios!D7</f>
        <v>-3405399.02561348</v>
      </c>
      <c r="D6" s="7" t="n">
        <f aca="false">Scenarios!D8</f>
        <v>509612.726732255</v>
      </c>
      <c r="E6" s="7" t="n">
        <f aca="false">Scenarios!D11</f>
        <v>8847.97350983958</v>
      </c>
      <c r="F6" s="8" t="n">
        <f aca="false">Scenarios!D14</f>
        <v>53.7401674227257</v>
      </c>
      <c r="G6" s="7" t="n">
        <f aca="false">Scenarios!D16</f>
        <v>-2645899.10496357</v>
      </c>
      <c r="H6" s="7" t="n">
        <f aca="false">Scenarios!D17</f>
        <v>-2645899.10496357</v>
      </c>
    </row>
    <row r="7" customFormat="false" ht="15" hidden="false" customHeight="false" outlineLevel="0" collapsed="false">
      <c r="A7" s="4" t="s">
        <v>27</v>
      </c>
      <c r="B7" s="7" t="n">
        <f aca="false">Scenarios!G5</f>
        <v>-5438648.65209082</v>
      </c>
      <c r="C7" s="7" t="n">
        <f aca="false">Scenarios!G7</f>
        <v>-9174954.90660837</v>
      </c>
      <c r="D7" s="7" t="n">
        <f aca="false">Scenarios!G8</f>
        <v>820721.594513904</v>
      </c>
      <c r="E7" s="7" t="n">
        <f aca="false">Scenarios!G11</f>
        <v>8863.82062103322</v>
      </c>
      <c r="F7" s="8" t="n">
        <f aca="false">Scenarios!G14</f>
        <v>117.749971592235</v>
      </c>
      <c r="G7" s="7" t="n">
        <f aca="false">Scenarios!G16</f>
        <v>-7222892.95198776</v>
      </c>
      <c r="H7" s="7" t="n">
        <f aca="false">Scenarios!G17</f>
        <v>-7222892.95198776</v>
      </c>
    </row>
    <row r="8" customFormat="false" ht="15" hidden="false" customHeight="false" outlineLevel="0" collapsed="false">
      <c r="A8" s="9" t="s">
        <v>28</v>
      </c>
      <c r="B8" s="7" t="n">
        <f aca="false">Scenarios!J5</f>
        <v>-544641.96324311</v>
      </c>
      <c r="C8" s="7" t="n">
        <f aca="false">Scenarios!J7</f>
        <v>-1072505.05557759</v>
      </c>
      <c r="D8" s="7" t="n">
        <f aca="false">Scenarios!J8</f>
        <v>246156.696716439</v>
      </c>
      <c r="E8" s="7" t="n">
        <f aca="false">Scenarios!J11</f>
        <v>8850.61264734639</v>
      </c>
      <c r="F8" s="8" t="n">
        <f aca="false">Scenarios!J14</f>
        <v>25.7096596243456</v>
      </c>
      <c r="G8" s="7" t="n">
        <f aca="false">Scenarios!J16</f>
        <v>-821017.402656132</v>
      </c>
      <c r="H8" s="7" t="n">
        <f aca="false">Scenarios!J17</f>
        <v>-821017.402656132</v>
      </c>
    </row>
    <row r="9" customFormat="false" ht="15" hidden="false" customHeight="false" outlineLevel="0" collapsed="false">
      <c r="A9" s="4" t="s">
        <v>29</v>
      </c>
      <c r="B9" s="7" t="n">
        <f aca="false">Scenarios!M5</f>
        <v>-2044076.84125358</v>
      </c>
      <c r="C9" s="7" t="n">
        <f aca="false">Scenarios!M7</f>
        <v>-3569477.75798691</v>
      </c>
      <c r="D9" s="7" t="n">
        <f aca="false">Scenarios!M8</f>
        <v>680163.893500675</v>
      </c>
      <c r="E9" s="7" t="n">
        <f aca="false">Scenarios!M11</f>
        <v>6863.97894361972</v>
      </c>
      <c r="F9" s="8" t="n">
        <f aca="false">Scenarios!M14</f>
        <v>42.2717351099849</v>
      </c>
      <c r="G9" s="7" t="n">
        <f aca="false">Scenarios!M16</f>
        <v>-2610408.33737085</v>
      </c>
      <c r="H9" s="7" t="n">
        <f aca="false">Scenarios!M17</f>
        <v>-2610408.33737085</v>
      </c>
    </row>
    <row r="10" customFormat="false" ht="15" hidden="false" customHeight="false" outlineLevel="0" collapsed="false">
      <c r="A10" s="4" t="s">
        <v>30</v>
      </c>
      <c r="B10" s="7" t="n">
        <f aca="false">Scenarios!P5</f>
        <v>-5731151.94414391</v>
      </c>
      <c r="C10" s="7" t="n">
        <f aca="false">Scenarios!P7</f>
        <v>-9458007.76399499</v>
      </c>
      <c r="D10" s="7" t="n">
        <f aca="false">Scenarios!P8</f>
        <v>914355.663776077</v>
      </c>
      <c r="E10" s="7" t="n">
        <f aca="false">Scenarios!P11</f>
        <v>6868.99080111395</v>
      </c>
      <c r="F10" s="8" t="n">
        <f aca="false">Scenarios!P14</f>
        <v>110.905185155125</v>
      </c>
      <c r="G10" s="7" t="n">
        <f aca="false">Scenarios!P16</f>
        <v>-7171119.07537953</v>
      </c>
      <c r="H10" s="7" t="n">
        <f aca="false">Scenarios!P17</f>
        <v>-7171119.07537953</v>
      </c>
    </row>
    <row r="11" customFormat="false" ht="15" hidden="false" customHeight="false" outlineLevel="0" collapsed="false">
      <c r="A11" s="9" t="s">
        <v>31</v>
      </c>
      <c r="B11" s="7" t="n">
        <f aca="false">Scenarios!S5</f>
        <v>-620644.159007741</v>
      </c>
      <c r="C11" s="7" t="n">
        <f aca="false">Scenarios!S7</f>
        <v>-1153233.47129787</v>
      </c>
      <c r="D11" s="7" t="n">
        <f aca="false">Scenarios!S8</f>
        <v>317295.302916191</v>
      </c>
      <c r="E11" s="7" t="n">
        <f aca="false">Scenarios!S11</f>
        <v>6865.79473230783</v>
      </c>
      <c r="F11" s="8" t="n">
        <f aca="false">Scenarios!S14</f>
        <v>20.4876211109573</v>
      </c>
      <c r="G11" s="7" t="n">
        <f aca="false">Scenarios!S16</f>
        <v>-803970.505367065</v>
      </c>
      <c r="H11" s="7" t="n">
        <f aca="false">Scenarios!S17</f>
        <v>-803970.505367065</v>
      </c>
    </row>
    <row r="13" customFormat="false" ht="30" hidden="false" customHeight="true" outlineLevel="0" collapsed="false">
      <c r="A13" s="6" t="s">
        <v>32</v>
      </c>
      <c r="B13" s="6" t="s">
        <v>33</v>
      </c>
      <c r="C13" s="6" t="s">
        <v>34</v>
      </c>
      <c r="D13" s="6" t="s">
        <v>35</v>
      </c>
      <c r="E13" s="6" t="s">
        <v>36</v>
      </c>
      <c r="F13" s="6" t="s">
        <v>37</v>
      </c>
      <c r="G13" s="6" t="s">
        <v>38</v>
      </c>
      <c r="H13" s="6" t="s">
        <v>39</v>
      </c>
    </row>
    <row r="14" customFormat="false" ht="15" hidden="false" customHeight="false" outlineLevel="0" collapsed="false">
      <c r="A14" s="4" t="s">
        <v>40</v>
      </c>
      <c r="B14" s="7" t="n">
        <f aca="false">'Monte Carlo'!B6</f>
        <v>-1486097</v>
      </c>
      <c r="C14" s="7" t="n">
        <f aca="false">'Monte Carlo'!C6</f>
        <v>-1979643</v>
      </c>
      <c r="D14" s="7" t="n">
        <f aca="false">'Monte Carlo'!E6</f>
        <v>-868884</v>
      </c>
      <c r="E14" s="10" t="n">
        <f aca="false">'Monte Carlo'!F6</f>
        <v>0</v>
      </c>
      <c r="F14" s="10" t="n">
        <f aca="false">'Monte Carlo'!H6</f>
        <v>0</v>
      </c>
      <c r="G14" s="10" t="n">
        <f aca="false">'Monte Carlo'!I6</f>
        <v>0.337</v>
      </c>
      <c r="H14" s="10" t="n">
        <f aca="false">'Monte Carlo'!J6</f>
        <v>0.0112</v>
      </c>
    </row>
    <row r="15" customFormat="false" ht="15" hidden="false" customHeight="false" outlineLevel="0" collapsed="false">
      <c r="A15" s="4" t="s">
        <v>41</v>
      </c>
      <c r="B15" s="7" t="n">
        <f aca="false">'Monte Carlo'!B7</f>
        <v>-5315702</v>
      </c>
      <c r="C15" s="7" t="n">
        <f aca="false">'Monte Carlo'!C7</f>
        <v>-5740374</v>
      </c>
      <c r="D15" s="7" t="n">
        <f aca="false">'Monte Carlo'!E7</f>
        <v>-4775974</v>
      </c>
      <c r="E15" s="10" t="n">
        <f aca="false">'Monte Carlo'!F7</f>
        <v>0</v>
      </c>
      <c r="F15" s="10" t="n">
        <f aca="false">'Monte Carlo'!H7</f>
        <v>0</v>
      </c>
      <c r="G15" s="10" t="n">
        <f aca="false">'Monte Carlo'!I7</f>
        <v>0</v>
      </c>
      <c r="H15" s="10" t="n">
        <f aca="false">'Monte Carlo'!J7</f>
        <v>0</v>
      </c>
    </row>
    <row r="16" customFormat="false" ht="15" hidden="false" customHeight="false" outlineLevel="0" collapsed="false">
      <c r="A16" s="4" t="s">
        <v>42</v>
      </c>
      <c r="B16" s="7" t="n">
        <f aca="false">'Monte Carlo'!B8</f>
        <v>-511201</v>
      </c>
      <c r="C16" s="7" t="n">
        <f aca="false">'Monte Carlo'!C8</f>
        <v>-604824</v>
      </c>
      <c r="D16" s="7" t="n">
        <f aca="false">'Monte Carlo'!E8</f>
        <v>-388453</v>
      </c>
      <c r="E16" s="10" t="n">
        <f aca="false">'Monte Carlo'!F8</f>
        <v>0.0002</v>
      </c>
      <c r="F16" s="10" t="n">
        <f aca="false">'Monte Carlo'!H8</f>
        <v>0</v>
      </c>
      <c r="G16" s="10" t="n">
        <f aca="false">'Monte Carlo'!I8</f>
        <v>0</v>
      </c>
      <c r="H16" s="10" t="n">
        <f aca="false">'Monte Carlo'!J8</f>
        <v>0</v>
      </c>
    </row>
    <row r="17" customFormat="false" ht="15" hidden="false" customHeight="false" outlineLevel="0" collapsed="false">
      <c r="A17" s="4" t="s">
        <v>43</v>
      </c>
      <c r="B17" s="7" t="n">
        <f aca="false">'Monte Carlo'!B10</f>
        <v>-1663742</v>
      </c>
      <c r="C17" s="7" t="n">
        <f aca="false">'Monte Carlo'!C10</f>
        <v>-2146572</v>
      </c>
      <c r="D17" s="7" t="n">
        <f aca="false">'Monte Carlo'!E10</f>
        <v>-897861</v>
      </c>
      <c r="E17" s="10" t="n">
        <f aca="false">'Monte Carlo'!F10</f>
        <v>0</v>
      </c>
      <c r="F17" s="10" t="n">
        <f aca="false">'Monte Carlo'!H10</f>
        <v>0</v>
      </c>
      <c r="G17" s="10" t="n">
        <f aca="false">'Monte Carlo'!I10</f>
        <v>0.3346</v>
      </c>
      <c r="H17" s="10" t="n">
        <f aca="false">'Monte Carlo'!J10</f>
        <v>0.0184</v>
      </c>
    </row>
    <row r="18" customFormat="false" ht="15" hidden="false" customHeight="false" outlineLevel="0" collapsed="false">
      <c r="A18" s="4" t="s">
        <v>44</v>
      </c>
      <c r="B18" s="7" t="n">
        <f aca="false">'Monte Carlo'!B11</f>
        <v>-5726126</v>
      </c>
      <c r="C18" s="7" t="n">
        <f aca="false">'Monte Carlo'!C11</f>
        <v>-5939510</v>
      </c>
      <c r="D18" s="7" t="n">
        <f aca="false">'Monte Carlo'!E11</f>
        <v>-5456822</v>
      </c>
      <c r="E18" s="10" t="n">
        <f aca="false">'Monte Carlo'!F11</f>
        <v>0</v>
      </c>
      <c r="F18" s="10" t="n">
        <f aca="false">'Monte Carlo'!H11</f>
        <v>0</v>
      </c>
      <c r="G18" s="10" t="n">
        <f aca="false">'Monte Carlo'!I11</f>
        <v>0</v>
      </c>
      <c r="H18" s="10" t="n">
        <f aca="false">'Monte Carlo'!J11</f>
        <v>0</v>
      </c>
    </row>
    <row r="19" customFormat="false" ht="15" hidden="false" customHeight="false" outlineLevel="0" collapsed="false">
      <c r="A19" s="4" t="s">
        <v>45</v>
      </c>
      <c r="B19" s="7" t="n">
        <f aca="false">'Monte Carlo'!B12</f>
        <v>-614778</v>
      </c>
      <c r="C19" s="7" t="n">
        <f aca="false">'Monte Carlo'!C12</f>
        <v>-673722</v>
      </c>
      <c r="D19" s="7" t="n">
        <f aca="false">'Monte Carlo'!E12</f>
        <v>-544597</v>
      </c>
      <c r="E19" s="10" t="n">
        <f aca="false">'Monte Carlo'!F12</f>
        <v>0</v>
      </c>
      <c r="F19" s="10" t="n">
        <f aca="false">'Monte Carlo'!H12</f>
        <v>0</v>
      </c>
      <c r="G19" s="10" t="n">
        <f aca="false">'Monte Carlo'!I12</f>
        <v>0</v>
      </c>
      <c r="H19" s="10" t="n">
        <f aca="false">'Monte Carlo'!J12</f>
        <v>0</v>
      </c>
    </row>
    <row r="21" customFormat="false" ht="15" hidden="false" customHeight="false" outlineLevel="0" collapsed="false">
      <c r="A21" s="3" t="s">
        <v>46</v>
      </c>
    </row>
    <row r="22" customFormat="false" ht="15" hidden="false" customHeight="false" outlineLevel="0" collapsed="false">
      <c r="A22" s="4" t="s">
        <v>47</v>
      </c>
      <c r="B22" s="7" t="n">
        <f aca="false">ABS(Scenarios!C42)+ABS(Scenarios!C43)</f>
        <v>0</v>
      </c>
    </row>
    <row r="23" customFormat="false" ht="23.85" hidden="false" customHeight="false" outlineLevel="0" collapsed="false">
      <c r="A23" s="4" t="s">
        <v>48</v>
      </c>
      <c r="B23" s="7" t="n">
        <f aca="false">'Monte Carlo'!D54</f>
        <v>-0</v>
      </c>
    </row>
    <row r="25" customFormat="false" ht="15" hidden="false" customHeight="false" outlineLevel="0" collapsed="false">
      <c r="A25" s="3" t="s">
        <v>49</v>
      </c>
    </row>
    <row r="26" customFormat="false" ht="33.75" hidden="false" customHeight="true" outlineLevel="0" collapsed="false">
      <c r="A26" s="4" t="s">
        <v>50</v>
      </c>
      <c r="B26" s="4"/>
      <c r="C26" s="4"/>
      <c r="D26" s="4"/>
      <c r="E26" s="4"/>
      <c r="F26" s="4"/>
      <c r="G26" s="4"/>
      <c r="H26" s="4"/>
    </row>
    <row r="27" customFormat="false" ht="33.75" hidden="false" customHeight="true" outlineLevel="0" collapsed="false">
      <c r="A27" s="4" t="s">
        <v>51</v>
      </c>
      <c r="B27" s="4"/>
      <c r="C27" s="4"/>
      <c r="D27" s="4"/>
      <c r="E27" s="4"/>
      <c r="F27" s="4"/>
      <c r="G27" s="4"/>
      <c r="H27" s="4"/>
    </row>
    <row r="28" customFormat="false" ht="33.75" hidden="false" customHeight="true" outlineLevel="0" collapsed="false">
      <c r="A28" s="4" t="s">
        <v>52</v>
      </c>
      <c r="B28" s="4"/>
      <c r="C28" s="4"/>
      <c r="D28" s="4"/>
      <c r="E28" s="4"/>
      <c r="F28" s="4"/>
      <c r="G28" s="4"/>
      <c r="H28" s="4"/>
    </row>
    <row r="29" customFormat="false" ht="33.75" hidden="false" customHeight="true" outlineLevel="0" collapsed="false">
      <c r="A29" s="4" t="s">
        <v>53</v>
      </c>
      <c r="B29" s="4"/>
      <c r="C29" s="4"/>
      <c r="D29" s="4"/>
      <c r="E29" s="4"/>
      <c r="F29" s="4"/>
      <c r="G29" s="4"/>
      <c r="H29" s="4"/>
    </row>
    <row r="30" customFormat="false" ht="33.75" hidden="false" customHeight="true" outlineLevel="0" collapsed="false">
      <c r="A30" s="4" t="s">
        <v>54</v>
      </c>
      <c r="B30" s="4"/>
      <c r="C30" s="4"/>
      <c r="D30" s="4"/>
      <c r="E30" s="4"/>
      <c r="F30" s="4"/>
      <c r="G30" s="4"/>
      <c r="H30" s="4"/>
    </row>
    <row r="31" customFormat="false" ht="33.75" hidden="false" customHeight="true" outlineLevel="0" collapsed="false">
      <c r="A31" s="4" t="s">
        <v>55</v>
      </c>
      <c r="B31" s="4"/>
      <c r="C31" s="4"/>
      <c r="D31" s="4"/>
      <c r="E31" s="4"/>
      <c r="F31" s="4"/>
      <c r="G31" s="4"/>
      <c r="H31" s="4"/>
    </row>
  </sheetData>
  <mergeCells count="6">
    <mergeCell ref="A26:H26"/>
    <mergeCell ref="A27:H27"/>
    <mergeCell ref="A28:H28"/>
    <mergeCell ref="A29:H29"/>
    <mergeCell ref="A30:H30"/>
    <mergeCell ref="A31:H31"/>
  </mergeCells>
  <conditionalFormatting sqref="B6:C11">
    <cfRule type="cellIs" priority="2" operator="lessThan" aboveAverage="0" equalAverage="0" bottom="0" percent="0" rank="0" text="" dxfId="0">
      <formula>0</formula>
    </cfRule>
    <cfRule type="cellIs" priority="3" operator="greaterThanOr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O1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8" topLeftCell="D9" activePane="bottomRight" state="frozen"/>
      <selection pane="topLeft" activeCell="A1" activeCellId="0" sqref="A1"/>
      <selection pane="topRight" activeCell="D1" activeCellId="0" sqref="D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2"/>
    <col collapsed="false" customWidth="true" hidden="false" outlineLevel="0" max="3" min="3" style="0" width="9"/>
    <col collapsed="false" customWidth="true" hidden="false" outlineLevel="0" max="10" min="4" style="0" width="11"/>
    <col collapsed="false" customWidth="true" hidden="false" outlineLevel="0" max="11" min="11" style="0" width="7"/>
    <col collapsed="false" customWidth="true" hidden="false" outlineLevel="0" max="12" min="12" style="0" width="9"/>
    <col collapsed="false" customWidth="true" hidden="false" outlineLevel="0" max="13" min="13" style="0" width="80"/>
  </cols>
  <sheetData>
    <row r="1" customFormat="false" ht="17.35" hidden="false" customHeight="false" outlineLevel="0" collapsed="false">
      <c r="A1" s="1" t="s">
        <v>56</v>
      </c>
    </row>
    <row r="2" customFormat="false" ht="15" hidden="false" customHeight="false" outlineLevel="0" collapsed="false">
      <c r="A2" s="2" t="s">
        <v>57</v>
      </c>
    </row>
    <row r="4" customFormat="false" ht="15" hidden="false" customHeight="true" outlineLevel="0" collapsed="false">
      <c r="A4" s="3" t="s">
        <v>58</v>
      </c>
      <c r="B4" s="3"/>
      <c r="C4" s="3"/>
      <c r="D4" s="11" t="n">
        <v>2</v>
      </c>
      <c r="E4" s="12" t="str">
        <f aca="false">CHOOSE($D$4,"Downside","Base","Upside")</f>
        <v>Base</v>
      </c>
      <c r="F4" s="12"/>
    </row>
    <row r="5" customFormat="false" ht="15" hidden="false" customHeight="true" outlineLevel="0" collapsed="false">
      <c r="A5" s="3" t="s">
        <v>59</v>
      </c>
      <c r="B5" s="3"/>
      <c r="C5" s="3"/>
      <c r="D5" s="11" t="n">
        <v>1</v>
      </c>
      <c r="E5" s="12" t="str">
        <f aca="false">CHOOSE($D$5,"Industrial distribution","Professional services")</f>
        <v>Industrial distribution</v>
      </c>
      <c r="F5" s="12"/>
    </row>
    <row r="6" customFormat="false" ht="23.85" hidden="false" customHeight="true" outlineLevel="0" collapsed="false">
      <c r="A6" s="3" t="s">
        <v>60</v>
      </c>
      <c r="B6" s="3"/>
      <c r="C6" s="3"/>
      <c r="D6" s="11" t="n">
        <v>1</v>
      </c>
      <c r="E6" s="12" t="str">
        <f aca="false">CHOOSE($D$6,"Lean partner-led pilot","Sales-led vertical team","Solution play")</f>
        <v>Lean partner-led pilot</v>
      </c>
      <c r="F6" s="12"/>
    </row>
    <row r="8" customFormat="false" ht="30" hidden="false" customHeight="true" outlineLevel="0" collapsed="false">
      <c r="A8" s="6" t="s">
        <v>61</v>
      </c>
      <c r="B8" s="6" t="s">
        <v>62</v>
      </c>
      <c r="C8" s="6" t="s">
        <v>63</v>
      </c>
      <c r="D8" s="6" t="s">
        <v>64</v>
      </c>
      <c r="E8" s="6" t="s">
        <v>65</v>
      </c>
      <c r="F8" s="6" t="s">
        <v>66</v>
      </c>
      <c r="G8" s="6" t="s">
        <v>67</v>
      </c>
      <c r="H8" s="6" t="s">
        <v>68</v>
      </c>
      <c r="I8" s="6" t="s">
        <v>69</v>
      </c>
      <c r="J8" s="6" t="s">
        <v>70</v>
      </c>
      <c r="K8" s="6" t="s">
        <v>71</v>
      </c>
      <c r="L8" s="6" t="s">
        <v>72</v>
      </c>
      <c r="M8" s="6" t="s">
        <v>73</v>
      </c>
    </row>
    <row r="9" customFormat="false" ht="79.85" hidden="false" customHeight="false" outlineLevel="0" collapsed="false">
      <c r="A9" s="3" t="s">
        <v>74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</row>
    <row r="10" customFormat="false" ht="15" hidden="false" customHeight="false" outlineLevel="0" collapsed="false">
      <c r="A10" s="4" t="s">
        <v>75</v>
      </c>
      <c r="B10" s="4" t="s">
        <v>76</v>
      </c>
      <c r="C10" s="14" t="s">
        <v>77</v>
      </c>
      <c r="D10" s="15" t="n">
        <v>0.8</v>
      </c>
      <c r="E10" s="15" t="n">
        <v>0.8</v>
      </c>
      <c r="F10" s="15" t="n">
        <v>0.8</v>
      </c>
      <c r="G10" s="15" t="n">
        <v>0.55</v>
      </c>
      <c r="H10" s="15" t="n">
        <v>0.55</v>
      </c>
      <c r="I10" s="15" t="n">
        <v>0.55</v>
      </c>
      <c r="J10" s="16" t="n">
        <f aca="false">INDEX(D10:I10,1,(Assumptions!$D$5-1)*3+Assumptions!$D$4)</f>
        <v>0.8</v>
      </c>
      <c r="K10" s="14" t="s">
        <v>78</v>
      </c>
      <c r="L10" s="14" t="s">
        <v>79</v>
      </c>
      <c r="M10" s="4" t="s">
        <v>80</v>
      </c>
    </row>
    <row r="11" customFormat="false" ht="23.85" hidden="false" customHeight="false" outlineLevel="0" collapsed="false">
      <c r="A11" s="4" t="s">
        <v>81</v>
      </c>
      <c r="B11" s="4" t="s">
        <v>82</v>
      </c>
      <c r="C11" s="14" t="s">
        <v>77</v>
      </c>
      <c r="D11" s="15" t="n">
        <v>0.56</v>
      </c>
      <c r="E11" s="15" t="n">
        <v>0.56</v>
      </c>
      <c r="F11" s="15" t="n">
        <v>0.56</v>
      </c>
      <c r="G11" s="15" t="n">
        <v>0.7</v>
      </c>
      <c r="H11" s="15" t="n">
        <v>0.7</v>
      </c>
      <c r="I11" s="15" t="n">
        <v>0.7</v>
      </c>
      <c r="J11" s="16" t="n">
        <f aca="false">INDEX(D11:I11,1,(Assumptions!$D$5-1)*3+Assumptions!$D$4)</f>
        <v>0.56</v>
      </c>
      <c r="K11" s="14" t="s">
        <v>83</v>
      </c>
      <c r="L11" s="14" t="s">
        <v>79</v>
      </c>
      <c r="M11" s="4" t="s">
        <v>84</v>
      </c>
    </row>
    <row r="12" customFormat="false" ht="23.85" hidden="false" customHeight="false" outlineLevel="0" collapsed="false">
      <c r="A12" s="4" t="s">
        <v>85</v>
      </c>
      <c r="B12" s="4" t="s">
        <v>86</v>
      </c>
      <c r="C12" s="14" t="s">
        <v>77</v>
      </c>
      <c r="D12" s="15" t="n">
        <v>0.03</v>
      </c>
      <c r="E12" s="15" t="n">
        <v>0.03</v>
      </c>
      <c r="F12" s="15" t="n">
        <v>0.03</v>
      </c>
      <c r="G12" s="15" t="n">
        <v>0.1</v>
      </c>
      <c r="H12" s="15" t="n">
        <v>0.1</v>
      </c>
      <c r="I12" s="15" t="n">
        <v>0.1</v>
      </c>
      <c r="J12" s="16" t="n">
        <f aca="false">INDEX(D12:I12,1,(Assumptions!$D$5-1)*3+Assumptions!$D$4)</f>
        <v>0.03</v>
      </c>
      <c r="K12" s="14" t="s">
        <v>78</v>
      </c>
      <c r="L12" s="14" t="s">
        <v>79</v>
      </c>
      <c r="M12" s="4" t="s">
        <v>87</v>
      </c>
    </row>
    <row r="13" customFormat="false" ht="15" hidden="false" customHeight="false" outlineLevel="0" collapsed="false">
      <c r="A13" s="4" t="s">
        <v>88</v>
      </c>
      <c r="B13" s="4" t="s">
        <v>89</v>
      </c>
      <c r="C13" s="14" t="s">
        <v>90</v>
      </c>
      <c r="D13" s="17" t="n">
        <v>1</v>
      </c>
      <c r="E13" s="17" t="n">
        <v>1</v>
      </c>
      <c r="F13" s="17" t="n">
        <v>1</v>
      </c>
      <c r="G13" s="17" t="n">
        <v>1</v>
      </c>
      <c r="H13" s="17" t="n">
        <v>1</v>
      </c>
      <c r="I13" s="17" t="n">
        <v>1</v>
      </c>
      <c r="J13" s="18" t="n">
        <f aca="false">INDEX(D13:I13,1,(Assumptions!$D$5-1)*3+Assumptions!$D$4)</f>
        <v>1</v>
      </c>
      <c r="K13" s="14" t="s">
        <v>91</v>
      </c>
      <c r="L13" s="14" t="s">
        <v>79</v>
      </c>
      <c r="M13" s="4" t="s">
        <v>92</v>
      </c>
    </row>
    <row r="14" customFormat="false" ht="15" hidden="false" customHeight="false" outlineLevel="0" collapsed="false">
      <c r="A14" s="4" t="s">
        <v>93</v>
      </c>
      <c r="B14" s="4" t="s">
        <v>94</v>
      </c>
      <c r="C14" s="14" t="s">
        <v>90</v>
      </c>
      <c r="D14" s="17" t="n">
        <v>7</v>
      </c>
      <c r="E14" s="17" t="n">
        <v>5</v>
      </c>
      <c r="F14" s="17" t="n">
        <v>4</v>
      </c>
      <c r="G14" s="17" t="n">
        <v>7</v>
      </c>
      <c r="H14" s="17" t="n">
        <v>5</v>
      </c>
      <c r="I14" s="17" t="n">
        <v>4</v>
      </c>
      <c r="J14" s="18" t="n">
        <f aca="false">INDEX(D14:I14,1,(Assumptions!$D$5-1)*3+Assumptions!$D$4)</f>
        <v>5</v>
      </c>
      <c r="K14" s="14" t="s">
        <v>78</v>
      </c>
      <c r="L14" s="14" t="s">
        <v>95</v>
      </c>
      <c r="M14" s="4" t="s">
        <v>96</v>
      </c>
    </row>
    <row r="15" customFormat="false" ht="23.85" hidden="false" customHeight="false" outlineLevel="0" collapsed="false">
      <c r="A15" s="4" t="s">
        <v>97</v>
      </c>
      <c r="B15" s="4" t="s">
        <v>98</v>
      </c>
      <c r="C15" s="14" t="s">
        <v>90</v>
      </c>
      <c r="D15" s="17" t="n">
        <v>99</v>
      </c>
      <c r="E15" s="17" t="n">
        <v>7</v>
      </c>
      <c r="F15" s="17" t="n">
        <v>6</v>
      </c>
      <c r="G15" s="17" t="n">
        <v>99</v>
      </c>
      <c r="H15" s="17" t="n">
        <v>7</v>
      </c>
      <c r="I15" s="17" t="n">
        <v>6</v>
      </c>
      <c r="J15" s="18" t="n">
        <f aca="false">INDEX(D15:I15,1,(Assumptions!$D$5-1)*3+Assumptions!$D$4)</f>
        <v>7</v>
      </c>
      <c r="K15" s="14" t="s">
        <v>78</v>
      </c>
      <c r="L15" s="14" t="s">
        <v>95</v>
      </c>
      <c r="M15" s="4" t="s">
        <v>99</v>
      </c>
    </row>
    <row r="16" customFormat="false" ht="57.45" hidden="false" customHeight="false" outlineLevel="0" collapsed="false">
      <c r="A16" s="3" t="s">
        <v>100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</row>
    <row r="17" customFormat="false" ht="23.85" hidden="false" customHeight="false" outlineLevel="0" collapsed="false">
      <c r="A17" s="4" t="s">
        <v>101</v>
      </c>
      <c r="B17" s="4" t="s">
        <v>102</v>
      </c>
      <c r="C17" s="14" t="s">
        <v>77</v>
      </c>
      <c r="D17" s="15" t="n">
        <v>0.3</v>
      </c>
      <c r="E17" s="15" t="n">
        <v>0.4</v>
      </c>
      <c r="F17" s="15" t="n">
        <v>0.5</v>
      </c>
      <c r="G17" s="15" t="n">
        <v>0.3</v>
      </c>
      <c r="H17" s="15" t="n">
        <v>0.4</v>
      </c>
      <c r="I17" s="15" t="n">
        <v>0.5</v>
      </c>
      <c r="J17" s="16" t="n">
        <f aca="false">INDEX(D17:I17,1,(Assumptions!$D$5-1)*3+Assumptions!$D$4)</f>
        <v>0.4</v>
      </c>
      <c r="K17" s="14" t="s">
        <v>78</v>
      </c>
      <c r="L17" s="14" t="s">
        <v>103</v>
      </c>
      <c r="M17" s="4" t="s">
        <v>104</v>
      </c>
    </row>
    <row r="18" customFormat="false" ht="15" hidden="false" customHeight="false" outlineLevel="0" collapsed="false">
      <c r="A18" s="4" t="s">
        <v>105</v>
      </c>
      <c r="B18" s="4" t="s">
        <v>106</v>
      </c>
      <c r="C18" s="14" t="s">
        <v>107</v>
      </c>
      <c r="D18" s="19" t="n">
        <v>2</v>
      </c>
      <c r="E18" s="19" t="n">
        <v>2</v>
      </c>
      <c r="F18" s="19" t="n">
        <v>2</v>
      </c>
      <c r="G18" s="19" t="n">
        <v>2</v>
      </c>
      <c r="H18" s="19" t="n">
        <v>2</v>
      </c>
      <c r="I18" s="19" t="n">
        <v>2</v>
      </c>
      <c r="J18" s="20" t="n">
        <f aca="false">INDEX(D18:I18,1,(Assumptions!$D$5-1)*3+Assumptions!$D$4)</f>
        <v>2</v>
      </c>
      <c r="K18" s="14" t="s">
        <v>91</v>
      </c>
      <c r="L18" s="14" t="s">
        <v>79</v>
      </c>
      <c r="M18" s="4" t="s">
        <v>108</v>
      </c>
    </row>
    <row r="19" customFormat="false" ht="15" hidden="false" customHeight="false" outlineLevel="0" collapsed="false">
      <c r="A19" s="4" t="s">
        <v>109</v>
      </c>
      <c r="B19" s="4" t="s">
        <v>110</v>
      </c>
      <c r="C19" s="14" t="s">
        <v>107</v>
      </c>
      <c r="D19" s="19" t="n">
        <v>2</v>
      </c>
      <c r="E19" s="19" t="n">
        <v>2</v>
      </c>
      <c r="F19" s="19" t="n">
        <v>2</v>
      </c>
      <c r="G19" s="19" t="n">
        <v>2</v>
      </c>
      <c r="H19" s="19" t="n">
        <v>2</v>
      </c>
      <c r="I19" s="19" t="n">
        <v>2</v>
      </c>
      <c r="J19" s="20" t="n">
        <f aca="false">INDEX(D19:I19,1,(Assumptions!$D$5-1)*3+Assumptions!$D$4)</f>
        <v>2</v>
      </c>
      <c r="K19" s="14" t="s">
        <v>91</v>
      </c>
      <c r="L19" s="14" t="s">
        <v>79</v>
      </c>
      <c r="M19" s="4" t="s">
        <v>111</v>
      </c>
    </row>
    <row r="20" customFormat="false" ht="15" hidden="false" customHeight="false" outlineLevel="0" collapsed="false">
      <c r="A20" s="4" t="s">
        <v>112</v>
      </c>
      <c r="B20" s="4" t="s">
        <v>113</v>
      </c>
      <c r="C20" s="14" t="s">
        <v>77</v>
      </c>
      <c r="D20" s="15" t="n">
        <v>0.02</v>
      </c>
      <c r="E20" s="15" t="n">
        <v>0.03</v>
      </c>
      <c r="F20" s="15" t="n">
        <v>0.045</v>
      </c>
      <c r="G20" s="15" t="n">
        <v>0.015</v>
      </c>
      <c r="H20" s="15" t="n">
        <v>0.025</v>
      </c>
      <c r="I20" s="15" t="n">
        <v>0.035</v>
      </c>
      <c r="J20" s="16" t="n">
        <f aca="false">INDEX(D20:I20,1,(Assumptions!$D$5-1)*3+Assumptions!$D$4)</f>
        <v>0.03</v>
      </c>
      <c r="K20" s="14" t="s">
        <v>78</v>
      </c>
      <c r="L20" s="14" t="s">
        <v>103</v>
      </c>
      <c r="M20" s="4" t="s">
        <v>114</v>
      </c>
    </row>
    <row r="21" customFormat="false" ht="23.85" hidden="false" customHeight="false" outlineLevel="0" collapsed="false">
      <c r="A21" s="4" t="s">
        <v>115</v>
      </c>
      <c r="B21" s="4" t="s">
        <v>116</v>
      </c>
      <c r="C21" s="14" t="s">
        <v>117</v>
      </c>
      <c r="D21" s="19" t="n">
        <v>0.6</v>
      </c>
      <c r="E21" s="19" t="n">
        <v>0.75</v>
      </c>
      <c r="F21" s="19" t="n">
        <v>0.85</v>
      </c>
      <c r="G21" s="19" t="n">
        <v>0.6</v>
      </c>
      <c r="H21" s="19" t="n">
        <v>0.75</v>
      </c>
      <c r="I21" s="19" t="n">
        <v>0.85</v>
      </c>
      <c r="J21" s="20" t="n">
        <f aca="false">INDEX(D21:I21,1,(Assumptions!$D$5-1)*3+Assumptions!$D$4)</f>
        <v>0.75</v>
      </c>
      <c r="K21" s="14" t="s">
        <v>78</v>
      </c>
      <c r="L21" s="14" t="s">
        <v>118</v>
      </c>
      <c r="M21" s="4" t="s">
        <v>119</v>
      </c>
    </row>
    <row r="22" customFormat="false" ht="23.85" hidden="false" customHeight="false" outlineLevel="0" collapsed="false">
      <c r="A22" s="4" t="s">
        <v>120</v>
      </c>
      <c r="B22" s="4" t="s">
        <v>121</v>
      </c>
      <c r="C22" s="14" t="s">
        <v>77</v>
      </c>
      <c r="D22" s="15" t="n">
        <v>0.005</v>
      </c>
      <c r="E22" s="15" t="n">
        <v>0.01</v>
      </c>
      <c r="F22" s="15" t="n">
        <v>0.015</v>
      </c>
      <c r="G22" s="15" t="n">
        <v>0.01</v>
      </c>
      <c r="H22" s="15" t="n">
        <v>0.015</v>
      </c>
      <c r="I22" s="15" t="n">
        <v>0.02</v>
      </c>
      <c r="J22" s="16" t="n">
        <f aca="false">INDEX(D22:I22,1,(Assumptions!$D$5-1)*3+Assumptions!$D$4)</f>
        <v>0.01</v>
      </c>
      <c r="K22" s="14" t="s">
        <v>78</v>
      </c>
      <c r="L22" s="14" t="s">
        <v>103</v>
      </c>
      <c r="M22" s="4" t="s">
        <v>122</v>
      </c>
    </row>
    <row r="23" customFormat="false" ht="15" hidden="false" customHeight="false" outlineLevel="0" collapsed="false">
      <c r="A23" s="4" t="s">
        <v>123</v>
      </c>
      <c r="B23" s="4" t="s">
        <v>124</v>
      </c>
      <c r="C23" s="14" t="s">
        <v>125</v>
      </c>
      <c r="D23" s="21" t="n">
        <v>600</v>
      </c>
      <c r="E23" s="21" t="n">
        <v>400</v>
      </c>
      <c r="F23" s="21" t="n">
        <v>250</v>
      </c>
      <c r="G23" s="21" t="n">
        <v>600</v>
      </c>
      <c r="H23" s="21" t="n">
        <v>400</v>
      </c>
      <c r="I23" s="21" t="n">
        <v>250</v>
      </c>
      <c r="J23" s="22" t="n">
        <f aca="false">INDEX(D23:I23,1,(Assumptions!$D$5-1)*3+Assumptions!$D$4)</f>
        <v>400</v>
      </c>
      <c r="K23" s="14" t="s">
        <v>83</v>
      </c>
      <c r="L23" s="14" t="s">
        <v>126</v>
      </c>
      <c r="M23" s="4" t="s">
        <v>127</v>
      </c>
    </row>
    <row r="24" customFormat="false" ht="15" hidden="false" customHeight="false" outlineLevel="0" collapsed="false">
      <c r="A24" s="4" t="s">
        <v>128</v>
      </c>
      <c r="B24" s="4" t="s">
        <v>129</v>
      </c>
      <c r="C24" s="14" t="s">
        <v>77</v>
      </c>
      <c r="D24" s="15" t="n">
        <v>0.03</v>
      </c>
      <c r="E24" s="15" t="n">
        <v>0.03</v>
      </c>
      <c r="F24" s="15" t="n">
        <v>0.03</v>
      </c>
      <c r="G24" s="15" t="n">
        <v>0.03</v>
      </c>
      <c r="H24" s="15" t="n">
        <v>0.03</v>
      </c>
      <c r="I24" s="15" t="n">
        <v>0.03</v>
      </c>
      <c r="J24" s="16" t="n">
        <f aca="false">INDEX(D24:I24,1,(Assumptions!$D$5-1)*3+Assumptions!$D$4)</f>
        <v>0.03</v>
      </c>
      <c r="K24" s="14" t="s">
        <v>78</v>
      </c>
      <c r="L24" s="14" t="s">
        <v>79</v>
      </c>
      <c r="M24" s="4" t="s">
        <v>130</v>
      </c>
    </row>
    <row r="25" customFormat="false" ht="15" hidden="false" customHeight="false" outlineLevel="0" collapsed="false">
      <c r="A25" s="4" t="s">
        <v>131</v>
      </c>
      <c r="B25" s="4" t="s">
        <v>132</v>
      </c>
      <c r="C25" s="14" t="s">
        <v>133</v>
      </c>
      <c r="D25" s="17" t="n">
        <v>1</v>
      </c>
      <c r="E25" s="17" t="n">
        <v>2</v>
      </c>
      <c r="F25" s="17" t="n">
        <v>3</v>
      </c>
      <c r="G25" s="17" t="n">
        <v>2</v>
      </c>
      <c r="H25" s="17" t="n">
        <v>3</v>
      </c>
      <c r="I25" s="17" t="n">
        <v>4</v>
      </c>
      <c r="J25" s="18" t="n">
        <f aca="false">INDEX(D25:I25,1,(Assumptions!$D$5-1)*3+Assumptions!$D$4)</f>
        <v>2</v>
      </c>
      <c r="K25" s="14" t="s">
        <v>78</v>
      </c>
      <c r="L25" s="14" t="s">
        <v>103</v>
      </c>
      <c r="M25" s="4" t="s">
        <v>134</v>
      </c>
    </row>
    <row r="26" customFormat="false" ht="15" hidden="false" customHeight="false" outlineLevel="0" collapsed="false">
      <c r="A26" s="4" t="s">
        <v>135</v>
      </c>
      <c r="B26" s="4" t="s">
        <v>136</v>
      </c>
      <c r="C26" s="14" t="s">
        <v>137</v>
      </c>
      <c r="D26" s="17" t="n">
        <v>1</v>
      </c>
      <c r="E26" s="17" t="n">
        <v>1</v>
      </c>
      <c r="F26" s="17" t="n">
        <v>2</v>
      </c>
      <c r="G26" s="17" t="n">
        <v>1</v>
      </c>
      <c r="H26" s="17" t="n">
        <v>1</v>
      </c>
      <c r="I26" s="17" t="n">
        <v>2</v>
      </c>
      <c r="J26" s="18" t="n">
        <f aca="false">INDEX(D26:I26,1,(Assumptions!$D$5-1)*3+Assumptions!$D$4)</f>
        <v>1</v>
      </c>
      <c r="K26" s="14" t="s">
        <v>78</v>
      </c>
      <c r="L26" s="14" t="s">
        <v>103</v>
      </c>
      <c r="M26" s="4"/>
    </row>
    <row r="27" customFormat="false" ht="15" hidden="false" customHeight="false" outlineLevel="0" collapsed="false">
      <c r="A27" s="4" t="s">
        <v>138</v>
      </c>
      <c r="B27" s="4" t="s">
        <v>139</v>
      </c>
      <c r="C27" s="14" t="s">
        <v>133</v>
      </c>
      <c r="D27" s="17" t="n">
        <v>5</v>
      </c>
      <c r="E27" s="17" t="n">
        <v>10</v>
      </c>
      <c r="F27" s="17" t="n">
        <v>15</v>
      </c>
      <c r="G27" s="17" t="n">
        <v>6</v>
      </c>
      <c r="H27" s="17" t="n">
        <v>10</v>
      </c>
      <c r="I27" s="17" t="n">
        <v>14</v>
      </c>
      <c r="J27" s="18" t="n">
        <f aca="false">INDEX(D27:I27,1,(Assumptions!$D$5-1)*3+Assumptions!$D$4)</f>
        <v>10</v>
      </c>
      <c r="K27" s="14" t="s">
        <v>78</v>
      </c>
      <c r="L27" s="14" t="s">
        <v>103</v>
      </c>
      <c r="M27" s="4"/>
    </row>
    <row r="28" customFormat="false" ht="15" hidden="false" customHeight="false" outlineLevel="0" collapsed="false">
      <c r="A28" s="4" t="s">
        <v>140</v>
      </c>
      <c r="B28" s="4" t="s">
        <v>141</v>
      </c>
      <c r="C28" s="14" t="s">
        <v>137</v>
      </c>
      <c r="D28" s="17" t="n">
        <v>2</v>
      </c>
      <c r="E28" s="17" t="n">
        <v>3</v>
      </c>
      <c r="F28" s="17" t="n">
        <v>4</v>
      </c>
      <c r="G28" s="17" t="n">
        <v>2</v>
      </c>
      <c r="H28" s="17" t="n">
        <v>3</v>
      </c>
      <c r="I28" s="17" t="n">
        <v>4</v>
      </c>
      <c r="J28" s="18" t="n">
        <f aca="false">INDEX(D28:I28,1,(Assumptions!$D$5-1)*3+Assumptions!$D$4)</f>
        <v>3</v>
      </c>
      <c r="K28" s="14" t="s">
        <v>78</v>
      </c>
      <c r="L28" s="14" t="s">
        <v>103</v>
      </c>
      <c r="M28" s="4"/>
    </row>
    <row r="29" customFormat="false" ht="15" hidden="false" customHeight="false" outlineLevel="0" collapsed="false">
      <c r="A29" s="4" t="s">
        <v>142</v>
      </c>
      <c r="B29" s="4" t="s">
        <v>143</v>
      </c>
      <c r="C29" s="14" t="s">
        <v>77</v>
      </c>
      <c r="D29" s="15" t="n">
        <v>0.3</v>
      </c>
      <c r="E29" s="15" t="n">
        <v>0.4</v>
      </c>
      <c r="F29" s="15" t="n">
        <v>0.5</v>
      </c>
      <c r="G29" s="15" t="n">
        <v>0.3</v>
      </c>
      <c r="H29" s="15" t="n">
        <v>0.4</v>
      </c>
      <c r="I29" s="15" t="n">
        <v>0.5</v>
      </c>
      <c r="J29" s="16" t="n">
        <f aca="false">INDEX(D29:I29,1,(Assumptions!$D$5-1)*3+Assumptions!$D$4)</f>
        <v>0.4</v>
      </c>
      <c r="K29" s="14" t="s">
        <v>83</v>
      </c>
      <c r="L29" s="14" t="s">
        <v>103</v>
      </c>
      <c r="M29" s="4" t="s">
        <v>144</v>
      </c>
    </row>
    <row r="30" customFormat="false" ht="15" hidden="false" customHeight="false" outlineLevel="0" collapsed="false">
      <c r="A30" s="4" t="s">
        <v>145</v>
      </c>
      <c r="B30" s="4" t="s">
        <v>146</v>
      </c>
      <c r="C30" s="14" t="s">
        <v>77</v>
      </c>
      <c r="D30" s="15" t="n">
        <v>0.4</v>
      </c>
      <c r="E30" s="15" t="n">
        <v>0.5</v>
      </c>
      <c r="F30" s="15" t="n">
        <v>0.6</v>
      </c>
      <c r="G30" s="15" t="n">
        <v>0.4</v>
      </c>
      <c r="H30" s="15" t="n">
        <v>0.5</v>
      </c>
      <c r="I30" s="15" t="n">
        <v>0.6</v>
      </c>
      <c r="J30" s="16" t="n">
        <f aca="false">INDEX(D30:I30,1,(Assumptions!$D$5-1)*3+Assumptions!$D$4)</f>
        <v>0.5</v>
      </c>
      <c r="K30" s="14" t="s">
        <v>78</v>
      </c>
      <c r="L30" s="14" t="s">
        <v>103</v>
      </c>
      <c r="M30" s="4" t="s">
        <v>147</v>
      </c>
    </row>
    <row r="31" customFormat="false" ht="15" hidden="false" customHeight="false" outlineLevel="0" collapsed="false">
      <c r="A31" s="4" t="s">
        <v>148</v>
      </c>
      <c r="B31" s="4" t="s">
        <v>149</v>
      </c>
      <c r="C31" s="14" t="s">
        <v>77</v>
      </c>
      <c r="D31" s="23" t="n">
        <v>0.1</v>
      </c>
      <c r="E31" s="23" t="n">
        <v>0.16</v>
      </c>
      <c r="F31" s="23" t="n">
        <v>0.22</v>
      </c>
      <c r="G31" s="23" t="n">
        <v>0.1</v>
      </c>
      <c r="H31" s="23" t="n">
        <v>0.16</v>
      </c>
      <c r="I31" s="23" t="n">
        <v>0.22</v>
      </c>
      <c r="J31" s="16" t="n">
        <f aca="false">INDEX(D31:I31,1,(Assumptions!$D$5-1)*3+Assumptions!$D$4)</f>
        <v>0.16</v>
      </c>
      <c r="K31" s="14" t="s">
        <v>150</v>
      </c>
      <c r="L31" s="14" t="s">
        <v>103</v>
      </c>
      <c r="M31" s="4" t="s">
        <v>151</v>
      </c>
    </row>
    <row r="32" customFormat="false" ht="23.85" hidden="false" customHeight="false" outlineLevel="0" collapsed="false">
      <c r="A32" s="4" t="s">
        <v>152</v>
      </c>
      <c r="B32" s="4" t="s">
        <v>153</v>
      </c>
      <c r="C32" s="14" t="s">
        <v>77</v>
      </c>
      <c r="D32" s="15" t="n">
        <v>0.15</v>
      </c>
      <c r="E32" s="15" t="n">
        <v>0.21</v>
      </c>
      <c r="F32" s="15" t="n">
        <v>0.3</v>
      </c>
      <c r="G32" s="15" t="n">
        <v>0.13</v>
      </c>
      <c r="H32" s="15" t="n">
        <v>0.18</v>
      </c>
      <c r="I32" s="15" t="n">
        <v>0.25</v>
      </c>
      <c r="J32" s="16" t="n">
        <f aca="false">INDEX(D32:I32,1,(Assumptions!$D$5-1)*3+Assumptions!$D$4)</f>
        <v>0.21</v>
      </c>
      <c r="K32" s="14" t="s">
        <v>83</v>
      </c>
      <c r="L32" s="14" t="s">
        <v>103</v>
      </c>
      <c r="M32" s="4" t="s">
        <v>154</v>
      </c>
    </row>
    <row r="33" customFormat="false" ht="23.85" hidden="false" customHeight="false" outlineLevel="0" collapsed="false">
      <c r="A33" s="4" t="s">
        <v>155</v>
      </c>
      <c r="B33" s="4" t="s">
        <v>156</v>
      </c>
      <c r="C33" s="14" t="s">
        <v>107</v>
      </c>
      <c r="D33" s="19" t="n">
        <v>1</v>
      </c>
      <c r="E33" s="19" t="n">
        <v>1</v>
      </c>
      <c r="F33" s="19" t="n">
        <v>1</v>
      </c>
      <c r="G33" s="19" t="n">
        <v>1</v>
      </c>
      <c r="H33" s="19" t="n">
        <v>1</v>
      </c>
      <c r="I33" s="19" t="n">
        <v>1</v>
      </c>
      <c r="J33" s="20" t="n">
        <f aca="false">INDEX(D33:I33,1,(Assumptions!$D$5-1)*3+Assumptions!$D$4)</f>
        <v>1</v>
      </c>
      <c r="K33" s="14" t="s">
        <v>78</v>
      </c>
      <c r="L33" s="14" t="s">
        <v>79</v>
      </c>
      <c r="M33" s="4"/>
    </row>
    <row r="34" customFormat="false" ht="23.85" hidden="false" customHeight="false" outlineLevel="0" collapsed="false">
      <c r="A34" s="4" t="s">
        <v>157</v>
      </c>
      <c r="B34" s="4" t="s">
        <v>158</v>
      </c>
      <c r="C34" s="14" t="s">
        <v>107</v>
      </c>
      <c r="D34" s="19" t="n">
        <v>0.5</v>
      </c>
      <c r="E34" s="19" t="n">
        <v>0.7</v>
      </c>
      <c r="F34" s="19" t="n">
        <v>0.9</v>
      </c>
      <c r="G34" s="19" t="n">
        <v>0.5</v>
      </c>
      <c r="H34" s="19" t="n">
        <v>0.7</v>
      </c>
      <c r="I34" s="19" t="n">
        <v>0.9</v>
      </c>
      <c r="J34" s="20" t="n">
        <f aca="false">INDEX(D34:I34,1,(Assumptions!$D$5-1)*3+Assumptions!$D$4)</f>
        <v>0.7</v>
      </c>
      <c r="K34" s="14" t="s">
        <v>78</v>
      </c>
      <c r="L34" s="14" t="s">
        <v>159</v>
      </c>
      <c r="M34" s="4" t="s">
        <v>160</v>
      </c>
    </row>
    <row r="35" customFormat="false" ht="23.85" hidden="false" customHeight="false" outlineLevel="0" collapsed="false">
      <c r="A35" s="4" t="s">
        <v>161</v>
      </c>
      <c r="B35" s="4" t="s">
        <v>162</v>
      </c>
      <c r="C35" s="14" t="s">
        <v>90</v>
      </c>
      <c r="D35" s="24" t="n">
        <v>1</v>
      </c>
      <c r="E35" s="24" t="n">
        <v>1</v>
      </c>
      <c r="F35" s="24" t="n">
        <v>1</v>
      </c>
      <c r="G35" s="24" t="n">
        <v>1</v>
      </c>
      <c r="H35" s="24" t="n">
        <v>1</v>
      </c>
      <c r="I35" s="24" t="n">
        <v>1</v>
      </c>
      <c r="J35" s="18" t="n">
        <f aca="false">INDEX(D35:I35,1,(Assumptions!$D$5-1)*3+Assumptions!$D$4)</f>
        <v>1</v>
      </c>
      <c r="K35" s="14" t="s">
        <v>150</v>
      </c>
      <c r="L35" s="14" t="s">
        <v>79</v>
      </c>
      <c r="M35" s="4" t="s">
        <v>163</v>
      </c>
    </row>
    <row r="36" customFormat="false" ht="15" hidden="false" customHeight="false" outlineLevel="0" collapsed="false">
      <c r="A36" s="4" t="s">
        <v>164</v>
      </c>
      <c r="B36" s="4" t="s">
        <v>165</v>
      </c>
      <c r="C36" s="14" t="s">
        <v>90</v>
      </c>
      <c r="D36" s="17" t="n">
        <v>2</v>
      </c>
      <c r="E36" s="17" t="n">
        <v>2</v>
      </c>
      <c r="F36" s="17" t="n">
        <v>2</v>
      </c>
      <c r="G36" s="17" t="n">
        <v>2</v>
      </c>
      <c r="H36" s="17" t="n">
        <v>2</v>
      </c>
      <c r="I36" s="17" t="n">
        <v>2</v>
      </c>
      <c r="J36" s="18" t="n">
        <f aca="false">INDEX(D36:I36,1,(Assumptions!$D$5-1)*3+Assumptions!$D$4)</f>
        <v>2</v>
      </c>
      <c r="K36" s="14" t="s">
        <v>83</v>
      </c>
      <c r="L36" s="14" t="s">
        <v>79</v>
      </c>
      <c r="M36" s="4" t="s">
        <v>166</v>
      </c>
    </row>
    <row r="37" customFormat="false" ht="15" hidden="false" customHeight="false" outlineLevel="0" collapsed="false">
      <c r="A37" s="4" t="s">
        <v>167</v>
      </c>
      <c r="B37" s="4" t="s">
        <v>168</v>
      </c>
      <c r="C37" s="14" t="s">
        <v>77</v>
      </c>
      <c r="D37" s="15" t="n">
        <v>0.15</v>
      </c>
      <c r="E37" s="15" t="n">
        <v>0.3</v>
      </c>
      <c r="F37" s="15" t="n">
        <v>0.4</v>
      </c>
      <c r="G37" s="15" t="n">
        <v>0.3</v>
      </c>
      <c r="H37" s="15" t="n">
        <v>0.45</v>
      </c>
      <c r="I37" s="15" t="n">
        <v>0.6</v>
      </c>
      <c r="J37" s="16" t="n">
        <f aca="false">INDEX(D37:I37,1,(Assumptions!$D$5-1)*3+Assumptions!$D$4)</f>
        <v>0.3</v>
      </c>
      <c r="K37" s="14" t="s">
        <v>78</v>
      </c>
      <c r="L37" s="14" t="s">
        <v>159</v>
      </c>
      <c r="M37" s="4" t="s">
        <v>169</v>
      </c>
    </row>
    <row r="38" customFormat="false" ht="23.85" hidden="false" customHeight="false" outlineLevel="0" collapsed="false">
      <c r="A38" s="4" t="s">
        <v>170</v>
      </c>
      <c r="B38" s="4" t="s">
        <v>171</v>
      </c>
      <c r="C38" s="14" t="s">
        <v>137</v>
      </c>
      <c r="D38" s="17" t="n">
        <v>100</v>
      </c>
      <c r="E38" s="17" t="n">
        <v>150</v>
      </c>
      <c r="F38" s="17" t="n">
        <v>200</v>
      </c>
      <c r="G38" s="17" t="n">
        <v>100</v>
      </c>
      <c r="H38" s="17" t="n">
        <v>150</v>
      </c>
      <c r="I38" s="17" t="n">
        <v>200</v>
      </c>
      <c r="J38" s="18" t="n">
        <f aca="false">INDEX(D38:I38,1,(Assumptions!$D$5-1)*3+Assumptions!$D$4)</f>
        <v>150</v>
      </c>
      <c r="K38" s="14" t="s">
        <v>78</v>
      </c>
      <c r="L38" s="14" t="s">
        <v>103</v>
      </c>
      <c r="M38" s="4" t="s">
        <v>172</v>
      </c>
    </row>
    <row r="39" customFormat="false" ht="15" hidden="false" customHeight="false" outlineLevel="0" collapsed="false">
      <c r="A39" s="4" t="s">
        <v>173</v>
      </c>
      <c r="B39" s="4" t="s">
        <v>174</v>
      </c>
      <c r="C39" s="14" t="s">
        <v>107</v>
      </c>
      <c r="D39" s="19" t="n">
        <v>1.25</v>
      </c>
      <c r="E39" s="19" t="n">
        <v>1.5</v>
      </c>
      <c r="F39" s="19" t="n">
        <v>1.75</v>
      </c>
      <c r="G39" s="19" t="n">
        <v>1.25</v>
      </c>
      <c r="H39" s="19" t="n">
        <v>1.5</v>
      </c>
      <c r="I39" s="19" t="n">
        <v>1.75</v>
      </c>
      <c r="J39" s="20" t="n">
        <f aca="false">INDEX(D39:I39,1,(Assumptions!$D$5-1)*3+Assumptions!$D$4)</f>
        <v>1.5</v>
      </c>
      <c r="K39" s="14" t="s">
        <v>78</v>
      </c>
      <c r="L39" s="14" t="s">
        <v>103</v>
      </c>
      <c r="M39" s="4" t="s">
        <v>175</v>
      </c>
    </row>
    <row r="40" customFormat="false" ht="79.85" hidden="false" customHeight="false" outlineLevel="0" collapsed="false">
      <c r="A40" s="3" t="s">
        <v>176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</row>
    <row r="41" customFormat="false" ht="15" hidden="false" customHeight="false" outlineLevel="0" collapsed="false">
      <c r="A41" s="4" t="s">
        <v>177</v>
      </c>
      <c r="B41" s="4" t="s">
        <v>178</v>
      </c>
      <c r="C41" s="14" t="s">
        <v>77</v>
      </c>
      <c r="D41" s="23" t="n">
        <v>0.22</v>
      </c>
      <c r="E41" s="23" t="n">
        <v>0.22</v>
      </c>
      <c r="F41" s="23" t="n">
        <v>0.22</v>
      </c>
      <c r="G41" s="23" t="n">
        <v>0.062</v>
      </c>
      <c r="H41" s="23" t="n">
        <v>0.062</v>
      </c>
      <c r="I41" s="23" t="n">
        <v>0.062</v>
      </c>
      <c r="J41" s="16" t="n">
        <f aca="false">INDEX(D41:I41,1,(Assumptions!$D$5-1)*3+Assumptions!$D$4)</f>
        <v>0.22</v>
      </c>
      <c r="K41" s="14" t="s">
        <v>179</v>
      </c>
      <c r="L41" s="14" t="s">
        <v>79</v>
      </c>
      <c r="M41" s="4" t="s">
        <v>180</v>
      </c>
    </row>
    <row r="42" customFormat="false" ht="15" hidden="false" customHeight="false" outlineLevel="0" collapsed="false">
      <c r="A42" s="4" t="s">
        <v>181</v>
      </c>
      <c r="B42" s="4" t="s">
        <v>182</v>
      </c>
      <c r="C42" s="14" t="s">
        <v>133</v>
      </c>
      <c r="D42" s="17" t="n">
        <v>150</v>
      </c>
      <c r="E42" s="17" t="n">
        <v>150</v>
      </c>
      <c r="F42" s="17" t="n">
        <v>150</v>
      </c>
      <c r="G42" s="17" t="n">
        <v>150</v>
      </c>
      <c r="H42" s="17" t="n">
        <v>150</v>
      </c>
      <c r="I42" s="17" t="n">
        <v>150</v>
      </c>
      <c r="J42" s="18" t="n">
        <f aca="false">INDEX(D42:I42,1,(Assumptions!$D$5-1)*3+Assumptions!$D$4)</f>
        <v>150</v>
      </c>
      <c r="K42" s="14" t="s">
        <v>78</v>
      </c>
      <c r="L42" s="14" t="s">
        <v>79</v>
      </c>
      <c r="M42" s="4" t="s">
        <v>183</v>
      </c>
    </row>
    <row r="43" customFormat="false" ht="15" hidden="false" customHeight="false" outlineLevel="0" collapsed="false">
      <c r="A43" s="4" t="s">
        <v>184</v>
      </c>
      <c r="B43" s="4" t="s">
        <v>185</v>
      </c>
      <c r="C43" s="14" t="s">
        <v>107</v>
      </c>
      <c r="D43" s="19" t="n">
        <v>0.75</v>
      </c>
      <c r="E43" s="19" t="n">
        <v>1</v>
      </c>
      <c r="F43" s="19" t="n">
        <v>1.5</v>
      </c>
      <c r="G43" s="19" t="n">
        <v>0.75</v>
      </c>
      <c r="H43" s="19" t="n">
        <v>1</v>
      </c>
      <c r="I43" s="19" t="n">
        <v>1.5</v>
      </c>
      <c r="J43" s="20" t="n">
        <f aca="false">INDEX(D43:I43,1,(Assumptions!$D$5-1)*3+Assumptions!$D$4)</f>
        <v>1</v>
      </c>
      <c r="K43" s="14" t="s">
        <v>78</v>
      </c>
      <c r="L43" s="14" t="s">
        <v>159</v>
      </c>
      <c r="M43" s="4"/>
    </row>
    <row r="44" customFormat="false" ht="15" hidden="false" customHeight="false" outlineLevel="0" collapsed="false">
      <c r="A44" s="4" t="s">
        <v>186</v>
      </c>
      <c r="B44" s="4" t="s">
        <v>187</v>
      </c>
      <c r="C44" s="14" t="s">
        <v>133</v>
      </c>
      <c r="D44" s="17" t="n">
        <v>2</v>
      </c>
      <c r="E44" s="17" t="n">
        <v>2</v>
      </c>
      <c r="F44" s="17" t="n">
        <v>2</v>
      </c>
      <c r="G44" s="17" t="n">
        <v>2</v>
      </c>
      <c r="H44" s="17" t="n">
        <v>2</v>
      </c>
      <c r="I44" s="17" t="n">
        <v>2</v>
      </c>
      <c r="J44" s="18" t="n">
        <f aca="false">INDEX(D44:I44,1,(Assumptions!$D$5-1)*3+Assumptions!$D$4)</f>
        <v>2</v>
      </c>
      <c r="K44" s="14" t="s">
        <v>78</v>
      </c>
      <c r="L44" s="14" t="s">
        <v>79</v>
      </c>
      <c r="M44" s="4"/>
    </row>
    <row r="45" customFormat="false" ht="15" hidden="false" customHeight="false" outlineLevel="0" collapsed="false">
      <c r="A45" s="4" t="s">
        <v>188</v>
      </c>
      <c r="B45" s="4" t="s">
        <v>189</v>
      </c>
      <c r="C45" s="14" t="s">
        <v>190</v>
      </c>
      <c r="D45" s="17" t="n">
        <v>2</v>
      </c>
      <c r="E45" s="17" t="n">
        <v>2</v>
      </c>
      <c r="F45" s="17" t="n">
        <v>2</v>
      </c>
      <c r="G45" s="17" t="n">
        <v>2</v>
      </c>
      <c r="H45" s="17" t="n">
        <v>2</v>
      </c>
      <c r="I45" s="17" t="n">
        <v>2</v>
      </c>
      <c r="J45" s="18" t="n">
        <f aca="false">INDEX(D45:I45,1,(Assumptions!$D$5-1)*3+Assumptions!$D$4)</f>
        <v>2</v>
      </c>
      <c r="K45" s="14" t="s">
        <v>78</v>
      </c>
      <c r="L45" s="14" t="s">
        <v>79</v>
      </c>
      <c r="M45" s="4"/>
    </row>
    <row r="46" customFormat="false" ht="15" hidden="false" customHeight="false" outlineLevel="0" collapsed="false">
      <c r="A46" s="4" t="s">
        <v>191</v>
      </c>
      <c r="B46" s="4" t="s">
        <v>192</v>
      </c>
      <c r="C46" s="14" t="s">
        <v>193</v>
      </c>
      <c r="D46" s="17" t="n">
        <v>6</v>
      </c>
      <c r="E46" s="17" t="n">
        <v>6</v>
      </c>
      <c r="F46" s="17" t="n">
        <v>6</v>
      </c>
      <c r="G46" s="17" t="n">
        <v>6</v>
      </c>
      <c r="H46" s="17" t="n">
        <v>6</v>
      </c>
      <c r="I46" s="17" t="n">
        <v>6</v>
      </c>
      <c r="J46" s="18" t="n">
        <f aca="false">INDEX(D46:I46,1,(Assumptions!$D$5-1)*3+Assumptions!$D$4)</f>
        <v>6</v>
      </c>
      <c r="K46" s="14" t="s">
        <v>83</v>
      </c>
      <c r="L46" s="14" t="s">
        <v>79</v>
      </c>
      <c r="M46" s="4" t="s">
        <v>194</v>
      </c>
    </row>
    <row r="47" customFormat="false" ht="15" hidden="false" customHeight="false" outlineLevel="0" collapsed="false">
      <c r="A47" s="4" t="s">
        <v>195</v>
      </c>
      <c r="B47" s="4" t="s">
        <v>196</v>
      </c>
      <c r="C47" s="14" t="s">
        <v>193</v>
      </c>
      <c r="D47" s="17" t="n">
        <v>4</v>
      </c>
      <c r="E47" s="17" t="n">
        <v>4</v>
      </c>
      <c r="F47" s="17" t="n">
        <v>4</v>
      </c>
      <c r="G47" s="17" t="n">
        <v>4</v>
      </c>
      <c r="H47" s="17" t="n">
        <v>4</v>
      </c>
      <c r="I47" s="17" t="n">
        <v>4</v>
      </c>
      <c r="J47" s="18" t="n">
        <f aca="false">INDEX(D47:I47,1,(Assumptions!$D$5-1)*3+Assumptions!$D$4)</f>
        <v>4</v>
      </c>
      <c r="K47" s="14" t="s">
        <v>78</v>
      </c>
      <c r="L47" s="14" t="s">
        <v>79</v>
      </c>
      <c r="M47" s="4" t="s">
        <v>197</v>
      </c>
    </row>
    <row r="48" customFormat="false" ht="15" hidden="false" customHeight="false" outlineLevel="0" collapsed="false">
      <c r="A48" s="4" t="s">
        <v>198</v>
      </c>
      <c r="B48" s="4" t="s">
        <v>199</v>
      </c>
      <c r="C48" s="14" t="s">
        <v>77</v>
      </c>
      <c r="D48" s="15" t="n">
        <v>0.25</v>
      </c>
      <c r="E48" s="15" t="n">
        <v>0.25</v>
      </c>
      <c r="F48" s="15" t="n">
        <v>0.25</v>
      </c>
      <c r="G48" s="15" t="n">
        <v>0.25</v>
      </c>
      <c r="H48" s="15" t="n">
        <v>0.25</v>
      </c>
      <c r="I48" s="15" t="n">
        <v>0.25</v>
      </c>
      <c r="J48" s="16" t="n">
        <f aca="false">INDEX(D48:I48,1,(Assumptions!$D$5-1)*3+Assumptions!$D$4)</f>
        <v>0.25</v>
      </c>
      <c r="K48" s="14" t="s">
        <v>78</v>
      </c>
      <c r="L48" s="14" t="s">
        <v>79</v>
      </c>
      <c r="M48" s="4"/>
    </row>
    <row r="49" customFormat="false" ht="15" hidden="false" customHeight="false" outlineLevel="0" collapsed="false">
      <c r="A49" s="4" t="s">
        <v>200</v>
      </c>
      <c r="B49" s="4" t="s">
        <v>201</v>
      </c>
      <c r="C49" s="14" t="s">
        <v>193</v>
      </c>
      <c r="D49" s="17" t="n">
        <v>8</v>
      </c>
      <c r="E49" s="17" t="n">
        <v>8</v>
      </c>
      <c r="F49" s="17" t="n">
        <v>8</v>
      </c>
      <c r="G49" s="17" t="n">
        <v>8</v>
      </c>
      <c r="H49" s="17" t="n">
        <v>8</v>
      </c>
      <c r="I49" s="17" t="n">
        <v>8</v>
      </c>
      <c r="J49" s="18" t="n">
        <f aca="false">INDEX(D49:I49,1,(Assumptions!$D$5-1)*3+Assumptions!$D$4)</f>
        <v>8</v>
      </c>
      <c r="K49" s="14" t="s">
        <v>78</v>
      </c>
      <c r="L49" s="14" t="s">
        <v>79</v>
      </c>
      <c r="M49" s="4"/>
    </row>
    <row r="50" customFormat="false" ht="15" hidden="false" customHeight="false" outlineLevel="0" collapsed="false">
      <c r="A50" s="4" t="s">
        <v>202</v>
      </c>
      <c r="B50" s="4" t="s">
        <v>203</v>
      </c>
      <c r="C50" s="14" t="s">
        <v>204</v>
      </c>
      <c r="D50" s="17" t="n">
        <v>6</v>
      </c>
      <c r="E50" s="17" t="n">
        <v>6</v>
      </c>
      <c r="F50" s="17" t="n">
        <v>6</v>
      </c>
      <c r="G50" s="17" t="n">
        <v>6</v>
      </c>
      <c r="H50" s="17" t="n">
        <v>6</v>
      </c>
      <c r="I50" s="17" t="n">
        <v>6</v>
      </c>
      <c r="J50" s="18" t="n">
        <f aca="false">INDEX(D50:I50,1,(Assumptions!$D$5-1)*3+Assumptions!$D$4)</f>
        <v>6</v>
      </c>
      <c r="K50" s="14" t="s">
        <v>78</v>
      </c>
      <c r="L50" s="14" t="s">
        <v>79</v>
      </c>
      <c r="M50" s="4"/>
    </row>
    <row r="51" customFormat="false" ht="15" hidden="false" customHeight="false" outlineLevel="0" collapsed="false">
      <c r="A51" s="4" t="s">
        <v>205</v>
      </c>
      <c r="B51" s="4" t="s">
        <v>206</v>
      </c>
      <c r="C51" s="14" t="s">
        <v>207</v>
      </c>
      <c r="D51" s="25" t="n">
        <v>261</v>
      </c>
      <c r="E51" s="25" t="n">
        <v>261</v>
      </c>
      <c r="F51" s="25" t="n">
        <v>261</v>
      </c>
      <c r="G51" s="25" t="n">
        <v>261</v>
      </c>
      <c r="H51" s="25" t="n">
        <v>261</v>
      </c>
      <c r="I51" s="25" t="n">
        <v>261</v>
      </c>
      <c r="J51" s="22" t="n">
        <f aca="false">INDEX(D51:I51,1,(Assumptions!$D$5-1)*3+Assumptions!$D$4)</f>
        <v>261</v>
      </c>
      <c r="K51" s="14" t="s">
        <v>208</v>
      </c>
      <c r="L51" s="14" t="s">
        <v>79</v>
      </c>
      <c r="M51" s="4" t="s">
        <v>197</v>
      </c>
    </row>
    <row r="52" customFormat="false" ht="15" hidden="false" customHeight="false" outlineLevel="0" collapsed="false">
      <c r="A52" s="4" t="s">
        <v>209</v>
      </c>
      <c r="B52" s="4" t="s">
        <v>210</v>
      </c>
      <c r="C52" s="14" t="s">
        <v>193</v>
      </c>
      <c r="D52" s="24" t="n">
        <v>72000</v>
      </c>
      <c r="E52" s="24" t="n">
        <v>72000</v>
      </c>
      <c r="F52" s="24" t="n">
        <v>72000</v>
      </c>
      <c r="G52" s="24" t="n">
        <v>72000</v>
      </c>
      <c r="H52" s="24" t="n">
        <v>72000</v>
      </c>
      <c r="I52" s="24" t="n">
        <v>72000</v>
      </c>
      <c r="J52" s="18" t="n">
        <f aca="false">INDEX(D52:I52,1,(Assumptions!$D$5-1)*3+Assumptions!$D$4)</f>
        <v>72000</v>
      </c>
      <c r="K52" s="14" t="s">
        <v>208</v>
      </c>
      <c r="L52" s="14" t="s">
        <v>79</v>
      </c>
      <c r="M52" s="4" t="s">
        <v>197</v>
      </c>
    </row>
    <row r="53" customFormat="false" ht="15" hidden="false" customHeight="false" outlineLevel="0" collapsed="false">
      <c r="A53" s="4" t="s">
        <v>211</v>
      </c>
      <c r="B53" s="4" t="s">
        <v>212</v>
      </c>
      <c r="C53" s="14" t="s">
        <v>207</v>
      </c>
      <c r="D53" s="25" t="n">
        <v>185</v>
      </c>
      <c r="E53" s="25" t="n">
        <v>185</v>
      </c>
      <c r="F53" s="25" t="n">
        <v>185</v>
      </c>
      <c r="G53" s="25" t="n">
        <v>185</v>
      </c>
      <c r="H53" s="25" t="n">
        <v>185</v>
      </c>
      <c r="I53" s="25" t="n">
        <v>185</v>
      </c>
      <c r="J53" s="22" t="n">
        <f aca="false">INDEX(D53:I53,1,(Assumptions!$D$5-1)*3+Assumptions!$D$4)</f>
        <v>185</v>
      </c>
      <c r="K53" s="14" t="s">
        <v>208</v>
      </c>
      <c r="L53" s="14" t="s">
        <v>79</v>
      </c>
      <c r="M53" s="4" t="s">
        <v>197</v>
      </c>
    </row>
    <row r="54" customFormat="false" ht="15" hidden="false" customHeight="false" outlineLevel="0" collapsed="false">
      <c r="A54" s="4" t="s">
        <v>213</v>
      </c>
      <c r="B54" s="4" t="s">
        <v>214</v>
      </c>
      <c r="C54" s="14" t="s">
        <v>204</v>
      </c>
      <c r="D54" s="24" t="n">
        <v>480000</v>
      </c>
      <c r="E54" s="24" t="n">
        <v>480000</v>
      </c>
      <c r="F54" s="24" t="n">
        <v>480000</v>
      </c>
      <c r="G54" s="24" t="n">
        <v>480000</v>
      </c>
      <c r="H54" s="24" t="n">
        <v>480000</v>
      </c>
      <c r="I54" s="24" t="n">
        <v>480000</v>
      </c>
      <c r="J54" s="18" t="n">
        <f aca="false">INDEX(D54:I54,1,(Assumptions!$D$5-1)*3+Assumptions!$D$4)</f>
        <v>480000</v>
      </c>
      <c r="K54" s="14" t="s">
        <v>208</v>
      </c>
      <c r="L54" s="14" t="s">
        <v>79</v>
      </c>
      <c r="M54" s="4" t="s">
        <v>197</v>
      </c>
    </row>
    <row r="55" customFormat="false" ht="15" hidden="false" customHeight="false" outlineLevel="0" collapsed="false">
      <c r="A55" s="4" t="s">
        <v>215</v>
      </c>
      <c r="B55" s="4" t="s">
        <v>216</v>
      </c>
      <c r="C55" s="14" t="s">
        <v>193</v>
      </c>
      <c r="D55" s="24" t="n">
        <v>1200000</v>
      </c>
      <c r="E55" s="24" t="n">
        <v>1200000</v>
      </c>
      <c r="F55" s="24" t="n">
        <v>1200000</v>
      </c>
      <c r="G55" s="24" t="n">
        <v>1200000</v>
      </c>
      <c r="H55" s="24" t="n">
        <v>1200000</v>
      </c>
      <c r="I55" s="24" t="n">
        <v>1200000</v>
      </c>
      <c r="J55" s="18" t="n">
        <f aca="false">INDEX(D55:I55,1,(Assumptions!$D$5-1)*3+Assumptions!$D$4)</f>
        <v>1200000</v>
      </c>
      <c r="K55" s="14" t="s">
        <v>208</v>
      </c>
      <c r="L55" s="14" t="s">
        <v>79</v>
      </c>
      <c r="M55" s="4" t="s">
        <v>197</v>
      </c>
    </row>
    <row r="56" customFormat="false" ht="15" hidden="false" customHeight="false" outlineLevel="0" collapsed="false">
      <c r="A56" s="4" t="s">
        <v>217</v>
      </c>
      <c r="B56" s="4" t="s">
        <v>218</v>
      </c>
      <c r="C56" s="14" t="s">
        <v>204</v>
      </c>
      <c r="D56" s="24" t="n">
        <v>2400000</v>
      </c>
      <c r="E56" s="24" t="n">
        <v>2400000</v>
      </c>
      <c r="F56" s="24" t="n">
        <v>2400000</v>
      </c>
      <c r="G56" s="24" t="n">
        <v>2400000</v>
      </c>
      <c r="H56" s="24" t="n">
        <v>2400000</v>
      </c>
      <c r="I56" s="24" t="n">
        <v>2400000</v>
      </c>
      <c r="J56" s="18" t="n">
        <f aca="false">INDEX(D56:I56,1,(Assumptions!$D$5-1)*3+Assumptions!$D$4)</f>
        <v>2400000</v>
      </c>
      <c r="K56" s="14" t="s">
        <v>208</v>
      </c>
      <c r="L56" s="14" t="s">
        <v>79</v>
      </c>
      <c r="M56" s="4" t="s">
        <v>197</v>
      </c>
    </row>
    <row r="57" customFormat="false" ht="15" hidden="false" customHeight="false" outlineLevel="0" collapsed="false">
      <c r="A57" s="4" t="s">
        <v>219</v>
      </c>
      <c r="B57" s="4" t="s">
        <v>220</v>
      </c>
      <c r="C57" s="14" t="s">
        <v>77</v>
      </c>
      <c r="D57" s="23" t="n">
        <v>0.3</v>
      </c>
      <c r="E57" s="23" t="n">
        <v>0.3</v>
      </c>
      <c r="F57" s="23" t="n">
        <v>0.3</v>
      </c>
      <c r="G57" s="23" t="n">
        <v>0.3</v>
      </c>
      <c r="H57" s="23" t="n">
        <v>0.3</v>
      </c>
      <c r="I57" s="23" t="n">
        <v>0.3</v>
      </c>
      <c r="J57" s="16" t="n">
        <f aca="false">INDEX(D57:I57,1,(Assumptions!$D$5-1)*3+Assumptions!$D$4)</f>
        <v>0.3</v>
      </c>
      <c r="K57" s="14" t="s">
        <v>150</v>
      </c>
      <c r="L57" s="14" t="s">
        <v>79</v>
      </c>
      <c r="M57" s="4" t="s">
        <v>221</v>
      </c>
    </row>
    <row r="58" customFormat="false" ht="102.2" hidden="false" customHeight="false" outlineLevel="0" collapsed="false">
      <c r="A58" s="3" t="s">
        <v>222</v>
      </c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</row>
    <row r="59" customFormat="false" ht="15" hidden="false" customHeight="false" outlineLevel="0" collapsed="false">
      <c r="A59" s="4" t="s">
        <v>223</v>
      </c>
      <c r="B59" s="4" t="s">
        <v>224</v>
      </c>
      <c r="C59" s="14" t="s">
        <v>77</v>
      </c>
      <c r="D59" s="23" t="n">
        <v>0.85</v>
      </c>
      <c r="E59" s="23" t="n">
        <v>0.88</v>
      </c>
      <c r="F59" s="23" t="n">
        <v>0.91</v>
      </c>
      <c r="G59" s="23" t="n">
        <v>0.85</v>
      </c>
      <c r="H59" s="23" t="n">
        <v>0.88</v>
      </c>
      <c r="I59" s="23" t="n">
        <v>0.91</v>
      </c>
      <c r="J59" s="16" t="n">
        <f aca="false">INDEX(D59:I59,1,(Assumptions!$D$5-1)*3+Assumptions!$D$4)</f>
        <v>0.88</v>
      </c>
      <c r="K59" s="14" t="s">
        <v>150</v>
      </c>
      <c r="L59" s="14" t="s">
        <v>159</v>
      </c>
      <c r="M59" s="4" t="s">
        <v>225</v>
      </c>
    </row>
    <row r="60" customFormat="false" ht="15" hidden="false" customHeight="false" outlineLevel="0" collapsed="false">
      <c r="A60" s="4" t="s">
        <v>226</v>
      </c>
      <c r="B60" s="4" t="s">
        <v>227</v>
      </c>
      <c r="C60" s="14" t="s">
        <v>77</v>
      </c>
      <c r="D60" s="23" t="n">
        <v>0.86</v>
      </c>
      <c r="E60" s="23" t="n">
        <v>0.9</v>
      </c>
      <c r="F60" s="23" t="n">
        <v>0.93</v>
      </c>
      <c r="G60" s="23" t="n">
        <v>0.86</v>
      </c>
      <c r="H60" s="23" t="n">
        <v>0.9</v>
      </c>
      <c r="I60" s="23" t="n">
        <v>0.93</v>
      </c>
      <c r="J60" s="16" t="n">
        <f aca="false">INDEX(D60:I60,1,(Assumptions!$D$5-1)*3+Assumptions!$D$4)</f>
        <v>0.9</v>
      </c>
      <c r="K60" s="14" t="s">
        <v>150</v>
      </c>
      <c r="L60" s="14" t="s">
        <v>159</v>
      </c>
      <c r="M60" s="4" t="s">
        <v>228</v>
      </c>
    </row>
    <row r="61" customFormat="false" ht="15" hidden="false" customHeight="false" outlineLevel="0" collapsed="false">
      <c r="A61" s="4" t="s">
        <v>229</v>
      </c>
      <c r="B61" s="4" t="s">
        <v>230</v>
      </c>
      <c r="C61" s="14" t="s">
        <v>77</v>
      </c>
      <c r="D61" s="23" t="n">
        <v>0.88</v>
      </c>
      <c r="E61" s="23" t="n">
        <v>0.92</v>
      </c>
      <c r="F61" s="23" t="n">
        <v>0.95</v>
      </c>
      <c r="G61" s="23" t="n">
        <v>0.88</v>
      </c>
      <c r="H61" s="23" t="n">
        <v>0.92</v>
      </c>
      <c r="I61" s="23" t="n">
        <v>0.95</v>
      </c>
      <c r="J61" s="16" t="n">
        <f aca="false">INDEX(D61:I61,1,(Assumptions!$D$5-1)*3+Assumptions!$D$4)</f>
        <v>0.92</v>
      </c>
      <c r="K61" s="14" t="s">
        <v>150</v>
      </c>
      <c r="L61" s="14" t="s">
        <v>159</v>
      </c>
      <c r="M61" s="4" t="s">
        <v>228</v>
      </c>
    </row>
    <row r="62" customFormat="false" ht="15" hidden="false" customHeight="false" outlineLevel="0" collapsed="false">
      <c r="A62" s="4" t="s">
        <v>231</v>
      </c>
      <c r="B62" s="4" t="s">
        <v>232</v>
      </c>
      <c r="C62" s="14" t="s">
        <v>77</v>
      </c>
      <c r="D62" s="23" t="n">
        <v>0.92</v>
      </c>
      <c r="E62" s="23" t="n">
        <v>1</v>
      </c>
      <c r="F62" s="23" t="n">
        <v>1.06</v>
      </c>
      <c r="G62" s="23" t="n">
        <v>0.92</v>
      </c>
      <c r="H62" s="23" t="n">
        <v>1</v>
      </c>
      <c r="I62" s="23" t="n">
        <v>1.06</v>
      </c>
      <c r="J62" s="16" t="n">
        <f aca="false">INDEX(D62:I62,1,(Assumptions!$D$5-1)*3+Assumptions!$D$4)</f>
        <v>1</v>
      </c>
      <c r="K62" s="14" t="s">
        <v>150</v>
      </c>
      <c r="L62" s="14" t="s">
        <v>159</v>
      </c>
      <c r="M62" s="4" t="s">
        <v>228</v>
      </c>
    </row>
    <row r="63" customFormat="false" ht="15" hidden="false" customHeight="false" outlineLevel="0" collapsed="false">
      <c r="A63" s="4" t="s">
        <v>233</v>
      </c>
      <c r="B63" s="4" t="s">
        <v>234</v>
      </c>
      <c r="C63" s="14" t="s">
        <v>77</v>
      </c>
      <c r="D63" s="23" t="n">
        <v>0.98</v>
      </c>
      <c r="E63" s="23" t="n">
        <v>1.06</v>
      </c>
      <c r="F63" s="23" t="n">
        <v>1.15</v>
      </c>
      <c r="G63" s="23" t="n">
        <v>0.98</v>
      </c>
      <c r="H63" s="23" t="n">
        <v>1.06</v>
      </c>
      <c r="I63" s="23" t="n">
        <v>1.15</v>
      </c>
      <c r="J63" s="16" t="n">
        <f aca="false">INDEX(D63:I63,1,(Assumptions!$D$5-1)*3+Assumptions!$D$4)</f>
        <v>1.06</v>
      </c>
      <c r="K63" s="14" t="s">
        <v>150</v>
      </c>
      <c r="L63" s="14" t="s">
        <v>159</v>
      </c>
      <c r="M63" s="4" t="s">
        <v>228</v>
      </c>
    </row>
    <row r="64" customFormat="false" ht="15" hidden="false" customHeight="false" outlineLevel="0" collapsed="false">
      <c r="A64" s="4" t="s">
        <v>235</v>
      </c>
      <c r="B64" s="4" t="s">
        <v>236</v>
      </c>
      <c r="C64" s="14" t="s">
        <v>77</v>
      </c>
      <c r="D64" s="23" t="n">
        <v>1.05</v>
      </c>
      <c r="E64" s="23" t="n">
        <v>1.15</v>
      </c>
      <c r="F64" s="23" t="n">
        <v>1.3</v>
      </c>
      <c r="G64" s="23" t="n">
        <v>1.05</v>
      </c>
      <c r="H64" s="23" t="n">
        <v>1.15</v>
      </c>
      <c r="I64" s="23" t="n">
        <v>1.3</v>
      </c>
      <c r="J64" s="16" t="n">
        <f aca="false">INDEX(D64:I64,1,(Assumptions!$D$5-1)*3+Assumptions!$D$4)</f>
        <v>1.15</v>
      </c>
      <c r="K64" s="14" t="s">
        <v>150</v>
      </c>
      <c r="L64" s="14" t="s">
        <v>159</v>
      </c>
      <c r="M64" s="4" t="s">
        <v>237</v>
      </c>
    </row>
    <row r="65" customFormat="false" ht="91" hidden="false" customHeight="false" outlineLevel="0" collapsed="false">
      <c r="A65" s="3" t="s">
        <v>238</v>
      </c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</row>
    <row r="66" customFormat="false" ht="15" hidden="false" customHeight="false" outlineLevel="0" collapsed="false">
      <c r="A66" s="4" t="s">
        <v>239</v>
      </c>
      <c r="B66" s="4" t="s">
        <v>240</v>
      </c>
      <c r="C66" s="14" t="s">
        <v>125</v>
      </c>
      <c r="D66" s="25" t="n">
        <v>875000</v>
      </c>
      <c r="E66" s="25" t="n">
        <v>875000</v>
      </c>
      <c r="F66" s="25" t="n">
        <v>875000</v>
      </c>
      <c r="G66" s="25" t="n">
        <v>875000</v>
      </c>
      <c r="H66" s="25" t="n">
        <v>875000</v>
      </c>
      <c r="I66" s="25" t="n">
        <v>875000</v>
      </c>
      <c r="J66" s="22" t="n">
        <f aca="false">INDEX(D66:I66,1,(Assumptions!$D$5-1)*3+Assumptions!$D$4)</f>
        <v>875000</v>
      </c>
      <c r="K66" s="14" t="s">
        <v>150</v>
      </c>
      <c r="L66" s="14" t="s">
        <v>79</v>
      </c>
      <c r="M66" s="4" t="s">
        <v>241</v>
      </c>
    </row>
    <row r="67" customFormat="false" ht="15" hidden="false" customHeight="false" outlineLevel="0" collapsed="false">
      <c r="A67" s="4" t="s">
        <v>242</v>
      </c>
      <c r="B67" s="4" t="s">
        <v>243</v>
      </c>
      <c r="C67" s="14" t="s">
        <v>77</v>
      </c>
      <c r="D67" s="23" t="n">
        <v>0.55</v>
      </c>
      <c r="E67" s="23" t="n">
        <v>0.7</v>
      </c>
      <c r="F67" s="23" t="n">
        <v>0.85</v>
      </c>
      <c r="G67" s="23" t="n">
        <v>0.55</v>
      </c>
      <c r="H67" s="23" t="n">
        <v>0.7</v>
      </c>
      <c r="I67" s="23" t="n">
        <v>0.85</v>
      </c>
      <c r="J67" s="16" t="n">
        <f aca="false">INDEX(D67:I67,1,(Assumptions!$D$5-1)*3+Assumptions!$D$4)</f>
        <v>0.7</v>
      </c>
      <c r="K67" s="14" t="s">
        <v>150</v>
      </c>
      <c r="L67" s="14" t="s">
        <v>103</v>
      </c>
      <c r="M67" s="4" t="s">
        <v>244</v>
      </c>
    </row>
    <row r="68" customFormat="false" ht="15" hidden="false" customHeight="false" outlineLevel="0" collapsed="false">
      <c r="A68" s="4" t="s">
        <v>245</v>
      </c>
      <c r="B68" s="4" t="s">
        <v>246</v>
      </c>
      <c r="C68" s="14" t="s">
        <v>125</v>
      </c>
      <c r="D68" s="25" t="n">
        <v>200000</v>
      </c>
      <c r="E68" s="25" t="n">
        <v>200000</v>
      </c>
      <c r="F68" s="25" t="n">
        <v>200000</v>
      </c>
      <c r="G68" s="25" t="n">
        <v>200000</v>
      </c>
      <c r="H68" s="25" t="n">
        <v>200000</v>
      </c>
      <c r="I68" s="25" t="n">
        <v>200000</v>
      </c>
      <c r="J68" s="22" t="n">
        <f aca="false">INDEX(D68:I68,1,(Assumptions!$D$5-1)*3+Assumptions!$D$4)</f>
        <v>200000</v>
      </c>
      <c r="K68" s="14" t="s">
        <v>150</v>
      </c>
      <c r="L68" s="14" t="s">
        <v>79</v>
      </c>
      <c r="M68" s="4" t="s">
        <v>247</v>
      </c>
    </row>
    <row r="69" customFormat="false" ht="15" hidden="false" customHeight="false" outlineLevel="0" collapsed="false">
      <c r="A69" s="4" t="s">
        <v>248</v>
      </c>
      <c r="B69" s="4" t="s">
        <v>249</v>
      </c>
      <c r="C69" s="14" t="s">
        <v>77</v>
      </c>
      <c r="D69" s="23" t="n">
        <v>0.7</v>
      </c>
      <c r="E69" s="23" t="n">
        <v>0.7</v>
      </c>
      <c r="F69" s="23" t="n">
        <v>0.7</v>
      </c>
      <c r="G69" s="23" t="n">
        <v>0.7</v>
      </c>
      <c r="H69" s="23" t="n">
        <v>0.7</v>
      </c>
      <c r="I69" s="23" t="n">
        <v>0.7</v>
      </c>
      <c r="J69" s="16" t="n">
        <f aca="false">INDEX(D69:I69,1,(Assumptions!$D$5-1)*3+Assumptions!$D$4)</f>
        <v>0.7</v>
      </c>
      <c r="K69" s="14" t="s">
        <v>208</v>
      </c>
      <c r="L69" s="14" t="s">
        <v>79</v>
      </c>
      <c r="M69" s="4" t="s">
        <v>250</v>
      </c>
    </row>
    <row r="70" customFormat="false" ht="15" hidden="false" customHeight="false" outlineLevel="0" collapsed="false">
      <c r="A70" s="4" t="s">
        <v>251</v>
      </c>
      <c r="B70" s="4" t="s">
        <v>252</v>
      </c>
      <c r="C70" s="14" t="s">
        <v>125</v>
      </c>
      <c r="D70" s="25" t="n">
        <v>186910</v>
      </c>
      <c r="E70" s="25" t="n">
        <v>186910</v>
      </c>
      <c r="F70" s="25" t="n">
        <v>186910</v>
      </c>
      <c r="G70" s="25" t="n">
        <v>186910</v>
      </c>
      <c r="H70" s="25" t="n">
        <v>186910</v>
      </c>
      <c r="I70" s="25" t="n">
        <v>186910</v>
      </c>
      <c r="J70" s="22" t="n">
        <f aca="false">INDEX(D70:I70,1,(Assumptions!$D$5-1)*3+Assumptions!$D$4)</f>
        <v>186910</v>
      </c>
      <c r="K70" s="14" t="s">
        <v>208</v>
      </c>
      <c r="L70" s="14" t="s">
        <v>79</v>
      </c>
      <c r="M70" s="4" t="s">
        <v>253</v>
      </c>
    </row>
    <row r="71" customFormat="false" ht="15" hidden="false" customHeight="false" outlineLevel="0" collapsed="false">
      <c r="A71" s="4" t="s">
        <v>254</v>
      </c>
      <c r="B71" s="4" t="s">
        <v>255</v>
      </c>
      <c r="C71" s="14" t="s">
        <v>125</v>
      </c>
      <c r="D71" s="25" t="n">
        <v>206930</v>
      </c>
      <c r="E71" s="25" t="n">
        <v>206930</v>
      </c>
      <c r="F71" s="25" t="n">
        <v>206930</v>
      </c>
      <c r="G71" s="25" t="n">
        <v>206930</v>
      </c>
      <c r="H71" s="25" t="n">
        <v>206930</v>
      </c>
      <c r="I71" s="25" t="n">
        <v>206930</v>
      </c>
      <c r="J71" s="22" t="n">
        <f aca="false">INDEX(D71:I71,1,(Assumptions!$D$5-1)*3+Assumptions!$D$4)</f>
        <v>206930</v>
      </c>
      <c r="K71" s="14" t="s">
        <v>208</v>
      </c>
      <c r="L71" s="14" t="s">
        <v>79</v>
      </c>
      <c r="M71" s="4" t="s">
        <v>256</v>
      </c>
    </row>
    <row r="72" customFormat="false" ht="15" hidden="false" customHeight="false" outlineLevel="0" collapsed="false">
      <c r="A72" s="4" t="s">
        <v>257</v>
      </c>
      <c r="B72" s="4" t="s">
        <v>258</v>
      </c>
      <c r="C72" s="14" t="s">
        <v>125</v>
      </c>
      <c r="D72" s="25" t="n">
        <v>158300</v>
      </c>
      <c r="E72" s="25" t="n">
        <v>158300</v>
      </c>
      <c r="F72" s="25" t="n">
        <v>158300</v>
      </c>
      <c r="G72" s="25" t="n">
        <v>158300</v>
      </c>
      <c r="H72" s="25" t="n">
        <v>158300</v>
      </c>
      <c r="I72" s="25" t="n">
        <v>158300</v>
      </c>
      <c r="J72" s="22" t="n">
        <f aca="false">INDEX(D72:I72,1,(Assumptions!$D$5-1)*3+Assumptions!$D$4)</f>
        <v>158300</v>
      </c>
      <c r="K72" s="14" t="s">
        <v>208</v>
      </c>
      <c r="L72" s="14" t="s">
        <v>79</v>
      </c>
      <c r="M72" s="4" t="s">
        <v>256</v>
      </c>
    </row>
    <row r="73" customFormat="false" ht="15" hidden="false" customHeight="false" outlineLevel="0" collapsed="false">
      <c r="A73" s="4" t="s">
        <v>259</v>
      </c>
      <c r="B73" s="4" t="s">
        <v>260</v>
      </c>
      <c r="C73" s="14" t="s">
        <v>125</v>
      </c>
      <c r="D73" s="25" t="n">
        <v>112510</v>
      </c>
      <c r="E73" s="25" t="n">
        <v>112510</v>
      </c>
      <c r="F73" s="25" t="n">
        <v>112510</v>
      </c>
      <c r="G73" s="25" t="n">
        <v>112510</v>
      </c>
      <c r="H73" s="25" t="n">
        <v>112510</v>
      </c>
      <c r="I73" s="25" t="n">
        <v>112510</v>
      </c>
      <c r="J73" s="22" t="n">
        <f aca="false">INDEX(D73:I73,1,(Assumptions!$D$5-1)*3+Assumptions!$D$4)</f>
        <v>112510</v>
      </c>
      <c r="K73" s="14" t="s">
        <v>208</v>
      </c>
      <c r="L73" s="14" t="s">
        <v>79</v>
      </c>
      <c r="M73" s="4" t="s">
        <v>256</v>
      </c>
    </row>
    <row r="74" customFormat="false" ht="15" hidden="false" customHeight="false" outlineLevel="0" collapsed="false">
      <c r="A74" s="4" t="s">
        <v>261</v>
      </c>
      <c r="B74" s="4" t="s">
        <v>262</v>
      </c>
      <c r="C74" s="14" t="s">
        <v>133</v>
      </c>
      <c r="D74" s="17" t="n">
        <v>40</v>
      </c>
      <c r="E74" s="17" t="n">
        <v>40</v>
      </c>
      <c r="F74" s="17" t="n">
        <v>40</v>
      </c>
      <c r="G74" s="17" t="n">
        <v>40</v>
      </c>
      <c r="H74" s="17" t="n">
        <v>40</v>
      </c>
      <c r="I74" s="17" t="n">
        <v>40</v>
      </c>
      <c r="J74" s="18" t="n">
        <f aca="false">INDEX(D74:I74,1,(Assumptions!$D$5-1)*3+Assumptions!$D$4)</f>
        <v>40</v>
      </c>
      <c r="K74" s="14" t="s">
        <v>78</v>
      </c>
      <c r="L74" s="14" t="s">
        <v>79</v>
      </c>
      <c r="M74" s="4"/>
    </row>
    <row r="75" customFormat="false" ht="15" hidden="false" customHeight="false" outlineLevel="0" collapsed="false">
      <c r="A75" s="4" t="s">
        <v>263</v>
      </c>
      <c r="B75" s="4" t="s">
        <v>264</v>
      </c>
      <c r="C75" s="14" t="s">
        <v>133</v>
      </c>
      <c r="D75" s="17" t="n">
        <v>250</v>
      </c>
      <c r="E75" s="17" t="n">
        <v>250</v>
      </c>
      <c r="F75" s="17" t="n">
        <v>250</v>
      </c>
      <c r="G75" s="17" t="n">
        <v>250</v>
      </c>
      <c r="H75" s="17" t="n">
        <v>250</v>
      </c>
      <c r="I75" s="17" t="n">
        <v>250</v>
      </c>
      <c r="J75" s="18" t="n">
        <f aca="false">INDEX(D75:I75,1,(Assumptions!$D$5-1)*3+Assumptions!$D$4)</f>
        <v>250</v>
      </c>
      <c r="K75" s="14" t="s">
        <v>78</v>
      </c>
      <c r="L75" s="14" t="s">
        <v>79</v>
      </c>
      <c r="M75" s="4"/>
    </row>
    <row r="76" customFormat="false" ht="15" hidden="false" customHeight="false" outlineLevel="0" collapsed="false">
      <c r="A76" s="4" t="s">
        <v>265</v>
      </c>
      <c r="B76" s="4" t="s">
        <v>266</v>
      </c>
      <c r="C76" s="14" t="s">
        <v>77</v>
      </c>
      <c r="D76" s="15" t="n">
        <v>0.55</v>
      </c>
      <c r="E76" s="15" t="n">
        <v>0.65</v>
      </c>
      <c r="F76" s="15" t="n">
        <v>0.72</v>
      </c>
      <c r="G76" s="15" t="n">
        <v>0.55</v>
      </c>
      <c r="H76" s="15" t="n">
        <v>0.65</v>
      </c>
      <c r="I76" s="15" t="n">
        <v>0.72</v>
      </c>
      <c r="J76" s="16" t="n">
        <f aca="false">INDEX(D76:I76,1,(Assumptions!$D$5-1)*3+Assumptions!$D$4)</f>
        <v>0.65</v>
      </c>
      <c r="K76" s="14" t="s">
        <v>78</v>
      </c>
      <c r="L76" s="14" t="s">
        <v>159</v>
      </c>
      <c r="M76" s="4" t="s">
        <v>267</v>
      </c>
    </row>
    <row r="77" customFormat="false" ht="15" hidden="false" customHeight="false" outlineLevel="0" collapsed="false">
      <c r="A77" s="4" t="s">
        <v>268</v>
      </c>
      <c r="B77" s="4" t="s">
        <v>269</v>
      </c>
      <c r="C77" s="14" t="s">
        <v>125</v>
      </c>
      <c r="D77" s="21" t="n">
        <v>40000</v>
      </c>
      <c r="E77" s="21" t="n">
        <v>40000</v>
      </c>
      <c r="F77" s="21" t="n">
        <v>40000</v>
      </c>
      <c r="G77" s="21" t="n">
        <v>40000</v>
      </c>
      <c r="H77" s="21" t="n">
        <v>40000</v>
      </c>
      <c r="I77" s="21" t="n">
        <v>40000</v>
      </c>
      <c r="J77" s="22" t="n">
        <f aca="false">INDEX(D77:I77,1,(Assumptions!$D$5-1)*3+Assumptions!$D$4)</f>
        <v>40000</v>
      </c>
      <c r="K77" s="14" t="s">
        <v>78</v>
      </c>
      <c r="L77" s="14" t="s">
        <v>79</v>
      </c>
      <c r="M77" s="4"/>
    </row>
    <row r="78" customFormat="false" ht="15" hidden="false" customHeight="false" outlineLevel="0" collapsed="false">
      <c r="A78" s="4" t="s">
        <v>270</v>
      </c>
      <c r="B78" s="4" t="s">
        <v>271</v>
      </c>
      <c r="C78" s="14" t="s">
        <v>272</v>
      </c>
      <c r="D78" s="21" t="n">
        <v>25000</v>
      </c>
      <c r="E78" s="21" t="n">
        <v>25000</v>
      </c>
      <c r="F78" s="21" t="n">
        <v>25000</v>
      </c>
      <c r="G78" s="21" t="n">
        <v>25000</v>
      </c>
      <c r="H78" s="21" t="n">
        <v>25000</v>
      </c>
      <c r="I78" s="21" t="n">
        <v>25000</v>
      </c>
      <c r="J78" s="22" t="n">
        <f aca="false">INDEX(D78:I78,1,(Assumptions!$D$5-1)*3+Assumptions!$D$4)</f>
        <v>25000</v>
      </c>
      <c r="K78" s="14" t="s">
        <v>78</v>
      </c>
      <c r="L78" s="14" t="s">
        <v>79</v>
      </c>
      <c r="M78" s="4" t="s">
        <v>273</v>
      </c>
    </row>
    <row r="79" customFormat="false" ht="15" hidden="false" customHeight="false" outlineLevel="0" collapsed="false">
      <c r="A79" s="4" t="s">
        <v>274</v>
      </c>
      <c r="B79" s="4" t="s">
        <v>275</v>
      </c>
      <c r="C79" s="14" t="s">
        <v>77</v>
      </c>
      <c r="D79" s="23" t="n">
        <v>0.25</v>
      </c>
      <c r="E79" s="23" t="n">
        <v>0.2</v>
      </c>
      <c r="F79" s="23" t="n">
        <v>0.15</v>
      </c>
      <c r="G79" s="23" t="n">
        <v>0.25</v>
      </c>
      <c r="H79" s="23" t="n">
        <v>0.2</v>
      </c>
      <c r="I79" s="23" t="n">
        <v>0.15</v>
      </c>
      <c r="J79" s="16" t="n">
        <f aca="false">INDEX(D79:I79,1,(Assumptions!$D$5-1)*3+Assumptions!$D$4)</f>
        <v>0.2</v>
      </c>
      <c r="K79" s="14" t="s">
        <v>150</v>
      </c>
      <c r="L79" s="14" t="s">
        <v>126</v>
      </c>
      <c r="M79" s="4" t="s">
        <v>276</v>
      </c>
    </row>
    <row r="80" customFormat="false" ht="15" hidden="false" customHeight="false" outlineLevel="0" collapsed="false">
      <c r="A80" s="4" t="s">
        <v>277</v>
      </c>
      <c r="B80" s="4" t="s">
        <v>278</v>
      </c>
      <c r="C80" s="14" t="s">
        <v>272</v>
      </c>
      <c r="D80" s="21" t="n">
        <v>2000</v>
      </c>
      <c r="E80" s="21" t="n">
        <v>2000</v>
      </c>
      <c r="F80" s="21" t="n">
        <v>2000</v>
      </c>
      <c r="G80" s="21" t="n">
        <v>2000</v>
      </c>
      <c r="H80" s="21" t="n">
        <v>2000</v>
      </c>
      <c r="I80" s="21" t="n">
        <v>2000</v>
      </c>
      <c r="J80" s="22" t="n">
        <f aca="false">INDEX(D80:I80,1,(Assumptions!$D$5-1)*3+Assumptions!$D$4)</f>
        <v>2000</v>
      </c>
      <c r="K80" s="14" t="s">
        <v>78</v>
      </c>
      <c r="L80" s="14" t="s">
        <v>79</v>
      </c>
      <c r="M80" s="4"/>
    </row>
    <row r="81" customFormat="false" ht="15" hidden="false" customHeight="false" outlineLevel="0" collapsed="false">
      <c r="A81" s="4" t="s">
        <v>279</v>
      </c>
      <c r="B81" s="4" t="s">
        <v>280</v>
      </c>
      <c r="C81" s="14" t="s">
        <v>77</v>
      </c>
      <c r="D81" s="15" t="n">
        <v>0.2</v>
      </c>
      <c r="E81" s="15" t="n">
        <v>0.15</v>
      </c>
      <c r="F81" s="15" t="n">
        <v>0.1</v>
      </c>
      <c r="G81" s="15" t="n">
        <v>0.1</v>
      </c>
      <c r="H81" s="15" t="n">
        <v>0.07</v>
      </c>
      <c r="I81" s="15" t="n">
        <v>0.05</v>
      </c>
      <c r="J81" s="16" t="n">
        <f aca="false">INDEX(D81:I81,1,(Assumptions!$D$5-1)*3+Assumptions!$D$4)</f>
        <v>0.15</v>
      </c>
      <c r="K81" s="14" t="s">
        <v>83</v>
      </c>
      <c r="L81" s="14" t="s">
        <v>126</v>
      </c>
      <c r="M81" s="4" t="s">
        <v>281</v>
      </c>
    </row>
    <row r="82" customFormat="false" ht="15" hidden="false" customHeight="false" outlineLevel="0" collapsed="false">
      <c r="A82" s="4" t="s">
        <v>282</v>
      </c>
      <c r="B82" s="4" t="s">
        <v>283</v>
      </c>
      <c r="C82" s="14" t="s">
        <v>125</v>
      </c>
      <c r="D82" s="21" t="n">
        <v>250000</v>
      </c>
      <c r="E82" s="21" t="n">
        <v>250000</v>
      </c>
      <c r="F82" s="21" t="n">
        <v>250000</v>
      </c>
      <c r="G82" s="21" t="n">
        <v>250000</v>
      </c>
      <c r="H82" s="21" t="n">
        <v>250000</v>
      </c>
      <c r="I82" s="21" t="n">
        <v>250000</v>
      </c>
      <c r="J82" s="22" t="n">
        <f aca="false">INDEX(D82:I82,1,(Assumptions!$D$5-1)*3+Assumptions!$D$4)</f>
        <v>250000</v>
      </c>
      <c r="K82" s="14" t="s">
        <v>78</v>
      </c>
      <c r="L82" s="14" t="s">
        <v>79</v>
      </c>
      <c r="M82" s="4"/>
    </row>
    <row r="83" customFormat="false" ht="15" hidden="false" customHeight="false" outlineLevel="0" collapsed="false">
      <c r="A83" s="4" t="s">
        <v>284</v>
      </c>
      <c r="B83" s="4" t="s">
        <v>285</v>
      </c>
      <c r="C83" s="14" t="s">
        <v>286</v>
      </c>
      <c r="D83" s="17" t="n">
        <v>4</v>
      </c>
      <c r="E83" s="17" t="n">
        <v>4</v>
      </c>
      <c r="F83" s="17" t="n">
        <v>4</v>
      </c>
      <c r="G83" s="17" t="n">
        <v>4</v>
      </c>
      <c r="H83" s="17" t="n">
        <v>4</v>
      </c>
      <c r="I83" s="17" t="n">
        <v>4</v>
      </c>
      <c r="J83" s="18" t="n">
        <f aca="false">INDEX(D83:I83,1,(Assumptions!$D$5-1)*3+Assumptions!$D$4)</f>
        <v>4</v>
      </c>
      <c r="K83" s="14" t="s">
        <v>78</v>
      </c>
      <c r="L83" s="14" t="s">
        <v>79</v>
      </c>
      <c r="M83" s="4"/>
    </row>
    <row r="84" customFormat="false" ht="15" hidden="false" customHeight="false" outlineLevel="0" collapsed="false">
      <c r="A84" s="4" t="s">
        <v>287</v>
      </c>
      <c r="B84" s="4" t="s">
        <v>288</v>
      </c>
      <c r="C84" s="14" t="s">
        <v>90</v>
      </c>
      <c r="D84" s="17" t="n">
        <v>99</v>
      </c>
      <c r="E84" s="17" t="n">
        <v>99</v>
      </c>
      <c r="F84" s="17" t="n">
        <v>99</v>
      </c>
      <c r="G84" s="17" t="n">
        <v>99</v>
      </c>
      <c r="H84" s="17" t="n">
        <v>99</v>
      </c>
      <c r="I84" s="17" t="n">
        <v>99</v>
      </c>
      <c r="J84" s="18" t="n">
        <f aca="false">INDEX(D84:I84,1,(Assumptions!$D$5-1)*3+Assumptions!$D$4)</f>
        <v>99</v>
      </c>
      <c r="K84" s="14" t="s">
        <v>78</v>
      </c>
      <c r="L84" s="14" t="s">
        <v>79</v>
      </c>
      <c r="M84" s="4"/>
    </row>
    <row r="85" customFormat="false" ht="15" hidden="false" customHeight="false" outlineLevel="0" collapsed="false">
      <c r="A85" s="4" t="s">
        <v>289</v>
      </c>
      <c r="B85" s="4" t="s">
        <v>290</v>
      </c>
      <c r="C85" s="14" t="s">
        <v>291</v>
      </c>
      <c r="D85" s="17" t="n">
        <v>5</v>
      </c>
      <c r="E85" s="17" t="n">
        <v>5</v>
      </c>
      <c r="F85" s="17" t="n">
        <v>5</v>
      </c>
      <c r="G85" s="17" t="n">
        <v>5</v>
      </c>
      <c r="H85" s="17" t="n">
        <v>5</v>
      </c>
      <c r="I85" s="17" t="n">
        <v>5</v>
      </c>
      <c r="J85" s="18" t="n">
        <f aca="false">INDEX(D85:I85,1,(Assumptions!$D$5-1)*3+Assumptions!$D$4)</f>
        <v>5</v>
      </c>
      <c r="K85" s="14" t="s">
        <v>78</v>
      </c>
      <c r="L85" s="14" t="s">
        <v>79</v>
      </c>
      <c r="M85" s="4"/>
    </row>
    <row r="86" customFormat="false" ht="113.4" hidden="false" customHeight="false" outlineLevel="0" collapsed="false">
      <c r="A86" s="3" t="s">
        <v>292</v>
      </c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</row>
    <row r="87" customFormat="false" ht="15" hidden="false" customHeight="false" outlineLevel="0" collapsed="false">
      <c r="A87" s="4" t="s">
        <v>293</v>
      </c>
      <c r="B87" s="4" t="s">
        <v>294</v>
      </c>
      <c r="C87" s="14" t="s">
        <v>77</v>
      </c>
      <c r="D87" s="15" t="n">
        <v>0.12</v>
      </c>
      <c r="E87" s="15" t="n">
        <v>0.12</v>
      </c>
      <c r="F87" s="15" t="n">
        <v>0.12</v>
      </c>
      <c r="G87" s="15" t="n">
        <v>0.12</v>
      </c>
      <c r="H87" s="15" t="n">
        <v>0.12</v>
      </c>
      <c r="I87" s="15" t="n">
        <v>0.12</v>
      </c>
      <c r="J87" s="16" t="n">
        <f aca="false">INDEX(D87:I87,1,(Assumptions!$D$5-1)*3+Assumptions!$D$4)</f>
        <v>0.12</v>
      </c>
      <c r="K87" s="14" t="s">
        <v>78</v>
      </c>
      <c r="L87" s="14" t="s">
        <v>79</v>
      </c>
      <c r="M87" s="4" t="s">
        <v>295</v>
      </c>
    </row>
    <row r="88" customFormat="false" ht="23.85" hidden="false" customHeight="false" outlineLevel="0" collapsed="false">
      <c r="A88" s="4" t="s">
        <v>296</v>
      </c>
      <c r="B88" s="4" t="s">
        <v>297</v>
      </c>
      <c r="C88" s="14" t="s">
        <v>77</v>
      </c>
      <c r="D88" s="15" t="n">
        <v>0.3</v>
      </c>
      <c r="E88" s="15" t="n">
        <v>0.2</v>
      </c>
      <c r="F88" s="15" t="n">
        <v>0.1</v>
      </c>
      <c r="G88" s="15" t="n">
        <v>0.6</v>
      </c>
      <c r="H88" s="15" t="n">
        <v>0.45</v>
      </c>
      <c r="I88" s="15" t="n">
        <v>0.3</v>
      </c>
      <c r="J88" s="16" t="n">
        <f aca="false">INDEX(D88:I88,1,(Assumptions!$D$5-1)*3+Assumptions!$D$4)</f>
        <v>0.2</v>
      </c>
      <c r="K88" s="14" t="s">
        <v>78</v>
      </c>
      <c r="L88" s="14" t="s">
        <v>118</v>
      </c>
      <c r="M88" s="4" t="s">
        <v>298</v>
      </c>
    </row>
    <row r="89" customFormat="false" ht="15" hidden="false" customHeight="false" outlineLevel="0" collapsed="false">
      <c r="A89" s="4" t="s">
        <v>299</v>
      </c>
      <c r="B89" s="4" t="s">
        <v>300</v>
      </c>
      <c r="C89" s="14" t="s">
        <v>301</v>
      </c>
      <c r="D89" s="24" t="n">
        <v>16</v>
      </c>
      <c r="E89" s="24" t="n">
        <v>16</v>
      </c>
      <c r="F89" s="24" t="n">
        <v>16</v>
      </c>
      <c r="G89" s="24" t="n">
        <v>16</v>
      </c>
      <c r="H89" s="24" t="n">
        <v>16</v>
      </c>
      <c r="I89" s="24" t="n">
        <v>16</v>
      </c>
      <c r="J89" s="18" t="n">
        <f aca="false">INDEX(D89:I89,1,(Assumptions!$D$5-1)*3+Assumptions!$D$4)</f>
        <v>16</v>
      </c>
      <c r="K89" s="14" t="s">
        <v>150</v>
      </c>
      <c r="L89" s="14" t="s">
        <v>79</v>
      </c>
      <c r="M89" s="4" t="s">
        <v>302</v>
      </c>
    </row>
    <row r="90" customFormat="false" ht="15" hidden="false" customHeight="false" outlineLevel="0" collapsed="false">
      <c r="A90" s="4" t="s">
        <v>303</v>
      </c>
      <c r="B90" s="4" t="s">
        <v>304</v>
      </c>
      <c r="C90" s="14" t="s">
        <v>107</v>
      </c>
      <c r="D90" s="19" t="n">
        <v>0.6</v>
      </c>
      <c r="E90" s="19" t="n">
        <v>0.6</v>
      </c>
      <c r="F90" s="19" t="n">
        <v>0.6</v>
      </c>
      <c r="G90" s="19" t="n">
        <v>0.6</v>
      </c>
      <c r="H90" s="19" t="n">
        <v>0.6</v>
      </c>
      <c r="I90" s="19" t="n">
        <v>0.6</v>
      </c>
      <c r="J90" s="20" t="n">
        <f aca="false">INDEX(D90:I90,1,(Assumptions!$D$5-1)*3+Assumptions!$D$4)</f>
        <v>0.6</v>
      </c>
      <c r="K90" s="14" t="s">
        <v>78</v>
      </c>
      <c r="L90" s="14" t="s">
        <v>79</v>
      </c>
      <c r="M90" s="4" t="s">
        <v>305</v>
      </c>
    </row>
    <row r="91" customFormat="false" ht="15" hidden="false" customHeight="false" outlineLevel="0" collapsed="false">
      <c r="A91" s="4" t="s">
        <v>306</v>
      </c>
      <c r="B91" s="4" t="s">
        <v>307</v>
      </c>
      <c r="C91" s="14" t="s">
        <v>77</v>
      </c>
      <c r="D91" s="23" t="n">
        <v>0.9</v>
      </c>
      <c r="E91" s="23" t="n">
        <v>0.9</v>
      </c>
      <c r="F91" s="23" t="n">
        <v>0.9</v>
      </c>
      <c r="G91" s="23" t="n">
        <v>0.9</v>
      </c>
      <c r="H91" s="23" t="n">
        <v>0.9</v>
      </c>
      <c r="I91" s="23" t="n">
        <v>0.9</v>
      </c>
      <c r="J91" s="16" t="n">
        <f aca="false">INDEX(D91:I91,1,(Assumptions!$D$5-1)*3+Assumptions!$D$4)</f>
        <v>0.9</v>
      </c>
      <c r="K91" s="14" t="s">
        <v>150</v>
      </c>
      <c r="L91" s="14" t="s">
        <v>79</v>
      </c>
      <c r="M91" s="4" t="s">
        <v>308</v>
      </c>
    </row>
    <row r="92" customFormat="false" ht="15" hidden="false" customHeight="false" outlineLevel="0" collapsed="false">
      <c r="A92" s="4" t="s">
        <v>309</v>
      </c>
      <c r="B92" s="4" t="s">
        <v>310</v>
      </c>
      <c r="C92" s="14" t="s">
        <v>77</v>
      </c>
      <c r="D92" s="23" t="n">
        <v>1.01</v>
      </c>
      <c r="E92" s="23" t="n">
        <v>1.01</v>
      </c>
      <c r="F92" s="23" t="n">
        <v>1.01</v>
      </c>
      <c r="G92" s="23" t="n">
        <v>1.01</v>
      </c>
      <c r="H92" s="23" t="n">
        <v>1.01</v>
      </c>
      <c r="I92" s="23" t="n">
        <v>1.01</v>
      </c>
      <c r="J92" s="16" t="n">
        <f aca="false">INDEX(D92:I92,1,(Assumptions!$D$5-1)*3+Assumptions!$D$4)</f>
        <v>1.01</v>
      </c>
      <c r="K92" s="14" t="s">
        <v>150</v>
      </c>
      <c r="L92" s="14" t="s">
        <v>79</v>
      </c>
      <c r="M92" s="4" t="s">
        <v>311</v>
      </c>
    </row>
    <row r="93" customFormat="false" ht="15" hidden="false" customHeight="false" outlineLevel="0" collapsed="false">
      <c r="A93" s="4" t="s">
        <v>312</v>
      </c>
      <c r="B93" s="4" t="s">
        <v>313</v>
      </c>
      <c r="C93" s="14" t="s">
        <v>77</v>
      </c>
      <c r="D93" s="15" t="n">
        <v>0.05</v>
      </c>
      <c r="E93" s="15" t="n">
        <v>0.05</v>
      </c>
      <c r="F93" s="15" t="n">
        <v>0.05</v>
      </c>
      <c r="G93" s="15" t="n">
        <v>0.05</v>
      </c>
      <c r="H93" s="15" t="n">
        <v>0.05</v>
      </c>
      <c r="I93" s="15" t="n">
        <v>0.05</v>
      </c>
      <c r="J93" s="16" t="n">
        <f aca="false">INDEX(D93:I93,1,(Assumptions!$D$5-1)*3+Assumptions!$D$4)</f>
        <v>0.05</v>
      </c>
      <c r="K93" s="14" t="s">
        <v>78</v>
      </c>
      <c r="L93" s="14" t="s">
        <v>79</v>
      </c>
      <c r="M93" s="4"/>
    </row>
    <row r="95" customFormat="false" ht="102.2" hidden="false" customHeight="false" outlineLevel="0" collapsed="false">
      <c r="A95" s="3" t="s">
        <v>314</v>
      </c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</row>
    <row r="96" customFormat="false" ht="30" hidden="false" customHeight="true" outlineLevel="0" collapsed="false">
      <c r="A96" s="6" t="s">
        <v>61</v>
      </c>
      <c r="B96" s="6" t="s">
        <v>62</v>
      </c>
      <c r="C96" s="6" t="s">
        <v>63</v>
      </c>
      <c r="D96" s="6" t="s">
        <v>315</v>
      </c>
      <c r="E96" s="6" t="s">
        <v>316</v>
      </c>
      <c r="F96" s="6" t="s">
        <v>317</v>
      </c>
      <c r="G96" s="6"/>
      <c r="H96" s="6"/>
      <c r="I96" s="6"/>
      <c r="J96" s="6" t="s">
        <v>70</v>
      </c>
      <c r="K96" s="6" t="s">
        <v>71</v>
      </c>
      <c r="L96" s="6"/>
      <c r="M96" s="6" t="s">
        <v>318</v>
      </c>
    </row>
    <row r="97" customFormat="false" ht="15" hidden="false" customHeight="false" outlineLevel="0" collapsed="false">
      <c r="A97" s="4" t="s">
        <v>319</v>
      </c>
      <c r="B97" s="4" t="s">
        <v>320</v>
      </c>
      <c r="C97" s="14" t="s">
        <v>321</v>
      </c>
      <c r="D97" s="19" t="n">
        <v>1</v>
      </c>
      <c r="E97" s="19" t="n">
        <v>1</v>
      </c>
      <c r="F97" s="19" t="n">
        <v>0</v>
      </c>
      <c r="J97" s="20" t="n">
        <f aca="false">INDEX(D97:F97,1,Assumptions!$D$6)</f>
        <v>1</v>
      </c>
      <c r="K97" s="14" t="s">
        <v>322</v>
      </c>
      <c r="M97" s="4" t="s">
        <v>323</v>
      </c>
    </row>
    <row r="98" customFormat="false" ht="15" hidden="false" customHeight="false" outlineLevel="0" collapsed="false">
      <c r="A98" s="4" t="s">
        <v>324</v>
      </c>
      <c r="B98" s="4" t="s">
        <v>325</v>
      </c>
      <c r="C98" s="14" t="s">
        <v>321</v>
      </c>
      <c r="D98" s="19" t="n">
        <v>0</v>
      </c>
      <c r="E98" s="19" t="n">
        <v>1</v>
      </c>
      <c r="F98" s="19" t="n">
        <v>0</v>
      </c>
      <c r="J98" s="20" t="n">
        <f aca="false">INDEX(D98:F98,1,Assumptions!$D$6)</f>
        <v>0</v>
      </c>
      <c r="K98" s="14" t="s">
        <v>322</v>
      </c>
      <c r="M98" s="4"/>
    </row>
    <row r="99" customFormat="false" ht="15" hidden="false" customHeight="false" outlineLevel="0" collapsed="false">
      <c r="A99" s="4" t="s">
        <v>326</v>
      </c>
      <c r="B99" s="4" t="s">
        <v>327</v>
      </c>
      <c r="C99" s="14" t="s">
        <v>321</v>
      </c>
      <c r="D99" s="19" t="n">
        <v>0.5</v>
      </c>
      <c r="E99" s="19" t="n">
        <v>1</v>
      </c>
      <c r="F99" s="19" t="n">
        <v>0</v>
      </c>
      <c r="J99" s="20" t="n">
        <f aca="false">INDEX(D99:F99,1,Assumptions!$D$6)</f>
        <v>0.5</v>
      </c>
      <c r="K99" s="14" t="s">
        <v>322</v>
      </c>
      <c r="M99" s="4"/>
    </row>
    <row r="100" customFormat="false" ht="15" hidden="false" customHeight="false" outlineLevel="0" collapsed="false">
      <c r="A100" s="4" t="s">
        <v>328</v>
      </c>
      <c r="B100" s="4" t="s">
        <v>329</v>
      </c>
      <c r="C100" s="14" t="s">
        <v>321</v>
      </c>
      <c r="D100" s="19" t="n">
        <v>1</v>
      </c>
      <c r="E100" s="19" t="n">
        <v>1</v>
      </c>
      <c r="F100" s="19" t="n">
        <v>0.5</v>
      </c>
      <c r="J100" s="20" t="n">
        <f aca="false">INDEX(D100:F100,1,Assumptions!$D$6)</f>
        <v>1</v>
      </c>
      <c r="K100" s="14" t="s">
        <v>322</v>
      </c>
      <c r="M100" s="4"/>
    </row>
    <row r="101" customFormat="false" ht="15" hidden="false" customHeight="false" outlineLevel="0" collapsed="false">
      <c r="A101" s="4" t="s">
        <v>330</v>
      </c>
      <c r="B101" s="4" t="s">
        <v>331</v>
      </c>
      <c r="C101" s="14" t="s">
        <v>321</v>
      </c>
      <c r="D101" s="19" t="n">
        <v>0.5</v>
      </c>
      <c r="E101" s="19" t="n">
        <v>0.5</v>
      </c>
      <c r="F101" s="19" t="n">
        <v>0.25</v>
      </c>
      <c r="J101" s="20" t="n">
        <f aca="false">INDEX(D101:F101,1,Assumptions!$D$6)</f>
        <v>0.5</v>
      </c>
      <c r="K101" s="14" t="s">
        <v>322</v>
      </c>
      <c r="M101" s="4"/>
    </row>
    <row r="102" customFormat="false" ht="15" hidden="false" customHeight="false" outlineLevel="0" collapsed="false">
      <c r="A102" s="4" t="s">
        <v>332</v>
      </c>
      <c r="B102" s="4" t="s">
        <v>333</v>
      </c>
      <c r="C102" s="14" t="s">
        <v>321</v>
      </c>
      <c r="D102" s="19" t="n">
        <v>0.25</v>
      </c>
      <c r="E102" s="19" t="n">
        <v>0.5</v>
      </c>
      <c r="F102" s="19" t="n">
        <v>0.1</v>
      </c>
      <c r="J102" s="20" t="n">
        <f aca="false">INDEX(D102:F102,1,Assumptions!$D$6)</f>
        <v>0.25</v>
      </c>
      <c r="K102" s="14" t="s">
        <v>322</v>
      </c>
      <c r="M102" s="4"/>
    </row>
    <row r="103" customFormat="false" ht="15" hidden="false" customHeight="false" outlineLevel="0" collapsed="false">
      <c r="A103" s="4" t="s">
        <v>334</v>
      </c>
      <c r="B103" s="4" t="s">
        <v>335</v>
      </c>
      <c r="C103" s="14" t="s">
        <v>125</v>
      </c>
      <c r="D103" s="21" t="n">
        <v>25000</v>
      </c>
      <c r="E103" s="21" t="n">
        <v>60000</v>
      </c>
      <c r="F103" s="21" t="n">
        <v>10000</v>
      </c>
      <c r="J103" s="22" t="n">
        <f aca="false">INDEX(D103:F103,1,Assumptions!$D$6)</f>
        <v>25000</v>
      </c>
      <c r="K103" s="14" t="s">
        <v>322</v>
      </c>
      <c r="M103" s="4" t="s">
        <v>336</v>
      </c>
    </row>
    <row r="104" customFormat="false" ht="15" hidden="false" customHeight="false" outlineLevel="0" collapsed="false">
      <c r="A104" s="4" t="s">
        <v>337</v>
      </c>
      <c r="B104" s="4" t="s">
        <v>338</v>
      </c>
      <c r="C104" s="14" t="s">
        <v>339</v>
      </c>
      <c r="D104" s="19" t="n">
        <v>2</v>
      </c>
      <c r="E104" s="19" t="n">
        <v>0</v>
      </c>
      <c r="F104" s="19" t="n">
        <v>2</v>
      </c>
      <c r="J104" s="20" t="n">
        <f aca="false">INDEX(D104:F104,1,Assumptions!$D$6)</f>
        <v>2</v>
      </c>
      <c r="K104" s="14" t="s">
        <v>322</v>
      </c>
      <c r="M104" s="4" t="s">
        <v>340</v>
      </c>
    </row>
    <row r="105" customFormat="false" ht="15" hidden="false" customHeight="false" outlineLevel="0" collapsed="false">
      <c r="A105" s="4" t="s">
        <v>341</v>
      </c>
      <c r="B105" s="4" t="s">
        <v>342</v>
      </c>
      <c r="C105" s="14" t="s">
        <v>343</v>
      </c>
      <c r="D105" s="19" t="n">
        <v>1</v>
      </c>
      <c r="E105" s="19" t="n">
        <v>0</v>
      </c>
      <c r="F105" s="19" t="n">
        <v>1</v>
      </c>
      <c r="J105" s="20" t="n">
        <f aca="false">INDEX(D105:F105,1,Assumptions!$D$6)</f>
        <v>1</v>
      </c>
      <c r="K105" s="14" t="s">
        <v>322</v>
      </c>
      <c r="M105" s="4"/>
    </row>
    <row r="106" customFormat="false" ht="15" hidden="false" customHeight="false" outlineLevel="0" collapsed="false">
      <c r="A106" s="4" t="s">
        <v>344</v>
      </c>
      <c r="B106" s="4" t="s">
        <v>345</v>
      </c>
      <c r="C106" s="14" t="s">
        <v>107</v>
      </c>
      <c r="D106" s="19" t="n">
        <v>1</v>
      </c>
      <c r="E106" s="19" t="n">
        <v>1</v>
      </c>
      <c r="F106" s="19" t="n">
        <v>0.5</v>
      </c>
      <c r="J106" s="20" t="n">
        <f aca="false">INDEX(D106:F106,1,Assumptions!$D$6)</f>
        <v>1</v>
      </c>
      <c r="K106" s="14" t="s">
        <v>322</v>
      </c>
      <c r="M106" s="4" t="s">
        <v>346</v>
      </c>
    </row>
    <row r="107" customFormat="false" ht="15" hidden="false" customHeight="false" outlineLevel="0" collapsed="false">
      <c r="A107" s="4" t="s">
        <v>347</v>
      </c>
      <c r="B107" s="4" t="s">
        <v>348</v>
      </c>
      <c r="C107" s="14" t="s">
        <v>107</v>
      </c>
      <c r="D107" s="19" t="n">
        <v>1</v>
      </c>
      <c r="E107" s="19" t="n">
        <v>1</v>
      </c>
      <c r="F107" s="19" t="n">
        <v>0.5</v>
      </c>
      <c r="J107" s="20" t="n">
        <f aca="false">INDEX(D107:F107,1,Assumptions!$D$6)</f>
        <v>1</v>
      </c>
      <c r="K107" s="14" t="s">
        <v>322</v>
      </c>
      <c r="M107" s="4" t="s">
        <v>349</v>
      </c>
    </row>
    <row r="108" customFormat="false" ht="15" hidden="false" customHeight="false" outlineLevel="0" collapsed="false">
      <c r="A108" s="4" t="s">
        <v>350</v>
      </c>
      <c r="B108" s="4" t="s">
        <v>351</v>
      </c>
      <c r="C108" s="14" t="s">
        <v>107</v>
      </c>
      <c r="D108" s="19" t="n">
        <v>1</v>
      </c>
      <c r="E108" s="19" t="n">
        <v>1</v>
      </c>
      <c r="F108" s="19" t="n">
        <v>0.6</v>
      </c>
      <c r="J108" s="20" t="n">
        <f aca="false">INDEX(D108:F108,1,Assumptions!$D$6)</f>
        <v>1</v>
      </c>
      <c r="K108" s="14" t="s">
        <v>322</v>
      </c>
      <c r="M108" s="4" t="s">
        <v>352</v>
      </c>
    </row>
    <row r="110" customFormat="false" ht="23.85" hidden="false" customHeight="true" outlineLevel="0" collapsed="false">
      <c r="A110" s="3" t="s">
        <v>353</v>
      </c>
      <c r="B110" s="3"/>
      <c r="C110" s="3"/>
      <c r="D110" s="26" t="s">
        <v>354</v>
      </c>
      <c r="E110" s="26" t="s">
        <v>355</v>
      </c>
      <c r="F110" s="26" t="s">
        <v>356</v>
      </c>
      <c r="G110" s="26" t="s">
        <v>357</v>
      </c>
      <c r="H110" s="26" t="s">
        <v>358</v>
      </c>
      <c r="I110" s="26" t="s">
        <v>359</v>
      </c>
      <c r="J110" s="26" t="s">
        <v>360</v>
      </c>
      <c r="K110" s="26" t="s">
        <v>361</v>
      </c>
      <c r="L110" s="26" t="s">
        <v>362</v>
      </c>
      <c r="M110" s="26" t="s">
        <v>363</v>
      </c>
      <c r="N110" s="26" t="s">
        <v>364</v>
      </c>
      <c r="O110" s="26" t="s">
        <v>365</v>
      </c>
    </row>
    <row r="111" customFormat="false" ht="15" hidden="false" customHeight="false" outlineLevel="0" collapsed="false">
      <c r="B111" s="9" t="s">
        <v>315</v>
      </c>
      <c r="D111" s="27" t="n">
        <v>0</v>
      </c>
      <c r="E111" s="27" t="n">
        <v>0</v>
      </c>
      <c r="F111" s="27" t="n">
        <v>0</v>
      </c>
      <c r="G111" s="27" t="n">
        <v>0</v>
      </c>
      <c r="H111" s="27" t="n">
        <v>0</v>
      </c>
      <c r="I111" s="27" t="n">
        <v>0</v>
      </c>
      <c r="J111" s="27" t="n">
        <v>0</v>
      </c>
      <c r="K111" s="27" t="n">
        <v>0</v>
      </c>
      <c r="L111" s="27" t="n">
        <v>0</v>
      </c>
      <c r="M111" s="27" t="n">
        <v>0</v>
      </c>
      <c r="N111" s="27" t="n">
        <v>0</v>
      </c>
      <c r="O111" s="27" t="n">
        <v>0</v>
      </c>
    </row>
    <row r="112" customFormat="false" ht="15" hidden="false" customHeight="false" outlineLevel="0" collapsed="false">
      <c r="B112" s="9" t="s">
        <v>366</v>
      </c>
      <c r="D112" s="27" t="n">
        <v>2</v>
      </c>
      <c r="E112" s="27" t="n">
        <v>2</v>
      </c>
      <c r="F112" s="27" t="n">
        <v>3</v>
      </c>
      <c r="G112" s="27" t="n">
        <v>3</v>
      </c>
      <c r="H112" s="27" t="n">
        <v>4</v>
      </c>
      <c r="I112" s="27" t="n">
        <v>4</v>
      </c>
      <c r="J112" s="27" t="n">
        <v>5</v>
      </c>
      <c r="K112" s="27" t="n">
        <v>5</v>
      </c>
      <c r="L112" s="27" t="n">
        <v>6</v>
      </c>
      <c r="M112" s="27" t="n">
        <v>6</v>
      </c>
      <c r="N112" s="27" t="n">
        <v>6</v>
      </c>
      <c r="O112" s="27" t="n">
        <v>6</v>
      </c>
    </row>
    <row r="113" customFormat="false" ht="15" hidden="false" customHeight="false" outlineLevel="0" collapsed="false">
      <c r="B113" s="9" t="s">
        <v>317</v>
      </c>
      <c r="D113" s="27" t="n">
        <v>0</v>
      </c>
      <c r="E113" s="27" t="n">
        <v>0</v>
      </c>
      <c r="F113" s="27" t="n">
        <v>0</v>
      </c>
      <c r="G113" s="27" t="n">
        <v>0</v>
      </c>
      <c r="H113" s="27" t="n">
        <v>0</v>
      </c>
      <c r="I113" s="27" t="n">
        <v>0</v>
      </c>
      <c r="J113" s="27" t="n">
        <v>0</v>
      </c>
      <c r="K113" s="27" t="n">
        <v>0</v>
      </c>
      <c r="L113" s="27" t="n">
        <v>0</v>
      </c>
      <c r="M113" s="27" t="n">
        <v>0</v>
      </c>
      <c r="N113" s="27" t="n">
        <v>0</v>
      </c>
      <c r="O113" s="27" t="n">
        <v>0</v>
      </c>
    </row>
    <row r="114" customFormat="false" ht="15" hidden="false" customHeight="false" outlineLevel="0" collapsed="false">
      <c r="B114" s="9" t="s">
        <v>367</v>
      </c>
      <c r="D114" s="27" t="n">
        <v>0</v>
      </c>
      <c r="E114" s="27" t="n">
        <v>0</v>
      </c>
      <c r="F114" s="27" t="n">
        <v>0</v>
      </c>
      <c r="G114" s="27" t="n">
        <v>0</v>
      </c>
      <c r="H114" s="27" t="n">
        <v>1</v>
      </c>
      <c r="I114" s="27" t="n">
        <v>2</v>
      </c>
      <c r="J114" s="27" t="n">
        <v>2</v>
      </c>
      <c r="K114" s="27" t="n">
        <v>2</v>
      </c>
      <c r="L114" s="27" t="n">
        <v>2</v>
      </c>
      <c r="M114" s="27" t="n">
        <v>2</v>
      </c>
      <c r="N114" s="27" t="n">
        <v>2</v>
      </c>
      <c r="O114" s="27" t="n">
        <v>2</v>
      </c>
    </row>
    <row r="115" customFormat="false" ht="15" hidden="false" customHeight="false" outlineLevel="0" collapsed="false">
      <c r="B115" s="9" t="s">
        <v>368</v>
      </c>
      <c r="D115" s="28" t="n">
        <f aca="false">INDEX(D111:D113,Assumptions!$D$6,1)</f>
        <v>0</v>
      </c>
      <c r="E115" s="28" t="n">
        <f aca="false">INDEX(E111:E113,Assumptions!$D$6,1)</f>
        <v>0</v>
      </c>
      <c r="F115" s="28" t="n">
        <f aca="false">INDEX(F111:F113,Assumptions!$D$6,1)</f>
        <v>0</v>
      </c>
      <c r="G115" s="28" t="n">
        <f aca="false">INDEX(G111:G113,Assumptions!$D$6,1)</f>
        <v>0</v>
      </c>
      <c r="H115" s="28" t="n">
        <f aca="false">INDEX(H111:H113,Assumptions!$D$6,1)</f>
        <v>0</v>
      </c>
      <c r="I115" s="28" t="n">
        <f aca="false">INDEX(I111:I113,Assumptions!$D$6,1)</f>
        <v>0</v>
      </c>
      <c r="J115" s="28" t="n">
        <f aca="false">INDEX(J111:J113,Assumptions!$D$6,1)</f>
        <v>0</v>
      </c>
      <c r="K115" s="28" t="n">
        <f aca="false">INDEX(K111:K113,Assumptions!$D$6,1)</f>
        <v>0</v>
      </c>
      <c r="L115" s="28" t="n">
        <f aca="false">INDEX(L111:L113,Assumptions!$D$6,1)</f>
        <v>0</v>
      </c>
      <c r="M115" s="28" t="n">
        <f aca="false">INDEX(M111:M113,Assumptions!$D$6,1)</f>
        <v>0</v>
      </c>
      <c r="N115" s="28" t="n">
        <f aca="false">INDEX(N111:N113,Assumptions!$D$6,1)</f>
        <v>0</v>
      </c>
      <c r="O115" s="28" t="n">
        <f aca="false">INDEX(O111:O113,Assumptions!$D$6,1)</f>
        <v>0</v>
      </c>
    </row>
    <row r="117" customFormat="false" ht="370.85" hidden="false" customHeight="false" outlineLevel="0" collapsed="false">
      <c r="A117" s="3" t="s">
        <v>369</v>
      </c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</row>
    <row r="118" customFormat="false" ht="30" hidden="false" customHeight="true" outlineLevel="0" collapsed="false">
      <c r="A118" s="6"/>
      <c r="B118" s="6" t="s">
        <v>370</v>
      </c>
      <c r="C118" s="6" t="s">
        <v>63</v>
      </c>
      <c r="D118" s="6" t="s">
        <v>371</v>
      </c>
      <c r="E118" s="6" t="s">
        <v>372</v>
      </c>
      <c r="F118" s="6"/>
      <c r="G118" s="6"/>
      <c r="H118" s="6"/>
      <c r="I118" s="6"/>
      <c r="J118" s="6"/>
      <c r="K118" s="6" t="s">
        <v>71</v>
      </c>
      <c r="L118" s="6"/>
      <c r="M118" s="6" t="s">
        <v>373</v>
      </c>
    </row>
    <row r="119" customFormat="false" ht="15" hidden="false" customHeight="false" outlineLevel="0" collapsed="false">
      <c r="B119" s="4" t="s">
        <v>374</v>
      </c>
      <c r="C119" s="14" t="s">
        <v>133</v>
      </c>
      <c r="D119" s="17" t="n">
        <v>30</v>
      </c>
      <c r="E119" s="17" t="n">
        <v>67</v>
      </c>
      <c r="K119" s="14" t="s">
        <v>91</v>
      </c>
      <c r="M119" s="4" t="s">
        <v>375</v>
      </c>
    </row>
    <row r="120" customFormat="false" ht="15" hidden="false" customHeight="false" outlineLevel="0" collapsed="false">
      <c r="B120" s="4" t="s">
        <v>376</v>
      </c>
      <c r="C120" s="14" t="s">
        <v>133</v>
      </c>
      <c r="D120" s="17" t="n">
        <v>4</v>
      </c>
      <c r="E120" s="17" t="n">
        <v>8</v>
      </c>
      <c r="K120" s="14" t="s">
        <v>91</v>
      </c>
      <c r="M120" s="4"/>
    </row>
    <row r="121" customFormat="false" ht="15" hidden="false" customHeight="false" outlineLevel="0" collapsed="false">
      <c r="B121" s="4" t="s">
        <v>377</v>
      </c>
      <c r="C121" s="14" t="s">
        <v>133</v>
      </c>
      <c r="D121" s="17" t="n">
        <v>31</v>
      </c>
      <c r="E121" s="17" t="n">
        <v>41</v>
      </c>
      <c r="K121" s="14" t="s">
        <v>91</v>
      </c>
      <c r="M121" s="4"/>
    </row>
    <row r="122" customFormat="false" ht="15" hidden="false" customHeight="false" outlineLevel="0" collapsed="false">
      <c r="B122" s="4" t="s">
        <v>378</v>
      </c>
      <c r="C122" s="14" t="s">
        <v>125</v>
      </c>
      <c r="D122" s="21" t="n">
        <v>7700</v>
      </c>
      <c r="E122" s="21" t="n">
        <v>6300</v>
      </c>
      <c r="K122" s="14" t="s">
        <v>91</v>
      </c>
      <c r="M122" s="4"/>
    </row>
    <row r="123" customFormat="false" ht="23.85" hidden="false" customHeight="false" outlineLevel="0" collapsed="false">
      <c r="B123" s="4" t="s">
        <v>379</v>
      </c>
      <c r="C123" s="14" t="s">
        <v>77</v>
      </c>
      <c r="D123" s="15" t="n">
        <v>0.18</v>
      </c>
      <c r="E123" s="15" t="n">
        <v>0.155</v>
      </c>
      <c r="K123" s="14" t="s">
        <v>91</v>
      </c>
      <c r="M123" s="4"/>
    </row>
    <row r="124" customFormat="false" ht="15" hidden="false" customHeight="false" outlineLevel="0" collapsed="false">
      <c r="B124" s="4" t="s">
        <v>380</v>
      </c>
      <c r="C124" s="14" t="s">
        <v>133</v>
      </c>
      <c r="D124" s="17" t="n">
        <v>10</v>
      </c>
      <c r="E124" s="17" t="n">
        <v>10</v>
      </c>
      <c r="K124" s="14" t="s">
        <v>91</v>
      </c>
      <c r="M124" s="4"/>
    </row>
    <row r="125" customFormat="false" ht="15" hidden="false" customHeight="false" outlineLevel="0" collapsed="false">
      <c r="B125" s="4" t="s">
        <v>381</v>
      </c>
      <c r="C125" s="14" t="s">
        <v>125</v>
      </c>
      <c r="D125" s="21" t="n">
        <v>10000</v>
      </c>
      <c r="E125" s="21" t="n">
        <v>6600</v>
      </c>
      <c r="K125" s="14" t="s">
        <v>91</v>
      </c>
      <c r="M125" s="4" t="s">
        <v>382</v>
      </c>
    </row>
    <row r="126" customFormat="false" ht="15" hidden="false" customHeight="false" outlineLevel="0" collapsed="false">
      <c r="B126" s="4" t="s">
        <v>383</v>
      </c>
      <c r="C126" s="14" t="s">
        <v>133</v>
      </c>
      <c r="D126" s="17" t="n">
        <v>14</v>
      </c>
      <c r="E126" s="17" t="n">
        <v>25</v>
      </c>
      <c r="K126" s="14" t="s">
        <v>91</v>
      </c>
      <c r="M126" s="4"/>
    </row>
    <row r="127" customFormat="false" ht="15" hidden="false" customHeight="false" outlineLevel="0" collapsed="false">
      <c r="B127" s="4" t="s">
        <v>384</v>
      </c>
      <c r="C127" s="14" t="s">
        <v>77</v>
      </c>
      <c r="D127" s="15" t="n">
        <v>0.25</v>
      </c>
      <c r="E127" s="15" t="n">
        <v>0.215</v>
      </c>
      <c r="K127" s="14" t="s">
        <v>91</v>
      </c>
      <c r="M127" s="4"/>
    </row>
  </sheetData>
  <mergeCells count="7">
    <mergeCell ref="A4:C4"/>
    <mergeCell ref="E4:F4"/>
    <mergeCell ref="A5:C5"/>
    <mergeCell ref="E5:F5"/>
    <mergeCell ref="A6:C6"/>
    <mergeCell ref="E6:F6"/>
    <mergeCell ref="A110:C110"/>
  </mergeCells>
  <dataValidations count="2">
    <dataValidation allowBlank="false" errorStyle="stop" operator="between" showDropDown="false" showErrorMessage="false" showInputMessage="false" sqref="D4 D6" type="whole">
      <formula1>1</formula1>
      <formula2>3</formula2>
    </dataValidation>
    <dataValidation allowBlank="false" errorStyle="stop" operator="between" showDropDown="false" showErrorMessage="false" showInputMessage="false" sqref="D5" type="whole">
      <formula1>1</formula1>
      <formula2>2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L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6"/>
    <col collapsed="false" customWidth="true" hidden="false" outlineLevel="0" max="3" min="3" style="0" width="11"/>
    <col collapsed="false" customWidth="true" hidden="false" outlineLevel="0" max="7" min="4" style="0" width="10"/>
    <col collapsed="false" customWidth="true" hidden="false" outlineLevel="0" max="8" min="8" style="0" width="12"/>
    <col collapsed="false" customWidth="true" hidden="false" outlineLevel="0" max="12" min="9" style="0" width="11"/>
  </cols>
  <sheetData>
    <row r="1" customFormat="false" ht="17.35" hidden="false" customHeight="false" outlineLevel="0" collapsed="false">
      <c r="A1" s="1" t="s">
        <v>385</v>
      </c>
    </row>
    <row r="2" customFormat="false" ht="15" hidden="false" customHeight="false" outlineLevel="0" collapsed="false">
      <c r="A2" s="2" t="s">
        <v>386</v>
      </c>
    </row>
    <row r="4" customFormat="false" ht="30" hidden="false" customHeight="true" outlineLevel="0" collapsed="false">
      <c r="A4" s="6" t="s">
        <v>387</v>
      </c>
      <c r="B4" s="6" t="s">
        <v>388</v>
      </c>
      <c r="C4" s="6" t="s">
        <v>389</v>
      </c>
      <c r="D4" s="6" t="s">
        <v>390</v>
      </c>
      <c r="E4" s="6" t="s">
        <v>391</v>
      </c>
      <c r="F4" s="6" t="s">
        <v>392</v>
      </c>
      <c r="G4" s="6" t="s">
        <v>393</v>
      </c>
      <c r="H4" s="6" t="s">
        <v>394</v>
      </c>
      <c r="I4" s="6" t="s">
        <v>390</v>
      </c>
      <c r="J4" s="6" t="s">
        <v>391</v>
      </c>
      <c r="K4" s="6" t="s">
        <v>392</v>
      </c>
      <c r="L4" s="6" t="s">
        <v>393</v>
      </c>
    </row>
    <row r="5" customFormat="false" ht="15" hidden="false" customHeight="false" outlineLevel="0" collapsed="false">
      <c r="A5" s="9" t="s">
        <v>395</v>
      </c>
      <c r="B5" s="4" t="s">
        <v>396</v>
      </c>
      <c r="C5" s="24" t="n">
        <v>1408</v>
      </c>
      <c r="D5" s="24" t="n">
        <v>570</v>
      </c>
      <c r="E5" s="24" t="n">
        <v>350</v>
      </c>
      <c r="F5" s="24" t="n">
        <v>136</v>
      </c>
      <c r="G5" s="24" t="n">
        <v>114</v>
      </c>
      <c r="H5" s="24" t="n">
        <v>42698</v>
      </c>
      <c r="I5" s="24" t="n">
        <v>39297</v>
      </c>
      <c r="J5" s="24" t="n">
        <v>54183</v>
      </c>
      <c r="K5" s="24" t="n">
        <v>47492</v>
      </c>
      <c r="L5" s="24" t="n">
        <v>315093</v>
      </c>
    </row>
    <row r="6" customFormat="false" ht="15" hidden="false" customHeight="false" outlineLevel="0" collapsed="false">
      <c r="A6" s="9" t="s">
        <v>397</v>
      </c>
      <c r="B6" s="4" t="s">
        <v>398</v>
      </c>
      <c r="C6" s="24" t="n">
        <v>1013</v>
      </c>
      <c r="D6" s="24" t="n">
        <v>424</v>
      </c>
      <c r="E6" s="24" t="n">
        <v>242</v>
      </c>
      <c r="F6" s="24" t="n">
        <v>85</v>
      </c>
      <c r="G6" s="24" t="n">
        <v>57</v>
      </c>
      <c r="H6" s="24" t="n">
        <v>31260</v>
      </c>
      <c r="I6" s="24" t="n">
        <v>29270</v>
      </c>
      <c r="J6" s="24" t="n">
        <v>36995</v>
      </c>
      <c r="K6" s="24" t="n">
        <v>29008</v>
      </c>
      <c r="L6" s="24" t="n">
        <v>116895</v>
      </c>
    </row>
    <row r="7" customFormat="false" ht="23.85" hidden="false" customHeight="false" outlineLevel="0" collapsed="false">
      <c r="A7" s="9" t="s">
        <v>399</v>
      </c>
      <c r="B7" s="4" t="s">
        <v>400</v>
      </c>
      <c r="C7" s="24" t="n">
        <v>3622</v>
      </c>
      <c r="D7" s="24" t="n">
        <v>1218</v>
      </c>
      <c r="E7" s="24" t="n">
        <v>746</v>
      </c>
      <c r="F7" s="24" t="n">
        <v>240</v>
      </c>
      <c r="G7" s="24" t="n">
        <v>183</v>
      </c>
      <c r="H7" s="24" t="n">
        <v>110129</v>
      </c>
      <c r="I7" s="24" t="n">
        <v>83565</v>
      </c>
      <c r="J7" s="24" t="n">
        <v>115979</v>
      </c>
      <c r="K7" s="24" t="n">
        <v>83365</v>
      </c>
      <c r="L7" s="24" t="n">
        <v>220621</v>
      </c>
    </row>
    <row r="8" customFormat="false" ht="15" hidden="false" customHeight="false" outlineLevel="0" collapsed="false">
      <c r="A8" s="9" t="s">
        <v>401</v>
      </c>
      <c r="B8" s="4" t="s">
        <v>402</v>
      </c>
      <c r="C8" s="24" t="n">
        <v>5930</v>
      </c>
      <c r="D8" s="24" t="n">
        <v>2104</v>
      </c>
      <c r="E8" s="24" t="n">
        <v>1251</v>
      </c>
      <c r="F8" s="24" t="n">
        <v>429</v>
      </c>
      <c r="G8" s="24" t="n">
        <v>387</v>
      </c>
      <c r="H8" s="24" t="n">
        <v>179028</v>
      </c>
      <c r="I8" s="24" t="n">
        <v>145073</v>
      </c>
      <c r="J8" s="24" t="n">
        <v>189979</v>
      </c>
      <c r="K8" s="24" t="n">
        <v>149368</v>
      </c>
      <c r="L8" s="24" t="n">
        <v>727292</v>
      </c>
    </row>
    <row r="9" customFormat="false" ht="15" hidden="false" customHeight="false" outlineLevel="0" collapsed="false">
      <c r="A9" s="9" t="s">
        <v>403</v>
      </c>
      <c r="B9" s="4" t="s">
        <v>404</v>
      </c>
      <c r="C9" s="24" t="n">
        <v>5789</v>
      </c>
      <c r="D9" s="24" t="n">
        <v>2151</v>
      </c>
      <c r="E9" s="24" t="n">
        <v>1244</v>
      </c>
      <c r="F9" s="24" t="n">
        <v>430</v>
      </c>
      <c r="G9" s="24" t="n">
        <v>339</v>
      </c>
      <c r="H9" s="24" t="n">
        <v>174222</v>
      </c>
      <c r="I9" s="24" t="n">
        <v>148901</v>
      </c>
      <c r="J9" s="24" t="n">
        <v>188821</v>
      </c>
      <c r="K9" s="24" t="n">
        <v>149492</v>
      </c>
      <c r="L9" s="24" t="n">
        <v>677207</v>
      </c>
    </row>
    <row r="10" customFormat="false" ht="15" hidden="false" customHeight="false" outlineLevel="0" collapsed="false">
      <c r="A10" s="9" t="s">
        <v>405</v>
      </c>
      <c r="B10" s="4" t="s">
        <v>406</v>
      </c>
      <c r="C10" s="24" t="n">
        <v>5831</v>
      </c>
      <c r="D10" s="24" t="n">
        <v>2359</v>
      </c>
      <c r="E10" s="24" t="n">
        <v>1581</v>
      </c>
      <c r="F10" s="24" t="n">
        <v>561</v>
      </c>
      <c r="G10" s="24" t="n">
        <v>447</v>
      </c>
      <c r="H10" s="24" t="n">
        <v>179046</v>
      </c>
      <c r="I10" s="24" t="n">
        <v>164769</v>
      </c>
      <c r="J10" s="24" t="n">
        <v>240853</v>
      </c>
      <c r="K10" s="24" t="n">
        <v>195289</v>
      </c>
      <c r="L10" s="24" t="n">
        <v>1156449</v>
      </c>
    </row>
    <row r="12" customFormat="false" ht="23.85" hidden="false" customHeight="true" outlineLevel="0" collapsed="false">
      <c r="A12" s="9" t="s">
        <v>407</v>
      </c>
      <c r="B12" s="9"/>
    </row>
    <row r="13" customFormat="false" ht="23.85" hidden="false" customHeight="false" outlineLevel="0" collapsed="false">
      <c r="A13" s="4" t="s">
        <v>408</v>
      </c>
      <c r="B13" s="4" t="s">
        <v>409</v>
      </c>
      <c r="C13" s="29" t="n">
        <v>0.973</v>
      </c>
      <c r="D13" s="29" t="n">
        <v>1</v>
      </c>
      <c r="E13" s="29" t="n">
        <v>1</v>
      </c>
      <c r="F13" s="29" t="n">
        <v>1</v>
      </c>
      <c r="G13" s="29" t="n">
        <v>1</v>
      </c>
    </row>
    <row r="14" customFormat="false" ht="15" hidden="false" customHeight="false" outlineLevel="0" collapsed="false">
      <c r="A14" s="4" t="s">
        <v>410</v>
      </c>
      <c r="B14" s="4" t="s">
        <v>411</v>
      </c>
      <c r="C14" s="29" t="n">
        <v>0.988</v>
      </c>
      <c r="D14" s="29" t="n">
        <v>0.979</v>
      </c>
      <c r="E14" s="29" t="n">
        <v>0.967</v>
      </c>
      <c r="F14" s="29" t="n">
        <v>0.951</v>
      </c>
      <c r="G14" s="29" t="n">
        <v>0.972</v>
      </c>
    </row>
    <row r="16" customFormat="false" ht="30" hidden="false" customHeight="true" outlineLevel="0" collapsed="false">
      <c r="A16" s="6" t="s">
        <v>412</v>
      </c>
      <c r="B16" s="6" t="s">
        <v>388</v>
      </c>
      <c r="C16" s="6" t="s">
        <v>413</v>
      </c>
      <c r="D16" s="6" t="s">
        <v>414</v>
      </c>
      <c r="E16" s="6" t="s">
        <v>415</v>
      </c>
      <c r="F16" s="6" t="s">
        <v>416</v>
      </c>
    </row>
    <row r="17" customFormat="false" ht="15" hidden="false" customHeight="false" outlineLevel="0" collapsed="false">
      <c r="A17" s="9" t="s">
        <v>417</v>
      </c>
      <c r="B17" s="4" t="str">
        <f aca="false">B5</f>
        <v>Electrical &amp; electronic goods wholesalers</v>
      </c>
      <c r="C17" s="30" t="n">
        <f aca="false">C5*C$13+D5*D$13</f>
        <v>1939.984</v>
      </c>
      <c r="D17" s="30" t="n">
        <f aca="false">E5*E$13+F5*F$13</f>
        <v>486</v>
      </c>
      <c r="E17" s="30" t="n">
        <f aca="false">G5*G$13</f>
        <v>114</v>
      </c>
      <c r="F17" s="18" t="n">
        <f aca="false">SUM(C17:E17)</f>
        <v>2539.984</v>
      </c>
    </row>
    <row r="18" customFormat="false" ht="15" hidden="false" customHeight="false" outlineLevel="0" collapsed="false">
      <c r="A18" s="9" t="s">
        <v>418</v>
      </c>
      <c r="B18" s="4" t="str">
        <f aca="false">B6</f>
        <v>Hardware, plumbing &amp; HVAC wholesalers</v>
      </c>
      <c r="C18" s="30" t="n">
        <f aca="false">C6*C$13+D6*D$13</f>
        <v>1409.649</v>
      </c>
      <c r="D18" s="30" t="n">
        <f aca="false">E6*E$13+F6*F$13</f>
        <v>327</v>
      </c>
      <c r="E18" s="30" t="n">
        <f aca="false">G6*G$13</f>
        <v>57</v>
      </c>
      <c r="F18" s="18" t="n">
        <f aca="false">SUM(C18:E18)</f>
        <v>1793.649</v>
      </c>
    </row>
    <row r="19" customFormat="false" ht="23.85" hidden="false" customHeight="false" outlineLevel="0" collapsed="false">
      <c r="A19" s="9" t="s">
        <v>419</v>
      </c>
      <c r="B19" s="4" t="str">
        <f aca="false">B7</f>
        <v>Machinery, equipment &amp; supplies wholesalers</v>
      </c>
      <c r="C19" s="30" t="n">
        <f aca="false">C7*C$13+D7*D$13</f>
        <v>4742.206</v>
      </c>
      <c r="D19" s="30" t="n">
        <f aca="false">E7*E$13+F7*F$13</f>
        <v>986</v>
      </c>
      <c r="E19" s="30" t="n">
        <f aca="false">G7*G$13</f>
        <v>183</v>
      </c>
      <c r="F19" s="18" t="n">
        <f aca="false">SUM(C19:E19)</f>
        <v>5911.206</v>
      </c>
    </row>
    <row r="20" customFormat="false" ht="15" hidden="false" customHeight="false" outlineLevel="0" collapsed="false">
      <c r="A20" s="9" t="s">
        <v>420</v>
      </c>
      <c r="B20" s="4" t="str">
        <f aca="false">B8</f>
        <v>Architectural &amp; engineering services</v>
      </c>
      <c r="C20" s="30" t="n">
        <f aca="false">C8*C$14+D8*D$14</f>
        <v>7918.656</v>
      </c>
      <c r="D20" s="30" t="n">
        <f aca="false">E8*E$14+F8*F$14</f>
        <v>1617.696</v>
      </c>
      <c r="E20" s="30" t="n">
        <f aca="false">G8*G$14</f>
        <v>376.164</v>
      </c>
      <c r="F20" s="18" t="n">
        <f aca="false">SUM(C20:E20)</f>
        <v>9912.516</v>
      </c>
    </row>
    <row r="21" customFormat="false" ht="15" hidden="false" customHeight="false" outlineLevel="0" collapsed="false">
      <c r="A21" s="9" t="s">
        <v>421</v>
      </c>
      <c r="B21" s="4" t="str">
        <f aca="false">B9</f>
        <v>Management &amp; technical consulting</v>
      </c>
      <c r="C21" s="30" t="n">
        <f aca="false">C9*C$14+D9*D$14</f>
        <v>7825.361</v>
      </c>
      <c r="D21" s="30" t="n">
        <f aca="false">E9*E$14+F9*F$14</f>
        <v>1611.878</v>
      </c>
      <c r="E21" s="30" t="n">
        <f aca="false">G9*G$14</f>
        <v>329.508</v>
      </c>
      <c r="F21" s="18" t="n">
        <f aca="false">SUM(C21:E21)</f>
        <v>9766.747</v>
      </c>
    </row>
    <row r="22" customFormat="false" ht="15" hidden="false" customHeight="false" outlineLevel="0" collapsed="false">
      <c r="A22" s="9" t="s">
        <v>422</v>
      </c>
      <c r="B22" s="4" t="str">
        <f aca="false">B10</f>
        <v>Computer systems design (IT services)</v>
      </c>
      <c r="C22" s="30" t="n">
        <f aca="false">C10*C$14+D10*D$14</f>
        <v>8070.489</v>
      </c>
      <c r="D22" s="30" t="n">
        <f aca="false">E10*E$14+F10*F$14</f>
        <v>2062.338</v>
      </c>
      <c r="E22" s="30" t="n">
        <f aca="false">G10*G$14</f>
        <v>434.484</v>
      </c>
      <c r="F22" s="18" t="n">
        <f aca="false">SUM(C22:E22)</f>
        <v>10567.311</v>
      </c>
    </row>
    <row r="24" customFormat="false" ht="30" hidden="false" customHeight="true" outlineLevel="0" collapsed="false">
      <c r="A24" s="6" t="s">
        <v>423</v>
      </c>
      <c r="B24" s="6" t="s">
        <v>424</v>
      </c>
      <c r="C24" s="6" t="s">
        <v>425</v>
      </c>
      <c r="D24" s="6" t="s">
        <v>426</v>
      </c>
      <c r="E24" s="6" t="s">
        <v>427</v>
      </c>
      <c r="F24" s="6"/>
    </row>
    <row r="25" customFormat="false" ht="23.85" hidden="false" customHeight="false" outlineLevel="0" collapsed="false">
      <c r="A25" s="4" t="s">
        <v>428</v>
      </c>
      <c r="B25" s="4" t="s">
        <v>413</v>
      </c>
      <c r="C25" s="30" t="n">
        <f aca="false">C5+C6+C7+D5+D6+D7</f>
        <v>8255</v>
      </c>
      <c r="D25" s="30" t="n">
        <f aca="false">H5+H6+H7+I5+I6+I7</f>
        <v>336219</v>
      </c>
      <c r="E25" s="31" t="n">
        <f aca="false">D25/C25</f>
        <v>40.7291338582677</v>
      </c>
    </row>
    <row r="26" customFormat="false" ht="23.85" hidden="false" customHeight="false" outlineLevel="0" collapsed="false">
      <c r="A26" s="4" t="s">
        <v>428</v>
      </c>
      <c r="B26" s="4" t="s">
        <v>414</v>
      </c>
      <c r="C26" s="30" t="n">
        <f aca="false">E5+E6+E7+F5+F6+F7</f>
        <v>1799</v>
      </c>
      <c r="D26" s="30" t="n">
        <f aca="false">J5+J6+J7+K5+K6+K7</f>
        <v>367022</v>
      </c>
      <c r="E26" s="31" t="n">
        <f aca="false">D26/C26</f>
        <v>204.014452473596</v>
      </c>
    </row>
    <row r="27" customFormat="false" ht="23.85" hidden="false" customHeight="false" outlineLevel="0" collapsed="false">
      <c r="A27" s="4" t="s">
        <v>428</v>
      </c>
      <c r="B27" s="4" t="s">
        <v>415</v>
      </c>
      <c r="C27" s="30" t="n">
        <f aca="false">G5+G6+G7</f>
        <v>354</v>
      </c>
      <c r="D27" s="30" t="n">
        <f aca="false">L5+L6+L7</f>
        <v>652609</v>
      </c>
      <c r="E27" s="31" t="n">
        <f aca="false">D27/C27</f>
        <v>1843.52824858757</v>
      </c>
    </row>
    <row r="28" customFormat="false" ht="23.85" hidden="false" customHeight="false" outlineLevel="0" collapsed="false">
      <c r="A28" s="4" t="s">
        <v>429</v>
      </c>
      <c r="B28" s="4" t="s">
        <v>413</v>
      </c>
      <c r="C28" s="30" t="n">
        <f aca="false">C8+C9+C10+D8+D9+D10</f>
        <v>24164</v>
      </c>
      <c r="D28" s="30" t="n">
        <f aca="false">H8+H9+H10+I8+I9+I10</f>
        <v>991039</v>
      </c>
      <c r="E28" s="31" t="n">
        <f aca="false">D28/C28</f>
        <v>41.0130359212051</v>
      </c>
    </row>
    <row r="29" customFormat="false" ht="23.85" hidden="false" customHeight="false" outlineLevel="0" collapsed="false">
      <c r="A29" s="4" t="s">
        <v>429</v>
      </c>
      <c r="B29" s="4" t="s">
        <v>414</v>
      </c>
      <c r="C29" s="30" t="n">
        <f aca="false">E8+E9+E10+F8+F9+F10</f>
        <v>5496</v>
      </c>
      <c r="D29" s="30" t="n">
        <f aca="false">J8+J9+J10+K8+K9+K10</f>
        <v>1113802</v>
      </c>
      <c r="E29" s="31" t="n">
        <f aca="false">D29/C29</f>
        <v>202.656841339156</v>
      </c>
    </row>
    <row r="30" customFormat="false" ht="23.85" hidden="false" customHeight="false" outlineLevel="0" collapsed="false">
      <c r="A30" s="4" t="s">
        <v>429</v>
      </c>
      <c r="B30" s="4" t="s">
        <v>415</v>
      </c>
      <c r="C30" s="30" t="n">
        <f aca="false">G8+G9+G10</f>
        <v>1173</v>
      </c>
      <c r="D30" s="30" t="n">
        <f aca="false">L8+L9+L10</f>
        <v>2560948</v>
      </c>
      <c r="E30" s="31" t="n">
        <f aca="false">D30/C30</f>
        <v>2183.24637681159</v>
      </c>
    </row>
    <row r="32" customFormat="false" ht="45.75" hidden="false" customHeight="true" outlineLevel="0" collapsed="false">
      <c r="A32" s="32" t="s">
        <v>430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</row>
  </sheetData>
  <mergeCells count="2">
    <mergeCell ref="A12:B12"/>
    <mergeCell ref="A32:L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8" min="2" style="0" width="14"/>
  </cols>
  <sheetData>
    <row r="1" customFormat="false" ht="17.35" hidden="false" customHeight="false" outlineLevel="0" collapsed="false">
      <c r="A1" s="1" t="s">
        <v>431</v>
      </c>
    </row>
    <row r="2" customFormat="false" ht="15" hidden="false" customHeight="false" outlineLevel="0" collapsed="false">
      <c r="A2" s="2" t="s">
        <v>432</v>
      </c>
    </row>
    <row r="4" customFormat="false" ht="30" hidden="false" customHeight="true" outlineLevel="0" collapsed="false">
      <c r="A4" s="6" t="s">
        <v>424</v>
      </c>
      <c r="B4" s="6" t="s">
        <v>64</v>
      </c>
      <c r="C4" s="6" t="s">
        <v>65</v>
      </c>
      <c r="D4" s="6" t="s">
        <v>66</v>
      </c>
      <c r="E4" s="6" t="s">
        <v>67</v>
      </c>
      <c r="F4" s="6" t="s">
        <v>68</v>
      </c>
      <c r="G4" s="6" t="s">
        <v>69</v>
      </c>
      <c r="H4" s="6" t="s">
        <v>70</v>
      </c>
    </row>
    <row r="5" customFormat="false" ht="15" hidden="false" customHeight="false" outlineLevel="0" collapsed="false">
      <c r="A5" s="9" t="s">
        <v>433</v>
      </c>
      <c r="B5" s="33" t="n">
        <f aca="false">MAX((Assumptions!$D$51+Assumptions!$D$53)*12,(((('Market Sizing'!$E$25*Assumptions!$D$41*Assumptions!$D$42*Assumptions!$D$43)*Assumptions!$D$44)*Assumptions!$D$45*Assumptions!$D$46+('Market Sizing'!$E$25*Assumptions!$D$41*Assumptions!$D$42*Assumptions!$D$43)*Assumptions!$D$47+('Market Sizing'!$E$25*Assumptions!$D$41*Assumptions!$D$42*Assumptions!$D$43)*Assumptions!$D$48*Assumptions!$D$49)*(Assumptions!$D$51*12/Assumptions!$D$52)+((('Market Sizing'!$E$25*Assumptions!$D$41*Assumptions!$D$42*Assumptions!$D$43)*Assumptions!$D$44)*Assumptions!$D$45+('Market Sizing'!$E$25*Assumptions!$D$41*Assumptions!$D$42*Assumptions!$D$43)+('Market Sizing'!$E$25*Assumptions!$D$41*Assumptions!$D$42*Assumptions!$D$43)*Assumptions!$D$48)*Assumptions!$D$50*(Assumptions!$D$53*12/Assumptions!$D$54)))</f>
        <v>5352</v>
      </c>
      <c r="C5" s="33" t="n">
        <f aca="false">MAX((Assumptions!$E$51+Assumptions!$E$53)*12,(((('Market Sizing'!$E$25*Assumptions!$E$41*Assumptions!$E$42*Assumptions!$E$43)*Assumptions!$E$44)*Assumptions!$E$45*Assumptions!$E$46+('Market Sizing'!$E$25*Assumptions!$E$41*Assumptions!$E$42*Assumptions!$E$43)*Assumptions!$E$47+('Market Sizing'!$E$25*Assumptions!$E$41*Assumptions!$E$42*Assumptions!$E$43)*Assumptions!$E$48*Assumptions!$E$49)*(Assumptions!$E$51*12/Assumptions!$E$52)+((('Market Sizing'!$E$25*Assumptions!$E$41*Assumptions!$E$42*Assumptions!$E$43)*Assumptions!$E$44)*Assumptions!$E$45+('Market Sizing'!$E$25*Assumptions!$E$41*Assumptions!$E$42*Assumptions!$E$43)+('Market Sizing'!$E$25*Assumptions!$E$41*Assumptions!$E$42*Assumptions!$E$43)*Assumptions!$E$48)*Assumptions!$E$50*(Assumptions!$E$53*12/Assumptions!$E$54)))</f>
        <v>5352</v>
      </c>
      <c r="D5" s="33" t="n">
        <f aca="false">MAX((Assumptions!$F$51+Assumptions!$F$53)*12,(((('Market Sizing'!$E$25*Assumptions!$F$41*Assumptions!$F$42*Assumptions!$F$43)*Assumptions!$F$44)*Assumptions!$F$45*Assumptions!$F$46+('Market Sizing'!$E$25*Assumptions!$F$41*Assumptions!$F$42*Assumptions!$F$43)*Assumptions!$F$47+('Market Sizing'!$E$25*Assumptions!$F$41*Assumptions!$F$42*Assumptions!$F$43)*Assumptions!$F$48*Assumptions!$F$49)*(Assumptions!$F$51*12/Assumptions!$F$52)+((('Market Sizing'!$E$25*Assumptions!$F$41*Assumptions!$F$42*Assumptions!$F$43)*Assumptions!$F$44)*Assumptions!$F$45+('Market Sizing'!$E$25*Assumptions!$F$41*Assumptions!$F$42*Assumptions!$F$43)+('Market Sizing'!$E$25*Assumptions!$F$41*Assumptions!$F$42*Assumptions!$F$43)*Assumptions!$F$48)*Assumptions!$F$50*(Assumptions!$F$53*12/Assumptions!$F$54)))</f>
        <v>5352</v>
      </c>
      <c r="E5" s="33" t="n">
        <f aca="false">MAX((Assumptions!$G$51+Assumptions!$G$53)*12,(((('Market Sizing'!$E$28*Assumptions!$G$41*Assumptions!$G$42*Assumptions!$G$43)*Assumptions!$G$44)*Assumptions!$G$45*Assumptions!$G$46+('Market Sizing'!$E$28*Assumptions!$G$41*Assumptions!$G$42*Assumptions!$G$43)*Assumptions!$G$47+('Market Sizing'!$E$28*Assumptions!$G$41*Assumptions!$G$42*Assumptions!$G$43)*Assumptions!$G$48*Assumptions!$G$49)*(Assumptions!$G$51*12/Assumptions!$G$52)+((('Market Sizing'!$E$28*Assumptions!$G$41*Assumptions!$G$42*Assumptions!$G$43)*Assumptions!$G$44)*Assumptions!$G$45+('Market Sizing'!$E$28*Assumptions!$G$41*Assumptions!$G$42*Assumptions!$G$43)+('Market Sizing'!$E$28*Assumptions!$G$41*Assumptions!$G$42*Assumptions!$G$43)*Assumptions!$G$48)*Assumptions!$G$50*(Assumptions!$G$53*12/Assumptions!$G$54)))</f>
        <v>5352</v>
      </c>
      <c r="F5" s="33" t="n">
        <f aca="false">MAX((Assumptions!$H$51+Assumptions!$H$53)*12,(((('Market Sizing'!$E$28*Assumptions!$H$41*Assumptions!$H$42*Assumptions!$H$43)*Assumptions!$H$44)*Assumptions!$H$45*Assumptions!$H$46+('Market Sizing'!$E$28*Assumptions!$H$41*Assumptions!$H$42*Assumptions!$H$43)*Assumptions!$H$47+('Market Sizing'!$E$28*Assumptions!$H$41*Assumptions!$H$42*Assumptions!$H$43)*Assumptions!$H$48*Assumptions!$H$49)*(Assumptions!$H$51*12/Assumptions!$H$52)+((('Market Sizing'!$E$28*Assumptions!$H$41*Assumptions!$H$42*Assumptions!$H$43)*Assumptions!$H$44)*Assumptions!$H$45+('Market Sizing'!$E$28*Assumptions!$H$41*Assumptions!$H$42*Assumptions!$H$43)+('Market Sizing'!$E$28*Assumptions!$H$41*Assumptions!$H$42*Assumptions!$H$43)*Assumptions!$H$48)*Assumptions!$H$50*(Assumptions!$H$53*12/Assumptions!$H$54)))</f>
        <v>5352</v>
      </c>
      <c r="G5" s="33" t="n">
        <f aca="false">MAX((Assumptions!$I$51+Assumptions!$I$53)*12,(((('Market Sizing'!$E$28*Assumptions!$I$41*Assumptions!$I$42*Assumptions!$I$43)*Assumptions!$I$44)*Assumptions!$I$45*Assumptions!$I$46+('Market Sizing'!$E$28*Assumptions!$I$41*Assumptions!$I$42*Assumptions!$I$43)*Assumptions!$I$47+('Market Sizing'!$E$28*Assumptions!$I$41*Assumptions!$I$42*Assumptions!$I$43)*Assumptions!$I$48*Assumptions!$I$49)*(Assumptions!$I$51*12/Assumptions!$I$52)+((('Market Sizing'!$E$28*Assumptions!$I$41*Assumptions!$I$42*Assumptions!$I$43)*Assumptions!$I$44)*Assumptions!$I$45+('Market Sizing'!$E$28*Assumptions!$I$41*Assumptions!$I$42*Assumptions!$I$43)+('Market Sizing'!$E$28*Assumptions!$I$41*Assumptions!$I$42*Assumptions!$I$43)*Assumptions!$I$48)*Assumptions!$I$50*(Assumptions!$I$53*12/Assumptions!$I$54)))</f>
        <v>5352</v>
      </c>
      <c r="H5" s="22" t="n">
        <f aca="false">INDEX(B5:G5,1,(Assumptions!$D$5-1)*3+Assumptions!$D$4)</f>
        <v>5352</v>
      </c>
    </row>
    <row r="6" customFormat="false" ht="15" hidden="false" customHeight="false" outlineLevel="0" collapsed="false">
      <c r="A6" s="9" t="s">
        <v>434</v>
      </c>
      <c r="B6" s="33" t="n">
        <f aca="false">MAX((Assumptions!$D$51+Assumptions!$D$53)*12,(((('Market Sizing'!$E$26*Assumptions!$D$41*Assumptions!$D$42*Assumptions!$D$43)*Assumptions!$D$44)*Assumptions!$D$45*Assumptions!$D$46+('Market Sizing'!$E$26*Assumptions!$D$41*Assumptions!$D$42*Assumptions!$D$43)*Assumptions!$D$47+('Market Sizing'!$E$26*Assumptions!$D$41*Assumptions!$D$42*Assumptions!$D$43)*Assumptions!$D$48*Assumptions!$D$49)*(Assumptions!$D$51*12/Assumptions!$D$52)+((('Market Sizing'!$E$26*Assumptions!$D$41*Assumptions!$D$42*Assumptions!$D$43)*Assumptions!$D$44)*Assumptions!$D$45+('Market Sizing'!$E$26*Assumptions!$D$41*Assumptions!$D$42*Assumptions!$D$43)+('Market Sizing'!$E$26*Assumptions!$D$41*Assumptions!$D$42*Assumptions!$D$43)*Assumptions!$D$48)*Assumptions!$D$50*(Assumptions!$D$53*12/Assumptions!$D$54)))</f>
        <v>7325.04009656406</v>
      </c>
      <c r="C6" s="33" t="n">
        <f aca="false">MAX((Assumptions!$E$51+Assumptions!$E$53)*12,(((('Market Sizing'!$E$26*Assumptions!$E$41*Assumptions!$E$42*Assumptions!$E$43)*Assumptions!$E$44)*Assumptions!$E$45*Assumptions!$E$46+('Market Sizing'!$E$26*Assumptions!$E$41*Assumptions!$E$42*Assumptions!$E$43)*Assumptions!$E$47+('Market Sizing'!$E$26*Assumptions!$E$41*Assumptions!$E$42*Assumptions!$E$43)*Assumptions!$E$48*Assumptions!$E$49)*(Assumptions!$E$51*12/Assumptions!$E$52)+((('Market Sizing'!$E$26*Assumptions!$E$41*Assumptions!$E$42*Assumptions!$E$43)*Assumptions!$E$44)*Assumptions!$E$45+('Market Sizing'!$E$26*Assumptions!$E$41*Assumptions!$E$42*Assumptions!$E$43)+('Market Sizing'!$E$26*Assumptions!$E$41*Assumptions!$E$42*Assumptions!$E$43)*Assumptions!$E$48)*Assumptions!$E$50*(Assumptions!$E$53*12/Assumptions!$E$54)))</f>
        <v>9766.72012875208</v>
      </c>
      <c r="D6" s="33" t="n">
        <f aca="false">MAX((Assumptions!$F$51+Assumptions!$F$53)*12,(((('Market Sizing'!$E$26*Assumptions!$F$41*Assumptions!$F$42*Assumptions!$F$43)*Assumptions!$F$44)*Assumptions!$F$45*Assumptions!$F$46+('Market Sizing'!$E$26*Assumptions!$F$41*Assumptions!$F$42*Assumptions!$F$43)*Assumptions!$F$47+('Market Sizing'!$E$26*Assumptions!$F$41*Assumptions!$F$42*Assumptions!$F$43)*Assumptions!$F$48*Assumptions!$F$49)*(Assumptions!$F$51*12/Assumptions!$F$52)+((('Market Sizing'!$E$26*Assumptions!$F$41*Assumptions!$F$42*Assumptions!$F$43)*Assumptions!$F$44)*Assumptions!$F$45+('Market Sizing'!$E$26*Assumptions!$F$41*Assumptions!$F$42*Assumptions!$F$43)+('Market Sizing'!$E$26*Assumptions!$F$41*Assumptions!$F$42*Assumptions!$F$43)*Assumptions!$F$48)*Assumptions!$F$50*(Assumptions!$F$53*12/Assumptions!$F$54)))</f>
        <v>14650.0801931281</v>
      </c>
      <c r="E6" s="33" t="n">
        <f aca="false">MAX((Assumptions!$G$51+Assumptions!$G$53)*12,(((('Market Sizing'!$E$29*Assumptions!$G$41*Assumptions!$G$42*Assumptions!$G$43)*Assumptions!$G$44)*Assumptions!$G$45*Assumptions!$G$46+('Market Sizing'!$E$29*Assumptions!$G$41*Assumptions!$G$42*Assumptions!$G$43)*Assumptions!$G$47+('Market Sizing'!$E$29*Assumptions!$G$41*Assumptions!$G$42*Assumptions!$G$43)*Assumptions!$G$48*Assumptions!$G$49)*(Assumptions!$G$51*12/Assumptions!$G$52)+((('Market Sizing'!$E$29*Assumptions!$G$41*Assumptions!$G$42*Assumptions!$G$43)*Assumptions!$G$44)*Assumptions!$G$45+('Market Sizing'!$E$29*Assumptions!$G$41*Assumptions!$G$42*Assumptions!$G$43)+('Market Sizing'!$E$29*Assumptions!$G$41*Assumptions!$G$42*Assumptions!$G$43)*Assumptions!$G$48)*Assumptions!$G$50*(Assumptions!$G$53*12/Assumptions!$G$54)))</f>
        <v>5352</v>
      </c>
      <c r="F6" s="33" t="n">
        <f aca="false">MAX((Assumptions!$H$51+Assumptions!$H$53)*12,(((('Market Sizing'!$E$29*Assumptions!$H$41*Assumptions!$H$42*Assumptions!$H$43)*Assumptions!$H$44)*Assumptions!$H$45*Assumptions!$H$46+('Market Sizing'!$E$29*Assumptions!$H$41*Assumptions!$H$42*Assumptions!$H$43)*Assumptions!$H$47+('Market Sizing'!$E$29*Assumptions!$H$41*Assumptions!$H$42*Assumptions!$H$43)*Assumptions!$H$48*Assumptions!$H$49)*(Assumptions!$H$51*12/Assumptions!$H$52)+((('Market Sizing'!$E$29*Assumptions!$H$41*Assumptions!$H$42*Assumptions!$H$43)*Assumptions!$H$44)*Assumptions!$H$45+('Market Sizing'!$E$29*Assumptions!$H$41*Assumptions!$H$42*Assumptions!$H$43)+('Market Sizing'!$E$29*Assumptions!$H$41*Assumptions!$H$42*Assumptions!$H$43)*Assumptions!$H$48)*Assumptions!$H$50*(Assumptions!$H$53*12/Assumptions!$H$54)))</f>
        <v>5352</v>
      </c>
      <c r="G6" s="33" t="n">
        <f aca="false">MAX((Assumptions!$I$51+Assumptions!$I$53)*12,(((('Market Sizing'!$E$29*Assumptions!$I$41*Assumptions!$I$42*Assumptions!$I$43)*Assumptions!$I$44)*Assumptions!$I$45*Assumptions!$I$46+('Market Sizing'!$E$29*Assumptions!$I$41*Assumptions!$I$42*Assumptions!$I$43)*Assumptions!$I$47+('Market Sizing'!$E$29*Assumptions!$I$41*Assumptions!$I$42*Assumptions!$I$43)*Assumptions!$I$48*Assumptions!$I$49)*(Assumptions!$I$51*12/Assumptions!$I$52)+((('Market Sizing'!$E$29*Assumptions!$I$41*Assumptions!$I$42*Assumptions!$I$43)*Assumptions!$I$44)*Assumptions!$I$45+('Market Sizing'!$E$29*Assumptions!$I$41*Assumptions!$I$42*Assumptions!$I$43)+('Market Sizing'!$E$29*Assumptions!$I$41*Assumptions!$I$42*Assumptions!$I$43)*Assumptions!$I$48)*Assumptions!$I$50*(Assumptions!$I$53*12/Assumptions!$I$54)))</f>
        <v>5352</v>
      </c>
      <c r="H6" s="22" t="n">
        <f aca="false">INDEX(B6:G6,1,(Assumptions!$D$5-1)*3+Assumptions!$D$4)</f>
        <v>9766.72012875208</v>
      </c>
    </row>
    <row r="7" customFormat="false" ht="15" hidden="false" customHeight="false" outlineLevel="0" collapsed="false">
      <c r="A7" s="9" t="s">
        <v>435</v>
      </c>
      <c r="B7" s="33" t="n">
        <f aca="false">MAX(Assumptions!$D$55*(Assumptions!$D$51*12/Assumptions!$D$52)+Assumptions!$D$56*(Assumptions!$D$53*12/Assumptions!$D$54),(((('Market Sizing'!$E$27*Assumptions!$D$41*Assumptions!$D$42*Assumptions!$D$43)*Assumptions!$D$44)*Assumptions!$D$45*Assumptions!$D$46+('Market Sizing'!$E$27*Assumptions!$D$41*Assumptions!$D$42*Assumptions!$D$43)*Assumptions!$D$47+('Market Sizing'!$E$27*Assumptions!$D$41*Assumptions!$D$42*Assumptions!$D$43)*Assumptions!$D$48*Assumptions!$D$49)*(Assumptions!$D$51*12/Assumptions!$D$52)+((('Market Sizing'!$E$27*Assumptions!$D$41*Assumptions!$D$42*Assumptions!$D$43)*Assumptions!$D$44)*Assumptions!$D$45+('Market Sizing'!$E$27*Assumptions!$D$41*Assumptions!$D$42*Assumptions!$D$43)+('Market Sizing'!$E$27*Assumptions!$D$41*Assumptions!$D$42*Assumptions!$D$43)*Assumptions!$D$48)*Assumptions!$D$50*(Assumptions!$D$53*12/Assumptions!$D$54)))*(1-Assumptions!$D$57)</f>
        <v>46333.6921645789</v>
      </c>
      <c r="C7" s="33" t="n">
        <f aca="false">MAX(Assumptions!$E$55*(Assumptions!$E$51*12/Assumptions!$E$52)+Assumptions!$E$56*(Assumptions!$E$53*12/Assumptions!$E$54),(((('Market Sizing'!$E$27*Assumptions!$E$41*Assumptions!$E$42*Assumptions!$E$43)*Assumptions!$E$44)*Assumptions!$E$45*Assumptions!$E$46+('Market Sizing'!$E$27*Assumptions!$E$41*Assumptions!$E$42*Assumptions!$E$43)*Assumptions!$E$47+('Market Sizing'!$E$27*Assumptions!$E$41*Assumptions!$E$42*Assumptions!$E$43)*Assumptions!$E$48*Assumptions!$E$49)*(Assumptions!$E$51*12/Assumptions!$E$52)+((('Market Sizing'!$E$27*Assumptions!$E$41*Assumptions!$E$42*Assumptions!$E$43)*Assumptions!$E$44)*Assumptions!$E$45+('Market Sizing'!$E$27*Assumptions!$E$41*Assumptions!$E$42*Assumptions!$E$43)+('Market Sizing'!$E$27*Assumptions!$E$41*Assumptions!$E$42*Assumptions!$E$43)*Assumptions!$E$48)*Assumptions!$E$50*(Assumptions!$E$53*12/Assumptions!$E$54)))*(1-Assumptions!$E$57)</f>
        <v>61778.2562194386</v>
      </c>
      <c r="D7" s="33" t="n">
        <f aca="false">MAX(Assumptions!$F$55*(Assumptions!$F$51*12/Assumptions!$F$52)+Assumptions!$F$56*(Assumptions!$F$53*12/Assumptions!$F$54),(((('Market Sizing'!$E$27*Assumptions!$F$41*Assumptions!$F$42*Assumptions!$F$43)*Assumptions!$F$44)*Assumptions!$F$45*Assumptions!$F$46+('Market Sizing'!$E$27*Assumptions!$F$41*Assumptions!$F$42*Assumptions!$F$43)*Assumptions!$F$47+('Market Sizing'!$E$27*Assumptions!$F$41*Assumptions!$F$42*Assumptions!$F$43)*Assumptions!$F$48*Assumptions!$F$49)*(Assumptions!$F$51*12/Assumptions!$F$52)+((('Market Sizing'!$E$27*Assumptions!$F$41*Assumptions!$F$42*Assumptions!$F$43)*Assumptions!$F$44)*Assumptions!$F$45+('Market Sizing'!$E$27*Assumptions!$F$41*Assumptions!$F$42*Assumptions!$F$43)+('Market Sizing'!$E$27*Assumptions!$F$41*Assumptions!$F$42*Assumptions!$F$43)*Assumptions!$F$48)*Assumptions!$F$50*(Assumptions!$F$53*12/Assumptions!$F$54)))*(1-Assumptions!$F$57)</f>
        <v>92667.3843291578</v>
      </c>
      <c r="E7" s="33" t="n">
        <f aca="false">MAX(Assumptions!$G$55*(Assumptions!$G$51*12/Assumptions!$G$52)+Assumptions!$G$56*(Assumptions!$G$53*12/Assumptions!$G$54),(((('Market Sizing'!$E$30*Assumptions!$G$41*Assumptions!$G$42*Assumptions!$G$43)*Assumptions!$G$44)*Assumptions!$G$45*Assumptions!$G$46+('Market Sizing'!$E$30*Assumptions!$G$41*Assumptions!$G$42*Assumptions!$G$43)*Assumptions!$G$47+('Market Sizing'!$E$30*Assumptions!$G$41*Assumptions!$G$42*Assumptions!$G$43)*Assumptions!$G$48*Assumptions!$G$49)*(Assumptions!$G$51*12/Assumptions!$G$52)+((('Market Sizing'!$E$30*Assumptions!$G$41*Assumptions!$G$42*Assumptions!$G$43)*Assumptions!$G$44)*Assumptions!$G$45+('Market Sizing'!$E$30*Assumptions!$G$41*Assumptions!$G$42*Assumptions!$G$43)+('Market Sizing'!$E$30*Assumptions!$G$41*Assumptions!$G$42*Assumptions!$G$43)*Assumptions!$G$48)*Assumptions!$G$50*(Assumptions!$G$53*12/Assumptions!$G$54)))*(1-Assumptions!$G$57)</f>
        <v>44310</v>
      </c>
      <c r="F7" s="33" t="n">
        <f aca="false">MAX(Assumptions!$H$55*(Assumptions!$H$51*12/Assumptions!$H$52)+Assumptions!$H$56*(Assumptions!$H$53*12/Assumptions!$H$54),(((('Market Sizing'!$E$30*Assumptions!$H$41*Assumptions!$H$42*Assumptions!$H$43)*Assumptions!$H$44)*Assumptions!$H$45*Assumptions!$H$46+('Market Sizing'!$E$30*Assumptions!$H$41*Assumptions!$H$42*Assumptions!$H$43)*Assumptions!$H$47+('Market Sizing'!$E$30*Assumptions!$H$41*Assumptions!$H$42*Assumptions!$H$43)*Assumptions!$H$48*Assumptions!$H$49)*(Assumptions!$H$51*12/Assumptions!$H$52)+((('Market Sizing'!$E$30*Assumptions!$H$41*Assumptions!$H$42*Assumptions!$H$43)*Assumptions!$H$44)*Assumptions!$H$45+('Market Sizing'!$E$30*Assumptions!$H$41*Assumptions!$H$42*Assumptions!$H$43)+('Market Sizing'!$E$30*Assumptions!$H$41*Assumptions!$H$42*Assumptions!$H$43)*Assumptions!$H$48)*Assumptions!$H$50*(Assumptions!$H$53*12/Assumptions!$H$54)))*(1-Assumptions!$H$57)</f>
        <v>44310</v>
      </c>
      <c r="G7" s="33" t="n">
        <f aca="false">MAX(Assumptions!$I$55*(Assumptions!$I$51*12/Assumptions!$I$52)+Assumptions!$I$56*(Assumptions!$I$53*12/Assumptions!$I$54),(((('Market Sizing'!$E$30*Assumptions!$I$41*Assumptions!$I$42*Assumptions!$I$43)*Assumptions!$I$44)*Assumptions!$I$45*Assumptions!$I$46+('Market Sizing'!$E$30*Assumptions!$I$41*Assumptions!$I$42*Assumptions!$I$43)*Assumptions!$I$47+('Market Sizing'!$E$30*Assumptions!$I$41*Assumptions!$I$42*Assumptions!$I$43)*Assumptions!$I$48*Assumptions!$I$49)*(Assumptions!$I$51*12/Assumptions!$I$52)+((('Market Sizing'!$E$30*Assumptions!$I$41*Assumptions!$I$42*Assumptions!$I$43)*Assumptions!$I$44)*Assumptions!$I$45+('Market Sizing'!$E$30*Assumptions!$I$41*Assumptions!$I$42*Assumptions!$I$43)+('Market Sizing'!$E$30*Assumptions!$I$41*Assumptions!$I$42*Assumptions!$I$43)*Assumptions!$I$48)*Assumptions!$I$50*(Assumptions!$I$53*12/Assumptions!$I$54)))*(1-Assumptions!$I$57)</f>
        <v>44310</v>
      </c>
      <c r="H7" s="22" t="n">
        <f aca="false">INDEX(B7:G7,1,(Assumptions!$D$5-1)*3+Assumptions!$D$4)</f>
        <v>61778.2562194386</v>
      </c>
    </row>
    <row r="9" customFormat="false" ht="15" hidden="false" customHeight="false" outlineLevel="0" collapsed="false">
      <c r="A9" s="9" t="s">
        <v>436</v>
      </c>
    </row>
    <row r="10" customFormat="false" ht="15" hidden="false" customHeight="false" outlineLevel="0" collapsed="false">
      <c r="A10" s="4" t="s">
        <v>437</v>
      </c>
      <c r="C10" s="34" t="n">
        <f aca="false">'Market Sizing'!$E$25*Assumptions!$E$41</f>
        <v>8.9604094488189</v>
      </c>
      <c r="F10" s="34" t="n">
        <f aca="false">'Market Sizing'!$E$28*Assumptions!$H$41</f>
        <v>2.54280822711472</v>
      </c>
    </row>
    <row r="11" customFormat="false" ht="15" hidden="false" customHeight="false" outlineLevel="0" collapsed="false">
      <c r="A11" s="4" t="s">
        <v>438</v>
      </c>
      <c r="C11" s="34" t="n">
        <f aca="false">'Market Sizing'!$E$26*Assumptions!$E$41</f>
        <v>44.8831795441912</v>
      </c>
      <c r="F11" s="34" t="n">
        <f aca="false">'Market Sizing'!$E$29*Assumptions!$H$41</f>
        <v>12.5647241630277</v>
      </c>
    </row>
    <row r="12" customFormat="false" ht="15" hidden="false" customHeight="false" outlineLevel="0" collapsed="false">
      <c r="A12" s="4" t="s">
        <v>439</v>
      </c>
      <c r="C12" s="34" t="n">
        <f aca="false">'Market Sizing'!$E$27*Assumptions!$E$41</f>
        <v>405.576214689266</v>
      </c>
      <c r="F12" s="34" t="n">
        <f aca="false">'Market Sizing'!$E$30*Assumptions!$H$41</f>
        <v>135.361275362319</v>
      </c>
    </row>
    <row r="14" customFormat="false" ht="45.75" hidden="false" customHeight="true" outlineLevel="0" collapsed="false">
      <c r="A14" s="32" t="s">
        <v>440</v>
      </c>
      <c r="B14" s="32"/>
      <c r="C14" s="32"/>
      <c r="D14" s="32"/>
      <c r="E14" s="32"/>
      <c r="F14" s="32"/>
      <c r="G14" s="32"/>
      <c r="H14" s="32"/>
    </row>
  </sheetData>
  <mergeCells count="1">
    <mergeCell ref="A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S7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4"/>
    <col collapsed="false" customWidth="true" hidden="false" outlineLevel="0" max="2" min="2" style="0" width="14"/>
    <col collapsed="false" customWidth="true" hidden="false" outlineLevel="0" max="14" min="3" style="0" width="11"/>
    <col collapsed="false" customWidth="true" hidden="false" outlineLevel="0" max="15" min="15" style="0" width="2"/>
    <col collapsed="false" customWidth="true" hidden="false" outlineLevel="0" max="19" min="16" style="0" width="13"/>
  </cols>
  <sheetData>
    <row r="1" customFormat="false" ht="17.35" hidden="false" customHeight="false" outlineLevel="0" collapsed="false">
      <c r="A1" s="1" t="s">
        <v>441</v>
      </c>
    </row>
    <row r="2" customFormat="false" ht="15" hidden="false" customHeight="false" outlineLevel="0" collapsed="false">
      <c r="A2" s="2" t="s">
        <v>442</v>
      </c>
    </row>
    <row r="3" customFormat="false" ht="15" hidden="false" customHeight="false" outlineLevel="0" collapsed="false">
      <c r="A3" s="5" t="str">
        <f aca="false">"Live run: "&amp;Assumptions!$E$5&amp;" · "&amp;Assumptions!$E$4&amp;" · "&amp;Assumptions!$E$6</f>
        <v>Live run: Industrial distribution · Base · Lean partner-led pilot</v>
      </c>
    </row>
    <row r="5" customFormat="false" ht="15" hidden="false" customHeight="false" outlineLevel="0" collapsed="false">
      <c r="A5" s="35" t="s">
        <v>443</v>
      </c>
      <c r="B5" s="35" t="s">
        <v>444</v>
      </c>
      <c r="C5" s="6" t="s">
        <v>354</v>
      </c>
      <c r="D5" s="6" t="s">
        <v>355</v>
      </c>
      <c r="E5" s="6" t="s">
        <v>356</v>
      </c>
      <c r="F5" s="6" t="s">
        <v>357</v>
      </c>
      <c r="G5" s="6" t="s">
        <v>358</v>
      </c>
      <c r="H5" s="6" t="s">
        <v>359</v>
      </c>
      <c r="I5" s="6" t="s">
        <v>360</v>
      </c>
      <c r="J5" s="6" t="s">
        <v>361</v>
      </c>
      <c r="K5" s="6" t="s">
        <v>362</v>
      </c>
      <c r="L5" s="6" t="s">
        <v>363</v>
      </c>
      <c r="M5" s="6" t="s">
        <v>364</v>
      </c>
      <c r="N5" s="6" t="s">
        <v>365</v>
      </c>
      <c r="P5" s="6" t="s">
        <v>445</v>
      </c>
      <c r="Q5" s="6" t="s">
        <v>446</v>
      </c>
      <c r="R5" s="6" t="s">
        <v>447</v>
      </c>
      <c r="S5" s="6" t="s">
        <v>448</v>
      </c>
    </row>
    <row r="6" customFormat="false" ht="15" hidden="false" customHeight="false" outlineLevel="0" collapsed="false">
      <c r="A6" s="4" t="s">
        <v>449</v>
      </c>
      <c r="B6" s="36" t="s">
        <v>450</v>
      </c>
      <c r="C6" s="34" t="n">
        <f aca="false">IF(Assumptions!$D$5=1,'Market Sizing'!$C$17,'Market Sizing'!$C$20)*Assumptions!$J$10*Assumptions!$J$11*(1-Assumptions!$J$12)</f>
        <v>843.03944704</v>
      </c>
    </row>
    <row r="7" customFormat="false" ht="15" hidden="false" customHeight="false" outlineLevel="0" collapsed="false">
      <c r="A7" s="4" t="s">
        <v>451</v>
      </c>
      <c r="B7" s="36" t="s">
        <v>450</v>
      </c>
      <c r="C7" s="34" t="n">
        <f aca="false">IF(Assumptions!$D$5=1,'Market Sizing'!$D$17,'Market Sizing'!$D$20)*Assumptions!$J$10*Assumptions!$J$11*(1-Assumptions!$J$12)</f>
        <v>211.19616</v>
      </c>
    </row>
    <row r="8" customFormat="false" ht="15" hidden="false" customHeight="false" outlineLevel="0" collapsed="false">
      <c r="A8" s="4" t="s">
        <v>452</v>
      </c>
      <c r="B8" s="36" t="s">
        <v>450</v>
      </c>
      <c r="C8" s="34" t="n">
        <f aca="false">IF(Assumptions!$D$5=1,'Market Sizing'!$E$17,'Market Sizing'!$E$20)*Assumptions!$J$10*Assumptions!$J$11*(1-Assumptions!$J$12)</f>
        <v>49.53984</v>
      </c>
    </row>
    <row r="9" customFormat="false" ht="15" hidden="false" customHeight="false" outlineLevel="0" collapsed="false">
      <c r="A9" s="4" t="s">
        <v>453</v>
      </c>
      <c r="B9" s="36"/>
      <c r="C9" s="34" t="n">
        <f aca="false">$C$6+$C$7+$C$8</f>
        <v>1103.77544704</v>
      </c>
    </row>
    <row r="10" customFormat="false" ht="15" hidden="false" customHeight="false" outlineLevel="0" collapsed="false">
      <c r="A10" s="4" t="s">
        <v>454</v>
      </c>
      <c r="B10" s="36" t="s">
        <v>450</v>
      </c>
      <c r="C10" s="34" t="n">
        <f aca="false">IF(Assumptions!$D$5=1,'Market Sizing'!$C$18,'Market Sizing'!$C$21)*Assumptions!$J$10*Assumptions!$J$11*(1-Assumptions!$J$12)</f>
        <v>612.57706944</v>
      </c>
    </row>
    <row r="11" customFormat="false" ht="15" hidden="false" customHeight="false" outlineLevel="0" collapsed="false">
      <c r="A11" s="4" t="s">
        <v>455</v>
      </c>
      <c r="B11" s="36" t="s">
        <v>450</v>
      </c>
      <c r="C11" s="34" t="n">
        <f aca="false">IF(Assumptions!$D$5=1,'Market Sizing'!$D$18,'Market Sizing'!$D$21)*Assumptions!$J$10*Assumptions!$J$11*(1-Assumptions!$J$12)</f>
        <v>142.10112</v>
      </c>
    </row>
    <row r="12" customFormat="false" ht="15" hidden="false" customHeight="false" outlineLevel="0" collapsed="false">
      <c r="A12" s="4" t="s">
        <v>456</v>
      </c>
      <c r="B12" s="36" t="s">
        <v>450</v>
      </c>
      <c r="C12" s="34" t="n">
        <f aca="false">IF(Assumptions!$D$5=1,'Market Sizing'!$E$18,'Market Sizing'!$E$21)*Assumptions!$J$10*Assumptions!$J$11*(1-Assumptions!$J$12)</f>
        <v>24.76992</v>
      </c>
    </row>
    <row r="13" customFormat="false" ht="15" hidden="false" customHeight="false" outlineLevel="0" collapsed="false">
      <c r="A13" s="4" t="s">
        <v>457</v>
      </c>
      <c r="B13" s="36"/>
      <c r="C13" s="34" t="n">
        <f aca="false">$C$10+$C$11+$C$12</f>
        <v>779.44810944</v>
      </c>
    </row>
    <row r="14" customFormat="false" ht="15" hidden="false" customHeight="false" outlineLevel="0" collapsed="false">
      <c r="A14" s="4" t="s">
        <v>458</v>
      </c>
      <c r="B14" s="36" t="s">
        <v>450</v>
      </c>
      <c r="C14" s="34" t="n">
        <f aca="false">IF(Assumptions!$D$5=1,'Market Sizing'!$C$19,'Market Sizing'!$C$22)*Assumptions!$J$10*Assumptions!$J$11*(1-Assumptions!$J$12)</f>
        <v>2060.77303936</v>
      </c>
    </row>
    <row r="15" customFormat="false" ht="15" hidden="false" customHeight="false" outlineLevel="0" collapsed="false">
      <c r="A15" s="4" t="s">
        <v>459</v>
      </c>
      <c r="B15" s="36" t="s">
        <v>450</v>
      </c>
      <c r="C15" s="34" t="n">
        <f aca="false">IF(Assumptions!$D$5=1,'Market Sizing'!$D$19,'Market Sizing'!$D$22)*Assumptions!$J$10*Assumptions!$J$11*(1-Assumptions!$J$12)</f>
        <v>428.47616</v>
      </c>
    </row>
    <row r="16" customFormat="false" ht="15" hidden="false" customHeight="false" outlineLevel="0" collapsed="false">
      <c r="A16" s="4" t="s">
        <v>460</v>
      </c>
      <c r="B16" s="36" t="s">
        <v>450</v>
      </c>
      <c r="C16" s="34" t="n">
        <f aca="false">IF(Assumptions!$D$5=1,'Market Sizing'!$E$19,'Market Sizing'!$E$22)*Assumptions!$J$10*Assumptions!$J$11*(1-Assumptions!$J$12)</f>
        <v>79.52448</v>
      </c>
    </row>
    <row r="17" customFormat="false" ht="15" hidden="false" customHeight="false" outlineLevel="0" collapsed="false">
      <c r="A17" s="4" t="s">
        <v>461</v>
      </c>
      <c r="B17" s="36"/>
      <c r="C17" s="34" t="n">
        <f aca="false">$C$14+$C$15+$C$16</f>
        <v>2568.77367936</v>
      </c>
    </row>
    <row r="18" customFormat="false" ht="15" hidden="false" customHeight="false" outlineLevel="0" collapsed="false">
      <c r="A18" s="4" t="s">
        <v>462</v>
      </c>
      <c r="B18" s="36" t="s">
        <v>463</v>
      </c>
      <c r="C18" s="33" t="n">
        <f aca="false">IF(Assumptions!$D$5=1,MAX((Assumptions!$J$51+Assumptions!$J$53)*12,(((('Market Sizing'!$E$25*Assumptions!$J$41*Assumptions!$J$42*Assumptions!$J$43)*Assumptions!$J$44)*Assumptions!$J$45*Assumptions!$J$46+('Market Sizing'!$E$25*Assumptions!$J$41*Assumptions!$J$42*Assumptions!$J$43)*Assumptions!$J$47+('Market Sizing'!$E$25*Assumptions!$J$41*Assumptions!$J$42*Assumptions!$J$43)*Assumptions!$J$48*Assumptions!$J$49)*(Assumptions!$J$51*12/Assumptions!$J$52)+((('Market Sizing'!$E$25*Assumptions!$J$41*Assumptions!$J$42*Assumptions!$J$43)*Assumptions!$J$44)*Assumptions!$J$45+('Market Sizing'!$E$25*Assumptions!$J$41*Assumptions!$J$42*Assumptions!$J$43)+('Market Sizing'!$E$25*Assumptions!$J$41*Assumptions!$J$42*Assumptions!$J$43)*Assumptions!$J$48)*Assumptions!$J$50*(Assumptions!$J$53*12/Assumptions!$J$54))),MAX((Assumptions!$J$51+Assumptions!$J$53)*12,(((('Market Sizing'!$E$28*Assumptions!$J$41*Assumptions!$J$42*Assumptions!$J$43)*Assumptions!$J$44)*Assumptions!$J$45*Assumptions!$J$46+('Market Sizing'!$E$28*Assumptions!$J$41*Assumptions!$J$42*Assumptions!$J$43)*Assumptions!$J$47+('Market Sizing'!$E$28*Assumptions!$J$41*Assumptions!$J$42*Assumptions!$J$43)*Assumptions!$J$48*Assumptions!$J$49)*(Assumptions!$J$51*12/Assumptions!$J$52)+((('Market Sizing'!$E$28*Assumptions!$J$41*Assumptions!$J$42*Assumptions!$J$43)*Assumptions!$J$44)*Assumptions!$J$45+('Market Sizing'!$E$28*Assumptions!$J$41*Assumptions!$J$42*Assumptions!$J$43)+('Market Sizing'!$E$28*Assumptions!$J$41*Assumptions!$J$42*Assumptions!$J$43)*Assumptions!$J$48)*Assumptions!$J$50*(Assumptions!$J$53*12/Assumptions!$J$54))))</f>
        <v>5352</v>
      </c>
    </row>
    <row r="19" customFormat="false" ht="15" hidden="false" customHeight="false" outlineLevel="0" collapsed="false">
      <c r="A19" s="4" t="s">
        <v>464</v>
      </c>
      <c r="B19" s="36" t="s">
        <v>463</v>
      </c>
      <c r="C19" s="33" t="n">
        <f aca="false">IF(Assumptions!$D$5=1,MAX((Assumptions!$J$51+Assumptions!$J$53)*12,(((('Market Sizing'!$E$26*Assumptions!$J$41*Assumptions!$J$42*Assumptions!$J$43)*Assumptions!$J$44)*Assumptions!$J$45*Assumptions!$J$46+('Market Sizing'!$E$26*Assumptions!$J$41*Assumptions!$J$42*Assumptions!$J$43)*Assumptions!$J$47+('Market Sizing'!$E$26*Assumptions!$J$41*Assumptions!$J$42*Assumptions!$J$43)*Assumptions!$J$48*Assumptions!$J$49)*(Assumptions!$J$51*12/Assumptions!$J$52)+((('Market Sizing'!$E$26*Assumptions!$J$41*Assumptions!$J$42*Assumptions!$J$43)*Assumptions!$J$44)*Assumptions!$J$45+('Market Sizing'!$E$26*Assumptions!$J$41*Assumptions!$J$42*Assumptions!$J$43)+('Market Sizing'!$E$26*Assumptions!$J$41*Assumptions!$J$42*Assumptions!$J$43)*Assumptions!$J$48)*Assumptions!$J$50*(Assumptions!$J$53*12/Assumptions!$J$54))),MAX((Assumptions!$J$51+Assumptions!$J$53)*12,(((('Market Sizing'!$E$29*Assumptions!$J$41*Assumptions!$J$42*Assumptions!$J$43)*Assumptions!$J$44)*Assumptions!$J$45*Assumptions!$J$46+('Market Sizing'!$E$29*Assumptions!$J$41*Assumptions!$J$42*Assumptions!$J$43)*Assumptions!$J$47+('Market Sizing'!$E$29*Assumptions!$J$41*Assumptions!$J$42*Assumptions!$J$43)*Assumptions!$J$48*Assumptions!$J$49)*(Assumptions!$J$51*12/Assumptions!$J$52)+((('Market Sizing'!$E$29*Assumptions!$J$41*Assumptions!$J$42*Assumptions!$J$43)*Assumptions!$J$44)*Assumptions!$J$45+('Market Sizing'!$E$29*Assumptions!$J$41*Assumptions!$J$42*Assumptions!$J$43)+('Market Sizing'!$E$29*Assumptions!$J$41*Assumptions!$J$42*Assumptions!$J$43)*Assumptions!$J$48)*Assumptions!$J$50*(Assumptions!$J$53*12/Assumptions!$J$54))))</f>
        <v>9766.72012875208</v>
      </c>
    </row>
    <row r="20" customFormat="false" ht="15" hidden="false" customHeight="false" outlineLevel="0" collapsed="false">
      <c r="A20" s="4" t="s">
        <v>465</v>
      </c>
      <c r="B20" s="36" t="s">
        <v>463</v>
      </c>
      <c r="C20" s="33" t="n">
        <f aca="false">IF(Assumptions!$D$5=1,MAX(Assumptions!$J$55*(Assumptions!$J$51*12/Assumptions!$J$52)+Assumptions!$J$56*(Assumptions!$J$53*12/Assumptions!$J$54),(((('Market Sizing'!$E$27*Assumptions!$J$41*Assumptions!$J$42*Assumptions!$J$43)*Assumptions!$J$44)*Assumptions!$J$45*Assumptions!$J$46+('Market Sizing'!$E$27*Assumptions!$J$41*Assumptions!$J$42*Assumptions!$J$43)*Assumptions!$J$47+('Market Sizing'!$E$27*Assumptions!$J$41*Assumptions!$J$42*Assumptions!$J$43)*Assumptions!$J$48*Assumptions!$J$49)*(Assumptions!$J$51*12/Assumptions!$J$52)+((('Market Sizing'!$E$27*Assumptions!$J$41*Assumptions!$J$42*Assumptions!$J$43)*Assumptions!$J$44)*Assumptions!$J$45+('Market Sizing'!$E$27*Assumptions!$J$41*Assumptions!$J$42*Assumptions!$J$43)+('Market Sizing'!$E$27*Assumptions!$J$41*Assumptions!$J$42*Assumptions!$J$43)*Assumptions!$J$48)*Assumptions!$J$50*(Assumptions!$J$53*12/Assumptions!$J$54)))*(1-Assumptions!$J$57),MAX(Assumptions!$J$55*(Assumptions!$J$51*12/Assumptions!$J$52)+Assumptions!$J$56*(Assumptions!$J$53*12/Assumptions!$J$54),(((('Market Sizing'!$E$30*Assumptions!$J$41*Assumptions!$J$42*Assumptions!$J$43)*Assumptions!$J$44)*Assumptions!$J$45*Assumptions!$J$46+('Market Sizing'!$E$30*Assumptions!$J$41*Assumptions!$J$42*Assumptions!$J$43)*Assumptions!$J$47+('Market Sizing'!$E$30*Assumptions!$J$41*Assumptions!$J$42*Assumptions!$J$43)*Assumptions!$J$48*Assumptions!$J$49)*(Assumptions!$J$51*12/Assumptions!$J$52)+((('Market Sizing'!$E$30*Assumptions!$J$41*Assumptions!$J$42*Assumptions!$J$43)*Assumptions!$J$44)*Assumptions!$J$45+('Market Sizing'!$E$30*Assumptions!$J$41*Assumptions!$J$42*Assumptions!$J$43)+('Market Sizing'!$E$30*Assumptions!$J$41*Assumptions!$J$42*Assumptions!$J$43)*Assumptions!$J$48)*Assumptions!$J$50*(Assumptions!$J$53*12/Assumptions!$J$54)))*(1-Assumptions!$J$57))</f>
        <v>61778.2562194386</v>
      </c>
    </row>
    <row r="21" customFormat="false" ht="23.85" hidden="false" customHeight="false" outlineLevel="0" collapsed="false">
      <c r="A21" s="4" t="s">
        <v>466</v>
      </c>
      <c r="B21" s="36" t="s">
        <v>467</v>
      </c>
      <c r="C21" s="37" t="n">
        <f aca="false">Assumptions!$J$17*Assumptions!$J$106</f>
        <v>0.4</v>
      </c>
    </row>
    <row r="22" customFormat="false" ht="23.85" hidden="false" customHeight="false" outlineLevel="0" collapsed="false">
      <c r="A22" s="4" t="s">
        <v>468</v>
      </c>
      <c r="B22" s="36" t="s">
        <v>469</v>
      </c>
      <c r="C22" s="33" t="n">
        <f aca="false">Assumptions!$J$68/Assumptions!$J$69</f>
        <v>285714.285714286</v>
      </c>
    </row>
    <row r="23" customFormat="false" ht="23.85" hidden="false" customHeight="false" outlineLevel="0" collapsed="false">
      <c r="A23" s="4" t="s">
        <v>470</v>
      </c>
      <c r="B23" s="36" t="s">
        <v>471</v>
      </c>
      <c r="C23" s="33" t="n">
        <f aca="false">Assumptions!$J$66*Assumptions!$J$67/4</f>
        <v>153125</v>
      </c>
    </row>
    <row r="24" customFormat="false" ht="15" hidden="false" customHeight="false" outlineLevel="0" collapsed="false">
      <c r="A24" s="4" t="s">
        <v>472</v>
      </c>
      <c r="B24" s="36"/>
      <c r="C24" s="38" t="n">
        <f aca="false">$C$22/Assumptions!$J$66/Assumptions!$J$67</f>
        <v>0.466472303206997</v>
      </c>
    </row>
    <row r="25" customFormat="false" ht="15" hidden="false" customHeight="false" outlineLevel="0" collapsed="false">
      <c r="A25" s="4" t="s">
        <v>473</v>
      </c>
      <c r="B25" s="36"/>
      <c r="C25" s="33" t="n">
        <f aca="false">MAX(0,Assumptions!$J$103-Assumptions!$J$78)</f>
        <v>0</v>
      </c>
    </row>
    <row r="26" customFormat="false" ht="15" hidden="false" customHeight="false" outlineLevel="0" collapsed="false">
      <c r="A26" s="35" t="s">
        <v>474</v>
      </c>
      <c r="B26" s="35" t="s">
        <v>444</v>
      </c>
      <c r="C26" s="6" t="s">
        <v>354</v>
      </c>
      <c r="D26" s="6" t="s">
        <v>355</v>
      </c>
      <c r="E26" s="6" t="s">
        <v>356</v>
      </c>
      <c r="F26" s="6" t="s">
        <v>357</v>
      </c>
      <c r="G26" s="6" t="s">
        <v>358</v>
      </c>
      <c r="H26" s="6" t="s">
        <v>359</v>
      </c>
      <c r="I26" s="6" t="s">
        <v>360</v>
      </c>
      <c r="J26" s="6" t="s">
        <v>361</v>
      </c>
      <c r="K26" s="6" t="s">
        <v>362</v>
      </c>
      <c r="L26" s="6" t="s">
        <v>363</v>
      </c>
      <c r="M26" s="6" t="s">
        <v>364</v>
      </c>
      <c r="N26" s="6" t="s">
        <v>365</v>
      </c>
      <c r="P26" s="6" t="s">
        <v>445</v>
      </c>
      <c r="Q26" s="6" t="s">
        <v>446</v>
      </c>
      <c r="R26" s="6" t="s">
        <v>447</v>
      </c>
      <c r="S26" s="6" t="s">
        <v>448</v>
      </c>
    </row>
    <row r="27" customFormat="false" ht="15" hidden="false" customHeight="false" outlineLevel="0" collapsed="false">
      <c r="A27" s="4" t="s">
        <v>475</v>
      </c>
      <c r="B27" s="36" t="s">
        <v>133</v>
      </c>
      <c r="C27" s="39" t="n">
        <v>1</v>
      </c>
      <c r="D27" s="39" t="n">
        <v>2</v>
      </c>
      <c r="E27" s="39" t="n">
        <v>3</v>
      </c>
      <c r="F27" s="39" t="n">
        <v>4</v>
      </c>
      <c r="G27" s="39" t="n">
        <v>5</v>
      </c>
      <c r="H27" s="39" t="n">
        <v>6</v>
      </c>
      <c r="I27" s="39" t="n">
        <v>7</v>
      </c>
      <c r="J27" s="39" t="n">
        <v>8</v>
      </c>
      <c r="K27" s="39" t="n">
        <v>9</v>
      </c>
      <c r="L27" s="39" t="n">
        <v>10</v>
      </c>
      <c r="M27" s="39" t="n">
        <v>11</v>
      </c>
      <c r="N27" s="39" t="n">
        <v>12</v>
      </c>
      <c r="P27" s="40"/>
      <c r="Q27" s="40"/>
      <c r="R27" s="40"/>
      <c r="S27" s="41"/>
    </row>
    <row r="28" customFormat="false" ht="15" hidden="false" customHeight="false" outlineLevel="0" collapsed="false">
      <c r="A28" s="4" t="s">
        <v>476</v>
      </c>
      <c r="B28" s="36" t="s">
        <v>343</v>
      </c>
      <c r="C28" s="39" t="n">
        <f aca="false">IF(C27&lt;=Assumptions!$J$84,1,0)</f>
        <v>1</v>
      </c>
      <c r="D28" s="39" t="n">
        <f aca="false">IF(D27&lt;=Assumptions!$J$84,1,0)</f>
        <v>1</v>
      </c>
      <c r="E28" s="39" t="n">
        <f aca="false">IF(E27&lt;=Assumptions!$J$84,1,0)</f>
        <v>1</v>
      </c>
      <c r="F28" s="39" t="n">
        <f aca="false">IF(F27&lt;=Assumptions!$J$84,1,0)</f>
        <v>1</v>
      </c>
      <c r="G28" s="39" t="n">
        <f aca="false">IF(G27&lt;=Assumptions!$J$84,1,0)</f>
        <v>1</v>
      </c>
      <c r="H28" s="39" t="n">
        <f aca="false">IF(H27&lt;=Assumptions!$J$84,1,0)</f>
        <v>1</v>
      </c>
      <c r="I28" s="39" t="n">
        <f aca="false">IF(I27&lt;=Assumptions!$J$84,1,0)</f>
        <v>1</v>
      </c>
      <c r="J28" s="39" t="n">
        <f aca="false">IF(J27&lt;=Assumptions!$J$84,1,0)</f>
        <v>1</v>
      </c>
      <c r="K28" s="39" t="n">
        <f aca="false">IF(K27&lt;=Assumptions!$J$84,1,0)</f>
        <v>1</v>
      </c>
      <c r="L28" s="39" t="n">
        <f aca="false">IF(L27&lt;=Assumptions!$J$84,1,0)</f>
        <v>1</v>
      </c>
      <c r="M28" s="39" t="n">
        <f aca="false">IF(M27&lt;=Assumptions!$J$84,1,0)</f>
        <v>1</v>
      </c>
      <c r="N28" s="39" t="n">
        <f aca="false">IF(N27&lt;=Assumptions!$J$84,1,0)</f>
        <v>1</v>
      </c>
      <c r="P28" s="40"/>
      <c r="Q28" s="40"/>
      <c r="R28" s="40"/>
      <c r="S28" s="41"/>
    </row>
    <row r="29" customFormat="false" ht="15" hidden="false" customHeight="false" outlineLevel="0" collapsed="false">
      <c r="A29" s="4" t="s">
        <v>477</v>
      </c>
      <c r="B29" s="36" t="s">
        <v>478</v>
      </c>
      <c r="C29" s="42" t="n">
        <f aca="false">IF(C27=Assumptions!$J$13,0.5,IF(C27&gt;Assumptions!$J$13,1,0))</f>
        <v>0.5</v>
      </c>
      <c r="D29" s="42" t="n">
        <f aca="false">IF(D27=Assumptions!$J$13,0.5,IF(D27&gt;Assumptions!$J$13,1,0))</f>
        <v>1</v>
      </c>
      <c r="E29" s="42" t="n">
        <f aca="false">IF(E27=Assumptions!$J$13,0.5,IF(E27&gt;Assumptions!$J$13,1,0))</f>
        <v>1</v>
      </c>
      <c r="F29" s="42" t="n">
        <f aca="false">IF(F27=Assumptions!$J$13,0.5,IF(F27&gt;Assumptions!$J$13,1,0))</f>
        <v>1</v>
      </c>
      <c r="G29" s="42" t="n">
        <f aca="false">IF(G27=Assumptions!$J$13,0.5,IF(G27&gt;Assumptions!$J$13,1,0))</f>
        <v>1</v>
      </c>
      <c r="H29" s="42" t="n">
        <f aca="false">IF(H27=Assumptions!$J$13,0.5,IF(H27&gt;Assumptions!$J$13,1,0))</f>
        <v>1</v>
      </c>
      <c r="I29" s="42" t="n">
        <f aca="false">IF(I27=Assumptions!$J$13,0.5,IF(I27&gt;Assumptions!$J$13,1,0))</f>
        <v>1</v>
      </c>
      <c r="J29" s="42" t="n">
        <f aca="false">IF(J27=Assumptions!$J$13,0.5,IF(J27&gt;Assumptions!$J$13,1,0))</f>
        <v>1</v>
      </c>
      <c r="K29" s="42" t="n">
        <f aca="false">IF(K27=Assumptions!$J$13,0.5,IF(K27&gt;Assumptions!$J$13,1,0))</f>
        <v>1</v>
      </c>
      <c r="L29" s="42" t="n">
        <f aca="false">IF(L27=Assumptions!$J$13,0.5,IF(L27&gt;Assumptions!$J$13,1,0))</f>
        <v>1</v>
      </c>
      <c r="M29" s="42" t="n">
        <f aca="false">IF(M27=Assumptions!$J$13,0.5,IF(M27&gt;Assumptions!$J$13,1,0))</f>
        <v>1</v>
      </c>
      <c r="N29" s="42" t="n">
        <f aca="false">IF(N27=Assumptions!$J$13,0.5,IF(N27&gt;Assumptions!$J$13,1,0))</f>
        <v>1</v>
      </c>
      <c r="P29" s="43"/>
      <c r="Q29" s="43"/>
      <c r="R29" s="43"/>
      <c r="S29" s="44"/>
    </row>
    <row r="30" customFormat="false" ht="15" hidden="false" customHeight="false" outlineLevel="0" collapsed="false">
      <c r="A30" s="4" t="s">
        <v>479</v>
      </c>
      <c r="B30" s="36" t="s">
        <v>478</v>
      </c>
      <c r="C30" s="42" t="n">
        <f aca="false">IF(C27=Assumptions!$J$14,0.5,IF(C27&gt;Assumptions!$J$14,1,0))</f>
        <v>0</v>
      </c>
      <c r="D30" s="42" t="n">
        <f aca="false">IF(D27=Assumptions!$J$14,0.5,IF(D27&gt;Assumptions!$J$14,1,0))</f>
        <v>0</v>
      </c>
      <c r="E30" s="42" t="n">
        <f aca="false">IF(E27=Assumptions!$J$14,0.5,IF(E27&gt;Assumptions!$J$14,1,0))</f>
        <v>0</v>
      </c>
      <c r="F30" s="42" t="n">
        <f aca="false">IF(F27=Assumptions!$J$14,0.5,IF(F27&gt;Assumptions!$J$14,1,0))</f>
        <v>0</v>
      </c>
      <c r="G30" s="42" t="n">
        <f aca="false">IF(G27=Assumptions!$J$14,0.5,IF(G27&gt;Assumptions!$J$14,1,0))</f>
        <v>0.5</v>
      </c>
      <c r="H30" s="42" t="n">
        <f aca="false">IF(H27=Assumptions!$J$14,0.5,IF(H27&gt;Assumptions!$J$14,1,0))</f>
        <v>1</v>
      </c>
      <c r="I30" s="42" t="n">
        <f aca="false">IF(I27=Assumptions!$J$14,0.5,IF(I27&gt;Assumptions!$J$14,1,0))</f>
        <v>1</v>
      </c>
      <c r="J30" s="42" t="n">
        <f aca="false">IF(J27=Assumptions!$J$14,0.5,IF(J27&gt;Assumptions!$J$14,1,0))</f>
        <v>1</v>
      </c>
      <c r="K30" s="42" t="n">
        <f aca="false">IF(K27=Assumptions!$J$14,0.5,IF(K27&gt;Assumptions!$J$14,1,0))</f>
        <v>1</v>
      </c>
      <c r="L30" s="42" t="n">
        <f aca="false">IF(L27=Assumptions!$J$14,0.5,IF(L27&gt;Assumptions!$J$14,1,0))</f>
        <v>1</v>
      </c>
      <c r="M30" s="42" t="n">
        <f aca="false">IF(M27=Assumptions!$J$14,0.5,IF(M27&gt;Assumptions!$J$14,1,0))</f>
        <v>1</v>
      </c>
      <c r="N30" s="42" t="n">
        <f aca="false">IF(N27=Assumptions!$J$14,0.5,IF(N27&gt;Assumptions!$J$14,1,0))</f>
        <v>1</v>
      </c>
      <c r="P30" s="43"/>
      <c r="Q30" s="43"/>
      <c r="R30" s="43"/>
      <c r="S30" s="44"/>
    </row>
    <row r="31" customFormat="false" ht="15" hidden="false" customHeight="false" outlineLevel="0" collapsed="false">
      <c r="A31" s="4" t="s">
        <v>480</v>
      </c>
      <c r="B31" s="36" t="s">
        <v>478</v>
      </c>
      <c r="C31" s="42" t="n">
        <f aca="false">IF(C27=Assumptions!$J$15,0.5,IF(C27&gt;Assumptions!$J$15,1,0))</f>
        <v>0</v>
      </c>
      <c r="D31" s="42" t="n">
        <f aca="false">IF(D27=Assumptions!$J$15,0.5,IF(D27&gt;Assumptions!$J$15,1,0))</f>
        <v>0</v>
      </c>
      <c r="E31" s="42" t="n">
        <f aca="false">IF(E27=Assumptions!$J$15,0.5,IF(E27&gt;Assumptions!$J$15,1,0))</f>
        <v>0</v>
      </c>
      <c r="F31" s="42" t="n">
        <f aca="false">IF(F27=Assumptions!$J$15,0.5,IF(F27&gt;Assumptions!$J$15,1,0))</f>
        <v>0</v>
      </c>
      <c r="G31" s="42" t="n">
        <f aca="false">IF(G27=Assumptions!$J$15,0.5,IF(G27&gt;Assumptions!$J$15,1,0))</f>
        <v>0</v>
      </c>
      <c r="H31" s="42" t="n">
        <f aca="false">IF(H27=Assumptions!$J$15,0.5,IF(H27&gt;Assumptions!$J$15,1,0))</f>
        <v>0</v>
      </c>
      <c r="I31" s="42" t="n">
        <f aca="false">IF(I27=Assumptions!$J$15,0.5,IF(I27&gt;Assumptions!$J$15,1,0))</f>
        <v>0.5</v>
      </c>
      <c r="J31" s="42" t="n">
        <f aca="false">IF(J27=Assumptions!$J$15,0.5,IF(J27&gt;Assumptions!$J$15,1,0))</f>
        <v>1</v>
      </c>
      <c r="K31" s="42" t="n">
        <f aca="false">IF(K27=Assumptions!$J$15,0.5,IF(K27&gt;Assumptions!$J$15,1,0))</f>
        <v>1</v>
      </c>
      <c r="L31" s="42" t="n">
        <f aca="false">IF(L27=Assumptions!$J$15,0.5,IF(L27&gt;Assumptions!$J$15,1,0))</f>
        <v>1</v>
      </c>
      <c r="M31" s="42" t="n">
        <f aca="false">IF(M27=Assumptions!$J$15,0.5,IF(M27&gt;Assumptions!$J$15,1,0))</f>
        <v>1</v>
      </c>
      <c r="N31" s="42" t="n">
        <f aca="false">IF(N27=Assumptions!$J$15,0.5,IF(N27&gt;Assumptions!$J$15,1,0))</f>
        <v>1</v>
      </c>
      <c r="P31" s="43"/>
      <c r="Q31" s="43"/>
      <c r="R31" s="43"/>
      <c r="S31" s="44"/>
    </row>
    <row r="32" customFormat="false" ht="15" hidden="false" customHeight="false" outlineLevel="0" collapsed="false">
      <c r="A32" s="4" t="s">
        <v>481</v>
      </c>
      <c r="B32" s="36" t="s">
        <v>478</v>
      </c>
      <c r="C32" s="45" t="n">
        <f aca="false">Assumptions!$J$21^(MAX(0,C27-Assumptions!$J$13)/4)</f>
        <v>1</v>
      </c>
      <c r="D32" s="45" t="n">
        <f aca="false">Assumptions!$J$21^(MAX(0,D27-Assumptions!$J$13)/4)</f>
        <v>0.9306048591021</v>
      </c>
      <c r="E32" s="45" t="n">
        <f aca="false">Assumptions!$J$21^(MAX(0,E27-Assumptions!$J$13)/4)</f>
        <v>0.866025403784439</v>
      </c>
      <c r="F32" s="45" t="n">
        <f aca="false">Assumptions!$J$21^(MAX(0,F27-Assumptions!$J$13)/4)</f>
        <v>0.805927448867656</v>
      </c>
      <c r="G32" s="45" t="n">
        <f aca="false">Assumptions!$J$21^(MAX(0,G27-Assumptions!$J$13)/4)</f>
        <v>0.75</v>
      </c>
      <c r="H32" s="45" t="n">
        <f aca="false">Assumptions!$J$21^(MAX(0,H27-Assumptions!$J$13)/4)</f>
        <v>0.697953644326575</v>
      </c>
      <c r="I32" s="45" t="n">
        <f aca="false">Assumptions!$J$21^(MAX(0,I27-Assumptions!$J$13)/4)</f>
        <v>0.649519052838329</v>
      </c>
      <c r="J32" s="45" t="n">
        <f aca="false">Assumptions!$J$21^(MAX(0,J27-Assumptions!$J$13)/4)</f>
        <v>0.604445586650742</v>
      </c>
      <c r="K32" s="45" t="n">
        <f aca="false">Assumptions!$J$21^(MAX(0,K27-Assumptions!$J$13)/4)</f>
        <v>0.5625</v>
      </c>
      <c r="L32" s="45" t="n">
        <f aca="false">Assumptions!$J$21^(MAX(0,L27-Assumptions!$J$13)/4)</f>
        <v>0.523465233244931</v>
      </c>
      <c r="M32" s="45" t="n">
        <f aca="false">Assumptions!$J$21^(MAX(0,M27-Assumptions!$J$13)/4)</f>
        <v>0.487139289628747</v>
      </c>
      <c r="N32" s="45" t="n">
        <f aca="false">Assumptions!$J$21^(MAX(0,N27-Assumptions!$J$13)/4)</f>
        <v>0.453334189988057</v>
      </c>
      <c r="P32" s="46"/>
      <c r="Q32" s="46"/>
      <c r="R32" s="46"/>
      <c r="S32" s="47"/>
    </row>
    <row r="33" customFormat="false" ht="15" hidden="false" customHeight="false" outlineLevel="0" collapsed="false">
      <c r="A33" s="4" t="s">
        <v>482</v>
      </c>
      <c r="B33" s="36" t="s">
        <v>478</v>
      </c>
      <c r="C33" s="45" t="n">
        <f aca="false">Assumptions!$J$21^(MAX(0,C27-Assumptions!$J$14)/4)</f>
        <v>1</v>
      </c>
      <c r="D33" s="45" t="n">
        <f aca="false">Assumptions!$J$21^(MAX(0,D27-Assumptions!$J$14)/4)</f>
        <v>1</v>
      </c>
      <c r="E33" s="45" t="n">
        <f aca="false">Assumptions!$J$21^(MAX(0,E27-Assumptions!$J$14)/4)</f>
        <v>1</v>
      </c>
      <c r="F33" s="45" t="n">
        <f aca="false">Assumptions!$J$21^(MAX(0,F27-Assumptions!$J$14)/4)</f>
        <v>1</v>
      </c>
      <c r="G33" s="45" t="n">
        <f aca="false">Assumptions!$J$21^(MAX(0,G27-Assumptions!$J$14)/4)</f>
        <v>1</v>
      </c>
      <c r="H33" s="45" t="n">
        <f aca="false">Assumptions!$J$21^(MAX(0,H27-Assumptions!$J$14)/4)</f>
        <v>0.9306048591021</v>
      </c>
      <c r="I33" s="45" t="n">
        <f aca="false">Assumptions!$J$21^(MAX(0,I27-Assumptions!$J$14)/4)</f>
        <v>0.866025403784439</v>
      </c>
      <c r="J33" s="45" t="n">
        <f aca="false">Assumptions!$J$21^(MAX(0,J27-Assumptions!$J$14)/4)</f>
        <v>0.805927448867656</v>
      </c>
      <c r="K33" s="45" t="n">
        <f aca="false">Assumptions!$J$21^(MAX(0,K27-Assumptions!$J$14)/4)</f>
        <v>0.75</v>
      </c>
      <c r="L33" s="45" t="n">
        <f aca="false">Assumptions!$J$21^(MAX(0,L27-Assumptions!$J$14)/4)</f>
        <v>0.697953644326575</v>
      </c>
      <c r="M33" s="45" t="n">
        <f aca="false">Assumptions!$J$21^(MAX(0,M27-Assumptions!$J$14)/4)</f>
        <v>0.649519052838329</v>
      </c>
      <c r="N33" s="45" t="n">
        <f aca="false">Assumptions!$J$21^(MAX(0,N27-Assumptions!$J$14)/4)</f>
        <v>0.604445586650742</v>
      </c>
      <c r="P33" s="46"/>
      <c r="Q33" s="46"/>
      <c r="R33" s="46"/>
      <c r="S33" s="47"/>
    </row>
    <row r="34" customFormat="false" ht="15" hidden="false" customHeight="false" outlineLevel="0" collapsed="false">
      <c r="A34" s="4" t="s">
        <v>483</v>
      </c>
      <c r="B34" s="36" t="s">
        <v>478</v>
      </c>
      <c r="C34" s="45" t="n">
        <f aca="false">Assumptions!$J$21^(MAX(0,C27-Assumptions!$J$15)/4)</f>
        <v>1</v>
      </c>
      <c r="D34" s="45" t="n">
        <f aca="false">Assumptions!$J$21^(MAX(0,D27-Assumptions!$J$15)/4)</f>
        <v>1</v>
      </c>
      <c r="E34" s="45" t="n">
        <f aca="false">Assumptions!$J$21^(MAX(0,E27-Assumptions!$J$15)/4)</f>
        <v>1</v>
      </c>
      <c r="F34" s="45" t="n">
        <f aca="false">Assumptions!$J$21^(MAX(0,F27-Assumptions!$J$15)/4)</f>
        <v>1</v>
      </c>
      <c r="G34" s="45" t="n">
        <f aca="false">Assumptions!$J$21^(MAX(0,G27-Assumptions!$J$15)/4)</f>
        <v>1</v>
      </c>
      <c r="H34" s="45" t="n">
        <f aca="false">Assumptions!$J$21^(MAX(0,H27-Assumptions!$J$15)/4)</f>
        <v>1</v>
      </c>
      <c r="I34" s="45" t="n">
        <f aca="false">Assumptions!$J$21^(MAX(0,I27-Assumptions!$J$15)/4)</f>
        <v>1</v>
      </c>
      <c r="J34" s="45" t="n">
        <f aca="false">Assumptions!$J$21^(MAX(0,J27-Assumptions!$J$15)/4)</f>
        <v>0.9306048591021</v>
      </c>
      <c r="K34" s="45" t="n">
        <f aca="false">Assumptions!$J$21^(MAX(0,K27-Assumptions!$J$15)/4)</f>
        <v>0.866025403784439</v>
      </c>
      <c r="L34" s="45" t="n">
        <f aca="false">Assumptions!$J$21^(MAX(0,L27-Assumptions!$J$15)/4)</f>
        <v>0.805927448867656</v>
      </c>
      <c r="M34" s="45" t="n">
        <f aca="false">Assumptions!$J$21^(MAX(0,M27-Assumptions!$J$15)/4)</f>
        <v>0.75</v>
      </c>
      <c r="N34" s="45" t="n">
        <f aca="false">Assumptions!$J$21^(MAX(0,N27-Assumptions!$J$15)/4)</f>
        <v>0.697953644326575</v>
      </c>
      <c r="P34" s="46"/>
      <c r="Q34" s="46"/>
      <c r="R34" s="46"/>
      <c r="S34" s="47"/>
    </row>
    <row r="35" customFormat="false" ht="15" hidden="false" customHeight="false" outlineLevel="0" collapsed="false">
      <c r="A35" s="4" t="s">
        <v>484</v>
      </c>
      <c r="B35" s="36" t="s">
        <v>485</v>
      </c>
      <c r="C35" s="39" t="n">
        <f aca="false">$C$6*C29+$C$10*C30+$C$14*C31</f>
        <v>421.51972352</v>
      </c>
      <c r="D35" s="39" t="n">
        <f aca="false">$C$6*D29+$C$10*D30+$C$14*D31</f>
        <v>843.03944704</v>
      </c>
      <c r="E35" s="39" t="n">
        <f aca="false">$C$6*E29+$C$10*E30+$C$14*E31</f>
        <v>843.03944704</v>
      </c>
      <c r="F35" s="39" t="n">
        <f aca="false">$C$6*F29+$C$10*F30+$C$14*F31</f>
        <v>843.03944704</v>
      </c>
      <c r="G35" s="39" t="n">
        <f aca="false">$C$6*G29+$C$10*G30+$C$14*G31</f>
        <v>1149.32798176</v>
      </c>
      <c r="H35" s="39" t="n">
        <f aca="false">$C$6*H29+$C$10*H30+$C$14*H31</f>
        <v>1455.61651648</v>
      </c>
      <c r="I35" s="39" t="n">
        <f aca="false">$C$6*I29+$C$10*I30+$C$14*I31</f>
        <v>2486.00303616</v>
      </c>
      <c r="J35" s="39" t="n">
        <f aca="false">$C$6*J29+$C$10*J30+$C$14*J31</f>
        <v>3516.38955584</v>
      </c>
      <c r="K35" s="39" t="n">
        <f aca="false">$C$6*K29+$C$10*K30+$C$14*K31</f>
        <v>3516.38955584</v>
      </c>
      <c r="L35" s="39" t="n">
        <f aca="false">$C$6*L29+$C$10*L30+$C$14*L31</f>
        <v>3516.38955584</v>
      </c>
      <c r="M35" s="39" t="n">
        <f aca="false">$C$6*M29+$C$10*M30+$C$14*M31</f>
        <v>3516.38955584</v>
      </c>
      <c r="N35" s="39" t="n">
        <f aca="false">$C$6*N29+$C$10*N30+$C$14*N31</f>
        <v>3516.38955584</v>
      </c>
      <c r="P35" s="40" t="n">
        <f aca="false">F35</f>
        <v>843.03944704</v>
      </c>
      <c r="Q35" s="40" t="n">
        <f aca="false">J35</f>
        <v>3516.38955584</v>
      </c>
      <c r="R35" s="40" t="n">
        <f aca="false">N35</f>
        <v>3516.38955584</v>
      </c>
      <c r="S35" s="41" t="n">
        <f aca="false">R35</f>
        <v>3516.38955584</v>
      </c>
    </row>
    <row r="36" customFormat="false" ht="15" hidden="false" customHeight="false" outlineLevel="0" collapsed="false">
      <c r="A36" s="4" t="s">
        <v>486</v>
      </c>
      <c r="B36" s="36" t="s">
        <v>485</v>
      </c>
      <c r="C36" s="39" t="n">
        <f aca="false">$C$7*C29+$C$11*C30+$C$15*C31</f>
        <v>105.59808</v>
      </c>
      <c r="D36" s="39" t="n">
        <f aca="false">$C$7*D29+$C$11*D30+$C$15*D31</f>
        <v>211.19616</v>
      </c>
      <c r="E36" s="39" t="n">
        <f aca="false">$C$7*E29+$C$11*E30+$C$15*E31</f>
        <v>211.19616</v>
      </c>
      <c r="F36" s="39" t="n">
        <f aca="false">$C$7*F29+$C$11*F30+$C$15*F31</f>
        <v>211.19616</v>
      </c>
      <c r="G36" s="39" t="n">
        <f aca="false">$C$7*G29+$C$11*G30+$C$15*G31</f>
        <v>282.24672</v>
      </c>
      <c r="H36" s="39" t="n">
        <f aca="false">$C$7*H29+$C$11*H30+$C$15*H31</f>
        <v>353.29728</v>
      </c>
      <c r="I36" s="39" t="n">
        <f aca="false">$C$7*I29+$C$11*I30+$C$15*I31</f>
        <v>567.53536</v>
      </c>
      <c r="J36" s="39" t="n">
        <f aca="false">$C$7*J29+$C$11*J30+$C$15*J31</f>
        <v>781.77344</v>
      </c>
      <c r="K36" s="39" t="n">
        <f aca="false">$C$7*K29+$C$11*K30+$C$15*K31</f>
        <v>781.77344</v>
      </c>
      <c r="L36" s="39" t="n">
        <f aca="false">$C$7*L29+$C$11*L30+$C$15*L31</f>
        <v>781.77344</v>
      </c>
      <c r="M36" s="39" t="n">
        <f aca="false">$C$7*M29+$C$11*M30+$C$15*M31</f>
        <v>781.77344</v>
      </c>
      <c r="N36" s="39" t="n">
        <f aca="false">$C$7*N29+$C$11*N30+$C$15*N31</f>
        <v>781.77344</v>
      </c>
      <c r="P36" s="40" t="n">
        <f aca="false">F36</f>
        <v>211.19616</v>
      </c>
      <c r="Q36" s="40" t="n">
        <f aca="false">J36</f>
        <v>781.77344</v>
      </c>
      <c r="R36" s="40" t="n">
        <f aca="false">N36</f>
        <v>781.77344</v>
      </c>
      <c r="S36" s="41" t="n">
        <f aca="false">R36</f>
        <v>781.77344</v>
      </c>
    </row>
    <row r="37" customFormat="false" ht="15" hidden="false" customHeight="false" outlineLevel="0" collapsed="false">
      <c r="A37" s="4" t="s">
        <v>487</v>
      </c>
      <c r="B37" s="36" t="s">
        <v>485</v>
      </c>
      <c r="C37" s="39" t="n">
        <f aca="false">$C$8*C29+$C$12*C30+$C$16*C31</f>
        <v>24.76992</v>
      </c>
      <c r="D37" s="39" t="n">
        <f aca="false">$C$8*D29+$C$12*D30+$C$16*D31</f>
        <v>49.53984</v>
      </c>
      <c r="E37" s="39" t="n">
        <f aca="false">$C$8*E29+$C$12*E30+$C$16*E31</f>
        <v>49.53984</v>
      </c>
      <c r="F37" s="39" t="n">
        <f aca="false">$C$8*F29+$C$12*F30+$C$16*F31</f>
        <v>49.53984</v>
      </c>
      <c r="G37" s="39" t="n">
        <f aca="false">$C$8*G29+$C$12*G30+$C$16*G31</f>
        <v>61.9248</v>
      </c>
      <c r="H37" s="39" t="n">
        <f aca="false">$C$8*H29+$C$12*H30+$C$16*H31</f>
        <v>74.30976</v>
      </c>
      <c r="I37" s="39" t="n">
        <f aca="false">$C$8*I29+$C$12*I30+$C$16*I31</f>
        <v>114.072</v>
      </c>
      <c r="J37" s="39" t="n">
        <f aca="false">$C$8*J29+$C$12*J30+$C$16*J31</f>
        <v>153.83424</v>
      </c>
      <c r="K37" s="39" t="n">
        <f aca="false">$C$8*K29+$C$12*K30+$C$16*K31</f>
        <v>153.83424</v>
      </c>
      <c r="L37" s="39" t="n">
        <f aca="false">$C$8*L29+$C$12*L30+$C$16*L31</f>
        <v>153.83424</v>
      </c>
      <c r="M37" s="39" t="n">
        <f aca="false">$C$8*M29+$C$12*M30+$C$16*M31</f>
        <v>153.83424</v>
      </c>
      <c r="N37" s="39" t="n">
        <f aca="false">$C$8*N29+$C$12*N30+$C$16*N31</f>
        <v>153.83424</v>
      </c>
      <c r="P37" s="40" t="n">
        <f aca="false">F37</f>
        <v>49.53984</v>
      </c>
      <c r="Q37" s="40" t="n">
        <f aca="false">J37</f>
        <v>153.83424</v>
      </c>
      <c r="R37" s="40" t="n">
        <f aca="false">N37</f>
        <v>153.83424</v>
      </c>
      <c r="S37" s="41" t="n">
        <f aca="false">R37</f>
        <v>153.83424</v>
      </c>
    </row>
    <row r="38" customFormat="false" ht="15" hidden="false" customHeight="false" outlineLevel="0" collapsed="false">
      <c r="A38" s="4" t="s">
        <v>488</v>
      </c>
      <c r="B38" s="36" t="s">
        <v>485</v>
      </c>
      <c r="C38" s="39" t="n">
        <f aca="false">C35+C36+C37</f>
        <v>551.88772352</v>
      </c>
      <c r="D38" s="39" t="n">
        <f aca="false">D35+D36+D37</f>
        <v>1103.77544704</v>
      </c>
      <c r="E38" s="39" t="n">
        <f aca="false">E35+E36+E37</f>
        <v>1103.77544704</v>
      </c>
      <c r="F38" s="39" t="n">
        <f aca="false">F35+F36+F37</f>
        <v>1103.77544704</v>
      </c>
      <c r="G38" s="39" t="n">
        <f aca="false">G35+G36+G37</f>
        <v>1493.49950176</v>
      </c>
      <c r="H38" s="39" t="n">
        <f aca="false">H35+H36+H37</f>
        <v>1883.22355648</v>
      </c>
      <c r="I38" s="39" t="n">
        <f aca="false">I35+I36+I37</f>
        <v>3167.61039616</v>
      </c>
      <c r="J38" s="39" t="n">
        <f aca="false">J35+J36+J37</f>
        <v>4451.99723584</v>
      </c>
      <c r="K38" s="39" t="n">
        <f aca="false">K35+K36+K37</f>
        <v>4451.99723584</v>
      </c>
      <c r="L38" s="39" t="n">
        <f aca="false">L35+L36+L37</f>
        <v>4451.99723584</v>
      </c>
      <c r="M38" s="39" t="n">
        <f aca="false">M35+M36+M37</f>
        <v>4451.99723584</v>
      </c>
      <c r="N38" s="39" t="n">
        <f aca="false">N35+N36+N37</f>
        <v>4451.99723584</v>
      </c>
      <c r="P38" s="40" t="n">
        <f aca="false">F38</f>
        <v>1103.77544704</v>
      </c>
      <c r="Q38" s="40" t="n">
        <f aca="false">J38</f>
        <v>4451.99723584</v>
      </c>
      <c r="R38" s="40" t="n">
        <f aca="false">N38</f>
        <v>4451.99723584</v>
      </c>
      <c r="S38" s="41" t="n">
        <f aca="false">R38</f>
        <v>4451.99723584</v>
      </c>
    </row>
    <row r="39" customFormat="false" ht="15" hidden="false" customHeight="false" outlineLevel="0" collapsed="false">
      <c r="A39" s="4" t="s">
        <v>489</v>
      </c>
      <c r="B39" s="36" t="s">
        <v>485</v>
      </c>
      <c r="C39" s="39" t="n">
        <f aca="false">$C$9*C29*C32+$C$13*C30*C33+$C$17*C31*C34</f>
        <v>551.88772352</v>
      </c>
      <c r="D39" s="39" t="n">
        <f aca="false">$C$9*D29*D32+$C$13*D30*D33+$C$17*D31*D34</f>
        <v>1027.17879437302</v>
      </c>
      <c r="E39" s="39" t="n">
        <f aca="false">$C$9*E29*E32+$C$13*E30*E33+$C$17*E31*E34</f>
        <v>955.897577210165</v>
      </c>
      <c r="F39" s="39" t="n">
        <f aca="false">$C$9*F29*F32+$C$13*F30*F33+$C$17*F31*F34</f>
        <v>889.562930155704</v>
      </c>
      <c r="G39" s="39" t="n">
        <f aca="false">$C$9*G29*G32+$C$13*G30*G33+$C$17*G31*G34</f>
        <v>1217.55564</v>
      </c>
      <c r="H39" s="39" t="n">
        <f aca="false">$C$9*H29*H32+$C$13*H30*H33+$C$17*H31*H34</f>
        <v>1495.74229384257</v>
      </c>
      <c r="I39" s="39" t="n">
        <f aca="false">$C$9*I29*I32+$C$13*I30*I33+$C$17*I31*I34</f>
        <v>2676.33188629442</v>
      </c>
      <c r="J39" s="39" t="n">
        <f aca="false">$C$9*J29*J32+$C$13*J30*J33+$C$17*J31*J34</f>
        <v>3685.86409192847</v>
      </c>
      <c r="K39" s="39" t="n">
        <f aca="false">$C$9*K29*K32+$C$13*K30*K33+$C$17*K31*K34</f>
        <v>3430.08303393858</v>
      </c>
      <c r="L39" s="39" t="n">
        <f aca="false">$C$9*L29*L32+$C$13*L30*L33+$C$17*L31*L34</f>
        <v>3192.05193850692</v>
      </c>
      <c r="M39" s="39" t="n">
        <f aca="false">$C$9*M29*M32+$C$13*M30*M33+$C$17*M31*M34</f>
        <v>2970.53904448081</v>
      </c>
      <c r="N39" s="39" t="n">
        <f aca="false">$C$9*N29*N32+$C$13*N30*N33+$C$17*N31*N34</f>
        <v>2764.39806894635</v>
      </c>
      <c r="P39" s="40"/>
      <c r="Q39" s="40"/>
      <c r="R39" s="40"/>
      <c r="S39" s="41"/>
    </row>
    <row r="40" customFormat="false" ht="15" hidden="false" customHeight="false" outlineLevel="0" collapsed="false">
      <c r="A40" s="4" t="s">
        <v>490</v>
      </c>
      <c r="B40" s="36" t="s">
        <v>491</v>
      </c>
      <c r="C40" s="48" t="n">
        <f aca="false">$C$21*Assumptions!$J$20*C28*C39</f>
        <v>6.62265268224</v>
      </c>
      <c r="D40" s="48" t="n">
        <f aca="false">$C$21*Assumptions!$J$20*D28*D39</f>
        <v>12.3261455324762</v>
      </c>
      <c r="E40" s="48" t="n">
        <f aca="false">$C$21*Assumptions!$J$20*E28*E39</f>
        <v>11.470770926522</v>
      </c>
      <c r="F40" s="48" t="n">
        <f aca="false">$C$21*Assumptions!$J$20*F28*F39</f>
        <v>10.6747551618685</v>
      </c>
      <c r="G40" s="48" t="n">
        <f aca="false">$C$21*Assumptions!$J$20*G28*G39</f>
        <v>14.61066768</v>
      </c>
      <c r="H40" s="48" t="n">
        <f aca="false">$C$21*Assumptions!$J$20*H28*H39</f>
        <v>17.9489075261109</v>
      </c>
      <c r="I40" s="48" t="n">
        <f aca="false">$C$21*Assumptions!$J$20*I28*I39</f>
        <v>32.115982635533</v>
      </c>
      <c r="J40" s="48" t="n">
        <f aca="false">$C$21*Assumptions!$J$20*J28*J39</f>
        <v>44.2303691031417</v>
      </c>
      <c r="K40" s="48" t="n">
        <f aca="false">$C$21*Assumptions!$J$20*K28*K39</f>
        <v>41.160996407263</v>
      </c>
      <c r="L40" s="48" t="n">
        <f aca="false">$C$21*Assumptions!$J$20*L28*L39</f>
        <v>38.304623262083</v>
      </c>
      <c r="M40" s="48" t="n">
        <f aca="false">$C$21*Assumptions!$J$20*M28*M39</f>
        <v>35.6464685337698</v>
      </c>
      <c r="N40" s="48" t="n">
        <f aca="false">$C$21*Assumptions!$J$20*N28*N39</f>
        <v>33.1727768273562</v>
      </c>
      <c r="P40" s="49" t="n">
        <f aca="false">SUM(C40:F40)</f>
        <v>41.0943243031066</v>
      </c>
      <c r="Q40" s="49" t="n">
        <f aca="false">SUM(G40:J40)</f>
        <v>108.905926944786</v>
      </c>
      <c r="R40" s="49" t="n">
        <f aca="false">SUM(K40:N40)</f>
        <v>148.284865030472</v>
      </c>
      <c r="S40" s="50" t="n">
        <f aca="false">SUM(P40:R40)</f>
        <v>298.285116278364</v>
      </c>
    </row>
    <row r="41" customFormat="false" ht="15" hidden="false" customHeight="false" outlineLevel="0" collapsed="false">
      <c r="A41" s="4" t="s">
        <v>492</v>
      </c>
      <c r="B41" s="36" t="s">
        <v>321</v>
      </c>
      <c r="C41" s="48" t="n">
        <f aca="false">Assumptions!$D$115</f>
        <v>0</v>
      </c>
      <c r="D41" s="48" t="n">
        <f aca="false">Assumptions!$E$115</f>
        <v>0</v>
      </c>
      <c r="E41" s="48" t="n">
        <f aca="false">Assumptions!$F$115</f>
        <v>0</v>
      </c>
      <c r="F41" s="48" t="n">
        <f aca="false">Assumptions!$G$115</f>
        <v>0</v>
      </c>
      <c r="G41" s="48" t="n">
        <f aca="false">Assumptions!$H$115</f>
        <v>0</v>
      </c>
      <c r="H41" s="48" t="n">
        <f aca="false">Assumptions!$I$115</f>
        <v>0</v>
      </c>
      <c r="I41" s="48" t="n">
        <f aca="false">Assumptions!$J$115</f>
        <v>0</v>
      </c>
      <c r="J41" s="48" t="n">
        <f aca="false">Assumptions!$K$115</f>
        <v>0</v>
      </c>
      <c r="K41" s="48" t="n">
        <f aca="false">Assumptions!$L$115</f>
        <v>0</v>
      </c>
      <c r="L41" s="48" t="n">
        <f aca="false">Assumptions!$M$115</f>
        <v>0</v>
      </c>
      <c r="M41" s="48" t="n">
        <f aca="false">Assumptions!$N$115</f>
        <v>0</v>
      </c>
      <c r="N41" s="48" t="n">
        <f aca="false">Assumptions!$O$115</f>
        <v>0</v>
      </c>
      <c r="P41" s="49" t="n">
        <f aca="false">F41</f>
        <v>0</v>
      </c>
      <c r="Q41" s="49" t="n">
        <f aca="false">J41</f>
        <v>0</v>
      </c>
      <c r="R41" s="49" t="n">
        <f aca="false">N41</f>
        <v>0</v>
      </c>
      <c r="S41" s="50" t="n">
        <f aca="false">R41</f>
        <v>0</v>
      </c>
    </row>
    <row r="42" customFormat="false" ht="15" hidden="false" customHeight="false" outlineLevel="0" collapsed="false">
      <c r="A42" s="4" t="s">
        <v>493</v>
      </c>
      <c r="B42" s="36" t="s">
        <v>321</v>
      </c>
      <c r="C42" s="48" t="n">
        <f aca="false">0</f>
        <v>0</v>
      </c>
      <c r="D42" s="48" t="n">
        <f aca="false">0.5*C41</f>
        <v>0</v>
      </c>
      <c r="E42" s="48" t="n">
        <f aca="false">C41+0.5*(D41-C41)</f>
        <v>0</v>
      </c>
      <c r="F42" s="48" t="n">
        <f aca="false">D41+0.5*(E41-D41)</f>
        <v>0</v>
      </c>
      <c r="G42" s="48" t="n">
        <f aca="false">E41+0.5*(F41-E41)</f>
        <v>0</v>
      </c>
      <c r="H42" s="48" t="n">
        <f aca="false">F41+0.5*(G41-F41)</f>
        <v>0</v>
      </c>
      <c r="I42" s="48" t="n">
        <f aca="false">G41+0.5*(H41-G41)</f>
        <v>0</v>
      </c>
      <c r="J42" s="48" t="n">
        <f aca="false">H41+0.5*(I41-H41)</f>
        <v>0</v>
      </c>
      <c r="K42" s="48" t="n">
        <f aca="false">I41+0.5*(J41-I41)</f>
        <v>0</v>
      </c>
      <c r="L42" s="48" t="n">
        <f aca="false">J41+0.5*(K41-J41)</f>
        <v>0</v>
      </c>
      <c r="M42" s="48" t="n">
        <f aca="false">K41+0.5*(L41-K41)</f>
        <v>0</v>
      </c>
      <c r="N42" s="48" t="n">
        <f aca="false">L41+0.5*(M41-L41)</f>
        <v>0</v>
      </c>
      <c r="P42" s="49" t="n">
        <f aca="false">F42</f>
        <v>0</v>
      </c>
      <c r="Q42" s="49" t="n">
        <f aca="false">J42</f>
        <v>0</v>
      </c>
      <c r="R42" s="49" t="n">
        <f aca="false">N42</f>
        <v>0</v>
      </c>
      <c r="S42" s="50" t="n">
        <f aca="false">R42</f>
        <v>0</v>
      </c>
    </row>
    <row r="43" customFormat="false" ht="15" hidden="false" customHeight="false" outlineLevel="0" collapsed="false">
      <c r="A43" s="4" t="s">
        <v>494</v>
      </c>
      <c r="B43" s="36" t="s">
        <v>485</v>
      </c>
      <c r="C43" s="39" t="n">
        <f aca="false">MIN(C42*Assumptions!$J$38,C38*(1-$C$21))</f>
        <v>0</v>
      </c>
      <c r="D43" s="39" t="n">
        <f aca="false">MIN(D42*Assumptions!$J$38,D38*(1-$C$21))</f>
        <v>0</v>
      </c>
      <c r="E43" s="39" t="n">
        <f aca="false">MIN(E42*Assumptions!$J$38,E38*(1-$C$21))</f>
        <v>0</v>
      </c>
      <c r="F43" s="39" t="n">
        <f aca="false">MIN(F42*Assumptions!$J$38,F38*(1-$C$21))</f>
        <v>0</v>
      </c>
      <c r="G43" s="39" t="n">
        <f aca="false">MIN(G42*Assumptions!$J$38,G38*(1-$C$21))</f>
        <v>0</v>
      </c>
      <c r="H43" s="39" t="n">
        <f aca="false">MIN(H42*Assumptions!$J$38,H38*(1-$C$21))</f>
        <v>0</v>
      </c>
      <c r="I43" s="39" t="n">
        <f aca="false">MIN(I42*Assumptions!$J$38,I38*(1-$C$21))</f>
        <v>0</v>
      </c>
      <c r="J43" s="39" t="n">
        <f aca="false">MIN(J42*Assumptions!$J$38,J38*(1-$C$21))</f>
        <v>0</v>
      </c>
      <c r="K43" s="39" t="n">
        <f aca="false">MIN(K42*Assumptions!$J$38,K38*(1-$C$21))</f>
        <v>0</v>
      </c>
      <c r="L43" s="39" t="n">
        <f aca="false">MIN(L42*Assumptions!$J$38,L38*(1-$C$21))</f>
        <v>0</v>
      </c>
      <c r="M43" s="39" t="n">
        <f aca="false">MIN(M42*Assumptions!$J$38,M38*(1-$C$21))</f>
        <v>0</v>
      </c>
      <c r="N43" s="39" t="n">
        <f aca="false">MIN(N42*Assumptions!$J$38,N38*(1-$C$21))</f>
        <v>0</v>
      </c>
      <c r="P43" s="40" t="n">
        <f aca="false">SUM(C43:F43)</f>
        <v>0</v>
      </c>
      <c r="Q43" s="40" t="n">
        <f aca="false">SUM(G43:J43)</f>
        <v>0</v>
      </c>
      <c r="R43" s="40" t="n">
        <f aca="false">SUM(K43:N43)</f>
        <v>0</v>
      </c>
      <c r="S43" s="41" t="n">
        <f aca="false">SUM(P43:R43)</f>
        <v>0</v>
      </c>
    </row>
    <row r="44" customFormat="false" ht="15" hidden="false" customHeight="false" outlineLevel="0" collapsed="false">
      <c r="A44" s="4" t="s">
        <v>495</v>
      </c>
      <c r="B44" s="36" t="s">
        <v>491</v>
      </c>
      <c r="C44" s="48" t="n">
        <f aca="false">C43*Assumptions!$J$20*Assumptions!$J$39*IF(C38&gt;0,C39/C38,0)*C28</f>
        <v>0</v>
      </c>
      <c r="D44" s="48" t="n">
        <f aca="false">D43*Assumptions!$J$20*Assumptions!$J$39*IF(D38&gt;0,D39/D38,0)*D28</f>
        <v>0</v>
      </c>
      <c r="E44" s="48" t="n">
        <f aca="false">E43*Assumptions!$J$20*Assumptions!$J$39*IF(E38&gt;0,E39/E38,0)*E28</f>
        <v>0</v>
      </c>
      <c r="F44" s="48" t="n">
        <f aca="false">F43*Assumptions!$J$20*Assumptions!$J$39*IF(F38&gt;0,F39/F38,0)*F28</f>
        <v>0</v>
      </c>
      <c r="G44" s="48" t="n">
        <f aca="false">G43*Assumptions!$J$20*Assumptions!$J$39*IF(G38&gt;0,G39/G38,0)*G28</f>
        <v>0</v>
      </c>
      <c r="H44" s="48" t="n">
        <f aca="false">H43*Assumptions!$J$20*Assumptions!$J$39*IF(H38&gt;0,H39/H38,0)*H28</f>
        <v>0</v>
      </c>
      <c r="I44" s="48" t="n">
        <f aca="false">I43*Assumptions!$J$20*Assumptions!$J$39*IF(I38&gt;0,I39/I38,0)*I28</f>
        <v>0</v>
      </c>
      <c r="J44" s="48" t="n">
        <f aca="false">J43*Assumptions!$J$20*Assumptions!$J$39*IF(J38&gt;0,J39/J38,0)*J28</f>
        <v>0</v>
      </c>
      <c r="K44" s="48" t="n">
        <f aca="false">K43*Assumptions!$J$20*Assumptions!$J$39*IF(K38&gt;0,K39/K38,0)*K28</f>
        <v>0</v>
      </c>
      <c r="L44" s="48" t="n">
        <f aca="false">L43*Assumptions!$J$20*Assumptions!$J$39*IF(L38&gt;0,L39/L38,0)*L28</f>
        <v>0</v>
      </c>
      <c r="M44" s="48" t="n">
        <f aca="false">M43*Assumptions!$J$20*Assumptions!$J$39*IF(M38&gt;0,M39/M38,0)*M28</f>
        <v>0</v>
      </c>
      <c r="N44" s="48" t="n">
        <f aca="false">N43*Assumptions!$J$20*Assumptions!$J$39*IF(N38&gt;0,N39/N38,0)*N28</f>
        <v>0</v>
      </c>
      <c r="P44" s="49" t="n">
        <f aca="false">SUM(C44:F44)</f>
        <v>0</v>
      </c>
      <c r="Q44" s="49" t="n">
        <f aca="false">SUM(G44:J44)</f>
        <v>0</v>
      </c>
      <c r="R44" s="49" t="n">
        <f aca="false">SUM(K44:N44)</f>
        <v>0</v>
      </c>
      <c r="S44" s="50" t="n">
        <f aca="false">SUM(P44:R44)</f>
        <v>0</v>
      </c>
    </row>
    <row r="45" customFormat="false" ht="15" hidden="false" customHeight="false" outlineLevel="0" collapsed="false">
      <c r="A45" s="4" t="s">
        <v>496</v>
      </c>
      <c r="B45" s="36" t="s">
        <v>497</v>
      </c>
      <c r="C45" s="48" t="n">
        <f aca="false">IF(AND(C38&gt;0,$C$25&gt;0),C38*Assumptions!$J$24*(1-EXP(-$C$25/(Assumptions!$J$23*C38*Assumptions!$J$24))),0)</f>
        <v>0</v>
      </c>
      <c r="D45" s="48" t="n">
        <f aca="false">IF(AND(D38&gt;0,$C$25&gt;0),D38*Assumptions!$J$24*(1-EXP(-$C$25/(Assumptions!$J$23*D38*Assumptions!$J$24))),0)</f>
        <v>0</v>
      </c>
      <c r="E45" s="48" t="n">
        <f aca="false">IF(AND(E38&gt;0,$C$25&gt;0),E38*Assumptions!$J$24*(1-EXP(-$C$25/(Assumptions!$J$23*E38*Assumptions!$J$24))),0)</f>
        <v>0</v>
      </c>
      <c r="F45" s="48" t="n">
        <f aca="false">IF(AND(F38&gt;0,$C$25&gt;0),F38*Assumptions!$J$24*(1-EXP(-$C$25/(Assumptions!$J$23*F38*Assumptions!$J$24))),0)</f>
        <v>0</v>
      </c>
      <c r="G45" s="48" t="n">
        <f aca="false">IF(AND(G38&gt;0,$C$25&gt;0),G38*Assumptions!$J$24*(1-EXP(-$C$25/(Assumptions!$J$23*G38*Assumptions!$J$24))),0)</f>
        <v>0</v>
      </c>
      <c r="H45" s="48" t="n">
        <f aca="false">IF(AND(H38&gt;0,$C$25&gt;0),H38*Assumptions!$J$24*(1-EXP(-$C$25/(Assumptions!$J$23*H38*Assumptions!$J$24))),0)</f>
        <v>0</v>
      </c>
      <c r="I45" s="48" t="n">
        <f aca="false">IF(AND(I38&gt;0,$C$25&gt;0),I38*Assumptions!$J$24*(1-EXP(-$C$25/(Assumptions!$J$23*I38*Assumptions!$J$24))),0)</f>
        <v>0</v>
      </c>
      <c r="J45" s="48" t="n">
        <f aca="false">IF(AND(J38&gt;0,$C$25&gt;0),J38*Assumptions!$J$24*(1-EXP(-$C$25/(Assumptions!$J$23*J38*Assumptions!$J$24))),0)</f>
        <v>0</v>
      </c>
      <c r="K45" s="48" t="n">
        <f aca="false">IF(AND(K38&gt;0,$C$25&gt;0),K38*Assumptions!$J$24*(1-EXP(-$C$25/(Assumptions!$J$23*K38*Assumptions!$J$24))),0)</f>
        <v>0</v>
      </c>
      <c r="L45" s="48" t="n">
        <f aca="false">IF(AND(L38&gt;0,$C$25&gt;0),L38*Assumptions!$J$24*(1-EXP(-$C$25/(Assumptions!$J$23*L38*Assumptions!$J$24))),0)</f>
        <v>0</v>
      </c>
      <c r="M45" s="48" t="n">
        <f aca="false">IF(AND(M38&gt;0,$C$25&gt;0),M38*Assumptions!$J$24*(1-EXP(-$C$25/(Assumptions!$J$23*M38*Assumptions!$J$24))),0)</f>
        <v>0</v>
      </c>
      <c r="N45" s="48" t="n">
        <f aca="false">IF(AND(N38&gt;0,$C$25&gt;0),N38*Assumptions!$J$24*(1-EXP(-$C$25/(Assumptions!$J$23*N38*Assumptions!$J$24))),0)</f>
        <v>0</v>
      </c>
      <c r="P45" s="49" t="n">
        <f aca="false">SUM(C45:F45)</f>
        <v>0</v>
      </c>
      <c r="Q45" s="49" t="n">
        <f aca="false">SUM(G45:J45)</f>
        <v>0</v>
      </c>
      <c r="R45" s="49" t="n">
        <f aca="false">SUM(K45:N45)</f>
        <v>0</v>
      </c>
      <c r="S45" s="50" t="n">
        <f aca="false">SUM(P45:R45)</f>
        <v>0</v>
      </c>
    </row>
    <row r="46" customFormat="false" ht="15" hidden="false" customHeight="false" outlineLevel="0" collapsed="false">
      <c r="A46" s="4" t="s">
        <v>498</v>
      </c>
      <c r="B46" s="36" t="s">
        <v>497</v>
      </c>
      <c r="C46" s="48" t="n">
        <f aca="false">(C38*Assumptions!$J$22*MIN(1,Assumptions!$J$103/Assumptions!$J$78)+C45)*C28</f>
        <v>5.5188772352</v>
      </c>
      <c r="D46" s="48" t="n">
        <f aca="false">(D38*Assumptions!$J$22*MIN(1,Assumptions!$J$103/Assumptions!$J$78)+D45)*D28</f>
        <v>11.0377544704</v>
      </c>
      <c r="E46" s="48" t="n">
        <f aca="false">(E38*Assumptions!$J$22*MIN(1,Assumptions!$J$103/Assumptions!$J$78)+E45)*E28</f>
        <v>11.0377544704</v>
      </c>
      <c r="F46" s="48" t="n">
        <f aca="false">(F38*Assumptions!$J$22*MIN(1,Assumptions!$J$103/Assumptions!$J$78)+F45)*F28</f>
        <v>11.0377544704</v>
      </c>
      <c r="G46" s="48" t="n">
        <f aca="false">(G38*Assumptions!$J$22*MIN(1,Assumptions!$J$103/Assumptions!$J$78)+G45)*G28</f>
        <v>14.9349950176</v>
      </c>
      <c r="H46" s="48" t="n">
        <f aca="false">(H38*Assumptions!$J$22*MIN(1,Assumptions!$J$103/Assumptions!$J$78)+H45)*H28</f>
        <v>18.8322355648</v>
      </c>
      <c r="I46" s="48" t="n">
        <f aca="false">(I38*Assumptions!$J$22*MIN(1,Assumptions!$J$103/Assumptions!$J$78)+I45)*I28</f>
        <v>31.6761039616</v>
      </c>
      <c r="J46" s="48" t="n">
        <f aca="false">(J38*Assumptions!$J$22*MIN(1,Assumptions!$J$103/Assumptions!$J$78)+J45)*J28</f>
        <v>44.5199723584</v>
      </c>
      <c r="K46" s="48" t="n">
        <f aca="false">(K38*Assumptions!$J$22*MIN(1,Assumptions!$J$103/Assumptions!$J$78)+K45)*K28</f>
        <v>44.5199723584</v>
      </c>
      <c r="L46" s="48" t="n">
        <f aca="false">(L38*Assumptions!$J$22*MIN(1,Assumptions!$J$103/Assumptions!$J$78)+L45)*L28</f>
        <v>44.5199723584</v>
      </c>
      <c r="M46" s="48" t="n">
        <f aca="false">(M38*Assumptions!$J$22*MIN(1,Assumptions!$J$103/Assumptions!$J$78)+M45)*M28</f>
        <v>44.5199723584</v>
      </c>
      <c r="N46" s="48" t="n">
        <f aca="false">(N38*Assumptions!$J$22*MIN(1,Assumptions!$J$103/Assumptions!$J$78)+N45)*N28</f>
        <v>44.5199723584</v>
      </c>
      <c r="P46" s="49" t="n">
        <f aca="false">SUM(C46:F46)</f>
        <v>38.6321406464</v>
      </c>
      <c r="Q46" s="49" t="n">
        <f aca="false">SUM(G46:J46)</f>
        <v>109.9633069024</v>
      </c>
      <c r="R46" s="49" t="n">
        <f aca="false">SUM(K46:N46)</f>
        <v>178.0798894336</v>
      </c>
      <c r="S46" s="50" t="n">
        <f aca="false">SUM(P46:R46)</f>
        <v>326.6753369824</v>
      </c>
    </row>
    <row r="47" customFormat="false" ht="15" hidden="false" customHeight="false" outlineLevel="0" collapsed="false">
      <c r="A47" s="4" t="s">
        <v>499</v>
      </c>
      <c r="B47" s="36" t="s">
        <v>500</v>
      </c>
      <c r="C47" s="48" t="n">
        <f aca="false">C28*MIN(Assumptions!$J$27,Assumptions!$J$25+Assumptions!$J$26*(C27-1))*Assumptions!$J$107</f>
        <v>2</v>
      </c>
      <c r="D47" s="48" t="n">
        <f aca="false">D28*MIN(Assumptions!$J$27,Assumptions!$J$25+Assumptions!$J$26*(D27-1))*Assumptions!$J$107</f>
        <v>3</v>
      </c>
      <c r="E47" s="48" t="n">
        <f aca="false">E28*MIN(Assumptions!$J$27,Assumptions!$J$25+Assumptions!$J$26*(E27-1))*Assumptions!$J$107</f>
        <v>4</v>
      </c>
      <c r="F47" s="48" t="n">
        <f aca="false">F28*MIN(Assumptions!$J$27,Assumptions!$J$25+Assumptions!$J$26*(F27-1))*Assumptions!$J$107</f>
        <v>5</v>
      </c>
      <c r="G47" s="48" t="n">
        <f aca="false">G28*MIN(Assumptions!$J$27,Assumptions!$J$25+Assumptions!$J$26*(G27-1))*Assumptions!$J$107</f>
        <v>6</v>
      </c>
      <c r="H47" s="48" t="n">
        <f aca="false">H28*MIN(Assumptions!$J$27,Assumptions!$J$25+Assumptions!$J$26*(H27-1))*Assumptions!$J$107</f>
        <v>7</v>
      </c>
      <c r="I47" s="48" t="n">
        <f aca="false">I28*MIN(Assumptions!$J$27,Assumptions!$J$25+Assumptions!$J$26*(I27-1))*Assumptions!$J$107</f>
        <v>8</v>
      </c>
      <c r="J47" s="48" t="n">
        <f aca="false">J28*MIN(Assumptions!$J$27,Assumptions!$J$25+Assumptions!$J$26*(J27-1))*Assumptions!$J$107</f>
        <v>9</v>
      </c>
      <c r="K47" s="48" t="n">
        <f aca="false">K28*MIN(Assumptions!$J$27,Assumptions!$J$25+Assumptions!$J$26*(K27-1))*Assumptions!$J$107</f>
        <v>10</v>
      </c>
      <c r="L47" s="48" t="n">
        <f aca="false">L28*MIN(Assumptions!$J$27,Assumptions!$J$25+Assumptions!$J$26*(L27-1))*Assumptions!$J$107</f>
        <v>10</v>
      </c>
      <c r="M47" s="48" t="n">
        <f aca="false">M28*MIN(Assumptions!$J$27,Assumptions!$J$25+Assumptions!$J$26*(M27-1))*Assumptions!$J$107</f>
        <v>10</v>
      </c>
      <c r="N47" s="48" t="n">
        <f aca="false">N28*MIN(Assumptions!$J$27,Assumptions!$J$25+Assumptions!$J$26*(N27-1))*Assumptions!$J$107</f>
        <v>10</v>
      </c>
      <c r="P47" s="49" t="n">
        <f aca="false">F47</f>
        <v>5</v>
      </c>
      <c r="Q47" s="49" t="n">
        <f aca="false">J47</f>
        <v>9</v>
      </c>
      <c r="R47" s="49" t="n">
        <f aca="false">N47</f>
        <v>10</v>
      </c>
      <c r="S47" s="50" t="n">
        <f aca="false">R47</f>
        <v>10</v>
      </c>
    </row>
    <row r="48" customFormat="false" ht="15" hidden="false" customHeight="false" outlineLevel="0" collapsed="false">
      <c r="A48" s="4" t="s">
        <v>501</v>
      </c>
      <c r="B48" s="36" t="s">
        <v>502</v>
      </c>
      <c r="C48" s="48" t="n">
        <f aca="false">C47*Assumptions!$J$28</f>
        <v>6</v>
      </c>
      <c r="D48" s="48" t="n">
        <f aca="false">D47*Assumptions!$J$28</f>
        <v>9</v>
      </c>
      <c r="E48" s="48" t="n">
        <f aca="false">E47*Assumptions!$J$28</f>
        <v>12</v>
      </c>
      <c r="F48" s="48" t="n">
        <f aca="false">F47*Assumptions!$J$28</f>
        <v>15</v>
      </c>
      <c r="G48" s="48" t="n">
        <f aca="false">G47*Assumptions!$J$28</f>
        <v>18</v>
      </c>
      <c r="H48" s="48" t="n">
        <f aca="false">H47*Assumptions!$J$28</f>
        <v>21</v>
      </c>
      <c r="I48" s="48" t="n">
        <f aca="false">I47*Assumptions!$J$28</f>
        <v>24</v>
      </c>
      <c r="J48" s="48" t="n">
        <f aca="false">J47*Assumptions!$J$28</f>
        <v>27</v>
      </c>
      <c r="K48" s="48" t="n">
        <f aca="false">K47*Assumptions!$J$28</f>
        <v>30</v>
      </c>
      <c r="L48" s="48" t="n">
        <f aca="false">L47*Assumptions!$J$28</f>
        <v>30</v>
      </c>
      <c r="M48" s="48" t="n">
        <f aca="false">M47*Assumptions!$J$28</f>
        <v>30</v>
      </c>
      <c r="N48" s="48" t="n">
        <f aca="false">N47*Assumptions!$J$28</f>
        <v>30</v>
      </c>
      <c r="P48" s="49" t="n">
        <f aca="false">SUM(C48:F48)</f>
        <v>42</v>
      </c>
      <c r="Q48" s="49" t="n">
        <f aca="false">SUM(G48:J48)</f>
        <v>90</v>
      </c>
      <c r="R48" s="49" t="n">
        <f aca="false">SUM(K48:N48)</f>
        <v>120</v>
      </c>
      <c r="S48" s="50" t="n">
        <f aca="false">SUM(P48:R48)</f>
        <v>252</v>
      </c>
    </row>
    <row r="49" customFormat="false" ht="15" hidden="false" customHeight="false" outlineLevel="0" collapsed="false">
      <c r="A49" s="4" t="s">
        <v>503</v>
      </c>
      <c r="B49" s="36" t="s">
        <v>504</v>
      </c>
      <c r="C49" s="48" t="n">
        <f aca="false">(C40+C44)*Assumptions!$J$29</f>
        <v>2.649061072896</v>
      </c>
      <c r="D49" s="48" t="n">
        <f aca="false">(D40+D44)*Assumptions!$J$29</f>
        <v>4.93045821299048</v>
      </c>
      <c r="E49" s="48" t="n">
        <f aca="false">(E40+E44)*Assumptions!$J$29</f>
        <v>4.58830837060879</v>
      </c>
      <c r="F49" s="48" t="n">
        <f aca="false">(F40+F44)*Assumptions!$J$29</f>
        <v>4.26990206474738</v>
      </c>
      <c r="G49" s="48" t="n">
        <f aca="false">(G40+G44)*Assumptions!$J$29</f>
        <v>5.844267072</v>
      </c>
      <c r="H49" s="48" t="n">
        <f aca="false">(H40+H44)*Assumptions!$J$29</f>
        <v>7.17956301044434</v>
      </c>
      <c r="I49" s="48" t="n">
        <f aca="false">(I40+I44)*Assumptions!$J$29</f>
        <v>12.8463930542132</v>
      </c>
      <c r="J49" s="48" t="n">
        <f aca="false">(J40+J44)*Assumptions!$J$29</f>
        <v>17.6921476412567</v>
      </c>
      <c r="K49" s="48" t="n">
        <f aca="false">(K40+K44)*Assumptions!$J$29</f>
        <v>16.4643985629052</v>
      </c>
      <c r="L49" s="48" t="n">
        <f aca="false">(L40+L44)*Assumptions!$J$29</f>
        <v>15.3218493048332</v>
      </c>
      <c r="M49" s="48" t="n">
        <f aca="false">(M40+M44)*Assumptions!$J$29</f>
        <v>14.2585874135079</v>
      </c>
      <c r="N49" s="48" t="n">
        <f aca="false">(N40+N44)*Assumptions!$J$29</f>
        <v>13.2691107309425</v>
      </c>
      <c r="P49" s="49" t="n">
        <f aca="false">SUM(C49:F49)</f>
        <v>16.4377297212427</v>
      </c>
      <c r="Q49" s="49" t="n">
        <f aca="false">SUM(G49:J49)</f>
        <v>43.5623707779142</v>
      </c>
      <c r="R49" s="49" t="n">
        <f aca="false">SUM(K49:N49)</f>
        <v>59.3139460121888</v>
      </c>
      <c r="S49" s="50" t="n">
        <f aca="false">SUM(P49:R49)</f>
        <v>119.314046511346</v>
      </c>
    </row>
    <row r="50" customFormat="false" ht="15" hidden="false" customHeight="false" outlineLevel="0" collapsed="false">
      <c r="A50" s="4" t="s">
        <v>505</v>
      </c>
      <c r="B50" s="36" t="s">
        <v>504</v>
      </c>
      <c r="C50" s="48" t="n">
        <f aca="false">C46*Assumptions!$J$31</f>
        <v>0.883020357632</v>
      </c>
      <c r="D50" s="48" t="n">
        <f aca="false">D46*Assumptions!$J$31</f>
        <v>1.766040715264</v>
      </c>
      <c r="E50" s="48" t="n">
        <f aca="false">E46*Assumptions!$J$31</f>
        <v>1.766040715264</v>
      </c>
      <c r="F50" s="48" t="n">
        <f aca="false">F46*Assumptions!$J$31</f>
        <v>1.766040715264</v>
      </c>
      <c r="G50" s="48" t="n">
        <f aca="false">G46*Assumptions!$J$31</f>
        <v>2.389599202816</v>
      </c>
      <c r="H50" s="48" t="n">
        <f aca="false">H46*Assumptions!$J$31</f>
        <v>3.013157690368</v>
      </c>
      <c r="I50" s="48" t="n">
        <f aca="false">I46*Assumptions!$J$31</f>
        <v>5.068176633856</v>
      </c>
      <c r="J50" s="48" t="n">
        <f aca="false">J46*Assumptions!$J$31</f>
        <v>7.123195577344</v>
      </c>
      <c r="K50" s="48" t="n">
        <f aca="false">K46*Assumptions!$J$31</f>
        <v>7.123195577344</v>
      </c>
      <c r="L50" s="48" t="n">
        <f aca="false">L46*Assumptions!$J$31</f>
        <v>7.123195577344</v>
      </c>
      <c r="M50" s="48" t="n">
        <f aca="false">M46*Assumptions!$J$31</f>
        <v>7.123195577344</v>
      </c>
      <c r="N50" s="48" t="n">
        <f aca="false">N46*Assumptions!$J$31</f>
        <v>7.123195577344</v>
      </c>
      <c r="P50" s="49" t="n">
        <f aca="false">SUM(C50:F50)</f>
        <v>6.181142503424</v>
      </c>
      <c r="Q50" s="49" t="n">
        <f aca="false">SUM(G50:J50)</f>
        <v>17.594129104384</v>
      </c>
      <c r="R50" s="49" t="n">
        <f aca="false">SUM(K50:N50)</f>
        <v>28.492782309376</v>
      </c>
      <c r="S50" s="50" t="n">
        <f aca="false">SUM(P50:R50)</f>
        <v>52.268053917184</v>
      </c>
    </row>
    <row r="51" customFormat="false" ht="15" hidden="false" customHeight="false" outlineLevel="0" collapsed="false">
      <c r="A51" s="4" t="s">
        <v>506</v>
      </c>
      <c r="B51" s="36" t="s">
        <v>504</v>
      </c>
      <c r="C51" s="48" t="n">
        <f aca="false">C48*Assumptions!$J$30</f>
        <v>3</v>
      </c>
      <c r="D51" s="48" t="n">
        <f aca="false">D48*Assumptions!$J$30</f>
        <v>4.5</v>
      </c>
      <c r="E51" s="48" t="n">
        <f aca="false">E48*Assumptions!$J$30</f>
        <v>6</v>
      </c>
      <c r="F51" s="48" t="n">
        <f aca="false">F48*Assumptions!$J$30</f>
        <v>7.5</v>
      </c>
      <c r="G51" s="48" t="n">
        <f aca="false">G48*Assumptions!$J$30</f>
        <v>9</v>
      </c>
      <c r="H51" s="48" t="n">
        <f aca="false">H48*Assumptions!$J$30</f>
        <v>10.5</v>
      </c>
      <c r="I51" s="48" t="n">
        <f aca="false">I48*Assumptions!$J$30</f>
        <v>12</v>
      </c>
      <c r="J51" s="48" t="n">
        <f aca="false">J48*Assumptions!$J$30</f>
        <v>13.5</v>
      </c>
      <c r="K51" s="48" t="n">
        <f aca="false">K48*Assumptions!$J$30</f>
        <v>15</v>
      </c>
      <c r="L51" s="48" t="n">
        <f aca="false">L48*Assumptions!$J$30</f>
        <v>15</v>
      </c>
      <c r="M51" s="48" t="n">
        <f aca="false">M48*Assumptions!$J$30</f>
        <v>15</v>
      </c>
      <c r="N51" s="48" t="n">
        <f aca="false">N48*Assumptions!$J$30</f>
        <v>15</v>
      </c>
      <c r="P51" s="49" t="n">
        <f aca="false">SUM(C51:F51)</f>
        <v>21</v>
      </c>
      <c r="Q51" s="49" t="n">
        <f aca="false">SUM(G51:J51)</f>
        <v>45</v>
      </c>
      <c r="R51" s="49" t="n">
        <f aca="false">SUM(K51:N51)</f>
        <v>60</v>
      </c>
      <c r="S51" s="50" t="n">
        <f aca="false">SUM(P51:R51)</f>
        <v>126</v>
      </c>
    </row>
    <row r="52" customFormat="false" ht="15" hidden="false" customHeight="false" outlineLevel="0" collapsed="false">
      <c r="A52" s="9" t="s">
        <v>507</v>
      </c>
      <c r="B52" s="36" t="s">
        <v>504</v>
      </c>
      <c r="C52" s="49" t="n">
        <f aca="false">C49+C50+C51</f>
        <v>6.532081430528</v>
      </c>
      <c r="D52" s="49" t="n">
        <f aca="false">D49+D50+D51</f>
        <v>11.1964989282545</v>
      </c>
      <c r="E52" s="49" t="n">
        <f aca="false">E49+E50+E51</f>
        <v>12.3543490858728</v>
      </c>
      <c r="F52" s="49" t="n">
        <f aca="false">F49+F50+F51</f>
        <v>13.5359427800114</v>
      </c>
      <c r="G52" s="49" t="n">
        <f aca="false">G49+G50+G51</f>
        <v>17.233866274816</v>
      </c>
      <c r="H52" s="49" t="n">
        <f aca="false">H49+H50+H51</f>
        <v>20.6927207008123</v>
      </c>
      <c r="I52" s="49" t="n">
        <f aca="false">I49+I50+I51</f>
        <v>29.9145696880692</v>
      </c>
      <c r="J52" s="49" t="n">
        <f aca="false">J49+J50+J51</f>
        <v>38.3153432186007</v>
      </c>
      <c r="K52" s="49" t="n">
        <f aca="false">K49+K50+K51</f>
        <v>38.5875941402492</v>
      </c>
      <c r="L52" s="49" t="n">
        <f aca="false">L49+L50+L51</f>
        <v>37.4450448821772</v>
      </c>
      <c r="M52" s="49" t="n">
        <f aca="false">M49+M50+M51</f>
        <v>36.3817829908519</v>
      </c>
      <c r="N52" s="49" t="n">
        <f aca="false">N49+N50+N51</f>
        <v>35.3923063082865</v>
      </c>
      <c r="P52" s="49" t="n">
        <f aca="false">SUM(C52:F52)</f>
        <v>43.6188722246667</v>
      </c>
      <c r="Q52" s="49" t="n">
        <f aca="false">SUM(G52:J52)</f>
        <v>106.156499882298</v>
      </c>
      <c r="R52" s="49" t="n">
        <f aca="false">SUM(K52:N52)</f>
        <v>147.806728321565</v>
      </c>
      <c r="S52" s="50" t="n">
        <f aca="false">SUM(P52:R52)</f>
        <v>297.58210042853</v>
      </c>
    </row>
    <row r="53" customFormat="false" ht="15" hidden="false" customHeight="false" outlineLevel="0" collapsed="false">
      <c r="A53" s="4" t="s">
        <v>508</v>
      </c>
      <c r="B53" s="36" t="s">
        <v>509</v>
      </c>
      <c r="C53" s="48" t="n">
        <f aca="false">C35</f>
        <v>421.51972352</v>
      </c>
      <c r="D53" s="48" t="n">
        <f aca="false">D35</f>
        <v>843.03944704</v>
      </c>
      <c r="E53" s="48" t="n">
        <f aca="false">E35</f>
        <v>843.03944704</v>
      </c>
      <c r="F53" s="48" t="n">
        <f aca="false">F35</f>
        <v>843.03944704</v>
      </c>
      <c r="G53" s="48" t="n">
        <f aca="false">G35</f>
        <v>1149.32798176</v>
      </c>
      <c r="H53" s="48" t="n">
        <f aca="false">H35</f>
        <v>1455.61651648</v>
      </c>
      <c r="I53" s="48" t="n">
        <f aca="false">I35</f>
        <v>2486.00303616</v>
      </c>
      <c r="J53" s="48" t="n">
        <f aca="false">J35</f>
        <v>3516.38955584</v>
      </c>
      <c r="K53" s="48" t="n">
        <f aca="false">K35</f>
        <v>3516.38955584</v>
      </c>
      <c r="L53" s="48" t="n">
        <f aca="false">L35</f>
        <v>3516.38955584</v>
      </c>
      <c r="M53" s="48" t="n">
        <f aca="false">M35</f>
        <v>3516.38955584</v>
      </c>
      <c r="N53" s="48" t="n">
        <f aca="false">N35</f>
        <v>3516.38955584</v>
      </c>
      <c r="P53" s="49"/>
      <c r="Q53" s="49"/>
      <c r="R53" s="49"/>
      <c r="S53" s="50"/>
    </row>
    <row r="54" customFormat="false" ht="15" hidden="false" customHeight="false" outlineLevel="0" collapsed="false">
      <c r="A54" s="4" t="s">
        <v>510</v>
      </c>
      <c r="B54" s="36" t="s">
        <v>509</v>
      </c>
      <c r="C54" s="48" t="n">
        <f aca="false">C36*Assumptions!$J$18*Assumptions!$J$33</f>
        <v>211.19616</v>
      </c>
      <c r="D54" s="48" t="n">
        <f aca="false">D36*Assumptions!$J$18*Assumptions!$J$33</f>
        <v>422.39232</v>
      </c>
      <c r="E54" s="48" t="n">
        <f aca="false">E36*Assumptions!$J$18*Assumptions!$J$33</f>
        <v>422.39232</v>
      </c>
      <c r="F54" s="48" t="n">
        <f aca="false">F36*Assumptions!$J$18*Assumptions!$J$33</f>
        <v>422.39232</v>
      </c>
      <c r="G54" s="48" t="n">
        <f aca="false">G36*Assumptions!$J$18*Assumptions!$J$33</f>
        <v>564.49344</v>
      </c>
      <c r="H54" s="48" t="n">
        <f aca="false">H36*Assumptions!$J$18*Assumptions!$J$33</f>
        <v>706.59456</v>
      </c>
      <c r="I54" s="48" t="n">
        <f aca="false">I36*Assumptions!$J$18*Assumptions!$J$33</f>
        <v>1135.07072</v>
      </c>
      <c r="J54" s="48" t="n">
        <f aca="false">J36*Assumptions!$J$18*Assumptions!$J$33</f>
        <v>1563.54688</v>
      </c>
      <c r="K54" s="48" t="n">
        <f aca="false">K36*Assumptions!$J$18*Assumptions!$J$33</f>
        <v>1563.54688</v>
      </c>
      <c r="L54" s="48" t="n">
        <f aca="false">L36*Assumptions!$J$18*Assumptions!$J$33</f>
        <v>1563.54688</v>
      </c>
      <c r="M54" s="48" t="n">
        <f aca="false">M36*Assumptions!$J$18*Assumptions!$J$33</f>
        <v>1563.54688</v>
      </c>
      <c r="N54" s="48" t="n">
        <f aca="false">N36*Assumptions!$J$18*Assumptions!$J$33</f>
        <v>1563.54688</v>
      </c>
      <c r="P54" s="49"/>
      <c r="Q54" s="49"/>
      <c r="R54" s="49"/>
      <c r="S54" s="50"/>
    </row>
    <row r="55" customFormat="false" ht="15" hidden="false" customHeight="false" outlineLevel="0" collapsed="false">
      <c r="A55" s="4" t="s">
        <v>511</v>
      </c>
      <c r="B55" s="36" t="s">
        <v>509</v>
      </c>
      <c r="C55" s="48" t="n">
        <f aca="false">C37*Assumptions!$J$19*Assumptions!$J$34</f>
        <v>34.677888</v>
      </c>
      <c r="D55" s="48" t="n">
        <f aca="false">D37*Assumptions!$J$19*Assumptions!$J$34</f>
        <v>69.355776</v>
      </c>
      <c r="E55" s="48" t="n">
        <f aca="false">E37*Assumptions!$J$19*Assumptions!$J$34</f>
        <v>69.355776</v>
      </c>
      <c r="F55" s="48" t="n">
        <f aca="false">F37*Assumptions!$J$19*Assumptions!$J$34</f>
        <v>69.355776</v>
      </c>
      <c r="G55" s="48" t="n">
        <f aca="false">G37*Assumptions!$J$19*Assumptions!$J$34</f>
        <v>86.69472</v>
      </c>
      <c r="H55" s="48" t="n">
        <f aca="false">H37*Assumptions!$J$19*Assumptions!$J$34</f>
        <v>104.033664</v>
      </c>
      <c r="I55" s="48" t="n">
        <f aca="false">I37*Assumptions!$J$19*Assumptions!$J$34</f>
        <v>159.7008</v>
      </c>
      <c r="J55" s="48" t="n">
        <f aca="false">J37*Assumptions!$J$19*Assumptions!$J$34</f>
        <v>215.367936</v>
      </c>
      <c r="K55" s="48" t="n">
        <f aca="false">K37*Assumptions!$J$19*Assumptions!$J$34</f>
        <v>215.367936</v>
      </c>
      <c r="L55" s="48" t="n">
        <f aca="false">L37*Assumptions!$J$19*Assumptions!$J$34</f>
        <v>215.367936</v>
      </c>
      <c r="M55" s="48" t="n">
        <f aca="false">M37*Assumptions!$J$19*Assumptions!$J$34</f>
        <v>215.367936</v>
      </c>
      <c r="N55" s="48" t="n">
        <f aca="false">N37*Assumptions!$J$19*Assumptions!$J$34</f>
        <v>215.367936</v>
      </c>
      <c r="P55" s="49"/>
      <c r="Q55" s="49"/>
      <c r="R55" s="49"/>
      <c r="S55" s="50"/>
    </row>
    <row r="56" customFormat="false" ht="15" hidden="false" customHeight="false" outlineLevel="0" collapsed="false">
      <c r="A56" s="4" t="s">
        <v>512</v>
      </c>
      <c r="B56" s="36" t="s">
        <v>77</v>
      </c>
      <c r="C56" s="51" t="n">
        <f aca="false">IFERROR(C53/(C53+C54+C55),0)</f>
        <v>0.631590736245533</v>
      </c>
      <c r="D56" s="51" t="n">
        <f aca="false">IFERROR(D53/(D53+D54+D55),0)</f>
        <v>0.631590736245533</v>
      </c>
      <c r="E56" s="51" t="n">
        <f aca="false">IFERROR(E53/(E53+E54+E55),0)</f>
        <v>0.631590736245533</v>
      </c>
      <c r="F56" s="51" t="n">
        <f aca="false">IFERROR(F53/(F53+F54+F55),0)</f>
        <v>0.631590736245533</v>
      </c>
      <c r="G56" s="51" t="n">
        <f aca="false">IFERROR(G53/(G53+G54+G55),0)</f>
        <v>0.638332506498128</v>
      </c>
      <c r="H56" s="51" t="n">
        <f aca="false">IFERROR(H53/(H53+H54+H55),0)</f>
        <v>0.642303318118984</v>
      </c>
      <c r="I56" s="51" t="n">
        <f aca="false">IFERROR(I53/(I53+I54+I55),0)</f>
        <v>0.657538025405288</v>
      </c>
      <c r="J56" s="51" t="n">
        <f aca="false">IFERROR(J53/(J53+J54+J55),0)</f>
        <v>0.664058061428891</v>
      </c>
      <c r="K56" s="51" t="n">
        <f aca="false">IFERROR(K53/(K53+K54+K55),0)</f>
        <v>0.664058061428891</v>
      </c>
      <c r="L56" s="51" t="n">
        <f aca="false">IFERROR(L53/(L53+L54+L55),0)</f>
        <v>0.664058061428891</v>
      </c>
      <c r="M56" s="51" t="n">
        <f aca="false">IFERROR(M53/(M53+M54+M55),0)</f>
        <v>0.664058061428891</v>
      </c>
      <c r="N56" s="51" t="n">
        <f aca="false">IFERROR(N53/(N53+N54+N55),0)</f>
        <v>0.664058061428891</v>
      </c>
      <c r="P56" s="52"/>
      <c r="Q56" s="52"/>
      <c r="R56" s="52"/>
      <c r="S56" s="53"/>
    </row>
    <row r="57" customFormat="false" ht="15" hidden="false" customHeight="false" outlineLevel="0" collapsed="false">
      <c r="A57" s="4" t="s">
        <v>513</v>
      </c>
      <c r="B57" s="36" t="s">
        <v>77</v>
      </c>
      <c r="C57" s="51" t="n">
        <f aca="false">IFERROR(C54/(C53+C54+C55),0)</f>
        <v>0.316449102482628</v>
      </c>
      <c r="D57" s="51" t="n">
        <f aca="false">IFERROR(D54/(D53+D54+D55),0)</f>
        <v>0.316449102482628</v>
      </c>
      <c r="E57" s="51" t="n">
        <f aca="false">IFERROR(E54/(E53+E54+E55),0)</f>
        <v>0.316449102482628</v>
      </c>
      <c r="F57" s="51" t="n">
        <f aca="false">IFERROR(F54/(F53+F54+F55),0)</f>
        <v>0.316449102482628</v>
      </c>
      <c r="G57" s="51" t="n">
        <f aca="false">IFERROR(G54/(G53+G54+G55),0)</f>
        <v>0.313517566939561</v>
      </c>
      <c r="H57" s="51" t="n">
        <f aca="false">IFERROR(H54/(H53+H54+H55),0)</f>
        <v>0.311790932099567</v>
      </c>
      <c r="I57" s="51" t="n">
        <f aca="false">IFERROR(I54/(I53+I54+I55),0)</f>
        <v>0.300221741111391</v>
      </c>
      <c r="J57" s="51" t="n">
        <f aca="false">IFERROR(J54/(J53+J54+J55),0)</f>
        <v>0.295270445324128</v>
      </c>
      <c r="K57" s="51" t="n">
        <f aca="false">IFERROR(K54/(K53+K54+K55),0)</f>
        <v>0.295270445324128</v>
      </c>
      <c r="L57" s="51" t="n">
        <f aca="false">IFERROR(L54/(L53+L54+L55),0)</f>
        <v>0.295270445324128</v>
      </c>
      <c r="M57" s="51" t="n">
        <f aca="false">IFERROR(M54/(M53+M54+M55),0)</f>
        <v>0.295270445324128</v>
      </c>
      <c r="N57" s="51" t="n">
        <f aca="false">IFERROR(N54/(N53+N54+N55),0)</f>
        <v>0.295270445324128</v>
      </c>
      <c r="P57" s="52"/>
      <c r="Q57" s="52"/>
      <c r="R57" s="52"/>
      <c r="S57" s="53"/>
    </row>
    <row r="58" customFormat="false" ht="15" hidden="false" customHeight="false" outlineLevel="0" collapsed="false">
      <c r="A58" s="4" t="s">
        <v>514</v>
      </c>
      <c r="B58" s="36" t="s">
        <v>77</v>
      </c>
      <c r="C58" s="51" t="n">
        <f aca="false">IFERROR(C55/(C53+C54+C55),0)</f>
        <v>0.0519601612718389</v>
      </c>
      <c r="D58" s="51" t="n">
        <f aca="false">IFERROR(D55/(D53+D54+D55),0)</f>
        <v>0.0519601612718389</v>
      </c>
      <c r="E58" s="51" t="n">
        <f aca="false">IFERROR(E55/(E53+E54+E55),0)</f>
        <v>0.0519601612718389</v>
      </c>
      <c r="F58" s="51" t="n">
        <f aca="false">IFERROR(F55/(F53+F54+F55),0)</f>
        <v>0.0519601612718389</v>
      </c>
      <c r="G58" s="51" t="n">
        <f aca="false">IFERROR(G55/(G53+G54+G55),0)</f>
        <v>0.0481499265623113</v>
      </c>
      <c r="H58" s="51" t="n">
        <f aca="false">IFERROR(H55/(H53+H54+H55),0)</f>
        <v>0.0459057497814491</v>
      </c>
      <c r="I58" s="51" t="n">
        <f aca="false">IFERROR(I55/(I53+I54+I55),0)</f>
        <v>0.0422402334833216</v>
      </c>
      <c r="J58" s="51" t="n">
        <f aca="false">IFERROR(J55/(J53+J54+J55),0)</f>
        <v>0.0406714932469811</v>
      </c>
      <c r="K58" s="51" t="n">
        <f aca="false">IFERROR(K55/(K53+K54+K55),0)</f>
        <v>0.0406714932469811</v>
      </c>
      <c r="L58" s="51" t="n">
        <f aca="false">IFERROR(L55/(L53+L54+L55),0)</f>
        <v>0.0406714932469811</v>
      </c>
      <c r="M58" s="51" t="n">
        <f aca="false">IFERROR(M55/(M53+M54+M55),0)</f>
        <v>0.0406714932469811</v>
      </c>
      <c r="N58" s="51" t="n">
        <f aca="false">IFERROR(N55/(N53+N54+N55),0)</f>
        <v>0.0406714932469811</v>
      </c>
      <c r="P58" s="52"/>
      <c r="Q58" s="52"/>
      <c r="R58" s="52"/>
      <c r="S58" s="53"/>
    </row>
    <row r="59" customFormat="false" ht="15" hidden="false" customHeight="false" outlineLevel="0" collapsed="false">
      <c r="A59" s="4" t="s">
        <v>515</v>
      </c>
      <c r="B59" s="36" t="s">
        <v>516</v>
      </c>
      <c r="C59" s="48" t="n">
        <f aca="false">IF(C27-Assumptions!$J$35&lt;1,0,INDEX($C$52:$N$52,1,C27-Assumptions!$J$35)*INDEX($C$56:$N$56,1,C27-Assumptions!$J$35)*Assumptions!$J$32)</f>
        <v>0</v>
      </c>
      <c r="D59" s="48" t="n">
        <f aca="false">IF(D27-Assumptions!$J$35&lt;1,0,INDEX($C$52:$N$52,1,D27-Assumptions!$J$35)*INDEX($C$56:$N$56,1,D27-Assumptions!$J$35)*Assumptions!$J$32)</f>
        <v>0.866376445183821</v>
      </c>
      <c r="E59" s="48" t="n">
        <f aca="false">IF(E27-Assumptions!$J$35&lt;1,0,INDEX($C$52:$N$52,1,E27-Assumptions!$J$35)*INDEX($C$56:$N$56,1,E27-Assumptions!$J$35)*Assumptions!$J$32)</f>
        <v>1.4850370503084</v>
      </c>
      <c r="F59" s="48" t="n">
        <f aca="false">IF(F27-Assumptions!$J$35&lt;1,0,INDEX($C$52:$N$52,1,F27-Assumptions!$J$35)*INDEX($C$56:$N$56,1,F27-Assumptions!$J$35)*Assumptions!$J$32)</f>
        <v>1.63860741134595</v>
      </c>
      <c r="G59" s="48" t="n">
        <f aca="false">IF(G27-Assumptions!$J$35&lt;1,0,INDEX($C$52:$N$52,1,G27-Assumptions!$J$35)*INDEX($C$56:$N$56,1,G27-Assumptions!$J$35)*Assumptions!$J$32)</f>
        <v>1.79532697390301</v>
      </c>
      <c r="H59" s="48" t="n">
        <f aca="false">IF(H27-Assumptions!$J$35&lt;1,0,INDEX($C$52:$N$52,1,H27-Assumptions!$J$35)*INDEX($C$56:$N$56,1,H27-Assumptions!$J$35)*Assumptions!$J$32)</f>
        <v>2.31019678172994</v>
      </c>
      <c r="I59" s="48" t="n">
        <f aca="false">IF(I27-Assumptions!$J$35&lt;1,0,INDEX($C$52:$N$52,1,I27-Assumptions!$J$35)*INDEX($C$56:$N$56,1,I27-Assumptions!$J$35)*Assumptions!$J$32)</f>
        <v>2.79111066507864</v>
      </c>
      <c r="J59" s="48" t="n">
        <f aca="false">IF(J27-Assumptions!$J$35&lt;1,0,INDEX($C$52:$N$52,1,J27-Assumptions!$J$35)*INDEX($C$56:$N$56,1,J27-Assumptions!$J$35)*Assumptions!$J$32)</f>
        <v>4.1306930875438</v>
      </c>
      <c r="K59" s="48" t="n">
        <f aca="false">IF(K27-Assumptions!$J$35&lt;1,0,INDEX($C$52:$N$52,1,K27-Assumptions!$J$35)*INDEX($C$56:$N$56,1,K27-Assumptions!$J$35)*Assumptions!$J$32)</f>
        <v>5.34315863355258</v>
      </c>
      <c r="L59" s="48" t="n">
        <f aca="false">IF(L27-Assumptions!$J$35&lt;1,0,INDEX($C$52:$N$52,1,L27-Assumptions!$J$35)*INDEX($C$56:$N$56,1,L27-Assumptions!$J$35)*Assumptions!$J$32)</f>
        <v>5.38112462159553</v>
      </c>
      <c r="M59" s="48" t="n">
        <f aca="false">IF(M27-Assumptions!$J$35&lt;1,0,INDEX($C$52:$N$52,1,M27-Assumptions!$J$35)*INDEX($C$56:$N$56,1,M27-Assumptions!$J$35)*Assumptions!$J$32)</f>
        <v>5.22179362206104</v>
      </c>
      <c r="N59" s="48" t="n">
        <f aca="false">IF(N27-Assumptions!$J$35&lt;1,0,INDEX($C$52:$N$52,1,N27-Assumptions!$J$35)*INDEX($C$56:$N$56,1,N27-Assumptions!$J$35)*Assumptions!$J$32)</f>
        <v>5.07351941968866</v>
      </c>
      <c r="P59" s="49" t="n">
        <f aca="false">SUM(C59:F59)</f>
        <v>3.99002090683817</v>
      </c>
      <c r="Q59" s="49" t="n">
        <f aca="false">SUM(G59:J59)</f>
        <v>11.0273275082554</v>
      </c>
      <c r="R59" s="49" t="n">
        <f aca="false">SUM(K59:N59)</f>
        <v>21.0195962968978</v>
      </c>
      <c r="S59" s="50" t="n">
        <f aca="false">SUM(P59:R59)</f>
        <v>36.0369447119914</v>
      </c>
    </row>
    <row r="60" customFormat="false" ht="15" hidden="false" customHeight="false" outlineLevel="0" collapsed="false">
      <c r="A60" s="4" t="s">
        <v>517</v>
      </c>
      <c r="B60" s="36" t="s">
        <v>516</v>
      </c>
      <c r="C60" s="48" t="n">
        <f aca="false">IF(C27-Assumptions!$J$35&lt;1,0,INDEX($C$52:$N$52,1,C27-Assumptions!$J$35)*INDEX($C$57:$N$57,1,C27-Assumptions!$J$35)*Assumptions!$J$32)</f>
        <v>0</v>
      </c>
      <c r="D60" s="48" t="n">
        <f aca="false">IF(D27-Assumptions!$J$35&lt;1,0,INDEX($C$52:$N$52,1,D27-Assumptions!$J$35)*INDEX($C$57:$N$57,1,D27-Assumptions!$J$35)*Assumptions!$J$32)</f>
        <v>0.434084974267145</v>
      </c>
      <c r="E60" s="48" t="n">
        <f aca="false">IF(E27-Assumptions!$J$35&lt;1,0,INDEX($C$52:$N$52,1,E27-Assumptions!$J$35)*INDEX($C$57:$N$57,1,E27-Assumptions!$J$35)*Assumptions!$J$32)</f>
        <v>0.744055627726705</v>
      </c>
      <c r="F60" s="48" t="n">
        <f aca="false">IF(F27-Assumptions!$J$35&lt;1,0,INDEX($C$52:$N$52,1,F27-Assumptions!$J$35)*INDEX($C$57:$N$57,1,F27-Assumptions!$J$35)*Assumptions!$J$32)</f>
        <v>0.820999762796119</v>
      </c>
      <c r="G60" s="48" t="n">
        <f aca="false">IF(G27-Assumptions!$J$35&lt;1,0,INDEX($C$52:$N$52,1,G27-Assumptions!$J$35)*INDEX($C$57:$N$57,1,G27-Assumptions!$J$35)*Assumptions!$J$32)</f>
        <v>0.89952175823807</v>
      </c>
      <c r="H60" s="48" t="n">
        <f aca="false">IF(H27-Assumptions!$J$35&lt;1,0,INDEX($C$52:$N$52,1,H27-Assumptions!$J$35)*INDEX($C$57:$N$57,1,H27-Assumptions!$J$35)*Assumptions!$J$32)</f>
        <v>1.13465516292283</v>
      </c>
      <c r="I60" s="48" t="n">
        <f aca="false">IF(I27-Assumptions!$J$35&lt;1,0,INDEX($C$52:$N$52,1,I27-Assumptions!$J$35)*INDEX($C$57:$N$57,1,I27-Assumptions!$J$35)*Assumptions!$J$32)</f>
        <v>1.35487856174628</v>
      </c>
      <c r="J60" s="48" t="n">
        <f aca="false">IF(J27-Assumptions!$J$35&lt;1,0,INDEX($C$52:$N$52,1,J27-Assumptions!$J$35)*INDEX($C$57:$N$57,1,J27-Assumptions!$J$35)*Assumptions!$J$32)</f>
        <v>1.88601088123353</v>
      </c>
      <c r="K60" s="48" t="n">
        <f aca="false">IF(K27-Assumptions!$J$35&lt;1,0,INDEX($C$52:$N$52,1,K27-Assumptions!$J$35)*INDEX($C$57:$N$57,1,K27-Assumptions!$J$35)*Assumptions!$J$32)</f>
        <v>2.37581157552964</v>
      </c>
      <c r="L60" s="48" t="n">
        <f aca="false">IF(L27-Assumptions!$J$35&lt;1,0,INDEX($C$52:$N$52,1,L27-Assumptions!$J$35)*INDEX($C$57:$N$57,1,L27-Assumptions!$J$35)*Assumptions!$J$32)</f>
        <v>2.3926929822134</v>
      </c>
      <c r="M60" s="48" t="n">
        <f aca="false">IF(M27-Assumptions!$J$35&lt;1,0,INDEX($C$52:$N$52,1,M27-Assumptions!$J$35)*INDEX($C$57:$N$57,1,M27-Assumptions!$J$35)*Assumptions!$J$32)</f>
        <v>2.32184716628391</v>
      </c>
      <c r="N60" s="48" t="n">
        <f aca="false">IF(N27-Assumptions!$J$35&lt;1,0,INDEX($C$52:$N$52,1,N27-Assumptions!$J$35)*INDEX($C$57:$N$57,1,N27-Assumptions!$J$35)*Assumptions!$J$32)</f>
        <v>2.25591770573287</v>
      </c>
      <c r="P60" s="49" t="n">
        <f aca="false">SUM(C60:F60)</f>
        <v>1.99914036478997</v>
      </c>
      <c r="Q60" s="49" t="n">
        <f aca="false">SUM(G60:J60)</f>
        <v>5.27506636414072</v>
      </c>
      <c r="R60" s="49" t="n">
        <f aca="false">SUM(K60:N60)</f>
        <v>9.34626942975982</v>
      </c>
      <c r="S60" s="50" t="n">
        <f aca="false">SUM(P60:R60)</f>
        <v>16.6204761586905</v>
      </c>
    </row>
    <row r="61" customFormat="false" ht="15" hidden="false" customHeight="false" outlineLevel="0" collapsed="false">
      <c r="A61" s="4" t="s">
        <v>518</v>
      </c>
      <c r="B61" s="36" t="s">
        <v>516</v>
      </c>
      <c r="C61" s="48" t="n">
        <f aca="false">IF(C27-Assumptions!$J$36&lt;1,0,INDEX($C$52:$N$52,1,C27-Assumptions!$J$36)*INDEX($C$58:$N$58,1,C27-Assumptions!$J$36)*Assumptions!$J$32)</f>
        <v>0</v>
      </c>
      <c r="D61" s="48" t="n">
        <f aca="false">IF(D27-Assumptions!$J$36&lt;1,0,INDEX($C$52:$N$52,1,D27-Assumptions!$J$36)*INDEX($C$58:$N$58,1,D27-Assumptions!$J$36)*Assumptions!$J$32)</f>
        <v>0</v>
      </c>
      <c r="E61" s="48" t="n">
        <f aca="false">IF(E27-Assumptions!$J$36&lt;1,0,INDEX($C$52:$N$52,1,E27-Assumptions!$J$36)*INDEX($C$58:$N$58,1,E27-Assumptions!$J$36)*Assumptions!$J$32)</f>
        <v>0.071275680959914</v>
      </c>
      <c r="F61" s="48" t="n">
        <f aca="false">IF(F27-Assumptions!$J$36&lt;1,0,INDEX($C$52:$N$52,1,F27-Assumptions!$J$36)*INDEX($C$58:$N$58,1,F27-Assumptions!$J$36)*Assumptions!$J$32)</f>
        <v>0.122172096898336</v>
      </c>
      <c r="G61" s="48" t="n">
        <f aca="false">IF(G27-Assumptions!$J$36&lt;1,0,INDEX($C$52:$N$52,1,G27-Assumptions!$J$36)*INDEX($C$58:$N$58,1,G27-Assumptions!$J$36)*Assumptions!$J$32)</f>
        <v>0.134806133891215</v>
      </c>
      <c r="H61" s="48" t="n">
        <f aca="false">IF(H27-Assumptions!$J$36&lt;1,0,INDEX($C$52:$N$52,1,H27-Assumptions!$J$36)*INDEX($C$58:$N$58,1,H27-Assumptions!$J$36)*Assumptions!$J$32)</f>
        <v>0.147699251661313</v>
      </c>
      <c r="I61" s="48" t="n">
        <f aca="false">IF(I27-Assumptions!$J$36&lt;1,0,INDEX($C$52:$N$52,1,I27-Assumptions!$J$36)*INDEX($C$58:$N$58,1,I27-Assumptions!$J$36)*Assumptions!$J$32)</f>
        <v>0.174259973058587</v>
      </c>
      <c r="J61" s="48" t="n">
        <f aca="false">IF(J27-Assumptions!$J$36&lt;1,0,INDEX($C$52:$N$52,1,J27-Assumptions!$J$36)*INDEX($C$58:$N$58,1,J27-Assumptions!$J$36)*Assumptions!$J$32)</f>
        <v>0.19948212034567</v>
      </c>
      <c r="K61" s="48" t="n">
        <f aca="false">IF(K27-Assumptions!$J$36&lt;1,0,INDEX($C$52:$N$52,1,K27-Assumptions!$J$36)*INDEX($C$58:$N$58,1,K27-Assumptions!$J$36)*Assumptions!$J$32)</f>
        <v>0.265355665717199</v>
      </c>
      <c r="L61" s="48" t="n">
        <f aca="false">IF(L27-Assumptions!$J$36&lt;1,0,INDEX($C$52:$N$52,1,L27-Assumptions!$J$36)*INDEX($C$58:$N$58,1,L27-Assumptions!$J$36)*Assumptions!$J$32)</f>
        <v>0.327251866823927</v>
      </c>
      <c r="M61" s="48" t="n">
        <f aca="false">IF(M27-Assumptions!$J$36&lt;1,0,INDEX($C$52:$N$52,1,M27-Assumptions!$J$36)*INDEX($C$58:$N$58,1,M27-Assumptions!$J$36)*Assumptions!$J$32)</f>
        <v>0.329577165643402</v>
      </c>
      <c r="N61" s="48" t="n">
        <f aca="false">IF(N27-Assumptions!$J$36&lt;1,0,INDEX($C$52:$N$52,1,N27-Assumptions!$J$36)*INDEX($C$58:$N$58,1,N27-Assumptions!$J$36)*Assumptions!$J$32)</f>
        <v>0.319818636912259</v>
      </c>
      <c r="P61" s="49" t="n">
        <f aca="false">SUM(C61:F61)</f>
        <v>0.19344777785825</v>
      </c>
      <c r="Q61" s="49" t="n">
        <f aca="false">SUM(G61:J61)</f>
        <v>0.656247478956785</v>
      </c>
      <c r="R61" s="49" t="n">
        <f aca="false">SUM(K61:N61)</f>
        <v>1.24200333509679</v>
      </c>
      <c r="S61" s="50" t="n">
        <f aca="false">SUM(P61:R61)</f>
        <v>2.09169859191182</v>
      </c>
    </row>
    <row r="62" customFormat="false" ht="15" hidden="false" customHeight="false" outlineLevel="0" collapsed="false">
      <c r="A62" s="4" t="s">
        <v>519</v>
      </c>
      <c r="B62" s="36" t="s">
        <v>77</v>
      </c>
      <c r="C62" s="51" t="n">
        <f aca="false">IF(C27-Assumptions!$J$35&lt;1,0,IFERROR(INDEX($C$51:$N$51,1,C27-Assumptions!$J$35)/INDEX($C$52:$N$52,1,C27-Assumptions!$J$35),0))</f>
        <v>0</v>
      </c>
      <c r="D62" s="51" t="n">
        <f aca="false">IF(D27-Assumptions!$J$35&lt;1,0,IFERROR(INDEX($C$51:$N$51,1,D27-Assumptions!$J$35)/INDEX($C$52:$N$52,1,D27-Assumptions!$J$35),0))</f>
        <v>0.459271678087073</v>
      </c>
      <c r="E62" s="51" t="n">
        <f aca="false">IF(E27-Assumptions!$J$35&lt;1,0,IFERROR(INDEX($C$51:$N$51,1,E27-Assumptions!$J$35)/INDEX($C$52:$N$52,1,E27-Assumptions!$J$35),0))</f>
        <v>0.401911350042128</v>
      </c>
      <c r="F62" s="51" t="n">
        <f aca="false">IF(F27-Assumptions!$J$35&lt;1,0,IFERROR(INDEX($C$51:$N$51,1,F27-Assumptions!$J$35)/INDEX($C$52:$N$52,1,F27-Assumptions!$J$35),0))</f>
        <v>0.485658933408398</v>
      </c>
      <c r="G62" s="51" t="n">
        <f aca="false">IF(G27-Assumptions!$J$35&lt;1,0,IFERROR(INDEX($C$51:$N$51,1,G27-Assumptions!$J$35)/INDEX($C$52:$N$52,1,G27-Assumptions!$J$35),0))</f>
        <v>0.554080356417826</v>
      </c>
      <c r="H62" s="51" t="n">
        <f aca="false">IF(H27-Assumptions!$J$35&lt;1,0,IFERROR(INDEX($C$51:$N$51,1,H27-Assumptions!$J$35)/INDEX($C$52:$N$52,1,H27-Assumptions!$J$35),0))</f>
        <v>0.522227563825987</v>
      </c>
      <c r="I62" s="51" t="n">
        <f aca="false">IF(I27-Assumptions!$J$35&lt;1,0,IFERROR(INDEX($C$51:$N$51,1,I27-Assumptions!$J$35)/INDEX($C$52:$N$52,1,I27-Assumptions!$J$35),0))</f>
        <v>0.507424816282752</v>
      </c>
      <c r="J62" s="51" t="n">
        <f aca="false">IF(J27-Assumptions!$J$35&lt;1,0,IFERROR(INDEX($C$51:$N$51,1,J27-Assumptions!$J$35)/INDEX($C$52:$N$52,1,J27-Assumptions!$J$35),0))</f>
        <v>0.401142323795015</v>
      </c>
      <c r="K62" s="51" t="n">
        <f aca="false">IF(K27-Assumptions!$J$35&lt;1,0,IFERROR(INDEX($C$51:$N$51,1,K27-Assumptions!$J$35)/INDEX($C$52:$N$52,1,K27-Assumptions!$J$35),0))</f>
        <v>0.352339268448632</v>
      </c>
      <c r="L62" s="51" t="n">
        <f aca="false">IF(L27-Assumptions!$J$35&lt;1,0,IFERROR(INDEX($C$51:$N$51,1,L27-Assumptions!$J$35)/INDEX($C$52:$N$52,1,L27-Assumptions!$J$35),0))</f>
        <v>0.388725970981282</v>
      </c>
      <c r="M62" s="51" t="n">
        <f aca="false">IF(M27-Assumptions!$J$35&lt;1,0,IFERROR(INDEX($C$51:$N$51,1,M27-Assumptions!$J$35)/INDEX($C$52:$N$52,1,M27-Assumptions!$J$35),0))</f>
        <v>0.400587048224893</v>
      </c>
      <c r="N62" s="51" t="n">
        <f aca="false">IF(N27-Assumptions!$J$35&lt;1,0,IFERROR(INDEX($C$51:$N$51,1,N27-Assumptions!$J$35)/INDEX($C$52:$N$52,1,N27-Assumptions!$J$35),0))</f>
        <v>0.412294251872474</v>
      </c>
      <c r="P62" s="52"/>
      <c r="Q62" s="52"/>
      <c r="R62" s="52"/>
      <c r="S62" s="53"/>
    </row>
    <row r="63" customFormat="false" ht="15" hidden="false" customHeight="false" outlineLevel="0" collapsed="false">
      <c r="A63" s="4" t="s">
        <v>520</v>
      </c>
      <c r="B63" s="36" t="s">
        <v>516</v>
      </c>
      <c r="C63" s="48" t="n">
        <f aca="false">C59*Assumptions!$J$37</f>
        <v>0</v>
      </c>
      <c r="D63" s="48" t="n">
        <f aca="false">D59*Assumptions!$J$37</f>
        <v>0.259912933555146</v>
      </c>
      <c r="E63" s="48" t="n">
        <f aca="false">E59*Assumptions!$J$37</f>
        <v>0.44551111509252</v>
      </c>
      <c r="F63" s="48" t="n">
        <f aca="false">F59*Assumptions!$J$37</f>
        <v>0.491582223403786</v>
      </c>
      <c r="G63" s="48" t="n">
        <f aca="false">G59*Assumptions!$J$37</f>
        <v>0.538598092170902</v>
      </c>
      <c r="H63" s="48" t="n">
        <f aca="false">H59*Assumptions!$J$37</f>
        <v>0.693059034518982</v>
      </c>
      <c r="I63" s="48" t="n">
        <f aca="false">I59*Assumptions!$J$37</f>
        <v>0.837333199523593</v>
      </c>
      <c r="J63" s="48" t="n">
        <f aca="false">J59*Assumptions!$J$37</f>
        <v>1.23920792626314</v>
      </c>
      <c r="K63" s="48" t="n">
        <f aca="false">K59*Assumptions!$J$37</f>
        <v>1.60294759006577</v>
      </c>
      <c r="L63" s="48" t="n">
        <f aca="false">L59*Assumptions!$J$37</f>
        <v>1.61433738647866</v>
      </c>
      <c r="M63" s="48" t="n">
        <f aca="false">M59*Assumptions!$J$37</f>
        <v>1.56653808661831</v>
      </c>
      <c r="N63" s="48" t="n">
        <f aca="false">N59*Assumptions!$J$37</f>
        <v>1.5220558259066</v>
      </c>
      <c r="P63" s="49" t="n">
        <f aca="false">SUM(C63:F63)</f>
        <v>1.19700627205145</v>
      </c>
      <c r="Q63" s="49" t="n">
        <f aca="false">SUM(G63:J63)</f>
        <v>3.30819825247662</v>
      </c>
      <c r="R63" s="49" t="n">
        <f aca="false">SUM(K63:N63)</f>
        <v>6.30587888906934</v>
      </c>
      <c r="S63" s="50" t="n">
        <f aca="false">SUM(P63:R63)</f>
        <v>10.8110834135974</v>
      </c>
    </row>
    <row r="64" customFormat="false" ht="15" hidden="false" customHeight="false" outlineLevel="0" collapsed="false">
      <c r="A64" s="4" t="s">
        <v>521</v>
      </c>
      <c r="B64" s="36" t="s">
        <v>516</v>
      </c>
      <c r="C64" s="48" t="n">
        <f aca="false">C59*(1-Assumptions!$J$37)</f>
        <v>0</v>
      </c>
      <c r="D64" s="48" t="n">
        <f aca="false">D59*(1-Assumptions!$J$37)</f>
        <v>0.606463511628675</v>
      </c>
      <c r="E64" s="48" t="n">
        <f aca="false">E59*(1-Assumptions!$J$37)</f>
        <v>1.03952593521588</v>
      </c>
      <c r="F64" s="48" t="n">
        <f aca="false">F59*(1-Assumptions!$J$37)</f>
        <v>1.14702518794217</v>
      </c>
      <c r="G64" s="48" t="n">
        <f aca="false">G59*(1-Assumptions!$J$37)</f>
        <v>1.25672888173211</v>
      </c>
      <c r="H64" s="48" t="n">
        <f aca="false">H59*(1-Assumptions!$J$37)</f>
        <v>1.61713774721096</v>
      </c>
      <c r="I64" s="48" t="n">
        <f aca="false">I59*(1-Assumptions!$J$37)</f>
        <v>1.95377746555505</v>
      </c>
      <c r="J64" s="48" t="n">
        <f aca="false">J59*(1-Assumptions!$J$37)</f>
        <v>2.89148516128066</v>
      </c>
      <c r="K64" s="48" t="n">
        <f aca="false">K59*(1-Assumptions!$J$37)</f>
        <v>3.7402110434868</v>
      </c>
      <c r="L64" s="48" t="n">
        <f aca="false">L59*(1-Assumptions!$J$37)</f>
        <v>3.76678723511687</v>
      </c>
      <c r="M64" s="48" t="n">
        <f aca="false">M59*(1-Assumptions!$J$37)</f>
        <v>3.65525553544273</v>
      </c>
      <c r="N64" s="48" t="n">
        <f aca="false">N59*(1-Assumptions!$J$37)</f>
        <v>3.55146359378206</v>
      </c>
      <c r="P64" s="49" t="n">
        <f aca="false">SUM(C64:F64)</f>
        <v>2.79301463478672</v>
      </c>
      <c r="Q64" s="49" t="n">
        <f aca="false">SUM(G64:J64)</f>
        <v>7.71912925577877</v>
      </c>
      <c r="R64" s="49" t="n">
        <f aca="false">SUM(K64:N64)</f>
        <v>14.7137174078285</v>
      </c>
      <c r="S64" s="50" t="n">
        <f aca="false">SUM(P64:R64)</f>
        <v>25.225861298394</v>
      </c>
    </row>
    <row r="65" customFormat="false" ht="15" hidden="false" customHeight="false" outlineLevel="0" collapsed="false">
      <c r="A65" s="4" t="s">
        <v>522</v>
      </c>
      <c r="B65" s="36" t="s">
        <v>125</v>
      </c>
      <c r="C65" s="54" t="n">
        <f aca="false">C64*$C$18+C60*$C$19+C61*$C$20</f>
        <v>0</v>
      </c>
      <c r="D65" s="54" t="n">
        <f aca="false">D64*$C$18+D60*$C$19+D61*$C$20</f>
        <v>7485.37917000042</v>
      </c>
      <c r="E65" s="54" t="n">
        <f aca="false">E64*$C$18+E60*$C$19+E61*$C$20</f>
        <v>17233.8131620616</v>
      </c>
      <c r="F65" s="54" t="n">
        <f aca="false">F64*$C$18+F60*$C$19+F61*$C$20</f>
        <v>21704.9328199195</v>
      </c>
      <c r="G65" s="54" t="n">
        <f aca="false">G64*$C$18+G60*$C$19+G61*$C$20</f>
        <v>23839.4781169478</v>
      </c>
      <c r="H65" s="54" t="n">
        <f aca="false">H64*$C$18+H60*$C$19+H61*$C$20</f>
        <v>28861.3828545359</v>
      </c>
      <c r="I65" s="54" t="n">
        <f aca="false">I64*$C$18+I60*$C$19+I61*$C$20</f>
        <v>34454.8139810786</v>
      </c>
      <c r="J65" s="54" t="n">
        <f aca="false">J64*$C$18+J60*$C$19+J61*$C$20</f>
        <v>46219.0265618748</v>
      </c>
      <c r="K65" s="54" t="n">
        <f aca="false">K64*$C$18+K60*$C$19+K61*$C$20</f>
        <v>59614.7065475457</v>
      </c>
      <c r="L65" s="54" t="n">
        <f aca="false">L64*$C$18+L60*$C$19+L61*$C$20</f>
        <v>63745.6576705911</v>
      </c>
      <c r="M65" s="54" t="n">
        <f aca="false">M64*$C$18+M60*$C$19+M61*$C$20</f>
        <v>62600.461663715</v>
      </c>
      <c r="N65" s="54" t="n">
        <f aca="false">N64*$C$18+N60*$C$19+N61*$C$20</f>
        <v>60798.1877142281</v>
      </c>
      <c r="P65" s="55" t="n">
        <f aca="false">SUM(C65:F65)</f>
        <v>46424.1251519815</v>
      </c>
      <c r="Q65" s="55" t="n">
        <f aca="false">SUM(G65:J65)</f>
        <v>133374.701514437</v>
      </c>
      <c r="R65" s="55" t="n">
        <f aca="false">SUM(K65:N65)</f>
        <v>246759.01359608</v>
      </c>
      <c r="S65" s="56" t="n">
        <f aca="false">SUM(P65:R65)</f>
        <v>426557.840262498</v>
      </c>
    </row>
    <row r="66" customFormat="false" ht="15" hidden="false" customHeight="false" outlineLevel="0" collapsed="false">
      <c r="A66" s="4" t="s">
        <v>523</v>
      </c>
      <c r="B66" s="36" t="s">
        <v>125</v>
      </c>
      <c r="C66" s="54" t="n">
        <f aca="false">(C42+Assumptions!$J$104*C28)*$C$23</f>
        <v>306250</v>
      </c>
      <c r="D66" s="54" t="n">
        <f aca="false">(D42+Assumptions!$J$104*D28)*$C$23</f>
        <v>306250</v>
      </c>
      <c r="E66" s="54" t="n">
        <f aca="false">(E42+Assumptions!$J$104*E28)*$C$23</f>
        <v>306250</v>
      </c>
      <c r="F66" s="54" t="n">
        <f aca="false">(F42+Assumptions!$J$104*F28)*$C$23</f>
        <v>306250</v>
      </c>
      <c r="G66" s="54" t="n">
        <f aca="false">(G42+Assumptions!$J$104*G28)*$C$23</f>
        <v>306250</v>
      </c>
      <c r="H66" s="54" t="n">
        <f aca="false">(H42+Assumptions!$J$104*H28)*$C$23</f>
        <v>306250</v>
      </c>
      <c r="I66" s="54" t="n">
        <f aca="false">(I42+Assumptions!$J$104*I28)*$C$23</f>
        <v>306250</v>
      </c>
      <c r="J66" s="54" t="n">
        <f aca="false">(J42+Assumptions!$J$104*J28)*$C$23</f>
        <v>306250</v>
      </c>
      <c r="K66" s="54" t="n">
        <f aca="false">(K42+Assumptions!$J$104*K28)*$C$23</f>
        <v>306250</v>
      </c>
      <c r="L66" s="54" t="n">
        <f aca="false">(L42+Assumptions!$J$104*L28)*$C$23</f>
        <v>306250</v>
      </c>
      <c r="M66" s="54" t="n">
        <f aca="false">(M42+Assumptions!$J$104*M28)*$C$23</f>
        <v>306250</v>
      </c>
      <c r="N66" s="54" t="n">
        <f aca="false">(N42+Assumptions!$J$104*N28)*$C$23</f>
        <v>306250</v>
      </c>
      <c r="P66" s="55" t="n">
        <f aca="false">SUM(C66:F66)</f>
        <v>1225000</v>
      </c>
      <c r="Q66" s="55" t="n">
        <f aca="false">SUM(G66:J66)</f>
        <v>1225000</v>
      </c>
      <c r="R66" s="55" t="n">
        <f aca="false">SUM(K66:N66)</f>
        <v>1225000</v>
      </c>
      <c r="S66" s="56" t="n">
        <f aca="false">SUM(P66:R66)</f>
        <v>3675000</v>
      </c>
    </row>
    <row r="67" customFormat="false" ht="15" hidden="false" customHeight="false" outlineLevel="0" collapsed="false">
      <c r="A67" s="4" t="s">
        <v>524</v>
      </c>
      <c r="B67" s="36" t="s">
        <v>77</v>
      </c>
      <c r="C67" s="51" t="n">
        <f aca="false">IF(C65&gt;0,MIN(1,C66/C65),1)</f>
        <v>1</v>
      </c>
      <c r="D67" s="51" t="n">
        <f aca="false">IF(D65&gt;0,MIN(1,D66/D65),1)</f>
        <v>1</v>
      </c>
      <c r="E67" s="51" t="n">
        <f aca="false">IF(E65&gt;0,MIN(1,E66/E65),1)</f>
        <v>1</v>
      </c>
      <c r="F67" s="51" t="n">
        <f aca="false">IF(F65&gt;0,MIN(1,F66/F65),1)</f>
        <v>1</v>
      </c>
      <c r="G67" s="51" t="n">
        <f aca="false">IF(G65&gt;0,MIN(1,G66/G65),1)</f>
        <v>1</v>
      </c>
      <c r="H67" s="51" t="n">
        <f aca="false">IF(H65&gt;0,MIN(1,H66/H65),1)</f>
        <v>1</v>
      </c>
      <c r="I67" s="51" t="n">
        <f aca="false">IF(I65&gt;0,MIN(1,I66/I65),1)</f>
        <v>1</v>
      </c>
      <c r="J67" s="51" t="n">
        <f aca="false">IF(J65&gt;0,MIN(1,J66/J65),1)</f>
        <v>1</v>
      </c>
      <c r="K67" s="51" t="n">
        <f aca="false">IF(K65&gt;0,MIN(1,K66/K65),1)</f>
        <v>1</v>
      </c>
      <c r="L67" s="51" t="n">
        <f aca="false">IF(L65&gt;0,MIN(1,L66/L65),1)</f>
        <v>1</v>
      </c>
      <c r="M67" s="51" t="n">
        <f aca="false">IF(M65&gt;0,MIN(1,M66/M65),1)</f>
        <v>1</v>
      </c>
      <c r="N67" s="51" t="n">
        <f aca="false">IF(N65&gt;0,MIN(1,N66/N65),1)</f>
        <v>1</v>
      </c>
      <c r="P67" s="52"/>
      <c r="Q67" s="52"/>
      <c r="R67" s="52"/>
      <c r="S67" s="53"/>
    </row>
    <row r="68" customFormat="false" ht="15" hidden="false" customHeight="false" outlineLevel="0" collapsed="false">
      <c r="A68" s="4" t="s">
        <v>525</v>
      </c>
      <c r="B68" s="36" t="s">
        <v>125</v>
      </c>
      <c r="C68" s="54" t="n">
        <f aca="false">C65*(1-C67)</f>
        <v>0</v>
      </c>
      <c r="D68" s="54" t="n">
        <f aca="false">D65*(1-D67)</f>
        <v>0</v>
      </c>
      <c r="E68" s="54" t="n">
        <f aca="false">E65*(1-E67)</f>
        <v>0</v>
      </c>
      <c r="F68" s="54" t="n">
        <f aca="false">F65*(1-F67)</f>
        <v>0</v>
      </c>
      <c r="G68" s="54" t="n">
        <f aca="false">G65*(1-G67)</f>
        <v>0</v>
      </c>
      <c r="H68" s="54" t="n">
        <f aca="false">H65*(1-H67)</f>
        <v>0</v>
      </c>
      <c r="I68" s="54" t="n">
        <f aca="false">I65*(1-I67)</f>
        <v>0</v>
      </c>
      <c r="J68" s="54" t="n">
        <f aca="false">J65*(1-J67)</f>
        <v>0</v>
      </c>
      <c r="K68" s="54" t="n">
        <f aca="false">K65*(1-K67)</f>
        <v>0</v>
      </c>
      <c r="L68" s="54" t="n">
        <f aca="false">L65*(1-L67)</f>
        <v>0</v>
      </c>
      <c r="M68" s="54" t="n">
        <f aca="false">M65*(1-M67)</f>
        <v>0</v>
      </c>
      <c r="N68" s="54" t="n">
        <f aca="false">N65*(1-N67)</f>
        <v>0</v>
      </c>
      <c r="P68" s="55" t="n">
        <f aca="false">SUM(C68:F68)</f>
        <v>0</v>
      </c>
      <c r="Q68" s="55" t="n">
        <f aca="false">SUM(G68:J68)</f>
        <v>0</v>
      </c>
      <c r="R68" s="55" t="n">
        <f aca="false">SUM(K68:N68)</f>
        <v>0</v>
      </c>
      <c r="S68" s="56" t="n">
        <f aca="false">SUM(P68:R68)</f>
        <v>0</v>
      </c>
    </row>
    <row r="69" customFormat="false" ht="15" hidden="false" customHeight="false" outlineLevel="0" collapsed="false">
      <c r="A69" s="4" t="s">
        <v>526</v>
      </c>
      <c r="B69" s="36" t="s">
        <v>527</v>
      </c>
      <c r="C69" s="48" t="n">
        <f aca="false">C63+C64*C67</f>
        <v>0</v>
      </c>
      <c r="D69" s="48" t="n">
        <f aca="false">D63+D64*D67</f>
        <v>0.866376445183821</v>
      </c>
      <c r="E69" s="48" t="n">
        <f aca="false">E63+E64*E67</f>
        <v>1.4850370503084</v>
      </c>
      <c r="F69" s="48" t="n">
        <f aca="false">F63+F64*F67</f>
        <v>1.63860741134595</v>
      </c>
      <c r="G69" s="48" t="n">
        <f aca="false">G63+G64*G67</f>
        <v>1.79532697390301</v>
      </c>
      <c r="H69" s="48" t="n">
        <f aca="false">H63+H64*H67</f>
        <v>2.31019678172994</v>
      </c>
      <c r="I69" s="48" t="n">
        <f aca="false">I63+I64*I67</f>
        <v>2.79111066507864</v>
      </c>
      <c r="J69" s="48" t="n">
        <f aca="false">J63+J64*J67</f>
        <v>4.1306930875438</v>
      </c>
      <c r="K69" s="48" t="n">
        <f aca="false">K63+K64*K67</f>
        <v>5.34315863355258</v>
      </c>
      <c r="L69" s="48" t="n">
        <f aca="false">L63+L64*L67</f>
        <v>5.38112462159553</v>
      </c>
      <c r="M69" s="48" t="n">
        <f aca="false">M63+M64*M67</f>
        <v>5.22179362206104</v>
      </c>
      <c r="N69" s="48" t="n">
        <f aca="false">N63+N64*N67</f>
        <v>5.07351941968866</v>
      </c>
      <c r="P69" s="49" t="n">
        <f aca="false">SUM(C69:F69)</f>
        <v>3.99002090683817</v>
      </c>
      <c r="Q69" s="49" t="n">
        <f aca="false">SUM(G69:J69)</f>
        <v>11.0273275082554</v>
      </c>
      <c r="R69" s="49" t="n">
        <f aca="false">SUM(K69:N69)</f>
        <v>21.0195962968978</v>
      </c>
      <c r="S69" s="50" t="n">
        <f aca="false">SUM(P69:R69)</f>
        <v>36.0369447119914</v>
      </c>
    </row>
    <row r="70" customFormat="false" ht="15" hidden="false" customHeight="false" outlineLevel="0" collapsed="false">
      <c r="A70" s="4" t="s">
        <v>528</v>
      </c>
      <c r="B70" s="36" t="s">
        <v>527</v>
      </c>
      <c r="C70" s="48" t="n">
        <f aca="false">C60*C67</f>
        <v>0</v>
      </c>
      <c r="D70" s="48" t="n">
        <f aca="false">D60*D67</f>
        <v>0.434084974267145</v>
      </c>
      <c r="E70" s="48" t="n">
        <f aca="false">E60*E67</f>
        <v>0.744055627726705</v>
      </c>
      <c r="F70" s="48" t="n">
        <f aca="false">F60*F67</f>
        <v>0.820999762796119</v>
      </c>
      <c r="G70" s="48" t="n">
        <f aca="false">G60*G67</f>
        <v>0.89952175823807</v>
      </c>
      <c r="H70" s="48" t="n">
        <f aca="false">H60*H67</f>
        <v>1.13465516292283</v>
      </c>
      <c r="I70" s="48" t="n">
        <f aca="false">I60*I67</f>
        <v>1.35487856174628</v>
      </c>
      <c r="J70" s="48" t="n">
        <f aca="false">J60*J67</f>
        <v>1.88601088123353</v>
      </c>
      <c r="K70" s="48" t="n">
        <f aca="false">K60*K67</f>
        <v>2.37581157552964</v>
      </c>
      <c r="L70" s="48" t="n">
        <f aca="false">L60*L67</f>
        <v>2.3926929822134</v>
      </c>
      <c r="M70" s="48" t="n">
        <f aca="false">M60*M67</f>
        <v>2.32184716628391</v>
      </c>
      <c r="N70" s="48" t="n">
        <f aca="false">N60*N67</f>
        <v>2.25591770573287</v>
      </c>
      <c r="P70" s="49" t="n">
        <f aca="false">SUM(C70:F70)</f>
        <v>1.99914036478997</v>
      </c>
      <c r="Q70" s="49" t="n">
        <f aca="false">SUM(G70:J70)</f>
        <v>5.27506636414072</v>
      </c>
      <c r="R70" s="49" t="n">
        <f aca="false">SUM(K70:N70)</f>
        <v>9.34626942975982</v>
      </c>
      <c r="S70" s="50" t="n">
        <f aca="false">SUM(P70:R70)</f>
        <v>16.6204761586905</v>
      </c>
    </row>
    <row r="71" customFormat="false" ht="15" hidden="false" customHeight="false" outlineLevel="0" collapsed="false">
      <c r="A71" s="4" t="s">
        <v>529</v>
      </c>
      <c r="B71" s="36" t="s">
        <v>527</v>
      </c>
      <c r="C71" s="48" t="n">
        <f aca="false">C61*C67</f>
        <v>0</v>
      </c>
      <c r="D71" s="48" t="n">
        <f aca="false">D61*D67</f>
        <v>0</v>
      </c>
      <c r="E71" s="48" t="n">
        <f aca="false">E61*E67</f>
        <v>0.071275680959914</v>
      </c>
      <c r="F71" s="48" t="n">
        <f aca="false">F61*F67</f>
        <v>0.122172096898336</v>
      </c>
      <c r="G71" s="48" t="n">
        <f aca="false">G61*G67</f>
        <v>0.134806133891215</v>
      </c>
      <c r="H71" s="48" t="n">
        <f aca="false">H61*H67</f>
        <v>0.147699251661313</v>
      </c>
      <c r="I71" s="48" t="n">
        <f aca="false">I61*I67</f>
        <v>0.174259973058587</v>
      </c>
      <c r="J71" s="48" t="n">
        <f aca="false">J61*J67</f>
        <v>0.19948212034567</v>
      </c>
      <c r="K71" s="48" t="n">
        <f aca="false">K61*K67</f>
        <v>0.265355665717199</v>
      </c>
      <c r="L71" s="48" t="n">
        <f aca="false">L61*L67</f>
        <v>0.327251866823927</v>
      </c>
      <c r="M71" s="48" t="n">
        <f aca="false">M61*M67</f>
        <v>0.329577165643402</v>
      </c>
      <c r="N71" s="48" t="n">
        <f aca="false">N61*N67</f>
        <v>0.319818636912259</v>
      </c>
      <c r="P71" s="49" t="n">
        <f aca="false">SUM(C71:F71)</f>
        <v>0.19344777785825</v>
      </c>
      <c r="Q71" s="49" t="n">
        <f aca="false">SUM(G71:J71)</f>
        <v>0.656247478956785</v>
      </c>
      <c r="R71" s="49" t="n">
        <f aca="false">SUM(K71:N71)</f>
        <v>1.24200333509679</v>
      </c>
      <c r="S71" s="50" t="n">
        <f aca="false">SUM(P71:R71)</f>
        <v>2.09169859191182</v>
      </c>
    </row>
    <row r="72" customFormat="false" ht="15" hidden="false" customHeight="false" outlineLevel="0" collapsed="false">
      <c r="A72" s="9" t="s">
        <v>530</v>
      </c>
      <c r="B72" s="36" t="s">
        <v>527</v>
      </c>
      <c r="C72" s="49" t="n">
        <f aca="false">C69+C70+C71</f>
        <v>0</v>
      </c>
      <c r="D72" s="49" t="n">
        <f aca="false">D69+D70+D71</f>
        <v>1.30046141945097</v>
      </c>
      <c r="E72" s="49" t="n">
        <f aca="false">E69+E70+E71</f>
        <v>2.30036835899502</v>
      </c>
      <c r="F72" s="49" t="n">
        <f aca="false">F69+F70+F71</f>
        <v>2.58177927104041</v>
      </c>
      <c r="G72" s="49" t="n">
        <f aca="false">G69+G70+G71</f>
        <v>2.82965486603229</v>
      </c>
      <c r="H72" s="49" t="n">
        <f aca="false">H69+H70+H71</f>
        <v>3.59255119631409</v>
      </c>
      <c r="I72" s="49" t="n">
        <f aca="false">I69+I70+I71</f>
        <v>4.32024919988351</v>
      </c>
      <c r="J72" s="49" t="n">
        <f aca="false">J69+J70+J71</f>
        <v>6.216186089123</v>
      </c>
      <c r="K72" s="49" t="n">
        <f aca="false">K69+K70+K71</f>
        <v>7.98432587479941</v>
      </c>
      <c r="L72" s="49" t="n">
        <f aca="false">L69+L70+L71</f>
        <v>8.10106947063285</v>
      </c>
      <c r="M72" s="49" t="n">
        <f aca="false">M69+M70+M71</f>
        <v>7.87321795398836</v>
      </c>
      <c r="N72" s="49" t="n">
        <f aca="false">N69+N70+N71</f>
        <v>7.64925576233379</v>
      </c>
      <c r="P72" s="49" t="n">
        <f aca="false">SUM(C72:F72)</f>
        <v>6.18260904948639</v>
      </c>
      <c r="Q72" s="49" t="n">
        <f aca="false">SUM(G72:J72)</f>
        <v>16.9586413513529</v>
      </c>
      <c r="R72" s="49" t="n">
        <f aca="false">SUM(K72:N72)</f>
        <v>31.6078690617544</v>
      </c>
      <c r="S72" s="50" t="n">
        <f aca="false">SUM(P72:R72)</f>
        <v>54.7491194625937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S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4"/>
    <col collapsed="false" customWidth="true" hidden="false" outlineLevel="0" max="2" min="2" style="0" width="14"/>
    <col collapsed="false" customWidth="true" hidden="false" outlineLevel="0" max="14" min="3" style="0" width="11"/>
    <col collapsed="false" customWidth="true" hidden="false" outlineLevel="0" max="15" min="15" style="0" width="2"/>
    <col collapsed="false" customWidth="true" hidden="false" outlineLevel="0" max="19" min="16" style="0" width="13"/>
  </cols>
  <sheetData>
    <row r="1" customFormat="false" ht="17.35" hidden="false" customHeight="false" outlineLevel="0" collapsed="false">
      <c r="A1" s="1" t="s">
        <v>531</v>
      </c>
    </row>
    <row r="2" customFormat="false" ht="15" hidden="false" customHeight="false" outlineLevel="0" collapsed="false">
      <c r="A2" s="2" t="s">
        <v>532</v>
      </c>
    </row>
    <row r="3" customFormat="false" ht="15" hidden="false" customHeight="false" outlineLevel="0" collapsed="false">
      <c r="A3" s="5" t="str">
        <f aca="false">"Live run: "&amp;Assumptions!$E$5&amp;" · "&amp;Assumptions!$E$4&amp;" · "&amp;Assumptions!$E$6</f>
        <v>Live run: Industrial distribution · Base · Lean partner-led pilot</v>
      </c>
    </row>
    <row r="5" customFormat="false" ht="15" hidden="false" customHeight="false" outlineLevel="0" collapsed="false">
      <c r="A5" s="35" t="s">
        <v>533</v>
      </c>
      <c r="B5" s="35" t="s">
        <v>444</v>
      </c>
      <c r="C5" s="6" t="s">
        <v>354</v>
      </c>
      <c r="D5" s="6" t="s">
        <v>355</v>
      </c>
      <c r="E5" s="6" t="s">
        <v>356</v>
      </c>
      <c r="F5" s="6" t="s">
        <v>357</v>
      </c>
      <c r="G5" s="6" t="s">
        <v>358</v>
      </c>
      <c r="H5" s="6" t="s">
        <v>359</v>
      </c>
      <c r="I5" s="6" t="s">
        <v>360</v>
      </c>
      <c r="J5" s="6" t="s">
        <v>361</v>
      </c>
      <c r="K5" s="6" t="s">
        <v>362</v>
      </c>
      <c r="L5" s="6" t="s">
        <v>363</v>
      </c>
      <c r="M5" s="6" t="s">
        <v>364</v>
      </c>
      <c r="N5" s="6" t="s">
        <v>365</v>
      </c>
      <c r="P5" s="6" t="s">
        <v>445</v>
      </c>
      <c r="Q5" s="6" t="s">
        <v>446</v>
      </c>
      <c r="R5" s="6" t="s">
        <v>447</v>
      </c>
      <c r="S5" s="6" t="s">
        <v>448</v>
      </c>
    </row>
    <row r="6" customFormat="false" ht="15" hidden="false" customHeight="false" outlineLevel="0" collapsed="false">
      <c r="A6" s="4" t="s">
        <v>534</v>
      </c>
      <c r="B6" s="36" t="s">
        <v>527</v>
      </c>
      <c r="C6" s="48" t="n">
        <f aca="false">0*Assumptions!$J$59^(1/4)+'GTM Funnel'!C69</f>
        <v>0</v>
      </c>
      <c r="D6" s="48" t="n">
        <f aca="false">C6*Assumptions!$J$59^(1/4)+'GTM Funnel'!D69</f>
        <v>0.866376445183821</v>
      </c>
      <c r="E6" s="48" t="n">
        <f aca="false">D6*Assumptions!$J$59^(1/4)+'GTM Funnel'!E69</f>
        <v>2.32416329488403</v>
      </c>
      <c r="F6" s="48" t="n">
        <f aca="false">E6*Assumptions!$J$59^(1/4)+'GTM Funnel'!F69</f>
        <v>3.88966863104794</v>
      </c>
      <c r="G6" s="48" t="n">
        <f aca="false">F6*Assumptions!$J$59^(1/4)+'GTM Funnel'!G69</f>
        <v>5.56265357789716</v>
      </c>
      <c r="H6" s="48" t="n">
        <f aca="false">G6*Assumptions!$J$59^(1/4)+'GTM Funnel'!H69</f>
        <v>7.69788781678072</v>
      </c>
      <c r="I6" s="48" t="n">
        <f aca="false">H6*Assumptions!$J$59^(1/4)+'GTM Funnel'!I69</f>
        <v>10.2468762630101</v>
      </c>
      <c r="J6" s="48" t="n">
        <f aca="false">I6*Assumptions!$J$59^(1/4)+'GTM Funnel'!J69</f>
        <v>14.0552736148763</v>
      </c>
      <c r="K6" s="48" t="n">
        <f aca="false">J6*Assumptions!$J$59^(1/4)+'GTM Funnel'!K69</f>
        <v>18.9563507170835</v>
      </c>
      <c r="L6" s="48" t="n">
        <f aca="false">K6*Assumptions!$J$59^(1/4)+'GTM Funnel'!L69</f>
        <v>23.7412398769334</v>
      </c>
      <c r="M6" s="48" t="n">
        <f aca="false">L6*Assumptions!$J$59^(1/4)+'GTM Funnel'!M69</f>
        <v>28.2162985745513</v>
      </c>
      <c r="N6" s="48" t="n">
        <f aca="false">M6*Assumptions!$J$59^(1/4)+'GTM Funnel'!N69</f>
        <v>32.4023287268997</v>
      </c>
      <c r="P6" s="49" t="n">
        <f aca="false">F6</f>
        <v>3.88966863104794</v>
      </c>
      <c r="Q6" s="49" t="n">
        <f aca="false">J6</f>
        <v>14.0552736148763</v>
      </c>
      <c r="R6" s="49" t="n">
        <f aca="false">N6</f>
        <v>32.4023287268997</v>
      </c>
      <c r="S6" s="50" t="n">
        <f aca="false">R6</f>
        <v>32.4023287268997</v>
      </c>
    </row>
    <row r="7" customFormat="false" ht="15" hidden="false" customHeight="false" outlineLevel="0" collapsed="false">
      <c r="A7" s="4" t="s">
        <v>535</v>
      </c>
      <c r="B7" s="36" t="s">
        <v>527</v>
      </c>
      <c r="C7" s="48" t="n">
        <f aca="false">0*Assumptions!$J$60^(1/4)+'GTM Funnel'!C70</f>
        <v>0</v>
      </c>
      <c r="D7" s="48" t="n">
        <f aca="false">C7*Assumptions!$J$60^(1/4)+'GTM Funnel'!D70</f>
        <v>0.434084974267145</v>
      </c>
      <c r="E7" s="48" t="n">
        <f aca="false">D7*Assumptions!$J$60^(1/4)+'GTM Funnel'!E70</f>
        <v>1.16685601892983</v>
      </c>
      <c r="F7" s="48" t="n">
        <f aca="false">E7*Assumptions!$J$60^(1/4)+'GTM Funnel'!F70</f>
        <v>1.95752189677268</v>
      </c>
      <c r="G7" s="48" t="n">
        <f aca="false">F7*Assumptions!$J$60^(1/4)+'GTM Funnel'!G70</f>
        <v>2.80615541940422</v>
      </c>
      <c r="H7" s="48" t="n">
        <f aca="false">G7*Assumptions!$J$60^(1/4)+'GTM Funnel'!H70</f>
        <v>3.86786105447419</v>
      </c>
      <c r="I7" s="48" t="n">
        <f aca="false">H7*Assumptions!$J$60^(1/4)+'GTM Funnel'!I70</f>
        <v>5.12218971945664</v>
      </c>
      <c r="J7" s="48" t="n">
        <f aca="false">I7*Assumptions!$J$60^(1/4)+'GTM Funnel'!J70</f>
        <v>6.87504285788544</v>
      </c>
      <c r="K7" s="48" t="n">
        <f aca="false">J7*Assumptions!$J$60^(1/4)+'GTM Funnel'!K70</f>
        <v>9.07212907594454</v>
      </c>
      <c r="L7" s="48" t="n">
        <f aca="false">K7*Assumptions!$J$60^(1/4)+'GTM Funnel'!L70</f>
        <v>11.2289806902372</v>
      </c>
      <c r="M7" s="48" t="n">
        <f aca="false">L7*Assumptions!$J$60^(1/4)+'GTM Funnel'!M70</f>
        <v>13.2589164271123</v>
      </c>
      <c r="N7" s="48" t="n">
        <f aca="false">M7*Assumptions!$J$60^(1/4)+'GTM Funnel'!N70</f>
        <v>15.1701519792802</v>
      </c>
      <c r="P7" s="49" t="n">
        <f aca="false">F7</f>
        <v>1.95752189677268</v>
      </c>
      <c r="Q7" s="49" t="n">
        <f aca="false">J7</f>
        <v>6.87504285788544</v>
      </c>
      <c r="R7" s="49" t="n">
        <f aca="false">N7</f>
        <v>15.1701519792802</v>
      </c>
      <c r="S7" s="50" t="n">
        <f aca="false">R7</f>
        <v>15.1701519792802</v>
      </c>
    </row>
    <row r="8" customFormat="false" ht="15" hidden="false" customHeight="false" outlineLevel="0" collapsed="false">
      <c r="A8" s="4" t="s">
        <v>536</v>
      </c>
      <c r="B8" s="36" t="s">
        <v>527</v>
      </c>
      <c r="C8" s="48" t="n">
        <f aca="false">0*Assumptions!$J$61^(1/4)+'GTM Funnel'!C71</f>
        <v>0</v>
      </c>
      <c r="D8" s="48" t="n">
        <f aca="false">C8*Assumptions!$J$61^(1/4)+'GTM Funnel'!D71</f>
        <v>0</v>
      </c>
      <c r="E8" s="48" t="n">
        <f aca="false">D8*Assumptions!$J$61^(1/4)+'GTM Funnel'!E71</f>
        <v>0.071275680959914</v>
      </c>
      <c r="F8" s="48" t="n">
        <f aca="false">E8*Assumptions!$J$61^(1/4)+'GTM Funnel'!F71</f>
        <v>0.191977386314485</v>
      </c>
      <c r="G8" s="48" t="n">
        <f aca="false">F8*Assumptions!$J$61^(1/4)+'GTM Funnel'!G71</f>
        <v>0.322823096094288</v>
      </c>
      <c r="H8" s="48" t="n">
        <f aca="false">G8*Assumptions!$J$61^(1/4)+'GTM Funnel'!H71</f>
        <v>0.463862623930639</v>
      </c>
      <c r="I8" s="48" t="n">
        <f aca="false">H8*Assumptions!$J$61^(1/4)+'GTM Funnel'!I71</f>
        <v>0.628553278667598</v>
      </c>
      <c r="J8" s="48" t="n">
        <f aca="false">I8*Assumptions!$J$61^(1/4)+'GTM Funnel'!J71</f>
        <v>0.815068571993006</v>
      </c>
      <c r="K8" s="48" t="n">
        <f aca="false">J8*Assumptions!$J$61^(1/4)+'GTM Funnel'!K71</f>
        <v>1.06360966758325</v>
      </c>
      <c r="L8" s="48" t="n">
        <f aca="false">K8*Assumptions!$J$61^(1/4)+'GTM Funnel'!L71</f>
        <v>1.36891965128493</v>
      </c>
      <c r="M8" s="48" t="n">
        <f aca="false">L8*Assumptions!$J$61^(1/4)+'GTM Funnel'!M71</f>
        <v>1.67025649916167</v>
      </c>
      <c r="N8" s="48" t="n">
        <f aca="false">M8*Assumptions!$J$61^(1/4)+'GTM Funnel'!N71</f>
        <v>1.95561834801929</v>
      </c>
      <c r="P8" s="49" t="n">
        <f aca="false">F8</f>
        <v>0.191977386314485</v>
      </c>
      <c r="Q8" s="49" t="n">
        <f aca="false">J8</f>
        <v>0.815068571993006</v>
      </c>
      <c r="R8" s="49" t="n">
        <f aca="false">N8</f>
        <v>1.95561834801929</v>
      </c>
      <c r="S8" s="50" t="n">
        <f aca="false">R8</f>
        <v>1.95561834801929</v>
      </c>
    </row>
    <row r="9" customFormat="false" ht="15" hidden="false" customHeight="false" outlineLevel="0" collapsed="false">
      <c r="A9" s="9" t="s">
        <v>537</v>
      </c>
      <c r="B9" s="36" t="s">
        <v>527</v>
      </c>
      <c r="C9" s="49" t="n">
        <f aca="false">C6+C7+C8</f>
        <v>0</v>
      </c>
      <c r="D9" s="49" t="n">
        <f aca="false">D6+D7+D8</f>
        <v>1.30046141945097</v>
      </c>
      <c r="E9" s="49" t="n">
        <f aca="false">E6+E7+E8</f>
        <v>3.56229499477378</v>
      </c>
      <c r="F9" s="49" t="n">
        <f aca="false">F6+F7+F8</f>
        <v>6.0391679141351</v>
      </c>
      <c r="G9" s="49" t="n">
        <f aca="false">G6+G7+G8</f>
        <v>8.69163209339566</v>
      </c>
      <c r="H9" s="49" t="n">
        <f aca="false">H6+H7+H8</f>
        <v>12.0296114951856</v>
      </c>
      <c r="I9" s="49" t="n">
        <f aca="false">I6+I7+I8</f>
        <v>15.9976192611344</v>
      </c>
      <c r="J9" s="49" t="n">
        <f aca="false">J6+J7+J8</f>
        <v>21.7453850447547</v>
      </c>
      <c r="K9" s="49" t="n">
        <f aca="false">K6+K7+K8</f>
        <v>29.0920894606113</v>
      </c>
      <c r="L9" s="49" t="n">
        <f aca="false">L6+L7+L8</f>
        <v>36.3391402184556</v>
      </c>
      <c r="M9" s="49" t="n">
        <f aca="false">M6+M7+M8</f>
        <v>43.1454715008253</v>
      </c>
      <c r="N9" s="49" t="n">
        <f aca="false">N6+N7+N8</f>
        <v>49.5280990541991</v>
      </c>
      <c r="P9" s="49" t="n">
        <f aca="false">F9</f>
        <v>6.0391679141351</v>
      </c>
      <c r="Q9" s="49" t="n">
        <f aca="false">J9</f>
        <v>21.7453850447547</v>
      </c>
      <c r="R9" s="49" t="n">
        <f aca="false">N9</f>
        <v>49.5280990541991</v>
      </c>
      <c r="S9" s="50" t="n">
        <f aca="false">R9</f>
        <v>49.5280990541991</v>
      </c>
    </row>
    <row r="10" customFormat="false" ht="15" hidden="false" customHeight="false" outlineLevel="0" collapsed="false">
      <c r="A10" s="4" t="s">
        <v>538</v>
      </c>
      <c r="B10" s="36" t="s">
        <v>125</v>
      </c>
      <c r="C10" s="54" t="n">
        <f aca="false">0*Assumptions!$J$62^(1/4)+'GTM Funnel'!C69*'GTM Funnel'!$C$18</f>
        <v>0</v>
      </c>
      <c r="D10" s="54" t="n">
        <f aca="false">C10*Assumptions!$J$62^(1/4)+'GTM Funnel'!D69*'GTM Funnel'!$C$18</f>
        <v>4636.84673462381</v>
      </c>
      <c r="E10" s="54" t="n">
        <f aca="false">D10*Assumptions!$J$62^(1/4)+'GTM Funnel'!E69*'GTM Funnel'!$C$18</f>
        <v>12584.7650278744</v>
      </c>
      <c r="F10" s="54" t="n">
        <f aca="false">E10*Assumptions!$J$62^(1/4)+'GTM Funnel'!F69*'GTM Funnel'!$C$18</f>
        <v>21354.5918933979</v>
      </c>
      <c r="G10" s="54" t="n">
        <f aca="false">F10*Assumptions!$J$62^(1/4)+'GTM Funnel'!G69*'GTM Funnel'!$C$18</f>
        <v>30963.1818577268</v>
      </c>
      <c r="H10" s="54" t="n">
        <f aca="false">G10*Assumptions!$J$62^(1/4)+'GTM Funnel'!H69*'GTM Funnel'!$C$18</f>
        <v>43327.3550335454</v>
      </c>
      <c r="I10" s="54" t="n">
        <f aca="false">H10*Assumptions!$J$62^(1/4)+'GTM Funnel'!I69*'GTM Funnel'!$C$18</f>
        <v>58265.3793130463</v>
      </c>
      <c r="J10" s="54" t="n">
        <f aca="false">I10*Assumptions!$J$62^(1/4)+'GTM Funnel'!J69*'GTM Funnel'!$C$18</f>
        <v>80372.8487175808</v>
      </c>
      <c r="K10" s="54" t="n">
        <f aca="false">J10*Assumptions!$J$62^(1/4)+'GTM Funnel'!K69*'GTM Funnel'!$C$18</f>
        <v>108969.433724354</v>
      </c>
      <c r="L10" s="54" t="n">
        <f aca="false">K10*Assumptions!$J$62^(1/4)+'GTM Funnel'!L69*'GTM Funnel'!$C$18</f>
        <v>137769.212699133</v>
      </c>
      <c r="M10" s="54" t="n">
        <f aca="false">L10*Assumptions!$J$62^(1/4)+'GTM Funnel'!M69*'GTM Funnel'!$C$18</f>
        <v>165716.252164404</v>
      </c>
      <c r="N10" s="54" t="n">
        <f aca="false">M10*Assumptions!$J$62^(1/4)+'GTM Funnel'!N69*'GTM Funnel'!$C$18</f>
        <v>192869.728098578</v>
      </c>
      <c r="P10" s="55" t="n">
        <f aca="false">F10</f>
        <v>21354.5918933979</v>
      </c>
      <c r="Q10" s="55" t="n">
        <f aca="false">J10</f>
        <v>80372.8487175808</v>
      </c>
      <c r="R10" s="55" t="n">
        <f aca="false">N10</f>
        <v>192869.728098578</v>
      </c>
      <c r="S10" s="56" t="n">
        <f aca="false">R10</f>
        <v>192869.728098578</v>
      </c>
    </row>
    <row r="11" customFormat="false" ht="15" hidden="false" customHeight="false" outlineLevel="0" collapsed="false">
      <c r="A11" s="4" t="s">
        <v>539</v>
      </c>
      <c r="B11" s="36" t="s">
        <v>125</v>
      </c>
      <c r="C11" s="54" t="n">
        <f aca="false">0*Assumptions!$J$63^(1/4)+'GTM Funnel'!C70*'GTM Funnel'!$C$19</f>
        <v>0</v>
      </c>
      <c r="D11" s="54" t="n">
        <f aca="false">C11*Assumptions!$J$63^(1/4)+'GTM Funnel'!D70*'GTM Funnel'!$C$19</f>
        <v>4239.58645576376</v>
      </c>
      <c r="E11" s="54" t="n">
        <f aca="false">D11*Assumptions!$J$63^(1/4)+'GTM Funnel'!E70*'GTM Funnel'!$C$19</f>
        <v>11568.780571464</v>
      </c>
      <c r="F11" s="54" t="n">
        <f aca="false">E11*Assumptions!$J$63^(1/4)+'GTM Funnel'!F70*'GTM Funnel'!$C$19</f>
        <v>19757.0139869302</v>
      </c>
      <c r="G11" s="54" t="n">
        <f aca="false">F11*Assumptions!$J$63^(1/4)+'GTM Funnel'!G70*'GTM Funnel'!$C$19</f>
        <v>28832.3026333607</v>
      </c>
      <c r="H11" s="54" t="n">
        <f aca="false">G11*Assumptions!$J$63^(1/4)+'GTM Funnel'!H70*'GTM Funnel'!$C$19</f>
        <v>40337.2428258018</v>
      </c>
      <c r="I11" s="54" t="n">
        <f aca="false">H11*Assumptions!$J$63^(1/4)+'GTM Funnel'!I70*'GTM Funnel'!$C$19</f>
        <v>54161.8650429175</v>
      </c>
      <c r="J11" s="54" t="n">
        <f aca="false">I11*Assumptions!$J$63^(1/4)+'GTM Funnel'!J70*'GTM Funnel'!$C$19</f>
        <v>73376.768355554</v>
      </c>
      <c r="K11" s="54" t="n">
        <f aca="false">J11*Assumptions!$J$63^(1/4)+'GTM Funnel'!K70*'GTM Funnel'!$C$19</f>
        <v>97657.3745036042</v>
      </c>
      <c r="L11" s="54" t="n">
        <f aca="false">K11*Assumptions!$J$63^(1/4)+'GTM Funnel'!L70*'GTM Funnel'!$C$19</f>
        <v>122459.146505613</v>
      </c>
      <c r="M11" s="54" t="n">
        <f aca="false">L11*Assumptions!$J$63^(1/4)+'GTM Funnel'!M70*'GTM Funnel'!$C$19</f>
        <v>146932.924638212</v>
      </c>
      <c r="N11" s="54" t="n">
        <f aca="false">M11*Assumptions!$J$63^(1/4)+'GTM Funnel'!N70*'GTM Funnel'!$C$19</f>
        <v>171121.912636854</v>
      </c>
      <c r="P11" s="55" t="n">
        <f aca="false">F11</f>
        <v>19757.0139869302</v>
      </c>
      <c r="Q11" s="55" t="n">
        <f aca="false">J11</f>
        <v>73376.768355554</v>
      </c>
      <c r="R11" s="55" t="n">
        <f aca="false">N11</f>
        <v>171121.912636854</v>
      </c>
      <c r="S11" s="56" t="n">
        <f aca="false">R11</f>
        <v>171121.912636854</v>
      </c>
    </row>
    <row r="12" customFormat="false" ht="15" hidden="false" customHeight="false" outlineLevel="0" collapsed="false">
      <c r="A12" s="4" t="s">
        <v>540</v>
      </c>
      <c r="B12" s="36" t="s">
        <v>125</v>
      </c>
      <c r="C12" s="54" t="n">
        <f aca="false">0*Assumptions!$J$64^(1/4)+'GTM Funnel'!C71*'GTM Funnel'!$C$20</f>
        <v>0</v>
      </c>
      <c r="D12" s="54" t="n">
        <f aca="false">C12*Assumptions!$J$64^(1/4)+'GTM Funnel'!D71*'GTM Funnel'!$C$20</f>
        <v>0</v>
      </c>
      <c r="E12" s="54" t="n">
        <f aca="false">D12*Assumptions!$J$64^(1/4)+'GTM Funnel'!E71*'GTM Funnel'!$C$20</f>
        <v>4403.28728055653</v>
      </c>
      <c r="F12" s="54" t="n">
        <f aca="false">E12*Assumptions!$J$64^(1/4)+'GTM Funnel'!F71*'GTM Funnel'!$C$20</f>
        <v>12107.4388108841</v>
      </c>
      <c r="G12" s="54" t="n">
        <f aca="false">F12*Assumptions!$J$64^(1/4)+'GTM Funnel'!G71*'GTM Funnel'!$C$20</f>
        <v>20866.0439239064</v>
      </c>
      <c r="H12" s="54" t="n">
        <f aca="false">G12*Assumptions!$J$64^(1/4)+'GTM Funnel'!H71*'GTM Funnel'!$C$20</f>
        <v>30732.6025192522</v>
      </c>
      <c r="I12" s="54" t="n">
        <f aca="false">H12*Assumptions!$J$64^(1/4)+'GTM Funnel'!I71*'GTM Funnel'!$C$20</f>
        <v>42590.8720102144</v>
      </c>
      <c r="J12" s="54" t="n">
        <f aca="false">I12*Assumptions!$J$64^(1/4)+'GTM Funnel'!J71*'GTM Funnel'!$C$20</f>
        <v>56428.9790305215</v>
      </c>
      <c r="K12" s="54" t="n">
        <f aca="false">J12*Assumptions!$J$64^(1/4)+'GTM Funnel'!K71*'GTM Funnel'!$C$20</f>
        <v>74828.6952807254</v>
      </c>
      <c r="L12" s="54" t="n">
        <f aca="false">K12*Assumptions!$J$64^(1/4)+'GTM Funnel'!L71*'GTM Funnel'!$C$20</f>
        <v>97706.5094169996</v>
      </c>
      <c r="M12" s="54" t="n">
        <f aca="false">L12*Assumptions!$J$64^(1/4)+'GTM Funnel'!M71*'GTM Funnel'!$C$20</f>
        <v>121541.467521117</v>
      </c>
      <c r="N12" s="54" t="n">
        <f aca="false">M12*Assumptions!$J$64^(1/4)+'GTM Funnel'!N71*'GTM Funnel'!$C$20</f>
        <v>145621.085996823</v>
      </c>
      <c r="P12" s="55" t="n">
        <f aca="false">F12</f>
        <v>12107.4388108841</v>
      </c>
      <c r="Q12" s="55" t="n">
        <f aca="false">J12</f>
        <v>56428.9790305215</v>
      </c>
      <c r="R12" s="55" t="n">
        <f aca="false">N12</f>
        <v>145621.085996823</v>
      </c>
      <c r="S12" s="56" t="n">
        <f aca="false">R12</f>
        <v>145621.085996823</v>
      </c>
    </row>
    <row r="13" customFormat="false" ht="15" hidden="false" customHeight="false" outlineLevel="0" collapsed="false">
      <c r="A13" s="9" t="s">
        <v>541</v>
      </c>
      <c r="B13" s="36" t="s">
        <v>125</v>
      </c>
      <c r="C13" s="55" t="n">
        <f aca="false">C10+C11+C12</f>
        <v>0</v>
      </c>
      <c r="D13" s="55" t="n">
        <f aca="false">D10+D11+D12</f>
        <v>8876.43319038757</v>
      </c>
      <c r="E13" s="55" t="n">
        <f aca="false">E10+E11+E12</f>
        <v>28556.8328798949</v>
      </c>
      <c r="F13" s="55" t="n">
        <f aca="false">F10+F11+F12</f>
        <v>53219.0446912122</v>
      </c>
      <c r="G13" s="55" t="n">
        <f aca="false">G10+G11+G12</f>
        <v>80661.5284149939</v>
      </c>
      <c r="H13" s="55" t="n">
        <f aca="false">H10+H11+H12</f>
        <v>114397.200378599</v>
      </c>
      <c r="I13" s="55" t="n">
        <f aca="false">I10+I11+I12</f>
        <v>155018.116366178</v>
      </c>
      <c r="J13" s="55" t="n">
        <f aca="false">J10+J11+J12</f>
        <v>210178.596103656</v>
      </c>
      <c r="K13" s="55" t="n">
        <f aca="false">K10+K11+K12</f>
        <v>281455.503508684</v>
      </c>
      <c r="L13" s="55" t="n">
        <f aca="false">L10+L11+L12</f>
        <v>357934.868621746</v>
      </c>
      <c r="M13" s="55" t="n">
        <f aca="false">M10+M11+M12</f>
        <v>434190.644323734</v>
      </c>
      <c r="N13" s="55" t="n">
        <f aca="false">N10+N11+N12</f>
        <v>509612.726732255</v>
      </c>
      <c r="P13" s="55" t="n">
        <f aca="false">F13</f>
        <v>53219.0446912122</v>
      </c>
      <c r="Q13" s="55" t="n">
        <f aca="false">J13</f>
        <v>210178.596103656</v>
      </c>
      <c r="R13" s="55" t="n">
        <f aca="false">N13</f>
        <v>509612.726732255</v>
      </c>
      <c r="S13" s="56" t="n">
        <f aca="false">R13</f>
        <v>509612.726732255</v>
      </c>
    </row>
    <row r="14" customFormat="false" ht="15" hidden="false" customHeight="false" outlineLevel="0" collapsed="false">
      <c r="A14" s="4" t="s">
        <v>542</v>
      </c>
      <c r="B14" s="36" t="s">
        <v>125</v>
      </c>
      <c r="C14" s="54" t="n">
        <f aca="false">'GTM Funnel'!C69*'GTM Funnel'!$C$18+'GTM Funnel'!C70*'GTM Funnel'!$C$19+'GTM Funnel'!C71*'GTM Funnel'!$C$20</f>
        <v>0</v>
      </c>
      <c r="D14" s="54" t="n">
        <f aca="false">'GTM Funnel'!D69*'GTM Funnel'!$C$18+'GTM Funnel'!D70*'GTM Funnel'!$C$19+'GTM Funnel'!D71*'GTM Funnel'!$C$20</f>
        <v>8876.43319038757</v>
      </c>
      <c r="E14" s="54" t="n">
        <f aca="false">'GTM Funnel'!E69*'GTM Funnel'!$C$18+'GTM Funnel'!E70*'GTM Funnel'!$C$19+'GTM Funnel'!E71*'GTM Funnel'!$C$20</f>
        <v>19618.1886500368</v>
      </c>
      <c r="F14" s="54" t="n">
        <f aca="false">'GTM Funnel'!F69*'GTM Funnel'!$C$18+'GTM Funnel'!F70*'GTM Funnel'!$C$19+'GTM Funnel'!F71*'GTM Funnel'!$C$20</f>
        <v>24335.8808795765</v>
      </c>
      <c r="G14" s="54" t="n">
        <f aca="false">'GTM Funnel'!G69*'GTM Funnel'!$C$18+'GTM Funnel'!G70*'GTM Funnel'!$C$19+'GTM Funnel'!G71*'GTM Funnel'!$C$20</f>
        <v>26722.0551062465</v>
      </c>
      <c r="H14" s="54" t="n">
        <f aca="false">'GTM Funnel'!H69*'GTM Funnel'!$C$18+'GTM Funnel'!H70*'GTM Funnel'!$C$19+'GTM Funnel'!H71*'GTM Funnel'!$C$20</f>
        <v>32570.6348072815</v>
      </c>
      <c r="I14" s="54" t="n">
        <f aca="false">'GTM Funnel'!I69*'GTM Funnel'!$C$18+'GTM Funnel'!I70*'GTM Funnel'!$C$19+'GTM Funnel'!I71*'GTM Funnel'!$C$20</f>
        <v>38936.2212649288</v>
      </c>
      <c r="J14" s="54" t="n">
        <f aca="false">'GTM Funnel'!J69*'GTM Funnel'!$C$18+'GTM Funnel'!J70*'GTM Funnel'!$C$19+'GTM Funnel'!J71*'GTM Funnel'!$C$20</f>
        <v>52851.2673832351</v>
      </c>
      <c r="K14" s="54" t="n">
        <f aca="false">'GTM Funnel'!K69*'GTM Funnel'!$C$18+'GTM Funnel'!K70*'GTM Funnel'!$C$19+'GTM Funnel'!K71*'GTM Funnel'!$C$20</f>
        <v>68193.6820495777</v>
      </c>
      <c r="L14" s="54" t="n">
        <f aca="false">'GTM Funnel'!L69*'GTM Funnel'!$C$18+'GTM Funnel'!L70*'GTM Funnel'!$C$19+'GTM Funnel'!L71*'GTM Funnel'!$C$20</f>
        <v>72385.5913630249</v>
      </c>
      <c r="M14" s="54" t="n">
        <f aca="false">'GTM Funnel'!M69*'GTM Funnel'!$C$18+'GTM Funnel'!M70*'GTM Funnel'!$C$19+'GTM Funnel'!M71*'GTM Funnel'!$C$20</f>
        <v>70984.5735032962</v>
      </c>
      <c r="N14" s="54" t="n">
        <f aca="false">'GTM Funnel'!N69*'GTM Funnel'!$C$18+'GTM Funnel'!N70*'GTM Funnel'!$C$19+'GTM Funnel'!N71*'GTM Funnel'!$C$20</f>
        <v>68944.2304944803</v>
      </c>
      <c r="P14" s="55" t="n">
        <f aca="false">SUM(C14:F14)</f>
        <v>52830.5027200009</v>
      </c>
      <c r="Q14" s="55" t="n">
        <f aca="false">SUM(G14:J14)</f>
        <v>151080.178561692</v>
      </c>
      <c r="R14" s="55" t="n">
        <f aca="false">SUM(K14:N14)</f>
        <v>280508.077410379</v>
      </c>
      <c r="S14" s="56" t="n">
        <f aca="false">SUM(P14:R14)</f>
        <v>484418.758692072</v>
      </c>
    </row>
    <row r="15" customFormat="false" ht="15" hidden="false" customHeight="false" outlineLevel="0" collapsed="false">
      <c r="A15" s="9" t="s">
        <v>543</v>
      </c>
      <c r="B15" s="36" t="s">
        <v>125</v>
      </c>
      <c r="C15" s="55" t="n">
        <f aca="false">(0+C13)/8</f>
        <v>0</v>
      </c>
      <c r="D15" s="55" t="n">
        <f aca="false">(C13+D13)/8</f>
        <v>1109.55414879845</v>
      </c>
      <c r="E15" s="55" t="n">
        <f aca="false">(D13+E13)/8</f>
        <v>4679.15825878531</v>
      </c>
      <c r="F15" s="55" t="n">
        <f aca="false">(E13+F13)/8</f>
        <v>10221.9846963884</v>
      </c>
      <c r="G15" s="55" t="n">
        <f aca="false">(F13+G13)/8</f>
        <v>16735.0716382758</v>
      </c>
      <c r="H15" s="55" t="n">
        <f aca="false">(G13+H13)/8</f>
        <v>24382.3410991992</v>
      </c>
      <c r="I15" s="55" t="n">
        <f aca="false">(H13+I13)/8</f>
        <v>33676.9145930972</v>
      </c>
      <c r="J15" s="55" t="n">
        <f aca="false">(I13+J13)/8</f>
        <v>45649.5890587293</v>
      </c>
      <c r="K15" s="55" t="n">
        <f aca="false">(J13+K13)/8</f>
        <v>61454.2624515425</v>
      </c>
      <c r="L15" s="55" t="n">
        <f aca="false">(K13+L13)/8</f>
        <v>79923.7965163037</v>
      </c>
      <c r="M15" s="55" t="n">
        <f aca="false">(L13+M13)/8</f>
        <v>99015.6891181849</v>
      </c>
      <c r="N15" s="55" t="n">
        <f aca="false">(M13+N13)/8</f>
        <v>117975.421381999</v>
      </c>
      <c r="P15" s="55" t="n">
        <f aca="false">SUM(C15:F15)</f>
        <v>16010.6971039722</v>
      </c>
      <c r="Q15" s="55" t="n">
        <f aca="false">SUM(G15:J15)</f>
        <v>120443.916389301</v>
      </c>
      <c r="R15" s="55" t="n">
        <f aca="false">SUM(K15:N15)</f>
        <v>358369.16946803</v>
      </c>
      <c r="S15" s="56" t="n">
        <f aca="false">SUM(P15:R15)</f>
        <v>494823.782961303</v>
      </c>
    </row>
    <row r="16" customFormat="false" ht="15" hidden="false" customHeight="false" outlineLevel="0" collapsed="false">
      <c r="A16" s="4" t="s">
        <v>544</v>
      </c>
      <c r="B16" s="36" t="s">
        <v>125</v>
      </c>
      <c r="C16" s="54" t="n">
        <f aca="false">C15*Assumptions!$J$76</f>
        <v>0</v>
      </c>
      <c r="D16" s="54" t="n">
        <f aca="false">D15*Assumptions!$J$76</f>
        <v>721.21019671899</v>
      </c>
      <c r="E16" s="54" t="n">
        <f aca="false">E15*Assumptions!$J$76</f>
        <v>3041.45286821045</v>
      </c>
      <c r="F16" s="54" t="n">
        <f aca="false">F15*Assumptions!$J$76</f>
        <v>6644.29005265246</v>
      </c>
      <c r="G16" s="54" t="n">
        <f aca="false">G15*Assumptions!$J$76</f>
        <v>10877.7965648792</v>
      </c>
      <c r="H16" s="54" t="n">
        <f aca="false">H15*Assumptions!$J$76</f>
        <v>15848.5217144795</v>
      </c>
      <c r="I16" s="54" t="n">
        <f aca="false">I15*Assumptions!$J$76</f>
        <v>21889.9944855132</v>
      </c>
      <c r="J16" s="54" t="n">
        <f aca="false">J15*Assumptions!$J$76</f>
        <v>29672.2328881741</v>
      </c>
      <c r="K16" s="54" t="n">
        <f aca="false">K15*Assumptions!$J$76</f>
        <v>39945.2705935026</v>
      </c>
      <c r="L16" s="54" t="n">
        <f aca="false">L15*Assumptions!$J$76</f>
        <v>51950.4677355974</v>
      </c>
      <c r="M16" s="54" t="n">
        <f aca="false">M15*Assumptions!$J$76</f>
        <v>64360.1979268202</v>
      </c>
      <c r="N16" s="54" t="n">
        <f aca="false">N15*Assumptions!$J$76</f>
        <v>76684.0238982991</v>
      </c>
      <c r="P16" s="55" t="n">
        <f aca="false">SUM(C16:F16)</f>
        <v>10406.9531175819</v>
      </c>
      <c r="Q16" s="55" t="n">
        <f aca="false">SUM(G16:J16)</f>
        <v>78288.545653046</v>
      </c>
      <c r="R16" s="55" t="n">
        <f aca="false">SUM(K16:N16)</f>
        <v>232939.960154219</v>
      </c>
      <c r="S16" s="56" t="n">
        <f aca="false">SUM(P16:R16)</f>
        <v>321635.458924847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S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4"/>
    <col collapsed="false" customWidth="true" hidden="false" outlineLevel="0" max="2" min="2" style="0" width="14"/>
    <col collapsed="false" customWidth="true" hidden="false" outlineLevel="0" max="14" min="3" style="0" width="11"/>
    <col collapsed="false" customWidth="true" hidden="false" outlineLevel="0" max="15" min="15" style="0" width="2"/>
    <col collapsed="false" customWidth="true" hidden="false" outlineLevel="0" max="19" min="16" style="0" width="13"/>
  </cols>
  <sheetData>
    <row r="1" customFormat="false" ht="17.35" hidden="false" customHeight="false" outlineLevel="0" collapsed="false">
      <c r="A1" s="1" t="s">
        <v>545</v>
      </c>
    </row>
    <row r="2" customFormat="false" ht="15" hidden="false" customHeight="false" outlineLevel="0" collapsed="false">
      <c r="A2" s="2" t="s">
        <v>546</v>
      </c>
    </row>
    <row r="3" customFormat="false" ht="15" hidden="false" customHeight="false" outlineLevel="0" collapsed="false">
      <c r="A3" s="5" t="str">
        <f aca="false">"Live run: "&amp;Assumptions!$E$5&amp;" · "&amp;Assumptions!$E$4&amp;" · "&amp;Assumptions!$E$6</f>
        <v>Live run: Industrial distribution · Base · Lean partner-led pilot</v>
      </c>
    </row>
    <row r="5" customFormat="false" ht="15" hidden="false" customHeight="false" outlineLevel="0" collapsed="false">
      <c r="A5" s="35" t="s">
        <v>547</v>
      </c>
      <c r="B5" s="35" t="s">
        <v>444</v>
      </c>
      <c r="C5" s="6" t="s">
        <v>354</v>
      </c>
      <c r="D5" s="6" t="s">
        <v>355</v>
      </c>
      <c r="E5" s="6" t="s">
        <v>356</v>
      </c>
      <c r="F5" s="6" t="s">
        <v>357</v>
      </c>
      <c r="G5" s="6" t="s">
        <v>358</v>
      </c>
      <c r="H5" s="6" t="s">
        <v>359</v>
      </c>
      <c r="I5" s="6" t="s">
        <v>360</v>
      </c>
      <c r="J5" s="6" t="s">
        <v>361</v>
      </c>
      <c r="K5" s="6" t="s">
        <v>362</v>
      </c>
      <c r="L5" s="6" t="s">
        <v>363</v>
      </c>
      <c r="M5" s="6" t="s">
        <v>364</v>
      </c>
      <c r="N5" s="6" t="s">
        <v>365</v>
      </c>
      <c r="P5" s="6" t="s">
        <v>445</v>
      </c>
      <c r="Q5" s="6" t="s">
        <v>446</v>
      </c>
      <c r="R5" s="6" t="s">
        <v>447</v>
      </c>
      <c r="S5" s="6" t="s">
        <v>448</v>
      </c>
    </row>
    <row r="6" customFormat="false" ht="15" hidden="false" customHeight="false" outlineLevel="0" collapsed="false">
      <c r="A6" s="4" t="s">
        <v>548</v>
      </c>
      <c r="B6" s="36" t="s">
        <v>321</v>
      </c>
      <c r="C6" s="48" t="n">
        <f aca="false">Assumptions!$J$97*'GTM Funnel'!C28</f>
        <v>1</v>
      </c>
      <c r="D6" s="48" t="n">
        <f aca="false">Assumptions!$J$97*'GTM Funnel'!D28</f>
        <v>1</v>
      </c>
      <c r="E6" s="48" t="n">
        <f aca="false">Assumptions!$J$97*'GTM Funnel'!E28</f>
        <v>1</v>
      </c>
      <c r="F6" s="48" t="n">
        <f aca="false">Assumptions!$J$97*'GTM Funnel'!F28</f>
        <v>1</v>
      </c>
      <c r="G6" s="48" t="n">
        <f aca="false">Assumptions!$J$97*'GTM Funnel'!G28</f>
        <v>1</v>
      </c>
      <c r="H6" s="48" t="n">
        <f aca="false">Assumptions!$J$97*'GTM Funnel'!H28</f>
        <v>1</v>
      </c>
      <c r="I6" s="48" t="n">
        <f aca="false">Assumptions!$J$97*'GTM Funnel'!I28</f>
        <v>1</v>
      </c>
      <c r="J6" s="48" t="n">
        <f aca="false">Assumptions!$J$97*'GTM Funnel'!J28</f>
        <v>1</v>
      </c>
      <c r="K6" s="48" t="n">
        <f aca="false">Assumptions!$J$97*'GTM Funnel'!K28</f>
        <v>1</v>
      </c>
      <c r="L6" s="48" t="n">
        <f aca="false">Assumptions!$J$97*'GTM Funnel'!L28</f>
        <v>1</v>
      </c>
      <c r="M6" s="48" t="n">
        <f aca="false">Assumptions!$J$97*'GTM Funnel'!M28</f>
        <v>1</v>
      </c>
      <c r="N6" s="48" t="n">
        <f aca="false">Assumptions!$J$97*'GTM Funnel'!N28</f>
        <v>1</v>
      </c>
      <c r="P6" s="49" t="n">
        <f aca="false">AVERAGE(C6:F6)</f>
        <v>1</v>
      </c>
      <c r="Q6" s="49" t="n">
        <f aca="false">AVERAGE(G6:J6)</f>
        <v>1</v>
      </c>
      <c r="R6" s="49" t="n">
        <f aca="false">AVERAGE(K6:N6)</f>
        <v>1</v>
      </c>
      <c r="S6" s="50"/>
    </row>
    <row r="7" customFormat="false" ht="15" hidden="false" customHeight="false" outlineLevel="0" collapsed="false">
      <c r="A7" s="4" t="s">
        <v>549</v>
      </c>
      <c r="B7" s="36" t="s">
        <v>321</v>
      </c>
      <c r="C7" s="48" t="n">
        <f aca="false">'GTM Funnel'!C41*'GTM Funnel'!C28</f>
        <v>0</v>
      </c>
      <c r="D7" s="48" t="n">
        <f aca="false">'GTM Funnel'!D41*'GTM Funnel'!D28</f>
        <v>0</v>
      </c>
      <c r="E7" s="48" t="n">
        <f aca="false">'GTM Funnel'!E41*'GTM Funnel'!E28</f>
        <v>0</v>
      </c>
      <c r="F7" s="48" t="n">
        <f aca="false">'GTM Funnel'!F41*'GTM Funnel'!F28</f>
        <v>0</v>
      </c>
      <c r="G7" s="48" t="n">
        <f aca="false">'GTM Funnel'!G41*'GTM Funnel'!G28</f>
        <v>0</v>
      </c>
      <c r="H7" s="48" t="n">
        <f aca="false">'GTM Funnel'!H41*'GTM Funnel'!H28</f>
        <v>0</v>
      </c>
      <c r="I7" s="48" t="n">
        <f aca="false">'GTM Funnel'!I41*'GTM Funnel'!I28</f>
        <v>0</v>
      </c>
      <c r="J7" s="48" t="n">
        <f aca="false">'GTM Funnel'!J41*'GTM Funnel'!J28</f>
        <v>0</v>
      </c>
      <c r="K7" s="48" t="n">
        <f aca="false">'GTM Funnel'!K41*'GTM Funnel'!K28</f>
        <v>0</v>
      </c>
      <c r="L7" s="48" t="n">
        <f aca="false">'GTM Funnel'!L41*'GTM Funnel'!L28</f>
        <v>0</v>
      </c>
      <c r="M7" s="48" t="n">
        <f aca="false">'GTM Funnel'!M41*'GTM Funnel'!M28</f>
        <v>0</v>
      </c>
      <c r="N7" s="48" t="n">
        <f aca="false">'GTM Funnel'!N41*'GTM Funnel'!N28</f>
        <v>0</v>
      </c>
      <c r="P7" s="49" t="n">
        <f aca="false">AVERAGE(C7:F7)</f>
        <v>0</v>
      </c>
      <c r="Q7" s="49" t="n">
        <f aca="false">AVERAGE(G7:J7)</f>
        <v>0</v>
      </c>
      <c r="R7" s="49" t="n">
        <f aca="false">AVERAGE(K7:N7)</f>
        <v>0</v>
      </c>
      <c r="S7" s="50"/>
    </row>
    <row r="8" customFormat="false" ht="15" hidden="false" customHeight="false" outlineLevel="0" collapsed="false">
      <c r="A8" s="4" t="s">
        <v>550</v>
      </c>
      <c r="B8" s="36" t="s">
        <v>321</v>
      </c>
      <c r="C8" s="48" t="n">
        <f aca="false">IF('GTM Funnel'!C27&lt;=4,Assumptions!$J$98,Assumptions!$J$99)*'GTM Funnel'!C28</f>
        <v>0</v>
      </c>
      <c r="D8" s="48" t="n">
        <f aca="false">IF('GTM Funnel'!D27&lt;=4,Assumptions!$J$98,Assumptions!$J$99)*'GTM Funnel'!D28</f>
        <v>0</v>
      </c>
      <c r="E8" s="48" t="n">
        <f aca="false">IF('GTM Funnel'!E27&lt;=4,Assumptions!$J$98,Assumptions!$J$99)*'GTM Funnel'!E28</f>
        <v>0</v>
      </c>
      <c r="F8" s="48" t="n">
        <f aca="false">IF('GTM Funnel'!F27&lt;=4,Assumptions!$J$98,Assumptions!$J$99)*'GTM Funnel'!F28</f>
        <v>0</v>
      </c>
      <c r="G8" s="48" t="n">
        <f aca="false">IF('GTM Funnel'!G27&lt;=4,Assumptions!$J$98,Assumptions!$J$99)*'GTM Funnel'!G28</f>
        <v>0.5</v>
      </c>
      <c r="H8" s="48" t="n">
        <f aca="false">IF('GTM Funnel'!H27&lt;=4,Assumptions!$J$98,Assumptions!$J$99)*'GTM Funnel'!H28</f>
        <v>0.5</v>
      </c>
      <c r="I8" s="48" t="n">
        <f aca="false">IF('GTM Funnel'!I27&lt;=4,Assumptions!$J$98,Assumptions!$J$99)*'GTM Funnel'!I28</f>
        <v>0.5</v>
      </c>
      <c r="J8" s="48" t="n">
        <f aca="false">IF('GTM Funnel'!J27&lt;=4,Assumptions!$J$98,Assumptions!$J$99)*'GTM Funnel'!J28</f>
        <v>0.5</v>
      </c>
      <c r="K8" s="48" t="n">
        <f aca="false">IF('GTM Funnel'!K27&lt;=4,Assumptions!$J$98,Assumptions!$J$99)*'GTM Funnel'!K28</f>
        <v>0.5</v>
      </c>
      <c r="L8" s="48" t="n">
        <f aca="false">IF('GTM Funnel'!L27&lt;=4,Assumptions!$J$98,Assumptions!$J$99)*'GTM Funnel'!L28</f>
        <v>0.5</v>
      </c>
      <c r="M8" s="48" t="n">
        <f aca="false">IF('GTM Funnel'!M27&lt;=4,Assumptions!$J$98,Assumptions!$J$99)*'GTM Funnel'!M28</f>
        <v>0.5</v>
      </c>
      <c r="N8" s="48" t="n">
        <f aca="false">IF('GTM Funnel'!N27&lt;=4,Assumptions!$J$98,Assumptions!$J$99)*'GTM Funnel'!N28</f>
        <v>0.5</v>
      </c>
      <c r="P8" s="49" t="n">
        <f aca="false">AVERAGE(C8:F8)</f>
        <v>0</v>
      </c>
      <c r="Q8" s="49" t="n">
        <f aca="false">AVERAGE(G8:J8)</f>
        <v>0.5</v>
      </c>
      <c r="R8" s="49" t="n">
        <f aca="false">AVERAGE(K8:N8)</f>
        <v>0.5</v>
      </c>
      <c r="S8" s="50"/>
    </row>
    <row r="9" customFormat="false" ht="15" hidden="false" customHeight="false" outlineLevel="0" collapsed="false">
      <c r="A9" s="4" t="s">
        <v>551</v>
      </c>
      <c r="B9" s="36" t="s">
        <v>321</v>
      </c>
      <c r="C9" s="48" t="n">
        <f aca="false">IF('GTM Funnel'!C27&lt;=4,Assumptions!$J$100,Assumptions!$J$101)*'GTM Funnel'!C28</f>
        <v>1</v>
      </c>
      <c r="D9" s="48" t="n">
        <f aca="false">IF('GTM Funnel'!D27&lt;=4,Assumptions!$J$100,Assumptions!$J$101)*'GTM Funnel'!D28</f>
        <v>1</v>
      </c>
      <c r="E9" s="48" t="n">
        <f aca="false">IF('GTM Funnel'!E27&lt;=4,Assumptions!$J$100,Assumptions!$J$101)*'GTM Funnel'!E28</f>
        <v>1</v>
      </c>
      <c r="F9" s="48" t="n">
        <f aca="false">IF('GTM Funnel'!F27&lt;=4,Assumptions!$J$100,Assumptions!$J$101)*'GTM Funnel'!F28</f>
        <v>1</v>
      </c>
      <c r="G9" s="48" t="n">
        <f aca="false">IF('GTM Funnel'!G27&lt;=4,Assumptions!$J$100,Assumptions!$J$101)*'GTM Funnel'!G28</f>
        <v>0.5</v>
      </c>
      <c r="H9" s="48" t="n">
        <f aca="false">IF('GTM Funnel'!H27&lt;=4,Assumptions!$J$100,Assumptions!$J$101)*'GTM Funnel'!H28</f>
        <v>0.5</v>
      </c>
      <c r="I9" s="48" t="n">
        <f aca="false">IF('GTM Funnel'!I27&lt;=4,Assumptions!$J$100,Assumptions!$J$101)*'GTM Funnel'!I28</f>
        <v>0.5</v>
      </c>
      <c r="J9" s="48" t="n">
        <f aca="false">IF('GTM Funnel'!J27&lt;=4,Assumptions!$J$100,Assumptions!$J$101)*'GTM Funnel'!J28</f>
        <v>0.5</v>
      </c>
      <c r="K9" s="48" t="n">
        <f aca="false">IF('GTM Funnel'!K27&lt;=4,Assumptions!$J$100,Assumptions!$J$101)*'GTM Funnel'!K28</f>
        <v>0.5</v>
      </c>
      <c r="L9" s="48" t="n">
        <f aca="false">IF('GTM Funnel'!L27&lt;=4,Assumptions!$J$100,Assumptions!$J$101)*'GTM Funnel'!L28</f>
        <v>0.5</v>
      </c>
      <c r="M9" s="48" t="n">
        <f aca="false">IF('GTM Funnel'!M27&lt;=4,Assumptions!$J$100,Assumptions!$J$101)*'GTM Funnel'!M28</f>
        <v>0.5</v>
      </c>
      <c r="N9" s="48" t="n">
        <f aca="false">IF('GTM Funnel'!N27&lt;=4,Assumptions!$J$100,Assumptions!$J$101)*'GTM Funnel'!N28</f>
        <v>0.5</v>
      </c>
      <c r="P9" s="49" t="n">
        <f aca="false">AVERAGE(C9:F9)</f>
        <v>1</v>
      </c>
      <c r="Q9" s="49" t="n">
        <f aca="false">AVERAGE(G9:J9)</f>
        <v>0.5</v>
      </c>
      <c r="R9" s="49" t="n">
        <f aca="false">AVERAGE(K9:N9)</f>
        <v>0.5</v>
      </c>
      <c r="S9" s="50"/>
    </row>
    <row r="10" customFormat="false" ht="15" hidden="false" customHeight="false" outlineLevel="0" collapsed="false">
      <c r="A10" s="4" t="s">
        <v>552</v>
      </c>
      <c r="B10" s="36" t="s">
        <v>321</v>
      </c>
      <c r="C10" s="48" t="n">
        <f aca="false">Assumptions!$J$102*'GTM Funnel'!C28</f>
        <v>0.25</v>
      </c>
      <c r="D10" s="48" t="n">
        <f aca="false">Assumptions!$J$102*'GTM Funnel'!D28</f>
        <v>0.25</v>
      </c>
      <c r="E10" s="48" t="n">
        <f aca="false">Assumptions!$J$102*'GTM Funnel'!E28</f>
        <v>0.25</v>
      </c>
      <c r="F10" s="48" t="n">
        <f aca="false">Assumptions!$J$102*'GTM Funnel'!F28</f>
        <v>0.25</v>
      </c>
      <c r="G10" s="48" t="n">
        <f aca="false">Assumptions!$J$102*'GTM Funnel'!G28</f>
        <v>0.25</v>
      </c>
      <c r="H10" s="48" t="n">
        <f aca="false">Assumptions!$J$102*'GTM Funnel'!H28</f>
        <v>0.25</v>
      </c>
      <c r="I10" s="48" t="n">
        <f aca="false">Assumptions!$J$102*'GTM Funnel'!I28</f>
        <v>0.25</v>
      </c>
      <c r="J10" s="48" t="n">
        <f aca="false">Assumptions!$J$102*'GTM Funnel'!J28</f>
        <v>0.25</v>
      </c>
      <c r="K10" s="48" t="n">
        <f aca="false">Assumptions!$J$102*'GTM Funnel'!K28</f>
        <v>0.25</v>
      </c>
      <c r="L10" s="48" t="n">
        <f aca="false">Assumptions!$J$102*'GTM Funnel'!L28</f>
        <v>0.25</v>
      </c>
      <c r="M10" s="48" t="n">
        <f aca="false">Assumptions!$J$102*'GTM Funnel'!M28</f>
        <v>0.25</v>
      </c>
      <c r="N10" s="48" t="n">
        <f aca="false">Assumptions!$J$102*'GTM Funnel'!N28</f>
        <v>0.25</v>
      </c>
      <c r="P10" s="49" t="n">
        <f aca="false">AVERAGE(C10:F10)</f>
        <v>0.25</v>
      </c>
      <c r="Q10" s="49" t="n">
        <f aca="false">AVERAGE(G10:J10)</f>
        <v>0.25</v>
      </c>
      <c r="R10" s="49" t="n">
        <f aca="false">AVERAGE(K10:N10)</f>
        <v>0.25</v>
      </c>
      <c r="S10" s="50"/>
    </row>
    <row r="11" customFormat="false" ht="15" hidden="false" customHeight="false" outlineLevel="0" collapsed="false">
      <c r="A11" s="4" t="s">
        <v>553</v>
      </c>
      <c r="B11" s="36" t="s">
        <v>321</v>
      </c>
      <c r="C11" s="48" t="n">
        <f aca="false">('Revenue Model'!C7+'Revenue Model'!C8)/Assumptions!$J$74+'Revenue Model'!C6/Assumptions!$J$75</f>
        <v>0</v>
      </c>
      <c r="D11" s="48" t="n">
        <f aca="false">('Revenue Model'!D7+'Revenue Model'!D8)/Assumptions!$J$74+'Revenue Model'!D6/Assumptions!$J$75</f>
        <v>0.0143176301374139</v>
      </c>
      <c r="E11" s="48" t="n">
        <f aca="false">('Revenue Model'!E7+'Revenue Model'!E8)/Assumptions!$J$74+'Revenue Model'!E6/Assumptions!$J$75</f>
        <v>0.0402499456767798</v>
      </c>
      <c r="F11" s="48" t="n">
        <f aca="false">('Revenue Model'!F7+'Revenue Model'!F8)/Assumptions!$J$74+'Revenue Model'!F6/Assumptions!$J$75</f>
        <v>0.069296156601371</v>
      </c>
      <c r="G11" s="48" t="n">
        <f aca="false">('Revenue Model'!G7+'Revenue Model'!G8)/Assumptions!$J$74+'Revenue Model'!G6/Assumptions!$J$75</f>
        <v>0.100475077199051</v>
      </c>
      <c r="H11" s="48" t="n">
        <f aca="false">('Revenue Model'!H7+'Revenue Model'!H8)/Assumptions!$J$74+'Revenue Model'!H6/Assumptions!$J$75</f>
        <v>0.139084643227244</v>
      </c>
      <c r="I11" s="48" t="n">
        <f aca="false">('Revenue Model'!I7+'Revenue Model'!I8)/Assumptions!$J$74+'Revenue Model'!I6/Assumptions!$J$75</f>
        <v>0.184756080005146</v>
      </c>
      <c r="J11" s="48" t="n">
        <f aca="false">('Revenue Model'!J7+'Revenue Model'!J8)/Assumptions!$J$74+'Revenue Model'!J6/Assumptions!$J$75</f>
        <v>0.248473880206466</v>
      </c>
      <c r="K11" s="48" t="n">
        <f aca="false">('Revenue Model'!K7+'Revenue Model'!K8)/Assumptions!$J$74+'Revenue Model'!K6/Assumptions!$J$75</f>
        <v>0.329218871456529</v>
      </c>
      <c r="L11" s="48" t="n">
        <f aca="false">('Revenue Model'!L7+'Revenue Model'!L8)/Assumptions!$J$74+'Revenue Model'!L6/Assumptions!$J$75</f>
        <v>0.409912468045788</v>
      </c>
      <c r="M11" s="48" t="n">
        <f aca="false">('Revenue Model'!M7+'Revenue Model'!M8)/Assumptions!$J$74+'Revenue Model'!M6/Assumptions!$J$75</f>
        <v>0.486094517455055</v>
      </c>
      <c r="N11" s="48" t="n">
        <f aca="false">('Revenue Model'!N7+'Revenue Model'!N8)/Assumptions!$J$74+'Revenue Model'!N6/Assumptions!$J$75</f>
        <v>0.557753573090085</v>
      </c>
      <c r="P11" s="49" t="n">
        <f aca="false">AVERAGE(C11:F11)</f>
        <v>0.0309659331038912</v>
      </c>
      <c r="Q11" s="49" t="n">
        <f aca="false">AVERAGE(G11:J11)</f>
        <v>0.168197420159477</v>
      </c>
      <c r="R11" s="49" t="n">
        <f aca="false">AVERAGE(K11:N11)</f>
        <v>0.445744857511864</v>
      </c>
      <c r="S11" s="50"/>
    </row>
    <row r="12" customFormat="false" ht="15" hidden="false" customHeight="false" outlineLevel="0" collapsed="false">
      <c r="A12" s="4" t="s">
        <v>554</v>
      </c>
      <c r="B12" s="36" t="s">
        <v>125</v>
      </c>
      <c r="C12" s="54" t="n">
        <f aca="false">(C6+C8)*Assumptions!$J$70/Assumptions!$J$69/4</f>
        <v>66753.5714285714</v>
      </c>
      <c r="D12" s="54" t="n">
        <f aca="false">(D6+D8)*Assumptions!$J$70/Assumptions!$J$69/4</f>
        <v>66753.5714285714</v>
      </c>
      <c r="E12" s="54" t="n">
        <f aca="false">(E6+E8)*Assumptions!$J$70/Assumptions!$J$69/4</f>
        <v>66753.5714285714</v>
      </c>
      <c r="F12" s="54" t="n">
        <f aca="false">(F6+F8)*Assumptions!$J$70/Assumptions!$J$69/4</f>
        <v>66753.5714285714</v>
      </c>
      <c r="G12" s="54" t="n">
        <f aca="false">(G6+G8)*Assumptions!$J$70/Assumptions!$J$69/4</f>
        <v>100130.357142857</v>
      </c>
      <c r="H12" s="54" t="n">
        <f aca="false">(H6+H8)*Assumptions!$J$70/Assumptions!$J$69/4</f>
        <v>100130.357142857</v>
      </c>
      <c r="I12" s="54" t="n">
        <f aca="false">(I6+I8)*Assumptions!$J$70/Assumptions!$J$69/4</f>
        <v>100130.357142857</v>
      </c>
      <c r="J12" s="54" t="n">
        <f aca="false">(J6+J8)*Assumptions!$J$70/Assumptions!$J$69/4</f>
        <v>100130.357142857</v>
      </c>
      <c r="K12" s="54" t="n">
        <f aca="false">(K6+K8)*Assumptions!$J$70/Assumptions!$J$69/4</f>
        <v>100130.357142857</v>
      </c>
      <c r="L12" s="54" t="n">
        <f aca="false">(L6+L8)*Assumptions!$J$70/Assumptions!$J$69/4</f>
        <v>100130.357142857</v>
      </c>
      <c r="M12" s="54" t="n">
        <f aca="false">(M6+M8)*Assumptions!$J$70/Assumptions!$J$69/4</f>
        <v>100130.357142857</v>
      </c>
      <c r="N12" s="54" t="n">
        <f aca="false">(N6+N8)*Assumptions!$J$70/Assumptions!$J$69/4</f>
        <v>100130.357142857</v>
      </c>
      <c r="P12" s="55" t="n">
        <f aca="false">SUM(C12:F12)</f>
        <v>267014.285714286</v>
      </c>
      <c r="Q12" s="55" t="n">
        <f aca="false">SUM(G12:J12)</f>
        <v>400521.428571429</v>
      </c>
      <c r="R12" s="55" t="n">
        <f aca="false">SUM(K12:N12)</f>
        <v>400521.428571429</v>
      </c>
      <c r="S12" s="56" t="n">
        <f aca="false">SUM(P12:R12)</f>
        <v>1068057.14285714</v>
      </c>
    </row>
    <row r="13" customFormat="false" ht="15" hidden="false" customHeight="false" outlineLevel="0" collapsed="false">
      <c r="A13" s="4" t="s">
        <v>555</v>
      </c>
      <c r="B13" s="36" t="s">
        <v>125</v>
      </c>
      <c r="C13" s="54" t="n">
        <f aca="false">C7*'GTM Funnel'!$C$22/4</f>
        <v>0</v>
      </c>
      <c r="D13" s="54" t="n">
        <f aca="false">D7*'GTM Funnel'!$C$22/4</f>
        <v>0</v>
      </c>
      <c r="E13" s="54" t="n">
        <f aca="false">E7*'GTM Funnel'!$C$22/4</f>
        <v>0</v>
      </c>
      <c r="F13" s="54" t="n">
        <f aca="false">F7*'GTM Funnel'!$C$22/4</f>
        <v>0</v>
      </c>
      <c r="G13" s="54" t="n">
        <f aca="false">G7*'GTM Funnel'!$C$22/4</f>
        <v>0</v>
      </c>
      <c r="H13" s="54" t="n">
        <f aca="false">H7*'GTM Funnel'!$C$22/4</f>
        <v>0</v>
      </c>
      <c r="I13" s="54" t="n">
        <f aca="false">I7*'GTM Funnel'!$C$22/4</f>
        <v>0</v>
      </c>
      <c r="J13" s="54" t="n">
        <f aca="false">J7*'GTM Funnel'!$C$22/4</f>
        <v>0</v>
      </c>
      <c r="K13" s="54" t="n">
        <f aca="false">K7*'GTM Funnel'!$C$22/4</f>
        <v>0</v>
      </c>
      <c r="L13" s="54" t="n">
        <f aca="false">L7*'GTM Funnel'!$C$22/4</f>
        <v>0</v>
      </c>
      <c r="M13" s="54" t="n">
        <f aca="false">M7*'GTM Funnel'!$C$22/4</f>
        <v>0</v>
      </c>
      <c r="N13" s="54" t="n">
        <f aca="false">N7*'GTM Funnel'!$C$22/4</f>
        <v>0</v>
      </c>
      <c r="P13" s="55" t="n">
        <f aca="false">SUM(C13:F13)</f>
        <v>0</v>
      </c>
      <c r="Q13" s="55" t="n">
        <f aca="false">SUM(G13:J13)</f>
        <v>0</v>
      </c>
      <c r="R13" s="55" t="n">
        <f aca="false">SUM(K13:N13)</f>
        <v>0</v>
      </c>
      <c r="S13" s="56" t="n">
        <f aca="false">SUM(P13:R13)</f>
        <v>0</v>
      </c>
    </row>
    <row r="14" customFormat="false" ht="15" hidden="false" customHeight="false" outlineLevel="0" collapsed="false">
      <c r="A14" s="4" t="s">
        <v>556</v>
      </c>
      <c r="B14" s="36" t="s">
        <v>125</v>
      </c>
      <c r="C14" s="54" t="n">
        <f aca="false">MAX(0,('Revenue Model'!C14-'GTM Funnel'!C63*'GTM Funnel'!$C$18)-'GTM Funnel'!C42*'GTM Funnel'!$C$23)*'GTM Funnel'!$C$24*Assumptions!$J$105</f>
        <v>0</v>
      </c>
      <c r="D14" s="54" t="n">
        <f aca="false">MAX(0,('Revenue Model'!D14-'GTM Funnel'!D63*'GTM Funnel'!$C$18)-'GTM Funnel'!D42*'GTM Funnel'!$C$23)*'GTM Funnel'!$C$24*Assumptions!$J$105</f>
        <v>3491.72206180778</v>
      </c>
      <c r="E14" s="54" t="n">
        <f aca="false">MAX(0,('Revenue Model'!E14-'GTM Funnel'!E63*'GTM Funnel'!$C$18)-'GTM Funnel'!E42*'GTM Funnel'!$C$23)*'GTM Funnel'!$C$24*Assumptions!$J$105</f>
        <v>8039.09651874593</v>
      </c>
      <c r="F14" s="54" t="n">
        <f aca="false">MAX(0,('Revenue Model'!F14-'GTM Funnel'!F63*'GTM Funnel'!$C$18)-'GTM Funnel'!F42*'GTM Funnel'!$C$23)*'GTM Funnel'!$C$24*Assumptions!$J$105</f>
        <v>10124.750003461</v>
      </c>
      <c r="G14" s="54" t="n">
        <f aca="false">MAX(0,('Revenue Model'!G14-'GTM Funnel'!G63*'GTM Funnel'!$C$18)-'GTM Funnel'!G42*'GTM Funnel'!$C$23)*'GTM Funnel'!$C$24*Assumptions!$J$105</f>
        <v>11120.4562644655</v>
      </c>
      <c r="H14" s="54" t="n">
        <f aca="false">MAX(0,('Revenue Model'!H14-'GTM Funnel'!H63*'GTM Funnel'!$C$18)-'GTM Funnel'!H42*'GTM Funnel'!$C$23)*'GTM Funnel'!$C$24*Assumptions!$J$105</f>
        <v>13463.0357338943</v>
      </c>
      <c r="I14" s="54" t="n">
        <f aca="false">MAX(0,('Revenue Model'!I14-'GTM Funnel'!I63*'GTM Funnel'!$C$18)-'GTM Funnel'!I42*'GTM Funnel'!$C$23)*'GTM Funnel'!$C$24*Assumptions!$J$105</f>
        <v>16072.2164343224</v>
      </c>
      <c r="J14" s="54" t="n">
        <f aca="false">MAX(0,('Revenue Model'!J14-'GTM Funnel'!J63*'GTM Funnel'!$C$18)-'GTM Funnel'!J42*'GTM Funnel'!$C$23)*'GTM Funnel'!$C$24*Assumptions!$J$105</f>
        <v>21559.8957723031</v>
      </c>
      <c r="K14" s="54" t="n">
        <f aca="false">MAX(0,('Revenue Model'!K14-'GTM Funnel'!K63*'GTM Funnel'!$C$18)-'GTM Funnel'!K42*'GTM Funnel'!$C$23)*'GTM Funnel'!$C$24*Assumptions!$J$105</f>
        <v>27808.6094682429</v>
      </c>
      <c r="L14" s="54" t="n">
        <f aca="false">MAX(0,('Revenue Model'!L14-'GTM Funnel'!L63*'GTM Funnel'!$C$18)-'GTM Funnel'!L42*'GTM Funnel'!$C$23)*'GTM Funnel'!$C$24*Assumptions!$J$105</f>
        <v>29735.5837530454</v>
      </c>
      <c r="M14" s="54" t="n">
        <f aca="false">MAX(0,('Revenue Model'!M14-'GTM Funnel'!M63*'GTM Funnel'!$C$18)-'GTM Funnel'!M42*'GTM Funnel'!$C$23)*'GTM Funnel'!$C$24*Assumptions!$J$105</f>
        <v>29201.3815340945</v>
      </c>
      <c r="N14" s="54" t="n">
        <f aca="false">MAX(0,('Revenue Model'!N14-'GTM Funnel'!N63*'GTM Funnel'!$C$18)-'GTM Funnel'!N42*'GTM Funnel'!$C$23)*'GTM Funnel'!$C$24*Assumptions!$J$105</f>
        <v>28360.6706538674</v>
      </c>
      <c r="P14" s="55" t="n">
        <f aca="false">SUM(C14:F14)</f>
        <v>21655.5685840147</v>
      </c>
      <c r="Q14" s="55" t="n">
        <f aca="false">SUM(G14:J14)</f>
        <v>62215.6042049852</v>
      </c>
      <c r="R14" s="55" t="n">
        <f aca="false">SUM(K14:N14)</f>
        <v>115106.24540925</v>
      </c>
      <c r="S14" s="56" t="n">
        <f aca="false">SUM(P14:R14)</f>
        <v>198977.41819825</v>
      </c>
    </row>
    <row r="15" customFormat="false" ht="15" hidden="false" customHeight="false" outlineLevel="0" collapsed="false">
      <c r="A15" s="4" t="s">
        <v>557</v>
      </c>
      <c r="B15" s="36" t="s">
        <v>125</v>
      </c>
      <c r="C15" s="54" t="n">
        <f aca="false">C10*Assumptions!$J$71/Assumptions!$J$69/4</f>
        <v>18475.8928571429</v>
      </c>
      <c r="D15" s="54" t="n">
        <f aca="false">D10*Assumptions!$J$71/Assumptions!$J$69/4</f>
        <v>18475.8928571429</v>
      </c>
      <c r="E15" s="54" t="n">
        <f aca="false">E10*Assumptions!$J$71/Assumptions!$J$69/4</f>
        <v>18475.8928571429</v>
      </c>
      <c r="F15" s="54" t="n">
        <f aca="false">F10*Assumptions!$J$71/Assumptions!$J$69/4</f>
        <v>18475.8928571429</v>
      </c>
      <c r="G15" s="54" t="n">
        <f aca="false">G10*Assumptions!$J$71/Assumptions!$J$69/4</f>
        <v>18475.8928571429</v>
      </c>
      <c r="H15" s="54" t="n">
        <f aca="false">H10*Assumptions!$J$71/Assumptions!$J$69/4</f>
        <v>18475.8928571429</v>
      </c>
      <c r="I15" s="54" t="n">
        <f aca="false">I10*Assumptions!$J$71/Assumptions!$J$69/4</f>
        <v>18475.8928571429</v>
      </c>
      <c r="J15" s="54" t="n">
        <f aca="false">J10*Assumptions!$J$71/Assumptions!$J$69/4</f>
        <v>18475.8928571429</v>
      </c>
      <c r="K15" s="54" t="n">
        <f aca="false">K10*Assumptions!$J$71/Assumptions!$J$69/4</f>
        <v>18475.8928571429</v>
      </c>
      <c r="L15" s="54" t="n">
        <f aca="false">L10*Assumptions!$J$71/Assumptions!$J$69/4</f>
        <v>18475.8928571429</v>
      </c>
      <c r="M15" s="54" t="n">
        <f aca="false">M10*Assumptions!$J$71/Assumptions!$J$69/4</f>
        <v>18475.8928571429</v>
      </c>
      <c r="N15" s="54" t="n">
        <f aca="false">N10*Assumptions!$J$71/Assumptions!$J$69/4</f>
        <v>18475.8928571429</v>
      </c>
      <c r="P15" s="55" t="n">
        <f aca="false">SUM(C15:F15)</f>
        <v>73903.5714285714</v>
      </c>
      <c r="Q15" s="55" t="n">
        <f aca="false">SUM(G15:J15)</f>
        <v>73903.5714285714</v>
      </c>
      <c r="R15" s="55" t="n">
        <f aca="false">SUM(K15:N15)</f>
        <v>73903.5714285714</v>
      </c>
      <c r="S15" s="56" t="n">
        <f aca="false">SUM(P15:R15)</f>
        <v>221710.714285714</v>
      </c>
    </row>
    <row r="16" customFormat="false" ht="15" hidden="false" customHeight="false" outlineLevel="0" collapsed="false">
      <c r="A16" s="4" t="s">
        <v>558</v>
      </c>
      <c r="B16" s="36" t="s">
        <v>125</v>
      </c>
      <c r="C16" s="54" t="n">
        <f aca="false">(Assumptions!$J$103+Assumptions!$J$77*(('GTM Funnel'!C27=Assumptions!$J$13)+('GTM Funnel'!C27=Assumptions!$J$14)+('GTM Funnel'!C27=Assumptions!$J$15)))*'GTM Funnel'!C28</f>
        <v>65000</v>
      </c>
      <c r="D16" s="54" t="n">
        <f aca="false">(Assumptions!$J$103+Assumptions!$J$77*(('GTM Funnel'!D27=Assumptions!$J$13)+('GTM Funnel'!D27=Assumptions!$J$14)+('GTM Funnel'!D27=Assumptions!$J$15)))*'GTM Funnel'!D28</f>
        <v>25000</v>
      </c>
      <c r="E16" s="54" t="n">
        <f aca="false">(Assumptions!$J$103+Assumptions!$J$77*(('GTM Funnel'!E27=Assumptions!$J$13)+('GTM Funnel'!E27=Assumptions!$J$14)+('GTM Funnel'!E27=Assumptions!$J$15)))*'GTM Funnel'!E28</f>
        <v>25000</v>
      </c>
      <c r="F16" s="54" t="n">
        <f aca="false">(Assumptions!$J$103+Assumptions!$J$77*(('GTM Funnel'!F27=Assumptions!$J$13)+('GTM Funnel'!F27=Assumptions!$J$14)+('GTM Funnel'!F27=Assumptions!$J$15)))*'GTM Funnel'!F28</f>
        <v>25000</v>
      </c>
      <c r="G16" s="54" t="n">
        <f aca="false">(Assumptions!$J$103+Assumptions!$J$77*(('GTM Funnel'!G27=Assumptions!$J$13)+('GTM Funnel'!G27=Assumptions!$J$14)+('GTM Funnel'!G27=Assumptions!$J$15)))*'GTM Funnel'!G28</f>
        <v>65000</v>
      </c>
      <c r="H16" s="54" t="n">
        <f aca="false">(Assumptions!$J$103+Assumptions!$J$77*(('GTM Funnel'!H27=Assumptions!$J$13)+('GTM Funnel'!H27=Assumptions!$J$14)+('GTM Funnel'!H27=Assumptions!$J$15)))*'GTM Funnel'!H28</f>
        <v>25000</v>
      </c>
      <c r="I16" s="54" t="n">
        <f aca="false">(Assumptions!$J$103+Assumptions!$J$77*(('GTM Funnel'!I27=Assumptions!$J$13)+('GTM Funnel'!I27=Assumptions!$J$14)+('GTM Funnel'!I27=Assumptions!$J$15)))*'GTM Funnel'!I28</f>
        <v>65000</v>
      </c>
      <c r="J16" s="54" t="n">
        <f aca="false">(Assumptions!$J$103+Assumptions!$J$77*(('GTM Funnel'!J27=Assumptions!$J$13)+('GTM Funnel'!J27=Assumptions!$J$14)+('GTM Funnel'!J27=Assumptions!$J$15)))*'GTM Funnel'!J28</f>
        <v>25000</v>
      </c>
      <c r="K16" s="54" t="n">
        <f aca="false">(Assumptions!$J$103+Assumptions!$J$77*(('GTM Funnel'!K27=Assumptions!$J$13)+('GTM Funnel'!K27=Assumptions!$J$14)+('GTM Funnel'!K27=Assumptions!$J$15)))*'GTM Funnel'!K28</f>
        <v>25000</v>
      </c>
      <c r="L16" s="54" t="n">
        <f aca="false">(Assumptions!$J$103+Assumptions!$J$77*(('GTM Funnel'!L27=Assumptions!$J$13)+('GTM Funnel'!L27=Assumptions!$J$14)+('GTM Funnel'!L27=Assumptions!$J$15)))*'GTM Funnel'!L28</f>
        <v>25000</v>
      </c>
      <c r="M16" s="54" t="n">
        <f aca="false">(Assumptions!$J$103+Assumptions!$J$77*(('GTM Funnel'!M27=Assumptions!$J$13)+('GTM Funnel'!M27=Assumptions!$J$14)+('GTM Funnel'!M27=Assumptions!$J$15)))*'GTM Funnel'!M28</f>
        <v>25000</v>
      </c>
      <c r="N16" s="54" t="n">
        <f aca="false">(Assumptions!$J$103+Assumptions!$J$77*(('GTM Funnel'!N27=Assumptions!$J$13)+('GTM Funnel'!N27=Assumptions!$J$14)+('GTM Funnel'!N27=Assumptions!$J$15)))*'GTM Funnel'!N28</f>
        <v>25000</v>
      </c>
      <c r="P16" s="55" t="n">
        <f aca="false">SUM(C16:F16)</f>
        <v>140000</v>
      </c>
      <c r="Q16" s="55" t="n">
        <f aca="false">SUM(G16:J16)</f>
        <v>180000</v>
      </c>
      <c r="R16" s="55" t="n">
        <f aca="false">SUM(K16:N16)</f>
        <v>100000</v>
      </c>
      <c r="S16" s="56" t="n">
        <f aca="false">SUM(P16:R16)</f>
        <v>420000</v>
      </c>
    </row>
    <row r="17" customFormat="false" ht="15" hidden="false" customHeight="false" outlineLevel="0" collapsed="false">
      <c r="A17" s="4" t="s">
        <v>559</v>
      </c>
      <c r="B17" s="36" t="s">
        <v>125</v>
      </c>
      <c r="C17" s="54" t="n">
        <f aca="false">'Revenue Model'!C14*'GTM Funnel'!C62*Assumptions!$J$79</f>
        <v>0</v>
      </c>
      <c r="D17" s="54" t="n">
        <f aca="false">'Revenue Model'!D14*'GTM Funnel'!D62*Assumptions!$J$79</f>
        <v>815.338873355417</v>
      </c>
      <c r="E17" s="54" t="n">
        <f aca="false">'Revenue Model'!E14*'GTM Funnel'!E62*Assumptions!$J$79</f>
        <v>1576.95453714349</v>
      </c>
      <c r="F17" s="54" t="n">
        <f aca="false">'Revenue Model'!F14*'GTM Funnel'!F62*Assumptions!$J$79</f>
        <v>2363.78759030579</v>
      </c>
      <c r="G17" s="54" t="n">
        <f aca="false">'Revenue Model'!G14*'GTM Funnel'!G62*Assumptions!$J$79</f>
        <v>2961.23316349717</v>
      </c>
      <c r="H17" s="54" t="n">
        <f aca="false">'Revenue Model'!H14*'GTM Funnel'!H62*Assumptions!$J$79</f>
        <v>3401.8566535345</v>
      </c>
      <c r="I17" s="54" t="n">
        <f aca="false">'Revenue Model'!I14*'GTM Funnel'!I62*Assumptions!$J$79</f>
        <v>3951.44098442022</v>
      </c>
      <c r="J17" s="54" t="n">
        <f aca="false">'Revenue Model'!J14*'GTM Funnel'!J62*Assumptions!$J$79</f>
        <v>4240.17604272452</v>
      </c>
      <c r="K17" s="54" t="n">
        <f aca="false">'Revenue Model'!K14*'GTM Funnel'!K62*Assumptions!$J$79</f>
        <v>4805.46240923336</v>
      </c>
      <c r="L17" s="54" t="n">
        <f aca="false">'Revenue Model'!L14*'GTM Funnel'!L62*Assumptions!$J$79</f>
        <v>5627.63185752923</v>
      </c>
      <c r="M17" s="54" t="n">
        <f aca="false">'Revenue Model'!M14*'GTM Funnel'!M62*Assumptions!$J$79</f>
        <v>5687.10015383768</v>
      </c>
      <c r="N17" s="54" t="n">
        <f aca="false">'Revenue Model'!N14*'GTM Funnel'!N62*Assumptions!$J$79</f>
        <v>5685.06198652904</v>
      </c>
      <c r="P17" s="55" t="n">
        <f aca="false">SUM(C17:F17)</f>
        <v>4756.0810008047</v>
      </c>
      <c r="Q17" s="55" t="n">
        <f aca="false">SUM(G17:J17)</f>
        <v>14554.7068441764</v>
      </c>
      <c r="R17" s="55" t="n">
        <f aca="false">SUM(K17:N17)</f>
        <v>21805.2564071293</v>
      </c>
      <c r="S17" s="56" t="n">
        <f aca="false">SUM(P17:R17)</f>
        <v>41116.0442521104</v>
      </c>
    </row>
    <row r="18" customFormat="false" ht="15" hidden="false" customHeight="false" outlineLevel="0" collapsed="false">
      <c r="A18" s="4" t="s">
        <v>560</v>
      </c>
      <c r="B18" s="36" t="s">
        <v>125</v>
      </c>
      <c r="C18" s="54" t="n">
        <f aca="false">'GTM Funnel'!C47*Assumptions!$J$80</f>
        <v>4000</v>
      </c>
      <c r="D18" s="54" t="n">
        <f aca="false">'GTM Funnel'!D47*Assumptions!$J$80</f>
        <v>6000</v>
      </c>
      <c r="E18" s="54" t="n">
        <f aca="false">'GTM Funnel'!E47*Assumptions!$J$80</f>
        <v>8000</v>
      </c>
      <c r="F18" s="54" t="n">
        <f aca="false">'GTM Funnel'!F47*Assumptions!$J$80</f>
        <v>10000</v>
      </c>
      <c r="G18" s="54" t="n">
        <f aca="false">'GTM Funnel'!G47*Assumptions!$J$80</f>
        <v>12000</v>
      </c>
      <c r="H18" s="54" t="n">
        <f aca="false">'GTM Funnel'!H47*Assumptions!$J$80</f>
        <v>14000</v>
      </c>
      <c r="I18" s="54" t="n">
        <f aca="false">'GTM Funnel'!I47*Assumptions!$J$80</f>
        <v>16000</v>
      </c>
      <c r="J18" s="54" t="n">
        <f aca="false">'GTM Funnel'!J47*Assumptions!$J$80</f>
        <v>18000</v>
      </c>
      <c r="K18" s="54" t="n">
        <f aca="false">'GTM Funnel'!K47*Assumptions!$J$80</f>
        <v>20000</v>
      </c>
      <c r="L18" s="54" t="n">
        <f aca="false">'GTM Funnel'!L47*Assumptions!$J$80</f>
        <v>20000</v>
      </c>
      <c r="M18" s="54" t="n">
        <f aca="false">'GTM Funnel'!M47*Assumptions!$J$80</f>
        <v>20000</v>
      </c>
      <c r="N18" s="54" t="n">
        <f aca="false">'GTM Funnel'!N47*Assumptions!$J$80</f>
        <v>20000</v>
      </c>
      <c r="P18" s="55" t="n">
        <f aca="false">SUM(C18:F18)</f>
        <v>28000</v>
      </c>
      <c r="Q18" s="55" t="n">
        <f aca="false">SUM(G18:J18)</f>
        <v>60000</v>
      </c>
      <c r="R18" s="55" t="n">
        <f aca="false">SUM(K18:N18)</f>
        <v>80000</v>
      </c>
      <c r="S18" s="56" t="n">
        <f aca="false">SUM(P18:R18)</f>
        <v>168000</v>
      </c>
    </row>
    <row r="19" customFormat="false" ht="15" hidden="false" customHeight="false" outlineLevel="0" collapsed="false">
      <c r="A19" s="4" t="s">
        <v>561</v>
      </c>
      <c r="B19" s="36" t="s">
        <v>125</v>
      </c>
      <c r="C19" s="54" t="n">
        <f aca="false">('GTM Funnel'!C70*'GTM Funnel'!$C$19+'GTM Funnel'!C71*'GTM Funnel'!$C$20)*Assumptions!$J$81</f>
        <v>0</v>
      </c>
      <c r="D19" s="54" t="n">
        <f aca="false">('GTM Funnel'!D70*'GTM Funnel'!$C$19+'GTM Funnel'!D71*'GTM Funnel'!$C$20)*Assumptions!$J$81</f>
        <v>635.937968364564</v>
      </c>
      <c r="E19" s="54" t="n">
        <f aca="false">('GTM Funnel'!E70*'GTM Funnel'!$C$19+'GTM Funnel'!E71*'GTM Funnel'!$C$20)*Assumptions!$J$81</f>
        <v>1750.54055351793</v>
      </c>
      <c r="F19" s="54" t="n">
        <f aca="false">('GTM Funnel'!F70*'GTM Funnel'!$C$19+'GTM Funnel'!F71*'GTM Funnel'!$C$20)*Assumptions!$J$81</f>
        <v>2334.90810210795</v>
      </c>
      <c r="G19" s="54" t="n">
        <f aca="false">('GTM Funnel'!G70*'GTM Funnel'!$C$19+'GTM Funnel'!G71*'GTM Funnel'!$C$20)*Assumptions!$J$81</f>
        <v>2567.01977128764</v>
      </c>
      <c r="H19" s="54" t="n">
        <f aca="false">('GTM Funnel'!H70*'GTM Funnel'!$C$19+'GTM Funnel'!H71*'GTM Funnel'!$C$20)*Assumptions!$J$81</f>
        <v>3030.96924471942</v>
      </c>
      <c r="I19" s="54" t="n">
        <f aca="false">('GTM Funnel'!I70*'GTM Funnel'!$C$19+'GTM Funnel'!I71*'GTM Funnel'!$C$20)*Assumptions!$J$81</f>
        <v>3599.72954781419</v>
      </c>
      <c r="J19" s="54" t="n">
        <f aca="false">('GTM Funnel'!J70*'GTM Funnel'!$C$19+'GTM Funnel'!J71*'GTM Funnel'!$C$20)*Assumptions!$J$81</f>
        <v>4611.5696968051</v>
      </c>
      <c r="K19" s="54" t="n">
        <f aca="false">('GTM Funnel'!K70*'GTM Funnel'!$C$19+'GTM Funnel'!K71*'GTM Funnel'!$C$20)*Assumptions!$J$81</f>
        <v>5939.56455642065</v>
      </c>
      <c r="L19" s="54" t="n">
        <f aca="false">('GTM Funnel'!L70*'GTM Funnel'!$C$19+'GTM Funnel'!L71*'GTM Funnel'!$C$20)*Assumptions!$J$81</f>
        <v>6537.87185823684</v>
      </c>
      <c r="M19" s="54" t="n">
        <f aca="false">('GTM Funnel'!M70*'GTM Funnel'!$C$19+'GTM Funnel'!M71*'GTM Funnel'!$C$20)*Assumptions!$J$81</f>
        <v>6455.63010570383</v>
      </c>
      <c r="N19" s="54" t="n">
        <f aca="false">('GTM Funnel'!N70*'GTM Funnel'!$C$19+'GTM Funnel'!N71*'GTM Funnel'!$C$20)*Assumptions!$J$81</f>
        <v>6268.61318404599</v>
      </c>
      <c r="P19" s="55" t="n">
        <f aca="false">SUM(C19:F19)</f>
        <v>4721.38662399044</v>
      </c>
      <c r="Q19" s="55" t="n">
        <f aca="false">SUM(G19:J19)</f>
        <v>13809.2882606264</v>
      </c>
      <c r="R19" s="55" t="n">
        <f aca="false">SUM(K19:N19)</f>
        <v>25201.6797044073</v>
      </c>
      <c r="S19" s="56" t="n">
        <f aca="false">SUM(P19:R19)</f>
        <v>43732.3545890241</v>
      </c>
    </row>
    <row r="20" customFormat="false" ht="15" hidden="false" customHeight="false" outlineLevel="0" collapsed="false">
      <c r="A20" s="9" t="s">
        <v>562</v>
      </c>
      <c r="B20" s="36" t="s">
        <v>125</v>
      </c>
      <c r="C20" s="55" t="n">
        <f aca="false">C12+C13+C14+C15+C16+C17+C18+C19</f>
        <v>154229.464285714</v>
      </c>
      <c r="D20" s="55" t="n">
        <f aca="false">D12+D13+D14+D15+D16+D17+D18+D19</f>
        <v>121172.463189242</v>
      </c>
      <c r="E20" s="55" t="n">
        <f aca="false">E12+E13+E14+E15+E16+E17+E18+E19</f>
        <v>129596.055895122</v>
      </c>
      <c r="F20" s="55" t="n">
        <f aca="false">F12+F13+F14+F15+F16+F17+F18+F19</f>
        <v>135052.909981589</v>
      </c>
      <c r="G20" s="55" t="n">
        <f aca="false">G12+G13+G14+G15+G16+G17+G18+G19</f>
        <v>212254.95919925</v>
      </c>
      <c r="H20" s="55" t="n">
        <f aca="false">H12+H13+H14+H15+H16+H17+H18+H19</f>
        <v>177502.111632148</v>
      </c>
      <c r="I20" s="55" t="n">
        <f aca="false">I12+I13+I14+I15+I16+I17+I18+I19</f>
        <v>223229.636966557</v>
      </c>
      <c r="J20" s="55" t="n">
        <f aca="false">J12+J13+J14+J15+J16+J17+J18+J19</f>
        <v>192017.891511833</v>
      </c>
      <c r="K20" s="55" t="n">
        <f aca="false">K12+K13+K14+K15+K16+K17+K18+K19</f>
        <v>202159.886433897</v>
      </c>
      <c r="L20" s="55" t="n">
        <f aca="false">L12+L13+L14+L15+L16+L17+L18+L19</f>
        <v>205507.337468812</v>
      </c>
      <c r="M20" s="55" t="n">
        <f aca="false">M12+M13+M14+M15+M16+M17+M18+M19</f>
        <v>204950.361793636</v>
      </c>
      <c r="N20" s="55" t="n">
        <f aca="false">N12+N13+N14+N15+N16+N17+N18+N19</f>
        <v>203920.595824442</v>
      </c>
      <c r="P20" s="55" t="n">
        <f aca="false">SUM(C20:F20)</f>
        <v>540050.893351667</v>
      </c>
      <c r="Q20" s="55" t="n">
        <f aca="false">SUM(G20:J20)</f>
        <v>805004.599309788</v>
      </c>
      <c r="R20" s="55" t="n">
        <f aca="false">SUM(K20:N20)</f>
        <v>816538.181520787</v>
      </c>
      <c r="S20" s="56" t="n">
        <f aca="false">SUM(P20:R20)</f>
        <v>2161593.67418224</v>
      </c>
    </row>
    <row r="21" customFormat="false" ht="15" hidden="false" customHeight="false" outlineLevel="0" collapsed="false">
      <c r="A21" s="4" t="s">
        <v>563</v>
      </c>
      <c r="B21" s="36" t="s">
        <v>125</v>
      </c>
      <c r="C21" s="54" t="n">
        <f aca="false">C9*Assumptions!$J$72/Assumptions!$J$69/4</f>
        <v>56535.7142857143</v>
      </c>
      <c r="D21" s="54" t="n">
        <f aca="false">D9*Assumptions!$J$72/Assumptions!$J$69/4</f>
        <v>56535.7142857143</v>
      </c>
      <c r="E21" s="54" t="n">
        <f aca="false">E9*Assumptions!$J$72/Assumptions!$J$69/4</f>
        <v>56535.7142857143</v>
      </c>
      <c r="F21" s="54" t="n">
        <f aca="false">F9*Assumptions!$J$72/Assumptions!$J$69/4</f>
        <v>56535.7142857143</v>
      </c>
      <c r="G21" s="54" t="n">
        <f aca="false">G9*Assumptions!$J$72/Assumptions!$J$69/4</f>
        <v>28267.8571428571</v>
      </c>
      <c r="H21" s="54" t="n">
        <f aca="false">H9*Assumptions!$J$72/Assumptions!$J$69/4</f>
        <v>28267.8571428571</v>
      </c>
      <c r="I21" s="54" t="n">
        <f aca="false">I9*Assumptions!$J$72/Assumptions!$J$69/4</f>
        <v>28267.8571428571</v>
      </c>
      <c r="J21" s="54" t="n">
        <f aca="false">J9*Assumptions!$J$72/Assumptions!$J$69/4</f>
        <v>28267.8571428571</v>
      </c>
      <c r="K21" s="54" t="n">
        <f aca="false">K9*Assumptions!$J$72/Assumptions!$J$69/4</f>
        <v>28267.8571428571</v>
      </c>
      <c r="L21" s="54" t="n">
        <f aca="false">L9*Assumptions!$J$72/Assumptions!$J$69/4</f>
        <v>28267.8571428571</v>
      </c>
      <c r="M21" s="54" t="n">
        <f aca="false">M9*Assumptions!$J$72/Assumptions!$J$69/4</f>
        <v>28267.8571428571</v>
      </c>
      <c r="N21" s="54" t="n">
        <f aca="false">N9*Assumptions!$J$72/Assumptions!$J$69/4</f>
        <v>28267.8571428571</v>
      </c>
      <c r="P21" s="55" t="n">
        <f aca="false">SUM(C21:F21)</f>
        <v>226142.857142857</v>
      </c>
      <c r="Q21" s="55" t="n">
        <f aca="false">SUM(G21:J21)</f>
        <v>113071.428571429</v>
      </c>
      <c r="R21" s="55" t="n">
        <f aca="false">SUM(K21:N21)</f>
        <v>113071.428571429</v>
      </c>
      <c r="S21" s="56" t="n">
        <f aca="false">SUM(P21:R21)</f>
        <v>452285.714285714</v>
      </c>
    </row>
    <row r="22" customFormat="false" ht="15" hidden="false" customHeight="false" outlineLevel="0" collapsed="false">
      <c r="A22" s="4" t="s">
        <v>564</v>
      </c>
      <c r="B22" s="36" t="s">
        <v>125</v>
      </c>
      <c r="C22" s="54" t="n">
        <f aca="false">IF('GTM Funnel'!C27&lt;=Assumptions!$J$83,Assumptions!$J$82*Assumptions!$J$108/Assumptions!$J$83,0)</f>
        <v>62500</v>
      </c>
      <c r="D22" s="54" t="n">
        <f aca="false">IF('GTM Funnel'!D27&lt;=Assumptions!$J$83,Assumptions!$J$82*Assumptions!$J$108/Assumptions!$J$83,0)</f>
        <v>62500</v>
      </c>
      <c r="E22" s="54" t="n">
        <f aca="false">IF('GTM Funnel'!E27&lt;=Assumptions!$J$83,Assumptions!$J$82*Assumptions!$J$108/Assumptions!$J$83,0)</f>
        <v>62500</v>
      </c>
      <c r="F22" s="54" t="n">
        <f aca="false">IF('GTM Funnel'!F27&lt;=Assumptions!$J$83,Assumptions!$J$82*Assumptions!$J$108/Assumptions!$J$83,0)</f>
        <v>62500</v>
      </c>
      <c r="G22" s="54" t="n">
        <f aca="false">IF('GTM Funnel'!G27&lt;=Assumptions!$J$83,Assumptions!$J$82*Assumptions!$J$108/Assumptions!$J$83,0)</f>
        <v>0</v>
      </c>
      <c r="H22" s="54" t="n">
        <f aca="false">IF('GTM Funnel'!H27&lt;=Assumptions!$J$83,Assumptions!$J$82*Assumptions!$J$108/Assumptions!$J$83,0)</f>
        <v>0</v>
      </c>
      <c r="I22" s="54" t="n">
        <f aca="false">IF('GTM Funnel'!I27&lt;=Assumptions!$J$83,Assumptions!$J$82*Assumptions!$J$108/Assumptions!$J$83,0)</f>
        <v>0</v>
      </c>
      <c r="J22" s="54" t="n">
        <f aca="false">IF('GTM Funnel'!J27&lt;=Assumptions!$J$83,Assumptions!$J$82*Assumptions!$J$108/Assumptions!$J$83,0)</f>
        <v>0</v>
      </c>
      <c r="K22" s="54" t="n">
        <f aca="false">IF('GTM Funnel'!K27&lt;=Assumptions!$J$83,Assumptions!$J$82*Assumptions!$J$108/Assumptions!$J$83,0)</f>
        <v>0</v>
      </c>
      <c r="L22" s="54" t="n">
        <f aca="false">IF('GTM Funnel'!L27&lt;=Assumptions!$J$83,Assumptions!$J$82*Assumptions!$J$108/Assumptions!$J$83,0)</f>
        <v>0</v>
      </c>
      <c r="M22" s="54" t="n">
        <f aca="false">IF('GTM Funnel'!M27&lt;=Assumptions!$J$83,Assumptions!$J$82*Assumptions!$J$108/Assumptions!$J$83,0)</f>
        <v>0</v>
      </c>
      <c r="N22" s="54" t="n">
        <f aca="false">IF('GTM Funnel'!N27&lt;=Assumptions!$J$83,Assumptions!$J$82*Assumptions!$J$108/Assumptions!$J$83,0)</f>
        <v>0</v>
      </c>
      <c r="P22" s="55" t="n">
        <f aca="false">SUM(C22:F22)</f>
        <v>250000</v>
      </c>
      <c r="Q22" s="55" t="n">
        <f aca="false">SUM(G22:J22)</f>
        <v>0</v>
      </c>
      <c r="R22" s="55" t="n">
        <f aca="false">SUM(K22:N22)</f>
        <v>0</v>
      </c>
      <c r="S22" s="56" t="n">
        <f aca="false">SUM(P22:R22)</f>
        <v>250000</v>
      </c>
    </row>
    <row r="23" customFormat="false" ht="15" hidden="false" customHeight="false" outlineLevel="0" collapsed="false">
      <c r="A23" s="4" t="s">
        <v>565</v>
      </c>
      <c r="B23" s="36" t="s">
        <v>125</v>
      </c>
      <c r="C23" s="54" t="n">
        <f aca="false">C11*Assumptions!$J$73/Assumptions!$J$69/4</f>
        <v>0</v>
      </c>
      <c r="D23" s="54" t="n">
        <f aca="false">D11*Assumptions!$J$73/Assumptions!$J$69/4</f>
        <v>575.3130595573</v>
      </c>
      <c r="E23" s="54" t="n">
        <f aca="false">E11*Assumptions!$J$73/Assumptions!$J$69/4</f>
        <v>1617.32906717661</v>
      </c>
      <c r="F23" s="54" t="n">
        <f aca="false">F11*Assumptions!$J$73/Assumptions!$J$69/4</f>
        <v>2784.46806400723</v>
      </c>
      <c r="G23" s="54" t="n">
        <f aca="false">G11*Assumptions!$J$73/Assumptions!$J$69/4</f>
        <v>4037.30390559473</v>
      </c>
      <c r="H23" s="54" t="n">
        <f aca="false">H11*Assumptions!$J$73/Assumptions!$J$69/4</f>
        <v>5588.71900339185</v>
      </c>
      <c r="I23" s="54" t="n">
        <f aca="false">I11*Assumptions!$J$73/Assumptions!$J$69/4</f>
        <v>7423.89520049251</v>
      </c>
      <c r="J23" s="54" t="n">
        <f aca="false">J11*Assumptions!$J$73/Assumptions!$J$69/4</f>
        <v>9984.21295072483</v>
      </c>
      <c r="K23" s="54" t="n">
        <f aca="false">K11*Assumptions!$J$73/Assumptions!$J$69/4</f>
        <v>13228.7197241336</v>
      </c>
      <c r="L23" s="54" t="n">
        <f aca="false">L11*Assumptions!$J$73/Assumptions!$J$69/4</f>
        <v>16471.1613499398</v>
      </c>
      <c r="M23" s="54" t="n">
        <f aca="false">M11*Assumptions!$J$73/Assumptions!$J$69/4</f>
        <v>19532.3193424529</v>
      </c>
      <c r="N23" s="54" t="n">
        <f aca="false">N11*Assumptions!$J$73/Assumptions!$J$69/4</f>
        <v>22411.7337529877</v>
      </c>
      <c r="P23" s="55" t="n">
        <f aca="false">SUM(C23:F23)</f>
        <v>4977.11019074114</v>
      </c>
      <c r="Q23" s="55" t="n">
        <f aca="false">SUM(G23:J23)</f>
        <v>27034.1310602039</v>
      </c>
      <c r="R23" s="55" t="n">
        <f aca="false">SUM(K23:N23)</f>
        <v>71643.934169514</v>
      </c>
      <c r="S23" s="56" t="n">
        <f aca="false">SUM(P23:R23)</f>
        <v>103655.175420459</v>
      </c>
    </row>
    <row r="24" customFormat="false" ht="15" hidden="false" customHeight="false" outlineLevel="0" collapsed="false">
      <c r="A24" s="9" t="s">
        <v>566</v>
      </c>
      <c r="B24" s="36" t="s">
        <v>125</v>
      </c>
      <c r="C24" s="55" t="n">
        <f aca="false">C20+C21+C22+C23</f>
        <v>273265.178571429</v>
      </c>
      <c r="D24" s="55" t="n">
        <f aca="false">D20+D21+D22+D23</f>
        <v>240783.490534514</v>
      </c>
      <c r="E24" s="55" t="n">
        <f aca="false">E20+E21+E22+E23</f>
        <v>250249.099248013</v>
      </c>
      <c r="F24" s="55" t="n">
        <f aca="false">F20+F21+F22+F23</f>
        <v>256873.092331311</v>
      </c>
      <c r="G24" s="55" t="n">
        <f aca="false">G20+G21+G22+G23</f>
        <v>244560.120247702</v>
      </c>
      <c r="H24" s="55" t="n">
        <f aca="false">H20+H21+H22+H23</f>
        <v>211358.687778397</v>
      </c>
      <c r="I24" s="55" t="n">
        <f aca="false">I20+I21+I22+I23</f>
        <v>258921.389309906</v>
      </c>
      <c r="J24" s="55" t="n">
        <f aca="false">J20+J21+J22+J23</f>
        <v>230269.961605415</v>
      </c>
      <c r="K24" s="55" t="n">
        <f aca="false">K20+K21+K22+K23</f>
        <v>243656.463300888</v>
      </c>
      <c r="L24" s="55" t="n">
        <f aca="false">L20+L21+L22+L23</f>
        <v>250246.355961609</v>
      </c>
      <c r="M24" s="55" t="n">
        <f aca="false">M20+M21+M22+M23</f>
        <v>252750.538278946</v>
      </c>
      <c r="N24" s="55" t="n">
        <f aca="false">N20+N21+N22+N23</f>
        <v>254600.186720287</v>
      </c>
      <c r="P24" s="55" t="n">
        <f aca="false">SUM(C24:F24)</f>
        <v>1021170.86068527</v>
      </c>
      <c r="Q24" s="55" t="n">
        <f aca="false">SUM(G24:J24)</f>
        <v>945110.158941421</v>
      </c>
      <c r="R24" s="55" t="n">
        <f aca="false">SUM(K24:N24)</f>
        <v>1001253.54426173</v>
      </c>
      <c r="S24" s="56" t="n">
        <f aca="false">SUM(P24:R24)</f>
        <v>2967534.56388842</v>
      </c>
    </row>
    <row r="25" customFormat="false" ht="15" hidden="false" customHeight="false" outlineLevel="0" collapsed="false">
      <c r="A25" s="35" t="s">
        <v>567</v>
      </c>
      <c r="B25" s="35" t="s">
        <v>444</v>
      </c>
      <c r="C25" s="6" t="s">
        <v>354</v>
      </c>
      <c r="D25" s="6" t="s">
        <v>355</v>
      </c>
      <c r="E25" s="6" t="s">
        <v>356</v>
      </c>
      <c r="F25" s="6" t="s">
        <v>357</v>
      </c>
      <c r="G25" s="6" t="s">
        <v>358</v>
      </c>
      <c r="H25" s="6" t="s">
        <v>359</v>
      </c>
      <c r="I25" s="6" t="s">
        <v>360</v>
      </c>
      <c r="J25" s="6" t="s">
        <v>361</v>
      </c>
      <c r="K25" s="6" t="s">
        <v>362</v>
      </c>
      <c r="L25" s="6" t="s">
        <v>363</v>
      </c>
      <c r="M25" s="6" t="s">
        <v>364</v>
      </c>
      <c r="N25" s="6" t="s">
        <v>365</v>
      </c>
      <c r="P25" s="6" t="s">
        <v>445</v>
      </c>
      <c r="Q25" s="6" t="s">
        <v>446</v>
      </c>
      <c r="R25" s="6" t="s">
        <v>447</v>
      </c>
      <c r="S25" s="6" t="s">
        <v>448</v>
      </c>
    </row>
    <row r="26" customFormat="false" ht="15" hidden="false" customHeight="false" outlineLevel="0" collapsed="false">
      <c r="A26" s="9" t="s">
        <v>568</v>
      </c>
      <c r="B26" s="36" t="s">
        <v>125</v>
      </c>
      <c r="C26" s="55" t="n">
        <f aca="false">'Revenue Model'!C16-C24</f>
        <v>-273265.178571429</v>
      </c>
      <c r="D26" s="55" t="n">
        <f aca="false">'Revenue Model'!D16-D24</f>
        <v>-240062.280337795</v>
      </c>
      <c r="E26" s="55" t="n">
        <f aca="false">'Revenue Model'!E16-E24</f>
        <v>-247207.646379802</v>
      </c>
      <c r="F26" s="55" t="n">
        <f aca="false">'Revenue Model'!F16-F24</f>
        <v>-250228.802278658</v>
      </c>
      <c r="G26" s="55" t="n">
        <f aca="false">'Revenue Model'!G16-G24</f>
        <v>-233682.323682823</v>
      </c>
      <c r="H26" s="55" t="n">
        <f aca="false">'Revenue Model'!H16-H24</f>
        <v>-195510.166063918</v>
      </c>
      <c r="I26" s="55" t="n">
        <f aca="false">'Revenue Model'!I16-I24</f>
        <v>-237031.394824393</v>
      </c>
      <c r="J26" s="55" t="n">
        <f aca="false">'Revenue Model'!J16-J24</f>
        <v>-200597.728717241</v>
      </c>
      <c r="K26" s="55" t="n">
        <f aca="false">'Revenue Model'!K16-K24</f>
        <v>-203711.192707385</v>
      </c>
      <c r="L26" s="55" t="n">
        <f aca="false">'Revenue Model'!L16-L24</f>
        <v>-198295.888226011</v>
      </c>
      <c r="M26" s="55" t="n">
        <f aca="false">'Revenue Model'!M16-M24</f>
        <v>-188390.340352126</v>
      </c>
      <c r="N26" s="55" t="n">
        <f aca="false">'Revenue Model'!N16-N24</f>
        <v>-177916.162821988</v>
      </c>
      <c r="P26" s="55" t="n">
        <f aca="false">SUM(C26:F26)</f>
        <v>-1010763.90756768</v>
      </c>
      <c r="Q26" s="55" t="n">
        <f aca="false">SUM(G26:J26)</f>
        <v>-866821.613288375</v>
      </c>
      <c r="R26" s="55" t="n">
        <f aca="false">SUM(K26:N26)</f>
        <v>-768313.58410751</v>
      </c>
      <c r="S26" s="56" t="n">
        <f aca="false">SUM(P26:R26)</f>
        <v>-2645899.10496357</v>
      </c>
    </row>
    <row r="27" customFormat="false" ht="15" hidden="false" customHeight="false" outlineLevel="0" collapsed="false">
      <c r="A27" s="9" t="s">
        <v>569</v>
      </c>
      <c r="B27" s="36" t="s">
        <v>125</v>
      </c>
      <c r="C27" s="55" t="n">
        <f aca="false">0+C26</f>
        <v>-273265.178571429</v>
      </c>
      <c r="D27" s="55" t="n">
        <f aca="false">C27+D26</f>
        <v>-513327.458909223</v>
      </c>
      <c r="E27" s="55" t="n">
        <f aca="false">D27+E26</f>
        <v>-760535.105289025</v>
      </c>
      <c r="F27" s="55" t="n">
        <f aca="false">E27+F26</f>
        <v>-1010763.90756768</v>
      </c>
      <c r="G27" s="55" t="n">
        <f aca="false">F27+G26</f>
        <v>-1244446.23125051</v>
      </c>
      <c r="H27" s="55" t="n">
        <f aca="false">G27+H26</f>
        <v>-1439956.39731442</v>
      </c>
      <c r="I27" s="55" t="n">
        <f aca="false">H27+I26</f>
        <v>-1676987.79213882</v>
      </c>
      <c r="J27" s="55" t="n">
        <f aca="false">I27+J26</f>
        <v>-1877585.52085606</v>
      </c>
      <c r="K27" s="55" t="n">
        <f aca="false">J27+K26</f>
        <v>-2081296.71356344</v>
      </c>
      <c r="L27" s="55" t="n">
        <f aca="false">K27+L26</f>
        <v>-2279592.60178945</v>
      </c>
      <c r="M27" s="55" t="n">
        <f aca="false">L27+M26</f>
        <v>-2467982.94214158</v>
      </c>
      <c r="N27" s="55" t="n">
        <f aca="false">M27+N26</f>
        <v>-2645899.10496357</v>
      </c>
      <c r="P27" s="55" t="n">
        <f aca="false">F27</f>
        <v>-1010763.90756768</v>
      </c>
      <c r="Q27" s="55" t="n">
        <f aca="false">J27</f>
        <v>-1877585.52085606</v>
      </c>
      <c r="R27" s="55" t="n">
        <f aca="false">N27</f>
        <v>-2645899.10496357</v>
      </c>
      <c r="S27" s="56" t="n">
        <f aca="false">R27</f>
        <v>-2645899.10496357</v>
      </c>
    </row>
    <row r="28" customFormat="false" ht="15" hidden="false" customHeight="false" outlineLevel="0" collapsed="false">
      <c r="A28" s="4" t="s">
        <v>570</v>
      </c>
      <c r="B28" s="36" t="s">
        <v>107</v>
      </c>
      <c r="C28" s="57" t="n">
        <f aca="false">1/(1+Assumptions!$J$87)^('GTM Funnel'!C27/4)</f>
        <v>0.972065420906982</v>
      </c>
      <c r="D28" s="57" t="n">
        <f aca="false">1/(1+Assumptions!$J$87)^('GTM Funnel'!D27/4)</f>
        <v>0.944911182523068</v>
      </c>
      <c r="E28" s="57" t="n">
        <f aca="false">1/(1+Assumptions!$J$87)^('GTM Funnel'!E27/4)</f>
        <v>0.918515486359</v>
      </c>
      <c r="F28" s="57" t="n">
        <f aca="false">1/(1+Assumptions!$J$87)^('GTM Funnel'!F27/4)</f>
        <v>0.892857142857143</v>
      </c>
      <c r="G28" s="57" t="n">
        <f aca="false">1/(1+Assumptions!$J$87)^('GTM Funnel'!G27/4)</f>
        <v>0.867915554381234</v>
      </c>
      <c r="H28" s="57" t="n">
        <f aca="false">1/(1+Assumptions!$J$87)^('GTM Funnel'!H27/4)</f>
        <v>0.843670698681311</v>
      </c>
      <c r="I28" s="57" t="n">
        <f aca="false">1/(1+Assumptions!$J$87)^('GTM Funnel'!I27/4)</f>
        <v>0.820103112820536</v>
      </c>
      <c r="J28" s="57" t="n">
        <f aca="false">1/(1+Assumptions!$J$87)^('GTM Funnel'!J27/4)</f>
        <v>0.79719387755102</v>
      </c>
      <c r="K28" s="57" t="n">
        <f aca="false">1/(1+Assumptions!$J$87)^('GTM Funnel'!K27/4)</f>
        <v>0.774924602126102</v>
      </c>
      <c r="L28" s="57" t="n">
        <f aca="false">1/(1+Assumptions!$J$87)^('GTM Funnel'!L27/4)</f>
        <v>0.753277409536885</v>
      </c>
      <c r="M28" s="57" t="n">
        <f aca="false">1/(1+Assumptions!$J$87)^('GTM Funnel'!M27/4)</f>
        <v>0.732234922161193</v>
      </c>
      <c r="N28" s="57" t="n">
        <f aca="false">1/(1+Assumptions!$J$87)^('GTM Funnel'!N27/4)</f>
        <v>0.711780247813411</v>
      </c>
      <c r="P28" s="58"/>
      <c r="Q28" s="58"/>
      <c r="R28" s="58"/>
      <c r="S28" s="59"/>
    </row>
    <row r="29" customFormat="false" ht="15" hidden="false" customHeight="false" outlineLevel="0" collapsed="false">
      <c r="A29" s="4" t="s">
        <v>571</v>
      </c>
      <c r="B29" s="36" t="s">
        <v>125</v>
      </c>
      <c r="C29" s="54" t="n">
        <f aca="false">('Revenue Model'!C16*(1-Assumptions!$J$88)-C24)*C28</f>
        <v>-265631.630827257</v>
      </c>
      <c r="D29" s="54" t="n">
        <f aca="false">('Revenue Model'!D16*(1-Assumptions!$J$88)-D24)*D28</f>
        <v>-226973.829109136</v>
      </c>
      <c r="E29" s="54" t="n">
        <f aca="false">('Revenue Model'!E16*(1-Assumptions!$J$88)-E24)*E28</f>
        <v>-227622.775858304</v>
      </c>
      <c r="F29" s="54" t="n">
        <f aca="false">('Revenue Model'!F16*(1-Assumptions!$J$88)-F24)*F28</f>
        <v>-224605.053829633</v>
      </c>
      <c r="G29" s="54" t="n">
        <f aca="false">('Revenue Model'!G16*(1-Assumptions!$J$88)-G24)*G28</f>
        <v>-204704.725275483</v>
      </c>
      <c r="H29" s="54" t="n">
        <f aca="false">('Revenue Model'!H16*(1-Assumptions!$J$88)-H24)*H28</f>
        <v>-167620.385080029</v>
      </c>
      <c r="I29" s="54" t="n">
        <f aca="false">('Revenue Model'!I16*(1-Assumptions!$J$88)-I24)*I28</f>
        <v>-197980.595255117</v>
      </c>
      <c r="J29" s="54" t="n">
        <f aca="false">('Revenue Model'!J16*(1-Assumptions!$J$88)-J24)*J28</f>
        <v>-164646.185662369</v>
      </c>
      <c r="K29" s="54" t="n">
        <f aca="false">('Revenue Model'!K16*(1-Assumptions!$J$88)-K24)*K28</f>
        <v>-164051.729541702</v>
      </c>
      <c r="L29" s="54" t="n">
        <f aca="false">('Revenue Model'!L16*(1-Assumptions!$J$88)-L24)*L28</f>
        <v>-157198.435756725</v>
      </c>
      <c r="M29" s="54" t="n">
        <f aca="false">('Revenue Model'!M16*(1-Assumptions!$J$88)-M24)*M28</f>
        <v>-147371.343107504</v>
      </c>
      <c r="N29" s="54" t="n">
        <f aca="false">('Revenue Model'!N16*(1-Assumptions!$J$88)-N24)*N28</f>
        <v>-137553.645170178</v>
      </c>
      <c r="P29" s="55" t="n">
        <f aca="false">SUM(C29:F29)</f>
        <v>-944833.28962433</v>
      </c>
      <c r="Q29" s="55" t="n">
        <f aca="false">SUM(G29:J29)</f>
        <v>-734951.891272998</v>
      </c>
      <c r="R29" s="55" t="n">
        <f aca="false">SUM(K29:N29)</f>
        <v>-606175.153576109</v>
      </c>
      <c r="S29" s="56" t="n">
        <f aca="false">SUM(P29:R29)</f>
        <v>-2285960.33447344</v>
      </c>
    </row>
    <row r="30" customFormat="false" ht="15" hidden="false" customHeight="false" outlineLevel="0" collapsed="false">
      <c r="A30" s="4" t="s">
        <v>572</v>
      </c>
      <c r="B30" s="36" t="s">
        <v>125</v>
      </c>
      <c r="C30" s="54" t="n">
        <f aca="false">(C24-C23)*12/(Assumptions!$J$89*Assumptions!$J$76)*Assumptions!$J$90</f>
        <v>189183.585164835</v>
      </c>
      <c r="D30" s="54" t="n">
        <f aca="false">(D24-D23)*12/(Assumptions!$J$89*Assumptions!$J$76)*Assumptions!$J$90</f>
        <v>166297.969021124</v>
      </c>
      <c r="E30" s="54" t="n">
        <f aca="false">(E24-E23)*12/(Assumptions!$J$89*Assumptions!$J$76)*Assumptions!$J$90</f>
        <v>172129.687048271</v>
      </c>
      <c r="F30" s="54" t="n">
        <f aca="false">(F24-F23)*12/(Assumptions!$J$89*Assumptions!$J$76)*Assumptions!$J$90</f>
        <v>175907.509108133</v>
      </c>
      <c r="G30" s="54" t="n">
        <f aca="false">(G24-G23)*12/(Assumptions!$J$89*Assumptions!$J$76)*Assumptions!$J$90</f>
        <v>166515.795929151</v>
      </c>
      <c r="H30" s="54" t="n">
        <f aca="false">(H24-H23)*12/(Assumptions!$J$89*Assumptions!$J$76)*Assumptions!$J$90</f>
        <v>142456.13222885</v>
      </c>
      <c r="I30" s="54" t="n">
        <f aca="false">(I24-I23)*12/(Assumptions!$J$89*Assumptions!$J$76)*Assumptions!$J$90</f>
        <v>174113.649768056</v>
      </c>
      <c r="J30" s="54" t="n">
        <f aca="false">(J24-J23)*12/(Assumptions!$J$89*Assumptions!$J$76)*Assumptions!$J$90</f>
        <v>152505.518299401</v>
      </c>
      <c r="K30" s="54" t="n">
        <f aca="false">(K24-K23)*12/(Assumptions!$J$89*Assumptions!$J$76)*Assumptions!$J$90</f>
        <v>159526.899399291</v>
      </c>
      <c r="L30" s="54" t="n">
        <f aca="false">(L24-L23)*12/(Assumptions!$J$89*Assumptions!$J$76)*Assumptions!$J$90</f>
        <v>161844.365500386</v>
      </c>
      <c r="M30" s="54" t="n">
        <f aca="false">(M24-M23)*12/(Assumptions!$J$89*Assumptions!$J$76)*Assumptions!$J$90</f>
        <v>161458.766956034</v>
      </c>
      <c r="N30" s="54" t="n">
        <f aca="false">(N24-N23)*12/(Assumptions!$J$89*Assumptions!$J$76)*Assumptions!$J$90</f>
        <v>160745.852054284</v>
      </c>
      <c r="P30" s="55" t="n">
        <f aca="false">SUM(C30:F30)</f>
        <v>703518.750342363</v>
      </c>
      <c r="Q30" s="55" t="n">
        <f aca="false">SUM(G30:J30)</f>
        <v>635591.096225458</v>
      </c>
      <c r="R30" s="55" t="n">
        <f aca="false">SUM(K30:N30)</f>
        <v>643575.883909995</v>
      </c>
      <c r="S30" s="56" t="n">
        <f aca="false">SUM(P30:R30)</f>
        <v>1982685.73047782</v>
      </c>
    </row>
    <row r="31" customFormat="false" ht="15" hidden="false" customHeight="false" outlineLevel="0" collapsed="false">
      <c r="A31" s="4" t="s">
        <v>573</v>
      </c>
      <c r="B31" s="36" t="s">
        <v>125</v>
      </c>
      <c r="C31" s="54" t="n">
        <f aca="false">0*Assumptions!$J$92^(1/4)+C30</f>
        <v>189183.585164835</v>
      </c>
      <c r="D31" s="54" t="n">
        <f aca="false">C31*Assumptions!$J$92^(1/4)+D30</f>
        <v>355952.749828138</v>
      </c>
      <c r="E31" s="54" t="n">
        <f aca="false">D31*Assumptions!$J$92^(1/4)+E30</f>
        <v>528969.001027282</v>
      </c>
      <c r="F31" s="54" t="n">
        <f aca="false">E31*Assumptions!$J$92^(1/4)+F30</f>
        <v>706194.00228419</v>
      </c>
      <c r="G31" s="54" t="n">
        <f aca="false">F31*Assumptions!$J$92^(1/4)+G30</f>
        <v>874468.701006729</v>
      </c>
      <c r="H31" s="54" t="n">
        <f aca="false">G31*Assumptions!$J$92^(1/4)+H30</f>
        <v>1019102.8543402</v>
      </c>
      <c r="I31" s="54" t="n">
        <f aca="false">H31*Assumptions!$J$92^(1/4)+I30</f>
        <v>1195754.76250672</v>
      </c>
      <c r="J31" s="54" t="n">
        <f aca="false">I31*Assumptions!$J$92^(1/4)+J30</f>
        <v>1351238.5224581</v>
      </c>
      <c r="K31" s="54" t="n">
        <f aca="false">J31*Assumptions!$J$92^(1/4)+K30</f>
        <v>1514130.92369399</v>
      </c>
      <c r="L31" s="54" t="n">
        <f aca="false">K31*Assumptions!$J$92^(1/4)+L30</f>
        <v>1679746.5037652</v>
      </c>
      <c r="M31" s="54" t="n">
        <f aca="false">L31*Assumptions!$J$92^(1/4)+M30</f>
        <v>1845388.98059146</v>
      </c>
      <c r="N31" s="54" t="n">
        <f aca="false">M31*Assumptions!$J$92^(1/4)+N30</f>
        <v>2010731.10480658</v>
      </c>
      <c r="P31" s="55" t="n">
        <f aca="false">F31</f>
        <v>706194.00228419</v>
      </c>
      <c r="Q31" s="55" t="n">
        <f aca="false">J31</f>
        <v>1351238.5224581</v>
      </c>
      <c r="R31" s="55" t="n">
        <f aca="false">N31</f>
        <v>2010731.10480658</v>
      </c>
      <c r="S31" s="56" t="n">
        <f aca="false">R31</f>
        <v>2010731.10480658</v>
      </c>
    </row>
    <row r="32" customFormat="false" ht="15" hidden="false" customHeight="false" outlineLevel="0" collapsed="false">
      <c r="A32" s="4" t="s">
        <v>574</v>
      </c>
      <c r="B32" s="36" t="s">
        <v>125</v>
      </c>
      <c r="C32" s="54" t="n">
        <f aca="false">(0+C31)/8*Assumptions!$J$76-(C24-C23)-C31*Assumptions!$J$93/4</f>
        <v>-260258.807091346</v>
      </c>
      <c r="D32" s="54" t="n">
        <f aca="false">(C31+D31)/8*Assumptions!$J$76-(D24-D23)-D31*Assumptions!$J$93/4</f>
        <v>-200365.259629629</v>
      </c>
      <c r="E32" s="54" t="n">
        <f aca="false">(D31+E31)/8*Assumptions!$J$76-(E24-E23)-E31*Assumptions!$J$93/4</f>
        <v>-183343.990436674</v>
      </c>
      <c r="F32" s="54" t="n">
        <f aca="false">(E31+F31)/8*Assumptions!$J$76-(F24-F23)-F31*Assumptions!$J$93/4</f>
        <v>-162559.055276799</v>
      </c>
      <c r="G32" s="54" t="n">
        <f aca="false">(F31+G31)/8*Assumptions!$J$76-(G24-G23)-G31*Assumptions!$J$93/4</f>
        <v>-123024.830462304</v>
      </c>
      <c r="H32" s="54" t="n">
        <f aca="false">(G31+H31)/8*Assumptions!$J$76-(H24-H23)-H31*Assumptions!$J$93/4</f>
        <v>-64656.0655823201</v>
      </c>
      <c r="I32" s="54" t="n">
        <f aca="false">(H31+I31)/8*Assumptions!$J$76-(I24-I23)-I31*Assumptions!$J$93/4</f>
        <v>-86487.2472719356</v>
      </c>
      <c r="J32" s="54" t="n">
        <f aca="false">(I31+J31)/8*Assumptions!$J$76-(J24-J23)-J31*Assumptions!$J$93/4</f>
        <v>-30233.0257820242</v>
      </c>
      <c r="K32" s="54" t="n">
        <f aca="false">(J31+K31)/8*Assumptions!$J$76-(K24-K23)-K31*Assumptions!$J$93/4</f>
        <v>-16543.1126230714</v>
      </c>
      <c r="L32" s="54" t="n">
        <f aca="false">(K31+L31)/8*Assumptions!$J$76-(L24-L23)-L31*Assumptions!$J$93/4</f>
        <v>4730.51507232551</v>
      </c>
      <c r="M32" s="54" t="n">
        <f aca="false">(L31+M31)/8*Assumptions!$J$76-(M24-M23)-M31*Assumptions!$J$93/4</f>
        <v>30131.676910092</v>
      </c>
      <c r="N32" s="54" t="n">
        <f aca="false">(M31+N31)/8*Assumptions!$J$76-(N24-N23)-N31*Assumptions!$J$93/4</f>
        <v>55987.1651612092</v>
      </c>
      <c r="P32" s="55" t="n">
        <f aca="false">SUM(C32:F32)</f>
        <v>-806527.112434448</v>
      </c>
      <c r="Q32" s="55" t="n">
        <f aca="false">SUM(G32:J32)</f>
        <v>-304401.169098584</v>
      </c>
      <c r="R32" s="55" t="n">
        <f aca="false">SUM(K32:N32)</f>
        <v>74306.2445205553</v>
      </c>
      <c r="S32" s="56" t="n">
        <f aca="false">SUM(P32:R32)</f>
        <v>-1036622.03701248</v>
      </c>
    </row>
    <row r="33" customFormat="false" ht="15" hidden="false" customHeight="false" outlineLevel="0" collapsed="false">
      <c r="A33" s="4" t="s">
        <v>575</v>
      </c>
      <c r="B33" s="36" t="s">
        <v>125</v>
      </c>
      <c r="C33" s="54" t="n">
        <f aca="false">C32*C28</f>
        <v>-252988.586859998</v>
      </c>
      <c r="D33" s="54" t="n">
        <f aca="false">D32*D28</f>
        <v>-189327.374413174</v>
      </c>
      <c r="E33" s="54" t="n">
        <f aca="false">E32*E28</f>
        <v>-168404.294546942</v>
      </c>
      <c r="F33" s="54" t="n">
        <f aca="false">F32*F28</f>
        <v>-145142.013639999</v>
      </c>
      <c r="G33" s="54" t="n">
        <f aca="false">G32*G28</f>
        <v>-106775.163933348</v>
      </c>
      <c r="H33" s="54" t="n">
        <f aca="false">H32*H28</f>
        <v>-54548.4280238207</v>
      </c>
      <c r="I33" s="54" t="n">
        <f aca="false">I32*I28</f>
        <v>-70928.4607069938</v>
      </c>
      <c r="J33" s="54" t="n">
        <f aca="false">J32*J28</f>
        <v>-24101.5830532718</v>
      </c>
      <c r="K33" s="54" t="n">
        <f aca="false">K32*K28</f>
        <v>-12819.6649673609</v>
      </c>
      <c r="L33" s="54" t="n">
        <f aca="false">L32*L28</f>
        <v>3563.39013945655</v>
      </c>
      <c r="M33" s="54" t="n">
        <f aca="false">M32*M28</f>
        <v>22063.4660968474</v>
      </c>
      <c r="N33" s="54" t="n">
        <f aca="false">N32*N28</f>
        <v>39850.5582928159</v>
      </c>
      <c r="P33" s="55" t="n">
        <f aca="false">SUM(C33:F33)</f>
        <v>-755862.269460113</v>
      </c>
      <c r="Q33" s="55" t="n">
        <f aca="false">SUM(G33:J33)</f>
        <v>-256353.635717434</v>
      </c>
      <c r="R33" s="55" t="n">
        <f aca="false">SUM(K33:N33)</f>
        <v>52657.749561759</v>
      </c>
      <c r="S33" s="56" t="n">
        <f aca="false">SUM(P33:R33)</f>
        <v>-959558.155615789</v>
      </c>
    </row>
    <row r="34" customFormat="false" ht="15" hidden="false" customHeight="false" outlineLevel="0" collapsed="false">
      <c r="A34" s="4" t="s">
        <v>576</v>
      </c>
      <c r="B34" s="36"/>
      <c r="C34" s="37" t="n">
        <f aca="false">IFERROR(('GTM Funnel'!S69*'GTM Funnel'!$C$18*Assumptions!$J$59+'GTM Funnel'!S70*'GTM Funnel'!$C$19*Assumptions!$J$60+'GTM Funnel'!S71*'GTM Funnel'!$C$20*Assumptions!$J$61)/('GTM Funnel'!S69*'GTM Funnel'!$C$18+'GTM Funnel'!S70*'GTM Funnel'!$C$19+'GTM Funnel'!S71*'GTM Funnel'!$C$20),0.9)</f>
        <v>0.897372181179546</v>
      </c>
    </row>
    <row r="35" customFormat="false" ht="15" hidden="false" customHeight="false" outlineLevel="0" collapsed="false">
      <c r="A35" s="4" t="s">
        <v>577</v>
      </c>
      <c r="B35" s="36"/>
      <c r="C35" s="37" t="n">
        <f aca="false">IFERROR(N23*4/'Revenue Model'!N13,0)</f>
        <v>0.175911884278844</v>
      </c>
    </row>
    <row r="36" customFormat="false" ht="15" hidden="false" customHeight="false" outlineLevel="0" collapsed="false">
      <c r="A36" s="4" t="s">
        <v>578</v>
      </c>
      <c r="B36" s="36"/>
      <c r="C36" s="60" t="n">
        <f aca="false">$C$34/(1+Assumptions!$J$87)</f>
        <v>0.801225161767451</v>
      </c>
    </row>
    <row r="37" customFormat="false" ht="15" hidden="false" customHeight="false" outlineLevel="0" collapsed="false">
      <c r="A37" s="4" t="s">
        <v>579</v>
      </c>
      <c r="B37" s="36"/>
      <c r="C37" s="60" t="n">
        <f aca="false">Assumptions!$J$91/(1+Assumptions!$J$87)</f>
        <v>0.803571428571429</v>
      </c>
    </row>
    <row r="38" customFormat="false" ht="15" hidden="false" customHeight="false" outlineLevel="0" collapsed="false">
      <c r="A38" s="35" t="s">
        <v>580</v>
      </c>
      <c r="B38" s="35" t="s">
        <v>444</v>
      </c>
      <c r="C38" s="6" t="s">
        <v>354</v>
      </c>
      <c r="D38" s="6" t="s">
        <v>355</v>
      </c>
      <c r="E38" s="6" t="s">
        <v>356</v>
      </c>
      <c r="F38" s="6" t="s">
        <v>357</v>
      </c>
      <c r="G38" s="6" t="s">
        <v>358</v>
      </c>
      <c r="H38" s="6" t="s">
        <v>359</v>
      </c>
      <c r="I38" s="6" t="s">
        <v>360</v>
      </c>
      <c r="J38" s="6" t="s">
        <v>361</v>
      </c>
      <c r="K38" s="6" t="s">
        <v>362</v>
      </c>
      <c r="L38" s="6" t="s">
        <v>363</v>
      </c>
      <c r="M38" s="6" t="s">
        <v>364</v>
      </c>
      <c r="N38" s="6" t="s">
        <v>365</v>
      </c>
      <c r="P38" s="6" t="s">
        <v>445</v>
      </c>
      <c r="Q38" s="6" t="s">
        <v>446</v>
      </c>
      <c r="R38" s="6" t="s">
        <v>447</v>
      </c>
      <c r="S38" s="6" t="s">
        <v>448</v>
      </c>
    </row>
    <row r="39" customFormat="false" ht="15" hidden="false" customHeight="false" outlineLevel="0" collapsed="false">
      <c r="A39" s="9" t="s">
        <v>581</v>
      </c>
      <c r="C39" s="61" t="n">
        <f aca="false">'Revenue Model'!N13</f>
        <v>509612.726732255</v>
      </c>
      <c r="D39" s="61"/>
    </row>
    <row r="40" customFormat="false" ht="15" hidden="false" customHeight="false" outlineLevel="0" collapsed="false">
      <c r="A40" s="9" t="s">
        <v>582</v>
      </c>
      <c r="C40" s="62" t="n">
        <f aca="false">'Revenue Model'!N9</f>
        <v>49.5280990541991</v>
      </c>
      <c r="D40" s="62"/>
    </row>
    <row r="41" customFormat="false" ht="15" hidden="false" customHeight="false" outlineLevel="0" collapsed="false">
      <c r="A41" s="9" t="s">
        <v>583</v>
      </c>
      <c r="C41" s="63" t="n">
        <f aca="false">'GTM Funnel'!S72</f>
        <v>54.7491194625937</v>
      </c>
      <c r="D41" s="63"/>
    </row>
    <row r="42" customFormat="false" ht="15" hidden="false" customHeight="false" outlineLevel="0" collapsed="false">
      <c r="A42" s="9" t="s">
        <v>584</v>
      </c>
      <c r="C42" s="61" t="n">
        <f aca="false">'Revenue Model'!S15</f>
        <v>494823.782961303</v>
      </c>
      <c r="D42" s="61"/>
    </row>
    <row r="43" customFormat="false" ht="15" hidden="false" customHeight="false" outlineLevel="0" collapsed="false">
      <c r="A43" s="9" t="s">
        <v>22</v>
      </c>
      <c r="C43" s="61" t="n">
        <f aca="false">IFERROR('Revenue Model'!S14/'GTM Funnel'!S72,0)</f>
        <v>8847.97350983958</v>
      </c>
      <c r="D43" s="61"/>
    </row>
    <row r="44" customFormat="false" ht="15" hidden="false" customHeight="false" outlineLevel="0" collapsed="false">
      <c r="A44" s="9" t="s">
        <v>585</v>
      </c>
      <c r="C44" s="61" t="n">
        <f aca="false">IFERROR(S20/'GTM Funnel'!S72,0)</f>
        <v>39481.7979795841</v>
      </c>
      <c r="D44" s="61"/>
    </row>
    <row r="45" customFormat="false" ht="23.85" hidden="false" customHeight="false" outlineLevel="0" collapsed="false">
      <c r="A45" s="9" t="s">
        <v>586</v>
      </c>
      <c r="C45" s="61" t="n">
        <f aca="false">IFERROR((S14+S16+S17+S18+S19)/'GTM Funnel'!S72,0)</f>
        <v>15924.0153192791</v>
      </c>
      <c r="D45" s="61"/>
    </row>
    <row r="46" customFormat="false" ht="15" hidden="false" customHeight="false" outlineLevel="0" collapsed="false">
      <c r="A46" s="9" t="s">
        <v>587</v>
      </c>
      <c r="C46" s="64" t="n">
        <f aca="false">IFERROR('Unit Economics'!$C$44/('Unit Economics'!$C$43*Assumptions!$J$76/12),0)</f>
        <v>82.3798501566715</v>
      </c>
      <c r="D46" s="64"/>
    </row>
    <row r="47" customFormat="false" ht="15" hidden="false" customHeight="false" outlineLevel="0" collapsed="false">
      <c r="A47" s="9" t="s">
        <v>588</v>
      </c>
      <c r="C47" s="64" t="n">
        <f aca="false">IFERROR((R20/'GTM Funnel'!R72)/(('Revenue Model'!R14/'GTM Funnel'!R72)*Assumptions!$J$76/12),0)</f>
        <v>53.7401674227257</v>
      </c>
      <c r="D47" s="64"/>
    </row>
    <row r="48" customFormat="false" ht="15" hidden="false" customHeight="false" outlineLevel="0" collapsed="false">
      <c r="A48" s="9" t="s">
        <v>589</v>
      </c>
      <c r="C48" s="61" t="n">
        <f aca="false">S24</f>
        <v>2967534.56388842</v>
      </c>
      <c r="D48" s="61"/>
    </row>
    <row r="49" customFormat="false" ht="15" hidden="false" customHeight="false" outlineLevel="0" collapsed="false">
      <c r="A49" s="9" t="s">
        <v>590</v>
      </c>
      <c r="C49" s="61" t="n">
        <f aca="false">N27</f>
        <v>-2645899.10496357</v>
      </c>
      <c r="D49" s="61"/>
    </row>
    <row r="50" customFormat="false" ht="15" hidden="false" customHeight="false" outlineLevel="0" collapsed="false">
      <c r="A50" s="9" t="s">
        <v>591</v>
      </c>
      <c r="C50" s="61" t="n">
        <f aca="false">MIN($C$27:$N$27)</f>
        <v>-2645899.10496357</v>
      </c>
      <c r="D50" s="61"/>
    </row>
    <row r="51" customFormat="false" ht="15" hidden="false" customHeight="false" outlineLevel="0" collapsed="false">
      <c r="A51" s="9" t="s">
        <v>592</v>
      </c>
      <c r="C51" s="61" t="n">
        <f aca="false">'Revenue Model'!N13*(Assumptions!$J$76-$C$35)*$C$34*(1-$C$34^Assumptions!$J$85)/(1-$C$34)</f>
        <v>883215.352678571</v>
      </c>
      <c r="D51" s="61"/>
    </row>
    <row r="52" customFormat="false" ht="15" hidden="false" customHeight="false" outlineLevel="0" collapsed="false">
      <c r="A52" s="9" t="s">
        <v>593</v>
      </c>
      <c r="C52" s="61" t="n">
        <f aca="false">'Revenue Model'!N13*(Assumptions!$J$76-$C$35)*(1-Assumptions!$J$88)/(1+Assumptions!$J$87)^2.5*$C$36*(1-$C$36^Assumptions!$J$85)/(1-$C$36)</f>
        <v>393083.337460226</v>
      </c>
      <c r="D52" s="61"/>
    </row>
    <row r="53" customFormat="false" ht="15" hidden="false" customHeight="false" outlineLevel="0" collapsed="false">
      <c r="A53" s="9" t="s">
        <v>594</v>
      </c>
      <c r="C53" s="61" t="n">
        <f aca="false">SUM($C$29:$N$29)+'Unit Economics'!$C$52</f>
        <v>-1892876.99701321</v>
      </c>
      <c r="D53" s="61"/>
    </row>
    <row r="54" customFormat="false" ht="15" hidden="false" customHeight="false" outlineLevel="0" collapsed="false">
      <c r="A54" s="9" t="s">
        <v>595</v>
      </c>
      <c r="C54" s="61" t="n">
        <f aca="false">SUM($C$33:$N$33)+N31*(Assumptions!$J$76-Assumptions!$J$93)/(1+Assumptions!$J$87)^2.5*$C$37*(1-$C$37^Assumptions!$J$85)/(1-$C$37)</f>
        <v>1512522.02860027</v>
      </c>
      <c r="D54" s="61"/>
    </row>
    <row r="55" customFormat="false" ht="15" hidden="false" customHeight="false" outlineLevel="0" collapsed="false">
      <c r="A55" s="9" t="s">
        <v>596</v>
      </c>
      <c r="C55" s="61" t="n">
        <f aca="false">'Unit Economics'!$C$53-'Unit Economics'!$C$54</f>
        <v>-3405399.02561348</v>
      </c>
      <c r="D55" s="61"/>
    </row>
    <row r="56" customFormat="false" ht="15" hidden="false" customHeight="false" outlineLevel="0" collapsed="false">
      <c r="A56" s="9" t="s">
        <v>597</v>
      </c>
      <c r="C56" s="61" t="n">
        <f aca="false">'GTM Funnel'!S68</f>
        <v>0</v>
      </c>
      <c r="D56" s="61"/>
    </row>
    <row r="57" customFormat="false" ht="15" hidden="false" customHeight="false" outlineLevel="0" collapsed="false">
      <c r="A57" s="9" t="s">
        <v>598</v>
      </c>
      <c r="C57" s="63" t="n">
        <f aca="false">'GTM Funnel'!P52</f>
        <v>43.6188722246667</v>
      </c>
      <c r="D57" s="63"/>
    </row>
    <row r="58" customFormat="false" ht="15" hidden="false" customHeight="false" outlineLevel="0" collapsed="false">
      <c r="A58" s="9" t="s">
        <v>599</v>
      </c>
      <c r="C58" s="63" t="n">
        <f aca="false">'GTM Funnel'!P72</f>
        <v>6.18260904948639</v>
      </c>
      <c r="D58" s="63"/>
    </row>
    <row r="59" customFormat="false" ht="15" hidden="false" customHeight="false" outlineLevel="0" collapsed="false">
      <c r="A59" s="9" t="s">
        <v>600</v>
      </c>
      <c r="C59" s="63" t="n">
        <f aca="false">'GTM Funnel'!P48</f>
        <v>42</v>
      </c>
      <c r="D59" s="63"/>
    </row>
    <row r="60" customFormat="false" ht="15" hidden="false" customHeight="false" outlineLevel="0" collapsed="false">
      <c r="A60" s="9" t="s">
        <v>601</v>
      </c>
      <c r="C60" s="61" t="n">
        <f aca="false">IFERROR('Revenue Model'!P14/'GTM Funnel'!P72,0)</f>
        <v>8545.01753177967</v>
      </c>
      <c r="D60" s="61"/>
    </row>
  </sheetData>
  <mergeCells count="22"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T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8"/>
    <col collapsed="false" customWidth="true" hidden="false" outlineLevel="0" max="20" min="3" style="0" width="13"/>
  </cols>
  <sheetData>
    <row r="1" customFormat="false" ht="17.35" hidden="false" customHeight="false" outlineLevel="0" collapsed="false">
      <c r="A1" s="1" t="s">
        <v>602</v>
      </c>
    </row>
    <row r="2" customFormat="false" ht="15" hidden="false" customHeight="false" outlineLevel="0" collapsed="false">
      <c r="A2" s="2" t="s">
        <v>603</v>
      </c>
    </row>
    <row r="4" customFormat="false" ht="57.75" hidden="false" customHeight="true" outlineLevel="0" collapsed="false">
      <c r="A4" s="6" t="s">
        <v>604</v>
      </c>
      <c r="B4" s="6" t="s">
        <v>63</v>
      </c>
      <c r="C4" s="6" t="s">
        <v>605</v>
      </c>
      <c r="D4" s="6" t="s">
        <v>606</v>
      </c>
      <c r="E4" s="6" t="s">
        <v>607</v>
      </c>
      <c r="F4" s="6" t="s">
        <v>608</v>
      </c>
      <c r="G4" s="6" t="s">
        <v>609</v>
      </c>
      <c r="H4" s="6" t="s">
        <v>610</v>
      </c>
      <c r="I4" s="6" t="s">
        <v>611</v>
      </c>
      <c r="J4" s="6" t="s">
        <v>612</v>
      </c>
      <c r="K4" s="6" t="s">
        <v>613</v>
      </c>
      <c r="L4" s="6" t="s">
        <v>614</v>
      </c>
      <c r="M4" s="6" t="s">
        <v>615</v>
      </c>
      <c r="N4" s="6" t="s">
        <v>616</v>
      </c>
      <c r="O4" s="6" t="s">
        <v>617</v>
      </c>
      <c r="P4" s="6" t="s">
        <v>618</v>
      </c>
      <c r="Q4" s="6" t="s">
        <v>619</v>
      </c>
      <c r="R4" s="6" t="s">
        <v>620</v>
      </c>
      <c r="S4" s="6" t="s">
        <v>621</v>
      </c>
      <c r="T4" s="6" t="s">
        <v>622</v>
      </c>
    </row>
    <row r="5" customFormat="false" ht="15" hidden="false" customHeight="false" outlineLevel="0" collapsed="false">
      <c r="A5" s="9" t="s">
        <v>623</v>
      </c>
      <c r="B5" s="14" t="s">
        <v>125</v>
      </c>
      <c r="C5" s="7" t="n">
        <f aca="false">'Engine Runs'!$C$133</f>
        <v>-2099751.47708868</v>
      </c>
      <c r="D5" s="7" t="n">
        <f aca="false">'Engine Runs'!$C$272</f>
        <v>-1892876.99701321</v>
      </c>
      <c r="E5" s="7" t="n">
        <f aca="false">'Engine Runs'!$C$411</f>
        <v>1527389.14451738</v>
      </c>
      <c r="F5" s="7" t="n">
        <f aca="false">'Engine Runs'!$C$830</f>
        <v>-6046208.0818728</v>
      </c>
      <c r="G5" s="7" t="n">
        <f aca="false">'Engine Runs'!$C$969</f>
        <v>-5438648.65209082</v>
      </c>
      <c r="H5" s="7" t="n">
        <f aca="false">'Engine Runs'!$C$1108</f>
        <v>821457.727301354</v>
      </c>
      <c r="I5" s="7" t="n">
        <f aca="false">'Engine Runs'!$C$1247</f>
        <v>-625495.414239844</v>
      </c>
      <c r="J5" s="7" t="n">
        <f aca="false">'Engine Runs'!$C$1386</f>
        <v>-544641.96324311</v>
      </c>
      <c r="K5" s="7" t="n">
        <f aca="false">'Engine Runs'!$C$1525</f>
        <v>1114412.43069812</v>
      </c>
      <c r="L5" s="7" t="n">
        <f aca="false">'Engine Runs'!$C$1664</f>
        <v>-2148114.87756732</v>
      </c>
      <c r="M5" s="7" t="n">
        <f aca="false">'Engine Runs'!$C$1803</f>
        <v>-2044076.84125358</v>
      </c>
      <c r="N5" s="7" t="n">
        <f aca="false">'Engine Runs'!$C$1942</f>
        <v>-249190.24700217</v>
      </c>
      <c r="O5" s="7" t="n">
        <f aca="false">'Engine Runs'!$C$2361</f>
        <v>-6093023.60200031</v>
      </c>
      <c r="P5" s="7" t="n">
        <f aca="false">'Engine Runs'!$C$2500</f>
        <v>-5731151.94414391</v>
      </c>
      <c r="Q5" s="7" t="n">
        <f aca="false">'Engine Runs'!$C$2639</f>
        <v>-2873027.50018581</v>
      </c>
      <c r="R5" s="7" t="n">
        <f aca="false">'Engine Runs'!$C$2778</f>
        <v>-648617.848535433</v>
      </c>
      <c r="S5" s="7" t="n">
        <f aca="false">'Engine Runs'!$C$2917</f>
        <v>-620644.159007741</v>
      </c>
      <c r="T5" s="7" t="n">
        <f aca="false">'Engine Runs'!$C$3056</f>
        <v>223947.767188292</v>
      </c>
    </row>
    <row r="6" customFormat="false" ht="15" hidden="false" customHeight="false" outlineLevel="0" collapsed="false">
      <c r="A6" s="4" t="s">
        <v>624</v>
      </c>
      <c r="B6" s="14" t="s">
        <v>125</v>
      </c>
      <c r="C6" s="7" t="n">
        <f aca="false">'Engine Runs'!$C$134</f>
        <v>1320322.29312684</v>
      </c>
      <c r="D6" s="7" t="n">
        <f aca="false">'Engine Runs'!$C$273</f>
        <v>1512522.02860027</v>
      </c>
      <c r="E6" s="7" t="n">
        <f aca="false">'Engine Runs'!$C$412</f>
        <v>1983119.26830202</v>
      </c>
      <c r="F6" s="7" t="n">
        <f aca="false">'Engine Runs'!$C$831</f>
        <v>3498435.89830563</v>
      </c>
      <c r="G6" s="7" t="n">
        <f aca="false">'Engine Runs'!$C$970</f>
        <v>3736306.25451755</v>
      </c>
      <c r="H6" s="7" t="n">
        <f aca="false">'Engine Runs'!$C$1109</f>
        <v>4014084.68186211</v>
      </c>
      <c r="I6" s="7" t="n">
        <f aca="false">'Engine Runs'!$C$1248</f>
        <v>431297.34369598</v>
      </c>
      <c r="J6" s="7" t="n">
        <f aca="false">'Engine Runs'!$C$1387</f>
        <v>527863.092334481</v>
      </c>
      <c r="K6" s="7" t="n">
        <f aca="false">'Engine Runs'!$C$1526</f>
        <v>756148.160135243</v>
      </c>
      <c r="L6" s="7" t="n">
        <f aca="false">'Engine Runs'!$C$1665</f>
        <v>1339667.79239532</v>
      </c>
      <c r="M6" s="7" t="n">
        <f aca="false">'Engine Runs'!$C$1804</f>
        <v>1525400.91673333</v>
      </c>
      <c r="N6" s="7" t="n">
        <f aca="false">'Engine Runs'!$C$1943</f>
        <v>1804748.65525916</v>
      </c>
      <c r="O6" s="7" t="n">
        <f aca="false">'Engine Runs'!$C$2362</f>
        <v>3508194.59573066</v>
      </c>
      <c r="P6" s="7" t="n">
        <f aca="false">'Engine Runs'!$C$2501</f>
        <v>3726855.81985108</v>
      </c>
      <c r="Q6" s="7" t="n">
        <f aca="false">'Engine Runs'!$C$2640</f>
        <v>3902325.87749624</v>
      </c>
      <c r="R6" s="7" t="n">
        <f aca="false">'Engine Runs'!$C$2779</f>
        <v>440304.354665281</v>
      </c>
      <c r="S6" s="7" t="n">
        <f aca="false">'Engine Runs'!$C$2918</f>
        <v>532589.31229013</v>
      </c>
      <c r="T6" s="7" t="n">
        <f aca="false">'Engine Runs'!$C$3057</f>
        <v>665333.916905965</v>
      </c>
    </row>
    <row r="7" customFormat="false" ht="15" hidden="false" customHeight="false" outlineLevel="0" collapsed="false">
      <c r="A7" s="9" t="s">
        <v>625</v>
      </c>
      <c r="B7" s="14" t="s">
        <v>125</v>
      </c>
      <c r="C7" s="7" t="n">
        <f aca="false">'Engine Runs'!$C$135</f>
        <v>-3420073.77021552</v>
      </c>
      <c r="D7" s="7" t="n">
        <f aca="false">'Engine Runs'!$C$274</f>
        <v>-3405399.02561348</v>
      </c>
      <c r="E7" s="7" t="n">
        <f aca="false">'Engine Runs'!$C$413</f>
        <v>-455730.123784644</v>
      </c>
      <c r="F7" s="7" t="n">
        <f aca="false">'Engine Runs'!$C$832</f>
        <v>-9544643.98017843</v>
      </c>
      <c r="G7" s="7" t="n">
        <f aca="false">'Engine Runs'!$C$971</f>
        <v>-9174954.90660837</v>
      </c>
      <c r="H7" s="7" t="n">
        <f aca="false">'Engine Runs'!$C$1110</f>
        <v>-3192626.95456076</v>
      </c>
      <c r="I7" s="7" t="n">
        <f aca="false">'Engine Runs'!$C$1249</f>
        <v>-1056792.75793582</v>
      </c>
      <c r="J7" s="7" t="n">
        <f aca="false">'Engine Runs'!$C$1388</f>
        <v>-1072505.05557759</v>
      </c>
      <c r="K7" s="7" t="n">
        <f aca="false">'Engine Runs'!$C$1527</f>
        <v>358264.270562873</v>
      </c>
      <c r="L7" s="7" t="n">
        <f aca="false">'Engine Runs'!$C$1666</f>
        <v>-3487782.66996264</v>
      </c>
      <c r="M7" s="7" t="n">
        <f aca="false">'Engine Runs'!$C$1805</f>
        <v>-3569477.75798691</v>
      </c>
      <c r="N7" s="7" t="n">
        <f aca="false">'Engine Runs'!$C$1944</f>
        <v>-2053938.90226133</v>
      </c>
      <c r="O7" s="7" t="n">
        <f aca="false">'Engine Runs'!$C$2363</f>
        <v>-9601218.19773097</v>
      </c>
      <c r="P7" s="7" t="n">
        <f aca="false">'Engine Runs'!$C$2502</f>
        <v>-9458007.76399499</v>
      </c>
      <c r="Q7" s="7" t="n">
        <f aca="false">'Engine Runs'!$C$2641</f>
        <v>-6775353.37768205</v>
      </c>
      <c r="R7" s="7" t="n">
        <f aca="false">'Engine Runs'!$C$2780</f>
        <v>-1088922.20320071</v>
      </c>
      <c r="S7" s="7" t="n">
        <f aca="false">'Engine Runs'!$C$2919</f>
        <v>-1153233.47129787</v>
      </c>
      <c r="T7" s="7" t="n">
        <f aca="false">'Engine Runs'!$C$3058</f>
        <v>-441386.149717673</v>
      </c>
    </row>
    <row r="8" customFormat="false" ht="15" hidden="false" customHeight="false" outlineLevel="0" collapsed="false">
      <c r="A8" s="9" t="s">
        <v>581</v>
      </c>
      <c r="B8" s="14" t="s">
        <v>125</v>
      </c>
      <c r="C8" s="7" t="n">
        <f aca="false">'Engine Runs'!$C$119</f>
        <v>62906.1562730314</v>
      </c>
      <c r="D8" s="7" t="n">
        <f aca="false">'Engine Runs'!$C$258</f>
        <v>509612.726732255</v>
      </c>
      <c r="E8" s="7" t="n">
        <f aca="false">'Engine Runs'!$C$397</f>
        <v>3013219.53633262</v>
      </c>
      <c r="F8" s="7" t="n">
        <f aca="false">'Engine Runs'!$C$816</f>
        <v>113881.559264502</v>
      </c>
      <c r="G8" s="7" t="n">
        <f aca="false">'Engine Runs'!$C$955</f>
        <v>820721.594513904</v>
      </c>
      <c r="H8" s="7" t="n">
        <f aca="false">'Engine Runs'!$C$1094</f>
        <v>4711541.74435004</v>
      </c>
      <c r="I8" s="7" t="n">
        <f aca="false">'Engine Runs'!$C$1233</f>
        <v>30663.054615016</v>
      </c>
      <c r="J8" s="7" t="n">
        <f aca="false">'Engine Runs'!$C$1372</f>
        <v>246156.696716439</v>
      </c>
      <c r="K8" s="7" t="n">
        <f aca="false">'Engine Runs'!$C$1511</f>
        <v>1463066.34250671</v>
      </c>
      <c r="L8" s="7" t="n">
        <f aca="false">'Engine Runs'!$C$1650</f>
        <v>110994.418512281</v>
      </c>
      <c r="M8" s="7" t="n">
        <f aca="false">'Engine Runs'!$C$1789</f>
        <v>680163.893500675</v>
      </c>
      <c r="N8" s="7" t="n">
        <f aca="false">'Engine Runs'!$C$1928</f>
        <v>2609610.79941294</v>
      </c>
      <c r="O8" s="7" t="n">
        <f aca="false">'Engine Runs'!$C$2347</f>
        <v>161375.745012656</v>
      </c>
      <c r="P8" s="7" t="n">
        <f aca="false">'Engine Runs'!$C$2486</f>
        <v>914355.663776077</v>
      </c>
      <c r="Q8" s="7" t="n">
        <f aca="false">'Engine Runs'!$C$2625</f>
        <v>3491416.26836429</v>
      </c>
      <c r="R8" s="7" t="n">
        <f aca="false">'Engine Runs'!$C$2764</f>
        <v>51399.2920937751</v>
      </c>
      <c r="S8" s="7" t="n">
        <f aca="false">'Engine Runs'!$C$2903</f>
        <v>317295.302916191</v>
      </c>
      <c r="T8" s="7" t="n">
        <f aca="false">'Engine Runs'!$C$3042</f>
        <v>1231458.69329734</v>
      </c>
    </row>
    <row r="9" customFormat="false" ht="15" hidden="false" customHeight="false" outlineLevel="0" collapsed="false">
      <c r="A9" s="4" t="s">
        <v>582</v>
      </c>
      <c r="B9" s="14" t="s">
        <v>133</v>
      </c>
      <c r="C9" s="65" t="n">
        <f aca="false">'Engine Runs'!$C$120</f>
        <v>7.61481866921757</v>
      </c>
      <c r="D9" s="65" t="n">
        <f aca="false">'Engine Runs'!$C$259</f>
        <v>49.5280990541991</v>
      </c>
      <c r="E9" s="65" t="n">
        <f aca="false">'Engine Runs'!$C$398</f>
        <v>194.703814994485</v>
      </c>
      <c r="F9" s="65" t="n">
        <f aca="false">'Engine Runs'!$C$817</f>
        <v>13.8075007283101</v>
      </c>
      <c r="G9" s="65" t="n">
        <f aca="false">'Engine Runs'!$C$956</f>
        <v>79.3218850472757</v>
      </c>
      <c r="H9" s="65" t="n">
        <f aca="false">'Engine Runs'!$C$1095</f>
        <v>305.198786317707</v>
      </c>
      <c r="I9" s="65" t="n">
        <f aca="false">'Engine Runs'!$C$1234</f>
        <v>3.71063941389807</v>
      </c>
      <c r="J9" s="65" t="n">
        <f aca="false">'Engine Runs'!$C$1373</f>
        <v>23.9042845832178</v>
      </c>
      <c r="K9" s="65" t="n">
        <f aca="false">'Engine Runs'!$C$1512</f>
        <v>94.4603332816976</v>
      </c>
      <c r="L9" s="65" t="n">
        <f aca="false">'Engine Runs'!$C$1651</f>
        <v>15.3318187590811</v>
      </c>
      <c r="M9" s="65" t="n">
        <f aca="false">'Engine Runs'!$C$1790</f>
        <v>85.1422633918539</v>
      </c>
      <c r="N9" s="65" t="n">
        <f aca="false">'Engine Runs'!$C$1929</f>
        <v>289.210883334527</v>
      </c>
      <c r="O9" s="65" t="n">
        <f aca="false">'Engine Runs'!$C$2348</f>
        <v>22.2062436061236</v>
      </c>
      <c r="P9" s="65" t="n">
        <f aca="false">'Engine Runs'!$C$2487</f>
        <v>113.804175047752</v>
      </c>
      <c r="Q9" s="65" t="n">
        <f aca="false">'Engine Runs'!$C$2626</f>
        <v>386.271137692335</v>
      </c>
      <c r="R9" s="65" t="n">
        <f aca="false">'Engine Runs'!$C$2765</f>
        <v>7.09211921057306</v>
      </c>
      <c r="S9" s="65" t="n">
        <f aca="false">'Engine Runs'!$C$2904</f>
        <v>39.6799144642639</v>
      </c>
      <c r="T9" s="65" t="n">
        <f aca="false">'Engine Runs'!$C$3043</f>
        <v>136.357606276844</v>
      </c>
    </row>
    <row r="10" customFormat="false" ht="15" hidden="false" customHeight="false" outlineLevel="0" collapsed="false">
      <c r="A10" s="4" t="s">
        <v>583</v>
      </c>
      <c r="B10" s="14" t="s">
        <v>133</v>
      </c>
      <c r="C10" s="65" t="n">
        <f aca="false">'Engine Runs'!$C$121</f>
        <v>8.95062825244445</v>
      </c>
      <c r="D10" s="65" t="n">
        <f aca="false">'Engine Runs'!$C$260</f>
        <v>54.7491194625937</v>
      </c>
      <c r="E10" s="65" t="n">
        <f aca="false">'Engine Runs'!$C$399</f>
        <v>210.075218540593</v>
      </c>
      <c r="F10" s="65" t="n">
        <f aca="false">'Engine Runs'!$C$818</f>
        <v>16.212819172489</v>
      </c>
      <c r="G10" s="65" t="n">
        <f aca="false">'Engine Runs'!$C$957</f>
        <v>87.8923560527539</v>
      </c>
      <c r="H10" s="65" t="n">
        <f aca="false">'Engine Runs'!$C$1096</f>
        <v>329.144143209313</v>
      </c>
      <c r="I10" s="65" t="n">
        <f aca="false">'Engine Runs'!$C$1235</f>
        <v>4.36255472040268</v>
      </c>
      <c r="J10" s="65" t="n">
        <f aca="false">'Engine Runs'!$C$1374</f>
        <v>26.4326016371775</v>
      </c>
      <c r="K10" s="65" t="n">
        <f aca="false">'Engine Runs'!$C$1513</f>
        <v>101.935580002381</v>
      </c>
      <c r="L10" s="65" t="n">
        <f aca="false">'Engine Runs'!$C$1652</f>
        <v>17.9629414965</v>
      </c>
      <c r="M10" s="65" t="n">
        <f aca="false">'Engine Runs'!$C$1791</f>
        <v>94.8804342050555</v>
      </c>
      <c r="N10" s="65" t="n">
        <f aca="false">'Engine Runs'!$C$1930</f>
        <v>313.721927812985</v>
      </c>
      <c r="O10" s="65" t="n">
        <f aca="false">'Engine Runs'!$C$2349</f>
        <v>26.1236957779436</v>
      </c>
      <c r="P10" s="65" t="n">
        <f aca="false">'Engine Runs'!$C$2488</f>
        <v>127.250158728668</v>
      </c>
      <c r="Q10" s="65" t="n">
        <f aca="false">'Engine Runs'!$C$2627</f>
        <v>419.286387148215</v>
      </c>
      <c r="R10" s="65" t="n">
        <f aca="false">'Engine Runs'!$C$2766</f>
        <v>8.31739217975316</v>
      </c>
      <c r="S10" s="65" t="n">
        <f aca="false">'Engine Runs'!$C$2905</f>
        <v>44.240234116354</v>
      </c>
      <c r="T10" s="65" t="n">
        <f aca="false">'Engine Runs'!$C$3044</f>
        <v>147.951610997488</v>
      </c>
    </row>
    <row r="11" customFormat="false" ht="15" hidden="false" customHeight="false" outlineLevel="0" collapsed="false">
      <c r="A11" s="4" t="s">
        <v>22</v>
      </c>
      <c r="B11" s="14" t="s">
        <v>125</v>
      </c>
      <c r="C11" s="7" t="n">
        <f aca="false">'Engine Runs'!$C$123</f>
        <v>7293.91737210044</v>
      </c>
      <c r="D11" s="7" t="n">
        <f aca="false">'Engine Runs'!$C$262</f>
        <v>8847.97350983958</v>
      </c>
      <c r="E11" s="7" t="n">
        <f aca="false">'Engine Runs'!$C$401</f>
        <v>12338.4880922387</v>
      </c>
      <c r="F11" s="7" t="n">
        <f aca="false">'Engine Runs'!$C$820</f>
        <v>7288.46254139822</v>
      </c>
      <c r="G11" s="7" t="n">
        <f aca="false">'Engine Runs'!$C$959</f>
        <v>8863.82062103322</v>
      </c>
      <c r="H11" s="7" t="n">
        <f aca="false">'Engine Runs'!$C$1098</f>
        <v>12322.6599394515</v>
      </c>
      <c r="I11" s="7" t="n">
        <f aca="false">'Engine Runs'!$C$1237</f>
        <v>7294.80438558972</v>
      </c>
      <c r="J11" s="7" t="n">
        <f aca="false">'Engine Runs'!$C$1376</f>
        <v>8850.61264734639</v>
      </c>
      <c r="K11" s="7" t="n">
        <f aca="false">'Engine Runs'!$C$1515</f>
        <v>12341.8470873335</v>
      </c>
      <c r="L11" s="7" t="n">
        <f aca="false">'Engine Runs'!$C$1654</f>
        <v>6452.56585184663</v>
      </c>
      <c r="M11" s="7" t="n">
        <f aca="false">'Engine Runs'!$C$1793</f>
        <v>6863.97894361972</v>
      </c>
      <c r="N11" s="7" t="n">
        <f aca="false">'Engine Runs'!$C$1932</f>
        <v>7290.93389777593</v>
      </c>
      <c r="O11" s="7" t="n">
        <f aca="false">'Engine Runs'!$C$2351</f>
        <v>6457.08820754989</v>
      </c>
      <c r="P11" s="7" t="n">
        <f aca="false">'Engine Runs'!$C$2490</f>
        <v>6868.99080111395</v>
      </c>
      <c r="Q11" s="7" t="n">
        <f aca="false">'Engine Runs'!$C$2629</f>
        <v>7288.05182548431</v>
      </c>
      <c r="R11" s="7" t="n">
        <f aca="false">'Engine Runs'!$C$2768</f>
        <v>6454.73467879161</v>
      </c>
      <c r="S11" s="7" t="n">
        <f aca="false">'Engine Runs'!$C$2907</f>
        <v>6865.79473230783</v>
      </c>
      <c r="T11" s="7" t="n">
        <f aca="false">'Engine Runs'!$C$3046</f>
        <v>7292.32355628473</v>
      </c>
    </row>
    <row r="12" customFormat="false" ht="15" hidden="false" customHeight="false" outlineLevel="0" collapsed="false">
      <c r="A12" s="4" t="s">
        <v>626</v>
      </c>
      <c r="B12" s="14" t="s">
        <v>125</v>
      </c>
      <c r="C12" s="7" t="n">
        <f aca="false">'Engine Runs'!$C$124</f>
        <v>203613.494017138</v>
      </c>
      <c r="D12" s="7" t="n">
        <f aca="false">'Engine Runs'!$C$263</f>
        <v>39481.7979795841</v>
      </c>
      <c r="E12" s="7" t="n">
        <f aca="false">'Engine Runs'!$C$402</f>
        <v>15314.7979647495</v>
      </c>
      <c r="F12" s="7" t="n">
        <f aca="false">'Engine Runs'!$C$821</f>
        <v>412144.852032752</v>
      </c>
      <c r="G12" s="7" t="n">
        <f aca="false">'Engine Runs'!$C$960</f>
        <v>78270.4504774196</v>
      </c>
      <c r="H12" s="7" t="n">
        <f aca="false">'Engine Runs'!$C$1099</f>
        <v>22265.2681546165</v>
      </c>
      <c r="I12" s="7" t="n">
        <f aca="false">'Engine Runs'!$C$1238</f>
        <v>83551.6676240796</v>
      </c>
      <c r="J12" s="7" t="n">
        <f aca="false">'Engine Runs'!$C$1377</f>
        <v>20825.5564184495</v>
      </c>
      <c r="K12" s="7" t="n">
        <f aca="false">'Engine Runs'!$C$1516</f>
        <v>10465.924593767</v>
      </c>
      <c r="L12" s="7" t="n">
        <f aca="false">'Engine Runs'!$C$1655</f>
        <v>103832.310000811</v>
      </c>
      <c r="M12" s="7" t="n">
        <f aca="false">'Engine Runs'!$C$1794</f>
        <v>22952.9305332245</v>
      </c>
      <c r="N12" s="7" t="n">
        <f aca="false">'Engine Runs'!$C$1933</f>
        <v>8756.15328005196</v>
      </c>
      <c r="O12" s="7" t="n">
        <f aca="false">'Engine Runs'!$C$2352</f>
        <v>256488.667415673</v>
      </c>
      <c r="P12" s="7" t="n">
        <f aca="false">'Engine Runs'!$C$2491</f>
        <v>53777.1200128304</v>
      </c>
      <c r="Q12" s="7" t="n">
        <f aca="false">'Engine Runs'!$C$2630</f>
        <v>16777.6214001963</v>
      </c>
      <c r="R12" s="7" t="n">
        <f aca="false">'Engine Runs'!$C$2769</f>
        <v>46179.3046718489</v>
      </c>
      <c r="S12" s="7" t="n">
        <f aca="false">'Engine Runs'!$C$2908</f>
        <v>12526.6363872657</v>
      </c>
      <c r="T12" s="7" t="n">
        <f aca="false">'Engine Runs'!$C$3047</f>
        <v>5596.91273301809</v>
      </c>
    </row>
    <row r="13" customFormat="false" ht="15" hidden="false" customHeight="false" outlineLevel="0" collapsed="false">
      <c r="A13" s="4" t="s">
        <v>627</v>
      </c>
      <c r="B13" s="14" t="s">
        <v>125</v>
      </c>
      <c r="C13" s="7" t="n">
        <f aca="false">'Engine Runs'!$C$125</f>
        <v>59515.4686309744</v>
      </c>
      <c r="D13" s="7" t="n">
        <f aca="false">'Engine Runs'!$C$264</f>
        <v>15924.0153192791</v>
      </c>
      <c r="E13" s="7" t="n">
        <f aca="false">'Engine Runs'!$C$403</f>
        <v>9175.24535067644</v>
      </c>
      <c r="F13" s="7" t="n">
        <f aca="false">'Engine Runs'!$C$822</f>
        <v>56883.204082194</v>
      </c>
      <c r="G13" s="7" t="n">
        <f aca="false">'Engine Runs'!$C$961</f>
        <v>12738.0979974637</v>
      </c>
      <c r="H13" s="7" t="n">
        <f aca="false">'Engine Runs'!$C$1100</f>
        <v>4765.96587026744</v>
      </c>
      <c r="I13" s="7" t="n">
        <f aca="false">'Engine Runs'!$C$1239</f>
        <v>63223.1465170481</v>
      </c>
      <c r="J13" s="7" t="n">
        <f aca="false">'Engine Runs'!$C$1378</f>
        <v>17470.446432244</v>
      </c>
      <c r="K13" s="7" t="n">
        <f aca="false">'Engine Runs'!$C$1517</f>
        <v>9595.92134551735</v>
      </c>
      <c r="L13" s="7" t="n">
        <f aca="false">'Engine Runs'!$C$1656</f>
        <v>32030.7146221161</v>
      </c>
      <c r="M13" s="7" t="n">
        <f aca="false">'Engine Runs'!$C$1795</f>
        <v>9359.318025556</v>
      </c>
      <c r="N13" s="7" t="n">
        <f aca="false">'Engine Runs'!$C$1934</f>
        <v>4644.97155254546</v>
      </c>
      <c r="O13" s="7" t="n">
        <f aca="false">'Engine Runs'!$C$2353</f>
        <v>36007.1204667954</v>
      </c>
      <c r="P13" s="7" t="n">
        <f aca="false">'Engine Runs'!$C$2492</f>
        <v>8513.57838201577</v>
      </c>
      <c r="Q13" s="7" t="n">
        <f aca="false">'Engine Runs'!$C$2631</f>
        <v>3040.4884197573</v>
      </c>
      <c r="R13" s="7" t="n">
        <f aca="false">'Engine Runs'!$C$2770</f>
        <v>35516.793659062</v>
      </c>
      <c r="S13" s="7" t="n">
        <f aca="false">'Engine Runs'!$C$2909</f>
        <v>10522.0293257153</v>
      </c>
      <c r="T13" s="7" t="n">
        <f aca="false">'Engine Runs'!$C$3048</f>
        <v>4997.49860622098</v>
      </c>
    </row>
    <row r="14" customFormat="false" ht="15" hidden="false" customHeight="false" outlineLevel="0" collapsed="false">
      <c r="A14" s="4" t="s">
        <v>23</v>
      </c>
      <c r="B14" s="14" t="s">
        <v>301</v>
      </c>
      <c r="C14" s="8" t="n">
        <f aca="false">'Engine Runs'!$C$127</f>
        <v>474.317904836001</v>
      </c>
      <c r="D14" s="8" t="n">
        <f aca="false">'Engine Runs'!$C$266</f>
        <v>53.7401674227257</v>
      </c>
      <c r="E14" s="8" t="n">
        <f aca="false">'Engine Runs'!$C$405</f>
        <v>16.190358159649</v>
      </c>
      <c r="F14" s="8" t="n">
        <f aca="false">'Engine Runs'!$C$824</f>
        <v>1086.74312456402</v>
      </c>
      <c r="G14" s="8" t="n">
        <f aca="false">'Engine Runs'!$C$963</f>
        <v>117.749971592235</v>
      </c>
      <c r="H14" s="8" t="n">
        <f aca="false">'Engine Runs'!$C$1102</f>
        <v>22.9275291609579</v>
      </c>
      <c r="I14" s="8" t="n">
        <f aca="false">'Engine Runs'!$C$1241</f>
        <v>154.68712616772</v>
      </c>
      <c r="J14" s="8" t="n">
        <f aca="false">'Engine Runs'!$C$1380</f>
        <v>25.7096596243456</v>
      </c>
      <c r="K14" s="8" t="n">
        <f aca="false">'Engine Runs'!$C$1519</f>
        <v>11.115367637766</v>
      </c>
      <c r="L14" s="8" t="n">
        <f aca="false">'Engine Runs'!$C$1658</f>
        <v>254.832564324467</v>
      </c>
      <c r="M14" s="8" t="n">
        <f aca="false">'Engine Runs'!$C$1797</f>
        <v>42.2717351099849</v>
      </c>
      <c r="N14" s="8" t="n">
        <f aca="false">'Engine Runs'!$C$1936</f>
        <v>15.5093460738032</v>
      </c>
      <c r="O14" s="8" t="n">
        <f aca="false">'Engine Runs'!$C$2355</f>
        <v>745.197715143344</v>
      </c>
      <c r="P14" s="8" t="n">
        <f aca="false">'Engine Runs'!$C$2494</f>
        <v>110.905185155125</v>
      </c>
      <c r="Q14" s="8" t="n">
        <f aca="false">'Engine Runs'!$C$2633</f>
        <v>30.7176485683831</v>
      </c>
      <c r="R14" s="8" t="n">
        <f aca="false">'Engine Runs'!$C$2772</f>
        <v>92.5132660443792</v>
      </c>
      <c r="S14" s="8" t="n">
        <f aca="false">'Engine Runs'!$C$2911</f>
        <v>20.4876211109573</v>
      </c>
      <c r="T14" s="8" t="n">
        <f aca="false">'Engine Runs'!$C$3050</f>
        <v>9.51419764130953</v>
      </c>
    </row>
    <row r="15" customFormat="false" ht="15" hidden="false" customHeight="false" outlineLevel="0" collapsed="false">
      <c r="A15" s="4" t="s">
        <v>589</v>
      </c>
      <c r="B15" s="14" t="s">
        <v>125</v>
      </c>
      <c r="C15" s="7" t="n">
        <f aca="false">'Engine Runs'!$C$128</f>
        <v>2544131.07717482</v>
      </c>
      <c r="D15" s="7" t="n">
        <f aca="false">'Engine Runs'!$C$267</f>
        <v>2967534.56388842</v>
      </c>
      <c r="E15" s="7" t="n">
        <f aca="false">'Engine Runs'!$C$406</f>
        <v>4341614.21942982</v>
      </c>
      <c r="F15" s="7" t="n">
        <f aca="false">'Engine Runs'!$C$825</f>
        <v>7419246.69350996</v>
      </c>
      <c r="G15" s="7" t="n">
        <f aca="false">'Engine Runs'!$C$964</f>
        <v>7751157.39263834</v>
      </c>
      <c r="H15" s="7" t="n">
        <f aca="false">'Engine Runs'!$C$1103</f>
        <v>8689214.64023409</v>
      </c>
      <c r="I15" s="7" t="n">
        <f aca="false">'Engine Runs'!$C$1242</f>
        <v>750095.632464485</v>
      </c>
      <c r="J15" s="7" t="n">
        <f aca="false">'Engine Runs'!$C$1381</f>
        <v>976784.119966582</v>
      </c>
      <c r="K15" s="7" t="n">
        <f aca="false">'Engine Runs'!$C$1520</f>
        <v>1648174.33011316</v>
      </c>
      <c r="L15" s="7" t="n">
        <f aca="false">'Engine Runs'!$C$1659</f>
        <v>2602606.66010182</v>
      </c>
      <c r="M15" s="7" t="n">
        <f aca="false">'Engine Runs'!$C$1798</f>
        <v>3060744.93760944</v>
      </c>
      <c r="N15" s="7" t="n">
        <f aca="false">'Engine Runs'!$C$1937</f>
        <v>4086357.24200235</v>
      </c>
      <c r="O15" s="7" t="n">
        <f aca="false">'Engine Runs'!$C$2356</f>
        <v>7454859.72562977</v>
      </c>
      <c r="P15" s="7" t="n">
        <f aca="false">'Engine Runs'!$C$2495</f>
        <v>7793222.13841714</v>
      </c>
      <c r="Q15" s="7" t="n">
        <f aca="false">'Engine Runs'!$C$2634</f>
        <v>8593401.40464464</v>
      </c>
      <c r="R15" s="7" t="n">
        <f aca="false">'Engine Runs'!$C$2773</f>
        <v>776601.243055922</v>
      </c>
      <c r="S15" s="7" t="n">
        <f aca="false">'Engine Runs'!$C$2912</f>
        <v>1014849.5352826</v>
      </c>
      <c r="T15" s="7" t="n">
        <f aca="false">'Engine Runs'!$C$3051</f>
        <v>1505362.63353486</v>
      </c>
    </row>
    <row r="16" customFormat="false" ht="15" hidden="false" customHeight="false" outlineLevel="0" collapsed="false">
      <c r="A16" s="4" t="s">
        <v>628</v>
      </c>
      <c r="B16" s="14" t="s">
        <v>125</v>
      </c>
      <c r="C16" s="7" t="n">
        <f aca="false">'Engine Runs'!$C$129</f>
        <v>-2502939.77253735</v>
      </c>
      <c r="D16" s="7" t="n">
        <f aca="false">'Engine Runs'!$C$268</f>
        <v>-2645899.10496357</v>
      </c>
      <c r="E16" s="7" t="n">
        <f aca="false">'Engine Runs'!$C$407</f>
        <v>-2248566.26463482</v>
      </c>
      <c r="F16" s="7" t="n">
        <f aca="false">'Engine Runs'!$C$826</f>
        <v>-7345026.33653731</v>
      </c>
      <c r="G16" s="7" t="n">
        <f aca="false">'Engine Runs'!$C$965</f>
        <v>-7222892.95198776</v>
      </c>
      <c r="H16" s="7" t="n">
        <f aca="false">'Engine Runs'!$C$1104</f>
        <v>-5428876.48572213</v>
      </c>
      <c r="I16" s="7" t="n">
        <f aca="false">'Engine Runs'!$C$1243</f>
        <v>-729995.022520068</v>
      </c>
      <c r="J16" s="7" t="n">
        <f aca="false">'Engine Runs'!$C$1382</f>
        <v>-821017.402656132</v>
      </c>
      <c r="K16" s="7" t="n">
        <f aca="false">'Engine Runs'!$C$1521</f>
        <v>-630042.269565973</v>
      </c>
      <c r="L16" s="7" t="n">
        <f aca="false">'Engine Runs'!$C$1660</f>
        <v>-2531335.98850055</v>
      </c>
      <c r="M16" s="7" t="n">
        <f aca="false">'Engine Runs'!$C$1799</f>
        <v>-2610408.33737085</v>
      </c>
      <c r="N16" s="7" t="n">
        <f aca="false">'Engine Runs'!$C$1938</f>
        <v>-2187763.10216061</v>
      </c>
      <c r="O16" s="7" t="n">
        <f aca="false">'Engine Runs'!$C$2357</f>
        <v>-7348790.15087953</v>
      </c>
      <c r="P16" s="7" t="n">
        <f aca="false">'Engine Runs'!$C$2496</f>
        <v>-7171119.07537953</v>
      </c>
      <c r="Q16" s="7" t="n">
        <f aca="false">'Engine Runs'!$C$2635</f>
        <v>-6032936.81213274</v>
      </c>
      <c r="R16" s="7" t="n">
        <f aca="false">'Engine Runs'!$C$2774</f>
        <v>-743420.537014216</v>
      </c>
      <c r="S16" s="7" t="n">
        <f aca="false">'Engine Runs'!$C$2913</f>
        <v>-803970.505367065</v>
      </c>
      <c r="T16" s="7" t="n">
        <f aca="false">'Engine Runs'!$C$3052</f>
        <v>-607226.142440595</v>
      </c>
    </row>
    <row r="17" customFormat="false" ht="15" hidden="false" customHeight="false" outlineLevel="0" collapsed="false">
      <c r="A17" s="4" t="s">
        <v>25</v>
      </c>
      <c r="B17" s="14" t="s">
        <v>125</v>
      </c>
      <c r="C17" s="7" t="n">
        <f aca="false">'Engine Runs'!$C$130</f>
        <v>-2502939.77253735</v>
      </c>
      <c r="D17" s="7" t="n">
        <f aca="false">'Engine Runs'!$C$269</f>
        <v>-2645899.10496357</v>
      </c>
      <c r="E17" s="7" t="n">
        <f aca="false">'Engine Runs'!$C$408</f>
        <v>-2299054.84306802</v>
      </c>
      <c r="F17" s="7" t="n">
        <f aca="false">'Engine Runs'!$C$827</f>
        <v>-7345026.33653731</v>
      </c>
      <c r="G17" s="7" t="n">
        <f aca="false">'Engine Runs'!$C$966</f>
        <v>-7222892.95198776</v>
      </c>
      <c r="H17" s="7" t="n">
        <f aca="false">'Engine Runs'!$C$1105</f>
        <v>-5428876.48572213</v>
      </c>
      <c r="I17" s="7" t="n">
        <f aca="false">'Engine Runs'!$C$1244</f>
        <v>-729995.022520068</v>
      </c>
      <c r="J17" s="7" t="n">
        <f aca="false">'Engine Runs'!$C$1383</f>
        <v>-821017.402656132</v>
      </c>
      <c r="K17" s="7" t="n">
        <f aca="false">'Engine Runs'!$C$1522</f>
        <v>-755671.43791667</v>
      </c>
      <c r="L17" s="7" t="n">
        <f aca="false">'Engine Runs'!$C$1661</f>
        <v>-2531335.98850055</v>
      </c>
      <c r="M17" s="7" t="n">
        <f aca="false">'Engine Runs'!$C$1800</f>
        <v>-2610408.33737085</v>
      </c>
      <c r="N17" s="7" t="n">
        <f aca="false">'Engine Runs'!$C$1939</f>
        <v>-2199485.18924948</v>
      </c>
      <c r="O17" s="7" t="n">
        <f aca="false">'Engine Runs'!$C$2358</f>
        <v>-7348790.15087953</v>
      </c>
      <c r="P17" s="7" t="n">
        <f aca="false">'Engine Runs'!$C$2497</f>
        <v>-7171119.07537953</v>
      </c>
      <c r="Q17" s="7" t="n">
        <f aca="false">'Engine Runs'!$C$2636</f>
        <v>-6032936.81213274</v>
      </c>
      <c r="R17" s="7" t="n">
        <f aca="false">'Engine Runs'!$C$2775</f>
        <v>-743420.537014216</v>
      </c>
      <c r="S17" s="7" t="n">
        <f aca="false">'Engine Runs'!$C$2914</f>
        <v>-803970.505367065</v>
      </c>
      <c r="T17" s="7" t="n">
        <f aca="false">'Engine Runs'!$C$3053</f>
        <v>-698430.338480503</v>
      </c>
    </row>
    <row r="18" customFormat="false" ht="15" hidden="false" customHeight="false" outlineLevel="0" collapsed="false">
      <c r="A18" s="4" t="s">
        <v>629</v>
      </c>
      <c r="B18" s="14" t="s">
        <v>125</v>
      </c>
      <c r="C18" s="7" t="n">
        <f aca="false">'Engine Runs'!$C$136</f>
        <v>0</v>
      </c>
      <c r="D18" s="7" t="n">
        <f aca="false">'Engine Runs'!$C$275</f>
        <v>0</v>
      </c>
      <c r="E18" s="7" t="n">
        <f aca="false">'Engine Runs'!$C$414</f>
        <v>0</v>
      </c>
      <c r="F18" s="7" t="n">
        <f aca="false">'Engine Runs'!$C$833</f>
        <v>0</v>
      </c>
      <c r="G18" s="7" t="n">
        <f aca="false">'Engine Runs'!$C$972</f>
        <v>0</v>
      </c>
      <c r="H18" s="7" t="n">
        <f aca="false">'Engine Runs'!$C$1111</f>
        <v>0</v>
      </c>
      <c r="I18" s="7" t="n">
        <f aca="false">'Engine Runs'!$C$1250</f>
        <v>0</v>
      </c>
      <c r="J18" s="7" t="n">
        <f aca="false">'Engine Runs'!$C$1389</f>
        <v>0</v>
      </c>
      <c r="K18" s="7" t="n">
        <f aca="false">'Engine Runs'!$C$1528</f>
        <v>0</v>
      </c>
      <c r="L18" s="7" t="n">
        <f aca="false">'Engine Runs'!$C$1667</f>
        <v>0</v>
      </c>
      <c r="M18" s="7" t="n">
        <f aca="false">'Engine Runs'!$C$1806</f>
        <v>0</v>
      </c>
      <c r="N18" s="7" t="n">
        <f aca="false">'Engine Runs'!$C$1945</f>
        <v>0</v>
      </c>
      <c r="O18" s="7" t="n">
        <f aca="false">'Engine Runs'!$C$2364</f>
        <v>0</v>
      </c>
      <c r="P18" s="7" t="n">
        <f aca="false">'Engine Runs'!$C$2503</f>
        <v>0</v>
      </c>
      <c r="Q18" s="7" t="n">
        <f aca="false">'Engine Runs'!$C$2642</f>
        <v>0</v>
      </c>
      <c r="R18" s="7" t="n">
        <f aca="false">'Engine Runs'!$C$2781</f>
        <v>0</v>
      </c>
      <c r="S18" s="7" t="n">
        <f aca="false">'Engine Runs'!$C$2920</f>
        <v>0</v>
      </c>
      <c r="T18" s="7" t="n">
        <f aca="false">'Engine Runs'!$C$3059</f>
        <v>0</v>
      </c>
    </row>
    <row r="19" customFormat="false" ht="15" hidden="false" customHeight="false" outlineLevel="0" collapsed="false">
      <c r="A19" s="4" t="s">
        <v>630</v>
      </c>
      <c r="B19" s="14" t="s">
        <v>133</v>
      </c>
      <c r="C19" s="66" t="n">
        <f aca="false">'Engine Runs'!$C$137</f>
        <v>15.5670341760124</v>
      </c>
      <c r="D19" s="66" t="n">
        <f aca="false">'Engine Runs'!$C$276</f>
        <v>43.6188722246667</v>
      </c>
      <c r="E19" s="66" t="n">
        <f aca="false">'Engine Runs'!$C$415</f>
        <v>116.59176500912</v>
      </c>
      <c r="F19" s="66" t="n">
        <f aca="false">'Engine Runs'!$C$834</f>
        <v>28.5017490731955</v>
      </c>
      <c r="G19" s="66" t="n">
        <f aca="false">'Engine Runs'!$C$973</f>
        <v>73.6465844201646</v>
      </c>
      <c r="H19" s="66" t="n">
        <f aca="false">'Engine Runs'!$C$1112</f>
        <v>184.11473152979</v>
      </c>
      <c r="I19" s="66" t="n">
        <f aca="false">'Engine Runs'!$C$1251</f>
        <v>7.5903563847742</v>
      </c>
      <c r="J19" s="66" t="n">
        <f aca="false">'Engine Runs'!$C$1390</f>
        <v>21.1913218619909</v>
      </c>
      <c r="K19" s="66" t="n">
        <f aca="false">'Engine Runs'!$C$1529</f>
        <v>56.8924129251711</v>
      </c>
      <c r="L19" s="66" t="n">
        <f aca="false">'Engine Runs'!$C$1668</f>
        <v>36.3734859626292</v>
      </c>
      <c r="M19" s="66" t="n">
        <f aca="false">'Engine Runs'!$C$1807</f>
        <v>98.47662507034</v>
      </c>
      <c r="N19" s="66" t="n">
        <f aca="false">'Engine Runs'!$C$1946</f>
        <v>240.541546469803</v>
      </c>
      <c r="O19" s="66" t="n">
        <f aca="false">'Engine Runs'!$C$2365</f>
        <v>55.5527252534314</v>
      </c>
      <c r="P19" s="66" t="n">
        <f aca="false">'Engine Runs'!$C$2504</f>
        <v>144.038232152361</v>
      </c>
      <c r="Q19" s="66" t="n">
        <f aca="false">'Engine Runs'!$C$2643</f>
        <v>336.343963822151</v>
      </c>
      <c r="R19" s="66" t="n">
        <f aca="false">'Engine Runs'!$C$2782</f>
        <v>16.9846026034146</v>
      </c>
      <c r="S19" s="66" t="n">
        <f aca="false">'Engine Runs'!$C$2921</f>
        <v>46.35317562821</v>
      </c>
      <c r="T19" s="66" t="n">
        <f aca="false">'Engine Runs'!$C$3060</f>
        <v>114.236836448332</v>
      </c>
    </row>
    <row r="20" customFormat="false" ht="15" hidden="false" customHeight="false" outlineLevel="0" collapsed="false">
      <c r="A20" s="4" t="s">
        <v>631</v>
      </c>
      <c r="B20" s="14" t="s">
        <v>133</v>
      </c>
      <c r="C20" s="66" t="n">
        <f aca="false">'Engine Runs'!$C$138</f>
        <v>1.54372468444785</v>
      </c>
      <c r="D20" s="66" t="n">
        <f aca="false">'Engine Runs'!$C$277</f>
        <v>6.18260904948639</v>
      </c>
      <c r="E20" s="66" t="n">
        <f aca="false">'Engine Runs'!$C$416</f>
        <v>21.7760904031459</v>
      </c>
      <c r="F20" s="66" t="n">
        <f aca="false">'Engine Runs'!$C$835</f>
        <v>2.85874696215099</v>
      </c>
      <c r="G20" s="66" t="n">
        <f aca="false">'Engine Runs'!$C$974</f>
        <v>10.2078993808733</v>
      </c>
      <c r="H20" s="66" t="n">
        <f aca="false">'Engine Runs'!$C$1113</f>
        <v>33.3719427346414</v>
      </c>
      <c r="I20" s="66" t="n">
        <f aca="false">'Engine Runs'!$C$1252</f>
        <v>0.751478427343154</v>
      </c>
      <c r="J20" s="66" t="n">
        <f aca="false">'Engine Runs'!$C$1391</f>
        <v>3.00051442615977</v>
      </c>
      <c r="K20" s="66" t="n">
        <f aca="false">'Engine Runs'!$C$1530</f>
        <v>10.6220541226321</v>
      </c>
      <c r="L20" s="66" t="n">
        <f aca="false">'Engine Runs'!$C$1669</f>
        <v>3.3077330884446</v>
      </c>
      <c r="M20" s="66" t="n">
        <f aca="false">'Engine Runs'!$C$1808</f>
        <v>12.4046492651292</v>
      </c>
      <c r="N20" s="66" t="n">
        <f aca="false">'Engine Runs'!$C$1947</f>
        <v>37.2559400871903</v>
      </c>
      <c r="O20" s="66" t="n">
        <f aca="false">'Engine Runs'!$C$2366</f>
        <v>5.07477267948291</v>
      </c>
      <c r="P20" s="66" t="n">
        <f aca="false">'Engine Runs'!$C$2505</f>
        <v>17.9834034125201</v>
      </c>
      <c r="Q20" s="66" t="n">
        <f aca="false">'Engine Runs'!$C$2644</f>
        <v>52.2151341898812</v>
      </c>
      <c r="R20" s="66" t="n">
        <f aca="false">'Engine Runs'!$C$2783</f>
        <v>1.54369592445639</v>
      </c>
      <c r="S20" s="66" t="n">
        <f aca="false">'Engine Runs'!$C$2922</f>
        <v>5.83806818150831</v>
      </c>
      <c r="T20" s="66" t="n">
        <f aca="false">'Engine Runs'!$C$3061</f>
        <v>17.705053523083</v>
      </c>
    </row>
    <row r="21" customFormat="false" ht="15" hidden="false" customHeight="false" outlineLevel="0" collapsed="false">
      <c r="A21" s="4" t="s">
        <v>632</v>
      </c>
      <c r="B21" s="14" t="s">
        <v>133</v>
      </c>
      <c r="C21" s="66" t="n">
        <f aca="false">'Engine Runs'!$C$139</f>
        <v>20</v>
      </c>
      <c r="D21" s="66" t="n">
        <f aca="false">'Engine Runs'!$C$278</f>
        <v>42</v>
      </c>
      <c r="E21" s="66" t="n">
        <f aca="false">'Engine Runs'!$C$417</f>
        <v>96</v>
      </c>
      <c r="F21" s="66" t="n">
        <f aca="false">'Engine Runs'!$C$836</f>
        <v>20</v>
      </c>
      <c r="G21" s="66" t="n">
        <f aca="false">'Engine Runs'!$C$975</f>
        <v>42</v>
      </c>
      <c r="H21" s="66" t="n">
        <f aca="false">'Engine Runs'!$C$1114</f>
        <v>96</v>
      </c>
      <c r="I21" s="66" t="n">
        <f aca="false">'Engine Runs'!$C$1253</f>
        <v>10</v>
      </c>
      <c r="J21" s="66" t="n">
        <f aca="false">'Engine Runs'!$C$1392</f>
        <v>21</v>
      </c>
      <c r="K21" s="66" t="n">
        <f aca="false">'Engine Runs'!$C$1531</f>
        <v>48</v>
      </c>
      <c r="L21" s="66" t="n">
        <f aca="false">'Engine Runs'!$C$1670</f>
        <v>28</v>
      </c>
      <c r="M21" s="66" t="n">
        <f aca="false">'Engine Runs'!$C$1809</f>
        <v>54</v>
      </c>
      <c r="N21" s="66" t="n">
        <f aca="false">'Engine Runs'!$C$1948</f>
        <v>112</v>
      </c>
      <c r="O21" s="66" t="n">
        <f aca="false">'Engine Runs'!$C$2367</f>
        <v>28</v>
      </c>
      <c r="P21" s="66" t="n">
        <f aca="false">'Engine Runs'!$C$2506</f>
        <v>54</v>
      </c>
      <c r="Q21" s="66" t="n">
        <f aca="false">'Engine Runs'!$C$2645</f>
        <v>112</v>
      </c>
      <c r="R21" s="66" t="n">
        <f aca="false">'Engine Runs'!$C$2784</f>
        <v>14</v>
      </c>
      <c r="S21" s="66" t="n">
        <f aca="false">'Engine Runs'!$C$2923</f>
        <v>27</v>
      </c>
      <c r="T21" s="66" t="n">
        <f aca="false">'Engine Runs'!$C$3062</f>
        <v>56</v>
      </c>
    </row>
    <row r="22" customFormat="false" ht="15" hidden="false" customHeight="false" outlineLevel="0" collapsed="false">
      <c r="A22" s="4" t="s">
        <v>633</v>
      </c>
      <c r="B22" s="14" t="s">
        <v>125</v>
      </c>
      <c r="C22" s="7" t="n">
        <f aca="false">'Engine Runs'!$C$140</f>
        <v>6891.78950927565</v>
      </c>
      <c r="D22" s="7" t="n">
        <f aca="false">'Engine Runs'!$C$279</f>
        <v>8545.01753177967</v>
      </c>
      <c r="E22" s="7" t="n">
        <f aca="false">'Engine Runs'!$C$418</f>
        <v>11723.9726084903</v>
      </c>
      <c r="F22" s="7" t="n">
        <f aca="false">'Engine Runs'!$C$837</f>
        <v>6885.73598846013</v>
      </c>
      <c r="G22" s="7" t="n">
        <f aca="false">'Engine Runs'!$C$976</f>
        <v>8458.47709261422</v>
      </c>
      <c r="H22" s="7" t="n">
        <f aca="false">'Engine Runs'!$C$1115</f>
        <v>11504.3561590685</v>
      </c>
      <c r="I22" s="7" t="n">
        <f aca="false">'Engine Runs'!$C$1254</f>
        <v>6890.59016441463</v>
      </c>
      <c r="J22" s="7" t="n">
        <f aca="false">'Engine Runs'!$C$1393</f>
        <v>8544.10501175352</v>
      </c>
      <c r="K22" s="7" t="n">
        <f aca="false">'Engine Runs'!$C$1532</f>
        <v>11720.2730068752</v>
      </c>
      <c r="L22" s="7" t="n">
        <f aca="false">'Engine Runs'!$C$1671</f>
        <v>6128.81594934335</v>
      </c>
      <c r="M22" s="7" t="n">
        <f aca="false">'Engine Runs'!$C$1810</f>
        <v>6435.70474560325</v>
      </c>
      <c r="N22" s="7" t="n">
        <f aca="false">'Engine Runs'!$C$1949</f>
        <v>6706.76854354706</v>
      </c>
      <c r="O22" s="7" t="n">
        <f aca="false">'Engine Runs'!$C$2368</f>
        <v>6133.14514780004</v>
      </c>
      <c r="P22" s="7" t="n">
        <f aca="false">'Engine Runs'!$C$2507</f>
        <v>6420.59413938793</v>
      </c>
      <c r="Q22" s="7" t="n">
        <f aca="false">'Engine Runs'!$C$2646</f>
        <v>6674.21979964615</v>
      </c>
      <c r="R22" s="7" t="n">
        <f aca="false">'Engine Runs'!$C$2785</f>
        <v>6129.11202835394</v>
      </c>
      <c r="S22" s="7" t="n">
        <f aca="false">'Engine Runs'!$C$2924</f>
        <v>6436.35892080972</v>
      </c>
      <c r="T22" s="7" t="n">
        <f aca="false">'Engine Runs'!$C$3063</f>
        <v>6706.0226056559</v>
      </c>
    </row>
    <row r="24" customFormat="false" ht="15" hidden="false" customHeight="false" outlineLevel="0" collapsed="false">
      <c r="A24" s="3" t="s">
        <v>634</v>
      </c>
    </row>
    <row r="25" customFormat="false" ht="45.75" hidden="false" customHeight="true" outlineLevel="0" collapsed="false">
      <c r="A25" s="6" t="s">
        <v>604</v>
      </c>
      <c r="B25" s="6" t="s">
        <v>63</v>
      </c>
      <c r="C25" s="6" t="s">
        <v>635</v>
      </c>
      <c r="D25" s="6" t="s">
        <v>636</v>
      </c>
      <c r="E25" s="6" t="s">
        <v>637</v>
      </c>
      <c r="F25" s="6" t="s">
        <v>638</v>
      </c>
    </row>
    <row r="26" customFormat="false" ht="15" hidden="false" customHeight="false" outlineLevel="0" collapsed="false">
      <c r="A26" s="4" t="s">
        <v>623</v>
      </c>
      <c r="B26" s="14" t="s">
        <v>125</v>
      </c>
      <c r="C26" s="7" t="n">
        <f aca="false">'Engine Runs'!$C$551</f>
        <v>-912381.677303168</v>
      </c>
      <c r="D26" s="7" t="n">
        <f aca="false">'Engine Runs'!$C$691</f>
        <v>1567837.82917321</v>
      </c>
      <c r="E26" s="7" t="n">
        <f aca="false">'Engine Runs'!$C$2082</f>
        <v>-927042.332619936</v>
      </c>
      <c r="F26" s="7" t="n">
        <f aca="false">'Engine Runs'!$C$2222</f>
        <v>-622652.808306281</v>
      </c>
    </row>
    <row r="27" customFormat="false" ht="15" hidden="false" customHeight="false" outlineLevel="0" collapsed="false">
      <c r="A27" s="4" t="s">
        <v>624</v>
      </c>
      <c r="B27" s="14" t="s">
        <v>125</v>
      </c>
      <c r="C27" s="7" t="n">
        <f aca="false">'Engine Runs'!$C$552</f>
        <v>754060.773612699</v>
      </c>
      <c r="D27" s="7" t="n">
        <f aca="false">'Engine Runs'!$C$692</f>
        <v>2155594.77263692</v>
      </c>
      <c r="E27" s="7" t="n">
        <f aca="false">'Engine Runs'!$C$2083</f>
        <v>763015.307946136</v>
      </c>
      <c r="F27" s="7" t="n">
        <f aca="false">'Engine Runs'!$C$2223</f>
        <v>2040061.8486417</v>
      </c>
    </row>
    <row r="28" customFormat="false" ht="15" hidden="false" customHeight="false" outlineLevel="0" collapsed="false">
      <c r="A28" s="4" t="s">
        <v>625</v>
      </c>
      <c r="B28" s="14" t="s">
        <v>125</v>
      </c>
      <c r="C28" s="7" t="n">
        <f aca="false">'Engine Runs'!$C$553</f>
        <v>-1666442.45091587</v>
      </c>
      <c r="D28" s="7" t="n">
        <f aca="false">'Engine Runs'!$C$693</f>
        <v>-587756.943463715</v>
      </c>
      <c r="E28" s="7" t="n">
        <f aca="false">'Engine Runs'!$C$2084</f>
        <v>-1690057.64056607</v>
      </c>
      <c r="F28" s="7" t="n">
        <f aca="false">'Engine Runs'!$C$2224</f>
        <v>-2662714.65694798</v>
      </c>
    </row>
    <row r="29" customFormat="false" ht="15" hidden="false" customHeight="false" outlineLevel="0" collapsed="false">
      <c r="A29" s="4" t="s">
        <v>581</v>
      </c>
      <c r="B29" s="14" t="s">
        <v>125</v>
      </c>
      <c r="C29" s="7" t="n">
        <f aca="false">'Engine Runs'!$C$537</f>
        <v>10088.5253798885</v>
      </c>
      <c r="D29" s="7" t="n">
        <f aca="false">'Engine Runs'!$C$677</f>
        <v>3262047.92714426</v>
      </c>
      <c r="E29" s="7" t="n">
        <f aca="false">'Engine Runs'!$C$2068</f>
        <v>19612.0135984736</v>
      </c>
      <c r="F29" s="7" t="n">
        <f aca="false">'Engine Runs'!$C$2208</f>
        <v>2703520.6727876</v>
      </c>
    </row>
    <row r="30" customFormat="false" ht="15" hidden="false" customHeight="false" outlineLevel="0" collapsed="false">
      <c r="A30" s="4" t="s">
        <v>582</v>
      </c>
      <c r="B30" s="14" t="s">
        <v>133</v>
      </c>
      <c r="C30" s="65" t="n">
        <f aca="false">'Engine Runs'!$C$538</f>
        <v>1.14833974929675</v>
      </c>
      <c r="D30" s="65" t="n">
        <f aca="false">'Engine Runs'!$C$678</f>
        <v>213.377253366761</v>
      </c>
      <c r="E30" s="65" t="n">
        <f aca="false">'Engine Runs'!$C$2069</f>
        <v>2.54752254857787</v>
      </c>
      <c r="F30" s="65" t="n">
        <f aca="false">'Engine Runs'!$C$2209</f>
        <v>300.971283895907</v>
      </c>
    </row>
    <row r="31" customFormat="false" ht="15" hidden="false" customHeight="false" outlineLevel="0" collapsed="false">
      <c r="A31" s="4" t="s">
        <v>583</v>
      </c>
      <c r="B31" s="14" t="s">
        <v>133</v>
      </c>
      <c r="C31" s="65" t="n">
        <f aca="false">'Engine Runs'!$C$539</f>
        <v>1.6173834699186</v>
      </c>
      <c r="D31" s="65" t="n">
        <f aca="false">'Engine Runs'!$C$679</f>
        <v>229.610975109321</v>
      </c>
      <c r="E31" s="65" t="n">
        <f aca="false">'Engine Runs'!$C$2070</f>
        <v>3.59153207635933</v>
      </c>
      <c r="F31" s="65" t="n">
        <f aca="false">'Engine Runs'!$C$2210</f>
        <v>326.024750106632</v>
      </c>
    </row>
    <row r="32" customFormat="false" ht="15" hidden="false" customHeight="false" outlineLevel="0" collapsed="false">
      <c r="A32" s="4" t="s">
        <v>22</v>
      </c>
      <c r="B32" s="14" t="s">
        <v>125</v>
      </c>
      <c r="C32" s="7" t="n">
        <f aca="false">'Engine Runs'!$C$541</f>
        <v>6821.66450352204</v>
      </c>
      <c r="D32" s="7" t="n">
        <f aca="false">'Engine Runs'!$C$681</f>
        <v>12294.5913700363</v>
      </c>
      <c r="E32" s="7" t="n">
        <f aca="false">'Engine Runs'!$C$2072</f>
        <v>6067.43279153424</v>
      </c>
      <c r="F32" s="7" t="n">
        <f aca="false">'Engine Runs'!$C$2212</f>
        <v>7285.95474279544</v>
      </c>
    </row>
    <row r="33" customFormat="false" ht="15" hidden="false" customHeight="false" outlineLevel="0" collapsed="false">
      <c r="A33" s="4" t="s">
        <v>626</v>
      </c>
      <c r="B33" s="14" t="s">
        <v>125</v>
      </c>
      <c r="C33" s="7" t="n">
        <f aca="false">'Engine Runs'!$C$542</f>
        <v>314768.051885229</v>
      </c>
      <c r="D33" s="7" t="n">
        <f aca="false">'Engine Runs'!$C$682</f>
        <v>15645.6107178958</v>
      </c>
      <c r="E33" s="7" t="n">
        <f aca="false">'Engine Runs'!$C$2073</f>
        <v>145096.819552339</v>
      </c>
      <c r="F33" s="7" t="n">
        <f aca="false">'Engine Runs'!$C$2213</f>
        <v>10180.2637398373</v>
      </c>
    </row>
    <row r="34" customFormat="false" ht="15" hidden="false" customHeight="false" outlineLevel="0" collapsed="false">
      <c r="A34" s="4" t="s">
        <v>627</v>
      </c>
      <c r="B34" s="14" t="s">
        <v>125</v>
      </c>
      <c r="C34" s="7" t="n">
        <f aca="false">'Engine Runs'!$C$543</f>
        <v>103984.484794603</v>
      </c>
      <c r="D34" s="7" t="n">
        <f aca="false">'Engine Runs'!$C$683</f>
        <v>5362.14570736121</v>
      </c>
      <c r="E34" s="7" t="n">
        <f aca="false">'Engine Runs'!$C$2074</f>
        <v>50174.1375618614</v>
      </c>
      <c r="F34" s="7" t="n">
        <f aca="false">'Engine Runs'!$C$2214</f>
        <v>2937.87975580182</v>
      </c>
    </row>
    <row r="35" customFormat="false" ht="15" hidden="false" customHeight="false" outlineLevel="0" collapsed="false">
      <c r="A35" s="4" t="s">
        <v>23</v>
      </c>
      <c r="B35" s="14" t="s">
        <v>301</v>
      </c>
      <c r="C35" s="8" t="n">
        <f aca="false">'Engine Runs'!$C$545</f>
        <v>0</v>
      </c>
      <c r="D35" s="8" t="n">
        <f aca="false">'Engine Runs'!$C$685</f>
        <v>15.3780121503971</v>
      </c>
      <c r="E35" s="8" t="n">
        <f aca="false">'Engine Runs'!$C$2076</f>
        <v>0</v>
      </c>
      <c r="F35" s="8" t="n">
        <f aca="false">'Engine Runs'!$C$2216</f>
        <v>17.9938217998527</v>
      </c>
    </row>
    <row r="36" customFormat="false" ht="15" hidden="false" customHeight="false" outlineLevel="0" collapsed="false">
      <c r="A36" s="4" t="s">
        <v>589</v>
      </c>
      <c r="B36" s="14" t="s">
        <v>125</v>
      </c>
      <c r="C36" s="7" t="n">
        <f aca="false">'Engine Runs'!$C$546</f>
        <v>991145.19480967</v>
      </c>
      <c r="D36" s="7" t="n">
        <f aca="false">'Engine Runs'!$C$686</f>
        <v>4742953.05324428</v>
      </c>
      <c r="E36" s="7" t="n">
        <f aca="false">'Engine Runs'!$C$2077</f>
        <v>1009072.76175341</v>
      </c>
      <c r="F36" s="7" t="n">
        <f aca="false">'Engine Runs'!$C$2217</f>
        <v>4674894.41767403</v>
      </c>
    </row>
    <row r="37" customFormat="false" ht="15" hidden="false" customHeight="false" outlineLevel="0" collapsed="false">
      <c r="A37" s="4" t="s">
        <v>628</v>
      </c>
      <c r="B37" s="14" t="s">
        <v>125</v>
      </c>
      <c r="C37" s="7" t="n">
        <f aca="false">'Engine Runs'!$C$547</f>
        <v>-977862.234860317</v>
      </c>
      <c r="D37" s="7" t="n">
        <f aca="false">'Engine Runs'!$C$687</f>
        <v>-2542791.08323589</v>
      </c>
      <c r="E37" s="7" t="n">
        <f aca="false">'Engine Runs'!$C$2078</f>
        <v>-983066.464670101</v>
      </c>
      <c r="F37" s="7" t="n">
        <f aca="false">'Engine Runs'!$C$2218</f>
        <v>-2735348.10807453</v>
      </c>
    </row>
    <row r="38" customFormat="false" ht="15" hidden="false" customHeight="false" outlineLevel="0" collapsed="false">
      <c r="A38" s="4" t="s">
        <v>25</v>
      </c>
      <c r="B38" s="14" t="s">
        <v>125</v>
      </c>
      <c r="C38" s="7" t="n">
        <f aca="false">'Engine Runs'!$C$548</f>
        <v>-984629.143454388</v>
      </c>
      <c r="D38" s="7" t="n">
        <f aca="false">'Engine Runs'!$C$688</f>
        <v>-2594268.51551889</v>
      </c>
      <c r="E38" s="7" t="n">
        <f aca="false">'Engine Runs'!$C$2079</f>
        <v>-996075.627773843</v>
      </c>
      <c r="F38" s="7" t="n">
        <f aca="false">'Engine Runs'!$C$2219</f>
        <v>-2735348.10807453</v>
      </c>
    </row>
    <row r="39" customFormat="false" ht="15" hidden="false" customHeight="false" outlineLevel="0" collapsed="false">
      <c r="A39" s="4" t="s">
        <v>629</v>
      </c>
      <c r="B39" s="14" t="s">
        <v>125</v>
      </c>
      <c r="C39" s="7" t="n">
        <f aca="false">'Engine Runs'!$C$554</f>
        <v>6549.03456085475</v>
      </c>
      <c r="D39" s="7" t="n">
        <f aca="false">'Engine Runs'!$C$694</f>
        <v>0</v>
      </c>
      <c r="E39" s="7" t="n">
        <f aca="false">'Engine Runs'!$C$2085</f>
        <v>9525.70419703343</v>
      </c>
      <c r="F39" s="7" t="n">
        <f aca="false">'Engine Runs'!$C$2225</f>
        <v>0</v>
      </c>
    </row>
    <row r="41" customFormat="false" ht="23.85" hidden="false" customHeight="false" outlineLevel="0" collapsed="false">
      <c r="A41" s="3" t="s">
        <v>639</v>
      </c>
    </row>
    <row r="42" customFormat="false" ht="15" hidden="false" customHeight="false" outlineLevel="0" collapsed="false">
      <c r="A42" s="4" t="s">
        <v>640</v>
      </c>
      <c r="C42" s="33" t="n">
        <f aca="false">'Unit Economics'!$C$53-INDEX($C$5:$T$5,1,((Assumptions!$D$5-1)*9+(Assumptions!$D$6-1)*3+Assumptions!$D$4))</f>
        <v>0</v>
      </c>
    </row>
    <row r="43" customFormat="false" ht="15" hidden="false" customHeight="false" outlineLevel="0" collapsed="false">
      <c r="A43" s="4" t="s">
        <v>641</v>
      </c>
      <c r="C43" s="33" t="n">
        <f aca="false">'Unit Economics'!$C$39-INDEX($C$8:$T$8,1,((Assumptions!$D$5-1)*9+(Assumptions!$D$6-1)*3+Assumptions!$D$4))</f>
        <v>0</v>
      </c>
    </row>
    <row r="45" customFormat="false" ht="15" hidden="false" customHeight="false" outlineLevel="0" collapsed="false">
      <c r="A45" s="3" t="s">
        <v>642</v>
      </c>
      <c r="C45" s="26" t="s">
        <v>354</v>
      </c>
      <c r="D45" s="26" t="s">
        <v>355</v>
      </c>
      <c r="E45" s="26" t="s">
        <v>356</v>
      </c>
      <c r="F45" s="26" t="s">
        <v>357</v>
      </c>
      <c r="G45" s="26" t="s">
        <v>358</v>
      </c>
      <c r="H45" s="26" t="s">
        <v>359</v>
      </c>
      <c r="I45" s="26" t="s">
        <v>360</v>
      </c>
      <c r="J45" s="26" t="s">
        <v>361</v>
      </c>
      <c r="K45" s="26" t="s">
        <v>362</v>
      </c>
      <c r="L45" s="26" t="s">
        <v>363</v>
      </c>
      <c r="M45" s="26" t="s">
        <v>364</v>
      </c>
      <c r="N45" s="26" t="s">
        <v>365</v>
      </c>
    </row>
    <row r="46" customFormat="false" ht="15" hidden="false" customHeight="false" outlineLevel="0" collapsed="false">
      <c r="A46" s="4" t="s">
        <v>643</v>
      </c>
      <c r="C46" s="67" t="n">
        <f aca="false">'Engine Runs'!C81</f>
        <v>0</v>
      </c>
      <c r="D46" s="67" t="n">
        <f aca="false">'Engine Runs'!D81</f>
        <v>1795.40624257169</v>
      </c>
      <c r="E46" s="67" t="n">
        <f aca="false">'Engine Runs'!E81</f>
        <v>5695.73016836743</v>
      </c>
      <c r="F46" s="67" t="n">
        <f aca="false">'Engine Runs'!F81</f>
        <v>10546.4948532564</v>
      </c>
      <c r="G46" s="67" t="n">
        <f aca="false">'Engine Runs'!G81</f>
        <v>16044.1536896732</v>
      </c>
      <c r="H46" s="67" t="n">
        <f aca="false">'Engine Runs'!H81</f>
        <v>22209.8981354365</v>
      </c>
      <c r="I46" s="67" t="n">
        <f aca="false">'Engine Runs'!I81</f>
        <v>28367.6844595626</v>
      </c>
      <c r="J46" s="67" t="n">
        <f aca="false">'Engine Runs'!J81</f>
        <v>35119.0362847356</v>
      </c>
      <c r="K46" s="67" t="n">
        <f aca="false">'Engine Runs'!K81</f>
        <v>42435.0385728229</v>
      </c>
      <c r="L46" s="67" t="n">
        <f aca="false">'Engine Runs'!L81</f>
        <v>49546.9448961098</v>
      </c>
      <c r="M46" s="67" t="n">
        <f aca="false">'Engine Runs'!M81</f>
        <v>56359.659197126</v>
      </c>
      <c r="N46" s="67" t="n">
        <f aca="false">'Engine Runs'!N81</f>
        <v>62906.1562730314</v>
      </c>
    </row>
    <row r="47" customFormat="false" ht="15" hidden="false" customHeight="false" outlineLevel="0" collapsed="false">
      <c r="A47" s="4" t="s">
        <v>644</v>
      </c>
      <c r="C47" s="67" t="n">
        <f aca="false">'Engine Runs'!C220</f>
        <v>0</v>
      </c>
      <c r="D47" s="67" t="n">
        <f aca="false">'Engine Runs'!D220</f>
        <v>8876.43319038757</v>
      </c>
      <c r="E47" s="67" t="n">
        <f aca="false">'Engine Runs'!E220</f>
        <v>28556.8328798949</v>
      </c>
      <c r="F47" s="67" t="n">
        <f aca="false">'Engine Runs'!F220</f>
        <v>53219.0446912122</v>
      </c>
      <c r="G47" s="67" t="n">
        <f aca="false">'Engine Runs'!G220</f>
        <v>80661.5284149939</v>
      </c>
      <c r="H47" s="67" t="n">
        <f aca="false">'Engine Runs'!H220</f>
        <v>114397.200378599</v>
      </c>
      <c r="I47" s="67" t="n">
        <f aca="false">'Engine Runs'!I220</f>
        <v>155018.116366178</v>
      </c>
      <c r="J47" s="67" t="n">
        <f aca="false">'Engine Runs'!J220</f>
        <v>210178.596103656</v>
      </c>
      <c r="K47" s="67" t="n">
        <f aca="false">'Engine Runs'!K220</f>
        <v>281455.503508684</v>
      </c>
      <c r="L47" s="67" t="n">
        <f aca="false">'Engine Runs'!L220</f>
        <v>357934.868621746</v>
      </c>
      <c r="M47" s="67" t="n">
        <f aca="false">'Engine Runs'!M220</f>
        <v>434190.644323734</v>
      </c>
      <c r="N47" s="67" t="n">
        <f aca="false">'Engine Runs'!N220</f>
        <v>509612.726732255</v>
      </c>
    </row>
    <row r="48" customFormat="false" ht="15" hidden="false" customHeight="false" outlineLevel="0" collapsed="false">
      <c r="A48" s="4" t="s">
        <v>645</v>
      </c>
      <c r="C48" s="67" t="n">
        <f aca="false">'Engine Runs'!C359</f>
        <v>0</v>
      </c>
      <c r="D48" s="67" t="n">
        <f aca="false">'Engine Runs'!D359</f>
        <v>36090.5039438446</v>
      </c>
      <c r="E48" s="67" t="n">
        <f aca="false">'Engine Runs'!E359</f>
        <v>130249.715900034</v>
      </c>
      <c r="F48" s="67" t="n">
        <f aca="false">'Engine Runs'!F359</f>
        <v>260899.811525988</v>
      </c>
      <c r="G48" s="67" t="n">
        <f aca="false">'Engine Runs'!G359</f>
        <v>428872.530221052</v>
      </c>
      <c r="H48" s="67" t="n">
        <f aca="false">'Engine Runs'!H359</f>
        <v>639714.563948626</v>
      </c>
      <c r="I48" s="67" t="n">
        <f aca="false">'Engine Runs'!I359</f>
        <v>924070.943676515</v>
      </c>
      <c r="J48" s="67" t="n">
        <f aca="false">'Engine Runs'!J359</f>
        <v>1297120.41898565</v>
      </c>
      <c r="K48" s="67" t="n">
        <f aca="false">'Engine Runs'!K359</f>
        <v>1708303.67891516</v>
      </c>
      <c r="L48" s="67" t="n">
        <f aca="false">'Engine Runs'!L359</f>
        <v>2130736.84995223</v>
      </c>
      <c r="M48" s="67" t="n">
        <f aca="false">'Engine Runs'!M359</f>
        <v>2565375.40807015</v>
      </c>
      <c r="N48" s="67" t="n">
        <f aca="false">'Engine Runs'!N359</f>
        <v>3013219.53633262</v>
      </c>
    </row>
    <row r="49" customFormat="false" ht="15" hidden="false" customHeight="false" outlineLevel="0" collapsed="false">
      <c r="A49" s="4" t="s">
        <v>646</v>
      </c>
      <c r="C49" s="67" t="n">
        <f aca="false">'Engine Runs'!C917</f>
        <v>0</v>
      </c>
      <c r="D49" s="67" t="n">
        <f aca="false">'Engine Runs'!D917</f>
        <v>12457.995003187</v>
      </c>
      <c r="E49" s="67" t="n">
        <f aca="false">'Engine Runs'!E917</f>
        <v>44041.686003686</v>
      </c>
      <c r="F49" s="67" t="n">
        <f aca="false">'Engine Runs'!F917</f>
        <v>86916.3691817893</v>
      </c>
      <c r="G49" s="67" t="n">
        <f aca="false">'Engine Runs'!G917</f>
        <v>135340.74430879</v>
      </c>
      <c r="H49" s="67" t="n">
        <f aca="false">'Engine Runs'!H917</f>
        <v>194186.651800538</v>
      </c>
      <c r="I49" s="67" t="n">
        <f aca="false">'Engine Runs'!I917</f>
        <v>263847.38791525</v>
      </c>
      <c r="J49" s="67" t="n">
        <f aca="false">'Engine Runs'!J917</f>
        <v>354092.013499653</v>
      </c>
      <c r="K49" s="67" t="n">
        <f aca="false">'Engine Runs'!K917</f>
        <v>465005.559417863</v>
      </c>
      <c r="L49" s="67" t="n">
        <f aca="false">'Engine Runs'!L917</f>
        <v>582893.895766009</v>
      </c>
      <c r="M49" s="67" t="n">
        <f aca="false">'Engine Runs'!M917</f>
        <v>701714.996157534</v>
      </c>
      <c r="N49" s="67" t="n">
        <f aca="false">'Engine Runs'!N917</f>
        <v>820721.594513904</v>
      </c>
    </row>
    <row r="50" customFormat="false" ht="15" hidden="false" customHeight="false" outlineLevel="0" collapsed="false">
      <c r="A50" s="4" t="s">
        <v>647</v>
      </c>
      <c r="C50" s="67" t="n">
        <f aca="false">'Engine Runs'!C1334</f>
        <v>0</v>
      </c>
      <c r="D50" s="67" t="n">
        <f aca="false">'Engine Runs'!D1334</f>
        <v>4318.22312460352</v>
      </c>
      <c r="E50" s="67" t="n">
        <f aca="false">'Engine Runs'!E1334</f>
        <v>13858.0704928493</v>
      </c>
      <c r="F50" s="67" t="n">
        <f aca="false">'Engine Runs'!F1334</f>
        <v>25825.4884858417</v>
      </c>
      <c r="G50" s="67" t="n">
        <f aca="false">'Engine Runs'!G1334</f>
        <v>39177.0148504212</v>
      </c>
      <c r="H50" s="67" t="n">
        <f aca="false">'Engine Runs'!H1334</f>
        <v>55583.8202023846</v>
      </c>
      <c r="I50" s="67" t="n">
        <f aca="false">'Engine Runs'!I1334</f>
        <v>75310.9520859215</v>
      </c>
      <c r="J50" s="67" t="n">
        <f aca="false">'Engine Runs'!J1334</f>
        <v>101992.4586488</v>
      </c>
      <c r="K50" s="67" t="n">
        <f aca="false">'Engine Runs'!K1334</f>
        <v>136345.611335541</v>
      </c>
      <c r="L50" s="67" t="n">
        <f aca="false">'Engine Runs'!L1334</f>
        <v>173184.419965394</v>
      </c>
      <c r="M50" s="67" t="n">
        <f aca="false">'Engine Runs'!M1334</f>
        <v>209890.006668174</v>
      </c>
      <c r="N50" s="67" t="n">
        <f aca="false">'Engine Runs'!N1334</f>
        <v>246156.696716439</v>
      </c>
    </row>
  </sheetData>
  <conditionalFormatting sqref="C5:T5">
    <cfRule type="cellIs" priority="2" operator="lessThan" aboveAverage="0" equalAverage="0" bottom="0" percent="0" rank="0" text="" dxfId="0">
      <formula>0</formula>
    </cfRule>
    <cfRule type="cellIs" priority="3" operator="greaterThanOrEqual" aboveAverage="0" equalAverage="0" bottom="0" percent="0" rank="0" text="" dxfId="1">
      <formula>0</formula>
    </cfRule>
  </conditionalFormatting>
  <conditionalFormatting sqref="C7:T7">
    <cfRule type="cellIs" priority="4" operator="lessThan" aboveAverage="0" equalAverage="0" bottom="0" percent="0" rank="0" text="" dxfId="0">
      <formula>0</formula>
    </cfRule>
    <cfRule type="cellIs" priority="5" operator="greaterThanOr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J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2"/>
    <col collapsed="false" customWidth="true" hidden="false" outlineLevel="0" max="6" min="4" style="0" width="15"/>
    <col collapsed="false" customWidth="true" hidden="false" outlineLevel="0" max="7" min="7" style="0" width="17"/>
    <col collapsed="false" customWidth="true" hidden="false" outlineLevel="0" max="8" min="8" style="0" width="15"/>
    <col collapsed="false" customWidth="true" hidden="false" outlineLevel="0" max="10" min="9" style="0" width="14"/>
  </cols>
  <sheetData>
    <row r="1" customFormat="false" ht="17.35" hidden="false" customHeight="false" outlineLevel="0" collapsed="false">
      <c r="A1" s="1" t="s">
        <v>648</v>
      </c>
    </row>
    <row r="2" customFormat="false" ht="15" hidden="false" customHeight="false" outlineLevel="0" collapsed="false">
      <c r="A2" s="2" t="s">
        <v>649</v>
      </c>
    </row>
    <row r="4" customFormat="false" ht="30" hidden="false" customHeight="true" outlineLevel="0" collapsed="false">
      <c r="A4" s="6" t="s">
        <v>650</v>
      </c>
      <c r="B4" s="6" t="s">
        <v>651</v>
      </c>
      <c r="C4" s="6" t="s">
        <v>652</v>
      </c>
      <c r="D4" s="6" t="s">
        <v>653</v>
      </c>
      <c r="E4" s="6" t="s">
        <v>654</v>
      </c>
      <c r="F4" s="6" t="s">
        <v>655</v>
      </c>
      <c r="G4" s="6" t="s">
        <v>656</v>
      </c>
      <c r="H4" s="6" t="s">
        <v>657</v>
      </c>
      <c r="I4" s="6" t="s">
        <v>658</v>
      </c>
      <c r="J4" s="6" t="s">
        <v>657</v>
      </c>
    </row>
    <row r="5" customFormat="false" ht="15" hidden="false" customHeight="false" outlineLevel="0" collapsed="false">
      <c r="A5" s="9" t="s">
        <v>659</v>
      </c>
      <c r="B5" s="10" t="n">
        <f aca="false">Assumptions!$D$17</f>
        <v>0.3</v>
      </c>
      <c r="C5" s="10" t="n">
        <f aca="false">Assumptions!$F$17</f>
        <v>0.5</v>
      </c>
      <c r="D5" s="33" t="n">
        <f aca="false">'Engine Runs'!$C$3196</f>
        <v>-1924661.8902804</v>
      </c>
      <c r="E5" s="33" t="n">
        <f aca="false">'Engine Runs'!$C$3336</f>
        <v>-1861090.87197964</v>
      </c>
      <c r="F5" s="22" t="n">
        <f aca="false">ABS(E5-D5)</f>
        <v>63571.0183007661</v>
      </c>
      <c r="G5" s="33" t="n">
        <f aca="false">'Engine Runs'!$C$3198</f>
        <v>-3427947.26593557</v>
      </c>
      <c r="H5" s="33" t="n">
        <f aca="false">'Engine Runs'!$C$3338</f>
        <v>-3382849.05579692</v>
      </c>
      <c r="I5" s="33" t="n">
        <f aca="false">'Engine Runs'!$C$3182</f>
        <v>458210.565274611</v>
      </c>
      <c r="J5" s="33" t="n">
        <f aca="false">'Engine Runs'!$C$3322</f>
        <v>561014.888189899</v>
      </c>
    </row>
    <row r="6" customFormat="false" ht="15" hidden="false" customHeight="false" outlineLevel="0" collapsed="false">
      <c r="A6" s="9" t="s">
        <v>660</v>
      </c>
      <c r="B6" s="10" t="n">
        <f aca="false">Assumptions!$D$20</f>
        <v>0.02</v>
      </c>
      <c r="C6" s="10" t="n">
        <f aca="false">Assumptions!$F$20</f>
        <v>0.045</v>
      </c>
      <c r="D6" s="33" t="n">
        <f aca="false">'Engine Runs'!$C$3476</f>
        <v>-1935256.56194593</v>
      </c>
      <c r="E6" s="33" t="n">
        <f aca="false">'Engine Runs'!$C$3616</f>
        <v>-1829303.65738879</v>
      </c>
      <c r="F6" s="22" t="n">
        <f aca="false">ABS(E6-D6)</f>
        <v>105952.904557141</v>
      </c>
      <c r="G6" s="33" t="n">
        <f aca="false">'Engine Runs'!$C$3478</f>
        <v>-3435462.94852555</v>
      </c>
      <c r="H6" s="33" t="n">
        <f aca="false">'Engine Runs'!$C$3618</f>
        <v>-3360297.5142953</v>
      </c>
      <c r="I6" s="33" t="n">
        <f aca="false">'Engine Runs'!$C$3462</f>
        <v>441076.511455396</v>
      </c>
      <c r="J6" s="33" t="n">
        <f aca="false">'Engine Runs'!$C$3602</f>
        <v>612417.049647543</v>
      </c>
    </row>
    <row r="7" customFormat="false" ht="15" hidden="false" customHeight="false" outlineLevel="0" collapsed="false">
      <c r="A7" s="9" t="s">
        <v>661</v>
      </c>
      <c r="B7" s="68" t="n">
        <f aca="false">Assumptions!$D$21</f>
        <v>0.6</v>
      </c>
      <c r="C7" s="68" t="n">
        <f aca="false">Assumptions!$F$21</f>
        <v>0.85</v>
      </c>
      <c r="D7" s="33" t="n">
        <f aca="false">'Engine Runs'!$C$3756</f>
        <v>-1909683.39422853</v>
      </c>
      <c r="E7" s="33" t="n">
        <f aca="false">'Engine Runs'!$C$3896</f>
        <v>-1881423.89250111</v>
      </c>
      <c r="F7" s="22" t="n">
        <f aca="false">ABS(E7-D7)</f>
        <v>28259.5017274162</v>
      </c>
      <c r="G7" s="33" t="n">
        <f aca="false">'Engine Runs'!$C$3758</f>
        <v>-3417526.6728155</v>
      </c>
      <c r="H7" s="33" t="n">
        <f aca="false">'Engine Runs'!$C$3898</f>
        <v>-3397122.44562146</v>
      </c>
      <c r="I7" s="33" t="n">
        <f aca="false">'Engine Runs'!$C$3742</f>
        <v>479236.780751642</v>
      </c>
      <c r="J7" s="33" t="n">
        <f aca="false">'Engine Runs'!$C$3882</f>
        <v>530628.266961926</v>
      </c>
    </row>
    <row r="8" customFormat="false" ht="15" hidden="false" customHeight="false" outlineLevel="0" collapsed="false">
      <c r="A8" s="9" t="s">
        <v>662</v>
      </c>
      <c r="B8" s="10" t="n">
        <f aca="false">Assumptions!$D$22</f>
        <v>0.005</v>
      </c>
      <c r="C8" s="10" t="n">
        <f aca="false">Assumptions!$F$22</f>
        <v>0.015</v>
      </c>
      <c r="D8" s="33" t="n">
        <f aca="false">'Engine Runs'!$C$4036</f>
        <v>-1918926.23211758</v>
      </c>
      <c r="E8" s="33" t="n">
        <f aca="false">'Engine Runs'!$C$4176</f>
        <v>-1866831.98748848</v>
      </c>
      <c r="F8" s="22" t="n">
        <f aca="false">ABS(E8-D8)</f>
        <v>52094.2446290946</v>
      </c>
      <c r="G8" s="33" t="n">
        <f aca="false">'Engine Runs'!$C$4038</f>
        <v>-3423949.4732681</v>
      </c>
      <c r="H8" s="33" t="n">
        <f aca="false">'Engine Runs'!$C$4178</f>
        <v>-3386854.59891278</v>
      </c>
      <c r="I8" s="33" t="n">
        <f aca="false">'Engine Runs'!$C$4022</f>
        <v>466364.393483814</v>
      </c>
      <c r="J8" s="33" t="n">
        <f aca="false">'Engine Runs'!$C$4162</f>
        <v>552861.059980696</v>
      </c>
    </row>
    <row r="9" customFormat="false" ht="15" hidden="false" customHeight="false" outlineLevel="0" collapsed="false">
      <c r="A9" s="9" t="s">
        <v>663</v>
      </c>
      <c r="B9" s="65" t="n">
        <f aca="false">Assumptions!$D$25</f>
        <v>1</v>
      </c>
      <c r="C9" s="65" t="n">
        <f aca="false">Assumptions!$F$25</f>
        <v>3</v>
      </c>
      <c r="D9" s="33" t="n">
        <f aca="false">'Engine Runs'!$C$4316</f>
        <v>-1899531.24393296</v>
      </c>
      <c r="E9" s="33" t="n">
        <f aca="false">'Engine Runs'!$C$4456</f>
        <v>-1843742.94370018</v>
      </c>
      <c r="F9" s="22" t="n">
        <f aca="false">ABS(E9-D9)</f>
        <v>55788.300232783</v>
      </c>
      <c r="G9" s="33" t="n">
        <f aca="false">'Engine Runs'!$C$4318</f>
        <v>-3353493.72182104</v>
      </c>
      <c r="H9" s="33" t="n">
        <f aca="false">'Engine Runs'!$C$4458</f>
        <v>-3479085.94643328</v>
      </c>
      <c r="I9" s="33" t="n">
        <f aca="false">'Engine Runs'!$C$4302</f>
        <v>381909.111448655</v>
      </c>
      <c r="J9" s="33" t="n">
        <f aca="false">'Engine Runs'!$C$4442</f>
        <v>777802.80437077</v>
      </c>
    </row>
    <row r="10" customFormat="false" ht="15" hidden="false" customHeight="false" outlineLevel="0" collapsed="false">
      <c r="A10" s="9" t="s">
        <v>664</v>
      </c>
      <c r="B10" s="10" t="n">
        <f aca="false">Assumptions!$D$29</f>
        <v>0.3</v>
      </c>
      <c r="C10" s="10" t="n">
        <f aca="false">Assumptions!$F$29</f>
        <v>0.5</v>
      </c>
      <c r="D10" s="33" t="n">
        <f aca="false">'Engine Runs'!$C$4596</f>
        <v>-1965606.87112112</v>
      </c>
      <c r="E10" s="33" t="n">
        <f aca="false">'Engine Runs'!$C$4736</f>
        <v>-1820147.88723519</v>
      </c>
      <c r="F10" s="22" t="n">
        <f aca="false">ABS(E10-D10)</f>
        <v>145458.983885927</v>
      </c>
      <c r="G10" s="33" t="n">
        <f aca="false">'Engine Runs'!$C$4598</f>
        <v>-3451806.77602723</v>
      </c>
      <c r="H10" s="33" t="n">
        <f aca="false">'Engine Runs'!$C$4738</f>
        <v>-3358992.37437312</v>
      </c>
      <c r="I10" s="33" t="n">
        <f aca="false">'Engine Runs'!$C$4582</f>
        <v>382272.832457321</v>
      </c>
      <c r="J10" s="33" t="n">
        <f aca="false">'Engine Runs'!$C$4722</f>
        <v>636952.621007189</v>
      </c>
    </row>
    <row r="11" customFormat="false" ht="15" hidden="false" customHeight="false" outlineLevel="0" collapsed="false">
      <c r="A11" s="9" t="s">
        <v>665</v>
      </c>
      <c r="B11" s="10" t="n">
        <f aca="false">Assumptions!$D$32</f>
        <v>0.15</v>
      </c>
      <c r="C11" s="10" t="n">
        <f aca="false">Assumptions!$F$32</f>
        <v>0.3</v>
      </c>
      <c r="D11" s="33" t="n">
        <f aca="false">'Engine Runs'!$C$4876</f>
        <v>-1974671.08628556</v>
      </c>
      <c r="E11" s="33" t="n">
        <f aca="false">'Engine Runs'!$C$5016</f>
        <v>-1770185.86310469</v>
      </c>
      <c r="F11" s="22" t="n">
        <f aca="false">ABS(E11-D11)</f>
        <v>204485.223180866</v>
      </c>
      <c r="G11" s="33" t="n">
        <f aca="false">'Engine Runs'!$C$4878</f>
        <v>-3455978.63626282</v>
      </c>
      <c r="H11" s="33" t="n">
        <f aca="false">'Engine Runs'!$C$5018</f>
        <v>-3329529.60963946</v>
      </c>
      <c r="I11" s="33" t="n">
        <f aca="false">'Engine Runs'!$C$4862</f>
        <v>364009.090523039</v>
      </c>
      <c r="J11" s="33" t="n">
        <f aca="false">'Engine Runs'!$C$5002</f>
        <v>728018.181046078</v>
      </c>
    </row>
    <row r="12" customFormat="false" ht="15" hidden="false" customHeight="false" outlineLevel="0" collapsed="false">
      <c r="A12" s="9" t="s">
        <v>666</v>
      </c>
      <c r="B12" s="68" t="n">
        <f aca="false">Assumptions!$D$34</f>
        <v>0.5</v>
      </c>
      <c r="C12" s="68" t="n">
        <f aca="false">Assumptions!$F$34</f>
        <v>0.9</v>
      </c>
      <c r="D12" s="33" t="n">
        <f aca="false">'Engine Runs'!$C$5156</f>
        <v>-1924682.31182244</v>
      </c>
      <c r="E12" s="33" t="n">
        <f aca="false">'Engine Runs'!$C$5296</f>
        <v>-1861790.39113735</v>
      </c>
      <c r="F12" s="22" t="n">
        <f aca="false">ABS(E12-D12)</f>
        <v>62891.9206850841</v>
      </c>
      <c r="G12" s="33" t="n">
        <f aca="false">'Engine Runs'!$C$5158</f>
        <v>-3428806.43917893</v>
      </c>
      <c r="H12" s="33" t="n">
        <f aca="false">'Engine Runs'!$C$5298</f>
        <v>-3382489.57902458</v>
      </c>
      <c r="I12" s="33" t="n">
        <f aca="false">'Engine Runs'!$C$5142</f>
        <v>473966.082723667</v>
      </c>
      <c r="J12" s="33" t="n">
        <f aca="false">'Engine Runs'!$C$5282</f>
        <v>544353.334324412</v>
      </c>
    </row>
    <row r="13" customFormat="false" ht="15" hidden="false" customHeight="false" outlineLevel="0" collapsed="false">
      <c r="A13" s="9" t="s">
        <v>667</v>
      </c>
      <c r="B13" s="69" t="n">
        <v>1</v>
      </c>
      <c r="C13" s="69" t="n">
        <v>3</v>
      </c>
      <c r="D13" s="33" t="n">
        <f aca="false">'Engine Runs'!$C$5436</f>
        <v>-1910460.76865713</v>
      </c>
      <c r="E13" s="33" t="n">
        <f aca="false">'Engine Runs'!$C$5576</f>
        <v>-1880823.77810368</v>
      </c>
      <c r="F13" s="22" t="n">
        <f aca="false">ABS(E13-D13)</f>
        <v>29636.9905534582</v>
      </c>
      <c r="G13" s="33" t="n">
        <f aca="false">'Engine Runs'!$C$5438</f>
        <v>-3398575.61284352</v>
      </c>
      <c r="H13" s="33" t="n">
        <f aca="false">'Engine Runs'!$C$5578</f>
        <v>-3410434.33634419</v>
      </c>
      <c r="I13" s="33" t="n">
        <f aca="false">'Engine Runs'!$C$5422</f>
        <v>424851.834071094</v>
      </c>
      <c r="J13" s="33" t="n">
        <f aca="false">'Engine Runs'!$C$5562</f>
        <v>569219.713598473</v>
      </c>
    </row>
    <row r="14" customFormat="false" ht="15" hidden="false" customHeight="false" outlineLevel="0" collapsed="false">
      <c r="A14" s="9" t="s">
        <v>668</v>
      </c>
      <c r="B14" s="68" t="n">
        <f aca="false">Assumptions!$D$43</f>
        <v>0.75</v>
      </c>
      <c r="C14" s="68" t="n">
        <f aca="false">Assumptions!$F$43</f>
        <v>1.5</v>
      </c>
      <c r="D14" s="33" t="n">
        <f aca="false">'Engine Runs'!$C$5716</f>
        <v>-1968365.3857943</v>
      </c>
      <c r="E14" s="33" t="n">
        <f aca="false">'Engine Runs'!$C$5856</f>
        <v>-1741216.04321778</v>
      </c>
      <c r="F14" s="22" t="n">
        <f aca="false">ABS(E14-D14)</f>
        <v>227149.342576513</v>
      </c>
      <c r="G14" s="33" t="n">
        <f aca="false">'Engine Runs'!$C$5718</f>
        <v>-3461215.09014919</v>
      </c>
      <c r="H14" s="33" t="n">
        <f aca="false">'Engine Runs'!$C$5858</f>
        <v>-3293082.72030879</v>
      </c>
      <c r="I14" s="33" t="n">
        <f aca="false">'Engine Runs'!$C$5702</f>
        <v>430426.977073836</v>
      </c>
      <c r="J14" s="33" t="n">
        <f aca="false">'Engine Runs'!$C$5842</f>
        <v>667984.226049093</v>
      </c>
    </row>
    <row r="15" customFormat="false" ht="15" hidden="false" customHeight="false" outlineLevel="0" collapsed="false">
      <c r="A15" s="9" t="s">
        <v>669</v>
      </c>
      <c r="B15" s="10" t="n">
        <f aca="false">Assumptions!$D$59</f>
        <v>0.85</v>
      </c>
      <c r="C15" s="10" t="n">
        <f aca="false">Assumptions!$F$59</f>
        <v>0.91</v>
      </c>
      <c r="D15" s="33" t="n">
        <f aca="false">'Engine Runs'!$C$5996</f>
        <v>-1925003.32464385</v>
      </c>
      <c r="E15" s="33" t="n">
        <f aca="false">'Engine Runs'!$C$6136</f>
        <v>-1863858.82896959</v>
      </c>
      <c r="F15" s="22" t="n">
        <f aca="false">ABS(E15-D15)</f>
        <v>61144.4956742609</v>
      </c>
      <c r="G15" s="33" t="n">
        <f aca="false">'Engine Runs'!$C$5998</f>
        <v>-3437525.35324412</v>
      </c>
      <c r="H15" s="33" t="n">
        <f aca="false">'Engine Runs'!$C$6138</f>
        <v>-3376380.85756986</v>
      </c>
      <c r="I15" s="33" t="n">
        <f aca="false">'Engine Runs'!$C$5982</f>
        <v>509612.726732255</v>
      </c>
      <c r="J15" s="33" t="n">
        <f aca="false">'Engine Runs'!$C$6122</f>
        <v>509612.726732255</v>
      </c>
    </row>
    <row r="16" customFormat="false" ht="15" hidden="false" customHeight="false" outlineLevel="0" collapsed="false">
      <c r="A16" s="9" t="s">
        <v>670</v>
      </c>
      <c r="B16" s="10" t="n">
        <f aca="false">Assumptions!$D$62</f>
        <v>0.92</v>
      </c>
      <c r="C16" s="10" t="n">
        <f aca="false">Assumptions!$F$62</f>
        <v>1.06</v>
      </c>
      <c r="D16" s="33" t="n">
        <f aca="false">'Engine Runs'!$C$6276</f>
        <v>-1940348.20520182</v>
      </c>
      <c r="E16" s="33" t="n">
        <f aca="false">'Engine Runs'!$C$6416</f>
        <v>-1838891.33319331</v>
      </c>
      <c r="F16" s="22" t="n">
        <f aca="false">ABS(E16-D16)</f>
        <v>101456.872008502</v>
      </c>
      <c r="G16" s="33" t="n">
        <f aca="false">'Engine Runs'!$C$6278</f>
        <v>-3452870.23380208</v>
      </c>
      <c r="H16" s="33" t="n">
        <f aca="false">'Engine Runs'!$C$6418</f>
        <v>-3351413.36179358</v>
      </c>
      <c r="I16" s="33" t="n">
        <f aca="false">'Engine Runs'!$C$6262</f>
        <v>473839.525063921</v>
      </c>
      <c r="J16" s="33" t="n">
        <f aca="false">'Engine Runs'!$C$6402</f>
        <v>550570.81697924</v>
      </c>
    </row>
    <row r="17" customFormat="false" ht="15" hidden="false" customHeight="false" outlineLevel="0" collapsed="false">
      <c r="A17" s="9" t="s">
        <v>671</v>
      </c>
      <c r="B17" s="10" t="n">
        <f aca="false">Assumptions!$D$76</f>
        <v>0.55</v>
      </c>
      <c r="C17" s="10" t="n">
        <f aca="false">Assumptions!$F$76</f>
        <v>0.72</v>
      </c>
      <c r="D17" s="33" t="n">
        <f aca="false">'Engine Runs'!$C$6556</f>
        <v>-2006021.03952256</v>
      </c>
      <c r="E17" s="33" t="n">
        <f aca="false">'Engine Runs'!$C$6696</f>
        <v>-1813676.16725667</v>
      </c>
      <c r="F17" s="22" t="n">
        <f aca="false">ABS(E17-D17)</f>
        <v>192344.87226589</v>
      </c>
      <c r="G17" s="33" t="n">
        <f aca="false">'Engine Runs'!$C$6558</f>
        <v>-3457145.62148888</v>
      </c>
      <c r="H17" s="33" t="n">
        <f aca="false">'Engine Runs'!$C$6698</f>
        <v>-3359028.77495981</v>
      </c>
      <c r="I17" s="33" t="n">
        <f aca="false">'Engine Runs'!$C$6542</f>
        <v>509612.726732255</v>
      </c>
      <c r="J17" s="33" t="n">
        <f aca="false">'Engine Runs'!$C$6682</f>
        <v>509612.726732255</v>
      </c>
    </row>
    <row r="18" customFormat="false" ht="15" hidden="false" customHeight="false" outlineLevel="0" collapsed="false">
      <c r="A18" s="9" t="s">
        <v>672</v>
      </c>
      <c r="B18" s="65" t="n">
        <f aca="false">Assumptions!$D$14</f>
        <v>7</v>
      </c>
      <c r="C18" s="65" t="n">
        <f aca="false">Assumptions!$F$14</f>
        <v>4</v>
      </c>
      <c r="D18" s="33" t="n">
        <f aca="false">'Engine Runs'!$C$6836</f>
        <v>-1925457.87818482</v>
      </c>
      <c r="E18" s="33" t="n">
        <f aca="false">'Engine Runs'!$C$6976</f>
        <v>-1871449.46355256</v>
      </c>
      <c r="F18" s="22" t="n">
        <f aca="false">ABS(E18-D18)</f>
        <v>54008.4146322559</v>
      </c>
      <c r="G18" s="33" t="n">
        <f aca="false">'Engine Runs'!$C$6838</f>
        <v>-3396542.5025837</v>
      </c>
      <c r="H18" s="33" t="n">
        <f aca="false">'Engine Runs'!$C$6978</f>
        <v>-3396280.28478226</v>
      </c>
      <c r="I18" s="33" t="n">
        <f aca="false">'Engine Runs'!$C$6822</f>
        <v>383720.918901404</v>
      </c>
      <c r="J18" s="33" t="n">
        <f aca="false">'Engine Runs'!$C$6962</f>
        <v>540187.730415741</v>
      </c>
    </row>
    <row r="19" customFormat="false" ht="15" hidden="false" customHeight="false" outlineLevel="0" collapsed="false">
      <c r="A19" s="9" t="s">
        <v>673</v>
      </c>
      <c r="B19" s="10" t="n">
        <f aca="false">Assumptions!$D$79</f>
        <v>0.25</v>
      </c>
      <c r="C19" s="10" t="n">
        <f aca="false">Assumptions!$F$79</f>
        <v>0.15</v>
      </c>
      <c r="D19" s="33" t="n">
        <f aca="false">'Engine Runs'!$C$7116</f>
        <v>-1912492.57541738</v>
      </c>
      <c r="E19" s="33" t="n">
        <f aca="false">'Engine Runs'!$C$7256</f>
        <v>-1873261.41860905</v>
      </c>
      <c r="F19" s="22" t="n">
        <f aca="false">ABS(E19-D19)</f>
        <v>39231.1568083316</v>
      </c>
      <c r="G19" s="33" t="n">
        <f aca="false">'Engine Runs'!$C$7118</f>
        <v>-3434674.13190252</v>
      </c>
      <c r="H19" s="33" t="n">
        <f aca="false">'Engine Runs'!$C$7258</f>
        <v>-3376123.91932444</v>
      </c>
      <c r="I19" s="33" t="n">
        <f aca="false">'Engine Runs'!$C$7102</f>
        <v>509612.726732255</v>
      </c>
      <c r="J19" s="33" t="n">
        <f aca="false">'Engine Runs'!$C$7242</f>
        <v>509612.726732255</v>
      </c>
    </row>
    <row r="20" customFormat="false" ht="15" hidden="false" customHeight="false" outlineLevel="0" collapsed="false">
      <c r="A20" s="9" t="s">
        <v>674</v>
      </c>
      <c r="B20" s="10" t="n">
        <f aca="false">Assumptions!$D$37</f>
        <v>0.15</v>
      </c>
      <c r="C20" s="10" t="n">
        <f aca="false">Assumptions!$F$37</f>
        <v>0.4</v>
      </c>
      <c r="D20" s="33" t="n">
        <f aca="false">'Engine Runs'!$C$7396</f>
        <v>-1903498.76853222</v>
      </c>
      <c r="E20" s="33" t="n">
        <f aca="false">'Engine Runs'!$C$7536</f>
        <v>-1885795.81600054</v>
      </c>
      <c r="F20" s="22" t="n">
        <f aca="false">ABS(E20-D20)</f>
        <v>17702.9525316837</v>
      </c>
      <c r="G20" s="33" t="n">
        <f aca="false">'Engine Runs'!$C$7398</f>
        <v>-3421186.94484371</v>
      </c>
      <c r="H20" s="33" t="n">
        <f aca="false">'Engine Runs'!$C$7538</f>
        <v>-3394873.74612666</v>
      </c>
      <c r="I20" s="33" t="n">
        <f aca="false">'Engine Runs'!$C$7382</f>
        <v>509612.726732255</v>
      </c>
      <c r="J20" s="33" t="n">
        <f aca="false">'Engine Runs'!$C$7522</f>
        <v>509612.726732255</v>
      </c>
    </row>
    <row r="21" customFormat="false" ht="15" hidden="false" customHeight="false" outlineLevel="0" collapsed="false">
      <c r="A21" s="9" t="s">
        <v>675</v>
      </c>
      <c r="B21" s="10" t="n">
        <f aca="false">Assumptions!$D$88</f>
        <v>0.3</v>
      </c>
      <c r="C21" s="10" t="n">
        <f aca="false">Assumptions!$F$88</f>
        <v>0.1</v>
      </c>
      <c r="D21" s="33" t="n">
        <f aca="false">'Engine Runs'!$C$7676</f>
        <v>-1966574.68068978</v>
      </c>
      <c r="E21" s="33" t="n">
        <f aca="false">'Engine Runs'!$C$7816</f>
        <v>-1819179.31333664</v>
      </c>
      <c r="F21" s="22" t="n">
        <f aca="false">ABS(E21-D21)</f>
        <v>147395.367353136</v>
      </c>
      <c r="G21" s="33" t="n">
        <f aca="false">'Engine Runs'!$C$7678</f>
        <v>-3479096.70929005</v>
      </c>
      <c r="H21" s="33" t="n">
        <f aca="false">'Engine Runs'!$C$7818</f>
        <v>-3331701.34193691</v>
      </c>
      <c r="I21" s="33" t="n">
        <f aca="false">'Engine Runs'!$C$7662</f>
        <v>509612.726732255</v>
      </c>
      <c r="J21" s="33" t="n">
        <f aca="false">'Engine Runs'!$C$7802</f>
        <v>509612.726732255</v>
      </c>
    </row>
    <row r="22" customFormat="false" ht="15" hidden="false" customHeight="false" outlineLevel="0" collapsed="false">
      <c r="A22" s="9" t="s">
        <v>676</v>
      </c>
      <c r="B22" s="37" t="n">
        <v>0.15</v>
      </c>
      <c r="C22" s="37" t="n">
        <v>0.08</v>
      </c>
      <c r="D22" s="33" t="n">
        <f aca="false">'Engine Runs'!$C$7956</f>
        <v>-1855919.46721786</v>
      </c>
      <c r="E22" s="33" t="n">
        <f aca="false">'Engine Runs'!$C$8096</f>
        <v>-1938627.41980868</v>
      </c>
      <c r="F22" s="22" t="n">
        <f aca="false">ABS(E22-D22)</f>
        <v>82707.9525908129</v>
      </c>
      <c r="G22" s="33" t="n">
        <f aca="false">'Engine Runs'!$C$7958</f>
        <v>-3076924.2713736</v>
      </c>
      <c r="H22" s="33" t="n">
        <f aca="false">'Engine Runs'!$C$8098</f>
        <v>-3931409.72723868</v>
      </c>
      <c r="I22" s="33" t="n">
        <f aca="false">'Engine Runs'!$C$7942</f>
        <v>509612.726732255</v>
      </c>
      <c r="J22" s="33" t="n">
        <f aca="false">'Engine Runs'!$C$8082</f>
        <v>509612.726732255</v>
      </c>
    </row>
    <row r="23" customFormat="false" ht="15" hidden="false" customHeight="false" outlineLevel="0" collapsed="false">
      <c r="A23" s="3" t="s">
        <v>677</v>
      </c>
      <c r="D23" s="70" t="n">
        <f aca="false">'Engine Runs'!$C$272</f>
        <v>-1892876.99701321</v>
      </c>
      <c r="G23" s="70" t="n">
        <f aca="false">'Engine Runs'!$C$274</f>
        <v>-3405399.02561348</v>
      </c>
    </row>
    <row r="26" customFormat="false" ht="35.05" hidden="false" customHeight="false" outlineLevel="0" collapsed="false">
      <c r="A26" s="5" t="s">
        <v>678</v>
      </c>
    </row>
    <row r="27" customFormat="false" ht="15" hidden="false" customHeight="false" outlineLevel="0" collapsed="false">
      <c r="A27" s="3" t="s">
        <v>679</v>
      </c>
      <c r="B27" s="71" t="n">
        <v>0.75</v>
      </c>
      <c r="C27" s="71" t="n">
        <v>1</v>
      </c>
      <c r="D27" s="71" t="n">
        <v>1.5</v>
      </c>
      <c r="E27" s="71" t="n">
        <v>2.5</v>
      </c>
    </row>
    <row r="28" customFormat="false" ht="15" hidden="false" customHeight="false" outlineLevel="0" collapsed="false">
      <c r="A28" s="72" t="n">
        <v>0.15</v>
      </c>
      <c r="B28" s="33" t="n">
        <f aca="false">'Engine Runs'!$C$8236</f>
        <v>-2028591.36398633</v>
      </c>
      <c r="C28" s="33" t="n">
        <f aca="false">'Engine Runs'!$C$8376</f>
        <v>-1974671.08628556</v>
      </c>
      <c r="D28" s="33" t="n">
        <f aca="false">'Engine Runs'!$C$8516</f>
        <v>-1866341.83357454</v>
      </c>
      <c r="E28" s="33" t="n">
        <f aca="false">'Engine Runs'!$C$8656</f>
        <v>-1648802.28687092</v>
      </c>
    </row>
    <row r="29" customFormat="false" ht="15" hidden="false" customHeight="false" outlineLevel="0" collapsed="false">
      <c r="A29" s="72" t="n">
        <v>0.21</v>
      </c>
      <c r="B29" s="33" t="n">
        <f aca="false">'Engine Runs'!$C$8796</f>
        <v>-1968365.3857943</v>
      </c>
      <c r="C29" s="33" t="n">
        <f aca="false">'Engine Runs'!$C$8936</f>
        <v>-1892876.99701321</v>
      </c>
      <c r="D29" s="33" t="n">
        <f aca="false">'Engine Runs'!$C$9076</f>
        <v>-1741216.04321778</v>
      </c>
      <c r="E29" s="33" t="n">
        <f aca="false">'Engine Runs'!$C$9216</f>
        <v>-1436660.67783272</v>
      </c>
    </row>
    <row r="30" customFormat="false" ht="15" hidden="false" customHeight="false" outlineLevel="0" collapsed="false">
      <c r="A30" s="72" t="n">
        <v>0.3</v>
      </c>
      <c r="B30" s="33" t="n">
        <f aca="false">'Engine Runs'!$C$9356</f>
        <v>-1878026.41850624</v>
      </c>
      <c r="C30" s="33" t="n">
        <f aca="false">'Engine Runs'!$C$9496</f>
        <v>-1770185.86310469</v>
      </c>
      <c r="D30" s="33" t="n">
        <f aca="false">'Engine Runs'!$C$9636</f>
        <v>-1553527.35768265</v>
      </c>
      <c r="E30" s="33" t="n">
        <f aca="false">'Engine Runs'!$C$9776</f>
        <v>-1118448.26427541</v>
      </c>
    </row>
    <row r="31" customFormat="false" ht="15" hidden="false" customHeight="false" outlineLevel="0" collapsed="false">
      <c r="A31" s="72" t="n">
        <v>0.4</v>
      </c>
      <c r="B31" s="33" t="n">
        <f aca="false">'Engine Runs'!$C$9916</f>
        <v>-1777649.78818618</v>
      </c>
      <c r="C31" s="33" t="n">
        <f aca="false">'Engine Runs'!$C$10056</f>
        <v>-1633862.38098411</v>
      </c>
      <c r="D31" s="33" t="n">
        <f aca="false">'Engine Runs'!$C$10196</f>
        <v>-1344984.37375473</v>
      </c>
      <c r="E31" s="33" t="n">
        <f aca="false">'Engine Runs'!$C$10336</f>
        <v>-764878.915878412</v>
      </c>
    </row>
    <row r="33" customFormat="false" ht="23.85" hidden="false" customHeight="false" outlineLevel="0" collapsed="false">
      <c r="A33" s="5" t="s">
        <v>680</v>
      </c>
    </row>
    <row r="34" customFormat="false" ht="15" hidden="false" customHeight="false" outlineLevel="0" collapsed="false">
      <c r="A34" s="3" t="s">
        <v>679</v>
      </c>
      <c r="B34" s="71" t="n">
        <v>0.75</v>
      </c>
      <c r="C34" s="71" t="n">
        <v>1</v>
      </c>
      <c r="D34" s="71" t="n">
        <v>1.5</v>
      </c>
      <c r="E34" s="71" t="n">
        <v>2.5</v>
      </c>
    </row>
    <row r="35" customFormat="false" ht="15" hidden="false" customHeight="false" outlineLevel="0" collapsed="false">
      <c r="A35" s="72" t="n">
        <v>0.15</v>
      </c>
      <c r="B35" s="33" t="n">
        <f aca="false">'Engine Runs'!$C$8238</f>
        <v>-3495847.25378833</v>
      </c>
      <c r="C35" s="33" t="n">
        <f aca="false">'Engine Runs'!$C$8378</f>
        <v>-3455978.63626282</v>
      </c>
      <c r="D35" s="33" t="n">
        <f aca="false">'Engine Runs'!$C$8518</f>
        <v>-3375752.70390233</v>
      </c>
      <c r="E35" s="33" t="n">
        <f aca="false">'Engine Runs'!$C$8658</f>
        <v>-3214419.79789978</v>
      </c>
    </row>
    <row r="36" customFormat="false" ht="15" hidden="false" customHeight="false" outlineLevel="0" collapsed="false">
      <c r="A36" s="72" t="n">
        <v>0.21</v>
      </c>
      <c r="B36" s="33" t="n">
        <f aca="false">'Engine Runs'!$C$8798</f>
        <v>-3461215.09014919</v>
      </c>
      <c r="C36" s="33" t="n">
        <f aca="false">'Engine Runs'!$C$8938</f>
        <v>-3405399.02561348</v>
      </c>
      <c r="D36" s="33" t="n">
        <f aca="false">'Engine Runs'!$C$9078</f>
        <v>-3293082.72030879</v>
      </c>
      <c r="E36" s="33" t="n">
        <f aca="false">'Engine Runs'!$C$9218</f>
        <v>-3067216.65190522</v>
      </c>
    </row>
    <row r="37" customFormat="false" ht="15" hidden="false" customHeight="false" outlineLevel="0" collapsed="false">
      <c r="A37" s="72" t="n">
        <v>0.3</v>
      </c>
      <c r="B37" s="33" t="n">
        <f aca="false">'Engine Runs'!$C$9358</f>
        <v>-3409266.84469048</v>
      </c>
      <c r="C37" s="33" t="n">
        <f aca="false">'Engine Runs'!$C$9498</f>
        <v>-3329529.60963946</v>
      </c>
      <c r="D37" s="33" t="n">
        <f aca="false">'Engine Runs'!$C$9638</f>
        <v>-3169077.74491849</v>
      </c>
      <c r="E37" s="33" t="n">
        <f aca="false">'Engine Runs'!$C$9778</f>
        <v>-2846411.93291337</v>
      </c>
    </row>
    <row r="38" customFormat="false" ht="15" hidden="false" customHeight="false" outlineLevel="0" collapsed="false">
      <c r="A38" s="72" t="n">
        <v>0.4</v>
      </c>
      <c r="B38" s="33" t="n">
        <f aca="false">'Engine Runs'!$C$9918</f>
        <v>-3351546.57195858</v>
      </c>
      <c r="C38" s="33" t="n">
        <f aca="false">'Engine Runs'!$C$10058</f>
        <v>-3245230.25855722</v>
      </c>
      <c r="D38" s="33" t="n">
        <f aca="false">'Engine Runs'!$C$10198</f>
        <v>-3031294.43892925</v>
      </c>
      <c r="E38" s="33" t="n">
        <f aca="false">'Engine Runs'!$C$10338</f>
        <v>-2601073.35625577</v>
      </c>
    </row>
    <row r="41" customFormat="false" ht="23.85" hidden="false" customHeight="false" outlineLevel="0" collapsed="false">
      <c r="A41" s="5" t="s">
        <v>681</v>
      </c>
    </row>
    <row r="42" customFormat="false" ht="30" hidden="false" customHeight="true" outlineLevel="0" collapsed="false">
      <c r="A42" s="6" t="s">
        <v>682</v>
      </c>
      <c r="B42" s="6" t="s">
        <v>683</v>
      </c>
      <c r="C42" s="6" t="s">
        <v>684</v>
      </c>
      <c r="D42" s="6" t="s">
        <v>685</v>
      </c>
      <c r="E42" s="6" t="s">
        <v>686</v>
      </c>
      <c r="F42" s="6" t="s">
        <v>687</v>
      </c>
      <c r="G42" s="6"/>
      <c r="H42" s="6"/>
      <c r="I42" s="6"/>
      <c r="J42" s="6"/>
    </row>
    <row r="43" customFormat="false" ht="15" hidden="false" customHeight="false" outlineLevel="0" collapsed="false">
      <c r="A43" s="24" t="n">
        <v>0</v>
      </c>
      <c r="B43" s="34" t="n">
        <f aca="false">'Engine Runs'!$C$10464</f>
        <v>71.6508496112103</v>
      </c>
      <c r="C43" s="33" t="n">
        <f aca="false">'Engine Runs'!$C$10462</f>
        <v>669315.221490006</v>
      </c>
      <c r="D43" s="33" t="n">
        <f aca="false">'Engine Runs'!$C$10476</f>
        <v>-5579880.52487147</v>
      </c>
      <c r="E43" s="33" t="n">
        <f aca="false">'Engine Runs'!$C$272</f>
        <v>-1892876.99701321</v>
      </c>
      <c r="F43" s="22" t="n">
        <f aca="false">D43-E43</f>
        <v>-3687003.52785826</v>
      </c>
    </row>
    <row r="44" customFormat="false" ht="15" hidden="false" customHeight="false" outlineLevel="0" collapsed="false">
      <c r="A44" s="24" t="n">
        <v>150</v>
      </c>
      <c r="B44" s="34" t="n">
        <f aca="false">'Engine Runs'!$C$10604</f>
        <v>87.8923560527539</v>
      </c>
      <c r="C44" s="33" t="n">
        <f aca="false">'Engine Runs'!$C$10602</f>
        <v>820721.594513904</v>
      </c>
      <c r="D44" s="33" t="n">
        <f aca="false">'Engine Runs'!$C$10616</f>
        <v>-5438648.65209082</v>
      </c>
      <c r="E44" s="33" t="n">
        <f aca="false">'Engine Runs'!$C$272</f>
        <v>-1892876.99701321</v>
      </c>
      <c r="F44" s="22" t="n">
        <f aca="false">D44-E44</f>
        <v>-3545771.65507761</v>
      </c>
    </row>
    <row r="45" customFormat="false" ht="15" hidden="false" customHeight="false" outlineLevel="0" collapsed="false">
      <c r="A45" s="24" t="n">
        <v>300</v>
      </c>
      <c r="B45" s="34" t="n">
        <f aca="false">'Engine Runs'!$C$10744</f>
        <v>103.854567761352</v>
      </c>
      <c r="C45" s="33" t="n">
        <f aca="false">'Engine Runs'!$C$10742</f>
        <v>969127.895922579</v>
      </c>
      <c r="D45" s="33" t="n">
        <f aca="false">'Engine Runs'!$C$10756</f>
        <v>-5300984.03495776</v>
      </c>
      <c r="E45" s="33" t="n">
        <f aca="false">'Engine Runs'!$C$272</f>
        <v>-1892876.99701321</v>
      </c>
      <c r="F45" s="22" t="n">
        <f aca="false">D45-E45</f>
        <v>-3408107.03794455</v>
      </c>
    </row>
    <row r="46" customFormat="false" ht="15" hidden="false" customHeight="false" outlineLevel="0" collapsed="false">
      <c r="A46" s="24" t="n">
        <v>600</v>
      </c>
      <c r="B46" s="34" t="n">
        <f aca="false">'Engine Runs'!$C$10884</f>
        <v>120.01235945061</v>
      </c>
      <c r="C46" s="33" t="n">
        <f aca="false">'Engine Runs'!$C$10882</f>
        <v>1115283.84325304</v>
      </c>
      <c r="D46" s="33" t="n">
        <f aca="false">'Engine Runs'!$C$10896</f>
        <v>-5175235.69182483</v>
      </c>
      <c r="E46" s="33" t="n">
        <f aca="false">'Engine Runs'!$C$272</f>
        <v>-1892876.99701321</v>
      </c>
      <c r="F46" s="22" t="n">
        <f aca="false">D46-E46</f>
        <v>-3282358.69481162</v>
      </c>
    </row>
    <row r="48" customFormat="false" ht="45.75" hidden="false" customHeight="true" outlineLevel="0" collapsed="false">
      <c r="A48" s="32" t="s">
        <v>688</v>
      </c>
      <c r="B48" s="32"/>
      <c r="C48" s="32"/>
      <c r="D48" s="32"/>
      <c r="E48" s="32"/>
      <c r="F48" s="32"/>
      <c r="G48" s="32"/>
      <c r="H48" s="32"/>
      <c r="I48" s="32"/>
      <c r="J48" s="32"/>
    </row>
  </sheetData>
  <mergeCells count="1">
    <mergeCell ref="A48:J48"/>
  </mergeCells>
  <conditionalFormatting sqref="F5:F22">
    <cfRule type="dataBar" priority="2">
      <dataBar showValue="1" minLength="10" maxLength="90">
        <cfvo type="num" val="0"/>
        <cfvo type="max" val="0"/>
        <color rgb="FF4472C4"/>
      </dataBar>
      <extLst>
        <ext xmlns:x14="http://schemas.microsoft.com/office/spreadsheetml/2009/9/main" uri="{B025F937-C7B1-47D3-B67F-A62EFF666E3E}">
          <x14:id>{DB9C5B33-7836-44B3-A620-DC5BA4F82C7D}</x14:id>
        </ext>
      </extLst>
    </cfRule>
  </conditionalFormatting>
  <conditionalFormatting sqref="B28:E31">
    <cfRule type="cellIs" priority="3" operator="greaterThanOrEqual" aboveAverage="0" equalAverage="0" bottom="0" percent="0" rank="0" text="" dxfId="1">
      <formula>0</formula>
    </cfRule>
    <cfRule type="cellIs" priority="4" operator="lessThan" aboveAverage="0" equalAverage="0" bottom="0" percent="0" rank="0" text="" dxfId="0">
      <formula>0</formula>
    </cfRule>
  </conditionalFormatting>
  <conditionalFormatting sqref="B35:E38">
    <cfRule type="cellIs" priority="5" operator="greaterThanOrEqual" aboveAverage="0" equalAverage="0" bottom="0" percent="0" rank="0" text="" dxfId="1">
      <formula>0</formula>
    </cfRule>
    <cfRule type="cellIs" priority="6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B9C5B33-7836-44B3-A620-DC5BA4F82C7D}">
            <x14:dataBar minLength="10" maxLength="90" axisPosition="none" gradient="true">
              <x14:cfvo type="num">
                <xm:f>0</xm:f>
              </x14:cfvo>
              <x14:cfvo type="max"/>
              <x14:negativeFillColor rgb="FF4472C4"/>
              <x14:axisColor rgb="FF000000"/>
            </x14:dataBar>
          </x14:cfRule>
          <xm:sqref>F5:F22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J9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5" min="2" style="0" width="15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10" min="9" style="0" width="13"/>
  </cols>
  <sheetData>
    <row r="1" customFormat="false" ht="17.35" hidden="false" customHeight="false" outlineLevel="0" collapsed="false">
      <c r="A1" s="1" t="s">
        <v>689</v>
      </c>
    </row>
    <row r="2" customFormat="false" ht="15" hidden="false" customHeight="false" outlineLevel="0" collapsed="false">
      <c r="A2" s="2" t="s">
        <v>690</v>
      </c>
    </row>
    <row r="4" customFormat="false" ht="30" hidden="false" customHeight="true" outlineLevel="0" collapsed="false">
      <c r="A4" s="6" t="s">
        <v>691</v>
      </c>
      <c r="B4" s="6" t="s">
        <v>33</v>
      </c>
      <c r="C4" s="6" t="s">
        <v>34</v>
      </c>
      <c r="D4" s="6" t="s">
        <v>692</v>
      </c>
      <c r="E4" s="6" t="s">
        <v>35</v>
      </c>
      <c r="F4" s="6" t="s">
        <v>36</v>
      </c>
      <c r="G4" s="6" t="s">
        <v>693</v>
      </c>
      <c r="H4" s="6" t="s">
        <v>37</v>
      </c>
      <c r="I4" s="6" t="s">
        <v>38</v>
      </c>
      <c r="J4" s="6" t="s">
        <v>39</v>
      </c>
    </row>
    <row r="5" customFormat="false" ht="15" hidden="false" customHeight="false" outlineLevel="0" collapsed="false">
      <c r="A5" s="4" t="s">
        <v>694</v>
      </c>
      <c r="B5" s="33" t="n">
        <v>-1833461</v>
      </c>
      <c r="C5" s="33" t="n">
        <v>-2031553</v>
      </c>
      <c r="D5" s="33" t="n">
        <v>-1877150</v>
      </c>
      <c r="E5" s="33" t="n">
        <v>-1578232</v>
      </c>
      <c r="F5" s="37" t="n">
        <v>0</v>
      </c>
      <c r="G5" s="33" t="n">
        <v>-3365399</v>
      </c>
      <c r="H5" s="37" t="n">
        <v>0</v>
      </c>
    </row>
    <row r="6" customFormat="false" ht="23.85" hidden="false" customHeight="false" outlineLevel="0" collapsed="false">
      <c r="A6" s="9" t="s">
        <v>695</v>
      </c>
      <c r="B6" s="33" t="n">
        <v>-1486097</v>
      </c>
      <c r="C6" s="33" t="n">
        <v>-1979643</v>
      </c>
      <c r="D6" s="33" t="n">
        <v>-1688191</v>
      </c>
      <c r="E6" s="33" t="n">
        <v>-868884</v>
      </c>
      <c r="F6" s="37" t="n">
        <v>0</v>
      </c>
      <c r="G6" s="33" t="n">
        <v>-2791988</v>
      </c>
      <c r="H6" s="37" t="n">
        <v>0</v>
      </c>
      <c r="I6" s="37" t="n">
        <v>0.337</v>
      </c>
      <c r="J6" s="37" t="n">
        <v>0.0112</v>
      </c>
    </row>
    <row r="7" customFormat="false" ht="15" hidden="false" customHeight="false" outlineLevel="0" collapsed="false">
      <c r="A7" s="4" t="s">
        <v>27</v>
      </c>
      <c r="B7" s="33" t="n">
        <v>-5315702</v>
      </c>
      <c r="C7" s="33" t="n">
        <v>-5740374</v>
      </c>
      <c r="D7" s="33" t="n">
        <v>-5403041</v>
      </c>
      <c r="E7" s="33" t="n">
        <v>-4775974</v>
      </c>
      <c r="F7" s="37" t="n">
        <v>0</v>
      </c>
      <c r="G7" s="33" t="n">
        <v>-9050273</v>
      </c>
      <c r="H7" s="37" t="n">
        <v>0</v>
      </c>
    </row>
    <row r="8" customFormat="false" ht="15" hidden="false" customHeight="false" outlineLevel="0" collapsed="false">
      <c r="A8" s="9" t="s">
        <v>28</v>
      </c>
      <c r="B8" s="33" t="n">
        <v>-511201</v>
      </c>
      <c r="C8" s="33" t="n">
        <v>-604824</v>
      </c>
      <c r="D8" s="33" t="n">
        <v>-531596</v>
      </c>
      <c r="E8" s="33" t="n">
        <v>-388453</v>
      </c>
      <c r="F8" s="37" t="n">
        <v>0.0002</v>
      </c>
      <c r="G8" s="33" t="n">
        <v>-1046607</v>
      </c>
      <c r="H8" s="37" t="n">
        <v>0</v>
      </c>
    </row>
    <row r="9" customFormat="false" ht="15" hidden="false" customHeight="false" outlineLevel="0" collapsed="false">
      <c r="A9" s="4" t="s">
        <v>696</v>
      </c>
      <c r="B9" s="33" t="n">
        <v>-2043608</v>
      </c>
      <c r="C9" s="33" t="n">
        <v>-2160317</v>
      </c>
      <c r="D9" s="33" t="n">
        <v>-2060360</v>
      </c>
      <c r="E9" s="33" t="n">
        <v>-1904440</v>
      </c>
      <c r="F9" s="37" t="n">
        <v>0</v>
      </c>
      <c r="G9" s="33" t="n">
        <v>-3570493</v>
      </c>
      <c r="H9" s="37" t="n">
        <v>0</v>
      </c>
    </row>
    <row r="10" customFormat="false" ht="23.85" hidden="false" customHeight="false" outlineLevel="0" collapsed="false">
      <c r="A10" s="9" t="s">
        <v>697</v>
      </c>
      <c r="B10" s="33" t="n">
        <v>-1663742</v>
      </c>
      <c r="C10" s="33" t="n">
        <v>-2146572</v>
      </c>
      <c r="D10" s="33" t="n">
        <v>-1968093</v>
      </c>
      <c r="E10" s="33" t="n">
        <v>-897861</v>
      </c>
      <c r="F10" s="37" t="n">
        <v>0</v>
      </c>
      <c r="G10" s="33" t="n">
        <v>-2969701</v>
      </c>
      <c r="H10" s="37" t="n">
        <v>0</v>
      </c>
      <c r="I10" s="37" t="n">
        <v>0.3346</v>
      </c>
      <c r="J10" s="37" t="n">
        <v>0.0184</v>
      </c>
    </row>
    <row r="11" customFormat="false" ht="15" hidden="false" customHeight="false" outlineLevel="0" collapsed="false">
      <c r="A11" s="4" t="s">
        <v>30</v>
      </c>
      <c r="B11" s="33" t="n">
        <v>-5726126</v>
      </c>
      <c r="C11" s="33" t="n">
        <v>-5939510</v>
      </c>
      <c r="D11" s="33" t="n">
        <v>-5764742</v>
      </c>
      <c r="E11" s="33" t="n">
        <v>-5456822</v>
      </c>
      <c r="F11" s="37" t="n">
        <v>0</v>
      </c>
      <c r="G11" s="33" t="n">
        <v>-9442359</v>
      </c>
      <c r="H11" s="37" t="n">
        <v>0</v>
      </c>
    </row>
    <row r="12" customFormat="false" ht="15" hidden="false" customHeight="false" outlineLevel="0" collapsed="false">
      <c r="A12" s="9" t="s">
        <v>31</v>
      </c>
      <c r="B12" s="33" t="n">
        <v>-614778</v>
      </c>
      <c r="C12" s="33" t="n">
        <v>-673722</v>
      </c>
      <c r="D12" s="33" t="n">
        <v>-622046</v>
      </c>
      <c r="E12" s="33" t="n">
        <v>-544597</v>
      </c>
      <c r="F12" s="37" t="n">
        <v>0</v>
      </c>
      <c r="G12" s="33" t="n">
        <v>-1145900</v>
      </c>
      <c r="H12" s="37" t="n">
        <v>0</v>
      </c>
    </row>
    <row r="14" customFormat="false" ht="23.85" hidden="false" customHeight="false" outlineLevel="0" collapsed="false">
      <c r="A14" s="3" t="s">
        <v>698</v>
      </c>
    </row>
    <row r="15" customFormat="false" ht="30" hidden="false" customHeight="true" outlineLevel="0" collapsed="false">
      <c r="A15" s="6" t="s">
        <v>699</v>
      </c>
      <c r="B15" s="6" t="s">
        <v>700</v>
      </c>
      <c r="C15" s="6" t="s">
        <v>701</v>
      </c>
      <c r="D15" s="6" t="s">
        <v>702</v>
      </c>
      <c r="E15" s="6" t="s">
        <v>33</v>
      </c>
      <c r="F15" s="6" t="s">
        <v>703</v>
      </c>
      <c r="G15" s="6" t="s">
        <v>36</v>
      </c>
      <c r="H15" s="6"/>
      <c r="I15" s="6"/>
      <c r="J15" s="6"/>
    </row>
    <row r="16" customFormat="false" ht="15" hidden="false" customHeight="false" outlineLevel="0" collapsed="false">
      <c r="A16" s="4" t="s">
        <v>704</v>
      </c>
      <c r="B16" s="73" t="n">
        <v>0.5</v>
      </c>
      <c r="C16" s="73" t="n">
        <v>0</v>
      </c>
      <c r="D16" s="74" t="n">
        <v>1</v>
      </c>
      <c r="E16" s="33" t="n">
        <v>-1829576</v>
      </c>
      <c r="F16" s="33" t="n">
        <v>-1560599</v>
      </c>
      <c r="G16" s="37" t="n">
        <v>0</v>
      </c>
    </row>
    <row r="17" customFormat="false" ht="15" hidden="false" customHeight="false" outlineLevel="0" collapsed="false">
      <c r="A17" s="4" t="s">
        <v>705</v>
      </c>
      <c r="B17" s="73" t="n">
        <v>0.8</v>
      </c>
      <c r="C17" s="73" t="n">
        <v>0.5</v>
      </c>
      <c r="D17" s="74" t="n">
        <v>1</v>
      </c>
      <c r="E17" s="33" t="n">
        <v>-1769212</v>
      </c>
      <c r="F17" s="33" t="n">
        <v>-1307517</v>
      </c>
      <c r="G17" s="37" t="n">
        <v>0.001</v>
      </c>
    </row>
    <row r="18" customFormat="false" ht="15" hidden="false" customHeight="false" outlineLevel="0" collapsed="false">
      <c r="A18" s="4" t="s">
        <v>706</v>
      </c>
      <c r="B18" s="73" t="n">
        <v>0.9</v>
      </c>
      <c r="C18" s="73" t="n">
        <v>0.9</v>
      </c>
      <c r="D18" s="74" t="n">
        <v>1</v>
      </c>
      <c r="E18" s="33" t="n">
        <v>-1714980</v>
      </c>
      <c r="F18" s="33" t="n">
        <v>-1123165</v>
      </c>
      <c r="G18" s="37" t="n">
        <v>0.008</v>
      </c>
    </row>
    <row r="19" customFormat="false" ht="15" hidden="false" customHeight="false" outlineLevel="0" collapsed="false">
      <c r="A19" s="4" t="s">
        <v>707</v>
      </c>
      <c r="B19" s="73" t="n">
        <v>0.5</v>
      </c>
      <c r="C19" s="73" t="n">
        <v>0</v>
      </c>
      <c r="D19" s="74" t="n">
        <v>1.5</v>
      </c>
      <c r="E19" s="33" t="n">
        <v>-1768241</v>
      </c>
      <c r="F19" s="33" t="n">
        <v>-1303319</v>
      </c>
      <c r="G19" s="37" t="n">
        <v>0.0045</v>
      </c>
    </row>
    <row r="20" customFormat="false" ht="15" hidden="false" customHeight="false" outlineLevel="0" collapsed="false">
      <c r="A20" s="4" t="s">
        <v>708</v>
      </c>
      <c r="B20" s="73" t="n">
        <v>0.8</v>
      </c>
      <c r="C20" s="73" t="n">
        <v>0.5</v>
      </c>
      <c r="D20" s="74" t="n">
        <v>1.5</v>
      </c>
      <c r="E20" s="33" t="n">
        <v>-1621973</v>
      </c>
      <c r="F20" s="33" t="n">
        <v>-751821</v>
      </c>
      <c r="G20" s="37" t="n">
        <v>0.038</v>
      </c>
    </row>
    <row r="21" customFormat="false" ht="15" hidden="false" customHeight="false" outlineLevel="0" collapsed="false">
      <c r="A21" s="4" t="s">
        <v>709</v>
      </c>
      <c r="B21" s="73" t="n">
        <v>0.8</v>
      </c>
      <c r="C21" s="73" t="n">
        <v>0.5</v>
      </c>
      <c r="D21" s="74" t="n">
        <v>2</v>
      </c>
      <c r="E21" s="33" t="n">
        <v>-1407074</v>
      </c>
      <c r="F21" s="33" t="n">
        <v>30430</v>
      </c>
      <c r="G21" s="37" t="n">
        <v>0.101</v>
      </c>
    </row>
    <row r="23" customFormat="false" ht="23.85" hidden="false" customHeight="false" outlineLevel="0" collapsed="false">
      <c r="A23" s="3" t="s">
        <v>710</v>
      </c>
    </row>
    <row r="24" customFormat="false" ht="30" hidden="false" customHeight="true" outlineLevel="0" collapsed="false">
      <c r="A24" s="6" t="s">
        <v>711</v>
      </c>
      <c r="B24" s="6" t="s">
        <v>712</v>
      </c>
      <c r="C24" s="6" t="s">
        <v>713</v>
      </c>
      <c r="D24" s="6" t="s">
        <v>714</v>
      </c>
      <c r="E24" s="6" t="s">
        <v>715</v>
      </c>
      <c r="F24" s="6" t="s">
        <v>716</v>
      </c>
      <c r="G24" s="6"/>
      <c r="H24" s="6"/>
      <c r="I24" s="6"/>
      <c r="J24" s="6"/>
    </row>
    <row r="25" customFormat="false" ht="15" hidden="false" customHeight="false" outlineLevel="0" collapsed="false">
      <c r="A25" s="4" t="s">
        <v>717</v>
      </c>
      <c r="B25" s="75" t="n">
        <v>6.3946</v>
      </c>
      <c r="C25" s="75" t="n">
        <v>4.3146</v>
      </c>
      <c r="D25" s="75" t="s">
        <v>718</v>
      </c>
      <c r="E25" s="75" t="s">
        <v>718</v>
      </c>
      <c r="F25" s="14" t="s">
        <v>719</v>
      </c>
    </row>
    <row r="26" customFormat="false" ht="23.85" hidden="false" customHeight="false" outlineLevel="0" collapsed="false">
      <c r="A26" s="4" t="s">
        <v>720</v>
      </c>
      <c r="B26" s="37" t="s">
        <v>718</v>
      </c>
      <c r="C26" s="37" t="s">
        <v>718</v>
      </c>
      <c r="D26" s="37" t="s">
        <v>718</v>
      </c>
      <c r="E26" s="37" t="s">
        <v>718</v>
      </c>
      <c r="F26" s="14" t="s">
        <v>721</v>
      </c>
    </row>
    <row r="27" customFormat="false" ht="15" hidden="false" customHeight="false" outlineLevel="0" collapsed="false">
      <c r="A27" s="4" t="s">
        <v>722</v>
      </c>
      <c r="B27" s="69" t="n">
        <v>0.5477</v>
      </c>
      <c r="C27" s="69" t="n">
        <v>0.7097</v>
      </c>
      <c r="D27" s="69" t="n">
        <v>0.3366</v>
      </c>
      <c r="E27" s="69" t="n">
        <v>0.4425</v>
      </c>
      <c r="F27" s="14" t="s">
        <v>723</v>
      </c>
    </row>
    <row r="28" customFormat="false" ht="15" hidden="false" customHeight="false" outlineLevel="0" collapsed="false">
      <c r="A28" s="4" t="s">
        <v>724</v>
      </c>
      <c r="B28" s="69" t="n">
        <v>0.0781</v>
      </c>
      <c r="C28" s="69" t="n">
        <v>0.1121</v>
      </c>
      <c r="D28" s="69" t="n">
        <v>0.0569</v>
      </c>
      <c r="E28" s="69" t="n">
        <v>0.0789</v>
      </c>
      <c r="F28" s="14" t="s">
        <v>723</v>
      </c>
    </row>
    <row r="30" customFormat="false" ht="23.85" hidden="false" customHeight="false" outlineLevel="0" collapsed="false">
      <c r="A30" s="3" t="s">
        <v>725</v>
      </c>
    </row>
    <row r="31" customFormat="false" ht="30" hidden="false" customHeight="true" outlineLevel="0" collapsed="false">
      <c r="A31" s="6" t="s">
        <v>726</v>
      </c>
      <c r="B31" s="6" t="s">
        <v>727</v>
      </c>
      <c r="C31" s="6" t="s">
        <v>728</v>
      </c>
      <c r="D31" s="6" t="s">
        <v>729</v>
      </c>
      <c r="E31" s="6" t="s">
        <v>730</v>
      </c>
      <c r="F31" s="6" t="s">
        <v>731</v>
      </c>
      <c r="G31" s="6" t="s">
        <v>729</v>
      </c>
      <c r="H31" s="6"/>
      <c r="I31" s="6"/>
      <c r="J31" s="6"/>
    </row>
    <row r="32" customFormat="false" ht="15" hidden="false" customHeight="false" outlineLevel="0" collapsed="false">
      <c r="A32" s="4" t="s">
        <v>732</v>
      </c>
      <c r="B32" s="33" t="n">
        <v>-2099751.48</v>
      </c>
      <c r="C32" s="7" t="n">
        <f aca="false">'Engine Runs'!$C$133</f>
        <v>-2099751.47708868</v>
      </c>
      <c r="D32" s="33" t="n">
        <f aca="false">ROUND(C32-B32,0)</f>
        <v>0</v>
      </c>
      <c r="E32" s="33" t="n">
        <v>62906.16</v>
      </c>
      <c r="F32" s="7" t="n">
        <f aca="false">'Engine Runs'!$C$119</f>
        <v>62906.1562730314</v>
      </c>
      <c r="G32" s="33" t="n">
        <f aca="false">ROUND(F32-E32,0)</f>
        <v>-0</v>
      </c>
    </row>
    <row r="33" customFormat="false" ht="15" hidden="false" customHeight="false" outlineLevel="0" collapsed="false">
      <c r="A33" s="4" t="s">
        <v>733</v>
      </c>
      <c r="B33" s="33" t="n">
        <v>-1892877</v>
      </c>
      <c r="C33" s="7" t="n">
        <f aca="false">'Engine Runs'!$C$272</f>
        <v>-1892876.99701321</v>
      </c>
      <c r="D33" s="33" t="n">
        <f aca="false">ROUND(C33-B33,0)</f>
        <v>0</v>
      </c>
      <c r="E33" s="33" t="n">
        <v>509612.73</v>
      </c>
      <c r="F33" s="7" t="n">
        <f aca="false">'Engine Runs'!$C$258</f>
        <v>509612.726732255</v>
      </c>
      <c r="G33" s="33" t="n">
        <f aca="false">ROUND(F33-E33,0)</f>
        <v>-0</v>
      </c>
    </row>
    <row r="34" customFormat="false" ht="15" hidden="false" customHeight="false" outlineLevel="0" collapsed="false">
      <c r="A34" s="4" t="s">
        <v>734</v>
      </c>
      <c r="B34" s="33" t="n">
        <v>1527389.14</v>
      </c>
      <c r="C34" s="7" t="n">
        <f aca="false">'Engine Runs'!$C$411</f>
        <v>1527389.14451738</v>
      </c>
      <c r="D34" s="33" t="n">
        <f aca="false">ROUND(C34-B34,0)</f>
        <v>0</v>
      </c>
      <c r="E34" s="33" t="n">
        <v>3013219.54</v>
      </c>
      <c r="F34" s="7" t="n">
        <f aca="false">'Engine Runs'!$C$397</f>
        <v>3013219.53633262</v>
      </c>
      <c r="G34" s="33" t="n">
        <f aca="false">ROUND(F34-E34,0)</f>
        <v>-0</v>
      </c>
    </row>
    <row r="35" customFormat="false" ht="23.85" hidden="false" customHeight="false" outlineLevel="0" collapsed="false">
      <c r="A35" s="4" t="s">
        <v>735</v>
      </c>
      <c r="B35" s="33" t="n">
        <v>-912381.68</v>
      </c>
      <c r="C35" s="7" t="n">
        <f aca="false">'Engine Runs'!$C$551</f>
        <v>-912381.677303168</v>
      </c>
      <c r="D35" s="33" t="n">
        <f aca="false">ROUND(C35-B35,0)</f>
        <v>0</v>
      </c>
      <c r="E35" s="33" t="n">
        <v>10088.53</v>
      </c>
      <c r="F35" s="7" t="n">
        <f aca="false">'Engine Runs'!$C$537</f>
        <v>10088.5253798885</v>
      </c>
      <c r="G35" s="33" t="n">
        <f aca="false">ROUND(F35-E35,0)</f>
        <v>-0</v>
      </c>
    </row>
    <row r="36" customFormat="false" ht="15" hidden="false" customHeight="false" outlineLevel="0" collapsed="false">
      <c r="A36" s="4" t="s">
        <v>736</v>
      </c>
      <c r="B36" s="33" t="n">
        <v>1567837.83</v>
      </c>
      <c r="C36" s="7" t="n">
        <f aca="false">'Engine Runs'!$C$691</f>
        <v>1567837.82917321</v>
      </c>
      <c r="D36" s="33" t="n">
        <f aca="false">ROUND(C36-B36,0)</f>
        <v>-0</v>
      </c>
      <c r="E36" s="33" t="n">
        <v>3262047.93</v>
      </c>
      <c r="F36" s="7" t="n">
        <f aca="false">'Engine Runs'!$C$677</f>
        <v>3262047.92714426</v>
      </c>
      <c r="G36" s="33" t="n">
        <f aca="false">ROUND(F36-E36,0)</f>
        <v>-0</v>
      </c>
    </row>
    <row r="37" customFormat="false" ht="15" hidden="false" customHeight="false" outlineLevel="0" collapsed="false">
      <c r="A37" s="4" t="s">
        <v>737</v>
      </c>
      <c r="B37" s="33" t="n">
        <v>-6046208.08</v>
      </c>
      <c r="C37" s="7" t="n">
        <f aca="false">'Engine Runs'!$C$830</f>
        <v>-6046208.0818728</v>
      </c>
      <c r="D37" s="33" t="n">
        <f aca="false">ROUND(C37-B37,0)</f>
        <v>-0</v>
      </c>
      <c r="E37" s="33" t="n">
        <v>113881.56</v>
      </c>
      <c r="F37" s="7" t="n">
        <f aca="false">'Engine Runs'!$C$816</f>
        <v>113881.559264502</v>
      </c>
      <c r="G37" s="33" t="n">
        <f aca="false">ROUND(F37-E37,0)</f>
        <v>-0</v>
      </c>
    </row>
    <row r="38" customFormat="false" ht="15" hidden="false" customHeight="false" outlineLevel="0" collapsed="false">
      <c r="A38" s="4" t="s">
        <v>738</v>
      </c>
      <c r="B38" s="33" t="n">
        <v>-5438648.65</v>
      </c>
      <c r="C38" s="7" t="n">
        <f aca="false">'Engine Runs'!$C$969</f>
        <v>-5438648.65209082</v>
      </c>
      <c r="D38" s="33" t="n">
        <f aca="false">ROUND(C38-B38,0)</f>
        <v>-0</v>
      </c>
      <c r="E38" s="33" t="n">
        <v>820721.59</v>
      </c>
      <c r="F38" s="7" t="n">
        <f aca="false">'Engine Runs'!$C$955</f>
        <v>820721.594513904</v>
      </c>
      <c r="G38" s="33" t="n">
        <f aca="false">ROUND(F38-E38,0)</f>
        <v>0</v>
      </c>
    </row>
    <row r="39" customFormat="false" ht="15" hidden="false" customHeight="false" outlineLevel="0" collapsed="false">
      <c r="A39" s="4" t="s">
        <v>739</v>
      </c>
      <c r="B39" s="33" t="n">
        <v>821457.73</v>
      </c>
      <c r="C39" s="7" t="n">
        <f aca="false">'Engine Runs'!$C$1108</f>
        <v>821457.727301354</v>
      </c>
      <c r="D39" s="33" t="n">
        <f aca="false">ROUND(C39-B39,0)</f>
        <v>-0</v>
      </c>
      <c r="E39" s="33" t="n">
        <v>4711541.74</v>
      </c>
      <c r="F39" s="7" t="n">
        <f aca="false">'Engine Runs'!$C$1094</f>
        <v>4711541.74435004</v>
      </c>
      <c r="G39" s="33" t="n">
        <f aca="false">ROUND(F39-E39,0)</f>
        <v>0</v>
      </c>
    </row>
    <row r="40" customFormat="false" ht="15" hidden="false" customHeight="false" outlineLevel="0" collapsed="false">
      <c r="A40" s="4" t="s">
        <v>740</v>
      </c>
      <c r="B40" s="33" t="n">
        <v>-625495.41</v>
      </c>
      <c r="C40" s="7" t="n">
        <f aca="false">'Engine Runs'!$C$1247</f>
        <v>-625495.414239844</v>
      </c>
      <c r="D40" s="33" t="n">
        <f aca="false">ROUND(C40-B40,0)</f>
        <v>-0</v>
      </c>
      <c r="E40" s="33" t="n">
        <v>30663.05</v>
      </c>
      <c r="F40" s="7" t="n">
        <f aca="false">'Engine Runs'!$C$1233</f>
        <v>30663.054615016</v>
      </c>
      <c r="G40" s="33" t="n">
        <f aca="false">ROUND(F40-E40,0)</f>
        <v>0</v>
      </c>
    </row>
    <row r="41" customFormat="false" ht="15" hidden="false" customHeight="false" outlineLevel="0" collapsed="false">
      <c r="A41" s="4" t="s">
        <v>741</v>
      </c>
      <c r="B41" s="33" t="n">
        <v>-544641.96</v>
      </c>
      <c r="C41" s="7" t="n">
        <f aca="false">'Engine Runs'!$C$1386</f>
        <v>-544641.96324311</v>
      </c>
      <c r="D41" s="33" t="n">
        <f aca="false">ROUND(C41-B41,0)</f>
        <v>-0</v>
      </c>
      <c r="E41" s="33" t="n">
        <v>246156.7</v>
      </c>
      <c r="F41" s="7" t="n">
        <f aca="false">'Engine Runs'!$C$1372</f>
        <v>246156.696716439</v>
      </c>
      <c r="G41" s="33" t="n">
        <f aca="false">ROUND(F41-E41,0)</f>
        <v>-0</v>
      </c>
    </row>
    <row r="42" customFormat="false" ht="15" hidden="false" customHeight="false" outlineLevel="0" collapsed="false">
      <c r="A42" s="4" t="s">
        <v>742</v>
      </c>
      <c r="B42" s="33" t="n">
        <v>1114412.43</v>
      </c>
      <c r="C42" s="7" t="n">
        <f aca="false">'Engine Runs'!$C$1525</f>
        <v>1114412.43069812</v>
      </c>
      <c r="D42" s="33" t="n">
        <f aca="false">ROUND(C42-B42,0)</f>
        <v>0</v>
      </c>
      <c r="E42" s="33" t="n">
        <v>1463066.34</v>
      </c>
      <c r="F42" s="7" t="n">
        <f aca="false">'Engine Runs'!$C$1511</f>
        <v>1463066.34250671</v>
      </c>
      <c r="G42" s="33" t="n">
        <f aca="false">ROUND(F42-E42,0)</f>
        <v>0</v>
      </c>
    </row>
    <row r="43" customFormat="false" ht="15" hidden="false" customHeight="false" outlineLevel="0" collapsed="false">
      <c r="A43" s="4" t="s">
        <v>743</v>
      </c>
      <c r="B43" s="33" t="n">
        <v>-2148114.88</v>
      </c>
      <c r="C43" s="7" t="n">
        <f aca="false">'Engine Runs'!$C$1664</f>
        <v>-2148114.87756732</v>
      </c>
      <c r="D43" s="33" t="n">
        <f aca="false">ROUND(C43-B43,0)</f>
        <v>0</v>
      </c>
      <c r="E43" s="33" t="n">
        <v>110994.42</v>
      </c>
      <c r="F43" s="7" t="n">
        <f aca="false">'Engine Runs'!$C$1650</f>
        <v>110994.418512281</v>
      </c>
      <c r="G43" s="33" t="n">
        <f aca="false">ROUND(F43-E43,0)</f>
        <v>-0</v>
      </c>
    </row>
    <row r="44" customFormat="false" ht="15" hidden="false" customHeight="false" outlineLevel="0" collapsed="false">
      <c r="A44" s="4" t="s">
        <v>744</v>
      </c>
      <c r="B44" s="33" t="n">
        <v>-2044076.84</v>
      </c>
      <c r="C44" s="7" t="n">
        <f aca="false">'Engine Runs'!$C$1803</f>
        <v>-2044076.84125358</v>
      </c>
      <c r="D44" s="33" t="n">
        <f aca="false">ROUND(C44-B44,0)</f>
        <v>-0</v>
      </c>
      <c r="E44" s="33" t="n">
        <v>680163.89</v>
      </c>
      <c r="F44" s="7" t="n">
        <f aca="false">'Engine Runs'!$C$1789</f>
        <v>680163.893500675</v>
      </c>
      <c r="G44" s="33" t="n">
        <f aca="false">ROUND(F44-E44,0)</f>
        <v>0</v>
      </c>
    </row>
    <row r="45" customFormat="false" ht="15" hidden="false" customHeight="false" outlineLevel="0" collapsed="false">
      <c r="A45" s="4" t="s">
        <v>745</v>
      </c>
      <c r="B45" s="33" t="n">
        <v>-249190.25</v>
      </c>
      <c r="C45" s="7" t="n">
        <f aca="false">'Engine Runs'!$C$1942</f>
        <v>-249190.24700217</v>
      </c>
      <c r="D45" s="33" t="n">
        <f aca="false">ROUND(C45-B45,0)</f>
        <v>0</v>
      </c>
      <c r="E45" s="33" t="n">
        <v>2609610.8</v>
      </c>
      <c r="F45" s="7" t="n">
        <f aca="false">'Engine Runs'!$C$1928</f>
        <v>2609610.79941294</v>
      </c>
      <c r="G45" s="33" t="n">
        <f aca="false">ROUND(F45-E45,0)</f>
        <v>-0</v>
      </c>
    </row>
    <row r="46" customFormat="false" ht="23.85" hidden="false" customHeight="false" outlineLevel="0" collapsed="false">
      <c r="A46" s="4" t="s">
        <v>746</v>
      </c>
      <c r="B46" s="33" t="n">
        <v>-927042.33</v>
      </c>
      <c r="C46" s="7" t="n">
        <f aca="false">'Engine Runs'!$C$2082</f>
        <v>-927042.332619936</v>
      </c>
      <c r="D46" s="33" t="n">
        <f aca="false">ROUND(C46-B46,0)</f>
        <v>-0</v>
      </c>
      <c r="E46" s="33" t="n">
        <v>19612.01</v>
      </c>
      <c r="F46" s="7" t="n">
        <f aca="false">'Engine Runs'!$C$2068</f>
        <v>19612.0135984736</v>
      </c>
      <c r="G46" s="33" t="n">
        <f aca="false">ROUND(F46-E46,0)</f>
        <v>0</v>
      </c>
    </row>
    <row r="47" customFormat="false" ht="23.85" hidden="false" customHeight="false" outlineLevel="0" collapsed="false">
      <c r="A47" s="4" t="s">
        <v>747</v>
      </c>
      <c r="B47" s="33" t="n">
        <v>-622652.81</v>
      </c>
      <c r="C47" s="7" t="n">
        <f aca="false">'Engine Runs'!$C$2222</f>
        <v>-622652.808306281</v>
      </c>
      <c r="D47" s="33" t="n">
        <f aca="false">ROUND(C47-B47,0)</f>
        <v>0</v>
      </c>
      <c r="E47" s="33" t="n">
        <v>2703520.67</v>
      </c>
      <c r="F47" s="7" t="n">
        <f aca="false">'Engine Runs'!$C$2208</f>
        <v>2703520.6727876</v>
      </c>
      <c r="G47" s="33" t="n">
        <f aca="false">ROUND(F47-E47,0)</f>
        <v>0</v>
      </c>
    </row>
    <row r="48" customFormat="false" ht="15" hidden="false" customHeight="false" outlineLevel="0" collapsed="false">
      <c r="A48" s="4" t="s">
        <v>748</v>
      </c>
      <c r="B48" s="33" t="n">
        <v>-6093023.6</v>
      </c>
      <c r="C48" s="7" t="n">
        <f aca="false">'Engine Runs'!$C$2361</f>
        <v>-6093023.60200031</v>
      </c>
      <c r="D48" s="33" t="n">
        <f aca="false">ROUND(C48-B48,0)</f>
        <v>-0</v>
      </c>
      <c r="E48" s="33" t="n">
        <v>161375.75</v>
      </c>
      <c r="F48" s="7" t="n">
        <f aca="false">'Engine Runs'!$C$2347</f>
        <v>161375.745012656</v>
      </c>
      <c r="G48" s="33" t="n">
        <f aca="false">ROUND(F48-E48,0)</f>
        <v>-0</v>
      </c>
    </row>
    <row r="49" customFormat="false" ht="15" hidden="false" customHeight="false" outlineLevel="0" collapsed="false">
      <c r="A49" s="4" t="s">
        <v>749</v>
      </c>
      <c r="B49" s="33" t="n">
        <v>-5731151.94</v>
      </c>
      <c r="C49" s="7" t="n">
        <f aca="false">'Engine Runs'!$C$2500</f>
        <v>-5731151.94414391</v>
      </c>
      <c r="D49" s="33" t="n">
        <f aca="false">ROUND(C49-B49,0)</f>
        <v>-0</v>
      </c>
      <c r="E49" s="33" t="n">
        <v>914355.66</v>
      </c>
      <c r="F49" s="7" t="n">
        <f aca="false">'Engine Runs'!$C$2486</f>
        <v>914355.663776077</v>
      </c>
      <c r="G49" s="33" t="n">
        <f aca="false">ROUND(F49-E49,0)</f>
        <v>0</v>
      </c>
    </row>
    <row r="50" customFormat="false" ht="15" hidden="false" customHeight="false" outlineLevel="0" collapsed="false">
      <c r="A50" s="4" t="s">
        <v>750</v>
      </c>
      <c r="B50" s="33" t="n">
        <v>-2873027.5</v>
      </c>
      <c r="C50" s="7" t="n">
        <f aca="false">'Engine Runs'!$C$2639</f>
        <v>-2873027.50018581</v>
      </c>
      <c r="D50" s="33" t="n">
        <f aca="false">ROUND(C50-B50,0)</f>
        <v>-0</v>
      </c>
      <c r="E50" s="33" t="n">
        <v>3491416.27</v>
      </c>
      <c r="F50" s="7" t="n">
        <f aca="false">'Engine Runs'!$C$2625</f>
        <v>3491416.26836429</v>
      </c>
      <c r="G50" s="33" t="n">
        <f aca="false">ROUND(F50-E50,0)</f>
        <v>-0</v>
      </c>
    </row>
    <row r="51" customFormat="false" ht="15" hidden="false" customHeight="false" outlineLevel="0" collapsed="false">
      <c r="A51" s="4" t="s">
        <v>751</v>
      </c>
      <c r="B51" s="33" t="n">
        <v>-648617.85</v>
      </c>
      <c r="C51" s="7" t="n">
        <f aca="false">'Engine Runs'!$C$2778</f>
        <v>-648617.848535433</v>
      </c>
      <c r="D51" s="33" t="n">
        <f aca="false">ROUND(C51-B51,0)</f>
        <v>0</v>
      </c>
      <c r="E51" s="33" t="n">
        <v>51399.29</v>
      </c>
      <c r="F51" s="7" t="n">
        <f aca="false">'Engine Runs'!$C$2764</f>
        <v>51399.2920937751</v>
      </c>
      <c r="G51" s="33" t="n">
        <f aca="false">ROUND(F51-E51,0)</f>
        <v>0</v>
      </c>
    </row>
    <row r="52" customFormat="false" ht="15" hidden="false" customHeight="false" outlineLevel="0" collapsed="false">
      <c r="A52" s="4" t="s">
        <v>752</v>
      </c>
      <c r="B52" s="33" t="n">
        <v>-620644.16</v>
      </c>
      <c r="C52" s="7" t="n">
        <f aca="false">'Engine Runs'!$C$2917</f>
        <v>-620644.159007741</v>
      </c>
      <c r="D52" s="33" t="n">
        <f aca="false">ROUND(C52-B52,0)</f>
        <v>0</v>
      </c>
      <c r="E52" s="33" t="n">
        <v>317295.3</v>
      </c>
      <c r="F52" s="7" t="n">
        <f aca="false">'Engine Runs'!$C$2903</f>
        <v>317295.302916191</v>
      </c>
      <c r="G52" s="33" t="n">
        <f aca="false">ROUND(F52-E52,0)</f>
        <v>0</v>
      </c>
    </row>
    <row r="53" customFormat="false" ht="15" hidden="false" customHeight="false" outlineLevel="0" collapsed="false">
      <c r="A53" s="4" t="s">
        <v>753</v>
      </c>
      <c r="B53" s="33" t="n">
        <v>223947.77</v>
      </c>
      <c r="C53" s="7" t="n">
        <f aca="false">'Engine Runs'!$C$3056</f>
        <v>223947.767188292</v>
      </c>
      <c r="D53" s="33" t="n">
        <f aca="false">ROUND(C53-B53,0)</f>
        <v>-0</v>
      </c>
      <c r="E53" s="33" t="n">
        <v>1231458.69</v>
      </c>
      <c r="F53" s="7" t="n">
        <f aca="false">'Engine Runs'!$C$3042</f>
        <v>1231458.69329734</v>
      </c>
      <c r="G53" s="33" t="n">
        <f aca="false">ROUND(F53-E53,0)</f>
        <v>0</v>
      </c>
    </row>
    <row r="54" customFormat="false" ht="15" hidden="false" customHeight="false" outlineLevel="0" collapsed="false">
      <c r="A54" s="9" t="s">
        <v>754</v>
      </c>
      <c r="D54" s="61" t="n">
        <f aca="false">MAX(MAX(D32:D53),-MIN(D32:D53))</f>
        <v>-0</v>
      </c>
      <c r="G54" s="61" t="n">
        <f aca="false">MAX(MAX(G32:G53),-MIN(G32:G53))</f>
        <v>0</v>
      </c>
    </row>
    <row r="56" customFormat="false" ht="23.85" hidden="false" customHeight="false" outlineLevel="0" collapsed="false">
      <c r="A56" s="3" t="s">
        <v>755</v>
      </c>
    </row>
    <row r="57" customFormat="false" ht="30" hidden="false" customHeight="true" outlineLevel="0" collapsed="false">
      <c r="A57" s="6" t="s">
        <v>756</v>
      </c>
      <c r="B57" s="6" t="s">
        <v>757</v>
      </c>
      <c r="C57" s="6" t="s">
        <v>366</v>
      </c>
      <c r="D57" s="6" t="s">
        <v>317</v>
      </c>
      <c r="E57" s="6"/>
      <c r="F57" s="6"/>
      <c r="G57" s="6"/>
      <c r="H57" s="6"/>
      <c r="I57" s="6"/>
      <c r="J57" s="6"/>
    </row>
    <row r="58" customFormat="false" ht="15" hidden="false" customHeight="false" outlineLevel="0" collapsed="false">
      <c r="A58" s="76" t="n">
        <v>-6500000</v>
      </c>
      <c r="B58" s="37" t="n">
        <v>0</v>
      </c>
      <c r="C58" s="37" t="n">
        <v>0</v>
      </c>
      <c r="D58" s="37" t="n">
        <v>0</v>
      </c>
    </row>
    <row r="59" customFormat="false" ht="15" hidden="false" customHeight="false" outlineLevel="0" collapsed="false">
      <c r="A59" s="76" t="n">
        <v>-6250000</v>
      </c>
      <c r="B59" s="37" t="n">
        <v>0</v>
      </c>
      <c r="C59" s="37" t="n">
        <v>0</v>
      </c>
      <c r="D59" s="37" t="n">
        <v>0</v>
      </c>
    </row>
    <row r="60" customFormat="false" ht="15" hidden="false" customHeight="false" outlineLevel="0" collapsed="false">
      <c r="A60" s="76" t="n">
        <v>-6000000</v>
      </c>
      <c r="B60" s="37" t="n">
        <v>0</v>
      </c>
      <c r="C60" s="37" t="n">
        <v>0.0908</v>
      </c>
      <c r="D60" s="37" t="n">
        <v>0</v>
      </c>
    </row>
    <row r="61" customFormat="false" ht="15" hidden="false" customHeight="false" outlineLevel="0" collapsed="false">
      <c r="A61" s="76" t="n">
        <v>-5750000</v>
      </c>
      <c r="B61" s="37" t="n">
        <v>0</v>
      </c>
      <c r="C61" s="37" t="n">
        <v>0.2934</v>
      </c>
      <c r="D61" s="37" t="n">
        <v>0</v>
      </c>
    </row>
    <row r="62" customFormat="false" ht="15" hidden="false" customHeight="false" outlineLevel="0" collapsed="false">
      <c r="A62" s="76" t="n">
        <v>-5500000</v>
      </c>
      <c r="B62" s="37" t="n">
        <v>0</v>
      </c>
      <c r="C62" s="37" t="n">
        <v>0.265</v>
      </c>
      <c r="D62" s="37" t="n">
        <v>0</v>
      </c>
    </row>
    <row r="63" customFormat="false" ht="15" hidden="false" customHeight="false" outlineLevel="0" collapsed="false">
      <c r="A63" s="76" t="n">
        <v>-5250000</v>
      </c>
      <c r="B63" s="37" t="n">
        <v>0</v>
      </c>
      <c r="C63" s="37" t="n">
        <v>0.166</v>
      </c>
      <c r="D63" s="37" t="n">
        <v>0</v>
      </c>
    </row>
    <row r="64" customFormat="false" ht="15" hidden="false" customHeight="false" outlineLevel="0" collapsed="false">
      <c r="A64" s="76" t="n">
        <v>-5000000</v>
      </c>
      <c r="B64" s="37" t="n">
        <v>0</v>
      </c>
      <c r="C64" s="37" t="n">
        <v>0.0914</v>
      </c>
      <c r="D64" s="37" t="n">
        <v>0</v>
      </c>
    </row>
    <row r="65" customFormat="false" ht="15" hidden="false" customHeight="false" outlineLevel="0" collapsed="false">
      <c r="A65" s="76" t="n">
        <v>-4750000</v>
      </c>
      <c r="B65" s="37" t="n">
        <v>0</v>
      </c>
      <c r="C65" s="37" t="n">
        <v>0.0462</v>
      </c>
      <c r="D65" s="37" t="n">
        <v>0</v>
      </c>
    </row>
    <row r="66" customFormat="false" ht="15" hidden="false" customHeight="false" outlineLevel="0" collapsed="false">
      <c r="A66" s="76" t="n">
        <v>-4500000</v>
      </c>
      <c r="B66" s="37" t="n">
        <v>0</v>
      </c>
      <c r="C66" s="37" t="n">
        <v>0.025</v>
      </c>
      <c r="D66" s="37" t="n">
        <v>0</v>
      </c>
    </row>
    <row r="67" customFormat="false" ht="15" hidden="false" customHeight="false" outlineLevel="0" collapsed="false">
      <c r="A67" s="76" t="n">
        <v>-4250000</v>
      </c>
      <c r="B67" s="37" t="n">
        <v>0</v>
      </c>
      <c r="C67" s="37" t="n">
        <v>0.0132</v>
      </c>
      <c r="D67" s="37" t="n">
        <v>0</v>
      </c>
    </row>
    <row r="68" customFormat="false" ht="15" hidden="false" customHeight="false" outlineLevel="0" collapsed="false">
      <c r="A68" s="76" t="n">
        <v>-4000000</v>
      </c>
      <c r="B68" s="37" t="n">
        <v>0</v>
      </c>
      <c r="C68" s="37" t="n">
        <v>0.006</v>
      </c>
      <c r="D68" s="37" t="n">
        <v>0</v>
      </c>
    </row>
    <row r="69" customFormat="false" ht="15" hidden="false" customHeight="false" outlineLevel="0" collapsed="false">
      <c r="A69" s="76" t="n">
        <v>-3750000</v>
      </c>
      <c r="B69" s="37" t="n">
        <v>0</v>
      </c>
      <c r="C69" s="37" t="n">
        <v>0.0016</v>
      </c>
      <c r="D69" s="37" t="n">
        <v>0</v>
      </c>
    </row>
    <row r="70" customFormat="false" ht="15" hidden="false" customHeight="false" outlineLevel="0" collapsed="false">
      <c r="A70" s="76" t="n">
        <v>-3500000</v>
      </c>
      <c r="B70" s="37" t="n">
        <v>0</v>
      </c>
      <c r="C70" s="37" t="n">
        <v>0.0012</v>
      </c>
      <c r="D70" s="37" t="n">
        <v>0</v>
      </c>
    </row>
    <row r="71" customFormat="false" ht="15" hidden="false" customHeight="false" outlineLevel="0" collapsed="false">
      <c r="A71" s="76" t="n">
        <v>-3250000</v>
      </c>
      <c r="B71" s="37" t="n">
        <v>0</v>
      </c>
      <c r="C71" s="37" t="n">
        <v>0.0002</v>
      </c>
      <c r="D71" s="37" t="n">
        <v>0</v>
      </c>
    </row>
    <row r="72" customFormat="false" ht="15" hidden="false" customHeight="false" outlineLevel="0" collapsed="false">
      <c r="A72" s="76" t="n">
        <v>-3000000</v>
      </c>
      <c r="B72" s="37" t="n">
        <v>0</v>
      </c>
      <c r="C72" s="37" t="n">
        <v>0</v>
      </c>
      <c r="D72" s="37" t="n">
        <v>0</v>
      </c>
    </row>
    <row r="73" customFormat="false" ht="15" hidden="false" customHeight="false" outlineLevel="0" collapsed="false">
      <c r="A73" s="76" t="n">
        <v>-2750000</v>
      </c>
      <c r="B73" s="37" t="n">
        <v>0.0014</v>
      </c>
      <c r="C73" s="37" t="n">
        <v>0</v>
      </c>
      <c r="D73" s="37" t="n">
        <v>0</v>
      </c>
    </row>
    <row r="74" customFormat="false" ht="15" hidden="false" customHeight="false" outlineLevel="0" collapsed="false">
      <c r="A74" s="76" t="n">
        <v>-2500000</v>
      </c>
      <c r="B74" s="37" t="n">
        <v>0.0022</v>
      </c>
      <c r="C74" s="37" t="n">
        <v>0</v>
      </c>
      <c r="D74" s="37" t="n">
        <v>0</v>
      </c>
    </row>
    <row r="75" customFormat="false" ht="15" hidden="false" customHeight="false" outlineLevel="0" collapsed="false">
      <c r="A75" s="76" t="n">
        <v>-2250000</v>
      </c>
      <c r="B75" s="37" t="n">
        <v>0.0716</v>
      </c>
      <c r="C75" s="37" t="n">
        <v>0</v>
      </c>
      <c r="D75" s="37" t="n">
        <v>0</v>
      </c>
    </row>
    <row r="76" customFormat="false" ht="15" hidden="false" customHeight="false" outlineLevel="0" collapsed="false">
      <c r="A76" s="76" t="n">
        <v>-2000000</v>
      </c>
      <c r="B76" s="37" t="n">
        <v>0.3646</v>
      </c>
      <c r="C76" s="37" t="n">
        <v>0</v>
      </c>
      <c r="D76" s="37" t="n">
        <v>0</v>
      </c>
    </row>
    <row r="77" customFormat="false" ht="15" hidden="false" customHeight="false" outlineLevel="0" collapsed="false">
      <c r="A77" s="76" t="n">
        <v>-1750000</v>
      </c>
      <c r="B77" s="37" t="n">
        <v>0.163</v>
      </c>
      <c r="C77" s="37" t="n">
        <v>0</v>
      </c>
      <c r="D77" s="37" t="n">
        <v>0</v>
      </c>
    </row>
    <row r="78" customFormat="false" ht="15" hidden="false" customHeight="false" outlineLevel="0" collapsed="false">
      <c r="A78" s="76" t="n">
        <v>-1500000</v>
      </c>
      <c r="B78" s="37" t="n">
        <v>0.047</v>
      </c>
      <c r="C78" s="37" t="n">
        <v>0</v>
      </c>
      <c r="D78" s="37" t="n">
        <v>0</v>
      </c>
    </row>
    <row r="79" customFormat="false" ht="15" hidden="false" customHeight="false" outlineLevel="0" collapsed="false">
      <c r="A79" s="76" t="n">
        <v>-1250000</v>
      </c>
      <c r="B79" s="37" t="n">
        <v>0.0106</v>
      </c>
      <c r="C79" s="37" t="n">
        <v>0</v>
      </c>
      <c r="D79" s="37" t="n">
        <v>0</v>
      </c>
    </row>
    <row r="80" customFormat="false" ht="15" hidden="false" customHeight="false" outlineLevel="0" collapsed="false">
      <c r="A80" s="76" t="n">
        <v>-1000000</v>
      </c>
      <c r="B80" s="37" t="n">
        <v>0.3382</v>
      </c>
      <c r="C80" s="37" t="n">
        <v>0</v>
      </c>
      <c r="D80" s="37" t="n">
        <v>0</v>
      </c>
    </row>
    <row r="81" customFormat="false" ht="15" hidden="false" customHeight="false" outlineLevel="0" collapsed="false">
      <c r="A81" s="76" t="n">
        <v>-750000</v>
      </c>
      <c r="B81" s="37" t="n">
        <v>0.0014</v>
      </c>
      <c r="C81" s="37" t="n">
        <v>0</v>
      </c>
      <c r="D81" s="37" t="n">
        <v>0.6474</v>
      </c>
    </row>
    <row r="82" customFormat="false" ht="15" hidden="false" customHeight="false" outlineLevel="0" collapsed="false">
      <c r="A82" s="76" t="n">
        <v>-500000</v>
      </c>
      <c r="B82" s="37" t="n">
        <v>0</v>
      </c>
      <c r="C82" s="37" t="n">
        <v>0</v>
      </c>
      <c r="D82" s="37" t="n">
        <v>0.335</v>
      </c>
    </row>
    <row r="83" customFormat="false" ht="15" hidden="false" customHeight="false" outlineLevel="0" collapsed="false">
      <c r="A83" s="76" t="n">
        <v>-250000</v>
      </c>
      <c r="B83" s="37" t="n">
        <v>0</v>
      </c>
      <c r="C83" s="37" t="n">
        <v>0</v>
      </c>
      <c r="D83" s="37" t="n">
        <v>0.0174</v>
      </c>
    </row>
    <row r="84" customFormat="false" ht="15" hidden="false" customHeight="false" outlineLevel="0" collapsed="false">
      <c r="A84" s="76" t="n">
        <v>0</v>
      </c>
      <c r="B84" s="37" t="n">
        <v>0</v>
      </c>
      <c r="C84" s="37" t="n">
        <v>0</v>
      </c>
      <c r="D84" s="37" t="n">
        <v>0.0002</v>
      </c>
    </row>
    <row r="85" customFormat="false" ht="15" hidden="false" customHeight="false" outlineLevel="0" collapsed="false">
      <c r="A85" s="76" t="n">
        <v>250000</v>
      </c>
      <c r="B85" s="37" t="n">
        <v>0</v>
      </c>
      <c r="C85" s="37" t="n">
        <v>0</v>
      </c>
      <c r="D85" s="37" t="n">
        <v>0</v>
      </c>
    </row>
    <row r="86" customFormat="false" ht="15" hidden="false" customHeight="false" outlineLevel="0" collapsed="false">
      <c r="A86" s="76" t="n">
        <v>500000</v>
      </c>
      <c r="B86" s="37" t="n">
        <v>0</v>
      </c>
      <c r="C86" s="37" t="n">
        <v>0</v>
      </c>
      <c r="D86" s="37" t="n">
        <v>0</v>
      </c>
    </row>
    <row r="87" customFormat="false" ht="15" hidden="false" customHeight="false" outlineLevel="0" collapsed="false">
      <c r="A87" s="76" t="n">
        <v>750000</v>
      </c>
      <c r="B87" s="37" t="n">
        <v>0</v>
      </c>
      <c r="C87" s="37" t="n">
        <v>0</v>
      </c>
      <c r="D87" s="37" t="n">
        <v>0</v>
      </c>
    </row>
    <row r="88" customFormat="false" ht="15" hidden="false" customHeight="false" outlineLevel="0" collapsed="false">
      <c r="A88" s="76" t="n">
        <v>1000000</v>
      </c>
      <c r="B88" s="37" t="n">
        <v>0</v>
      </c>
      <c r="C88" s="37" t="n">
        <v>0</v>
      </c>
      <c r="D88" s="37" t="n">
        <v>0</v>
      </c>
    </row>
    <row r="89" customFormat="false" ht="15" hidden="false" customHeight="false" outlineLevel="0" collapsed="false">
      <c r="A89" s="76" t="n">
        <v>1250000</v>
      </c>
      <c r="B89" s="37" t="n">
        <v>0</v>
      </c>
      <c r="C89" s="37" t="n">
        <v>0</v>
      </c>
      <c r="D89" s="37" t="n">
        <v>0</v>
      </c>
    </row>
    <row r="90" customFormat="false" ht="15" hidden="false" customHeight="false" outlineLevel="0" collapsed="false">
      <c r="A90" s="76" t="n">
        <v>1500000</v>
      </c>
      <c r="B90" s="37" t="n">
        <v>0</v>
      </c>
      <c r="C90" s="37" t="n">
        <v>0</v>
      </c>
      <c r="D90" s="37" t="n">
        <v>0</v>
      </c>
    </row>
    <row r="91" customFormat="false" ht="15" hidden="false" customHeight="false" outlineLevel="0" collapsed="false">
      <c r="A91" s="76" t="n">
        <v>1750000</v>
      </c>
      <c r="B91" s="37" t="n">
        <v>0</v>
      </c>
      <c r="C91" s="37" t="n">
        <v>0</v>
      </c>
      <c r="D91" s="37" t="n">
        <v>0</v>
      </c>
    </row>
    <row r="92" customFormat="false" ht="15" hidden="false" customHeight="false" outlineLevel="0" collapsed="false">
      <c r="A92" s="76" t="n">
        <v>2000000</v>
      </c>
      <c r="B92" s="37" t="n">
        <v>0</v>
      </c>
      <c r="C92" s="37" t="n">
        <v>0</v>
      </c>
      <c r="D92" s="37" t="n">
        <v>0</v>
      </c>
    </row>
    <row r="94" customFormat="false" ht="45.75" hidden="false" customHeight="true" outlineLevel="0" collapsed="false">
      <c r="A94" s="32" t="s">
        <v>758</v>
      </c>
      <c r="B94" s="32"/>
      <c r="C94" s="32"/>
      <c r="D94" s="32"/>
      <c r="E94" s="32"/>
      <c r="F94" s="32"/>
      <c r="G94" s="32"/>
      <c r="H94" s="32"/>
      <c r="I94" s="32"/>
      <c r="J94" s="32"/>
    </row>
  </sheetData>
  <mergeCells count="1">
    <mergeCell ref="A94:J9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S109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4"/>
    <col collapsed="false" customWidth="true" hidden="false" outlineLevel="0" max="2" min="2" style="0" width="14"/>
    <col collapsed="false" customWidth="true" hidden="false" outlineLevel="0" max="14" min="3" style="0" width="11"/>
    <col collapsed="false" customWidth="true" hidden="false" outlineLevel="0" max="19" min="16" style="0" width="13"/>
  </cols>
  <sheetData>
    <row r="1" customFormat="false" ht="17.35" hidden="false" customHeight="false" outlineLevel="0" collapsed="false">
      <c r="A1" s="1" t="s">
        <v>759</v>
      </c>
    </row>
    <row r="2" customFormat="false" ht="15" hidden="false" customHeight="false" outlineLevel="0" collapsed="false">
      <c r="A2" s="2" t="s">
        <v>760</v>
      </c>
    </row>
    <row r="4" customFormat="false" ht="15" hidden="false" customHeight="true" outlineLevel="0" collapsed="false">
      <c r="A4" s="77" t="s">
        <v>761</v>
      </c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</row>
    <row r="5" customFormat="false" ht="23.85" hidden="false" customHeight="false" outlineLevel="0" collapsed="false">
      <c r="A5" s="35" t="s">
        <v>762</v>
      </c>
      <c r="B5" s="35" t="s">
        <v>444</v>
      </c>
      <c r="C5" s="6" t="s">
        <v>354</v>
      </c>
      <c r="D5" s="6" t="s">
        <v>355</v>
      </c>
      <c r="E5" s="6" t="s">
        <v>356</v>
      </c>
      <c r="F5" s="6" t="s">
        <v>357</v>
      </c>
      <c r="G5" s="6" t="s">
        <v>358</v>
      </c>
      <c r="H5" s="6" t="s">
        <v>359</v>
      </c>
      <c r="I5" s="6" t="s">
        <v>360</v>
      </c>
      <c r="J5" s="6" t="s">
        <v>361</v>
      </c>
      <c r="K5" s="6" t="s">
        <v>362</v>
      </c>
      <c r="L5" s="6" t="s">
        <v>363</v>
      </c>
      <c r="M5" s="6" t="s">
        <v>364</v>
      </c>
      <c r="N5" s="6" t="s">
        <v>365</v>
      </c>
      <c r="P5" s="6" t="s">
        <v>445</v>
      </c>
      <c r="Q5" s="6" t="s">
        <v>446</v>
      </c>
      <c r="R5" s="6" t="s">
        <v>447</v>
      </c>
      <c r="S5" s="6" t="s">
        <v>448</v>
      </c>
    </row>
    <row r="6" customFormat="false" ht="15" hidden="false" customHeight="false" outlineLevel="0" collapsed="false">
      <c r="A6" s="4" t="s">
        <v>449</v>
      </c>
      <c r="B6" s="36" t="s">
        <v>450</v>
      </c>
      <c r="C6" s="34" t="n">
        <f aca="false">'Market Sizing'!$C$17*Assumptions!$D$10*Assumptions!$D$11*(1-Assumptions!$D$12)</f>
        <v>843.03944704</v>
      </c>
    </row>
    <row r="7" customFormat="false" ht="15" hidden="false" customHeight="false" outlineLevel="0" collapsed="false">
      <c r="A7" s="4" t="s">
        <v>451</v>
      </c>
      <c r="B7" s="36" t="s">
        <v>450</v>
      </c>
      <c r="C7" s="34" t="n">
        <f aca="false">'Market Sizing'!$D$17*Assumptions!$D$10*Assumptions!$D$11*(1-Assumptions!$D$12)</f>
        <v>211.19616</v>
      </c>
    </row>
    <row r="8" customFormat="false" ht="15" hidden="false" customHeight="false" outlineLevel="0" collapsed="false">
      <c r="A8" s="4" t="s">
        <v>452</v>
      </c>
      <c r="B8" s="36" t="s">
        <v>450</v>
      </c>
      <c r="C8" s="34" t="n">
        <f aca="false">'Market Sizing'!$E$17*Assumptions!$D$10*Assumptions!$D$11*(1-Assumptions!$D$12)</f>
        <v>49.53984</v>
      </c>
    </row>
    <row r="9" customFormat="false" ht="15" hidden="false" customHeight="false" outlineLevel="0" collapsed="false">
      <c r="A9" s="4" t="s">
        <v>453</v>
      </c>
      <c r="B9" s="36"/>
      <c r="C9" s="34" t="n">
        <f aca="false">$C$6+$C$7+$C$8</f>
        <v>1103.77544704</v>
      </c>
    </row>
    <row r="10" customFormat="false" ht="15" hidden="false" customHeight="false" outlineLevel="0" collapsed="false">
      <c r="A10" s="4" t="s">
        <v>454</v>
      </c>
      <c r="B10" s="36" t="s">
        <v>450</v>
      </c>
      <c r="C10" s="34" t="n">
        <f aca="false">'Market Sizing'!$C$18*Assumptions!$D$10*Assumptions!$D$11*(1-Assumptions!$D$12)</f>
        <v>612.57706944</v>
      </c>
    </row>
    <row r="11" customFormat="false" ht="15" hidden="false" customHeight="false" outlineLevel="0" collapsed="false">
      <c r="A11" s="4" t="s">
        <v>455</v>
      </c>
      <c r="B11" s="36" t="s">
        <v>450</v>
      </c>
      <c r="C11" s="34" t="n">
        <f aca="false">'Market Sizing'!$D$18*Assumptions!$D$10*Assumptions!$D$11*(1-Assumptions!$D$12)</f>
        <v>142.10112</v>
      </c>
    </row>
    <row r="12" customFormat="false" ht="15" hidden="false" customHeight="false" outlineLevel="0" collapsed="false">
      <c r="A12" s="4" t="s">
        <v>456</v>
      </c>
      <c r="B12" s="36" t="s">
        <v>450</v>
      </c>
      <c r="C12" s="34" t="n">
        <f aca="false">'Market Sizing'!$E$18*Assumptions!$D$10*Assumptions!$D$11*(1-Assumptions!$D$12)</f>
        <v>24.76992</v>
      </c>
    </row>
    <row r="13" customFormat="false" ht="15" hidden="false" customHeight="false" outlineLevel="0" collapsed="false">
      <c r="A13" s="4" t="s">
        <v>457</v>
      </c>
      <c r="B13" s="36"/>
      <c r="C13" s="34" t="n">
        <f aca="false">$C$10+$C$11+$C$12</f>
        <v>779.44810944</v>
      </c>
    </row>
    <row r="14" customFormat="false" ht="15" hidden="false" customHeight="false" outlineLevel="0" collapsed="false">
      <c r="A14" s="4" t="s">
        <v>458</v>
      </c>
      <c r="B14" s="36" t="s">
        <v>450</v>
      </c>
      <c r="C14" s="34" t="n">
        <f aca="false">'Market Sizing'!$C$19*Assumptions!$D$10*Assumptions!$D$11*(1-Assumptions!$D$12)</f>
        <v>2060.77303936</v>
      </c>
    </row>
    <row r="15" customFormat="false" ht="15" hidden="false" customHeight="false" outlineLevel="0" collapsed="false">
      <c r="A15" s="4" t="s">
        <v>459</v>
      </c>
      <c r="B15" s="36" t="s">
        <v>450</v>
      </c>
      <c r="C15" s="34" t="n">
        <f aca="false">'Market Sizing'!$D$19*Assumptions!$D$10*Assumptions!$D$11*(1-Assumptions!$D$12)</f>
        <v>428.47616</v>
      </c>
    </row>
    <row r="16" customFormat="false" ht="15" hidden="false" customHeight="false" outlineLevel="0" collapsed="false">
      <c r="A16" s="4" t="s">
        <v>460</v>
      </c>
      <c r="B16" s="36" t="s">
        <v>450</v>
      </c>
      <c r="C16" s="34" t="n">
        <f aca="false">'Market Sizing'!$E$19*Assumptions!$D$10*Assumptions!$D$11*(1-Assumptions!$D$12)</f>
        <v>79.52448</v>
      </c>
    </row>
    <row r="17" customFormat="false" ht="15" hidden="false" customHeight="false" outlineLevel="0" collapsed="false">
      <c r="A17" s="4" t="s">
        <v>461</v>
      </c>
      <c r="B17" s="36"/>
      <c r="C17" s="34" t="n">
        <f aca="false">$C$14+$C$15+$C$16</f>
        <v>2568.77367936</v>
      </c>
    </row>
    <row r="18" customFormat="false" ht="15" hidden="false" customHeight="false" outlineLevel="0" collapsed="false">
      <c r="A18" s="4" t="s">
        <v>462</v>
      </c>
      <c r="B18" s="36" t="s">
        <v>463</v>
      </c>
      <c r="C18" s="33" t="n">
        <f aca="false">MAX((Assumptions!$D$51+Assumptions!$D$53)*12,(((('Market Sizing'!$E$25*Assumptions!$D$41*Assumptions!$D$42*Assumptions!$D$43)*Assumptions!$D$44)*Assumptions!$D$45*Assumptions!$D$46+('Market Sizing'!$E$25*Assumptions!$D$41*Assumptions!$D$42*Assumptions!$D$43)*Assumptions!$D$47+('Market Sizing'!$E$25*Assumptions!$D$41*Assumptions!$D$42*Assumptions!$D$43)*Assumptions!$D$48*Assumptions!$D$49)*(Assumptions!$D$51*12/Assumptions!$D$52)+((('Market Sizing'!$E$25*Assumptions!$D$41*Assumptions!$D$42*Assumptions!$D$43)*Assumptions!$D$44)*Assumptions!$D$45+('Market Sizing'!$E$25*Assumptions!$D$41*Assumptions!$D$42*Assumptions!$D$43)+('Market Sizing'!$E$25*Assumptions!$D$41*Assumptions!$D$42*Assumptions!$D$43)*Assumptions!$D$48)*Assumptions!$D$50*(Assumptions!$D$53*12/Assumptions!$D$54)))</f>
        <v>5352</v>
      </c>
    </row>
    <row r="19" customFormat="false" ht="15" hidden="false" customHeight="false" outlineLevel="0" collapsed="false">
      <c r="A19" s="4" t="s">
        <v>464</v>
      </c>
      <c r="B19" s="36" t="s">
        <v>463</v>
      </c>
      <c r="C19" s="33" t="n">
        <f aca="false">MAX((Assumptions!$D$51+Assumptions!$D$53)*12,(((('Market Sizing'!$E$26*Assumptions!$D$41*Assumptions!$D$42*Assumptions!$D$43)*Assumptions!$D$44)*Assumptions!$D$45*Assumptions!$D$46+('Market Sizing'!$E$26*Assumptions!$D$41*Assumptions!$D$42*Assumptions!$D$43)*Assumptions!$D$47+('Market Sizing'!$E$26*Assumptions!$D$41*Assumptions!$D$42*Assumptions!$D$43)*Assumptions!$D$48*Assumptions!$D$49)*(Assumptions!$D$51*12/Assumptions!$D$52)+((('Market Sizing'!$E$26*Assumptions!$D$41*Assumptions!$D$42*Assumptions!$D$43)*Assumptions!$D$44)*Assumptions!$D$45+('Market Sizing'!$E$26*Assumptions!$D$41*Assumptions!$D$42*Assumptions!$D$43)+('Market Sizing'!$E$26*Assumptions!$D$41*Assumptions!$D$42*Assumptions!$D$43)*Assumptions!$D$48)*Assumptions!$D$50*(Assumptions!$D$53*12/Assumptions!$D$54)))</f>
        <v>7325.04009656406</v>
      </c>
    </row>
    <row r="20" customFormat="false" ht="15" hidden="false" customHeight="false" outlineLevel="0" collapsed="false">
      <c r="A20" s="4" t="s">
        <v>465</v>
      </c>
      <c r="B20" s="36" t="s">
        <v>463</v>
      </c>
      <c r="C20" s="33" t="n">
        <f aca="false">MAX(Assumptions!$D$55*(Assumptions!$D$51*12/Assumptions!$D$52)+Assumptions!$D$56*(Assumptions!$D$53*12/Assumptions!$D$54),(((('Market Sizing'!$E$27*Assumptions!$D$41*Assumptions!$D$42*Assumptions!$D$43)*Assumptions!$D$44)*Assumptions!$D$45*Assumptions!$D$46+('Market Sizing'!$E$27*Assumptions!$D$41*Assumptions!$D$42*Assumptions!$D$43)*Assumptions!$D$47+('Market Sizing'!$E$27*Assumptions!$D$41*Assumptions!$D$42*Assumptions!$D$43)*Assumptions!$D$48*Assumptions!$D$49)*(Assumptions!$D$51*12/Assumptions!$D$52)+((('Market Sizing'!$E$27*Assumptions!$D$41*Assumptions!$D$42*Assumptions!$D$43)*Assumptions!$D$44)*Assumptions!$D$45+('Market Sizing'!$E$27*Assumptions!$D$41*Assumptions!$D$42*Assumptions!$D$43)+('Market Sizing'!$E$27*Assumptions!$D$41*Assumptions!$D$42*Assumptions!$D$43)*Assumptions!$D$48)*Assumptions!$D$50*(Assumptions!$D$53*12/Assumptions!$D$54)))*(1-Assumptions!$D$57)</f>
        <v>46333.6921645789</v>
      </c>
    </row>
    <row r="21" customFormat="false" ht="23.85" hidden="false" customHeight="false" outlineLevel="0" collapsed="false">
      <c r="A21" s="4" t="s">
        <v>466</v>
      </c>
      <c r="B21" s="36" t="s">
        <v>467</v>
      </c>
      <c r="C21" s="37" t="n">
        <f aca="false">Assumptions!$D$17*Assumptions!$D$106</f>
        <v>0.3</v>
      </c>
    </row>
    <row r="22" customFormat="false" ht="23.85" hidden="false" customHeight="false" outlineLevel="0" collapsed="false">
      <c r="A22" s="4" t="s">
        <v>468</v>
      </c>
      <c r="B22" s="36" t="s">
        <v>469</v>
      </c>
      <c r="C22" s="33" t="n">
        <f aca="false">Assumptions!$D$68/Assumptions!$D$69</f>
        <v>285714.285714286</v>
      </c>
    </row>
    <row r="23" customFormat="false" ht="23.85" hidden="false" customHeight="false" outlineLevel="0" collapsed="false">
      <c r="A23" s="4" t="s">
        <v>470</v>
      </c>
      <c r="B23" s="36" t="s">
        <v>471</v>
      </c>
      <c r="C23" s="33" t="n">
        <f aca="false">Assumptions!$D$66*Assumptions!$D$67/4</f>
        <v>120312.5</v>
      </c>
    </row>
    <row r="24" customFormat="false" ht="15" hidden="false" customHeight="false" outlineLevel="0" collapsed="false">
      <c r="A24" s="4" t="s">
        <v>472</v>
      </c>
      <c r="B24" s="36"/>
      <c r="C24" s="38" t="n">
        <f aca="false">$C$22/Assumptions!$D$66/Assumptions!$D$67</f>
        <v>0.593692022263451</v>
      </c>
    </row>
    <row r="25" customFormat="false" ht="15" hidden="false" customHeight="false" outlineLevel="0" collapsed="false">
      <c r="A25" s="4" t="s">
        <v>473</v>
      </c>
      <c r="B25" s="36"/>
      <c r="C25" s="33" t="n">
        <f aca="false">MAX(0,Assumptions!$D$103-Assumptions!$D$78)</f>
        <v>0</v>
      </c>
    </row>
    <row r="26" customFormat="false" ht="15" hidden="false" customHeight="false" outlineLevel="0" collapsed="false">
      <c r="A26" s="35" t="s">
        <v>474</v>
      </c>
      <c r="B26" s="35" t="s">
        <v>444</v>
      </c>
      <c r="C26" s="6" t="s">
        <v>354</v>
      </c>
      <c r="D26" s="6" t="s">
        <v>355</v>
      </c>
      <c r="E26" s="6" t="s">
        <v>356</v>
      </c>
      <c r="F26" s="6" t="s">
        <v>357</v>
      </c>
      <c r="G26" s="6" t="s">
        <v>358</v>
      </c>
      <c r="H26" s="6" t="s">
        <v>359</v>
      </c>
      <c r="I26" s="6" t="s">
        <v>360</v>
      </c>
      <c r="J26" s="6" t="s">
        <v>361</v>
      </c>
      <c r="K26" s="6" t="s">
        <v>362</v>
      </c>
      <c r="L26" s="6" t="s">
        <v>363</v>
      </c>
      <c r="M26" s="6" t="s">
        <v>364</v>
      </c>
      <c r="N26" s="6" t="s">
        <v>365</v>
      </c>
      <c r="P26" s="6" t="s">
        <v>445</v>
      </c>
      <c r="Q26" s="6" t="s">
        <v>446</v>
      </c>
      <c r="R26" s="6" t="s">
        <v>447</v>
      </c>
      <c r="S26" s="6" t="s">
        <v>448</v>
      </c>
    </row>
    <row r="27" customFormat="false" ht="15" hidden="false" customHeight="false" outlineLevel="0" collapsed="false">
      <c r="A27" s="4" t="s">
        <v>475</v>
      </c>
      <c r="B27" s="36" t="s">
        <v>133</v>
      </c>
      <c r="C27" s="39" t="n">
        <v>1</v>
      </c>
      <c r="D27" s="39" t="n">
        <v>2</v>
      </c>
      <c r="E27" s="39" t="n">
        <v>3</v>
      </c>
      <c r="F27" s="39" t="n">
        <v>4</v>
      </c>
      <c r="G27" s="39" t="n">
        <v>5</v>
      </c>
      <c r="H27" s="39" t="n">
        <v>6</v>
      </c>
      <c r="I27" s="39" t="n">
        <v>7</v>
      </c>
      <c r="J27" s="39" t="n">
        <v>8</v>
      </c>
      <c r="K27" s="39" t="n">
        <v>9</v>
      </c>
      <c r="L27" s="39" t="n">
        <v>10</v>
      </c>
      <c r="M27" s="39" t="n">
        <v>11</v>
      </c>
      <c r="N27" s="39" t="n">
        <v>12</v>
      </c>
      <c r="P27" s="40"/>
      <c r="Q27" s="40"/>
      <c r="R27" s="40"/>
      <c r="S27" s="41"/>
    </row>
    <row r="28" customFormat="false" ht="15" hidden="false" customHeight="false" outlineLevel="0" collapsed="false">
      <c r="A28" s="4" t="s">
        <v>476</v>
      </c>
      <c r="B28" s="36" t="s">
        <v>343</v>
      </c>
      <c r="C28" s="39" t="n">
        <f aca="false">IF(C27&lt;=Assumptions!$D$84,1,0)</f>
        <v>1</v>
      </c>
      <c r="D28" s="39" t="n">
        <f aca="false">IF(D27&lt;=Assumptions!$D$84,1,0)</f>
        <v>1</v>
      </c>
      <c r="E28" s="39" t="n">
        <f aca="false">IF(E27&lt;=Assumptions!$D$84,1,0)</f>
        <v>1</v>
      </c>
      <c r="F28" s="39" t="n">
        <f aca="false">IF(F27&lt;=Assumptions!$D$84,1,0)</f>
        <v>1</v>
      </c>
      <c r="G28" s="39" t="n">
        <f aca="false">IF(G27&lt;=Assumptions!$D$84,1,0)</f>
        <v>1</v>
      </c>
      <c r="H28" s="39" t="n">
        <f aca="false">IF(H27&lt;=Assumptions!$D$84,1,0)</f>
        <v>1</v>
      </c>
      <c r="I28" s="39" t="n">
        <f aca="false">IF(I27&lt;=Assumptions!$D$84,1,0)</f>
        <v>1</v>
      </c>
      <c r="J28" s="39" t="n">
        <f aca="false">IF(J27&lt;=Assumptions!$D$84,1,0)</f>
        <v>1</v>
      </c>
      <c r="K28" s="39" t="n">
        <f aca="false">IF(K27&lt;=Assumptions!$D$84,1,0)</f>
        <v>1</v>
      </c>
      <c r="L28" s="39" t="n">
        <f aca="false">IF(L27&lt;=Assumptions!$D$84,1,0)</f>
        <v>1</v>
      </c>
      <c r="M28" s="39" t="n">
        <f aca="false">IF(M27&lt;=Assumptions!$D$84,1,0)</f>
        <v>1</v>
      </c>
      <c r="N28" s="39" t="n">
        <f aca="false">IF(N27&lt;=Assumptions!$D$84,1,0)</f>
        <v>1</v>
      </c>
      <c r="P28" s="40"/>
      <c r="Q28" s="40"/>
      <c r="R28" s="40"/>
      <c r="S28" s="41"/>
    </row>
    <row r="29" customFormat="false" ht="15" hidden="false" customHeight="false" outlineLevel="0" collapsed="false">
      <c r="A29" s="4" t="s">
        <v>477</v>
      </c>
      <c r="B29" s="36" t="s">
        <v>478</v>
      </c>
      <c r="C29" s="42" t="n">
        <f aca="false">IF(C27=Assumptions!$D$13,0.5,IF(C27&gt;Assumptions!$D$13,1,0))</f>
        <v>0.5</v>
      </c>
      <c r="D29" s="42" t="n">
        <f aca="false">IF(D27=Assumptions!$D$13,0.5,IF(D27&gt;Assumptions!$D$13,1,0))</f>
        <v>1</v>
      </c>
      <c r="E29" s="42" t="n">
        <f aca="false">IF(E27=Assumptions!$D$13,0.5,IF(E27&gt;Assumptions!$D$13,1,0))</f>
        <v>1</v>
      </c>
      <c r="F29" s="42" t="n">
        <f aca="false">IF(F27=Assumptions!$D$13,0.5,IF(F27&gt;Assumptions!$D$13,1,0))</f>
        <v>1</v>
      </c>
      <c r="G29" s="42" t="n">
        <f aca="false">IF(G27=Assumptions!$D$13,0.5,IF(G27&gt;Assumptions!$D$13,1,0))</f>
        <v>1</v>
      </c>
      <c r="H29" s="42" t="n">
        <f aca="false">IF(H27=Assumptions!$D$13,0.5,IF(H27&gt;Assumptions!$D$13,1,0))</f>
        <v>1</v>
      </c>
      <c r="I29" s="42" t="n">
        <f aca="false">IF(I27=Assumptions!$D$13,0.5,IF(I27&gt;Assumptions!$D$13,1,0))</f>
        <v>1</v>
      </c>
      <c r="J29" s="42" t="n">
        <f aca="false">IF(J27=Assumptions!$D$13,0.5,IF(J27&gt;Assumptions!$D$13,1,0))</f>
        <v>1</v>
      </c>
      <c r="K29" s="42" t="n">
        <f aca="false">IF(K27=Assumptions!$D$13,0.5,IF(K27&gt;Assumptions!$D$13,1,0))</f>
        <v>1</v>
      </c>
      <c r="L29" s="42" t="n">
        <f aca="false">IF(L27=Assumptions!$D$13,0.5,IF(L27&gt;Assumptions!$D$13,1,0))</f>
        <v>1</v>
      </c>
      <c r="M29" s="42" t="n">
        <f aca="false">IF(M27=Assumptions!$D$13,0.5,IF(M27&gt;Assumptions!$D$13,1,0))</f>
        <v>1</v>
      </c>
      <c r="N29" s="42" t="n">
        <f aca="false">IF(N27=Assumptions!$D$13,0.5,IF(N27&gt;Assumptions!$D$13,1,0))</f>
        <v>1</v>
      </c>
      <c r="P29" s="43"/>
      <c r="Q29" s="43"/>
      <c r="R29" s="43"/>
      <c r="S29" s="44"/>
    </row>
    <row r="30" customFormat="false" ht="15" hidden="false" customHeight="false" outlineLevel="0" collapsed="false">
      <c r="A30" s="4" t="s">
        <v>479</v>
      </c>
      <c r="B30" s="36" t="s">
        <v>478</v>
      </c>
      <c r="C30" s="42" t="n">
        <f aca="false">IF(C27=Assumptions!$D$14,0.5,IF(C27&gt;Assumptions!$D$14,1,0))</f>
        <v>0</v>
      </c>
      <c r="D30" s="42" t="n">
        <f aca="false">IF(D27=Assumptions!$D$14,0.5,IF(D27&gt;Assumptions!$D$14,1,0))</f>
        <v>0</v>
      </c>
      <c r="E30" s="42" t="n">
        <f aca="false">IF(E27=Assumptions!$D$14,0.5,IF(E27&gt;Assumptions!$D$14,1,0))</f>
        <v>0</v>
      </c>
      <c r="F30" s="42" t="n">
        <f aca="false">IF(F27=Assumptions!$D$14,0.5,IF(F27&gt;Assumptions!$D$14,1,0))</f>
        <v>0</v>
      </c>
      <c r="G30" s="42" t="n">
        <f aca="false">IF(G27=Assumptions!$D$14,0.5,IF(G27&gt;Assumptions!$D$14,1,0))</f>
        <v>0</v>
      </c>
      <c r="H30" s="42" t="n">
        <f aca="false">IF(H27=Assumptions!$D$14,0.5,IF(H27&gt;Assumptions!$D$14,1,0))</f>
        <v>0</v>
      </c>
      <c r="I30" s="42" t="n">
        <f aca="false">IF(I27=Assumptions!$D$14,0.5,IF(I27&gt;Assumptions!$D$14,1,0))</f>
        <v>0.5</v>
      </c>
      <c r="J30" s="42" t="n">
        <f aca="false">IF(J27=Assumptions!$D$14,0.5,IF(J27&gt;Assumptions!$D$14,1,0))</f>
        <v>1</v>
      </c>
      <c r="K30" s="42" t="n">
        <f aca="false">IF(K27=Assumptions!$D$14,0.5,IF(K27&gt;Assumptions!$D$14,1,0))</f>
        <v>1</v>
      </c>
      <c r="L30" s="42" t="n">
        <f aca="false">IF(L27=Assumptions!$D$14,0.5,IF(L27&gt;Assumptions!$D$14,1,0))</f>
        <v>1</v>
      </c>
      <c r="M30" s="42" t="n">
        <f aca="false">IF(M27=Assumptions!$D$14,0.5,IF(M27&gt;Assumptions!$D$14,1,0))</f>
        <v>1</v>
      </c>
      <c r="N30" s="42" t="n">
        <f aca="false">IF(N27=Assumptions!$D$14,0.5,IF(N27&gt;Assumptions!$D$14,1,0))</f>
        <v>1</v>
      </c>
      <c r="P30" s="43"/>
      <c r="Q30" s="43"/>
      <c r="R30" s="43"/>
      <c r="S30" s="44"/>
    </row>
    <row r="31" customFormat="false" ht="15" hidden="false" customHeight="false" outlineLevel="0" collapsed="false">
      <c r="A31" s="4" t="s">
        <v>480</v>
      </c>
      <c r="B31" s="36" t="s">
        <v>478</v>
      </c>
      <c r="C31" s="42" t="n">
        <f aca="false">IF(C27=Assumptions!$D$15,0.5,IF(C27&gt;Assumptions!$D$15,1,0))</f>
        <v>0</v>
      </c>
      <c r="D31" s="42" t="n">
        <f aca="false">IF(D27=Assumptions!$D$15,0.5,IF(D27&gt;Assumptions!$D$15,1,0))</f>
        <v>0</v>
      </c>
      <c r="E31" s="42" t="n">
        <f aca="false">IF(E27=Assumptions!$D$15,0.5,IF(E27&gt;Assumptions!$D$15,1,0))</f>
        <v>0</v>
      </c>
      <c r="F31" s="42" t="n">
        <f aca="false">IF(F27=Assumptions!$D$15,0.5,IF(F27&gt;Assumptions!$D$15,1,0))</f>
        <v>0</v>
      </c>
      <c r="G31" s="42" t="n">
        <f aca="false">IF(G27=Assumptions!$D$15,0.5,IF(G27&gt;Assumptions!$D$15,1,0))</f>
        <v>0</v>
      </c>
      <c r="H31" s="42" t="n">
        <f aca="false">IF(H27=Assumptions!$D$15,0.5,IF(H27&gt;Assumptions!$D$15,1,0))</f>
        <v>0</v>
      </c>
      <c r="I31" s="42" t="n">
        <f aca="false">IF(I27=Assumptions!$D$15,0.5,IF(I27&gt;Assumptions!$D$15,1,0))</f>
        <v>0</v>
      </c>
      <c r="J31" s="42" t="n">
        <f aca="false">IF(J27=Assumptions!$D$15,0.5,IF(J27&gt;Assumptions!$D$15,1,0))</f>
        <v>0</v>
      </c>
      <c r="K31" s="42" t="n">
        <f aca="false">IF(K27=Assumptions!$D$15,0.5,IF(K27&gt;Assumptions!$D$15,1,0))</f>
        <v>0</v>
      </c>
      <c r="L31" s="42" t="n">
        <f aca="false">IF(L27=Assumptions!$D$15,0.5,IF(L27&gt;Assumptions!$D$15,1,0))</f>
        <v>0</v>
      </c>
      <c r="M31" s="42" t="n">
        <f aca="false">IF(M27=Assumptions!$D$15,0.5,IF(M27&gt;Assumptions!$D$15,1,0))</f>
        <v>0</v>
      </c>
      <c r="N31" s="42" t="n">
        <f aca="false">IF(N27=Assumptions!$D$15,0.5,IF(N27&gt;Assumptions!$D$15,1,0))</f>
        <v>0</v>
      </c>
      <c r="P31" s="43"/>
      <c r="Q31" s="43"/>
      <c r="R31" s="43"/>
      <c r="S31" s="44"/>
    </row>
    <row r="32" customFormat="false" ht="15" hidden="false" customHeight="false" outlineLevel="0" collapsed="false">
      <c r="A32" s="4" t="s">
        <v>481</v>
      </c>
      <c r="B32" s="36" t="s">
        <v>478</v>
      </c>
      <c r="C32" s="45" t="n">
        <f aca="false">Assumptions!$D$21^(MAX(0,C27-Assumptions!$D$13)/4)</f>
        <v>1</v>
      </c>
      <c r="D32" s="45" t="n">
        <f aca="false">Assumptions!$D$21^(MAX(0,D27-Assumptions!$D$13)/4)</f>
        <v>0.880111736793393</v>
      </c>
      <c r="E32" s="45" t="n">
        <f aca="false">Assumptions!$D$21^(MAX(0,E27-Assumptions!$D$13)/4)</f>
        <v>0.774596669241483</v>
      </c>
      <c r="F32" s="45" t="n">
        <f aca="false">Assumptions!$D$21^(MAX(0,F27-Assumptions!$D$13)/4)</f>
        <v>0.6817316198805</v>
      </c>
      <c r="G32" s="45" t="n">
        <f aca="false">Assumptions!$D$21^(MAX(0,G27-Assumptions!$D$13)/4)</f>
        <v>0.6</v>
      </c>
      <c r="H32" s="45" t="n">
        <f aca="false">Assumptions!$D$21^(MAX(0,H27-Assumptions!$D$13)/4)</f>
        <v>0.528067042076036</v>
      </c>
      <c r="I32" s="45" t="n">
        <f aca="false">Assumptions!$D$21^(MAX(0,I27-Assumptions!$D$13)/4)</f>
        <v>0.46475800154489</v>
      </c>
      <c r="J32" s="45" t="n">
        <f aca="false">Assumptions!$D$21^(MAX(0,J27-Assumptions!$D$13)/4)</f>
        <v>0.4090389719283</v>
      </c>
      <c r="K32" s="45" t="n">
        <f aca="false">Assumptions!$D$21^(MAX(0,K27-Assumptions!$D$13)/4)</f>
        <v>0.36</v>
      </c>
      <c r="L32" s="45" t="n">
        <f aca="false">Assumptions!$D$21^(MAX(0,L27-Assumptions!$D$13)/4)</f>
        <v>0.316840225245622</v>
      </c>
      <c r="M32" s="45" t="n">
        <f aca="false">Assumptions!$D$21^(MAX(0,M27-Assumptions!$D$13)/4)</f>
        <v>0.278854800926934</v>
      </c>
      <c r="N32" s="45" t="n">
        <f aca="false">Assumptions!$D$21^(MAX(0,N27-Assumptions!$D$13)/4)</f>
        <v>0.24542338315698</v>
      </c>
      <c r="P32" s="46"/>
      <c r="Q32" s="46"/>
      <c r="R32" s="46"/>
      <c r="S32" s="47"/>
    </row>
    <row r="33" customFormat="false" ht="15" hidden="false" customHeight="false" outlineLevel="0" collapsed="false">
      <c r="A33" s="4" t="s">
        <v>482</v>
      </c>
      <c r="B33" s="36" t="s">
        <v>478</v>
      </c>
      <c r="C33" s="45" t="n">
        <f aca="false">Assumptions!$D$21^(MAX(0,C27-Assumptions!$D$14)/4)</f>
        <v>1</v>
      </c>
      <c r="D33" s="45" t="n">
        <f aca="false">Assumptions!$D$21^(MAX(0,D27-Assumptions!$D$14)/4)</f>
        <v>1</v>
      </c>
      <c r="E33" s="45" t="n">
        <f aca="false">Assumptions!$D$21^(MAX(0,E27-Assumptions!$D$14)/4)</f>
        <v>1</v>
      </c>
      <c r="F33" s="45" t="n">
        <f aca="false">Assumptions!$D$21^(MAX(0,F27-Assumptions!$D$14)/4)</f>
        <v>1</v>
      </c>
      <c r="G33" s="45" t="n">
        <f aca="false">Assumptions!$D$21^(MAX(0,G27-Assumptions!$D$14)/4)</f>
        <v>1</v>
      </c>
      <c r="H33" s="45" t="n">
        <f aca="false">Assumptions!$D$21^(MAX(0,H27-Assumptions!$D$14)/4)</f>
        <v>1</v>
      </c>
      <c r="I33" s="45" t="n">
        <f aca="false">Assumptions!$D$21^(MAX(0,I27-Assumptions!$D$14)/4)</f>
        <v>1</v>
      </c>
      <c r="J33" s="45" t="n">
        <f aca="false">Assumptions!$D$21^(MAX(0,J27-Assumptions!$D$14)/4)</f>
        <v>0.880111736793393</v>
      </c>
      <c r="K33" s="45" t="n">
        <f aca="false">Assumptions!$D$21^(MAX(0,K27-Assumptions!$D$14)/4)</f>
        <v>0.774596669241483</v>
      </c>
      <c r="L33" s="45" t="n">
        <f aca="false">Assumptions!$D$21^(MAX(0,L27-Assumptions!$D$14)/4)</f>
        <v>0.6817316198805</v>
      </c>
      <c r="M33" s="45" t="n">
        <f aca="false">Assumptions!$D$21^(MAX(0,M27-Assumptions!$D$14)/4)</f>
        <v>0.6</v>
      </c>
      <c r="N33" s="45" t="n">
        <f aca="false">Assumptions!$D$21^(MAX(0,N27-Assumptions!$D$14)/4)</f>
        <v>0.528067042076036</v>
      </c>
      <c r="P33" s="46"/>
      <c r="Q33" s="46"/>
      <c r="R33" s="46"/>
      <c r="S33" s="47"/>
    </row>
    <row r="34" customFormat="false" ht="15" hidden="false" customHeight="false" outlineLevel="0" collapsed="false">
      <c r="A34" s="4" t="s">
        <v>483</v>
      </c>
      <c r="B34" s="36" t="s">
        <v>478</v>
      </c>
      <c r="C34" s="45" t="n">
        <f aca="false">Assumptions!$D$21^(MAX(0,C27-Assumptions!$D$15)/4)</f>
        <v>1</v>
      </c>
      <c r="D34" s="45" t="n">
        <f aca="false">Assumptions!$D$21^(MAX(0,D27-Assumptions!$D$15)/4)</f>
        <v>1</v>
      </c>
      <c r="E34" s="45" t="n">
        <f aca="false">Assumptions!$D$21^(MAX(0,E27-Assumptions!$D$15)/4)</f>
        <v>1</v>
      </c>
      <c r="F34" s="45" t="n">
        <f aca="false">Assumptions!$D$21^(MAX(0,F27-Assumptions!$D$15)/4)</f>
        <v>1</v>
      </c>
      <c r="G34" s="45" t="n">
        <f aca="false">Assumptions!$D$21^(MAX(0,G27-Assumptions!$D$15)/4)</f>
        <v>1</v>
      </c>
      <c r="H34" s="45" t="n">
        <f aca="false">Assumptions!$D$21^(MAX(0,H27-Assumptions!$D$15)/4)</f>
        <v>1</v>
      </c>
      <c r="I34" s="45" t="n">
        <f aca="false">Assumptions!$D$21^(MAX(0,I27-Assumptions!$D$15)/4)</f>
        <v>1</v>
      </c>
      <c r="J34" s="45" t="n">
        <f aca="false">Assumptions!$D$21^(MAX(0,J27-Assumptions!$D$15)/4)</f>
        <v>1</v>
      </c>
      <c r="K34" s="45" t="n">
        <f aca="false">Assumptions!$D$21^(MAX(0,K27-Assumptions!$D$15)/4)</f>
        <v>1</v>
      </c>
      <c r="L34" s="45" t="n">
        <f aca="false">Assumptions!$D$21^(MAX(0,L27-Assumptions!$D$15)/4)</f>
        <v>1</v>
      </c>
      <c r="M34" s="45" t="n">
        <f aca="false">Assumptions!$D$21^(MAX(0,M27-Assumptions!$D$15)/4)</f>
        <v>1</v>
      </c>
      <c r="N34" s="45" t="n">
        <f aca="false">Assumptions!$D$21^(MAX(0,N27-Assumptions!$D$15)/4)</f>
        <v>1</v>
      </c>
      <c r="P34" s="46"/>
      <c r="Q34" s="46"/>
      <c r="R34" s="46"/>
      <c r="S34" s="47"/>
    </row>
    <row r="35" customFormat="false" ht="15" hidden="false" customHeight="false" outlineLevel="0" collapsed="false">
      <c r="A35" s="4" t="s">
        <v>484</v>
      </c>
      <c r="B35" s="36" t="s">
        <v>485</v>
      </c>
      <c r="C35" s="39" t="n">
        <f aca="false">$C$6*C29+$C$10*C30+$C$14*C31</f>
        <v>421.51972352</v>
      </c>
      <c r="D35" s="39" t="n">
        <f aca="false">$C$6*D29+$C$10*D30+$C$14*D31</f>
        <v>843.03944704</v>
      </c>
      <c r="E35" s="39" t="n">
        <f aca="false">$C$6*E29+$C$10*E30+$C$14*E31</f>
        <v>843.03944704</v>
      </c>
      <c r="F35" s="39" t="n">
        <f aca="false">$C$6*F29+$C$10*F30+$C$14*F31</f>
        <v>843.03944704</v>
      </c>
      <c r="G35" s="39" t="n">
        <f aca="false">$C$6*G29+$C$10*G30+$C$14*G31</f>
        <v>843.03944704</v>
      </c>
      <c r="H35" s="39" t="n">
        <f aca="false">$C$6*H29+$C$10*H30+$C$14*H31</f>
        <v>843.03944704</v>
      </c>
      <c r="I35" s="39" t="n">
        <f aca="false">$C$6*I29+$C$10*I30+$C$14*I31</f>
        <v>1149.32798176</v>
      </c>
      <c r="J35" s="39" t="n">
        <f aca="false">$C$6*J29+$C$10*J30+$C$14*J31</f>
        <v>1455.61651648</v>
      </c>
      <c r="K35" s="39" t="n">
        <f aca="false">$C$6*K29+$C$10*K30+$C$14*K31</f>
        <v>1455.61651648</v>
      </c>
      <c r="L35" s="39" t="n">
        <f aca="false">$C$6*L29+$C$10*L30+$C$14*L31</f>
        <v>1455.61651648</v>
      </c>
      <c r="M35" s="39" t="n">
        <f aca="false">$C$6*M29+$C$10*M30+$C$14*M31</f>
        <v>1455.61651648</v>
      </c>
      <c r="N35" s="39" t="n">
        <f aca="false">$C$6*N29+$C$10*N30+$C$14*N31</f>
        <v>1455.61651648</v>
      </c>
      <c r="P35" s="40" t="n">
        <f aca="false">F35</f>
        <v>843.03944704</v>
      </c>
      <c r="Q35" s="40" t="n">
        <f aca="false">J35</f>
        <v>1455.61651648</v>
      </c>
      <c r="R35" s="40" t="n">
        <f aca="false">N35</f>
        <v>1455.61651648</v>
      </c>
      <c r="S35" s="41" t="n">
        <f aca="false">R35</f>
        <v>1455.61651648</v>
      </c>
    </row>
    <row r="36" customFormat="false" ht="15" hidden="false" customHeight="false" outlineLevel="0" collapsed="false">
      <c r="A36" s="4" t="s">
        <v>486</v>
      </c>
      <c r="B36" s="36" t="s">
        <v>485</v>
      </c>
      <c r="C36" s="39" t="n">
        <f aca="false">$C$7*C29+$C$11*C30+$C$15*C31</f>
        <v>105.59808</v>
      </c>
      <c r="D36" s="39" t="n">
        <f aca="false">$C$7*D29+$C$11*D30+$C$15*D31</f>
        <v>211.19616</v>
      </c>
      <c r="E36" s="39" t="n">
        <f aca="false">$C$7*E29+$C$11*E30+$C$15*E31</f>
        <v>211.19616</v>
      </c>
      <c r="F36" s="39" t="n">
        <f aca="false">$C$7*F29+$C$11*F30+$C$15*F31</f>
        <v>211.19616</v>
      </c>
      <c r="G36" s="39" t="n">
        <f aca="false">$C$7*G29+$C$11*G30+$C$15*G31</f>
        <v>211.19616</v>
      </c>
      <c r="H36" s="39" t="n">
        <f aca="false">$C$7*H29+$C$11*H30+$C$15*H31</f>
        <v>211.19616</v>
      </c>
      <c r="I36" s="39" t="n">
        <f aca="false">$C$7*I29+$C$11*I30+$C$15*I31</f>
        <v>282.24672</v>
      </c>
      <c r="J36" s="39" t="n">
        <f aca="false">$C$7*J29+$C$11*J30+$C$15*J31</f>
        <v>353.29728</v>
      </c>
      <c r="K36" s="39" t="n">
        <f aca="false">$C$7*K29+$C$11*K30+$C$15*K31</f>
        <v>353.29728</v>
      </c>
      <c r="L36" s="39" t="n">
        <f aca="false">$C$7*L29+$C$11*L30+$C$15*L31</f>
        <v>353.29728</v>
      </c>
      <c r="M36" s="39" t="n">
        <f aca="false">$C$7*M29+$C$11*M30+$C$15*M31</f>
        <v>353.29728</v>
      </c>
      <c r="N36" s="39" t="n">
        <f aca="false">$C$7*N29+$C$11*N30+$C$15*N31</f>
        <v>353.29728</v>
      </c>
      <c r="P36" s="40" t="n">
        <f aca="false">F36</f>
        <v>211.19616</v>
      </c>
      <c r="Q36" s="40" t="n">
        <f aca="false">J36</f>
        <v>353.29728</v>
      </c>
      <c r="R36" s="40" t="n">
        <f aca="false">N36</f>
        <v>353.29728</v>
      </c>
      <c r="S36" s="41" t="n">
        <f aca="false">R36</f>
        <v>353.29728</v>
      </c>
    </row>
    <row r="37" customFormat="false" ht="15" hidden="false" customHeight="false" outlineLevel="0" collapsed="false">
      <c r="A37" s="4" t="s">
        <v>487</v>
      </c>
      <c r="B37" s="36" t="s">
        <v>485</v>
      </c>
      <c r="C37" s="39" t="n">
        <f aca="false">$C$8*C29+$C$12*C30+$C$16*C31</f>
        <v>24.76992</v>
      </c>
      <c r="D37" s="39" t="n">
        <f aca="false">$C$8*D29+$C$12*D30+$C$16*D31</f>
        <v>49.53984</v>
      </c>
      <c r="E37" s="39" t="n">
        <f aca="false">$C$8*E29+$C$12*E30+$C$16*E31</f>
        <v>49.53984</v>
      </c>
      <c r="F37" s="39" t="n">
        <f aca="false">$C$8*F29+$C$12*F30+$C$16*F31</f>
        <v>49.53984</v>
      </c>
      <c r="G37" s="39" t="n">
        <f aca="false">$C$8*G29+$C$12*G30+$C$16*G31</f>
        <v>49.53984</v>
      </c>
      <c r="H37" s="39" t="n">
        <f aca="false">$C$8*H29+$C$12*H30+$C$16*H31</f>
        <v>49.53984</v>
      </c>
      <c r="I37" s="39" t="n">
        <f aca="false">$C$8*I29+$C$12*I30+$C$16*I31</f>
        <v>61.9248</v>
      </c>
      <c r="J37" s="39" t="n">
        <f aca="false">$C$8*J29+$C$12*J30+$C$16*J31</f>
        <v>74.30976</v>
      </c>
      <c r="K37" s="39" t="n">
        <f aca="false">$C$8*K29+$C$12*K30+$C$16*K31</f>
        <v>74.30976</v>
      </c>
      <c r="L37" s="39" t="n">
        <f aca="false">$C$8*L29+$C$12*L30+$C$16*L31</f>
        <v>74.30976</v>
      </c>
      <c r="M37" s="39" t="n">
        <f aca="false">$C$8*M29+$C$12*M30+$C$16*M31</f>
        <v>74.30976</v>
      </c>
      <c r="N37" s="39" t="n">
        <f aca="false">$C$8*N29+$C$12*N30+$C$16*N31</f>
        <v>74.30976</v>
      </c>
      <c r="P37" s="40" t="n">
        <f aca="false">F37</f>
        <v>49.53984</v>
      </c>
      <c r="Q37" s="40" t="n">
        <f aca="false">J37</f>
        <v>74.30976</v>
      </c>
      <c r="R37" s="40" t="n">
        <f aca="false">N37</f>
        <v>74.30976</v>
      </c>
      <c r="S37" s="41" t="n">
        <f aca="false">R37</f>
        <v>74.30976</v>
      </c>
    </row>
    <row r="38" customFormat="false" ht="15" hidden="false" customHeight="false" outlineLevel="0" collapsed="false">
      <c r="A38" s="4" t="s">
        <v>488</v>
      </c>
      <c r="B38" s="36" t="s">
        <v>485</v>
      </c>
      <c r="C38" s="39" t="n">
        <f aca="false">C35+C36+C37</f>
        <v>551.88772352</v>
      </c>
      <c r="D38" s="39" t="n">
        <f aca="false">D35+D36+D37</f>
        <v>1103.77544704</v>
      </c>
      <c r="E38" s="39" t="n">
        <f aca="false">E35+E36+E37</f>
        <v>1103.77544704</v>
      </c>
      <c r="F38" s="39" t="n">
        <f aca="false">F35+F36+F37</f>
        <v>1103.77544704</v>
      </c>
      <c r="G38" s="39" t="n">
        <f aca="false">G35+G36+G37</f>
        <v>1103.77544704</v>
      </c>
      <c r="H38" s="39" t="n">
        <f aca="false">H35+H36+H37</f>
        <v>1103.77544704</v>
      </c>
      <c r="I38" s="39" t="n">
        <f aca="false">I35+I36+I37</f>
        <v>1493.49950176</v>
      </c>
      <c r="J38" s="39" t="n">
        <f aca="false">J35+J36+J37</f>
        <v>1883.22355648</v>
      </c>
      <c r="K38" s="39" t="n">
        <f aca="false">K35+K36+K37</f>
        <v>1883.22355648</v>
      </c>
      <c r="L38" s="39" t="n">
        <f aca="false">L35+L36+L37</f>
        <v>1883.22355648</v>
      </c>
      <c r="M38" s="39" t="n">
        <f aca="false">M35+M36+M37</f>
        <v>1883.22355648</v>
      </c>
      <c r="N38" s="39" t="n">
        <f aca="false">N35+N36+N37</f>
        <v>1883.22355648</v>
      </c>
      <c r="P38" s="40" t="n">
        <f aca="false">F38</f>
        <v>1103.77544704</v>
      </c>
      <c r="Q38" s="40" t="n">
        <f aca="false">J38</f>
        <v>1883.22355648</v>
      </c>
      <c r="R38" s="40" t="n">
        <f aca="false">N38</f>
        <v>1883.22355648</v>
      </c>
      <c r="S38" s="41" t="n">
        <f aca="false">R38</f>
        <v>1883.22355648</v>
      </c>
    </row>
    <row r="39" customFormat="false" ht="15" hidden="false" customHeight="false" outlineLevel="0" collapsed="false">
      <c r="A39" s="4" t="s">
        <v>489</v>
      </c>
      <c r="B39" s="36" t="s">
        <v>485</v>
      </c>
      <c r="C39" s="39" t="n">
        <f aca="false">$C$9*C29*C32+$C$13*C30*C33+$C$17*C31*C34</f>
        <v>551.88772352</v>
      </c>
      <c r="D39" s="39" t="n">
        <f aca="false">$C$9*D29*D32+$C$13*D30*D33+$C$17*D31*D34</f>
        <v>971.445725724279</v>
      </c>
      <c r="E39" s="39" t="n">
        <f aca="false">$C$9*E29*E32+$C$13*E30*E33+$C$17*E31*E34</f>
        <v>854.980784867713</v>
      </c>
      <c r="F39" s="39" t="n">
        <f aca="false">$C$9*F29*F32+$C$13*F30*F33+$C$17*F31*F34</f>
        <v>752.478623494902</v>
      </c>
      <c r="G39" s="39" t="n">
        <f aca="false">$C$9*G29*G32+$C$13*G30*G33+$C$17*G31*G34</f>
        <v>662.265268224</v>
      </c>
      <c r="H39" s="39" t="n">
        <f aca="false">$C$9*H29*H32+$C$13*H30*H33+$C$17*H31*H34</f>
        <v>582.867435434567</v>
      </c>
      <c r="I39" s="39" t="n">
        <f aca="false">$C$9*I29*I32+$C$13*I30*I33+$C$17*I31*I34</f>
        <v>902.712525640628</v>
      </c>
      <c r="J39" s="39" t="n">
        <f aca="false">$C$9*J29*J32+$C$13*J30*J33+$C$17*J31*J34</f>
        <v>1137.48860343651</v>
      </c>
      <c r="K39" s="39" t="n">
        <f aca="false">$C$9*K29*K32+$C$13*K30*K33+$C$17*K31*K34</f>
        <v>1001.1170703532</v>
      </c>
      <c r="L39" s="39" t="n">
        <f aca="false">$C$9*L29*L32+$C$13*L30*L33+$C$17*L31*L34</f>
        <v>881.094883522065</v>
      </c>
      <c r="M39" s="39" t="n">
        <f aca="false">$C$9*M29*M32+$C$13*M30*M33+$C$17*M31*M34</f>
        <v>775.461948216377</v>
      </c>
      <c r="N39" s="39" t="n">
        <f aca="false">$C$9*N29*N32+$C$13*N30*N33+$C$17*N31*N34</f>
        <v>682.493162061904</v>
      </c>
      <c r="P39" s="40"/>
      <c r="Q39" s="40"/>
      <c r="R39" s="40"/>
      <c r="S39" s="41"/>
    </row>
    <row r="40" customFormat="false" ht="15" hidden="false" customHeight="false" outlineLevel="0" collapsed="false">
      <c r="A40" s="4" t="s">
        <v>490</v>
      </c>
      <c r="B40" s="36" t="s">
        <v>491</v>
      </c>
      <c r="C40" s="48" t="n">
        <f aca="false">$C$21*Assumptions!$D$20*C28*C39</f>
        <v>3.31132634112</v>
      </c>
      <c r="D40" s="48" t="n">
        <f aca="false">$C$21*Assumptions!$D$20*D28*D39</f>
        <v>5.82867435434567</v>
      </c>
      <c r="E40" s="48" t="n">
        <f aca="false">$C$21*Assumptions!$D$20*E28*E39</f>
        <v>5.12988470920628</v>
      </c>
      <c r="F40" s="48" t="n">
        <f aca="false">$C$21*Assumptions!$D$20*F28*F39</f>
        <v>4.51487174096941</v>
      </c>
      <c r="G40" s="48" t="n">
        <f aca="false">$C$21*Assumptions!$D$20*G28*G39</f>
        <v>3.973591609344</v>
      </c>
      <c r="H40" s="48" t="n">
        <f aca="false">$C$21*Assumptions!$D$20*H28*H39</f>
        <v>3.4972046126074</v>
      </c>
      <c r="I40" s="48" t="n">
        <f aca="false">$C$21*Assumptions!$D$20*I28*I39</f>
        <v>5.41627515384377</v>
      </c>
      <c r="J40" s="48" t="n">
        <f aca="false">$C$21*Assumptions!$D$20*J28*J39</f>
        <v>6.82493162061904</v>
      </c>
      <c r="K40" s="48" t="n">
        <f aca="false">$C$21*Assumptions!$D$20*K28*K39</f>
        <v>6.00670242211917</v>
      </c>
      <c r="L40" s="48" t="n">
        <f aca="false">$C$21*Assumptions!$D$20*L28*L39</f>
        <v>5.28656930113239</v>
      </c>
      <c r="M40" s="48" t="n">
        <f aca="false">$C$21*Assumptions!$D$20*M28*M39</f>
        <v>4.65277168929826</v>
      </c>
      <c r="N40" s="48" t="n">
        <f aca="false">$C$21*Assumptions!$D$20*N28*N39</f>
        <v>4.09495897237142</v>
      </c>
      <c r="P40" s="49" t="n">
        <f aca="false">SUM(C40:F40)</f>
        <v>18.7847571456414</v>
      </c>
      <c r="Q40" s="49" t="n">
        <f aca="false">SUM(G40:J40)</f>
        <v>19.7120029964142</v>
      </c>
      <c r="R40" s="49" t="n">
        <f aca="false">SUM(K40:N40)</f>
        <v>20.0410023849212</v>
      </c>
      <c r="S40" s="50" t="n">
        <f aca="false">SUM(P40:R40)</f>
        <v>58.5377625269768</v>
      </c>
    </row>
    <row r="41" customFormat="false" ht="15" hidden="false" customHeight="false" outlineLevel="0" collapsed="false">
      <c r="A41" s="4" t="s">
        <v>492</v>
      </c>
      <c r="B41" s="36" t="s">
        <v>321</v>
      </c>
      <c r="C41" s="48" t="n">
        <f aca="false">Assumptions!$D$111</f>
        <v>0</v>
      </c>
      <c r="D41" s="48" t="n">
        <f aca="false">Assumptions!$E$111</f>
        <v>0</v>
      </c>
      <c r="E41" s="48" t="n">
        <f aca="false">Assumptions!$F$111</f>
        <v>0</v>
      </c>
      <c r="F41" s="48" t="n">
        <f aca="false">Assumptions!$G$111</f>
        <v>0</v>
      </c>
      <c r="G41" s="48" t="n">
        <f aca="false">Assumptions!$H$111</f>
        <v>0</v>
      </c>
      <c r="H41" s="48" t="n">
        <f aca="false">Assumptions!$I$111</f>
        <v>0</v>
      </c>
      <c r="I41" s="48" t="n">
        <f aca="false">Assumptions!$J$111</f>
        <v>0</v>
      </c>
      <c r="J41" s="48" t="n">
        <f aca="false">Assumptions!$K$111</f>
        <v>0</v>
      </c>
      <c r="K41" s="48" t="n">
        <f aca="false">Assumptions!$L$111</f>
        <v>0</v>
      </c>
      <c r="L41" s="48" t="n">
        <f aca="false">Assumptions!$M$111</f>
        <v>0</v>
      </c>
      <c r="M41" s="48" t="n">
        <f aca="false">Assumptions!$N$111</f>
        <v>0</v>
      </c>
      <c r="N41" s="48" t="n">
        <f aca="false">Assumptions!$O$111</f>
        <v>0</v>
      </c>
      <c r="P41" s="49" t="n">
        <f aca="false">F41</f>
        <v>0</v>
      </c>
      <c r="Q41" s="49" t="n">
        <f aca="false">J41</f>
        <v>0</v>
      </c>
      <c r="R41" s="49" t="n">
        <f aca="false">N41</f>
        <v>0</v>
      </c>
      <c r="S41" s="50" t="n">
        <f aca="false">R41</f>
        <v>0</v>
      </c>
    </row>
    <row r="42" customFormat="false" ht="15" hidden="false" customHeight="false" outlineLevel="0" collapsed="false">
      <c r="A42" s="4" t="s">
        <v>493</v>
      </c>
      <c r="B42" s="36" t="s">
        <v>321</v>
      </c>
      <c r="C42" s="48" t="n">
        <f aca="false">0</f>
        <v>0</v>
      </c>
      <c r="D42" s="48" t="n">
        <f aca="false">0.5*C41</f>
        <v>0</v>
      </c>
      <c r="E42" s="48" t="n">
        <f aca="false">C41+0.5*(D41-C41)</f>
        <v>0</v>
      </c>
      <c r="F42" s="48" t="n">
        <f aca="false">D41+0.5*(E41-D41)</f>
        <v>0</v>
      </c>
      <c r="G42" s="48" t="n">
        <f aca="false">E41+0.5*(F41-E41)</f>
        <v>0</v>
      </c>
      <c r="H42" s="48" t="n">
        <f aca="false">F41+0.5*(G41-F41)</f>
        <v>0</v>
      </c>
      <c r="I42" s="48" t="n">
        <f aca="false">G41+0.5*(H41-G41)</f>
        <v>0</v>
      </c>
      <c r="J42" s="48" t="n">
        <f aca="false">H41+0.5*(I41-H41)</f>
        <v>0</v>
      </c>
      <c r="K42" s="48" t="n">
        <f aca="false">I41+0.5*(J41-I41)</f>
        <v>0</v>
      </c>
      <c r="L42" s="48" t="n">
        <f aca="false">J41+0.5*(K41-J41)</f>
        <v>0</v>
      </c>
      <c r="M42" s="48" t="n">
        <f aca="false">K41+0.5*(L41-K41)</f>
        <v>0</v>
      </c>
      <c r="N42" s="48" t="n">
        <f aca="false">L41+0.5*(M41-L41)</f>
        <v>0</v>
      </c>
      <c r="P42" s="49" t="n">
        <f aca="false">F42</f>
        <v>0</v>
      </c>
      <c r="Q42" s="49" t="n">
        <f aca="false">J42</f>
        <v>0</v>
      </c>
      <c r="R42" s="49" t="n">
        <f aca="false">N42</f>
        <v>0</v>
      </c>
      <c r="S42" s="50" t="n">
        <f aca="false">R42</f>
        <v>0</v>
      </c>
    </row>
    <row r="43" customFormat="false" ht="15" hidden="false" customHeight="false" outlineLevel="0" collapsed="false">
      <c r="A43" s="4" t="s">
        <v>494</v>
      </c>
      <c r="B43" s="36" t="s">
        <v>485</v>
      </c>
      <c r="C43" s="39" t="n">
        <f aca="false">MIN(C42*Assumptions!$D$38,C38*(1-$C$21))</f>
        <v>0</v>
      </c>
      <c r="D43" s="39" t="n">
        <f aca="false">MIN(D42*Assumptions!$D$38,D38*(1-$C$21))</f>
        <v>0</v>
      </c>
      <c r="E43" s="39" t="n">
        <f aca="false">MIN(E42*Assumptions!$D$38,E38*(1-$C$21))</f>
        <v>0</v>
      </c>
      <c r="F43" s="39" t="n">
        <f aca="false">MIN(F42*Assumptions!$D$38,F38*(1-$C$21))</f>
        <v>0</v>
      </c>
      <c r="G43" s="39" t="n">
        <f aca="false">MIN(G42*Assumptions!$D$38,G38*(1-$C$21))</f>
        <v>0</v>
      </c>
      <c r="H43" s="39" t="n">
        <f aca="false">MIN(H42*Assumptions!$D$38,H38*(1-$C$21))</f>
        <v>0</v>
      </c>
      <c r="I43" s="39" t="n">
        <f aca="false">MIN(I42*Assumptions!$D$38,I38*(1-$C$21))</f>
        <v>0</v>
      </c>
      <c r="J43" s="39" t="n">
        <f aca="false">MIN(J42*Assumptions!$D$38,J38*(1-$C$21))</f>
        <v>0</v>
      </c>
      <c r="K43" s="39" t="n">
        <f aca="false">MIN(K42*Assumptions!$D$38,K38*(1-$C$21))</f>
        <v>0</v>
      </c>
      <c r="L43" s="39" t="n">
        <f aca="false">MIN(L42*Assumptions!$D$38,L38*(1-$C$21))</f>
        <v>0</v>
      </c>
      <c r="M43" s="39" t="n">
        <f aca="false">MIN(M42*Assumptions!$D$38,M38*(1-$C$21))</f>
        <v>0</v>
      </c>
      <c r="N43" s="39" t="n">
        <f aca="false">MIN(N42*Assumptions!$D$38,N38*(1-$C$21))</f>
        <v>0</v>
      </c>
      <c r="P43" s="40" t="n">
        <f aca="false">SUM(C43:F43)</f>
        <v>0</v>
      </c>
      <c r="Q43" s="40" t="n">
        <f aca="false">SUM(G43:J43)</f>
        <v>0</v>
      </c>
      <c r="R43" s="40" t="n">
        <f aca="false">SUM(K43:N43)</f>
        <v>0</v>
      </c>
      <c r="S43" s="41" t="n">
        <f aca="false">SUM(P43:R43)</f>
        <v>0</v>
      </c>
    </row>
    <row r="44" customFormat="false" ht="15" hidden="false" customHeight="false" outlineLevel="0" collapsed="false">
      <c r="A44" s="4" t="s">
        <v>495</v>
      </c>
      <c r="B44" s="36" t="s">
        <v>491</v>
      </c>
      <c r="C44" s="48" t="n">
        <f aca="false">C43*Assumptions!$D$20*Assumptions!$D$39*IF(C38&gt;0,C39/C38,0)*C28</f>
        <v>0</v>
      </c>
      <c r="D44" s="48" t="n">
        <f aca="false">D43*Assumptions!$D$20*Assumptions!$D$39*IF(D38&gt;0,D39/D38,0)*D28</f>
        <v>0</v>
      </c>
      <c r="E44" s="48" t="n">
        <f aca="false">E43*Assumptions!$D$20*Assumptions!$D$39*IF(E38&gt;0,E39/E38,0)*E28</f>
        <v>0</v>
      </c>
      <c r="F44" s="48" t="n">
        <f aca="false">F43*Assumptions!$D$20*Assumptions!$D$39*IF(F38&gt;0,F39/F38,0)*F28</f>
        <v>0</v>
      </c>
      <c r="G44" s="48" t="n">
        <f aca="false">G43*Assumptions!$D$20*Assumptions!$D$39*IF(G38&gt;0,G39/G38,0)*G28</f>
        <v>0</v>
      </c>
      <c r="H44" s="48" t="n">
        <f aca="false">H43*Assumptions!$D$20*Assumptions!$D$39*IF(H38&gt;0,H39/H38,0)*H28</f>
        <v>0</v>
      </c>
      <c r="I44" s="48" t="n">
        <f aca="false">I43*Assumptions!$D$20*Assumptions!$D$39*IF(I38&gt;0,I39/I38,0)*I28</f>
        <v>0</v>
      </c>
      <c r="J44" s="48" t="n">
        <f aca="false">J43*Assumptions!$D$20*Assumptions!$D$39*IF(J38&gt;0,J39/J38,0)*J28</f>
        <v>0</v>
      </c>
      <c r="K44" s="48" t="n">
        <f aca="false">K43*Assumptions!$D$20*Assumptions!$D$39*IF(K38&gt;0,K39/K38,0)*K28</f>
        <v>0</v>
      </c>
      <c r="L44" s="48" t="n">
        <f aca="false">L43*Assumptions!$D$20*Assumptions!$D$39*IF(L38&gt;0,L39/L38,0)*L28</f>
        <v>0</v>
      </c>
      <c r="M44" s="48" t="n">
        <f aca="false">M43*Assumptions!$D$20*Assumptions!$D$39*IF(M38&gt;0,M39/M38,0)*M28</f>
        <v>0</v>
      </c>
      <c r="N44" s="48" t="n">
        <f aca="false">N43*Assumptions!$D$20*Assumptions!$D$39*IF(N38&gt;0,N39/N38,0)*N28</f>
        <v>0</v>
      </c>
      <c r="P44" s="49" t="n">
        <f aca="false">SUM(C44:F44)</f>
        <v>0</v>
      </c>
      <c r="Q44" s="49" t="n">
        <f aca="false">SUM(G44:J44)</f>
        <v>0</v>
      </c>
      <c r="R44" s="49" t="n">
        <f aca="false">SUM(K44:N44)</f>
        <v>0</v>
      </c>
      <c r="S44" s="50" t="n">
        <f aca="false">SUM(P44:R44)</f>
        <v>0</v>
      </c>
    </row>
    <row r="45" customFormat="false" ht="15" hidden="false" customHeight="false" outlineLevel="0" collapsed="false">
      <c r="A45" s="4" t="s">
        <v>496</v>
      </c>
      <c r="B45" s="36" t="s">
        <v>497</v>
      </c>
      <c r="C45" s="48" t="n">
        <f aca="false">IF(AND(C38&gt;0,$C$25&gt;0),C38*Assumptions!$D$24*(1-EXP(-$C$25/(Assumptions!$D$23*C38*Assumptions!$D$24))),0)</f>
        <v>0</v>
      </c>
      <c r="D45" s="48" t="n">
        <f aca="false">IF(AND(D38&gt;0,$C$25&gt;0),D38*Assumptions!$D$24*(1-EXP(-$C$25/(Assumptions!$D$23*D38*Assumptions!$D$24))),0)</f>
        <v>0</v>
      </c>
      <c r="E45" s="48" t="n">
        <f aca="false">IF(AND(E38&gt;0,$C$25&gt;0),E38*Assumptions!$D$24*(1-EXP(-$C$25/(Assumptions!$D$23*E38*Assumptions!$D$24))),0)</f>
        <v>0</v>
      </c>
      <c r="F45" s="48" t="n">
        <f aca="false">IF(AND(F38&gt;0,$C$25&gt;0),F38*Assumptions!$D$24*(1-EXP(-$C$25/(Assumptions!$D$23*F38*Assumptions!$D$24))),0)</f>
        <v>0</v>
      </c>
      <c r="G45" s="48" t="n">
        <f aca="false">IF(AND(G38&gt;0,$C$25&gt;0),G38*Assumptions!$D$24*(1-EXP(-$C$25/(Assumptions!$D$23*G38*Assumptions!$D$24))),0)</f>
        <v>0</v>
      </c>
      <c r="H45" s="48" t="n">
        <f aca="false">IF(AND(H38&gt;0,$C$25&gt;0),H38*Assumptions!$D$24*(1-EXP(-$C$25/(Assumptions!$D$23*H38*Assumptions!$D$24))),0)</f>
        <v>0</v>
      </c>
      <c r="I45" s="48" t="n">
        <f aca="false">IF(AND(I38&gt;0,$C$25&gt;0),I38*Assumptions!$D$24*(1-EXP(-$C$25/(Assumptions!$D$23*I38*Assumptions!$D$24))),0)</f>
        <v>0</v>
      </c>
      <c r="J45" s="48" t="n">
        <f aca="false">IF(AND(J38&gt;0,$C$25&gt;0),J38*Assumptions!$D$24*(1-EXP(-$C$25/(Assumptions!$D$23*J38*Assumptions!$D$24))),0)</f>
        <v>0</v>
      </c>
      <c r="K45" s="48" t="n">
        <f aca="false">IF(AND(K38&gt;0,$C$25&gt;0),K38*Assumptions!$D$24*(1-EXP(-$C$25/(Assumptions!$D$23*K38*Assumptions!$D$24))),0)</f>
        <v>0</v>
      </c>
      <c r="L45" s="48" t="n">
        <f aca="false">IF(AND(L38&gt;0,$C$25&gt;0),L38*Assumptions!$D$24*(1-EXP(-$C$25/(Assumptions!$D$23*L38*Assumptions!$D$24))),0)</f>
        <v>0</v>
      </c>
      <c r="M45" s="48" t="n">
        <f aca="false">IF(AND(M38&gt;0,$C$25&gt;0),M38*Assumptions!$D$24*(1-EXP(-$C$25/(Assumptions!$D$23*M38*Assumptions!$D$24))),0)</f>
        <v>0</v>
      </c>
      <c r="N45" s="48" t="n">
        <f aca="false">IF(AND(N38&gt;0,$C$25&gt;0),N38*Assumptions!$D$24*(1-EXP(-$C$25/(Assumptions!$D$23*N38*Assumptions!$D$24))),0)</f>
        <v>0</v>
      </c>
      <c r="P45" s="49" t="n">
        <f aca="false">SUM(C45:F45)</f>
        <v>0</v>
      </c>
      <c r="Q45" s="49" t="n">
        <f aca="false">SUM(G45:J45)</f>
        <v>0</v>
      </c>
      <c r="R45" s="49" t="n">
        <f aca="false">SUM(K45:N45)</f>
        <v>0</v>
      </c>
      <c r="S45" s="50" t="n">
        <f aca="false">SUM(P45:R45)</f>
        <v>0</v>
      </c>
    </row>
    <row r="46" customFormat="false" ht="15" hidden="false" customHeight="false" outlineLevel="0" collapsed="false">
      <c r="A46" s="4" t="s">
        <v>498</v>
      </c>
      <c r="B46" s="36" t="s">
        <v>497</v>
      </c>
      <c r="C46" s="48" t="n">
        <f aca="false">(C38*Assumptions!$D$22*MIN(1,Assumptions!$D$103/Assumptions!$D$78)+C45)*C28</f>
        <v>2.7594386176</v>
      </c>
      <c r="D46" s="48" t="n">
        <f aca="false">(D38*Assumptions!$D$22*MIN(1,Assumptions!$D$103/Assumptions!$D$78)+D45)*D28</f>
        <v>5.5188772352</v>
      </c>
      <c r="E46" s="48" t="n">
        <f aca="false">(E38*Assumptions!$D$22*MIN(1,Assumptions!$D$103/Assumptions!$D$78)+E45)*E28</f>
        <v>5.5188772352</v>
      </c>
      <c r="F46" s="48" t="n">
        <f aca="false">(F38*Assumptions!$D$22*MIN(1,Assumptions!$D$103/Assumptions!$D$78)+F45)*F28</f>
        <v>5.5188772352</v>
      </c>
      <c r="G46" s="48" t="n">
        <f aca="false">(G38*Assumptions!$D$22*MIN(1,Assumptions!$D$103/Assumptions!$D$78)+G45)*G28</f>
        <v>5.5188772352</v>
      </c>
      <c r="H46" s="48" t="n">
        <f aca="false">(H38*Assumptions!$D$22*MIN(1,Assumptions!$D$103/Assumptions!$D$78)+H45)*H28</f>
        <v>5.5188772352</v>
      </c>
      <c r="I46" s="48" t="n">
        <f aca="false">(I38*Assumptions!$D$22*MIN(1,Assumptions!$D$103/Assumptions!$D$78)+I45)*I28</f>
        <v>7.4674975088</v>
      </c>
      <c r="J46" s="48" t="n">
        <f aca="false">(J38*Assumptions!$D$22*MIN(1,Assumptions!$D$103/Assumptions!$D$78)+J45)*J28</f>
        <v>9.4161177824</v>
      </c>
      <c r="K46" s="48" t="n">
        <f aca="false">(K38*Assumptions!$D$22*MIN(1,Assumptions!$D$103/Assumptions!$D$78)+K45)*K28</f>
        <v>9.4161177824</v>
      </c>
      <c r="L46" s="48" t="n">
        <f aca="false">(L38*Assumptions!$D$22*MIN(1,Assumptions!$D$103/Assumptions!$D$78)+L45)*L28</f>
        <v>9.4161177824</v>
      </c>
      <c r="M46" s="48" t="n">
        <f aca="false">(M38*Assumptions!$D$22*MIN(1,Assumptions!$D$103/Assumptions!$D$78)+M45)*M28</f>
        <v>9.4161177824</v>
      </c>
      <c r="N46" s="48" t="n">
        <f aca="false">(N38*Assumptions!$D$22*MIN(1,Assumptions!$D$103/Assumptions!$D$78)+N45)*N28</f>
        <v>9.4161177824</v>
      </c>
      <c r="P46" s="49" t="n">
        <f aca="false">SUM(C46:F46)</f>
        <v>19.3160703232</v>
      </c>
      <c r="Q46" s="49" t="n">
        <f aca="false">SUM(G46:J46)</f>
        <v>27.9213697616</v>
      </c>
      <c r="R46" s="49" t="n">
        <f aca="false">SUM(K46:N46)</f>
        <v>37.6644711296</v>
      </c>
      <c r="S46" s="50" t="n">
        <f aca="false">SUM(P46:R46)</f>
        <v>84.9019112144</v>
      </c>
    </row>
    <row r="47" customFormat="false" ht="15" hidden="false" customHeight="false" outlineLevel="0" collapsed="false">
      <c r="A47" s="4" t="s">
        <v>499</v>
      </c>
      <c r="B47" s="36" t="s">
        <v>500</v>
      </c>
      <c r="C47" s="48" t="n">
        <f aca="false">C28*MIN(Assumptions!$D$27,Assumptions!$D$25+Assumptions!$D$26*(C27-1))*Assumptions!$D$107</f>
        <v>1</v>
      </c>
      <c r="D47" s="48" t="n">
        <f aca="false">D28*MIN(Assumptions!$D$27,Assumptions!$D$25+Assumptions!$D$26*(D27-1))*Assumptions!$D$107</f>
        <v>2</v>
      </c>
      <c r="E47" s="48" t="n">
        <f aca="false">E28*MIN(Assumptions!$D$27,Assumptions!$D$25+Assumptions!$D$26*(E27-1))*Assumptions!$D$107</f>
        <v>3</v>
      </c>
      <c r="F47" s="48" t="n">
        <f aca="false">F28*MIN(Assumptions!$D$27,Assumptions!$D$25+Assumptions!$D$26*(F27-1))*Assumptions!$D$107</f>
        <v>4</v>
      </c>
      <c r="G47" s="48" t="n">
        <f aca="false">G28*MIN(Assumptions!$D$27,Assumptions!$D$25+Assumptions!$D$26*(G27-1))*Assumptions!$D$107</f>
        <v>5</v>
      </c>
      <c r="H47" s="48" t="n">
        <f aca="false">H28*MIN(Assumptions!$D$27,Assumptions!$D$25+Assumptions!$D$26*(H27-1))*Assumptions!$D$107</f>
        <v>5</v>
      </c>
      <c r="I47" s="48" t="n">
        <f aca="false">I28*MIN(Assumptions!$D$27,Assumptions!$D$25+Assumptions!$D$26*(I27-1))*Assumptions!$D$107</f>
        <v>5</v>
      </c>
      <c r="J47" s="48" t="n">
        <f aca="false">J28*MIN(Assumptions!$D$27,Assumptions!$D$25+Assumptions!$D$26*(J27-1))*Assumptions!$D$107</f>
        <v>5</v>
      </c>
      <c r="K47" s="48" t="n">
        <f aca="false">K28*MIN(Assumptions!$D$27,Assumptions!$D$25+Assumptions!$D$26*(K27-1))*Assumptions!$D$107</f>
        <v>5</v>
      </c>
      <c r="L47" s="48" t="n">
        <f aca="false">L28*MIN(Assumptions!$D$27,Assumptions!$D$25+Assumptions!$D$26*(L27-1))*Assumptions!$D$107</f>
        <v>5</v>
      </c>
      <c r="M47" s="48" t="n">
        <f aca="false">M28*MIN(Assumptions!$D$27,Assumptions!$D$25+Assumptions!$D$26*(M27-1))*Assumptions!$D$107</f>
        <v>5</v>
      </c>
      <c r="N47" s="48" t="n">
        <f aca="false">N28*MIN(Assumptions!$D$27,Assumptions!$D$25+Assumptions!$D$26*(N27-1))*Assumptions!$D$107</f>
        <v>5</v>
      </c>
      <c r="P47" s="49" t="n">
        <f aca="false">F47</f>
        <v>4</v>
      </c>
      <c r="Q47" s="49" t="n">
        <f aca="false">J47</f>
        <v>5</v>
      </c>
      <c r="R47" s="49" t="n">
        <f aca="false">N47</f>
        <v>5</v>
      </c>
      <c r="S47" s="50" t="n">
        <f aca="false">R47</f>
        <v>5</v>
      </c>
    </row>
    <row r="48" customFormat="false" ht="15" hidden="false" customHeight="false" outlineLevel="0" collapsed="false">
      <c r="A48" s="4" t="s">
        <v>501</v>
      </c>
      <c r="B48" s="36" t="s">
        <v>502</v>
      </c>
      <c r="C48" s="48" t="n">
        <f aca="false">C47*Assumptions!$D$28</f>
        <v>2</v>
      </c>
      <c r="D48" s="48" t="n">
        <f aca="false">D47*Assumptions!$D$28</f>
        <v>4</v>
      </c>
      <c r="E48" s="48" t="n">
        <f aca="false">E47*Assumptions!$D$28</f>
        <v>6</v>
      </c>
      <c r="F48" s="48" t="n">
        <f aca="false">F47*Assumptions!$D$28</f>
        <v>8</v>
      </c>
      <c r="G48" s="48" t="n">
        <f aca="false">G47*Assumptions!$D$28</f>
        <v>10</v>
      </c>
      <c r="H48" s="48" t="n">
        <f aca="false">H47*Assumptions!$D$28</f>
        <v>10</v>
      </c>
      <c r="I48" s="48" t="n">
        <f aca="false">I47*Assumptions!$D$28</f>
        <v>10</v>
      </c>
      <c r="J48" s="48" t="n">
        <f aca="false">J47*Assumptions!$D$28</f>
        <v>10</v>
      </c>
      <c r="K48" s="48" t="n">
        <f aca="false">K47*Assumptions!$D$28</f>
        <v>10</v>
      </c>
      <c r="L48" s="48" t="n">
        <f aca="false">L47*Assumptions!$D$28</f>
        <v>10</v>
      </c>
      <c r="M48" s="48" t="n">
        <f aca="false">M47*Assumptions!$D$28</f>
        <v>10</v>
      </c>
      <c r="N48" s="48" t="n">
        <f aca="false">N47*Assumptions!$D$28</f>
        <v>10</v>
      </c>
      <c r="P48" s="49" t="n">
        <f aca="false">SUM(C48:F48)</f>
        <v>20</v>
      </c>
      <c r="Q48" s="49" t="n">
        <f aca="false">SUM(G48:J48)</f>
        <v>40</v>
      </c>
      <c r="R48" s="49" t="n">
        <f aca="false">SUM(K48:N48)</f>
        <v>40</v>
      </c>
      <c r="S48" s="50" t="n">
        <f aca="false">SUM(P48:R48)</f>
        <v>100</v>
      </c>
    </row>
    <row r="49" customFormat="false" ht="15" hidden="false" customHeight="false" outlineLevel="0" collapsed="false">
      <c r="A49" s="4" t="s">
        <v>503</v>
      </c>
      <c r="B49" s="36" t="s">
        <v>504</v>
      </c>
      <c r="C49" s="48" t="n">
        <f aca="false">(C40+C44)*Assumptions!$D$29</f>
        <v>0.993397902336</v>
      </c>
      <c r="D49" s="48" t="n">
        <f aca="false">(D40+D44)*Assumptions!$D$29</f>
        <v>1.7486023063037</v>
      </c>
      <c r="E49" s="48" t="n">
        <f aca="false">(E40+E44)*Assumptions!$D$29</f>
        <v>1.53896541276188</v>
      </c>
      <c r="F49" s="48" t="n">
        <f aca="false">(F40+F44)*Assumptions!$D$29</f>
        <v>1.35446152229082</v>
      </c>
      <c r="G49" s="48" t="n">
        <f aca="false">(G40+G44)*Assumptions!$D$29</f>
        <v>1.1920774828032</v>
      </c>
      <c r="H49" s="48" t="n">
        <f aca="false">(H40+H44)*Assumptions!$D$29</f>
        <v>1.04916138378222</v>
      </c>
      <c r="I49" s="48" t="n">
        <f aca="false">(I40+I44)*Assumptions!$D$29</f>
        <v>1.62488254615313</v>
      </c>
      <c r="J49" s="48" t="n">
        <f aca="false">(J40+J44)*Assumptions!$D$29</f>
        <v>2.04747948618571</v>
      </c>
      <c r="K49" s="48" t="n">
        <f aca="false">(K40+K44)*Assumptions!$D$29</f>
        <v>1.80201072663575</v>
      </c>
      <c r="L49" s="48" t="n">
        <f aca="false">(L40+L44)*Assumptions!$D$29</f>
        <v>1.58597079033972</v>
      </c>
      <c r="M49" s="48" t="n">
        <f aca="false">(M40+M44)*Assumptions!$D$29</f>
        <v>1.39583150678948</v>
      </c>
      <c r="N49" s="48" t="n">
        <f aca="false">(N40+N44)*Assumptions!$D$29</f>
        <v>1.22848769171143</v>
      </c>
      <c r="P49" s="49" t="n">
        <f aca="false">SUM(C49:F49)</f>
        <v>5.63542714369241</v>
      </c>
      <c r="Q49" s="49" t="n">
        <f aca="false">SUM(G49:J49)</f>
        <v>5.91360089892426</v>
      </c>
      <c r="R49" s="49" t="n">
        <f aca="false">SUM(K49:N49)</f>
        <v>6.01230071547637</v>
      </c>
      <c r="S49" s="50" t="n">
        <f aca="false">SUM(P49:R49)</f>
        <v>17.561328758093</v>
      </c>
    </row>
    <row r="50" customFormat="false" ht="15" hidden="false" customHeight="false" outlineLevel="0" collapsed="false">
      <c r="A50" s="4" t="s">
        <v>505</v>
      </c>
      <c r="B50" s="36" t="s">
        <v>504</v>
      </c>
      <c r="C50" s="48" t="n">
        <f aca="false">C46*Assumptions!$D$31</f>
        <v>0.27594386176</v>
      </c>
      <c r="D50" s="48" t="n">
        <f aca="false">D46*Assumptions!$D$31</f>
        <v>0.55188772352</v>
      </c>
      <c r="E50" s="48" t="n">
        <f aca="false">E46*Assumptions!$D$31</f>
        <v>0.55188772352</v>
      </c>
      <c r="F50" s="48" t="n">
        <f aca="false">F46*Assumptions!$D$31</f>
        <v>0.55188772352</v>
      </c>
      <c r="G50" s="48" t="n">
        <f aca="false">G46*Assumptions!$D$31</f>
        <v>0.55188772352</v>
      </c>
      <c r="H50" s="48" t="n">
        <f aca="false">H46*Assumptions!$D$31</f>
        <v>0.55188772352</v>
      </c>
      <c r="I50" s="48" t="n">
        <f aca="false">I46*Assumptions!$D$31</f>
        <v>0.74674975088</v>
      </c>
      <c r="J50" s="48" t="n">
        <f aca="false">J46*Assumptions!$D$31</f>
        <v>0.94161177824</v>
      </c>
      <c r="K50" s="48" t="n">
        <f aca="false">K46*Assumptions!$D$31</f>
        <v>0.94161177824</v>
      </c>
      <c r="L50" s="48" t="n">
        <f aca="false">L46*Assumptions!$D$31</f>
        <v>0.94161177824</v>
      </c>
      <c r="M50" s="48" t="n">
        <f aca="false">M46*Assumptions!$D$31</f>
        <v>0.94161177824</v>
      </c>
      <c r="N50" s="48" t="n">
        <f aca="false">N46*Assumptions!$D$31</f>
        <v>0.94161177824</v>
      </c>
      <c r="P50" s="49" t="n">
        <f aca="false">SUM(C50:F50)</f>
        <v>1.93160703232</v>
      </c>
      <c r="Q50" s="49" t="n">
        <f aca="false">SUM(G50:J50)</f>
        <v>2.79213697616</v>
      </c>
      <c r="R50" s="49" t="n">
        <f aca="false">SUM(K50:N50)</f>
        <v>3.76644711296</v>
      </c>
      <c r="S50" s="50" t="n">
        <f aca="false">SUM(P50:R50)</f>
        <v>8.49019112144</v>
      </c>
    </row>
    <row r="51" customFormat="false" ht="15" hidden="false" customHeight="false" outlineLevel="0" collapsed="false">
      <c r="A51" s="4" t="s">
        <v>506</v>
      </c>
      <c r="B51" s="36" t="s">
        <v>504</v>
      </c>
      <c r="C51" s="48" t="n">
        <f aca="false">C48*Assumptions!$D$30</f>
        <v>0.8</v>
      </c>
      <c r="D51" s="48" t="n">
        <f aca="false">D48*Assumptions!$D$30</f>
        <v>1.6</v>
      </c>
      <c r="E51" s="48" t="n">
        <f aca="false">E48*Assumptions!$D$30</f>
        <v>2.4</v>
      </c>
      <c r="F51" s="48" t="n">
        <f aca="false">F48*Assumptions!$D$30</f>
        <v>3.2</v>
      </c>
      <c r="G51" s="48" t="n">
        <f aca="false">G48*Assumptions!$D$30</f>
        <v>4</v>
      </c>
      <c r="H51" s="48" t="n">
        <f aca="false">H48*Assumptions!$D$30</f>
        <v>4</v>
      </c>
      <c r="I51" s="48" t="n">
        <f aca="false">I48*Assumptions!$D$30</f>
        <v>4</v>
      </c>
      <c r="J51" s="48" t="n">
        <f aca="false">J48*Assumptions!$D$30</f>
        <v>4</v>
      </c>
      <c r="K51" s="48" t="n">
        <f aca="false">K48*Assumptions!$D$30</f>
        <v>4</v>
      </c>
      <c r="L51" s="48" t="n">
        <f aca="false">L48*Assumptions!$D$30</f>
        <v>4</v>
      </c>
      <c r="M51" s="48" t="n">
        <f aca="false">M48*Assumptions!$D$30</f>
        <v>4</v>
      </c>
      <c r="N51" s="48" t="n">
        <f aca="false">N48*Assumptions!$D$30</f>
        <v>4</v>
      </c>
      <c r="P51" s="49" t="n">
        <f aca="false">SUM(C51:F51)</f>
        <v>8</v>
      </c>
      <c r="Q51" s="49" t="n">
        <f aca="false">SUM(G51:J51)</f>
        <v>16</v>
      </c>
      <c r="R51" s="49" t="n">
        <f aca="false">SUM(K51:N51)</f>
        <v>16</v>
      </c>
      <c r="S51" s="50" t="n">
        <f aca="false">SUM(P51:R51)</f>
        <v>40</v>
      </c>
    </row>
    <row r="52" customFormat="false" ht="15" hidden="false" customHeight="false" outlineLevel="0" collapsed="false">
      <c r="A52" s="9" t="s">
        <v>507</v>
      </c>
      <c r="B52" s="36" t="s">
        <v>504</v>
      </c>
      <c r="C52" s="49" t="n">
        <f aca="false">C49+C50+C51</f>
        <v>2.069341764096</v>
      </c>
      <c r="D52" s="49" t="n">
        <f aca="false">D49+D50+D51</f>
        <v>3.9004900298237</v>
      </c>
      <c r="E52" s="49" t="n">
        <f aca="false">E49+E50+E51</f>
        <v>4.49085313628189</v>
      </c>
      <c r="F52" s="49" t="n">
        <f aca="false">F49+F50+F51</f>
        <v>5.10634924581082</v>
      </c>
      <c r="G52" s="49" t="n">
        <f aca="false">G49+G50+G51</f>
        <v>5.7439652063232</v>
      </c>
      <c r="H52" s="49" t="n">
        <f aca="false">H49+H50+H51</f>
        <v>5.60104910730222</v>
      </c>
      <c r="I52" s="49" t="n">
        <f aca="false">I49+I50+I51</f>
        <v>6.37163229703313</v>
      </c>
      <c r="J52" s="49" t="n">
        <f aca="false">J49+J50+J51</f>
        <v>6.98909126442571</v>
      </c>
      <c r="K52" s="49" t="n">
        <f aca="false">K49+K50+K51</f>
        <v>6.74362250487575</v>
      </c>
      <c r="L52" s="49" t="n">
        <f aca="false">L49+L50+L51</f>
        <v>6.52758256857972</v>
      </c>
      <c r="M52" s="49" t="n">
        <f aca="false">M49+M50+M51</f>
        <v>6.33744328502948</v>
      </c>
      <c r="N52" s="49" t="n">
        <f aca="false">N49+N50+N51</f>
        <v>6.17009946995143</v>
      </c>
      <c r="P52" s="49" t="n">
        <f aca="false">SUM(C52:F52)</f>
        <v>15.5670341760124</v>
      </c>
      <c r="Q52" s="49" t="n">
        <f aca="false">SUM(G52:J52)</f>
        <v>24.7057378750843</v>
      </c>
      <c r="R52" s="49" t="n">
        <f aca="false">SUM(K52:N52)</f>
        <v>25.7787478284364</v>
      </c>
      <c r="S52" s="50" t="n">
        <f aca="false">SUM(P52:R52)</f>
        <v>66.0515198795331</v>
      </c>
    </row>
    <row r="53" customFormat="false" ht="15" hidden="false" customHeight="false" outlineLevel="0" collapsed="false">
      <c r="A53" s="4" t="s">
        <v>508</v>
      </c>
      <c r="B53" s="36" t="s">
        <v>509</v>
      </c>
      <c r="C53" s="48" t="n">
        <f aca="false">C35</f>
        <v>421.51972352</v>
      </c>
      <c r="D53" s="48" t="n">
        <f aca="false">D35</f>
        <v>843.03944704</v>
      </c>
      <c r="E53" s="48" t="n">
        <f aca="false">E35</f>
        <v>843.03944704</v>
      </c>
      <c r="F53" s="48" t="n">
        <f aca="false">F35</f>
        <v>843.03944704</v>
      </c>
      <c r="G53" s="48" t="n">
        <f aca="false">G35</f>
        <v>843.03944704</v>
      </c>
      <c r="H53" s="48" t="n">
        <f aca="false">H35</f>
        <v>843.03944704</v>
      </c>
      <c r="I53" s="48" t="n">
        <f aca="false">I35</f>
        <v>1149.32798176</v>
      </c>
      <c r="J53" s="48" t="n">
        <f aca="false">J35</f>
        <v>1455.61651648</v>
      </c>
      <c r="K53" s="48" t="n">
        <f aca="false">K35</f>
        <v>1455.61651648</v>
      </c>
      <c r="L53" s="48" t="n">
        <f aca="false">L35</f>
        <v>1455.61651648</v>
      </c>
      <c r="M53" s="48" t="n">
        <f aca="false">M35</f>
        <v>1455.61651648</v>
      </c>
      <c r="N53" s="48" t="n">
        <f aca="false">N35</f>
        <v>1455.61651648</v>
      </c>
      <c r="P53" s="49"/>
      <c r="Q53" s="49"/>
      <c r="R53" s="49"/>
      <c r="S53" s="50"/>
    </row>
    <row r="54" customFormat="false" ht="15" hidden="false" customHeight="false" outlineLevel="0" collapsed="false">
      <c r="A54" s="4" t="s">
        <v>510</v>
      </c>
      <c r="B54" s="36" t="s">
        <v>509</v>
      </c>
      <c r="C54" s="48" t="n">
        <f aca="false">C36*Assumptions!$D$18*Assumptions!$D$33</f>
        <v>211.19616</v>
      </c>
      <c r="D54" s="48" t="n">
        <f aca="false">D36*Assumptions!$D$18*Assumptions!$D$33</f>
        <v>422.39232</v>
      </c>
      <c r="E54" s="48" t="n">
        <f aca="false">E36*Assumptions!$D$18*Assumptions!$D$33</f>
        <v>422.39232</v>
      </c>
      <c r="F54" s="48" t="n">
        <f aca="false">F36*Assumptions!$D$18*Assumptions!$D$33</f>
        <v>422.39232</v>
      </c>
      <c r="G54" s="48" t="n">
        <f aca="false">G36*Assumptions!$D$18*Assumptions!$D$33</f>
        <v>422.39232</v>
      </c>
      <c r="H54" s="48" t="n">
        <f aca="false">H36*Assumptions!$D$18*Assumptions!$D$33</f>
        <v>422.39232</v>
      </c>
      <c r="I54" s="48" t="n">
        <f aca="false">I36*Assumptions!$D$18*Assumptions!$D$33</f>
        <v>564.49344</v>
      </c>
      <c r="J54" s="48" t="n">
        <f aca="false">J36*Assumptions!$D$18*Assumptions!$D$33</f>
        <v>706.59456</v>
      </c>
      <c r="K54" s="48" t="n">
        <f aca="false">K36*Assumptions!$D$18*Assumptions!$D$33</f>
        <v>706.59456</v>
      </c>
      <c r="L54" s="48" t="n">
        <f aca="false">L36*Assumptions!$D$18*Assumptions!$D$33</f>
        <v>706.59456</v>
      </c>
      <c r="M54" s="48" t="n">
        <f aca="false">M36*Assumptions!$D$18*Assumptions!$D$33</f>
        <v>706.59456</v>
      </c>
      <c r="N54" s="48" t="n">
        <f aca="false">N36*Assumptions!$D$18*Assumptions!$D$33</f>
        <v>706.59456</v>
      </c>
      <c r="P54" s="49"/>
      <c r="Q54" s="49"/>
      <c r="R54" s="49"/>
      <c r="S54" s="50"/>
    </row>
    <row r="55" customFormat="false" ht="15" hidden="false" customHeight="false" outlineLevel="0" collapsed="false">
      <c r="A55" s="4" t="s">
        <v>511</v>
      </c>
      <c r="B55" s="36" t="s">
        <v>509</v>
      </c>
      <c r="C55" s="48" t="n">
        <f aca="false">C37*Assumptions!$D$19*Assumptions!$D$34</f>
        <v>24.76992</v>
      </c>
      <c r="D55" s="48" t="n">
        <f aca="false">D37*Assumptions!$D$19*Assumptions!$D$34</f>
        <v>49.53984</v>
      </c>
      <c r="E55" s="48" t="n">
        <f aca="false">E37*Assumptions!$D$19*Assumptions!$D$34</f>
        <v>49.53984</v>
      </c>
      <c r="F55" s="48" t="n">
        <f aca="false">F37*Assumptions!$D$19*Assumptions!$D$34</f>
        <v>49.53984</v>
      </c>
      <c r="G55" s="48" t="n">
        <f aca="false">G37*Assumptions!$D$19*Assumptions!$D$34</f>
        <v>49.53984</v>
      </c>
      <c r="H55" s="48" t="n">
        <f aca="false">H37*Assumptions!$D$19*Assumptions!$D$34</f>
        <v>49.53984</v>
      </c>
      <c r="I55" s="48" t="n">
        <f aca="false">I37*Assumptions!$D$19*Assumptions!$D$34</f>
        <v>61.9248</v>
      </c>
      <c r="J55" s="48" t="n">
        <f aca="false">J37*Assumptions!$D$19*Assumptions!$D$34</f>
        <v>74.30976</v>
      </c>
      <c r="K55" s="48" t="n">
        <f aca="false">K37*Assumptions!$D$19*Assumptions!$D$34</f>
        <v>74.30976</v>
      </c>
      <c r="L55" s="48" t="n">
        <f aca="false">L37*Assumptions!$D$19*Assumptions!$D$34</f>
        <v>74.30976</v>
      </c>
      <c r="M55" s="48" t="n">
        <f aca="false">M37*Assumptions!$D$19*Assumptions!$D$34</f>
        <v>74.30976</v>
      </c>
      <c r="N55" s="48" t="n">
        <f aca="false">N37*Assumptions!$D$19*Assumptions!$D$34</f>
        <v>74.30976</v>
      </c>
      <c r="P55" s="49"/>
      <c r="Q55" s="49"/>
      <c r="R55" s="49"/>
      <c r="S55" s="50"/>
    </row>
    <row r="56" customFormat="false" ht="15" hidden="false" customHeight="false" outlineLevel="0" collapsed="false">
      <c r="A56" s="4" t="s">
        <v>512</v>
      </c>
      <c r="B56" s="36" t="s">
        <v>77</v>
      </c>
      <c r="C56" s="51" t="n">
        <f aca="false">IFERROR(C53/(C53+C54+C55),0)</f>
        <v>0.641108479093082</v>
      </c>
      <c r="D56" s="51" t="n">
        <f aca="false">IFERROR(D53/(D53+D54+D55),0)</f>
        <v>0.641108479093082</v>
      </c>
      <c r="E56" s="51" t="n">
        <f aca="false">IFERROR(E53/(E53+E54+E55),0)</f>
        <v>0.641108479093082</v>
      </c>
      <c r="F56" s="51" t="n">
        <f aca="false">IFERROR(F53/(F53+F54+F55),0)</f>
        <v>0.641108479093082</v>
      </c>
      <c r="G56" s="51" t="n">
        <f aca="false">IFERROR(G53/(G53+G54+G55),0)</f>
        <v>0.641108479093082</v>
      </c>
      <c r="H56" s="51" t="n">
        <f aca="false">IFERROR(H53/(H53+H54+H55),0)</f>
        <v>0.641108479093082</v>
      </c>
      <c r="I56" s="51" t="n">
        <f aca="false">IFERROR(I53/(I53+I54+I55),0)</f>
        <v>0.647236619555278</v>
      </c>
      <c r="J56" s="51" t="n">
        <f aca="false">IFERROR(J53/(J53+J54+J55),0)</f>
        <v>0.650839684896903</v>
      </c>
      <c r="K56" s="51" t="n">
        <f aca="false">IFERROR(K53/(K53+K54+K55),0)</f>
        <v>0.650839684896903</v>
      </c>
      <c r="L56" s="51" t="n">
        <f aca="false">IFERROR(L53/(L53+L54+L55),0)</f>
        <v>0.650839684896903</v>
      </c>
      <c r="M56" s="51" t="n">
        <f aca="false">IFERROR(M53/(M53+M54+M55),0)</f>
        <v>0.650839684896903</v>
      </c>
      <c r="N56" s="51" t="n">
        <f aca="false">IFERROR(N53/(N53+N54+N55),0)</f>
        <v>0.650839684896903</v>
      </c>
      <c r="P56" s="52"/>
      <c r="Q56" s="52"/>
      <c r="R56" s="52"/>
      <c r="S56" s="53"/>
    </row>
    <row r="57" customFormat="false" ht="15" hidden="false" customHeight="false" outlineLevel="0" collapsed="false">
      <c r="A57" s="4" t="s">
        <v>513</v>
      </c>
      <c r="B57" s="36" t="s">
        <v>77</v>
      </c>
      <c r="C57" s="51" t="n">
        <f aca="false">IFERROR(C54/(C53+C54+C55),0)</f>
        <v>0.321217825342104</v>
      </c>
      <c r="D57" s="51" t="n">
        <f aca="false">IFERROR(D54/(D53+D54+D55),0)</f>
        <v>0.321217825342104</v>
      </c>
      <c r="E57" s="51" t="n">
        <f aca="false">IFERROR(E54/(E53+E54+E55),0)</f>
        <v>0.321217825342104</v>
      </c>
      <c r="F57" s="51" t="n">
        <f aca="false">IFERROR(F54/(F53+F54+F55),0)</f>
        <v>0.321217825342104</v>
      </c>
      <c r="G57" s="51" t="n">
        <f aca="false">IFERROR(G54/(G53+G54+G55),0)</f>
        <v>0.321217825342104</v>
      </c>
      <c r="H57" s="51" t="n">
        <f aca="false">IFERROR(H54/(H53+H54+H55),0)</f>
        <v>0.321217825342104</v>
      </c>
      <c r="I57" s="51" t="n">
        <f aca="false">IFERROR(I54/(I53+I54+I55),0)</f>
        <v>0.317890829828438</v>
      </c>
      <c r="J57" s="51" t="n">
        <f aca="false">IFERROR(J54/(J53+J54+J55),0)</f>
        <v>0.315934709158395</v>
      </c>
      <c r="K57" s="51" t="n">
        <f aca="false">IFERROR(K54/(K53+K54+K55),0)</f>
        <v>0.315934709158395</v>
      </c>
      <c r="L57" s="51" t="n">
        <f aca="false">IFERROR(L54/(L53+L54+L55),0)</f>
        <v>0.315934709158395</v>
      </c>
      <c r="M57" s="51" t="n">
        <f aca="false">IFERROR(M54/(M53+M54+M55),0)</f>
        <v>0.315934709158395</v>
      </c>
      <c r="N57" s="51" t="n">
        <f aca="false">IFERROR(N54/(N53+N54+N55),0)</f>
        <v>0.315934709158395</v>
      </c>
      <c r="P57" s="52"/>
      <c r="Q57" s="52"/>
      <c r="R57" s="52"/>
      <c r="S57" s="53"/>
    </row>
    <row r="58" customFormat="false" ht="15" hidden="false" customHeight="false" outlineLevel="0" collapsed="false">
      <c r="A58" s="4" t="s">
        <v>514</v>
      </c>
      <c r="B58" s="36" t="s">
        <v>77</v>
      </c>
      <c r="C58" s="51" t="n">
        <f aca="false">IFERROR(C55/(C53+C54+C55),0)</f>
        <v>0.0376736955648146</v>
      </c>
      <c r="D58" s="51" t="n">
        <f aca="false">IFERROR(D55/(D53+D54+D55),0)</f>
        <v>0.0376736955648146</v>
      </c>
      <c r="E58" s="51" t="n">
        <f aca="false">IFERROR(E55/(E53+E54+E55),0)</f>
        <v>0.0376736955648146</v>
      </c>
      <c r="F58" s="51" t="n">
        <f aca="false">IFERROR(F55/(F53+F54+F55),0)</f>
        <v>0.0376736955648146</v>
      </c>
      <c r="G58" s="51" t="n">
        <f aca="false">IFERROR(G55/(G53+G54+G55),0)</f>
        <v>0.0376736955648146</v>
      </c>
      <c r="H58" s="51" t="n">
        <f aca="false">IFERROR(H55/(H53+H54+H55),0)</f>
        <v>0.0376736955648146</v>
      </c>
      <c r="I58" s="51" t="n">
        <f aca="false">IFERROR(I55/(I53+I54+I55),0)</f>
        <v>0.0348725506162836</v>
      </c>
      <c r="J58" s="51" t="n">
        <f aca="false">IFERROR(J55/(J53+J54+J55),0)</f>
        <v>0.0332256059447021</v>
      </c>
      <c r="K58" s="51" t="n">
        <f aca="false">IFERROR(K55/(K53+K54+K55),0)</f>
        <v>0.0332256059447021</v>
      </c>
      <c r="L58" s="51" t="n">
        <f aca="false">IFERROR(L55/(L53+L54+L55),0)</f>
        <v>0.0332256059447021</v>
      </c>
      <c r="M58" s="51" t="n">
        <f aca="false">IFERROR(M55/(M53+M54+M55),0)</f>
        <v>0.0332256059447021</v>
      </c>
      <c r="N58" s="51" t="n">
        <f aca="false">IFERROR(N55/(N53+N54+N55),0)</f>
        <v>0.0332256059447021</v>
      </c>
      <c r="P58" s="52"/>
      <c r="Q58" s="52"/>
      <c r="R58" s="52"/>
      <c r="S58" s="53"/>
    </row>
    <row r="59" customFormat="false" ht="15" hidden="false" customHeight="false" outlineLevel="0" collapsed="false">
      <c r="A59" s="4" t="s">
        <v>515</v>
      </c>
      <c r="B59" s="36" t="s">
        <v>516</v>
      </c>
      <c r="C59" s="48" t="n">
        <f aca="false">IF(C27-Assumptions!$D$35&lt;1,0,INDEX($C$52:$N$52,1,C27-Assumptions!$D$35)*INDEX($C$56:$N$56,1,C27-Assumptions!$D$35)*Assumptions!$D$32)</f>
        <v>0</v>
      </c>
      <c r="D59" s="48" t="n">
        <f aca="false">IF(D27-Assumptions!$D$35&lt;1,0,INDEX($C$52:$N$52,1,D27-Assumptions!$D$35)*INDEX($C$56:$N$56,1,D27-Assumptions!$D$35)*Assumptions!$D$32)</f>
        <v>0.199000882665507</v>
      </c>
      <c r="E59" s="48" t="n">
        <f aca="false">IF(E27-Assumptions!$D$35&lt;1,0,INDEX($C$52:$N$52,1,E27-Assumptions!$D$35)*INDEX($C$56:$N$56,1,E27-Assumptions!$D$35)*Assumptions!$D$32)</f>
        <v>0.3750955846107</v>
      </c>
      <c r="F59" s="48" t="n">
        <f aca="false">IF(F27-Assumptions!$D$35&lt;1,0,INDEX($C$52:$N$52,1,F27-Assumptions!$D$35)*INDEX($C$56:$N$56,1,F27-Assumptions!$D$35)*Assumptions!$D$32)</f>
        <v>0.431868603604811</v>
      </c>
      <c r="G59" s="48" t="n">
        <f aca="false">IF(G27-Assumptions!$D$35&lt;1,0,INDEX($C$52:$N$52,1,G27-Assumptions!$D$35)*INDEX($C$56:$N$56,1,G27-Assumptions!$D$35)*Assumptions!$D$32)</f>
        <v>0.491058569804982</v>
      </c>
      <c r="H59" s="48" t="n">
        <f aca="false">IF(H27-Assumptions!$D$35&lt;1,0,INDEX($C$52:$N$52,1,H27-Assumptions!$D$35)*INDEX($C$56:$N$56,1,H27-Assumptions!$D$35)*Assumptions!$D$32)</f>
        <v>0.552375719608417</v>
      </c>
      <c r="I59" s="48" t="n">
        <f aca="false">IF(I27-Assumptions!$D$35&lt;1,0,INDEX($C$52:$N$52,1,I27-Assumptions!$D$35)*INDEX($C$56:$N$56,1,I27-Assumptions!$D$35)*Assumptions!$D$32)</f>
        <v>0.538632011176229</v>
      </c>
      <c r="J59" s="48" t="n">
        <f aca="false">IF(J27-Assumptions!$D$35&lt;1,0,INDEX($C$52:$N$52,1,J27-Assumptions!$D$35)*INDEX($C$56:$N$56,1,J27-Assumptions!$D$35)*Assumptions!$D$32)</f>
        <v>0.618593062347143</v>
      </c>
      <c r="K59" s="48" t="n">
        <f aca="false">IF(K27-Assumptions!$D$35&lt;1,0,INDEX($C$52:$N$52,1,K27-Assumptions!$D$35)*INDEX($C$56:$N$56,1,K27-Assumptions!$D$35)*Assumptions!$D$32)</f>
        <v>0.682316693438179</v>
      </c>
      <c r="L59" s="48" t="n">
        <f aca="false">IF(L27-Assumptions!$D$35&lt;1,0,INDEX($C$52:$N$52,1,L27-Assumptions!$D$35)*INDEX($C$56:$N$56,1,L27-Assumptions!$D$35)*Assumptions!$D$32)</f>
        <v>0.658352571920549</v>
      </c>
      <c r="M59" s="48" t="n">
        <f aca="false">IF(M27-Assumptions!$D$35&lt;1,0,INDEX($C$52:$N$52,1,M27-Assumptions!$D$35)*INDEX($C$56:$N$56,1,M27-Assumptions!$D$35)*Assumptions!$D$32)</f>
        <v>0.63726146731094</v>
      </c>
      <c r="N59" s="48" t="n">
        <f aca="false">IF(N27-Assumptions!$D$35&lt;1,0,INDEX($C$52:$N$52,1,N27-Assumptions!$D$35)*INDEX($C$56:$N$56,1,N27-Assumptions!$D$35)*Assumptions!$D$32)</f>
        <v>0.618698938602087</v>
      </c>
      <c r="P59" s="49" t="n">
        <f aca="false">SUM(C59:F59)</f>
        <v>1.00596507088102</v>
      </c>
      <c r="Q59" s="49" t="n">
        <f aca="false">SUM(G59:J59)</f>
        <v>2.20065936293677</v>
      </c>
      <c r="R59" s="49" t="n">
        <f aca="false">SUM(K59:N59)</f>
        <v>2.59662967127175</v>
      </c>
      <c r="S59" s="50" t="n">
        <f aca="false">SUM(P59:R59)</f>
        <v>5.80325410508955</v>
      </c>
    </row>
    <row r="60" customFormat="false" ht="15" hidden="false" customHeight="false" outlineLevel="0" collapsed="false">
      <c r="A60" s="4" t="s">
        <v>517</v>
      </c>
      <c r="B60" s="36" t="s">
        <v>516</v>
      </c>
      <c r="C60" s="48" t="n">
        <f aca="false">IF(C27-Assumptions!$D$35&lt;1,0,INDEX($C$52:$N$52,1,C27-Assumptions!$D$35)*INDEX($C$57:$N$57,1,C27-Assumptions!$D$35)*Assumptions!$D$32)</f>
        <v>0</v>
      </c>
      <c r="D60" s="48" t="n">
        <f aca="false">IF(D27-Assumptions!$D$35&lt;1,0,INDEX($C$52:$N$52,1,D27-Assumptions!$D$35)*INDEX($C$57:$N$57,1,D27-Assumptions!$D$35)*Assumptions!$D$32)</f>
        <v>0.0997064192028764</v>
      </c>
      <c r="E60" s="48" t="n">
        <f aca="false">IF(E27-Assumptions!$D$35&lt;1,0,INDEX($C$52:$N$52,1,E27-Assumptions!$D$35)*INDEX($C$57:$N$57,1,E27-Assumptions!$D$35)*Assumptions!$D$32)</f>
        <v>0.187936038772279</v>
      </c>
      <c r="F60" s="48" t="n">
        <f aca="false">IF(F27-Assumptions!$D$35&lt;1,0,INDEX($C$52:$N$52,1,F27-Assumptions!$D$35)*INDEX($C$57:$N$57,1,F27-Assumptions!$D$35)*Assumptions!$D$32)</f>
        <v>0.216381311755085</v>
      </c>
      <c r="G60" s="48" t="n">
        <f aca="false">IF(G27-Assumptions!$D$35&lt;1,0,INDEX($C$52:$N$52,1,G27-Assumptions!$D$35)*INDEX($C$57:$N$57,1,G27-Assumptions!$D$35)*Assumptions!$D$32)</f>
        <v>0.246037560026497</v>
      </c>
      <c r="H60" s="48" t="n">
        <f aca="false">IF(H27-Assumptions!$D$35&lt;1,0,INDEX($C$52:$N$52,1,H27-Assumptions!$D$35)*INDEX($C$57:$N$57,1,H27-Assumptions!$D$35)*Assumptions!$D$32)</f>
        <v>0.276759601862377</v>
      </c>
      <c r="I60" s="48" t="n">
        <f aca="false">IF(I27-Assumptions!$D$35&lt;1,0,INDEX($C$52:$N$52,1,I27-Assumptions!$D$35)*INDEX($C$57:$N$57,1,I27-Assumptions!$D$35)*Assumptions!$D$32)</f>
        <v>0.269873522082293</v>
      </c>
      <c r="J60" s="48" t="n">
        <f aca="false">IF(J27-Assumptions!$D$35&lt;1,0,INDEX($C$52:$N$52,1,J27-Assumptions!$D$35)*INDEX($C$57:$N$57,1,J27-Assumptions!$D$35)*Assumptions!$D$32)</f>
        <v>0.303822521739831</v>
      </c>
      <c r="K60" s="48" t="n">
        <f aca="false">IF(K27-Assumptions!$D$35&lt;1,0,INDEX($C$52:$N$52,1,K27-Assumptions!$D$35)*INDEX($C$57:$N$57,1,K27-Assumptions!$D$35)*Assumptions!$D$32)</f>
        <v>0.331214477386173</v>
      </c>
      <c r="L60" s="48" t="n">
        <f aca="false">IF(L27-Assumptions!$D$35&lt;1,0,INDEX($C$52:$N$52,1,L27-Assumptions!$D$35)*INDEX($C$57:$N$57,1,L27-Assumptions!$D$35)*Assumptions!$D$32)</f>
        <v>0.31958166221279</v>
      </c>
      <c r="M60" s="48" t="n">
        <f aca="false">IF(M27-Assumptions!$D$35&lt;1,0,INDEX($C$52:$N$52,1,M27-Assumptions!$D$35)*INDEX($C$57:$N$57,1,M27-Assumptions!$D$35)*Assumptions!$D$32)</f>
        <v>0.309343485046747</v>
      </c>
      <c r="N60" s="48" t="n">
        <f aca="false">IF(N27-Assumptions!$D$35&lt;1,0,INDEX($C$52:$N$52,1,N27-Assumptions!$D$35)*INDEX($C$57:$N$57,1,N27-Assumptions!$D$35)*Assumptions!$D$32)</f>
        <v>0.300332745159542</v>
      </c>
      <c r="P60" s="49" t="n">
        <f aca="false">SUM(C60:F60)</f>
        <v>0.50402376973024</v>
      </c>
      <c r="Q60" s="49" t="n">
        <f aca="false">SUM(G60:J60)</f>
        <v>1.096493205711</v>
      </c>
      <c r="R60" s="49" t="n">
        <f aca="false">SUM(K60:N60)</f>
        <v>1.26047236980525</v>
      </c>
      <c r="S60" s="50" t="n">
        <f aca="false">SUM(P60:R60)</f>
        <v>2.86098934524649</v>
      </c>
    </row>
    <row r="61" customFormat="false" ht="15" hidden="false" customHeight="false" outlineLevel="0" collapsed="false">
      <c r="A61" s="4" t="s">
        <v>518</v>
      </c>
      <c r="B61" s="36" t="s">
        <v>516</v>
      </c>
      <c r="C61" s="48" t="n">
        <f aca="false">IF(C27-Assumptions!$D$36&lt;1,0,INDEX($C$52:$N$52,1,C27-Assumptions!$D$36)*INDEX($C$58:$N$58,1,C27-Assumptions!$D$36)*Assumptions!$D$32)</f>
        <v>0</v>
      </c>
      <c r="D61" s="48" t="n">
        <f aca="false">IF(D27-Assumptions!$D$36&lt;1,0,INDEX($C$52:$N$52,1,D27-Assumptions!$D$36)*INDEX($C$58:$N$58,1,D27-Assumptions!$D$36)*Assumptions!$D$32)</f>
        <v>0</v>
      </c>
      <c r="E61" s="48" t="n">
        <f aca="false">IF(E27-Assumptions!$D$36&lt;1,0,INDEX($C$52:$N$52,1,E27-Assumptions!$D$36)*INDEX($C$58:$N$58,1,E27-Assumptions!$D$36)*Assumptions!$D$32)</f>
        <v>0.0116939627460164</v>
      </c>
      <c r="F61" s="48" t="n">
        <f aca="false">IF(F27-Assumptions!$D$36&lt;1,0,INDEX($C$52:$N$52,1,F27-Assumptions!$D$36)*INDEX($C$58:$N$58,1,F27-Assumptions!$D$36)*Assumptions!$D$32)</f>
        <v>0.0220418810905759</v>
      </c>
      <c r="G61" s="48" t="n">
        <f aca="false">IF(G27-Assumptions!$D$36&lt;1,0,INDEX($C$52:$N$52,1,G27-Assumptions!$D$36)*INDEX($C$58:$N$58,1,G27-Assumptions!$D$36)*Assumptions!$D$32)</f>
        <v>0.0253780550823865</v>
      </c>
      <c r="H61" s="48" t="n">
        <f aca="false">IF(H27-Assumptions!$D$36&lt;1,0,INDEX($C$52:$N$52,1,H27-Assumptions!$D$36)*INDEX($C$58:$N$58,1,H27-Assumptions!$D$36)*Assumptions!$D$32)</f>
        <v>0.0288562570401447</v>
      </c>
      <c r="I61" s="48" t="n">
        <f aca="false">IF(I27-Assumptions!$D$36&lt;1,0,INDEX($C$52:$N$52,1,I27-Assumptions!$D$36)*INDEX($C$58:$N$58,1,I27-Assumptions!$D$36)*Assumptions!$D$32)</f>
        <v>0.0324594594776862</v>
      </c>
      <c r="J61" s="48" t="n">
        <f aca="false">IF(J27-Assumptions!$D$36&lt;1,0,INDEX($C$52:$N$52,1,J27-Assumptions!$D$36)*INDEX($C$58:$N$58,1,J27-Assumptions!$D$36)*Assumptions!$D$32)</f>
        <v>0.0316518328368121</v>
      </c>
      <c r="K61" s="48" t="n">
        <f aca="false">IF(K27-Assumptions!$D$36&lt;1,0,INDEX($C$52:$N$52,1,K27-Assumptions!$D$36)*INDEX($C$58:$N$58,1,K27-Assumptions!$D$36)*Assumptions!$D$32)</f>
        <v>0.0333292604679953</v>
      </c>
      <c r="L61" s="48" t="n">
        <f aca="false">IF(L27-Assumptions!$D$36&lt;1,0,INDEX($C$52:$N$52,1,L27-Assumptions!$D$36)*INDEX($C$58:$N$58,1,L27-Assumptions!$D$36)*Assumptions!$D$32)</f>
        <v>0.0348325188395053</v>
      </c>
      <c r="M61" s="48" t="n">
        <f aca="false">IF(M27-Assumptions!$D$36&lt;1,0,INDEX($C$52:$N$52,1,M27-Assumptions!$D$36)*INDEX($C$58:$N$58,1,M27-Assumptions!$D$36)*Assumptions!$D$32)</f>
        <v>0.033609141598024</v>
      </c>
      <c r="N61" s="48" t="n">
        <f aca="false">IF(N27-Assumptions!$D$36&lt;1,0,INDEX($C$52:$N$52,1,N27-Assumptions!$D$36)*INDEX($C$58:$N$58,1,N27-Assumptions!$D$36)*Assumptions!$D$32)</f>
        <v>0.0325324329292704</v>
      </c>
      <c r="P61" s="49" t="n">
        <f aca="false">SUM(C61:F61)</f>
        <v>0.0337358438365923</v>
      </c>
      <c r="Q61" s="49" t="n">
        <f aca="false">SUM(G61:J61)</f>
        <v>0.118345604437029</v>
      </c>
      <c r="R61" s="49" t="n">
        <f aca="false">SUM(K61:N61)</f>
        <v>0.134303353834795</v>
      </c>
      <c r="S61" s="50" t="n">
        <f aca="false">SUM(P61:R61)</f>
        <v>0.286384802108417</v>
      </c>
    </row>
    <row r="62" customFormat="false" ht="15" hidden="false" customHeight="false" outlineLevel="0" collapsed="false">
      <c r="A62" s="4" t="s">
        <v>519</v>
      </c>
      <c r="B62" s="36" t="s">
        <v>77</v>
      </c>
      <c r="C62" s="51" t="n">
        <f aca="false">IF(C27-Assumptions!$D$35&lt;1,0,IFERROR(INDEX($C$51:$N$51,1,C27-Assumptions!$D$35)/INDEX($C$52:$N$52,1,C27-Assumptions!$D$35),0))</f>
        <v>0</v>
      </c>
      <c r="D62" s="51" t="n">
        <f aca="false">IF(D27-Assumptions!$D$35&lt;1,0,IFERROR(INDEX($C$51:$N$51,1,D27-Assumptions!$D$35)/INDEX($C$52:$N$52,1,D27-Assumptions!$D$35),0))</f>
        <v>0.386596363094949</v>
      </c>
      <c r="E62" s="51" t="n">
        <f aca="false">IF(E27-Assumptions!$D$35&lt;1,0,IFERROR(INDEX($C$51:$N$51,1,E27-Assumptions!$D$35)/INDEX($C$52:$N$52,1,E27-Assumptions!$D$35),0))</f>
        <v>0.410204868559123</v>
      </c>
      <c r="F62" s="51" t="n">
        <f aca="false">IF(F27-Assumptions!$D$35&lt;1,0,IFERROR(INDEX($C$51:$N$51,1,F27-Assumptions!$D$35)/INDEX($C$52:$N$52,1,F27-Assumptions!$D$35),0))</f>
        <v>0.53441961408407</v>
      </c>
      <c r="G62" s="51" t="n">
        <f aca="false">IF(G27-Assumptions!$D$35&lt;1,0,IFERROR(INDEX($C$51:$N$51,1,G27-Assumptions!$D$35)/INDEX($C$52:$N$52,1,G27-Assumptions!$D$35),0))</f>
        <v>0.626670806472008</v>
      </c>
      <c r="H62" s="51" t="n">
        <f aca="false">IF(H27-Assumptions!$D$35&lt;1,0,IFERROR(INDEX($C$51:$N$51,1,H27-Assumptions!$D$35)/INDEX($C$52:$N$52,1,H27-Assumptions!$D$35),0))</f>
        <v>0.696383048350751</v>
      </c>
      <c r="I62" s="51" t="n">
        <f aca="false">IF(I27-Assumptions!$D$35&lt;1,0,IFERROR(INDEX($C$51:$N$51,1,I27-Assumptions!$D$35)/INDEX($C$52:$N$52,1,I27-Assumptions!$D$35),0))</f>
        <v>0.714151924643029</v>
      </c>
      <c r="J62" s="51" t="n">
        <f aca="false">IF(J27-Assumptions!$D$35&lt;1,0,IFERROR(INDEX($C$51:$N$51,1,J27-Assumptions!$D$35)/INDEX($C$52:$N$52,1,J27-Assumptions!$D$35),0))</f>
        <v>0.627782617314962</v>
      </c>
      <c r="K62" s="51" t="n">
        <f aca="false">IF(K27-Assumptions!$D$35&lt;1,0,IFERROR(INDEX($C$51:$N$51,1,K27-Assumptions!$D$35)/INDEX($C$52:$N$52,1,K27-Assumptions!$D$35),0))</f>
        <v>0.572320470382165</v>
      </c>
      <c r="L62" s="51" t="n">
        <f aca="false">IF(L27-Assumptions!$D$35&lt;1,0,IFERROR(INDEX($C$51:$N$51,1,L27-Assumptions!$D$35)/INDEX($C$52:$N$52,1,L27-Assumptions!$D$35),0))</f>
        <v>0.59315301191725</v>
      </c>
      <c r="M62" s="51" t="n">
        <f aca="false">IF(M27-Assumptions!$D$35&lt;1,0,IFERROR(INDEX($C$51:$N$51,1,M27-Assumptions!$D$35)/INDEX($C$52:$N$52,1,M27-Assumptions!$D$35),0))</f>
        <v>0.612784282385619</v>
      </c>
      <c r="N62" s="51" t="n">
        <f aca="false">IF(N27-Assumptions!$D$35&lt;1,0,IFERROR(INDEX($C$51:$N$51,1,N27-Assumptions!$D$35)/INDEX($C$52:$N$52,1,N27-Assumptions!$D$35),0))</f>
        <v>0.63116935648938</v>
      </c>
      <c r="P62" s="52"/>
      <c r="Q62" s="52"/>
      <c r="R62" s="52"/>
      <c r="S62" s="53"/>
    </row>
    <row r="63" customFormat="false" ht="15" hidden="false" customHeight="false" outlineLevel="0" collapsed="false">
      <c r="A63" s="4" t="s">
        <v>520</v>
      </c>
      <c r="B63" s="36" t="s">
        <v>516</v>
      </c>
      <c r="C63" s="48" t="n">
        <f aca="false">C59*Assumptions!$D$37</f>
        <v>0</v>
      </c>
      <c r="D63" s="48" t="n">
        <f aca="false">D59*Assumptions!$D$37</f>
        <v>0.0298501323998261</v>
      </c>
      <c r="E63" s="48" t="n">
        <f aca="false">E59*Assumptions!$D$37</f>
        <v>0.0562643376916051</v>
      </c>
      <c r="F63" s="48" t="n">
        <f aca="false">F59*Assumptions!$D$37</f>
        <v>0.0647802905407217</v>
      </c>
      <c r="G63" s="48" t="n">
        <f aca="false">G59*Assumptions!$D$37</f>
        <v>0.0736587854707474</v>
      </c>
      <c r="H63" s="48" t="n">
        <f aca="false">H59*Assumptions!$D$37</f>
        <v>0.0828563579412626</v>
      </c>
      <c r="I63" s="48" t="n">
        <f aca="false">I59*Assumptions!$D$37</f>
        <v>0.0807948016764343</v>
      </c>
      <c r="J63" s="48" t="n">
        <f aca="false">J59*Assumptions!$D$37</f>
        <v>0.0927889593520715</v>
      </c>
      <c r="K63" s="48" t="n">
        <f aca="false">K59*Assumptions!$D$37</f>
        <v>0.102347504015727</v>
      </c>
      <c r="L63" s="48" t="n">
        <f aca="false">L59*Assumptions!$D$37</f>
        <v>0.0987528857880824</v>
      </c>
      <c r="M63" s="48" t="n">
        <f aca="false">M59*Assumptions!$D$37</f>
        <v>0.095589220096641</v>
      </c>
      <c r="N63" s="48" t="n">
        <f aca="false">N59*Assumptions!$D$37</f>
        <v>0.092804840790313</v>
      </c>
      <c r="P63" s="49" t="n">
        <f aca="false">SUM(C63:F63)</f>
        <v>0.150894760632153</v>
      </c>
      <c r="Q63" s="49" t="n">
        <f aca="false">SUM(G63:J63)</f>
        <v>0.330098904440516</v>
      </c>
      <c r="R63" s="49" t="n">
        <f aca="false">SUM(K63:N63)</f>
        <v>0.389494450690763</v>
      </c>
      <c r="S63" s="50" t="n">
        <f aca="false">SUM(P63:R63)</f>
        <v>0.870488115763432</v>
      </c>
    </row>
    <row r="64" customFormat="false" ht="15" hidden="false" customHeight="false" outlineLevel="0" collapsed="false">
      <c r="A64" s="4" t="s">
        <v>521</v>
      </c>
      <c r="B64" s="36" t="s">
        <v>516</v>
      </c>
      <c r="C64" s="48" t="n">
        <f aca="false">C59*(1-Assumptions!$D$37)</f>
        <v>0</v>
      </c>
      <c r="D64" s="48" t="n">
        <f aca="false">D59*(1-Assumptions!$D$37)</f>
        <v>0.169150750265681</v>
      </c>
      <c r="E64" s="48" t="n">
        <f aca="false">E59*(1-Assumptions!$D$37)</f>
        <v>0.318831246919095</v>
      </c>
      <c r="F64" s="48" t="n">
        <f aca="false">F59*(1-Assumptions!$D$37)</f>
        <v>0.36708831306409</v>
      </c>
      <c r="G64" s="48" t="n">
        <f aca="false">G59*(1-Assumptions!$D$37)</f>
        <v>0.417399784334235</v>
      </c>
      <c r="H64" s="48" t="n">
        <f aca="false">H59*(1-Assumptions!$D$37)</f>
        <v>0.469519361667154</v>
      </c>
      <c r="I64" s="48" t="n">
        <f aca="false">I59*(1-Assumptions!$D$37)</f>
        <v>0.457837209499794</v>
      </c>
      <c r="J64" s="48" t="n">
        <f aca="false">J59*(1-Assumptions!$D$37)</f>
        <v>0.525804102995072</v>
      </c>
      <c r="K64" s="48" t="n">
        <f aca="false">K59*(1-Assumptions!$D$37)</f>
        <v>0.579969189422452</v>
      </c>
      <c r="L64" s="48" t="n">
        <f aca="false">L59*(1-Assumptions!$D$37)</f>
        <v>0.559599686132467</v>
      </c>
      <c r="M64" s="48" t="n">
        <f aca="false">M59*(1-Assumptions!$D$37)</f>
        <v>0.541672247214299</v>
      </c>
      <c r="N64" s="48" t="n">
        <f aca="false">N59*(1-Assumptions!$D$37)</f>
        <v>0.525894097811773</v>
      </c>
      <c r="P64" s="49" t="n">
        <f aca="false">SUM(C64:F64)</f>
        <v>0.855070310248866</v>
      </c>
      <c r="Q64" s="49" t="n">
        <f aca="false">SUM(G64:J64)</f>
        <v>1.87056045849626</v>
      </c>
      <c r="R64" s="49" t="n">
        <f aca="false">SUM(K64:N64)</f>
        <v>2.20713522058099</v>
      </c>
      <c r="S64" s="50" t="n">
        <f aca="false">SUM(P64:R64)</f>
        <v>4.93276598932611</v>
      </c>
    </row>
    <row r="65" customFormat="false" ht="15" hidden="false" customHeight="false" outlineLevel="0" collapsed="false">
      <c r="A65" s="4" t="s">
        <v>522</v>
      </c>
      <c r="B65" s="36" t="s">
        <v>125</v>
      </c>
      <c r="C65" s="54" t="n">
        <f aca="false">C64*$C$18+C60*$C$19+C61*$C$20</f>
        <v>0</v>
      </c>
      <c r="D65" s="54" t="n">
        <f aca="false">D64*$C$18+D60*$C$19+D61*$C$20</f>
        <v>1635.64833396782</v>
      </c>
      <c r="E65" s="54" t="n">
        <f aca="false">E64*$C$18+E60*$C$19+E61*$C$20</f>
        <v>3624.84832316534</v>
      </c>
      <c r="F65" s="54" t="n">
        <f aca="false">F64*$C$18+F60*$C$19+F61*$C$20</f>
        <v>4570.94016945113</v>
      </c>
      <c r="G65" s="54" t="n">
        <f aca="false">G64*$C$18+G60*$C$19+G61*$C$20</f>
        <v>5212.01763013472</v>
      </c>
      <c r="H65" s="54" t="n">
        <f aca="false">H64*$C$18+H60*$C$19+H61*$C$20</f>
        <v>5877.15973511365</v>
      </c>
      <c r="I65" s="54" t="n">
        <f aca="false">I64*$C$18+I60*$C$19+I61*$C$20</f>
        <v>5931.14571876439</v>
      </c>
      <c r="J65" s="54" t="n">
        <f aca="false">J64*$C$18+J60*$C$19+J61*$C$20</f>
        <v>6506.16199231865</v>
      </c>
      <c r="K65" s="54" t="n">
        <f aca="false">K64*$C$18+K60*$C$19+K61*$C$20</f>
        <v>7074.42212380235</v>
      </c>
      <c r="L65" s="54" t="n">
        <f aca="false">L64*$C$18+L60*$C$19+L61*$C$20</f>
        <v>6949.84521524277</v>
      </c>
      <c r="M65" s="54" t="n">
        <f aca="false">M64*$C$18+M60*$C$19+M61*$C$20</f>
        <v>6722.2189193878</v>
      </c>
      <c r="N65" s="54" t="n">
        <f aca="false">N64*$C$18+N60*$C$19+N61*$C$20</f>
        <v>6521.88234480304</v>
      </c>
      <c r="P65" s="55" t="n">
        <f aca="false">SUM(C65:F65)</f>
        <v>9831.43682658429</v>
      </c>
      <c r="Q65" s="55" t="n">
        <f aca="false">SUM(G65:J65)</f>
        <v>23526.4850763314</v>
      </c>
      <c r="R65" s="55" t="n">
        <f aca="false">SUM(K65:N65)</f>
        <v>27268.368603236</v>
      </c>
      <c r="S65" s="56" t="n">
        <f aca="false">SUM(P65:R65)</f>
        <v>60626.2905061517</v>
      </c>
    </row>
    <row r="66" customFormat="false" ht="15" hidden="false" customHeight="false" outlineLevel="0" collapsed="false">
      <c r="A66" s="4" t="s">
        <v>523</v>
      </c>
      <c r="B66" s="36" t="s">
        <v>125</v>
      </c>
      <c r="C66" s="54" t="n">
        <f aca="false">(C42+Assumptions!$D$104*C28)*$C$23</f>
        <v>240625</v>
      </c>
      <c r="D66" s="54" t="n">
        <f aca="false">(D42+Assumptions!$D$104*D28)*$C$23</f>
        <v>240625</v>
      </c>
      <c r="E66" s="54" t="n">
        <f aca="false">(E42+Assumptions!$D$104*E28)*$C$23</f>
        <v>240625</v>
      </c>
      <c r="F66" s="54" t="n">
        <f aca="false">(F42+Assumptions!$D$104*F28)*$C$23</f>
        <v>240625</v>
      </c>
      <c r="G66" s="54" t="n">
        <f aca="false">(G42+Assumptions!$D$104*G28)*$C$23</f>
        <v>240625</v>
      </c>
      <c r="H66" s="54" t="n">
        <f aca="false">(H42+Assumptions!$D$104*H28)*$C$23</f>
        <v>240625</v>
      </c>
      <c r="I66" s="54" t="n">
        <f aca="false">(I42+Assumptions!$D$104*I28)*$C$23</f>
        <v>240625</v>
      </c>
      <c r="J66" s="54" t="n">
        <f aca="false">(J42+Assumptions!$D$104*J28)*$C$23</f>
        <v>240625</v>
      </c>
      <c r="K66" s="54" t="n">
        <f aca="false">(K42+Assumptions!$D$104*K28)*$C$23</f>
        <v>240625</v>
      </c>
      <c r="L66" s="54" t="n">
        <f aca="false">(L42+Assumptions!$D$104*L28)*$C$23</f>
        <v>240625</v>
      </c>
      <c r="M66" s="54" t="n">
        <f aca="false">(M42+Assumptions!$D$104*M28)*$C$23</f>
        <v>240625</v>
      </c>
      <c r="N66" s="54" t="n">
        <f aca="false">(N42+Assumptions!$D$104*N28)*$C$23</f>
        <v>240625</v>
      </c>
      <c r="P66" s="55" t="n">
        <f aca="false">SUM(C66:F66)</f>
        <v>962500</v>
      </c>
      <c r="Q66" s="55" t="n">
        <f aca="false">SUM(G66:J66)</f>
        <v>962500</v>
      </c>
      <c r="R66" s="55" t="n">
        <f aca="false">SUM(K66:N66)</f>
        <v>962500</v>
      </c>
      <c r="S66" s="56" t="n">
        <f aca="false">SUM(P66:R66)</f>
        <v>2887500</v>
      </c>
    </row>
    <row r="67" customFormat="false" ht="15" hidden="false" customHeight="false" outlineLevel="0" collapsed="false">
      <c r="A67" s="4" t="s">
        <v>524</v>
      </c>
      <c r="B67" s="36" t="s">
        <v>77</v>
      </c>
      <c r="C67" s="51" t="n">
        <f aca="false">IF(C65&gt;0,MIN(1,C66/C65),1)</f>
        <v>1</v>
      </c>
      <c r="D67" s="51" t="n">
        <f aca="false">IF(D65&gt;0,MIN(1,D66/D65),1)</f>
        <v>1</v>
      </c>
      <c r="E67" s="51" t="n">
        <f aca="false">IF(E65&gt;0,MIN(1,E66/E65),1)</f>
        <v>1</v>
      </c>
      <c r="F67" s="51" t="n">
        <f aca="false">IF(F65&gt;0,MIN(1,F66/F65),1)</f>
        <v>1</v>
      </c>
      <c r="G67" s="51" t="n">
        <f aca="false">IF(G65&gt;0,MIN(1,G66/G65),1)</f>
        <v>1</v>
      </c>
      <c r="H67" s="51" t="n">
        <f aca="false">IF(H65&gt;0,MIN(1,H66/H65),1)</f>
        <v>1</v>
      </c>
      <c r="I67" s="51" t="n">
        <f aca="false">IF(I65&gt;0,MIN(1,I66/I65),1)</f>
        <v>1</v>
      </c>
      <c r="J67" s="51" t="n">
        <f aca="false">IF(J65&gt;0,MIN(1,J66/J65),1)</f>
        <v>1</v>
      </c>
      <c r="K67" s="51" t="n">
        <f aca="false">IF(K65&gt;0,MIN(1,K66/K65),1)</f>
        <v>1</v>
      </c>
      <c r="L67" s="51" t="n">
        <f aca="false">IF(L65&gt;0,MIN(1,L66/L65),1)</f>
        <v>1</v>
      </c>
      <c r="M67" s="51" t="n">
        <f aca="false">IF(M65&gt;0,MIN(1,M66/M65),1)</f>
        <v>1</v>
      </c>
      <c r="N67" s="51" t="n">
        <f aca="false">IF(N65&gt;0,MIN(1,N66/N65),1)</f>
        <v>1</v>
      </c>
      <c r="P67" s="52"/>
      <c r="Q67" s="52"/>
      <c r="R67" s="52"/>
      <c r="S67" s="53"/>
    </row>
    <row r="68" customFormat="false" ht="15" hidden="false" customHeight="false" outlineLevel="0" collapsed="false">
      <c r="A68" s="4" t="s">
        <v>525</v>
      </c>
      <c r="B68" s="36" t="s">
        <v>125</v>
      </c>
      <c r="C68" s="54" t="n">
        <f aca="false">C65*(1-C67)</f>
        <v>0</v>
      </c>
      <c r="D68" s="54" t="n">
        <f aca="false">D65*(1-D67)</f>
        <v>0</v>
      </c>
      <c r="E68" s="54" t="n">
        <f aca="false">E65*(1-E67)</f>
        <v>0</v>
      </c>
      <c r="F68" s="54" t="n">
        <f aca="false">F65*(1-F67)</f>
        <v>0</v>
      </c>
      <c r="G68" s="54" t="n">
        <f aca="false">G65*(1-G67)</f>
        <v>0</v>
      </c>
      <c r="H68" s="54" t="n">
        <f aca="false">H65*(1-H67)</f>
        <v>0</v>
      </c>
      <c r="I68" s="54" t="n">
        <f aca="false">I65*(1-I67)</f>
        <v>0</v>
      </c>
      <c r="J68" s="54" t="n">
        <f aca="false">J65*(1-J67)</f>
        <v>0</v>
      </c>
      <c r="K68" s="54" t="n">
        <f aca="false">K65*(1-K67)</f>
        <v>0</v>
      </c>
      <c r="L68" s="54" t="n">
        <f aca="false">L65*(1-L67)</f>
        <v>0</v>
      </c>
      <c r="M68" s="54" t="n">
        <f aca="false">M65*(1-M67)</f>
        <v>0</v>
      </c>
      <c r="N68" s="54" t="n">
        <f aca="false">N65*(1-N67)</f>
        <v>0</v>
      </c>
      <c r="P68" s="55" t="n">
        <f aca="false">SUM(C68:F68)</f>
        <v>0</v>
      </c>
      <c r="Q68" s="55" t="n">
        <f aca="false">SUM(G68:J68)</f>
        <v>0</v>
      </c>
      <c r="R68" s="55" t="n">
        <f aca="false">SUM(K68:N68)</f>
        <v>0</v>
      </c>
      <c r="S68" s="56" t="n">
        <f aca="false">SUM(P68:R68)</f>
        <v>0</v>
      </c>
    </row>
    <row r="69" customFormat="false" ht="15" hidden="false" customHeight="false" outlineLevel="0" collapsed="false">
      <c r="A69" s="4" t="s">
        <v>526</v>
      </c>
      <c r="B69" s="36" t="s">
        <v>527</v>
      </c>
      <c r="C69" s="48" t="n">
        <f aca="false">C63+C64*C67</f>
        <v>0</v>
      </c>
      <c r="D69" s="48" t="n">
        <f aca="false">D63+D64*D67</f>
        <v>0.199000882665507</v>
      </c>
      <c r="E69" s="48" t="n">
        <f aca="false">E63+E64*E67</f>
        <v>0.3750955846107</v>
      </c>
      <c r="F69" s="48" t="n">
        <f aca="false">F63+F64*F67</f>
        <v>0.431868603604811</v>
      </c>
      <c r="G69" s="48" t="n">
        <f aca="false">G63+G64*G67</f>
        <v>0.491058569804982</v>
      </c>
      <c r="H69" s="48" t="n">
        <f aca="false">H63+H64*H67</f>
        <v>0.552375719608417</v>
      </c>
      <c r="I69" s="48" t="n">
        <f aca="false">I63+I64*I67</f>
        <v>0.538632011176229</v>
      </c>
      <c r="J69" s="48" t="n">
        <f aca="false">J63+J64*J67</f>
        <v>0.618593062347143</v>
      </c>
      <c r="K69" s="48" t="n">
        <f aca="false">K63+K64*K67</f>
        <v>0.682316693438179</v>
      </c>
      <c r="L69" s="48" t="n">
        <f aca="false">L63+L64*L67</f>
        <v>0.658352571920549</v>
      </c>
      <c r="M69" s="48" t="n">
        <f aca="false">M63+M64*M67</f>
        <v>0.63726146731094</v>
      </c>
      <c r="N69" s="48" t="n">
        <f aca="false">N63+N64*N67</f>
        <v>0.618698938602086</v>
      </c>
      <c r="P69" s="49" t="n">
        <f aca="false">SUM(C69:F69)</f>
        <v>1.00596507088102</v>
      </c>
      <c r="Q69" s="49" t="n">
        <f aca="false">SUM(G69:J69)</f>
        <v>2.20065936293677</v>
      </c>
      <c r="R69" s="49" t="n">
        <f aca="false">SUM(K69:N69)</f>
        <v>2.59662967127175</v>
      </c>
      <c r="S69" s="50" t="n">
        <f aca="false">SUM(P69:R69)</f>
        <v>5.80325410508955</v>
      </c>
    </row>
    <row r="70" customFormat="false" ht="15" hidden="false" customHeight="false" outlineLevel="0" collapsed="false">
      <c r="A70" s="4" t="s">
        <v>528</v>
      </c>
      <c r="B70" s="36" t="s">
        <v>527</v>
      </c>
      <c r="C70" s="48" t="n">
        <f aca="false">C60*C67</f>
        <v>0</v>
      </c>
      <c r="D70" s="48" t="n">
        <f aca="false">D60*D67</f>
        <v>0.0997064192028764</v>
      </c>
      <c r="E70" s="48" t="n">
        <f aca="false">E60*E67</f>
        <v>0.187936038772279</v>
      </c>
      <c r="F70" s="48" t="n">
        <f aca="false">F60*F67</f>
        <v>0.216381311755085</v>
      </c>
      <c r="G70" s="48" t="n">
        <f aca="false">G60*G67</f>
        <v>0.246037560026497</v>
      </c>
      <c r="H70" s="48" t="n">
        <f aca="false">H60*H67</f>
        <v>0.276759601862377</v>
      </c>
      <c r="I70" s="48" t="n">
        <f aca="false">I60*I67</f>
        <v>0.269873522082293</v>
      </c>
      <c r="J70" s="48" t="n">
        <f aca="false">J60*J67</f>
        <v>0.303822521739831</v>
      </c>
      <c r="K70" s="48" t="n">
        <f aca="false">K60*K67</f>
        <v>0.331214477386173</v>
      </c>
      <c r="L70" s="48" t="n">
        <f aca="false">L60*L67</f>
        <v>0.31958166221279</v>
      </c>
      <c r="M70" s="48" t="n">
        <f aca="false">M60*M67</f>
        <v>0.309343485046747</v>
      </c>
      <c r="N70" s="48" t="n">
        <f aca="false">N60*N67</f>
        <v>0.300332745159542</v>
      </c>
      <c r="P70" s="49" t="n">
        <f aca="false">SUM(C70:F70)</f>
        <v>0.50402376973024</v>
      </c>
      <c r="Q70" s="49" t="n">
        <f aca="false">SUM(G70:J70)</f>
        <v>1.096493205711</v>
      </c>
      <c r="R70" s="49" t="n">
        <f aca="false">SUM(K70:N70)</f>
        <v>1.26047236980525</v>
      </c>
      <c r="S70" s="50" t="n">
        <f aca="false">SUM(P70:R70)</f>
        <v>2.86098934524649</v>
      </c>
    </row>
    <row r="71" customFormat="false" ht="15" hidden="false" customHeight="false" outlineLevel="0" collapsed="false">
      <c r="A71" s="4" t="s">
        <v>529</v>
      </c>
      <c r="B71" s="36" t="s">
        <v>527</v>
      </c>
      <c r="C71" s="48" t="n">
        <f aca="false">C61*C67</f>
        <v>0</v>
      </c>
      <c r="D71" s="48" t="n">
        <f aca="false">D61*D67</f>
        <v>0</v>
      </c>
      <c r="E71" s="48" t="n">
        <f aca="false">E61*E67</f>
        <v>0.0116939627460164</v>
      </c>
      <c r="F71" s="48" t="n">
        <f aca="false">F61*F67</f>
        <v>0.0220418810905759</v>
      </c>
      <c r="G71" s="48" t="n">
        <f aca="false">G61*G67</f>
        <v>0.0253780550823865</v>
      </c>
      <c r="H71" s="48" t="n">
        <f aca="false">H61*H67</f>
        <v>0.0288562570401447</v>
      </c>
      <c r="I71" s="48" t="n">
        <f aca="false">I61*I67</f>
        <v>0.0324594594776862</v>
      </c>
      <c r="J71" s="48" t="n">
        <f aca="false">J61*J67</f>
        <v>0.0316518328368121</v>
      </c>
      <c r="K71" s="48" t="n">
        <f aca="false">K61*K67</f>
        <v>0.0333292604679953</v>
      </c>
      <c r="L71" s="48" t="n">
        <f aca="false">L61*L67</f>
        <v>0.0348325188395053</v>
      </c>
      <c r="M71" s="48" t="n">
        <f aca="false">M61*M67</f>
        <v>0.033609141598024</v>
      </c>
      <c r="N71" s="48" t="n">
        <f aca="false">N61*N67</f>
        <v>0.0325324329292704</v>
      </c>
      <c r="P71" s="49" t="n">
        <f aca="false">SUM(C71:F71)</f>
        <v>0.0337358438365923</v>
      </c>
      <c r="Q71" s="49" t="n">
        <f aca="false">SUM(G71:J71)</f>
        <v>0.118345604437029</v>
      </c>
      <c r="R71" s="49" t="n">
        <f aca="false">SUM(K71:N71)</f>
        <v>0.134303353834795</v>
      </c>
      <c r="S71" s="50" t="n">
        <f aca="false">SUM(P71:R71)</f>
        <v>0.286384802108417</v>
      </c>
    </row>
    <row r="72" customFormat="false" ht="15" hidden="false" customHeight="false" outlineLevel="0" collapsed="false">
      <c r="A72" s="9" t="s">
        <v>530</v>
      </c>
      <c r="B72" s="36" t="s">
        <v>527</v>
      </c>
      <c r="C72" s="49" t="n">
        <f aca="false">C69+C70+C71</f>
        <v>0</v>
      </c>
      <c r="D72" s="49" t="n">
        <f aca="false">D69+D70+D71</f>
        <v>0.298707301868384</v>
      </c>
      <c r="E72" s="49" t="n">
        <f aca="false">E69+E70+E71</f>
        <v>0.574725586128996</v>
      </c>
      <c r="F72" s="49" t="n">
        <f aca="false">F69+F70+F71</f>
        <v>0.670291796450472</v>
      </c>
      <c r="G72" s="49" t="n">
        <f aca="false">G69+G70+G71</f>
        <v>0.762474184913866</v>
      </c>
      <c r="H72" s="49" t="n">
        <f aca="false">H69+H70+H71</f>
        <v>0.857991578510939</v>
      </c>
      <c r="I72" s="49" t="n">
        <f aca="false">I69+I70+I71</f>
        <v>0.840964992736207</v>
      </c>
      <c r="J72" s="49" t="n">
        <f aca="false">J69+J70+J71</f>
        <v>0.954067416923786</v>
      </c>
      <c r="K72" s="49" t="n">
        <f aca="false">K69+K70+K71</f>
        <v>1.04686043129235</v>
      </c>
      <c r="L72" s="49" t="n">
        <f aca="false">L69+L70+L71</f>
        <v>1.01276675297284</v>
      </c>
      <c r="M72" s="49" t="n">
        <f aca="false">M69+M70+M71</f>
        <v>0.980214093955711</v>
      </c>
      <c r="N72" s="49" t="n">
        <f aca="false">N69+N70+N71</f>
        <v>0.951564116690899</v>
      </c>
      <c r="P72" s="49" t="n">
        <f aca="false">SUM(C72:F72)</f>
        <v>1.54372468444785</v>
      </c>
      <c r="Q72" s="49" t="n">
        <f aca="false">SUM(G72:J72)</f>
        <v>3.4154981730848</v>
      </c>
      <c r="R72" s="49" t="n">
        <f aca="false">SUM(K72:N72)</f>
        <v>3.9914053949118</v>
      </c>
      <c r="S72" s="50" t="n">
        <f aca="false">SUM(P72:R72)</f>
        <v>8.95062825244445</v>
      </c>
    </row>
    <row r="73" customFormat="false" ht="15" hidden="false" customHeight="false" outlineLevel="0" collapsed="false">
      <c r="A73" s="35" t="s">
        <v>533</v>
      </c>
      <c r="B73" s="35" t="s">
        <v>444</v>
      </c>
      <c r="C73" s="6" t="s">
        <v>354</v>
      </c>
      <c r="D73" s="6" t="s">
        <v>355</v>
      </c>
      <c r="E73" s="6" t="s">
        <v>356</v>
      </c>
      <c r="F73" s="6" t="s">
        <v>357</v>
      </c>
      <c r="G73" s="6" t="s">
        <v>358</v>
      </c>
      <c r="H73" s="6" t="s">
        <v>359</v>
      </c>
      <c r="I73" s="6" t="s">
        <v>360</v>
      </c>
      <c r="J73" s="6" t="s">
        <v>361</v>
      </c>
      <c r="K73" s="6" t="s">
        <v>362</v>
      </c>
      <c r="L73" s="6" t="s">
        <v>363</v>
      </c>
      <c r="M73" s="6" t="s">
        <v>364</v>
      </c>
      <c r="N73" s="6" t="s">
        <v>365</v>
      </c>
      <c r="P73" s="6" t="s">
        <v>445</v>
      </c>
      <c r="Q73" s="6" t="s">
        <v>446</v>
      </c>
      <c r="R73" s="6" t="s">
        <v>447</v>
      </c>
      <c r="S73" s="6" t="s">
        <v>448</v>
      </c>
    </row>
    <row r="74" customFormat="false" ht="15" hidden="false" customHeight="false" outlineLevel="0" collapsed="false">
      <c r="A74" s="4" t="s">
        <v>534</v>
      </c>
      <c r="B74" s="36" t="s">
        <v>527</v>
      </c>
      <c r="C74" s="48" t="n">
        <f aca="false">0*Assumptions!$D$59^(1/4)+C69</f>
        <v>0</v>
      </c>
      <c r="D74" s="48" t="n">
        <f aca="false">C74*Assumptions!$D$59^(1/4)+D69</f>
        <v>0.199000882665507</v>
      </c>
      <c r="E74" s="48" t="n">
        <f aca="false">D74*Assumptions!$D$59^(1/4)+E69</f>
        <v>0.566173165423952</v>
      </c>
      <c r="F74" s="48" t="n">
        <f aca="false">E74*Assumptions!$D$59^(1/4)+F69</f>
        <v>0.975499351979078</v>
      </c>
      <c r="G74" s="48" t="n">
        <f aca="false">F74*Assumptions!$D$59^(1/4)+G69</f>
        <v>1.42771801454906</v>
      </c>
      <c r="H74" s="48" t="n">
        <f aca="false">G74*Assumptions!$D$59^(1/4)+H69</f>
        <v>1.92324855519317</v>
      </c>
      <c r="I74" s="48" t="n">
        <f aca="false">H74*Assumptions!$D$59^(1/4)+I69</f>
        <v>2.38530563546658</v>
      </c>
      <c r="J74" s="48" t="n">
        <f aca="false">I74*Assumptions!$D$59^(1/4)+J69</f>
        <v>2.90892677454112</v>
      </c>
      <c r="K74" s="48" t="n">
        <f aca="false">J74*Assumptions!$D$59^(1/4)+K69</f>
        <v>3.47542335405779</v>
      </c>
      <c r="L74" s="48" t="n">
        <f aca="false">K74*Assumptions!$D$59^(1/4)+L69</f>
        <v>3.99540051814225</v>
      </c>
      <c r="M74" s="48" t="n">
        <f aca="false">L74*Assumptions!$D$59^(1/4)+M69</f>
        <v>4.47358347332864</v>
      </c>
      <c r="N74" s="48" t="n">
        <f aca="false">M74*Assumptions!$D$59^(1/4)+N69</f>
        <v>4.91416484910551</v>
      </c>
      <c r="P74" s="49" t="n">
        <f aca="false">F74</f>
        <v>0.975499351979078</v>
      </c>
      <c r="Q74" s="49" t="n">
        <f aca="false">J74</f>
        <v>2.90892677454112</v>
      </c>
      <c r="R74" s="49" t="n">
        <f aca="false">N74</f>
        <v>4.91416484910551</v>
      </c>
      <c r="S74" s="50" t="n">
        <f aca="false">R74</f>
        <v>4.91416484910551</v>
      </c>
    </row>
    <row r="75" customFormat="false" ht="15" hidden="false" customHeight="false" outlineLevel="0" collapsed="false">
      <c r="A75" s="4" t="s">
        <v>535</v>
      </c>
      <c r="B75" s="36" t="s">
        <v>527</v>
      </c>
      <c r="C75" s="48" t="n">
        <f aca="false">0*Assumptions!$D$60^(1/4)+C70</f>
        <v>0</v>
      </c>
      <c r="D75" s="48" t="n">
        <f aca="false">C75*Assumptions!$D$60^(1/4)+D70</f>
        <v>0.0997064192028764</v>
      </c>
      <c r="E75" s="48" t="n">
        <f aca="false">D75*Assumptions!$D$60^(1/4)+E70</f>
        <v>0.283952950294772</v>
      </c>
      <c r="F75" s="48" t="n">
        <f aca="false">E75*Assumptions!$D$60^(1/4)+F70</f>
        <v>0.489826948685727</v>
      </c>
      <c r="G75" s="48" t="n">
        <f aca="false">F75*Assumptions!$D$60^(1/4)+G70</f>
        <v>0.717739093080183</v>
      </c>
      <c r="H75" s="48" t="n">
        <f aca="false">G75*Assumptions!$D$60^(1/4)+H70</f>
        <v>0.967939683821699</v>
      </c>
      <c r="I75" s="48" t="n">
        <f aca="false">H75*Assumptions!$D$60^(1/4)+I70</f>
        <v>1.20199584403142</v>
      </c>
      <c r="J75" s="48" t="n">
        <f aca="false">I75*Assumptions!$D$60^(1/4)+J70</f>
        <v>1.46134005701443</v>
      </c>
      <c r="K75" s="48" t="n">
        <f aca="false">J75*Assumptions!$D$60^(1/4)+K70</f>
        <v>1.73847952692255</v>
      </c>
      <c r="L75" s="48" t="n">
        <f aca="false">K75*Assumptions!$D$60^(1/4)+L70</f>
        <v>1.99373099236317</v>
      </c>
      <c r="M75" s="48" t="n">
        <f aca="false">L75*Assumptions!$D$60^(1/4)+M70</f>
        <v>2.2292990287703</v>
      </c>
      <c r="N75" s="48" t="n">
        <f aca="false">M75*Assumptions!$D$60^(1/4)+N70</f>
        <v>2.44713943337369</v>
      </c>
      <c r="P75" s="49" t="n">
        <f aca="false">F75</f>
        <v>0.489826948685727</v>
      </c>
      <c r="Q75" s="49" t="n">
        <f aca="false">J75</f>
        <v>1.46134005701443</v>
      </c>
      <c r="R75" s="49" t="n">
        <f aca="false">N75</f>
        <v>2.44713943337369</v>
      </c>
      <c r="S75" s="50" t="n">
        <f aca="false">R75</f>
        <v>2.44713943337369</v>
      </c>
    </row>
    <row r="76" customFormat="false" ht="15" hidden="false" customHeight="false" outlineLevel="0" collapsed="false">
      <c r="A76" s="4" t="s">
        <v>536</v>
      </c>
      <c r="B76" s="36" t="s">
        <v>527</v>
      </c>
      <c r="C76" s="48" t="n">
        <f aca="false">0*Assumptions!$D$61^(1/4)+C71</f>
        <v>0</v>
      </c>
      <c r="D76" s="48" t="n">
        <f aca="false">C76*Assumptions!$D$61^(1/4)+D71</f>
        <v>0</v>
      </c>
      <c r="E76" s="48" t="n">
        <f aca="false">D76*Assumptions!$D$61^(1/4)+E71</f>
        <v>0.0116939627460164</v>
      </c>
      <c r="F76" s="48" t="n">
        <f aca="false">E76*Assumptions!$D$61^(1/4)+F71</f>
        <v>0.0333680327857436</v>
      </c>
      <c r="G76" s="48" t="n">
        <f aca="false">F76*Assumptions!$D$61^(1/4)+G71</f>
        <v>0.0576965607343225</v>
      </c>
      <c r="H76" s="48" t="n">
        <f aca="false">G76*Assumptions!$D$61^(1/4)+H71</f>
        <v>0.0847380837022829</v>
      </c>
      <c r="I76" s="48" t="n">
        <f aca="false">H76*Assumptions!$D$61^(1/4)+I71</f>
        <v>0.114532270142045</v>
      </c>
      <c r="J76" s="48" t="n">
        <f aca="false">I76*Assumptions!$D$61^(1/4)+J71</f>
        <v>0.142581711253145</v>
      </c>
      <c r="K76" s="48" t="n">
        <f aca="false">J76*Assumptions!$D$61^(1/4)+K71</f>
        <v>0.17142633890788</v>
      </c>
      <c r="L76" s="48" t="n">
        <f aca="false">K76*Assumptions!$D$61^(1/4)+L71</f>
        <v>0.200866972787059</v>
      </c>
      <c r="M76" s="48" t="n">
        <f aca="false">L76*Assumptions!$D$61^(1/4)+M71</f>
        <v>0.228158231051071</v>
      </c>
      <c r="N76" s="48" t="n">
        <f aca="false">M76*Assumptions!$D$61^(1/4)+N71</f>
        <v>0.253514386738372</v>
      </c>
      <c r="P76" s="49" t="n">
        <f aca="false">F76</f>
        <v>0.0333680327857436</v>
      </c>
      <c r="Q76" s="49" t="n">
        <f aca="false">J76</f>
        <v>0.142581711253145</v>
      </c>
      <c r="R76" s="49" t="n">
        <f aca="false">N76</f>
        <v>0.253514386738372</v>
      </c>
      <c r="S76" s="50" t="n">
        <f aca="false">R76</f>
        <v>0.253514386738372</v>
      </c>
    </row>
    <row r="77" customFormat="false" ht="15" hidden="false" customHeight="false" outlineLevel="0" collapsed="false">
      <c r="A77" s="9" t="s">
        <v>537</v>
      </c>
      <c r="B77" s="36" t="s">
        <v>527</v>
      </c>
      <c r="C77" s="49" t="n">
        <f aca="false">C74+C75+C76</f>
        <v>0</v>
      </c>
      <c r="D77" s="49" t="n">
        <f aca="false">D74+D75+D76</f>
        <v>0.298707301868384</v>
      </c>
      <c r="E77" s="49" t="n">
        <f aca="false">E74+E75+E76</f>
        <v>0.86182007846474</v>
      </c>
      <c r="F77" s="49" t="n">
        <f aca="false">F74+F75+F76</f>
        <v>1.49869433345055</v>
      </c>
      <c r="G77" s="49" t="n">
        <f aca="false">G74+G75+G76</f>
        <v>2.20315366836357</v>
      </c>
      <c r="H77" s="49" t="n">
        <f aca="false">H74+H75+H76</f>
        <v>2.97592632271715</v>
      </c>
      <c r="I77" s="49" t="n">
        <f aca="false">I74+I75+I76</f>
        <v>3.70183374964005</v>
      </c>
      <c r="J77" s="49" t="n">
        <f aca="false">J74+J75+J76</f>
        <v>4.5128485428087</v>
      </c>
      <c r="K77" s="49" t="n">
        <f aca="false">K74+K75+K76</f>
        <v>5.38532921988822</v>
      </c>
      <c r="L77" s="49" t="n">
        <f aca="false">L74+L75+L76</f>
        <v>6.18999848329248</v>
      </c>
      <c r="M77" s="49" t="n">
        <f aca="false">M74+M75+M76</f>
        <v>6.93104073315001</v>
      </c>
      <c r="N77" s="49" t="n">
        <f aca="false">N74+N75+N76</f>
        <v>7.61481866921757</v>
      </c>
      <c r="P77" s="49" t="n">
        <f aca="false">F77</f>
        <v>1.49869433345055</v>
      </c>
      <c r="Q77" s="49" t="n">
        <f aca="false">J77</f>
        <v>4.5128485428087</v>
      </c>
      <c r="R77" s="49" t="n">
        <f aca="false">N77</f>
        <v>7.61481866921757</v>
      </c>
      <c r="S77" s="50" t="n">
        <f aca="false">R77</f>
        <v>7.61481866921757</v>
      </c>
    </row>
    <row r="78" customFormat="false" ht="15" hidden="false" customHeight="false" outlineLevel="0" collapsed="false">
      <c r="A78" s="4" t="s">
        <v>538</v>
      </c>
      <c r="B78" s="36" t="s">
        <v>125</v>
      </c>
      <c r="C78" s="54" t="n">
        <f aca="false">0*Assumptions!$D$62^(1/4)+C69*$C$18</f>
        <v>0</v>
      </c>
      <c r="D78" s="54" t="n">
        <f aca="false">C78*Assumptions!$D$62^(1/4)+D69*$C$18</f>
        <v>1065.0527240258</v>
      </c>
      <c r="E78" s="54" t="n">
        <f aca="false">D78*Assumptions!$D$62^(1/4)+E69*$C$18</f>
        <v>3050.59264000703</v>
      </c>
      <c r="F78" s="54" t="n">
        <f aca="false">E78*Assumptions!$D$62^(1/4)+F69*$C$18</f>
        <v>5299.02078262424</v>
      </c>
      <c r="G78" s="54" t="n">
        <f aca="false">F78*Assumptions!$D$62^(1/4)+G69*$C$18</f>
        <v>7817.8493641996</v>
      </c>
      <c r="H78" s="54" t="n">
        <f aca="false">G78*Assumptions!$D$62^(1/4)+H69*$C$18</f>
        <v>10612.8848080274</v>
      </c>
      <c r="I78" s="54" t="n">
        <f aca="false">H78*Assumptions!$D$62^(1/4)+I69*$C$18</f>
        <v>13276.7033530656</v>
      </c>
      <c r="J78" s="54" t="n">
        <f aca="false">I78*Assumptions!$D$62^(1/4)+J69*$C$18</f>
        <v>16313.5198299188</v>
      </c>
      <c r="K78" s="54" t="n">
        <f aca="false">J78*Assumptions!$D$62^(1/4)+K69*$C$18</f>
        <v>19628.7367537635</v>
      </c>
      <c r="L78" s="54" t="n">
        <f aca="false">K78*Assumptions!$D$62^(1/4)+L69*$C$18</f>
        <v>22747.3059720128</v>
      </c>
      <c r="M78" s="54" t="n">
        <f aca="false">L78*Assumptions!$D$62^(1/4)+M69*$C$18</f>
        <v>25688.6606422688</v>
      </c>
      <c r="N78" s="54" t="n">
        <f aca="false">M78*Assumptions!$D$62^(1/4)+N69*$C$18</f>
        <v>28469.9895748437</v>
      </c>
      <c r="P78" s="55" t="n">
        <f aca="false">F78</f>
        <v>5299.02078262424</v>
      </c>
      <c r="Q78" s="55" t="n">
        <f aca="false">J78</f>
        <v>16313.5198299188</v>
      </c>
      <c r="R78" s="55" t="n">
        <f aca="false">N78</f>
        <v>28469.9895748437</v>
      </c>
      <c r="S78" s="56" t="n">
        <f aca="false">R78</f>
        <v>28469.9895748437</v>
      </c>
    </row>
    <row r="79" customFormat="false" ht="15" hidden="false" customHeight="false" outlineLevel="0" collapsed="false">
      <c r="A79" s="4" t="s">
        <v>539</v>
      </c>
      <c r="B79" s="36" t="s">
        <v>125</v>
      </c>
      <c r="C79" s="54" t="n">
        <f aca="false">0*Assumptions!$D$63^(1/4)+C70*$C$19</f>
        <v>0</v>
      </c>
      <c r="D79" s="54" t="n">
        <f aca="false">C79*Assumptions!$D$63^(1/4)+D70*$C$19</f>
        <v>730.353518545895</v>
      </c>
      <c r="E79" s="54" t="n">
        <f aca="false">D79*Assumptions!$D$63^(1/4)+E70*$C$19</f>
        <v>2103.31305830242</v>
      </c>
      <c r="F79" s="54" t="n">
        <f aca="false">E79*Assumptions!$D$63^(1/4)+F70*$C$19</f>
        <v>3677.7184704793</v>
      </c>
      <c r="G79" s="54" t="n">
        <f aca="false">F79*Assumptions!$D$63^(1/4)+G70*$C$19</f>
        <v>5461.42532467633</v>
      </c>
      <c r="H79" s="54" t="n">
        <f aca="false">G79*Assumptions!$D$63^(1/4)+H70*$C$19</f>
        <v>7461.18615262608</v>
      </c>
      <c r="I79" s="54" t="n">
        <f aca="false">H79*Assumptions!$D$63^(1/4)+I70*$C$19</f>
        <v>9400.43148779925</v>
      </c>
      <c r="J79" s="54" t="n">
        <f aca="false">I79*Assumptions!$D$63^(1/4)+J70*$C$19</f>
        <v>11578.5847980628</v>
      </c>
      <c r="K79" s="54" t="n">
        <f aca="false">J79*Assumptions!$D$63^(1/4)+K70*$C$19</f>
        <v>13946.4118682139</v>
      </c>
      <c r="L79" s="54" t="n">
        <f aca="false">K79*Assumptions!$D$63^(1/4)+L70*$C$19</f>
        <v>16217.0991215328</v>
      </c>
      <c r="M79" s="54" t="n">
        <f aca="false">L79*Assumptions!$D$63^(1/4)+M70*$C$19</f>
        <v>18401.3517222626</v>
      </c>
      <c r="N79" s="54" t="n">
        <f aca="false">M79*Assumptions!$D$63^(1/4)+N70*$C$19</f>
        <v>20508.5961505923</v>
      </c>
      <c r="P79" s="55" t="n">
        <f aca="false">F79</f>
        <v>3677.7184704793</v>
      </c>
      <c r="Q79" s="55" t="n">
        <f aca="false">J79</f>
        <v>11578.5847980628</v>
      </c>
      <c r="R79" s="55" t="n">
        <f aca="false">N79</f>
        <v>20508.5961505923</v>
      </c>
      <c r="S79" s="56" t="n">
        <f aca="false">R79</f>
        <v>20508.5961505923</v>
      </c>
    </row>
    <row r="80" customFormat="false" ht="15" hidden="false" customHeight="false" outlineLevel="0" collapsed="false">
      <c r="A80" s="4" t="s">
        <v>540</v>
      </c>
      <c r="B80" s="36" t="s">
        <v>125</v>
      </c>
      <c r="C80" s="54" t="n">
        <f aca="false">0*Assumptions!$D$64^(1/4)+C71*$C$20</f>
        <v>0</v>
      </c>
      <c r="D80" s="54" t="n">
        <f aca="false">C80*Assumptions!$D$64^(1/4)+D71*$C$20</f>
        <v>0</v>
      </c>
      <c r="E80" s="54" t="n">
        <f aca="false">D80*Assumptions!$D$64^(1/4)+E71*$C$20</f>
        <v>541.824470057977</v>
      </c>
      <c r="F80" s="54" t="n">
        <f aca="false">E80*Assumptions!$D$64^(1/4)+F71*$C$20</f>
        <v>1569.75560015292</v>
      </c>
      <c r="G80" s="54" t="n">
        <f aca="false">F80*Assumptions!$D$64^(1/4)+G71*$C$20</f>
        <v>2764.87900079731</v>
      </c>
      <c r="H80" s="54" t="n">
        <f aca="false">G80*Assumptions!$D$64^(1/4)+H71*$C$20</f>
        <v>4135.82717478305</v>
      </c>
      <c r="I80" s="54" t="n">
        <f aca="false">H80*Assumptions!$D$64^(1/4)+I71*$C$20</f>
        <v>5690.54961869772</v>
      </c>
      <c r="J80" s="54" t="n">
        <f aca="false">I80*Assumptions!$D$64^(1/4)+J71*$C$20</f>
        <v>7226.93165675402</v>
      </c>
      <c r="K80" s="54" t="n">
        <f aca="false">J80*Assumptions!$D$64^(1/4)+K71*$C$20</f>
        <v>8859.88995084551</v>
      </c>
      <c r="L80" s="54" t="n">
        <f aca="false">K80*Assumptions!$D$64^(1/4)+L71*$C$20</f>
        <v>10582.5398025643</v>
      </c>
      <c r="M80" s="54" t="n">
        <f aca="false">L80*Assumptions!$D$64^(1/4)+M71*$C$20</f>
        <v>12269.6468325946</v>
      </c>
      <c r="N80" s="54" t="n">
        <f aca="false">M80*Assumptions!$D$64^(1/4)+N71*$C$20</f>
        <v>13927.5705475953</v>
      </c>
      <c r="P80" s="55" t="n">
        <f aca="false">F80</f>
        <v>1569.75560015292</v>
      </c>
      <c r="Q80" s="55" t="n">
        <f aca="false">J80</f>
        <v>7226.93165675402</v>
      </c>
      <c r="R80" s="55" t="n">
        <f aca="false">N80</f>
        <v>13927.5705475953</v>
      </c>
      <c r="S80" s="56" t="n">
        <f aca="false">R80</f>
        <v>13927.5705475953</v>
      </c>
    </row>
    <row r="81" customFormat="false" ht="15" hidden="false" customHeight="false" outlineLevel="0" collapsed="false">
      <c r="A81" s="9" t="s">
        <v>541</v>
      </c>
      <c r="B81" s="36" t="s">
        <v>125</v>
      </c>
      <c r="C81" s="55" t="n">
        <f aca="false">C78+C79+C80</f>
        <v>0</v>
      </c>
      <c r="D81" s="55" t="n">
        <f aca="false">D78+D79+D80</f>
        <v>1795.40624257169</v>
      </c>
      <c r="E81" s="55" t="n">
        <f aca="false">E78+E79+E80</f>
        <v>5695.73016836743</v>
      </c>
      <c r="F81" s="55" t="n">
        <f aca="false">F78+F79+F80</f>
        <v>10546.4948532564</v>
      </c>
      <c r="G81" s="55" t="n">
        <f aca="false">G78+G79+G80</f>
        <v>16044.1536896732</v>
      </c>
      <c r="H81" s="55" t="n">
        <f aca="false">H78+H79+H80</f>
        <v>22209.8981354365</v>
      </c>
      <c r="I81" s="55" t="n">
        <f aca="false">I78+I79+I80</f>
        <v>28367.6844595626</v>
      </c>
      <c r="J81" s="55" t="n">
        <f aca="false">J78+J79+J80</f>
        <v>35119.0362847356</v>
      </c>
      <c r="K81" s="55" t="n">
        <f aca="false">K78+K79+K80</f>
        <v>42435.0385728229</v>
      </c>
      <c r="L81" s="55" t="n">
        <f aca="false">L78+L79+L80</f>
        <v>49546.9448961098</v>
      </c>
      <c r="M81" s="55" t="n">
        <f aca="false">M78+M79+M80</f>
        <v>56359.659197126</v>
      </c>
      <c r="N81" s="55" t="n">
        <f aca="false">N78+N79+N80</f>
        <v>62906.1562730314</v>
      </c>
      <c r="P81" s="55" t="n">
        <f aca="false">F81</f>
        <v>10546.4948532564</v>
      </c>
      <c r="Q81" s="55" t="n">
        <f aca="false">J81</f>
        <v>35119.0362847356</v>
      </c>
      <c r="R81" s="55" t="n">
        <f aca="false">N81</f>
        <v>62906.1562730314</v>
      </c>
      <c r="S81" s="56" t="n">
        <f aca="false">R81</f>
        <v>62906.1562730314</v>
      </c>
    </row>
    <row r="82" customFormat="false" ht="15" hidden="false" customHeight="false" outlineLevel="0" collapsed="false">
      <c r="A82" s="4" t="s">
        <v>542</v>
      </c>
      <c r="B82" s="36" t="s">
        <v>125</v>
      </c>
      <c r="C82" s="54" t="n">
        <f aca="false">C69*$C$18+C70*$C$19+C71*$C$20</f>
        <v>0</v>
      </c>
      <c r="D82" s="54" t="n">
        <f aca="false">D69*$C$18+D70*$C$19+D71*$C$20</f>
        <v>1795.40624257169</v>
      </c>
      <c r="E82" s="54" t="n">
        <f aca="false">E69*$C$18+E70*$C$19+E71*$C$20</f>
        <v>3925.97505849081</v>
      </c>
      <c r="F82" s="54" t="n">
        <f aca="false">F69*$C$18+F70*$C$19+F71*$C$20</f>
        <v>4917.64428442507</v>
      </c>
      <c r="G82" s="54" t="n">
        <f aca="false">G69*$C$18+G70*$C$19+G71*$C$20</f>
        <v>5606.23944997416</v>
      </c>
      <c r="H82" s="54" t="n">
        <f aca="false">H69*$C$18+H70*$C$19+H71*$C$20</f>
        <v>6320.60696281529</v>
      </c>
      <c r="I82" s="54" t="n">
        <f aca="false">I69*$C$18+I70*$C$19+I71*$C$20</f>
        <v>6363.55949733667</v>
      </c>
      <c r="J82" s="54" t="n">
        <f aca="false">J69*$C$18+J70*$C$19+J71*$C$20</f>
        <v>7002.76850277094</v>
      </c>
      <c r="K82" s="54" t="n">
        <f aca="false">K69*$C$18+K70*$C$19+K71*$C$20</f>
        <v>7622.18596529452</v>
      </c>
      <c r="L82" s="54" t="n">
        <f aca="false">L69*$C$18+L70*$C$19+L71*$C$20</f>
        <v>7478.37065998059</v>
      </c>
      <c r="M82" s="54" t="n">
        <f aca="false">M69*$C$18+M70*$C$19+M71*$C$20</f>
        <v>7233.81242534502</v>
      </c>
      <c r="N82" s="54" t="n">
        <f aca="false">N69*$C$18+N70*$C$19+N71*$C$20</f>
        <v>7018.57385271279</v>
      </c>
      <c r="P82" s="55" t="n">
        <f aca="false">SUM(C82:F82)</f>
        <v>10639.0255854876</v>
      </c>
      <c r="Q82" s="55" t="n">
        <f aca="false">SUM(G82:J82)</f>
        <v>25293.1744128971</v>
      </c>
      <c r="R82" s="55" t="n">
        <f aca="false">SUM(K82:N82)</f>
        <v>29352.9429033329</v>
      </c>
      <c r="S82" s="56" t="n">
        <f aca="false">SUM(P82:R82)</f>
        <v>65285.1429017176</v>
      </c>
    </row>
    <row r="83" customFormat="false" ht="15" hidden="false" customHeight="false" outlineLevel="0" collapsed="false">
      <c r="A83" s="9" t="s">
        <v>543</v>
      </c>
      <c r="B83" s="36" t="s">
        <v>125</v>
      </c>
      <c r="C83" s="55" t="n">
        <f aca="false">(0+C81)/8</f>
        <v>0</v>
      </c>
      <c r="D83" s="55" t="n">
        <f aca="false">(C81+D81)/8</f>
        <v>224.425780321461</v>
      </c>
      <c r="E83" s="55" t="n">
        <f aca="false">(D81+E81)/8</f>
        <v>936.39205136739</v>
      </c>
      <c r="F83" s="55" t="n">
        <f aca="false">(E81+F81)/8</f>
        <v>2030.27812770298</v>
      </c>
      <c r="G83" s="55" t="n">
        <f aca="false">(F81+G81)/8</f>
        <v>3323.83106786621</v>
      </c>
      <c r="H83" s="55" t="n">
        <f aca="false">(G81+H81)/8</f>
        <v>4781.75647813872</v>
      </c>
      <c r="I83" s="55" t="n">
        <f aca="false">(H81+I81)/8</f>
        <v>6322.19782437489</v>
      </c>
      <c r="J83" s="55" t="n">
        <f aca="false">(I81+J81)/8</f>
        <v>7935.84009303728</v>
      </c>
      <c r="K83" s="55" t="n">
        <f aca="false">(J81+K81)/8</f>
        <v>9694.25935719482</v>
      </c>
      <c r="L83" s="55" t="n">
        <f aca="false">(K81+L81)/8</f>
        <v>11497.7479336166</v>
      </c>
      <c r="M83" s="55" t="n">
        <f aca="false">(L81+M81)/8</f>
        <v>13238.3255116545</v>
      </c>
      <c r="N83" s="55" t="n">
        <f aca="false">(M81+N81)/8</f>
        <v>14908.2269337697</v>
      </c>
      <c r="P83" s="55" t="n">
        <f aca="false">SUM(C83:F83)</f>
        <v>3191.09595939184</v>
      </c>
      <c r="Q83" s="55" t="n">
        <f aca="false">SUM(G83:J83)</f>
        <v>22363.6254634171</v>
      </c>
      <c r="R83" s="55" t="n">
        <f aca="false">SUM(K83:N83)</f>
        <v>49338.5597362356</v>
      </c>
      <c r="S83" s="56" t="n">
        <f aca="false">SUM(P83:R83)</f>
        <v>74893.2811590445</v>
      </c>
    </row>
    <row r="84" customFormat="false" ht="15" hidden="false" customHeight="false" outlineLevel="0" collapsed="false">
      <c r="A84" s="4" t="s">
        <v>544</v>
      </c>
      <c r="B84" s="36" t="s">
        <v>125</v>
      </c>
      <c r="C84" s="54" t="n">
        <f aca="false">C83*Assumptions!$D$76</f>
        <v>0</v>
      </c>
      <c r="D84" s="54" t="n">
        <f aca="false">D83*Assumptions!$D$76</f>
        <v>123.434179176804</v>
      </c>
      <c r="E84" s="54" t="n">
        <f aca="false">E83*Assumptions!$D$76</f>
        <v>515.015628252064</v>
      </c>
      <c r="F84" s="54" t="n">
        <f aca="false">F83*Assumptions!$D$76</f>
        <v>1116.65297023664</v>
      </c>
      <c r="G84" s="54" t="n">
        <f aca="false">G83*Assumptions!$D$76</f>
        <v>1828.10708732642</v>
      </c>
      <c r="H84" s="54" t="n">
        <f aca="false">H83*Assumptions!$D$76</f>
        <v>2629.9660629763</v>
      </c>
      <c r="I84" s="54" t="n">
        <f aca="false">I83*Assumptions!$D$76</f>
        <v>3477.20880340619</v>
      </c>
      <c r="J84" s="54" t="n">
        <f aca="false">J83*Assumptions!$D$76</f>
        <v>4364.7120511705</v>
      </c>
      <c r="K84" s="54" t="n">
        <f aca="false">K83*Assumptions!$D$76</f>
        <v>5331.84264645715</v>
      </c>
      <c r="L84" s="54" t="n">
        <f aca="false">L83*Assumptions!$D$76</f>
        <v>6323.76136348913</v>
      </c>
      <c r="M84" s="54" t="n">
        <f aca="false">M83*Assumptions!$D$76</f>
        <v>7281.07903140996</v>
      </c>
      <c r="N84" s="54" t="n">
        <f aca="false">N83*Assumptions!$D$76</f>
        <v>8199.52481357332</v>
      </c>
      <c r="P84" s="55" t="n">
        <f aca="false">SUM(C84:F84)</f>
        <v>1755.10277766551</v>
      </c>
      <c r="Q84" s="55" t="n">
        <f aca="false">SUM(G84:J84)</f>
        <v>12299.9940048794</v>
      </c>
      <c r="R84" s="55" t="n">
        <f aca="false">SUM(K84:N84)</f>
        <v>27136.2078549296</v>
      </c>
      <c r="S84" s="56" t="n">
        <f aca="false">SUM(P84:R84)</f>
        <v>41191.3046374745</v>
      </c>
    </row>
    <row r="85" customFormat="false" ht="15" hidden="false" customHeight="false" outlineLevel="0" collapsed="false">
      <c r="A85" s="35" t="s">
        <v>547</v>
      </c>
      <c r="B85" s="35" t="s">
        <v>444</v>
      </c>
      <c r="C85" s="6" t="s">
        <v>354</v>
      </c>
      <c r="D85" s="6" t="s">
        <v>355</v>
      </c>
      <c r="E85" s="6" t="s">
        <v>356</v>
      </c>
      <c r="F85" s="6" t="s">
        <v>357</v>
      </c>
      <c r="G85" s="6" t="s">
        <v>358</v>
      </c>
      <c r="H85" s="6" t="s">
        <v>359</v>
      </c>
      <c r="I85" s="6" t="s">
        <v>360</v>
      </c>
      <c r="J85" s="6" t="s">
        <v>361</v>
      </c>
      <c r="K85" s="6" t="s">
        <v>362</v>
      </c>
      <c r="L85" s="6" t="s">
        <v>363</v>
      </c>
      <c r="M85" s="6" t="s">
        <v>364</v>
      </c>
      <c r="N85" s="6" t="s">
        <v>365</v>
      </c>
      <c r="P85" s="6" t="s">
        <v>445</v>
      </c>
      <c r="Q85" s="6" t="s">
        <v>446</v>
      </c>
      <c r="R85" s="6" t="s">
        <v>447</v>
      </c>
      <c r="S85" s="6" t="s">
        <v>448</v>
      </c>
    </row>
    <row r="86" customFormat="false" ht="15" hidden="false" customHeight="false" outlineLevel="0" collapsed="false">
      <c r="A86" s="4" t="s">
        <v>548</v>
      </c>
      <c r="B86" s="36" t="s">
        <v>321</v>
      </c>
      <c r="C86" s="48" t="n">
        <f aca="false">Assumptions!$D$97*C28</f>
        <v>1</v>
      </c>
      <c r="D86" s="48" t="n">
        <f aca="false">Assumptions!$D$97*D28</f>
        <v>1</v>
      </c>
      <c r="E86" s="48" t="n">
        <f aca="false">Assumptions!$D$97*E28</f>
        <v>1</v>
      </c>
      <c r="F86" s="48" t="n">
        <f aca="false">Assumptions!$D$97*F28</f>
        <v>1</v>
      </c>
      <c r="G86" s="48" t="n">
        <f aca="false">Assumptions!$D$97*G28</f>
        <v>1</v>
      </c>
      <c r="H86" s="48" t="n">
        <f aca="false">Assumptions!$D$97*H28</f>
        <v>1</v>
      </c>
      <c r="I86" s="48" t="n">
        <f aca="false">Assumptions!$D$97*I28</f>
        <v>1</v>
      </c>
      <c r="J86" s="48" t="n">
        <f aca="false">Assumptions!$D$97*J28</f>
        <v>1</v>
      </c>
      <c r="K86" s="48" t="n">
        <f aca="false">Assumptions!$D$97*K28</f>
        <v>1</v>
      </c>
      <c r="L86" s="48" t="n">
        <f aca="false">Assumptions!$D$97*L28</f>
        <v>1</v>
      </c>
      <c r="M86" s="48" t="n">
        <f aca="false">Assumptions!$D$97*M28</f>
        <v>1</v>
      </c>
      <c r="N86" s="48" t="n">
        <f aca="false">Assumptions!$D$97*N28</f>
        <v>1</v>
      </c>
      <c r="P86" s="49" t="n">
        <f aca="false">AVERAGE(C86:F86)</f>
        <v>1</v>
      </c>
      <c r="Q86" s="49" t="n">
        <f aca="false">AVERAGE(G86:J86)</f>
        <v>1</v>
      </c>
      <c r="R86" s="49" t="n">
        <f aca="false">AVERAGE(K86:N86)</f>
        <v>1</v>
      </c>
      <c r="S86" s="50"/>
    </row>
    <row r="87" customFormat="false" ht="15" hidden="false" customHeight="false" outlineLevel="0" collapsed="false">
      <c r="A87" s="4" t="s">
        <v>549</v>
      </c>
      <c r="B87" s="36" t="s">
        <v>321</v>
      </c>
      <c r="C87" s="48" t="n">
        <f aca="false">C41*C28</f>
        <v>0</v>
      </c>
      <c r="D87" s="48" t="n">
        <f aca="false">D41*D28</f>
        <v>0</v>
      </c>
      <c r="E87" s="48" t="n">
        <f aca="false">E41*E28</f>
        <v>0</v>
      </c>
      <c r="F87" s="48" t="n">
        <f aca="false">F41*F28</f>
        <v>0</v>
      </c>
      <c r="G87" s="48" t="n">
        <f aca="false">G41*G28</f>
        <v>0</v>
      </c>
      <c r="H87" s="48" t="n">
        <f aca="false">H41*H28</f>
        <v>0</v>
      </c>
      <c r="I87" s="48" t="n">
        <f aca="false">I41*I28</f>
        <v>0</v>
      </c>
      <c r="J87" s="48" t="n">
        <f aca="false">J41*J28</f>
        <v>0</v>
      </c>
      <c r="K87" s="48" t="n">
        <f aca="false">K41*K28</f>
        <v>0</v>
      </c>
      <c r="L87" s="48" t="n">
        <f aca="false">L41*L28</f>
        <v>0</v>
      </c>
      <c r="M87" s="48" t="n">
        <f aca="false">M41*M28</f>
        <v>0</v>
      </c>
      <c r="N87" s="48" t="n">
        <f aca="false">N41*N28</f>
        <v>0</v>
      </c>
      <c r="P87" s="49" t="n">
        <f aca="false">AVERAGE(C87:F87)</f>
        <v>0</v>
      </c>
      <c r="Q87" s="49" t="n">
        <f aca="false">AVERAGE(G87:J87)</f>
        <v>0</v>
      </c>
      <c r="R87" s="49" t="n">
        <f aca="false">AVERAGE(K87:N87)</f>
        <v>0</v>
      </c>
      <c r="S87" s="50"/>
    </row>
    <row r="88" customFormat="false" ht="15" hidden="false" customHeight="false" outlineLevel="0" collapsed="false">
      <c r="A88" s="4" t="s">
        <v>550</v>
      </c>
      <c r="B88" s="36" t="s">
        <v>321</v>
      </c>
      <c r="C88" s="48" t="n">
        <f aca="false">IF(C27&lt;=4,Assumptions!$D$98,Assumptions!$D$99)*C28</f>
        <v>0</v>
      </c>
      <c r="D88" s="48" t="n">
        <f aca="false">IF(D27&lt;=4,Assumptions!$D$98,Assumptions!$D$99)*D28</f>
        <v>0</v>
      </c>
      <c r="E88" s="48" t="n">
        <f aca="false">IF(E27&lt;=4,Assumptions!$D$98,Assumptions!$D$99)*E28</f>
        <v>0</v>
      </c>
      <c r="F88" s="48" t="n">
        <f aca="false">IF(F27&lt;=4,Assumptions!$D$98,Assumptions!$D$99)*F28</f>
        <v>0</v>
      </c>
      <c r="G88" s="48" t="n">
        <f aca="false">IF(G27&lt;=4,Assumptions!$D$98,Assumptions!$D$99)*G28</f>
        <v>0.5</v>
      </c>
      <c r="H88" s="48" t="n">
        <f aca="false">IF(H27&lt;=4,Assumptions!$D$98,Assumptions!$D$99)*H28</f>
        <v>0.5</v>
      </c>
      <c r="I88" s="48" t="n">
        <f aca="false">IF(I27&lt;=4,Assumptions!$D$98,Assumptions!$D$99)*I28</f>
        <v>0.5</v>
      </c>
      <c r="J88" s="48" t="n">
        <f aca="false">IF(J27&lt;=4,Assumptions!$D$98,Assumptions!$D$99)*J28</f>
        <v>0.5</v>
      </c>
      <c r="K88" s="48" t="n">
        <f aca="false">IF(K27&lt;=4,Assumptions!$D$98,Assumptions!$D$99)*K28</f>
        <v>0.5</v>
      </c>
      <c r="L88" s="48" t="n">
        <f aca="false">IF(L27&lt;=4,Assumptions!$D$98,Assumptions!$D$99)*L28</f>
        <v>0.5</v>
      </c>
      <c r="M88" s="48" t="n">
        <f aca="false">IF(M27&lt;=4,Assumptions!$D$98,Assumptions!$D$99)*M28</f>
        <v>0.5</v>
      </c>
      <c r="N88" s="48" t="n">
        <f aca="false">IF(N27&lt;=4,Assumptions!$D$98,Assumptions!$D$99)*N28</f>
        <v>0.5</v>
      </c>
      <c r="P88" s="49" t="n">
        <f aca="false">AVERAGE(C88:F88)</f>
        <v>0</v>
      </c>
      <c r="Q88" s="49" t="n">
        <f aca="false">AVERAGE(G88:J88)</f>
        <v>0.5</v>
      </c>
      <c r="R88" s="49" t="n">
        <f aca="false">AVERAGE(K88:N88)</f>
        <v>0.5</v>
      </c>
      <c r="S88" s="50"/>
    </row>
    <row r="89" customFormat="false" ht="15" hidden="false" customHeight="false" outlineLevel="0" collapsed="false">
      <c r="A89" s="4" t="s">
        <v>551</v>
      </c>
      <c r="B89" s="36" t="s">
        <v>321</v>
      </c>
      <c r="C89" s="48" t="n">
        <f aca="false">IF(C27&lt;=4,Assumptions!$D$100,Assumptions!$D$101)*C28</f>
        <v>1</v>
      </c>
      <c r="D89" s="48" t="n">
        <f aca="false">IF(D27&lt;=4,Assumptions!$D$100,Assumptions!$D$101)*D28</f>
        <v>1</v>
      </c>
      <c r="E89" s="48" t="n">
        <f aca="false">IF(E27&lt;=4,Assumptions!$D$100,Assumptions!$D$101)*E28</f>
        <v>1</v>
      </c>
      <c r="F89" s="48" t="n">
        <f aca="false">IF(F27&lt;=4,Assumptions!$D$100,Assumptions!$D$101)*F28</f>
        <v>1</v>
      </c>
      <c r="G89" s="48" t="n">
        <f aca="false">IF(G27&lt;=4,Assumptions!$D$100,Assumptions!$D$101)*G28</f>
        <v>0.5</v>
      </c>
      <c r="H89" s="48" t="n">
        <f aca="false">IF(H27&lt;=4,Assumptions!$D$100,Assumptions!$D$101)*H28</f>
        <v>0.5</v>
      </c>
      <c r="I89" s="48" t="n">
        <f aca="false">IF(I27&lt;=4,Assumptions!$D$100,Assumptions!$D$101)*I28</f>
        <v>0.5</v>
      </c>
      <c r="J89" s="48" t="n">
        <f aca="false">IF(J27&lt;=4,Assumptions!$D$100,Assumptions!$D$101)*J28</f>
        <v>0.5</v>
      </c>
      <c r="K89" s="48" t="n">
        <f aca="false">IF(K27&lt;=4,Assumptions!$D$100,Assumptions!$D$101)*K28</f>
        <v>0.5</v>
      </c>
      <c r="L89" s="48" t="n">
        <f aca="false">IF(L27&lt;=4,Assumptions!$D$100,Assumptions!$D$101)*L28</f>
        <v>0.5</v>
      </c>
      <c r="M89" s="48" t="n">
        <f aca="false">IF(M27&lt;=4,Assumptions!$D$100,Assumptions!$D$101)*M28</f>
        <v>0.5</v>
      </c>
      <c r="N89" s="48" t="n">
        <f aca="false">IF(N27&lt;=4,Assumptions!$D$100,Assumptions!$D$101)*N28</f>
        <v>0.5</v>
      </c>
      <c r="P89" s="49" t="n">
        <f aca="false">AVERAGE(C89:F89)</f>
        <v>1</v>
      </c>
      <c r="Q89" s="49" t="n">
        <f aca="false">AVERAGE(G89:J89)</f>
        <v>0.5</v>
      </c>
      <c r="R89" s="49" t="n">
        <f aca="false">AVERAGE(K89:N89)</f>
        <v>0.5</v>
      </c>
      <c r="S89" s="50"/>
    </row>
    <row r="90" customFormat="false" ht="15" hidden="false" customHeight="false" outlineLevel="0" collapsed="false">
      <c r="A90" s="4" t="s">
        <v>552</v>
      </c>
      <c r="B90" s="36" t="s">
        <v>321</v>
      </c>
      <c r="C90" s="48" t="n">
        <f aca="false">Assumptions!$D$102*C28</f>
        <v>0.25</v>
      </c>
      <c r="D90" s="48" t="n">
        <f aca="false">Assumptions!$D$102*D28</f>
        <v>0.25</v>
      </c>
      <c r="E90" s="48" t="n">
        <f aca="false">Assumptions!$D$102*E28</f>
        <v>0.25</v>
      </c>
      <c r="F90" s="48" t="n">
        <f aca="false">Assumptions!$D$102*F28</f>
        <v>0.25</v>
      </c>
      <c r="G90" s="48" t="n">
        <f aca="false">Assumptions!$D$102*G28</f>
        <v>0.25</v>
      </c>
      <c r="H90" s="48" t="n">
        <f aca="false">Assumptions!$D$102*H28</f>
        <v>0.25</v>
      </c>
      <c r="I90" s="48" t="n">
        <f aca="false">Assumptions!$D$102*I28</f>
        <v>0.25</v>
      </c>
      <c r="J90" s="48" t="n">
        <f aca="false">Assumptions!$D$102*J28</f>
        <v>0.25</v>
      </c>
      <c r="K90" s="48" t="n">
        <f aca="false">Assumptions!$D$102*K28</f>
        <v>0.25</v>
      </c>
      <c r="L90" s="48" t="n">
        <f aca="false">Assumptions!$D$102*L28</f>
        <v>0.25</v>
      </c>
      <c r="M90" s="48" t="n">
        <f aca="false">Assumptions!$D$102*M28</f>
        <v>0.25</v>
      </c>
      <c r="N90" s="48" t="n">
        <f aca="false">Assumptions!$D$102*N28</f>
        <v>0.25</v>
      </c>
      <c r="P90" s="49" t="n">
        <f aca="false">AVERAGE(C90:F90)</f>
        <v>0.25</v>
      </c>
      <c r="Q90" s="49" t="n">
        <f aca="false">AVERAGE(G90:J90)</f>
        <v>0.25</v>
      </c>
      <c r="R90" s="49" t="n">
        <f aca="false">AVERAGE(K90:N90)</f>
        <v>0.25</v>
      </c>
      <c r="S90" s="50"/>
    </row>
    <row r="91" customFormat="false" ht="15" hidden="false" customHeight="false" outlineLevel="0" collapsed="false">
      <c r="A91" s="4" t="s">
        <v>553</v>
      </c>
      <c r="B91" s="36" t="s">
        <v>321</v>
      </c>
      <c r="C91" s="48" t="n">
        <f aca="false">(C75+C76)/Assumptions!$D$74+C74/Assumptions!$D$75</f>
        <v>0</v>
      </c>
      <c r="D91" s="48" t="n">
        <f aca="false">(D75+D76)/Assumptions!$D$74+D74/Assumptions!$D$75</f>
        <v>0.00328866401073394</v>
      </c>
      <c r="E91" s="48" t="n">
        <f aca="false">(E75+E76)/Assumptions!$D$74+E74/Assumptions!$D$75</f>
        <v>0.00965586548771553</v>
      </c>
      <c r="F91" s="48" t="n">
        <f aca="false">(F75+F76)/Assumptions!$D$74+F74/Assumptions!$D$75</f>
        <v>0.0169818719447031</v>
      </c>
      <c r="G91" s="48" t="n">
        <f aca="false">(G75+G76)/Assumptions!$D$74+G74/Assumptions!$D$75</f>
        <v>0.0250967634035589</v>
      </c>
      <c r="H91" s="48" t="n">
        <f aca="false">(H75+H76)/Assumptions!$D$74+H74/Assumptions!$D$75</f>
        <v>0.0340099384088722</v>
      </c>
      <c r="I91" s="48" t="n">
        <f aca="false">(I75+I76)/Assumptions!$D$74+I74/Assumptions!$D$75</f>
        <v>0.042454425396203</v>
      </c>
      <c r="J91" s="48" t="n">
        <f aca="false">(J75+J76)/Assumptions!$D$74+J74/Assumptions!$D$75</f>
        <v>0.0517337513048539</v>
      </c>
      <c r="K91" s="48" t="n">
        <f aca="false">(K75+K76)/Assumptions!$D$74+K74/Assumptions!$D$75</f>
        <v>0.0616493400619918</v>
      </c>
      <c r="L91" s="48" t="n">
        <f aca="false">(L75+L76)/Assumptions!$D$74+L74/Assumptions!$D$75</f>
        <v>0.0708465512013247</v>
      </c>
      <c r="M91" s="48" t="n">
        <f aca="false">(M75+M76)/Assumptions!$D$74+M74/Assumptions!$D$75</f>
        <v>0.0793307653888488</v>
      </c>
      <c r="N91" s="48" t="n">
        <f aca="false">(N75+N76)/Assumptions!$D$74+N74/Assumptions!$D$75</f>
        <v>0.0871730048992235</v>
      </c>
      <c r="P91" s="49" t="n">
        <f aca="false">AVERAGE(C91:F91)</f>
        <v>0.00748160036078813</v>
      </c>
      <c r="Q91" s="49" t="n">
        <f aca="false">AVERAGE(G91:J91)</f>
        <v>0.038323719628372</v>
      </c>
      <c r="R91" s="49" t="n">
        <f aca="false">AVERAGE(K91:N91)</f>
        <v>0.0747499153878472</v>
      </c>
      <c r="S91" s="50"/>
    </row>
    <row r="92" customFormat="false" ht="15" hidden="false" customHeight="false" outlineLevel="0" collapsed="false">
      <c r="A92" s="4" t="s">
        <v>554</v>
      </c>
      <c r="B92" s="36" t="s">
        <v>125</v>
      </c>
      <c r="C92" s="54" t="n">
        <f aca="false">(C86+C88)*Assumptions!$D$70/Assumptions!$D$69/4</f>
        <v>66753.5714285714</v>
      </c>
      <c r="D92" s="54" t="n">
        <f aca="false">(D86+D88)*Assumptions!$D$70/Assumptions!$D$69/4</f>
        <v>66753.5714285714</v>
      </c>
      <c r="E92" s="54" t="n">
        <f aca="false">(E86+E88)*Assumptions!$D$70/Assumptions!$D$69/4</f>
        <v>66753.5714285714</v>
      </c>
      <c r="F92" s="54" t="n">
        <f aca="false">(F86+F88)*Assumptions!$D$70/Assumptions!$D$69/4</f>
        <v>66753.5714285714</v>
      </c>
      <c r="G92" s="54" t="n">
        <f aca="false">(G86+G88)*Assumptions!$D$70/Assumptions!$D$69/4</f>
        <v>100130.357142857</v>
      </c>
      <c r="H92" s="54" t="n">
        <f aca="false">(H86+H88)*Assumptions!$D$70/Assumptions!$D$69/4</f>
        <v>100130.357142857</v>
      </c>
      <c r="I92" s="54" t="n">
        <f aca="false">(I86+I88)*Assumptions!$D$70/Assumptions!$D$69/4</f>
        <v>100130.357142857</v>
      </c>
      <c r="J92" s="54" t="n">
        <f aca="false">(J86+J88)*Assumptions!$D$70/Assumptions!$D$69/4</f>
        <v>100130.357142857</v>
      </c>
      <c r="K92" s="54" t="n">
        <f aca="false">(K86+K88)*Assumptions!$D$70/Assumptions!$D$69/4</f>
        <v>100130.357142857</v>
      </c>
      <c r="L92" s="54" t="n">
        <f aca="false">(L86+L88)*Assumptions!$D$70/Assumptions!$D$69/4</f>
        <v>100130.357142857</v>
      </c>
      <c r="M92" s="54" t="n">
        <f aca="false">(M86+M88)*Assumptions!$D$70/Assumptions!$D$69/4</f>
        <v>100130.357142857</v>
      </c>
      <c r="N92" s="54" t="n">
        <f aca="false">(N86+N88)*Assumptions!$D$70/Assumptions!$D$69/4</f>
        <v>100130.357142857</v>
      </c>
      <c r="P92" s="55" t="n">
        <f aca="false">SUM(C92:F92)</f>
        <v>267014.285714286</v>
      </c>
      <c r="Q92" s="55" t="n">
        <f aca="false">SUM(G92:J92)</f>
        <v>400521.428571429</v>
      </c>
      <c r="R92" s="55" t="n">
        <f aca="false">SUM(K92:N92)</f>
        <v>400521.428571429</v>
      </c>
      <c r="S92" s="56" t="n">
        <f aca="false">SUM(P92:R92)</f>
        <v>1068057.14285714</v>
      </c>
    </row>
    <row r="93" customFormat="false" ht="15" hidden="false" customHeight="false" outlineLevel="0" collapsed="false">
      <c r="A93" s="4" t="s">
        <v>555</v>
      </c>
      <c r="B93" s="36" t="s">
        <v>125</v>
      </c>
      <c r="C93" s="54" t="n">
        <f aca="false">C87*$C$22/4</f>
        <v>0</v>
      </c>
      <c r="D93" s="54" t="n">
        <f aca="false">D87*$C$22/4</f>
        <v>0</v>
      </c>
      <c r="E93" s="54" t="n">
        <f aca="false">E87*$C$22/4</f>
        <v>0</v>
      </c>
      <c r="F93" s="54" t="n">
        <f aca="false">F87*$C$22/4</f>
        <v>0</v>
      </c>
      <c r="G93" s="54" t="n">
        <f aca="false">G87*$C$22/4</f>
        <v>0</v>
      </c>
      <c r="H93" s="54" t="n">
        <f aca="false">H87*$C$22/4</f>
        <v>0</v>
      </c>
      <c r="I93" s="54" t="n">
        <f aca="false">I87*$C$22/4</f>
        <v>0</v>
      </c>
      <c r="J93" s="54" t="n">
        <f aca="false">J87*$C$22/4</f>
        <v>0</v>
      </c>
      <c r="K93" s="54" t="n">
        <f aca="false">K87*$C$22/4</f>
        <v>0</v>
      </c>
      <c r="L93" s="54" t="n">
        <f aca="false">L87*$C$22/4</f>
        <v>0</v>
      </c>
      <c r="M93" s="54" t="n">
        <f aca="false">M87*$C$22/4</f>
        <v>0</v>
      </c>
      <c r="N93" s="54" t="n">
        <f aca="false">N87*$C$22/4</f>
        <v>0</v>
      </c>
      <c r="P93" s="55" t="n">
        <f aca="false">SUM(C93:F93)</f>
        <v>0</v>
      </c>
      <c r="Q93" s="55" t="n">
        <f aca="false">SUM(G93:J93)</f>
        <v>0</v>
      </c>
      <c r="R93" s="55" t="n">
        <f aca="false">SUM(K93:N93)</f>
        <v>0</v>
      </c>
      <c r="S93" s="56" t="n">
        <f aca="false">SUM(P93:R93)</f>
        <v>0</v>
      </c>
    </row>
    <row r="94" customFormat="false" ht="15" hidden="false" customHeight="false" outlineLevel="0" collapsed="false">
      <c r="A94" s="4" t="s">
        <v>556</v>
      </c>
      <c r="B94" s="36" t="s">
        <v>125</v>
      </c>
      <c r="C94" s="54" t="n">
        <f aca="false">MAX(0,(C82-C63*$C$18)-C42*$C$23)*$C$24*Assumptions!$D$105</f>
        <v>0</v>
      </c>
      <c r="D94" s="54" t="n">
        <f aca="false">MAX(0,(D82-D63*$C$18)-D42*$C$23)*$C$24*Assumptions!$D$105</f>
        <v>971.0713671052</v>
      </c>
      <c r="E94" s="54" t="n">
        <f aca="false">MAX(0,(E82-E63*$C$18)-E42*$C$23)*$C$24*Assumptions!$D$105</f>
        <v>2152.04353137831</v>
      </c>
      <c r="F94" s="54" t="n">
        <f aca="false">MAX(0,(F82-F63*$C$18)-F42*$C$23)*$C$24*Assumptions!$D$105</f>
        <v>2713.73071284668</v>
      </c>
      <c r="G94" s="54" t="n">
        <f aca="false">MAX(0,(G82-G63*$C$18)-G42*$C$23)*$C$24*Assumptions!$D$105</f>
        <v>3094.33328690744</v>
      </c>
      <c r="H94" s="54" t="n">
        <f aca="false">MAX(0,(H82-H63*$C$18)-H42*$C$23)*$C$24*Assumptions!$D$105</f>
        <v>3489.22284830495</v>
      </c>
      <c r="I94" s="54" t="n">
        <f aca="false">MAX(0,(I82-I63*$C$18)-I42*$C$23)*$C$24*Assumptions!$D$105</f>
        <v>3521.27389611244</v>
      </c>
      <c r="J94" s="54" t="n">
        <f aca="false">MAX(0,(J82-J63*$C$18)-J42*$C$23)*$C$24*Assumptions!$D$105</f>
        <v>3862.65647039326</v>
      </c>
      <c r="K94" s="54" t="n">
        <f aca="false">MAX(0,(K82-K63*$C$18)-K42*$C$23)*$C$24*Assumptions!$D$105</f>
        <v>4200.02797702552</v>
      </c>
      <c r="L94" s="54" t="n">
        <f aca="false">MAX(0,(L82-L63*$C$18)-L42*$C$23)*$C$24*Assumptions!$D$105</f>
        <v>4126.06766025545</v>
      </c>
      <c r="M94" s="54" t="n">
        <f aca="false">MAX(0,(M82-M63*$C$18)-M42*$C$23)*$C$24*Assumptions!$D$105</f>
        <v>3990.92774434897</v>
      </c>
      <c r="N94" s="54" t="n">
        <f aca="false">MAX(0,(N82-N63*$C$18)-N42*$C$23)*$C$24*Assumptions!$D$105</f>
        <v>3871.98951825041</v>
      </c>
      <c r="P94" s="55" t="n">
        <f aca="false">SUM(C94:F94)</f>
        <v>5836.84561133019</v>
      </c>
      <c r="Q94" s="55" t="n">
        <f aca="false">SUM(G94:J94)</f>
        <v>13967.4865017181</v>
      </c>
      <c r="R94" s="55" t="n">
        <f aca="false">SUM(K94:N94)</f>
        <v>16189.0128998803</v>
      </c>
      <c r="S94" s="56" t="n">
        <f aca="false">SUM(P94:R94)</f>
        <v>35993.3450129286</v>
      </c>
    </row>
    <row r="95" customFormat="false" ht="15" hidden="false" customHeight="false" outlineLevel="0" collapsed="false">
      <c r="A95" s="4" t="s">
        <v>557</v>
      </c>
      <c r="B95" s="36" t="s">
        <v>125</v>
      </c>
      <c r="C95" s="54" t="n">
        <f aca="false">C90*Assumptions!$D$71/Assumptions!$D$69/4</f>
        <v>18475.8928571429</v>
      </c>
      <c r="D95" s="54" t="n">
        <f aca="false">D90*Assumptions!$D$71/Assumptions!$D$69/4</f>
        <v>18475.8928571429</v>
      </c>
      <c r="E95" s="54" t="n">
        <f aca="false">E90*Assumptions!$D$71/Assumptions!$D$69/4</f>
        <v>18475.8928571429</v>
      </c>
      <c r="F95" s="54" t="n">
        <f aca="false">F90*Assumptions!$D$71/Assumptions!$D$69/4</f>
        <v>18475.8928571429</v>
      </c>
      <c r="G95" s="54" t="n">
        <f aca="false">G90*Assumptions!$D$71/Assumptions!$D$69/4</f>
        <v>18475.8928571429</v>
      </c>
      <c r="H95" s="54" t="n">
        <f aca="false">H90*Assumptions!$D$71/Assumptions!$D$69/4</f>
        <v>18475.8928571429</v>
      </c>
      <c r="I95" s="54" t="n">
        <f aca="false">I90*Assumptions!$D$71/Assumptions!$D$69/4</f>
        <v>18475.8928571429</v>
      </c>
      <c r="J95" s="54" t="n">
        <f aca="false">J90*Assumptions!$D$71/Assumptions!$D$69/4</f>
        <v>18475.8928571429</v>
      </c>
      <c r="K95" s="54" t="n">
        <f aca="false">K90*Assumptions!$D$71/Assumptions!$D$69/4</f>
        <v>18475.8928571429</v>
      </c>
      <c r="L95" s="54" t="n">
        <f aca="false">L90*Assumptions!$D$71/Assumptions!$D$69/4</f>
        <v>18475.8928571429</v>
      </c>
      <c r="M95" s="54" t="n">
        <f aca="false">M90*Assumptions!$D$71/Assumptions!$D$69/4</f>
        <v>18475.8928571429</v>
      </c>
      <c r="N95" s="54" t="n">
        <f aca="false">N90*Assumptions!$D$71/Assumptions!$D$69/4</f>
        <v>18475.8928571429</v>
      </c>
      <c r="P95" s="55" t="n">
        <f aca="false">SUM(C95:F95)</f>
        <v>73903.5714285714</v>
      </c>
      <c r="Q95" s="55" t="n">
        <f aca="false">SUM(G95:J95)</f>
        <v>73903.5714285714</v>
      </c>
      <c r="R95" s="55" t="n">
        <f aca="false">SUM(K95:N95)</f>
        <v>73903.5714285714</v>
      </c>
      <c r="S95" s="56" t="n">
        <f aca="false">SUM(P95:R95)</f>
        <v>221710.714285714</v>
      </c>
    </row>
    <row r="96" customFormat="false" ht="15" hidden="false" customHeight="false" outlineLevel="0" collapsed="false">
      <c r="A96" s="4" t="s">
        <v>558</v>
      </c>
      <c r="B96" s="36" t="s">
        <v>125</v>
      </c>
      <c r="C96" s="54" t="n">
        <f aca="false">(Assumptions!$D$103+Assumptions!$D$77*((C27=Assumptions!$D$13)+(C27=Assumptions!$D$14)+(C27=Assumptions!$D$15)))*C28</f>
        <v>65000</v>
      </c>
      <c r="D96" s="54" t="n">
        <f aca="false">(Assumptions!$D$103+Assumptions!$D$77*((D27=Assumptions!$D$13)+(D27=Assumptions!$D$14)+(D27=Assumptions!$D$15)))*D28</f>
        <v>25000</v>
      </c>
      <c r="E96" s="54" t="n">
        <f aca="false">(Assumptions!$D$103+Assumptions!$D$77*((E27=Assumptions!$D$13)+(E27=Assumptions!$D$14)+(E27=Assumptions!$D$15)))*E28</f>
        <v>25000</v>
      </c>
      <c r="F96" s="54" t="n">
        <f aca="false">(Assumptions!$D$103+Assumptions!$D$77*((F27=Assumptions!$D$13)+(F27=Assumptions!$D$14)+(F27=Assumptions!$D$15)))*F28</f>
        <v>25000</v>
      </c>
      <c r="G96" s="54" t="n">
        <f aca="false">(Assumptions!$D$103+Assumptions!$D$77*((G27=Assumptions!$D$13)+(G27=Assumptions!$D$14)+(G27=Assumptions!$D$15)))*G28</f>
        <v>25000</v>
      </c>
      <c r="H96" s="54" t="n">
        <f aca="false">(Assumptions!$D$103+Assumptions!$D$77*((H27=Assumptions!$D$13)+(H27=Assumptions!$D$14)+(H27=Assumptions!$D$15)))*H28</f>
        <v>25000</v>
      </c>
      <c r="I96" s="54" t="n">
        <f aca="false">(Assumptions!$D$103+Assumptions!$D$77*((I27=Assumptions!$D$13)+(I27=Assumptions!$D$14)+(I27=Assumptions!$D$15)))*I28</f>
        <v>65000</v>
      </c>
      <c r="J96" s="54" t="n">
        <f aca="false">(Assumptions!$D$103+Assumptions!$D$77*((J27=Assumptions!$D$13)+(J27=Assumptions!$D$14)+(J27=Assumptions!$D$15)))*J28</f>
        <v>25000</v>
      </c>
      <c r="K96" s="54" t="n">
        <f aca="false">(Assumptions!$D$103+Assumptions!$D$77*((K27=Assumptions!$D$13)+(K27=Assumptions!$D$14)+(K27=Assumptions!$D$15)))*K28</f>
        <v>25000</v>
      </c>
      <c r="L96" s="54" t="n">
        <f aca="false">(Assumptions!$D$103+Assumptions!$D$77*((L27=Assumptions!$D$13)+(L27=Assumptions!$D$14)+(L27=Assumptions!$D$15)))*L28</f>
        <v>25000</v>
      </c>
      <c r="M96" s="54" t="n">
        <f aca="false">(Assumptions!$D$103+Assumptions!$D$77*((M27=Assumptions!$D$13)+(M27=Assumptions!$D$14)+(M27=Assumptions!$D$15)))*M28</f>
        <v>25000</v>
      </c>
      <c r="N96" s="54" t="n">
        <f aca="false">(Assumptions!$D$103+Assumptions!$D$77*((N27=Assumptions!$D$13)+(N27=Assumptions!$D$14)+(N27=Assumptions!$D$15)))*N28</f>
        <v>25000</v>
      </c>
      <c r="P96" s="55" t="n">
        <f aca="false">SUM(C96:F96)</f>
        <v>140000</v>
      </c>
      <c r="Q96" s="55" t="n">
        <f aca="false">SUM(G96:J96)</f>
        <v>140000</v>
      </c>
      <c r="R96" s="55" t="n">
        <f aca="false">SUM(K96:N96)</f>
        <v>100000</v>
      </c>
      <c r="S96" s="56" t="n">
        <f aca="false">SUM(P96:R96)</f>
        <v>380000</v>
      </c>
    </row>
    <row r="97" customFormat="false" ht="15" hidden="false" customHeight="false" outlineLevel="0" collapsed="false">
      <c r="A97" s="4" t="s">
        <v>559</v>
      </c>
      <c r="B97" s="36" t="s">
        <v>125</v>
      </c>
      <c r="C97" s="54" t="n">
        <f aca="false">C82*C62*Assumptions!$D$79</f>
        <v>0</v>
      </c>
      <c r="D97" s="54" t="n">
        <f aca="false">D82*D62*Assumptions!$D$79</f>
        <v>173.524380914046</v>
      </c>
      <c r="E97" s="54" t="n">
        <f aca="false">E82*E62*Assumptions!$D$79</f>
        <v>402.613520708654</v>
      </c>
      <c r="F97" s="54" t="n">
        <f aca="false">F82*F62*Assumptions!$D$79</f>
        <v>657.021390171295</v>
      </c>
      <c r="G97" s="54" t="n">
        <f aca="false">G82*G62*Assumptions!$D$79</f>
        <v>878.316649347624</v>
      </c>
      <c r="H97" s="54" t="n">
        <f aca="false">H82*H62*Assumptions!$D$79</f>
        <v>1100.39088604807</v>
      </c>
      <c r="I97" s="54" t="n">
        <f aca="false">I82*I62*Assumptions!$D$79</f>
        <v>1136.13706565085</v>
      </c>
      <c r="J97" s="54" t="n">
        <f aca="false">J82*J62*Assumptions!$D$79</f>
        <v>1099.05408478008</v>
      </c>
      <c r="K97" s="54" t="n">
        <f aca="false">K82*K62*Assumptions!$D$79</f>
        <v>1090.58326424942</v>
      </c>
      <c r="L97" s="54" t="n">
        <f aca="false">L82*L62*Assumptions!$D$79</f>
        <v>1108.95452030027</v>
      </c>
      <c r="M97" s="54" t="n">
        <f aca="false">M82*M62*Assumptions!$D$79</f>
        <v>1108.19163899431</v>
      </c>
      <c r="N97" s="54" t="n">
        <f aca="false">N82*N62*Assumptions!$D$79</f>
        <v>1107.47718552248</v>
      </c>
      <c r="P97" s="55" t="n">
        <f aca="false">SUM(C97:F97)</f>
        <v>1233.15929179399</v>
      </c>
      <c r="Q97" s="55" t="n">
        <f aca="false">SUM(G97:J97)</f>
        <v>4213.89868582663</v>
      </c>
      <c r="R97" s="55" t="n">
        <f aca="false">SUM(K97:N97)</f>
        <v>4415.20660906648</v>
      </c>
      <c r="S97" s="56" t="n">
        <f aca="false">SUM(P97:R97)</f>
        <v>9862.2645866871</v>
      </c>
    </row>
    <row r="98" customFormat="false" ht="15" hidden="false" customHeight="false" outlineLevel="0" collapsed="false">
      <c r="A98" s="4" t="s">
        <v>560</v>
      </c>
      <c r="B98" s="36" t="s">
        <v>125</v>
      </c>
      <c r="C98" s="54" t="n">
        <f aca="false">C47*Assumptions!$D$80</f>
        <v>2000</v>
      </c>
      <c r="D98" s="54" t="n">
        <f aca="false">D47*Assumptions!$D$80</f>
        <v>4000</v>
      </c>
      <c r="E98" s="54" t="n">
        <f aca="false">E47*Assumptions!$D$80</f>
        <v>6000</v>
      </c>
      <c r="F98" s="54" t="n">
        <f aca="false">F47*Assumptions!$D$80</f>
        <v>8000</v>
      </c>
      <c r="G98" s="54" t="n">
        <f aca="false">G47*Assumptions!$D$80</f>
        <v>10000</v>
      </c>
      <c r="H98" s="54" t="n">
        <f aca="false">H47*Assumptions!$D$80</f>
        <v>10000</v>
      </c>
      <c r="I98" s="54" t="n">
        <f aca="false">I47*Assumptions!$D$80</f>
        <v>10000</v>
      </c>
      <c r="J98" s="54" t="n">
        <f aca="false">J47*Assumptions!$D$80</f>
        <v>10000</v>
      </c>
      <c r="K98" s="54" t="n">
        <f aca="false">K47*Assumptions!$D$80</f>
        <v>10000</v>
      </c>
      <c r="L98" s="54" t="n">
        <f aca="false">L47*Assumptions!$D$80</f>
        <v>10000</v>
      </c>
      <c r="M98" s="54" t="n">
        <f aca="false">M47*Assumptions!$D$80</f>
        <v>10000</v>
      </c>
      <c r="N98" s="54" t="n">
        <f aca="false">N47*Assumptions!$D$80</f>
        <v>10000</v>
      </c>
      <c r="P98" s="55" t="n">
        <f aca="false">SUM(C98:F98)</f>
        <v>20000</v>
      </c>
      <c r="Q98" s="55" t="n">
        <f aca="false">SUM(G98:J98)</f>
        <v>40000</v>
      </c>
      <c r="R98" s="55" t="n">
        <f aca="false">SUM(K98:N98)</f>
        <v>40000</v>
      </c>
      <c r="S98" s="56" t="n">
        <f aca="false">SUM(P98:R98)</f>
        <v>100000</v>
      </c>
    </row>
    <row r="99" customFormat="false" ht="15" hidden="false" customHeight="false" outlineLevel="0" collapsed="false">
      <c r="A99" s="4" t="s">
        <v>561</v>
      </c>
      <c r="B99" s="36" t="s">
        <v>125</v>
      </c>
      <c r="C99" s="54" t="n">
        <f aca="false">(C70*$C$19+C71*$C$20)*Assumptions!$D$81</f>
        <v>0</v>
      </c>
      <c r="D99" s="54" t="n">
        <f aca="false">(D70*$C$19+D71*$C$20)*Assumptions!$D$81</f>
        <v>146.070703709179</v>
      </c>
      <c r="E99" s="54" t="n">
        <f aca="false">(E70*$C$19+E71*$C$20)*Assumptions!$D$81</f>
        <v>383.692697930868</v>
      </c>
      <c r="F99" s="54" t="n">
        <f aca="false">(F70*$C$19+F71*$C$20)*Assumptions!$D$81</f>
        <v>521.256703586425</v>
      </c>
      <c r="G99" s="54" t="n">
        <f aca="false">(G70*$C$19+G71*$C$20)*Assumptions!$D$81</f>
        <v>595.61879687558</v>
      </c>
      <c r="H99" s="54" t="n">
        <f aca="false">(H70*$C$19+H71*$C$20)*Assumptions!$D$81</f>
        <v>672.858422294208</v>
      </c>
      <c r="I99" s="54" t="n">
        <f aca="false">(I70*$C$19+I71*$C$20)*Assumptions!$D$81</f>
        <v>696.160194704299</v>
      </c>
      <c r="J99" s="54" t="n">
        <f aca="false">(J70*$C$19+J71*$C$20)*Assumptions!$D$81</f>
        <v>738.411686617806</v>
      </c>
      <c r="K99" s="54" t="n">
        <f aca="false">(K70*$C$19+K71*$C$20)*Assumptions!$D$81</f>
        <v>794.085404402678</v>
      </c>
      <c r="L99" s="54" t="n">
        <f aca="false">(L70*$C$19+L71*$C$20)*Assumptions!$D$81</f>
        <v>790.973539012362</v>
      </c>
      <c r="M99" s="54" t="n">
        <f aca="false">(M70*$C$19+M71*$C$20)*Assumptions!$D$81</f>
        <v>764.637810459374</v>
      </c>
      <c r="N99" s="54" t="n">
        <f aca="false">(N70*$C$19+N71*$C$20)*Assumptions!$D$81</f>
        <v>741.459426662885</v>
      </c>
      <c r="P99" s="55" t="n">
        <f aca="false">SUM(C99:F99)</f>
        <v>1051.02010522647</v>
      </c>
      <c r="Q99" s="55" t="n">
        <f aca="false">SUM(G99:J99)</f>
        <v>2703.04910049189</v>
      </c>
      <c r="R99" s="55" t="n">
        <f aca="false">SUM(K99:N99)</f>
        <v>3091.1561805373</v>
      </c>
      <c r="S99" s="56" t="n">
        <f aca="false">SUM(P99:R99)</f>
        <v>6845.22538625566</v>
      </c>
    </row>
    <row r="100" customFormat="false" ht="15" hidden="false" customHeight="false" outlineLevel="0" collapsed="false">
      <c r="A100" s="9" t="s">
        <v>562</v>
      </c>
      <c r="B100" s="36" t="s">
        <v>125</v>
      </c>
      <c r="C100" s="55" t="n">
        <f aca="false">C92+C93+C94+C95+C96+C97+C98+C99</f>
        <v>152229.464285714</v>
      </c>
      <c r="D100" s="55" t="n">
        <f aca="false">D92+D93+D94+D95+D96+D97+D98+D99</f>
        <v>115520.130737443</v>
      </c>
      <c r="E100" s="55" t="n">
        <f aca="false">E92+E93+E94+E95+E96+E97+E98+E99</f>
        <v>119167.814035732</v>
      </c>
      <c r="F100" s="55" t="n">
        <f aca="false">F92+F93+F94+F95+F96+F97+F98+F99</f>
        <v>122121.473092319</v>
      </c>
      <c r="G100" s="55" t="n">
        <f aca="false">G92+G93+G94+G95+G96+G97+G98+G99</f>
        <v>158174.518733131</v>
      </c>
      <c r="H100" s="55" t="n">
        <f aca="false">H92+H93+H94+H95+H96+H97+H98+H99</f>
        <v>158868.722156647</v>
      </c>
      <c r="I100" s="55" t="n">
        <f aca="false">I92+I93+I94+I95+I96+I97+I98+I99</f>
        <v>198959.821156468</v>
      </c>
      <c r="J100" s="55" t="n">
        <f aca="false">J92+J93+J94+J95+J96+J97+J98+J99</f>
        <v>159306.372241791</v>
      </c>
      <c r="K100" s="55" t="n">
        <f aca="false">K92+K93+K94+K95+K96+K97+K98+K99</f>
        <v>159690.946645678</v>
      </c>
      <c r="L100" s="55" t="n">
        <f aca="false">L92+L93+L94+L95+L96+L97+L98+L99</f>
        <v>159632.245719568</v>
      </c>
      <c r="M100" s="55" t="n">
        <f aca="false">M92+M93+M94+M95+M96+M97+M98+M99</f>
        <v>159470.007193803</v>
      </c>
      <c r="N100" s="55" t="n">
        <f aca="false">N92+N93+N94+N95+N96+N97+N98+N99</f>
        <v>159327.176130436</v>
      </c>
      <c r="P100" s="55" t="n">
        <f aca="false">SUM(C100:F100)</f>
        <v>509038.882151208</v>
      </c>
      <c r="Q100" s="55" t="n">
        <f aca="false">SUM(G100:J100)</f>
        <v>675309.434288037</v>
      </c>
      <c r="R100" s="55" t="n">
        <f aca="false">SUM(K100:N100)</f>
        <v>638120.375689484</v>
      </c>
      <c r="S100" s="56" t="n">
        <f aca="false">SUM(P100:R100)</f>
        <v>1822468.69212873</v>
      </c>
    </row>
    <row r="101" customFormat="false" ht="15" hidden="false" customHeight="false" outlineLevel="0" collapsed="false">
      <c r="A101" s="4" t="s">
        <v>563</v>
      </c>
      <c r="B101" s="36" t="s">
        <v>125</v>
      </c>
      <c r="C101" s="54" t="n">
        <f aca="false">C89*Assumptions!$D$72/Assumptions!$D$69/4</f>
        <v>56535.7142857143</v>
      </c>
      <c r="D101" s="54" t="n">
        <f aca="false">D89*Assumptions!$D$72/Assumptions!$D$69/4</f>
        <v>56535.7142857143</v>
      </c>
      <c r="E101" s="54" t="n">
        <f aca="false">E89*Assumptions!$D$72/Assumptions!$D$69/4</f>
        <v>56535.7142857143</v>
      </c>
      <c r="F101" s="54" t="n">
        <f aca="false">F89*Assumptions!$D$72/Assumptions!$D$69/4</f>
        <v>56535.7142857143</v>
      </c>
      <c r="G101" s="54" t="n">
        <f aca="false">G89*Assumptions!$D$72/Assumptions!$D$69/4</f>
        <v>28267.8571428571</v>
      </c>
      <c r="H101" s="54" t="n">
        <f aca="false">H89*Assumptions!$D$72/Assumptions!$D$69/4</f>
        <v>28267.8571428571</v>
      </c>
      <c r="I101" s="54" t="n">
        <f aca="false">I89*Assumptions!$D$72/Assumptions!$D$69/4</f>
        <v>28267.8571428571</v>
      </c>
      <c r="J101" s="54" t="n">
        <f aca="false">J89*Assumptions!$D$72/Assumptions!$D$69/4</f>
        <v>28267.8571428571</v>
      </c>
      <c r="K101" s="54" t="n">
        <f aca="false">K89*Assumptions!$D$72/Assumptions!$D$69/4</f>
        <v>28267.8571428571</v>
      </c>
      <c r="L101" s="54" t="n">
        <f aca="false">L89*Assumptions!$D$72/Assumptions!$D$69/4</f>
        <v>28267.8571428571</v>
      </c>
      <c r="M101" s="54" t="n">
        <f aca="false">M89*Assumptions!$D$72/Assumptions!$D$69/4</f>
        <v>28267.8571428571</v>
      </c>
      <c r="N101" s="54" t="n">
        <f aca="false">N89*Assumptions!$D$72/Assumptions!$D$69/4</f>
        <v>28267.8571428571</v>
      </c>
      <c r="P101" s="55" t="n">
        <f aca="false">SUM(C101:F101)</f>
        <v>226142.857142857</v>
      </c>
      <c r="Q101" s="55" t="n">
        <f aca="false">SUM(G101:J101)</f>
        <v>113071.428571429</v>
      </c>
      <c r="R101" s="55" t="n">
        <f aca="false">SUM(K101:N101)</f>
        <v>113071.428571429</v>
      </c>
      <c r="S101" s="56" t="n">
        <f aca="false">SUM(P101:R101)</f>
        <v>452285.714285714</v>
      </c>
    </row>
    <row r="102" customFormat="false" ht="15" hidden="false" customHeight="false" outlineLevel="0" collapsed="false">
      <c r="A102" s="4" t="s">
        <v>564</v>
      </c>
      <c r="B102" s="36" t="s">
        <v>125</v>
      </c>
      <c r="C102" s="54" t="n">
        <f aca="false">IF(C27&lt;=Assumptions!$D$83,Assumptions!$D$82*Assumptions!$D$108/Assumptions!$D$83,0)</f>
        <v>62500</v>
      </c>
      <c r="D102" s="54" t="n">
        <f aca="false">IF(D27&lt;=Assumptions!$D$83,Assumptions!$D$82*Assumptions!$D$108/Assumptions!$D$83,0)</f>
        <v>62500</v>
      </c>
      <c r="E102" s="54" t="n">
        <f aca="false">IF(E27&lt;=Assumptions!$D$83,Assumptions!$D$82*Assumptions!$D$108/Assumptions!$D$83,0)</f>
        <v>62500</v>
      </c>
      <c r="F102" s="54" t="n">
        <f aca="false">IF(F27&lt;=Assumptions!$D$83,Assumptions!$D$82*Assumptions!$D$108/Assumptions!$D$83,0)</f>
        <v>62500</v>
      </c>
      <c r="G102" s="54" t="n">
        <f aca="false">IF(G27&lt;=Assumptions!$D$83,Assumptions!$D$82*Assumptions!$D$108/Assumptions!$D$83,0)</f>
        <v>0</v>
      </c>
      <c r="H102" s="54" t="n">
        <f aca="false">IF(H27&lt;=Assumptions!$D$83,Assumptions!$D$82*Assumptions!$D$108/Assumptions!$D$83,0)</f>
        <v>0</v>
      </c>
      <c r="I102" s="54" t="n">
        <f aca="false">IF(I27&lt;=Assumptions!$D$83,Assumptions!$D$82*Assumptions!$D$108/Assumptions!$D$83,0)</f>
        <v>0</v>
      </c>
      <c r="J102" s="54" t="n">
        <f aca="false">IF(J27&lt;=Assumptions!$D$83,Assumptions!$D$82*Assumptions!$D$108/Assumptions!$D$83,0)</f>
        <v>0</v>
      </c>
      <c r="K102" s="54" t="n">
        <f aca="false">IF(K27&lt;=Assumptions!$D$83,Assumptions!$D$82*Assumptions!$D$108/Assumptions!$D$83,0)</f>
        <v>0</v>
      </c>
      <c r="L102" s="54" t="n">
        <f aca="false">IF(L27&lt;=Assumptions!$D$83,Assumptions!$D$82*Assumptions!$D$108/Assumptions!$D$83,0)</f>
        <v>0</v>
      </c>
      <c r="M102" s="54" t="n">
        <f aca="false">IF(M27&lt;=Assumptions!$D$83,Assumptions!$D$82*Assumptions!$D$108/Assumptions!$D$83,0)</f>
        <v>0</v>
      </c>
      <c r="N102" s="54" t="n">
        <f aca="false">IF(N27&lt;=Assumptions!$D$83,Assumptions!$D$82*Assumptions!$D$108/Assumptions!$D$83,0)</f>
        <v>0</v>
      </c>
      <c r="P102" s="55" t="n">
        <f aca="false">SUM(C102:F102)</f>
        <v>250000</v>
      </c>
      <c r="Q102" s="55" t="n">
        <f aca="false">SUM(G102:J102)</f>
        <v>0</v>
      </c>
      <c r="R102" s="55" t="n">
        <f aca="false">SUM(K102:N102)</f>
        <v>0</v>
      </c>
      <c r="S102" s="56" t="n">
        <f aca="false">SUM(P102:R102)</f>
        <v>250000</v>
      </c>
    </row>
    <row r="103" customFormat="false" ht="15" hidden="false" customHeight="false" outlineLevel="0" collapsed="false">
      <c r="A103" s="4" t="s">
        <v>565</v>
      </c>
      <c r="B103" s="36" t="s">
        <v>125</v>
      </c>
      <c r="C103" s="54" t="n">
        <f aca="false">C91*Assumptions!$D$73/Assumptions!$D$69/4</f>
        <v>0</v>
      </c>
      <c r="D103" s="54" t="n">
        <f aca="false">D91*Assumptions!$D$73/Assumptions!$D$69/4</f>
        <v>132.145567088456</v>
      </c>
      <c r="E103" s="54" t="n">
        <f aca="false">E91*Assumptions!$D$73/Assumptions!$D$69/4</f>
        <v>387.993366436741</v>
      </c>
      <c r="F103" s="54" t="n">
        <f aca="false">F91*Assumptions!$D$73/Assumptions!$D$69/4</f>
        <v>682.368004463765</v>
      </c>
      <c r="G103" s="54" t="n">
        <f aca="false">G91*Assumptions!$D$73/Assumptions!$D$69/4</f>
        <v>1008.44173233372</v>
      </c>
      <c r="H103" s="54" t="n">
        <f aca="false">H91*Assumptions!$D$73/Assumptions!$D$69/4</f>
        <v>1366.59220370793</v>
      </c>
      <c r="I103" s="54" t="n">
        <f aca="false">I91*Assumptions!$D$73/Assumptions!$D$69/4</f>
        <v>1705.90978618814</v>
      </c>
      <c r="J103" s="54" t="n">
        <f aca="false">J91*Assumptions!$D$73/Assumptions!$D$69/4</f>
        <v>2078.77298546754</v>
      </c>
      <c r="K103" s="54" t="n">
        <f aca="false">K91*Assumptions!$D$73/Assumptions!$D$69/4</f>
        <v>2477.20258941954</v>
      </c>
      <c r="L103" s="54" t="n">
        <f aca="false">L91*Assumptions!$D$73/Assumptions!$D$69/4</f>
        <v>2846.76624130751</v>
      </c>
      <c r="M103" s="54" t="n">
        <f aca="false">M91*Assumptions!$D$73/Assumptions!$D$69/4</f>
        <v>3187.68014782121</v>
      </c>
      <c r="N103" s="54" t="n">
        <f aca="false">N91*Assumptions!$D$73/Assumptions!$D$69/4</f>
        <v>3502.79813614701</v>
      </c>
      <c r="P103" s="55" t="n">
        <f aca="false">SUM(C103:F103)</f>
        <v>1202.50693798896</v>
      </c>
      <c r="Q103" s="55" t="n">
        <f aca="false">SUM(G103:J103)</f>
        <v>6159.71670769734</v>
      </c>
      <c r="R103" s="55" t="n">
        <f aca="false">SUM(K103:N103)</f>
        <v>12014.4471146953</v>
      </c>
      <c r="S103" s="56" t="n">
        <f aca="false">SUM(P103:R103)</f>
        <v>19376.6707603816</v>
      </c>
    </row>
    <row r="104" customFormat="false" ht="15" hidden="false" customHeight="false" outlineLevel="0" collapsed="false">
      <c r="A104" s="9" t="s">
        <v>566</v>
      </c>
      <c r="B104" s="36" t="s">
        <v>125</v>
      </c>
      <c r="C104" s="55" t="n">
        <f aca="false">C100+C101+C102+C103</f>
        <v>271265.178571429</v>
      </c>
      <c r="D104" s="55" t="n">
        <f aca="false">D100+D101+D102+D103</f>
        <v>234687.990590245</v>
      </c>
      <c r="E104" s="55" t="n">
        <f aca="false">E100+E101+E102+E103</f>
        <v>238591.521687883</v>
      </c>
      <c r="F104" s="55" t="n">
        <f aca="false">F100+F101+F102+F103</f>
        <v>241839.555382497</v>
      </c>
      <c r="G104" s="55" t="n">
        <f aca="false">G100+G101+G102+G103</f>
        <v>187450.817608322</v>
      </c>
      <c r="H104" s="55" t="n">
        <f aca="false">H100+H101+H102+H103</f>
        <v>188503.171503212</v>
      </c>
      <c r="I104" s="55" t="n">
        <f aca="false">I100+I101+I102+I103</f>
        <v>228933.588085513</v>
      </c>
      <c r="J104" s="55" t="n">
        <f aca="false">J100+J101+J102+J103</f>
        <v>189653.002370116</v>
      </c>
      <c r="K104" s="55" t="n">
        <f aca="false">K100+K101+K102+K103</f>
        <v>190436.006377954</v>
      </c>
      <c r="L104" s="55" t="n">
        <f aca="false">L100+L101+L102+L103</f>
        <v>190746.869103733</v>
      </c>
      <c r="M104" s="55" t="n">
        <f aca="false">M100+M101+M102+M103</f>
        <v>190925.544484481</v>
      </c>
      <c r="N104" s="55" t="n">
        <f aca="false">N100+N101+N102+N103</f>
        <v>191097.83140944</v>
      </c>
      <c r="P104" s="55" t="n">
        <f aca="false">SUM(C104:F104)</f>
        <v>986384.246232054</v>
      </c>
      <c r="Q104" s="55" t="n">
        <f aca="false">SUM(G104:J104)</f>
        <v>794540.579567163</v>
      </c>
      <c r="R104" s="55" t="n">
        <f aca="false">SUM(K104:N104)</f>
        <v>763206.251375608</v>
      </c>
      <c r="S104" s="56" t="n">
        <f aca="false">SUM(P104:R104)</f>
        <v>2544131.07717482</v>
      </c>
    </row>
    <row r="105" customFormat="false" ht="15" hidden="false" customHeight="false" outlineLevel="0" collapsed="false">
      <c r="A105" s="35" t="s">
        <v>567</v>
      </c>
      <c r="B105" s="35" t="s">
        <v>444</v>
      </c>
      <c r="C105" s="6" t="s">
        <v>354</v>
      </c>
      <c r="D105" s="6" t="s">
        <v>355</v>
      </c>
      <c r="E105" s="6" t="s">
        <v>356</v>
      </c>
      <c r="F105" s="6" t="s">
        <v>357</v>
      </c>
      <c r="G105" s="6" t="s">
        <v>358</v>
      </c>
      <c r="H105" s="6" t="s">
        <v>359</v>
      </c>
      <c r="I105" s="6" t="s">
        <v>360</v>
      </c>
      <c r="J105" s="6" t="s">
        <v>361</v>
      </c>
      <c r="K105" s="6" t="s">
        <v>362</v>
      </c>
      <c r="L105" s="6" t="s">
        <v>363</v>
      </c>
      <c r="M105" s="6" t="s">
        <v>364</v>
      </c>
      <c r="N105" s="6" t="s">
        <v>365</v>
      </c>
      <c r="P105" s="6" t="s">
        <v>445</v>
      </c>
      <c r="Q105" s="6" t="s">
        <v>446</v>
      </c>
      <c r="R105" s="6" t="s">
        <v>447</v>
      </c>
      <c r="S105" s="6" t="s">
        <v>448</v>
      </c>
    </row>
    <row r="106" customFormat="false" ht="15" hidden="false" customHeight="false" outlineLevel="0" collapsed="false">
      <c r="A106" s="9" t="s">
        <v>568</v>
      </c>
      <c r="B106" s="36" t="s">
        <v>125</v>
      </c>
      <c r="C106" s="55" t="n">
        <f aca="false">C84-C104</f>
        <v>-271265.178571429</v>
      </c>
      <c r="D106" s="55" t="n">
        <f aca="false">D84-D104</f>
        <v>-234564.556411069</v>
      </c>
      <c r="E106" s="55" t="n">
        <f aca="false">E84-E104</f>
        <v>-238076.506059631</v>
      </c>
      <c r="F106" s="55" t="n">
        <f aca="false">F84-F104</f>
        <v>-240722.90241226</v>
      </c>
      <c r="G106" s="55" t="n">
        <f aca="false">G84-G104</f>
        <v>-185622.710520995</v>
      </c>
      <c r="H106" s="55" t="n">
        <f aca="false">H84-H104</f>
        <v>-185873.205440236</v>
      </c>
      <c r="I106" s="55" t="n">
        <f aca="false">I84-I104</f>
        <v>-225456.379282107</v>
      </c>
      <c r="J106" s="55" t="n">
        <f aca="false">J84-J104</f>
        <v>-185288.290318945</v>
      </c>
      <c r="K106" s="55" t="n">
        <f aca="false">K84-K104</f>
        <v>-185104.163731497</v>
      </c>
      <c r="L106" s="55" t="n">
        <f aca="false">L84-L104</f>
        <v>-184423.107740244</v>
      </c>
      <c r="M106" s="55" t="n">
        <f aca="false">M84-M104</f>
        <v>-183644.465453071</v>
      </c>
      <c r="N106" s="55" t="n">
        <f aca="false">N84-N104</f>
        <v>-182898.306595867</v>
      </c>
      <c r="P106" s="55" t="n">
        <f aca="false">SUM(C106:F106)</f>
        <v>-984629.143454388</v>
      </c>
      <c r="Q106" s="55" t="n">
        <f aca="false">SUM(G106:J106)</f>
        <v>-782240.585562283</v>
      </c>
      <c r="R106" s="55" t="n">
        <f aca="false">SUM(K106:N106)</f>
        <v>-736070.043520678</v>
      </c>
      <c r="S106" s="56" t="n">
        <f aca="false">SUM(P106:R106)</f>
        <v>-2502939.77253735</v>
      </c>
    </row>
    <row r="107" customFormat="false" ht="15" hidden="false" customHeight="false" outlineLevel="0" collapsed="false">
      <c r="A107" s="9" t="s">
        <v>569</v>
      </c>
      <c r="B107" s="36" t="s">
        <v>125</v>
      </c>
      <c r="C107" s="55" t="n">
        <f aca="false">0+C106</f>
        <v>-271265.178571429</v>
      </c>
      <c r="D107" s="55" t="n">
        <f aca="false">C107+D106</f>
        <v>-505829.734982497</v>
      </c>
      <c r="E107" s="55" t="n">
        <f aca="false">D107+E106</f>
        <v>-743906.241042128</v>
      </c>
      <c r="F107" s="55" t="n">
        <f aca="false">E107+F106</f>
        <v>-984629.143454388</v>
      </c>
      <c r="G107" s="55" t="n">
        <f aca="false">F107+G106</f>
        <v>-1170251.85397538</v>
      </c>
      <c r="H107" s="55" t="n">
        <f aca="false">G107+H106</f>
        <v>-1356125.05941562</v>
      </c>
      <c r="I107" s="55" t="n">
        <f aca="false">H107+I106</f>
        <v>-1581581.43869773</v>
      </c>
      <c r="J107" s="55" t="n">
        <f aca="false">I107+J106</f>
        <v>-1766869.72901667</v>
      </c>
      <c r="K107" s="55" t="n">
        <f aca="false">J107+K106</f>
        <v>-1951973.89274817</v>
      </c>
      <c r="L107" s="55" t="n">
        <f aca="false">K107+L106</f>
        <v>-2136397.00048841</v>
      </c>
      <c r="M107" s="55" t="n">
        <f aca="false">L107+M106</f>
        <v>-2320041.46594148</v>
      </c>
      <c r="N107" s="55" t="n">
        <f aca="false">M107+N106</f>
        <v>-2502939.77253735</v>
      </c>
      <c r="P107" s="55" t="n">
        <f aca="false">F107</f>
        <v>-984629.143454388</v>
      </c>
      <c r="Q107" s="55" t="n">
        <f aca="false">J107</f>
        <v>-1766869.72901667</v>
      </c>
      <c r="R107" s="55" t="n">
        <f aca="false">N107</f>
        <v>-2502939.77253735</v>
      </c>
      <c r="S107" s="56" t="n">
        <f aca="false">R107</f>
        <v>-2502939.77253735</v>
      </c>
    </row>
    <row r="108" customFormat="false" ht="15" hidden="false" customHeight="false" outlineLevel="0" collapsed="false">
      <c r="A108" s="4" t="s">
        <v>570</v>
      </c>
      <c r="B108" s="36" t="s">
        <v>107</v>
      </c>
      <c r="C108" s="57" t="n">
        <f aca="false">1/(1+Assumptions!$D$87)^(C27/4)</f>
        <v>0.972065420906982</v>
      </c>
      <c r="D108" s="57" t="n">
        <f aca="false">1/(1+Assumptions!$D$87)^(D27/4)</f>
        <v>0.944911182523068</v>
      </c>
      <c r="E108" s="57" t="n">
        <f aca="false">1/(1+Assumptions!$D$87)^(E27/4)</f>
        <v>0.918515486359</v>
      </c>
      <c r="F108" s="57" t="n">
        <f aca="false">1/(1+Assumptions!$D$87)^(F27/4)</f>
        <v>0.892857142857143</v>
      </c>
      <c r="G108" s="57" t="n">
        <f aca="false">1/(1+Assumptions!$D$87)^(G27/4)</f>
        <v>0.867915554381234</v>
      </c>
      <c r="H108" s="57" t="n">
        <f aca="false">1/(1+Assumptions!$D$87)^(H27/4)</f>
        <v>0.843670698681311</v>
      </c>
      <c r="I108" s="57" t="n">
        <f aca="false">1/(1+Assumptions!$D$87)^(I27/4)</f>
        <v>0.820103112820536</v>
      </c>
      <c r="J108" s="57" t="n">
        <f aca="false">1/(1+Assumptions!$D$87)^(J27/4)</f>
        <v>0.79719387755102</v>
      </c>
      <c r="K108" s="57" t="n">
        <f aca="false">1/(1+Assumptions!$D$87)^(K27/4)</f>
        <v>0.774924602126102</v>
      </c>
      <c r="L108" s="57" t="n">
        <f aca="false">1/(1+Assumptions!$D$87)^(L27/4)</f>
        <v>0.753277409536885</v>
      </c>
      <c r="M108" s="57" t="n">
        <f aca="false">1/(1+Assumptions!$D$87)^(M27/4)</f>
        <v>0.732234922161193</v>
      </c>
      <c r="N108" s="57" t="n">
        <f aca="false">1/(1+Assumptions!$D$87)^(N27/4)</f>
        <v>0.711780247813411</v>
      </c>
      <c r="P108" s="58"/>
      <c r="Q108" s="58"/>
      <c r="R108" s="58"/>
      <c r="S108" s="59"/>
    </row>
    <row r="109" customFormat="false" ht="15" hidden="false" customHeight="false" outlineLevel="0" collapsed="false">
      <c r="A109" s="4" t="s">
        <v>571</v>
      </c>
      <c r="B109" s="36" t="s">
        <v>125</v>
      </c>
      <c r="C109" s="54" t="n">
        <f aca="false">(C84*(1-Assumptions!$D$88)-C104)*C108</f>
        <v>-263687.499985443</v>
      </c>
      <c r="D109" s="54" t="n">
        <f aca="false">(D84*(1-Assumptions!$D$88)-D104)*D108</f>
        <v>-221677.662677245</v>
      </c>
      <c r="E109" s="54" t="n">
        <f aca="false">(E84*(1-Assumptions!$D$88)-E104)*E108</f>
        <v>-218818.872703093</v>
      </c>
      <c r="F109" s="54" t="n">
        <f aca="false">(F84*(1-Assumptions!$D$88)-F104)*F108</f>
        <v>-215230.26634226</v>
      </c>
      <c r="G109" s="54" t="n">
        <f aca="false">(G84*(1-Assumptions!$D$88)-G104)*G108</f>
        <v>-161580.830480426</v>
      </c>
      <c r="H109" s="54" t="n">
        <f aca="false">(H84*(1-Assumptions!$D$88)-H104)*H108</f>
        <v>-157481.424691657</v>
      </c>
      <c r="I109" s="54" t="n">
        <f aca="false">(I84*(1-Assumptions!$D$88)-I104)*I108</f>
        <v>-185752.979383583</v>
      </c>
      <c r="J109" s="54" t="n">
        <f aca="false">(J84*(1-Assumptions!$D$88)-J104)*J108</f>
        <v>-148754.547141499</v>
      </c>
      <c r="K109" s="54" t="n">
        <f aca="false">(K84*(1-Assumptions!$D$88)-K104)*K108</f>
        <v>-144681.303243937</v>
      </c>
      <c r="L109" s="54" t="n">
        <f aca="false">(L84*(1-Assumptions!$D$88)-L104)*L108</f>
        <v>-140350.824830838</v>
      </c>
      <c r="M109" s="54" t="n">
        <f aca="false">(M84*(1-Assumptions!$D$88)-M104)*M108</f>
        <v>-136070.328967708</v>
      </c>
      <c r="N109" s="54" t="n">
        <f aca="false">(N84*(1-Assumptions!$D$88)-N104)*N108</f>
        <v>-131934.279934586</v>
      </c>
      <c r="P109" s="55" t="n">
        <f aca="false">SUM(C109:F109)</f>
        <v>-919414.301708042</v>
      </c>
      <c r="Q109" s="55" t="n">
        <f aca="false">SUM(G109:J109)</f>
        <v>-653569.781697165</v>
      </c>
      <c r="R109" s="55" t="n">
        <f aca="false">SUM(K109:N109)</f>
        <v>-553036.736977069</v>
      </c>
      <c r="S109" s="56" t="n">
        <f aca="false">SUM(P109:R109)</f>
        <v>-2126020.82038227</v>
      </c>
    </row>
    <row r="110" customFormat="false" ht="15" hidden="false" customHeight="false" outlineLevel="0" collapsed="false">
      <c r="A110" s="4" t="s">
        <v>572</v>
      </c>
      <c r="B110" s="36" t="s">
        <v>125</v>
      </c>
      <c r="C110" s="54" t="n">
        <f aca="false">(C104-C103)*12/(Assumptions!$D$89*Assumptions!$D$76)*Assumptions!$D$90</f>
        <v>221944.237012987</v>
      </c>
      <c r="D110" s="54" t="n">
        <f aca="false">(D104-D103)*12/(Assumptions!$D$89*Assumptions!$D$76)*Assumptions!$D$90</f>
        <v>191909.327746219</v>
      </c>
      <c r="E110" s="54" t="n">
        <f aca="false">(E104-E103)*12/(Assumptions!$D$89*Assumptions!$D$76)*Assumptions!$D$90</f>
        <v>194893.795899365</v>
      </c>
      <c r="F110" s="54" t="n">
        <f aca="false">(F104-F103)*12/(Assumptions!$D$89*Assumptions!$D$76)*Assumptions!$D$90</f>
        <v>197310.426036572</v>
      </c>
      <c r="G110" s="54" t="n">
        <f aca="false">(G104-G103)*12/(Assumptions!$D$89*Assumptions!$D$76)*Assumptions!$D$90</f>
        <v>152543.762080354</v>
      </c>
      <c r="H110" s="54" t="n">
        <f aca="false">(H104-H103)*12/(Assumptions!$D$89*Assumptions!$D$76)*Assumptions!$D$90</f>
        <v>153111.746699594</v>
      </c>
      <c r="I110" s="54" t="n">
        <f aca="false">(I104-I103)*12/(Assumptions!$D$89*Assumptions!$D$76)*Assumptions!$D$90</f>
        <v>185913.554972175</v>
      </c>
      <c r="J110" s="54" t="n">
        <f aca="false">(J104-J103)*12/(Assumptions!$D$89*Assumptions!$D$76)*Assumptions!$D$90</f>
        <v>153469.824041985</v>
      </c>
      <c r="K110" s="54" t="n">
        <f aca="false">(K104-K103)*12/(Assumptions!$D$89*Assumptions!$D$76)*Assumptions!$D$90</f>
        <v>153784.475826983</v>
      </c>
      <c r="L110" s="54" t="n">
        <f aca="false">(L104-L103)*12/(Assumptions!$D$89*Assumptions!$D$76)*Assumptions!$D$90</f>
        <v>153736.44779653</v>
      </c>
      <c r="M110" s="54" t="n">
        <f aca="false">(M104-M103)*12/(Assumptions!$D$89*Assumptions!$D$76)*Assumptions!$D$90</f>
        <v>153603.70718454</v>
      </c>
      <c r="N110" s="54" t="n">
        <f aca="false">(N104-N103)*12/(Assumptions!$D$89*Assumptions!$D$76)*Assumptions!$D$90</f>
        <v>153486.845405421</v>
      </c>
      <c r="P110" s="55" t="n">
        <f aca="false">SUM(C110:F110)</f>
        <v>806057.786695144</v>
      </c>
      <c r="Q110" s="55" t="n">
        <f aca="false">SUM(G110:J110)</f>
        <v>645038.887794108</v>
      </c>
      <c r="R110" s="55" t="n">
        <f aca="false">SUM(K110:N110)</f>
        <v>614611.476213474</v>
      </c>
      <c r="S110" s="56" t="n">
        <f aca="false">SUM(P110:R110)</f>
        <v>2065708.15070273</v>
      </c>
    </row>
    <row r="111" customFormat="false" ht="15" hidden="false" customHeight="false" outlineLevel="0" collapsed="false">
      <c r="A111" s="4" t="s">
        <v>573</v>
      </c>
      <c r="B111" s="36" t="s">
        <v>125</v>
      </c>
      <c r="C111" s="54" t="n">
        <f aca="false">0*Assumptions!$D$92^(1/4)+C110</f>
        <v>221944.237012987</v>
      </c>
      <c r="D111" s="54" t="n">
        <f aca="false">C111*Assumptions!$D$92^(1/4)+D110</f>
        <v>414406.356679267</v>
      </c>
      <c r="E111" s="54" t="n">
        <f aca="false">D111*Assumptions!$D$92^(1/4)+E110</f>
        <v>610332.305918937</v>
      </c>
      <c r="F111" s="54" t="n">
        <f aca="false">E111*Assumptions!$D$92^(1/4)+F110</f>
        <v>809162.874004723</v>
      </c>
      <c r="G111" s="54" t="n">
        <f aca="false">F111*Assumptions!$D$92^(1/4)+G110</f>
        <v>963722.001317277</v>
      </c>
      <c r="H111" s="54" t="n">
        <f aca="false">G111*Assumptions!$D$92^(1/4)+H110</f>
        <v>1119234.07047031</v>
      </c>
      <c r="I111" s="54" t="n">
        <f aca="false">H111*Assumptions!$D$92^(1/4)+I110</f>
        <v>1307935.27858969</v>
      </c>
      <c r="J111" s="54" t="n">
        <f aca="false">I111*Assumptions!$D$92^(1/4)+J110</f>
        <v>1464662.74997453</v>
      </c>
      <c r="K111" s="54" t="n">
        <f aca="false">J111*Assumptions!$D$92^(1/4)+K110</f>
        <v>1622095.23101533</v>
      </c>
      <c r="L111" s="54" t="n">
        <f aca="false">K111*Assumptions!$D$92^(1/4)+L110</f>
        <v>1779871.79784961</v>
      </c>
      <c r="M111" s="54" t="n">
        <f aca="false">L111*Assumptions!$D$92^(1/4)+M110</f>
        <v>1937908.59490319</v>
      </c>
      <c r="N111" s="54" t="n">
        <f aca="false">M111*Assumptions!$D$92^(1/4)+N110</f>
        <v>2096222.14915899</v>
      </c>
      <c r="P111" s="55" t="n">
        <f aca="false">F111</f>
        <v>809162.874004723</v>
      </c>
      <c r="Q111" s="55" t="n">
        <f aca="false">J111</f>
        <v>1464662.74997453</v>
      </c>
      <c r="R111" s="55" t="n">
        <f aca="false">N111</f>
        <v>2096222.14915899</v>
      </c>
      <c r="S111" s="56" t="n">
        <f aca="false">R111</f>
        <v>2096222.14915899</v>
      </c>
    </row>
    <row r="112" customFormat="false" ht="15" hidden="false" customHeight="false" outlineLevel="0" collapsed="false">
      <c r="A112" s="4" t="s">
        <v>574</v>
      </c>
      <c r="B112" s="36" t="s">
        <v>125</v>
      </c>
      <c r="C112" s="54" t="n">
        <f aca="false">(0+C111)/8*Assumptions!$D$76-(C104-C103)-C111*Assumptions!$D$93/4</f>
        <v>-258780.815239448</v>
      </c>
      <c r="D112" s="54" t="n">
        <f aca="false">(C111+D111)/8*Assumptions!$D$76-(D104-D103)-D111*Assumptions!$D$93/4</f>
        <v>-195986.821165305</v>
      </c>
      <c r="E112" s="54" t="n">
        <f aca="false">(D111+E111)/8*Assumptions!$D$76-(E104-E103)-E111*Assumptions!$D$93/4</f>
        <v>-175381.899091807</v>
      </c>
      <c r="F112" s="54" t="n">
        <f aca="false">(E111+F111)/8*Assumptions!$D$76-(F104-F103)-F111*Assumptions!$D$93/4</f>
        <v>-153681.42968334</v>
      </c>
      <c r="G112" s="54" t="n">
        <f aca="false">(F111+G111)/8*Assumptions!$D$76-(G104-G103)-G111*Assumptions!$D$93/4</f>
        <v>-76603.0657140662</v>
      </c>
      <c r="H112" s="54" t="n">
        <f aca="false">(G111+H111)/8*Assumptions!$D$76-(H104-H103)-H111*Assumptions!$D$93/4</f>
        <v>-57923.7752449867</v>
      </c>
      <c r="I112" s="54" t="n">
        <f aca="false">(H111+I111)/8*Assumptions!$D$76-(I104-I103)-I111*Assumptions!$D$93/4</f>
        <v>-76708.9765338211</v>
      </c>
      <c r="J112" s="54" t="n">
        <f aca="false">(I111+J111)/8*Assumptions!$D$76-(J104-J103)-J111*Assumptions!$D$93/4</f>
        <v>-15266.3992955401</v>
      </c>
      <c r="K112" s="54" t="n">
        <f aca="false">(J111+K111)/8*Assumptions!$D$76-(K104-K103)-K111*Assumptions!$D$93/4</f>
        <v>3979.61701682615</v>
      </c>
      <c r="L112" s="54" t="n">
        <f aca="false">(K111+L111)/8*Assumptions!$D$76-(L104-L103)-L111*Assumptions!$D$93/4</f>
        <v>23736.732898919</v>
      </c>
      <c r="M112" s="54" t="n">
        <f aca="false">(L111+M111)/8*Assumptions!$D$76-(M104-M103)-M111*Assumptions!$D$93/4</f>
        <v>43635.6802288053</v>
      </c>
      <c r="N112" s="54" t="n">
        <f aca="false">(M111+N111)/8*Assumptions!$D$76-(N104-N103)-N111*Assumptions!$D$93/4</f>
        <v>63548.6785164946</v>
      </c>
      <c r="P112" s="55" t="n">
        <f aca="false">SUM(C112:F112)</f>
        <v>-783830.9651799</v>
      </c>
      <c r="Q112" s="55" t="n">
        <f aca="false">SUM(G112:J112)</f>
        <v>-226502.216788414</v>
      </c>
      <c r="R112" s="55" t="n">
        <f aca="false">SUM(K112:N112)</f>
        <v>134900.708661045</v>
      </c>
      <c r="S112" s="56" t="n">
        <f aca="false">SUM(P112:R112)</f>
        <v>-875432.473307269</v>
      </c>
    </row>
    <row r="113" customFormat="false" ht="15" hidden="false" customHeight="false" outlineLevel="0" collapsed="false">
      <c r="A113" s="4" t="s">
        <v>575</v>
      </c>
      <c r="B113" s="36" t="s">
        <v>125</v>
      </c>
      <c r="C113" s="54" t="n">
        <f aca="false">C112*C108</f>
        <v>-251551.882088386</v>
      </c>
      <c r="D113" s="54" t="n">
        <f aca="false">D112*D108</f>
        <v>-185190.138946246</v>
      </c>
      <c r="E113" s="54" t="n">
        <f aca="false">E112*E108</f>
        <v>-161090.990342876</v>
      </c>
      <c r="F113" s="54" t="n">
        <f aca="false">F112*F108</f>
        <v>-137215.562217268</v>
      </c>
      <c r="G113" s="54" t="n">
        <f aca="false">G112*G108</f>
        <v>-66484.9922465259</v>
      </c>
      <c r="H113" s="54" t="n">
        <f aca="false">H112*H108</f>
        <v>-48868.5919311971</v>
      </c>
      <c r="I113" s="54" t="n">
        <f aca="false">I112*I108</f>
        <v>-62909.2704366641</v>
      </c>
      <c r="J113" s="54" t="n">
        <f aca="false">J112*J108</f>
        <v>-12170.2800506538</v>
      </c>
      <c r="K113" s="54" t="n">
        <f aca="false">K112*K108</f>
        <v>3083.90313337827</v>
      </c>
      <c r="L113" s="54" t="n">
        <f aca="false">L112*L108</f>
        <v>17880.3446689666</v>
      </c>
      <c r="M113" s="54" t="n">
        <f aca="false">M112*M108</f>
        <v>31951.56891579</v>
      </c>
      <c r="N113" s="54" t="n">
        <f aca="false">N112*N108</f>
        <v>45232.6941426853</v>
      </c>
      <c r="P113" s="55" t="n">
        <f aca="false">SUM(C113:F113)</f>
        <v>-735048.573594776</v>
      </c>
      <c r="Q113" s="55" t="n">
        <f aca="false">SUM(G113:J113)</f>
        <v>-190433.134665041</v>
      </c>
      <c r="R113" s="55" t="n">
        <f aca="false">SUM(K113:N113)</f>
        <v>98148.5108608202</v>
      </c>
      <c r="S113" s="56" t="n">
        <f aca="false">SUM(P113:R113)</f>
        <v>-827333.197398997</v>
      </c>
    </row>
    <row r="114" customFormat="false" ht="15" hidden="false" customHeight="false" outlineLevel="0" collapsed="false">
      <c r="A114" s="4" t="s">
        <v>576</v>
      </c>
      <c r="B114" s="36"/>
      <c r="C114" s="37" t="n">
        <f aca="false">IFERROR((S69*$C$18*Assumptions!$D$59+S70*$C$19*Assumptions!$D$60+S71*$C$20*Assumptions!$D$61)/(S69*$C$18+S70*$C$19+S71*$C$20),0.9)</f>
        <v>0.85930757822584</v>
      </c>
    </row>
    <row r="115" customFormat="false" ht="15" hidden="false" customHeight="false" outlineLevel="0" collapsed="false">
      <c r="A115" s="4" t="s">
        <v>577</v>
      </c>
      <c r="B115" s="36"/>
      <c r="C115" s="37" t="n">
        <f aca="false">IFERROR(N103*4/N81,0)</f>
        <v>0.222731658945673</v>
      </c>
    </row>
    <row r="116" customFormat="false" ht="15" hidden="false" customHeight="false" outlineLevel="0" collapsed="false">
      <c r="A116" s="4" t="s">
        <v>578</v>
      </c>
      <c r="B116" s="36"/>
      <c r="C116" s="60" t="n">
        <f aca="false">$C$114/(1+Assumptions!$D$87)</f>
        <v>0.767238909130214</v>
      </c>
    </row>
    <row r="117" customFormat="false" ht="15" hidden="false" customHeight="false" outlineLevel="0" collapsed="false">
      <c r="A117" s="4" t="s">
        <v>579</v>
      </c>
      <c r="B117" s="36"/>
      <c r="C117" s="60" t="n">
        <f aca="false">Assumptions!$D$91/(1+Assumptions!$D$87)</f>
        <v>0.803571428571429</v>
      </c>
    </row>
    <row r="118" customFormat="false" ht="15" hidden="false" customHeight="false" outlineLevel="0" collapsed="false">
      <c r="A118" s="35" t="s">
        <v>580</v>
      </c>
      <c r="B118" s="35" t="s">
        <v>444</v>
      </c>
      <c r="C118" s="6" t="s">
        <v>354</v>
      </c>
      <c r="D118" s="6" t="s">
        <v>355</v>
      </c>
      <c r="E118" s="6" t="s">
        <v>356</v>
      </c>
      <c r="F118" s="6" t="s">
        <v>357</v>
      </c>
      <c r="G118" s="6" t="s">
        <v>358</v>
      </c>
      <c r="H118" s="6" t="s">
        <v>359</v>
      </c>
      <c r="I118" s="6" t="s">
        <v>360</v>
      </c>
      <c r="J118" s="6" t="s">
        <v>361</v>
      </c>
      <c r="K118" s="6" t="s">
        <v>362</v>
      </c>
      <c r="L118" s="6" t="s">
        <v>363</v>
      </c>
      <c r="M118" s="6" t="s">
        <v>364</v>
      </c>
      <c r="N118" s="6" t="s">
        <v>365</v>
      </c>
      <c r="P118" s="6" t="s">
        <v>445</v>
      </c>
      <c r="Q118" s="6" t="s">
        <v>446</v>
      </c>
      <c r="R118" s="6" t="s">
        <v>447</v>
      </c>
      <c r="S118" s="6" t="s">
        <v>448</v>
      </c>
    </row>
    <row r="119" customFormat="false" ht="15" hidden="false" customHeight="false" outlineLevel="0" collapsed="false">
      <c r="A119" s="9" t="s">
        <v>581</v>
      </c>
      <c r="C119" s="61" t="n">
        <f aca="false">N81</f>
        <v>62906.1562730314</v>
      </c>
      <c r="D119" s="61"/>
    </row>
    <row r="120" customFormat="false" ht="15" hidden="false" customHeight="false" outlineLevel="0" collapsed="false">
      <c r="A120" s="9" t="s">
        <v>582</v>
      </c>
      <c r="C120" s="62" t="n">
        <f aca="false">N77</f>
        <v>7.61481866921757</v>
      </c>
      <c r="D120" s="62"/>
    </row>
    <row r="121" customFormat="false" ht="15" hidden="false" customHeight="false" outlineLevel="0" collapsed="false">
      <c r="A121" s="9" t="s">
        <v>583</v>
      </c>
      <c r="C121" s="63" t="n">
        <f aca="false">S72</f>
        <v>8.95062825244445</v>
      </c>
      <c r="D121" s="63"/>
    </row>
    <row r="122" customFormat="false" ht="15" hidden="false" customHeight="false" outlineLevel="0" collapsed="false">
      <c r="A122" s="9" t="s">
        <v>584</v>
      </c>
      <c r="C122" s="61" t="n">
        <f aca="false">S83</f>
        <v>74893.2811590445</v>
      </c>
      <c r="D122" s="61"/>
    </row>
    <row r="123" customFormat="false" ht="15" hidden="false" customHeight="false" outlineLevel="0" collapsed="false">
      <c r="A123" s="9" t="s">
        <v>22</v>
      </c>
      <c r="C123" s="61" t="n">
        <f aca="false">IFERROR(S82/S72,0)</f>
        <v>7293.91737210044</v>
      </c>
      <c r="D123" s="61"/>
    </row>
    <row r="124" customFormat="false" ht="15" hidden="false" customHeight="false" outlineLevel="0" collapsed="false">
      <c r="A124" s="9" t="s">
        <v>585</v>
      </c>
      <c r="C124" s="61" t="n">
        <f aca="false">IFERROR(S100/S72,0)</f>
        <v>203613.494017138</v>
      </c>
      <c r="D124" s="61"/>
    </row>
    <row r="125" customFormat="false" ht="23.85" hidden="false" customHeight="false" outlineLevel="0" collapsed="false">
      <c r="A125" s="9" t="s">
        <v>586</v>
      </c>
      <c r="C125" s="61" t="n">
        <f aca="false">IFERROR((S94+S96+S97+S98+S99)/S72,0)</f>
        <v>59515.4686309744</v>
      </c>
      <c r="D125" s="61"/>
    </row>
    <row r="126" customFormat="false" ht="15" hidden="false" customHeight="false" outlineLevel="0" collapsed="false">
      <c r="A126" s="9" t="s">
        <v>587</v>
      </c>
      <c r="C126" s="64" t="n">
        <f aca="false">IFERROR('Engine Runs'!$C$124/('Engine Runs'!$C$123*Assumptions!$D$76/12),0)</f>
        <v>609.06588414257</v>
      </c>
      <c r="D126" s="64"/>
    </row>
    <row r="127" customFormat="false" ht="15" hidden="false" customHeight="false" outlineLevel="0" collapsed="false">
      <c r="A127" s="9" t="s">
        <v>588</v>
      </c>
      <c r="C127" s="64" t="n">
        <f aca="false">IFERROR((R100/R72)/((R82/R72)*Assumptions!$D$76/12),0)</f>
        <v>474.317904836001</v>
      </c>
      <c r="D127" s="64"/>
    </row>
    <row r="128" customFormat="false" ht="15" hidden="false" customHeight="false" outlineLevel="0" collapsed="false">
      <c r="A128" s="9" t="s">
        <v>589</v>
      </c>
      <c r="C128" s="61" t="n">
        <f aca="false">S104</f>
        <v>2544131.07717482</v>
      </c>
      <c r="D128" s="61"/>
    </row>
    <row r="129" customFormat="false" ht="15" hidden="false" customHeight="false" outlineLevel="0" collapsed="false">
      <c r="A129" s="9" t="s">
        <v>590</v>
      </c>
      <c r="C129" s="61" t="n">
        <f aca="false">N107</f>
        <v>-2502939.77253735</v>
      </c>
      <c r="D129" s="61"/>
    </row>
    <row r="130" customFormat="false" ht="15" hidden="false" customHeight="false" outlineLevel="0" collapsed="false">
      <c r="A130" s="9" t="s">
        <v>591</v>
      </c>
      <c r="C130" s="61" t="n">
        <f aca="false">MIN($C$107:$N$107)</f>
        <v>-2502939.77253735</v>
      </c>
      <c r="D130" s="61"/>
    </row>
    <row r="131" customFormat="false" ht="15" hidden="false" customHeight="false" outlineLevel="0" collapsed="false">
      <c r="A131" s="9" t="s">
        <v>592</v>
      </c>
      <c r="C131" s="61" t="n">
        <f aca="false">N81*(Assumptions!$D$76-$C$115)*$C$114*(1-$C$114^Assumptions!$D$85)/(1-$C$114)</f>
        <v>66826.500349678</v>
      </c>
      <c r="D131" s="61"/>
    </row>
    <row r="132" customFormat="false" ht="15" hidden="false" customHeight="false" outlineLevel="0" collapsed="false">
      <c r="A132" s="9" t="s">
        <v>593</v>
      </c>
      <c r="C132" s="61" t="n">
        <f aca="false">N81*(Assumptions!$D$76-$C$115)*(1-Assumptions!$D$88)/(1+Assumptions!$D$87)^2.5*$C$116*(1-$C$116^Assumptions!$D$85)/(1-$C$116)</f>
        <v>26269.3432935937</v>
      </c>
      <c r="D132" s="61"/>
    </row>
    <row r="133" customFormat="false" ht="15" hidden="false" customHeight="false" outlineLevel="0" collapsed="false">
      <c r="A133" s="9" t="s">
        <v>594</v>
      </c>
      <c r="C133" s="61" t="n">
        <f aca="false">SUM($C$109:$N$109)+'Engine Runs'!$C$132</f>
        <v>-2099751.47708868</v>
      </c>
      <c r="D133" s="61"/>
    </row>
    <row r="134" customFormat="false" ht="15" hidden="false" customHeight="false" outlineLevel="0" collapsed="false">
      <c r="A134" s="9" t="s">
        <v>595</v>
      </c>
      <c r="C134" s="61" t="n">
        <f aca="false">SUM($C$113:$N$113)+N111*(Assumptions!$D$76-Assumptions!$D$93)/(1+Assumptions!$D$87)^2.5*$C$117*(1-$C$117^Assumptions!$D$85)/(1-$C$117)</f>
        <v>1320322.29312684</v>
      </c>
      <c r="D134" s="61"/>
    </row>
    <row r="135" customFormat="false" ht="15" hidden="false" customHeight="false" outlineLevel="0" collapsed="false">
      <c r="A135" s="9" t="s">
        <v>596</v>
      </c>
      <c r="C135" s="61" t="n">
        <f aca="false">'Engine Runs'!$C$133-'Engine Runs'!$C$134</f>
        <v>-3420073.77021552</v>
      </c>
      <c r="D135" s="61"/>
    </row>
    <row r="136" customFormat="false" ht="15" hidden="false" customHeight="false" outlineLevel="0" collapsed="false">
      <c r="A136" s="9" t="s">
        <v>597</v>
      </c>
      <c r="C136" s="61" t="n">
        <f aca="false">S68</f>
        <v>0</v>
      </c>
      <c r="D136" s="61"/>
    </row>
    <row r="137" customFormat="false" ht="15" hidden="false" customHeight="false" outlineLevel="0" collapsed="false">
      <c r="A137" s="9" t="s">
        <v>598</v>
      </c>
      <c r="C137" s="63" t="n">
        <f aca="false">P52</f>
        <v>15.5670341760124</v>
      </c>
      <c r="D137" s="63"/>
    </row>
    <row r="138" customFormat="false" ht="15" hidden="false" customHeight="false" outlineLevel="0" collapsed="false">
      <c r="A138" s="9" t="s">
        <v>599</v>
      </c>
      <c r="C138" s="63" t="n">
        <f aca="false">P72</f>
        <v>1.54372468444785</v>
      </c>
      <c r="D138" s="63"/>
    </row>
    <row r="139" customFormat="false" ht="15" hidden="false" customHeight="false" outlineLevel="0" collapsed="false">
      <c r="A139" s="9" t="s">
        <v>600</v>
      </c>
      <c r="C139" s="63" t="n">
        <f aca="false">P48</f>
        <v>20</v>
      </c>
      <c r="D139" s="63"/>
    </row>
    <row r="140" customFormat="false" ht="15" hidden="false" customHeight="false" outlineLevel="0" collapsed="false">
      <c r="A140" s="9" t="s">
        <v>601</v>
      </c>
      <c r="C140" s="61" t="n">
        <f aca="false">IFERROR(P82/P72,0)</f>
        <v>6891.78950927565</v>
      </c>
      <c r="D140" s="61"/>
    </row>
    <row r="143" customFormat="false" ht="15" hidden="false" customHeight="true" outlineLevel="0" collapsed="false">
      <c r="A143" s="77" t="s">
        <v>763</v>
      </c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</row>
    <row r="144" customFormat="false" ht="15" hidden="false" customHeight="false" outlineLevel="0" collapsed="false">
      <c r="A144" s="35" t="s">
        <v>764</v>
      </c>
      <c r="B144" s="35" t="s">
        <v>444</v>
      </c>
      <c r="C144" s="6" t="s">
        <v>354</v>
      </c>
      <c r="D144" s="6" t="s">
        <v>355</v>
      </c>
      <c r="E144" s="6" t="s">
        <v>356</v>
      </c>
      <c r="F144" s="6" t="s">
        <v>357</v>
      </c>
      <c r="G144" s="6" t="s">
        <v>358</v>
      </c>
      <c r="H144" s="6" t="s">
        <v>359</v>
      </c>
      <c r="I144" s="6" t="s">
        <v>360</v>
      </c>
      <c r="J144" s="6" t="s">
        <v>361</v>
      </c>
      <c r="K144" s="6" t="s">
        <v>362</v>
      </c>
      <c r="L144" s="6" t="s">
        <v>363</v>
      </c>
      <c r="M144" s="6" t="s">
        <v>364</v>
      </c>
      <c r="N144" s="6" t="s">
        <v>365</v>
      </c>
      <c r="P144" s="6" t="s">
        <v>445</v>
      </c>
      <c r="Q144" s="6" t="s">
        <v>446</v>
      </c>
      <c r="R144" s="6" t="s">
        <v>447</v>
      </c>
      <c r="S144" s="6" t="s">
        <v>448</v>
      </c>
    </row>
    <row r="145" customFormat="false" ht="15" hidden="false" customHeight="false" outlineLevel="0" collapsed="false">
      <c r="A145" s="4" t="s">
        <v>449</v>
      </c>
      <c r="B145" s="36" t="s">
        <v>450</v>
      </c>
      <c r="C145" s="34" t="n">
        <f aca="false">'Market Sizing'!$C$17*Assumptions!$E$10*Assumptions!$E$11*(1-Assumptions!$E$12)</f>
        <v>843.03944704</v>
      </c>
    </row>
    <row r="146" customFormat="false" ht="15" hidden="false" customHeight="false" outlineLevel="0" collapsed="false">
      <c r="A146" s="4" t="s">
        <v>451</v>
      </c>
      <c r="B146" s="36" t="s">
        <v>450</v>
      </c>
      <c r="C146" s="34" t="n">
        <f aca="false">'Market Sizing'!$D$17*Assumptions!$E$10*Assumptions!$E$11*(1-Assumptions!$E$12)</f>
        <v>211.19616</v>
      </c>
    </row>
    <row r="147" customFormat="false" ht="15" hidden="false" customHeight="false" outlineLevel="0" collapsed="false">
      <c r="A147" s="4" t="s">
        <v>452</v>
      </c>
      <c r="B147" s="36" t="s">
        <v>450</v>
      </c>
      <c r="C147" s="34" t="n">
        <f aca="false">'Market Sizing'!$E$17*Assumptions!$E$10*Assumptions!$E$11*(1-Assumptions!$E$12)</f>
        <v>49.53984</v>
      </c>
    </row>
    <row r="148" customFormat="false" ht="15" hidden="false" customHeight="false" outlineLevel="0" collapsed="false">
      <c r="A148" s="4" t="s">
        <v>453</v>
      </c>
      <c r="B148" s="36"/>
      <c r="C148" s="34" t="n">
        <f aca="false">$C$145+$C$146+$C$147</f>
        <v>1103.77544704</v>
      </c>
    </row>
    <row r="149" customFormat="false" ht="15" hidden="false" customHeight="false" outlineLevel="0" collapsed="false">
      <c r="A149" s="4" t="s">
        <v>454</v>
      </c>
      <c r="B149" s="36" t="s">
        <v>450</v>
      </c>
      <c r="C149" s="34" t="n">
        <f aca="false">'Market Sizing'!$C$18*Assumptions!$E$10*Assumptions!$E$11*(1-Assumptions!$E$12)</f>
        <v>612.57706944</v>
      </c>
    </row>
    <row r="150" customFormat="false" ht="15" hidden="false" customHeight="false" outlineLevel="0" collapsed="false">
      <c r="A150" s="4" t="s">
        <v>455</v>
      </c>
      <c r="B150" s="36" t="s">
        <v>450</v>
      </c>
      <c r="C150" s="34" t="n">
        <f aca="false">'Market Sizing'!$D$18*Assumptions!$E$10*Assumptions!$E$11*(1-Assumptions!$E$12)</f>
        <v>142.10112</v>
      </c>
    </row>
    <row r="151" customFormat="false" ht="15" hidden="false" customHeight="false" outlineLevel="0" collapsed="false">
      <c r="A151" s="4" t="s">
        <v>456</v>
      </c>
      <c r="B151" s="36" t="s">
        <v>450</v>
      </c>
      <c r="C151" s="34" t="n">
        <f aca="false">'Market Sizing'!$E$18*Assumptions!$E$10*Assumptions!$E$11*(1-Assumptions!$E$12)</f>
        <v>24.76992</v>
      </c>
    </row>
    <row r="152" customFormat="false" ht="15" hidden="false" customHeight="false" outlineLevel="0" collapsed="false">
      <c r="A152" s="4" t="s">
        <v>457</v>
      </c>
      <c r="B152" s="36"/>
      <c r="C152" s="34" t="n">
        <f aca="false">$C$149+$C$150+$C$151</f>
        <v>779.44810944</v>
      </c>
    </row>
    <row r="153" customFormat="false" ht="15" hidden="false" customHeight="false" outlineLevel="0" collapsed="false">
      <c r="A153" s="4" t="s">
        <v>458</v>
      </c>
      <c r="B153" s="36" t="s">
        <v>450</v>
      </c>
      <c r="C153" s="34" t="n">
        <f aca="false">'Market Sizing'!$C$19*Assumptions!$E$10*Assumptions!$E$11*(1-Assumptions!$E$12)</f>
        <v>2060.77303936</v>
      </c>
    </row>
    <row r="154" customFormat="false" ht="15" hidden="false" customHeight="false" outlineLevel="0" collapsed="false">
      <c r="A154" s="4" t="s">
        <v>459</v>
      </c>
      <c r="B154" s="36" t="s">
        <v>450</v>
      </c>
      <c r="C154" s="34" t="n">
        <f aca="false">'Market Sizing'!$D$19*Assumptions!$E$10*Assumptions!$E$11*(1-Assumptions!$E$12)</f>
        <v>428.47616</v>
      </c>
    </row>
    <row r="155" customFormat="false" ht="15" hidden="false" customHeight="false" outlineLevel="0" collapsed="false">
      <c r="A155" s="4" t="s">
        <v>460</v>
      </c>
      <c r="B155" s="36" t="s">
        <v>450</v>
      </c>
      <c r="C155" s="34" t="n">
        <f aca="false">'Market Sizing'!$E$19*Assumptions!$E$10*Assumptions!$E$11*(1-Assumptions!$E$12)</f>
        <v>79.52448</v>
      </c>
    </row>
    <row r="156" customFormat="false" ht="15" hidden="false" customHeight="false" outlineLevel="0" collapsed="false">
      <c r="A156" s="4" t="s">
        <v>461</v>
      </c>
      <c r="B156" s="36"/>
      <c r="C156" s="34" t="n">
        <f aca="false">$C$153+$C$154+$C$155</f>
        <v>2568.77367936</v>
      </c>
    </row>
    <row r="157" customFormat="false" ht="15" hidden="false" customHeight="false" outlineLevel="0" collapsed="false">
      <c r="A157" s="4" t="s">
        <v>462</v>
      </c>
      <c r="B157" s="36" t="s">
        <v>463</v>
      </c>
      <c r="C157" s="33" t="n">
        <f aca="false">MAX((Assumptions!$E$51+Assumptions!$E$53)*12,(((('Market Sizing'!$E$25*Assumptions!$E$41*Assumptions!$E$42*Assumptions!$E$43)*Assumptions!$E$44)*Assumptions!$E$45*Assumptions!$E$46+('Market Sizing'!$E$25*Assumptions!$E$41*Assumptions!$E$42*Assumptions!$E$43)*Assumptions!$E$47+('Market Sizing'!$E$25*Assumptions!$E$41*Assumptions!$E$42*Assumptions!$E$43)*Assumptions!$E$48*Assumptions!$E$49)*(Assumptions!$E$51*12/Assumptions!$E$52)+((('Market Sizing'!$E$25*Assumptions!$E$41*Assumptions!$E$42*Assumptions!$E$43)*Assumptions!$E$44)*Assumptions!$E$45+('Market Sizing'!$E$25*Assumptions!$E$41*Assumptions!$E$42*Assumptions!$E$43)+('Market Sizing'!$E$25*Assumptions!$E$41*Assumptions!$E$42*Assumptions!$E$43)*Assumptions!$E$48)*Assumptions!$E$50*(Assumptions!$E$53*12/Assumptions!$E$54)))</f>
        <v>5352</v>
      </c>
    </row>
    <row r="158" customFormat="false" ht="15" hidden="false" customHeight="false" outlineLevel="0" collapsed="false">
      <c r="A158" s="4" t="s">
        <v>464</v>
      </c>
      <c r="B158" s="36" t="s">
        <v>463</v>
      </c>
      <c r="C158" s="33" t="n">
        <f aca="false">MAX((Assumptions!$E$51+Assumptions!$E$53)*12,(((('Market Sizing'!$E$26*Assumptions!$E$41*Assumptions!$E$42*Assumptions!$E$43)*Assumptions!$E$44)*Assumptions!$E$45*Assumptions!$E$46+('Market Sizing'!$E$26*Assumptions!$E$41*Assumptions!$E$42*Assumptions!$E$43)*Assumptions!$E$47+('Market Sizing'!$E$26*Assumptions!$E$41*Assumptions!$E$42*Assumptions!$E$43)*Assumptions!$E$48*Assumptions!$E$49)*(Assumptions!$E$51*12/Assumptions!$E$52)+((('Market Sizing'!$E$26*Assumptions!$E$41*Assumptions!$E$42*Assumptions!$E$43)*Assumptions!$E$44)*Assumptions!$E$45+('Market Sizing'!$E$26*Assumptions!$E$41*Assumptions!$E$42*Assumptions!$E$43)+('Market Sizing'!$E$26*Assumptions!$E$41*Assumptions!$E$42*Assumptions!$E$43)*Assumptions!$E$48)*Assumptions!$E$50*(Assumptions!$E$53*12/Assumptions!$E$54)))</f>
        <v>9766.72012875208</v>
      </c>
    </row>
    <row r="159" customFormat="false" ht="15" hidden="false" customHeight="false" outlineLevel="0" collapsed="false">
      <c r="A159" s="4" t="s">
        <v>465</v>
      </c>
      <c r="B159" s="36" t="s">
        <v>463</v>
      </c>
      <c r="C159" s="33" t="n">
        <f aca="false">MAX(Assumptions!$E$55*(Assumptions!$E$51*12/Assumptions!$E$52)+Assumptions!$E$56*(Assumptions!$E$53*12/Assumptions!$E$54),(((('Market Sizing'!$E$27*Assumptions!$E$41*Assumptions!$E$42*Assumptions!$E$43)*Assumptions!$E$44)*Assumptions!$E$45*Assumptions!$E$46+('Market Sizing'!$E$27*Assumptions!$E$41*Assumptions!$E$42*Assumptions!$E$43)*Assumptions!$E$47+('Market Sizing'!$E$27*Assumptions!$E$41*Assumptions!$E$42*Assumptions!$E$43)*Assumptions!$E$48*Assumptions!$E$49)*(Assumptions!$E$51*12/Assumptions!$E$52)+((('Market Sizing'!$E$27*Assumptions!$E$41*Assumptions!$E$42*Assumptions!$E$43)*Assumptions!$E$44)*Assumptions!$E$45+('Market Sizing'!$E$27*Assumptions!$E$41*Assumptions!$E$42*Assumptions!$E$43)+('Market Sizing'!$E$27*Assumptions!$E$41*Assumptions!$E$42*Assumptions!$E$43)*Assumptions!$E$48)*Assumptions!$E$50*(Assumptions!$E$53*12/Assumptions!$E$54)))*(1-Assumptions!$E$57)</f>
        <v>61778.2562194386</v>
      </c>
    </row>
    <row r="160" customFormat="false" ht="23.85" hidden="false" customHeight="false" outlineLevel="0" collapsed="false">
      <c r="A160" s="4" t="s">
        <v>466</v>
      </c>
      <c r="B160" s="36" t="s">
        <v>467</v>
      </c>
      <c r="C160" s="37" t="n">
        <f aca="false">Assumptions!$E$17*Assumptions!$D$106</f>
        <v>0.4</v>
      </c>
    </row>
    <row r="161" customFormat="false" ht="23.85" hidden="false" customHeight="false" outlineLevel="0" collapsed="false">
      <c r="A161" s="4" t="s">
        <v>468</v>
      </c>
      <c r="B161" s="36" t="s">
        <v>469</v>
      </c>
      <c r="C161" s="33" t="n">
        <f aca="false">Assumptions!$E$68/Assumptions!$E$69</f>
        <v>285714.285714286</v>
      </c>
    </row>
    <row r="162" customFormat="false" ht="23.85" hidden="false" customHeight="false" outlineLevel="0" collapsed="false">
      <c r="A162" s="4" t="s">
        <v>470</v>
      </c>
      <c r="B162" s="36" t="s">
        <v>471</v>
      </c>
      <c r="C162" s="33" t="n">
        <f aca="false">Assumptions!$E$66*Assumptions!$E$67/4</f>
        <v>153125</v>
      </c>
    </row>
    <row r="163" customFormat="false" ht="15" hidden="false" customHeight="false" outlineLevel="0" collapsed="false">
      <c r="A163" s="4" t="s">
        <v>472</v>
      </c>
      <c r="B163" s="36"/>
      <c r="C163" s="38" t="n">
        <f aca="false">$C$161/Assumptions!$E$66/Assumptions!$E$67</f>
        <v>0.466472303206997</v>
      </c>
    </row>
    <row r="164" customFormat="false" ht="15" hidden="false" customHeight="false" outlineLevel="0" collapsed="false">
      <c r="A164" s="4" t="s">
        <v>473</v>
      </c>
      <c r="B164" s="36"/>
      <c r="C164" s="33" t="n">
        <f aca="false">MAX(0,Assumptions!$D$103-Assumptions!$E$78)</f>
        <v>0</v>
      </c>
    </row>
    <row r="165" customFormat="false" ht="15" hidden="false" customHeight="false" outlineLevel="0" collapsed="false">
      <c r="A165" s="35" t="s">
        <v>474</v>
      </c>
      <c r="B165" s="35" t="s">
        <v>444</v>
      </c>
      <c r="C165" s="6" t="s">
        <v>354</v>
      </c>
      <c r="D165" s="6" t="s">
        <v>355</v>
      </c>
      <c r="E165" s="6" t="s">
        <v>356</v>
      </c>
      <c r="F165" s="6" t="s">
        <v>357</v>
      </c>
      <c r="G165" s="6" t="s">
        <v>358</v>
      </c>
      <c r="H165" s="6" t="s">
        <v>359</v>
      </c>
      <c r="I165" s="6" t="s">
        <v>360</v>
      </c>
      <c r="J165" s="6" t="s">
        <v>361</v>
      </c>
      <c r="K165" s="6" t="s">
        <v>362</v>
      </c>
      <c r="L165" s="6" t="s">
        <v>363</v>
      </c>
      <c r="M165" s="6" t="s">
        <v>364</v>
      </c>
      <c r="N165" s="6" t="s">
        <v>365</v>
      </c>
      <c r="P165" s="6" t="s">
        <v>445</v>
      </c>
      <c r="Q165" s="6" t="s">
        <v>446</v>
      </c>
      <c r="R165" s="6" t="s">
        <v>447</v>
      </c>
      <c r="S165" s="6" t="s">
        <v>448</v>
      </c>
    </row>
    <row r="166" customFormat="false" ht="15" hidden="false" customHeight="false" outlineLevel="0" collapsed="false">
      <c r="A166" s="4" t="s">
        <v>475</v>
      </c>
      <c r="B166" s="36" t="s">
        <v>133</v>
      </c>
      <c r="C166" s="39" t="n">
        <v>1</v>
      </c>
      <c r="D166" s="39" t="n">
        <v>2</v>
      </c>
      <c r="E166" s="39" t="n">
        <v>3</v>
      </c>
      <c r="F166" s="39" t="n">
        <v>4</v>
      </c>
      <c r="G166" s="39" t="n">
        <v>5</v>
      </c>
      <c r="H166" s="39" t="n">
        <v>6</v>
      </c>
      <c r="I166" s="39" t="n">
        <v>7</v>
      </c>
      <c r="J166" s="39" t="n">
        <v>8</v>
      </c>
      <c r="K166" s="39" t="n">
        <v>9</v>
      </c>
      <c r="L166" s="39" t="n">
        <v>10</v>
      </c>
      <c r="M166" s="39" t="n">
        <v>11</v>
      </c>
      <c r="N166" s="39" t="n">
        <v>12</v>
      </c>
      <c r="P166" s="40"/>
      <c r="Q166" s="40"/>
      <c r="R166" s="40"/>
      <c r="S166" s="41"/>
    </row>
    <row r="167" customFormat="false" ht="15" hidden="false" customHeight="false" outlineLevel="0" collapsed="false">
      <c r="A167" s="4" t="s">
        <v>476</v>
      </c>
      <c r="B167" s="36" t="s">
        <v>343</v>
      </c>
      <c r="C167" s="39" t="n">
        <f aca="false">IF(C166&lt;=Assumptions!$E$84,1,0)</f>
        <v>1</v>
      </c>
      <c r="D167" s="39" t="n">
        <f aca="false">IF(D166&lt;=Assumptions!$E$84,1,0)</f>
        <v>1</v>
      </c>
      <c r="E167" s="39" t="n">
        <f aca="false">IF(E166&lt;=Assumptions!$E$84,1,0)</f>
        <v>1</v>
      </c>
      <c r="F167" s="39" t="n">
        <f aca="false">IF(F166&lt;=Assumptions!$E$84,1,0)</f>
        <v>1</v>
      </c>
      <c r="G167" s="39" t="n">
        <f aca="false">IF(G166&lt;=Assumptions!$E$84,1,0)</f>
        <v>1</v>
      </c>
      <c r="H167" s="39" t="n">
        <f aca="false">IF(H166&lt;=Assumptions!$E$84,1,0)</f>
        <v>1</v>
      </c>
      <c r="I167" s="39" t="n">
        <f aca="false">IF(I166&lt;=Assumptions!$E$84,1,0)</f>
        <v>1</v>
      </c>
      <c r="J167" s="39" t="n">
        <f aca="false">IF(J166&lt;=Assumptions!$E$84,1,0)</f>
        <v>1</v>
      </c>
      <c r="K167" s="39" t="n">
        <f aca="false">IF(K166&lt;=Assumptions!$E$84,1,0)</f>
        <v>1</v>
      </c>
      <c r="L167" s="39" t="n">
        <f aca="false">IF(L166&lt;=Assumptions!$E$84,1,0)</f>
        <v>1</v>
      </c>
      <c r="M167" s="39" t="n">
        <f aca="false">IF(M166&lt;=Assumptions!$E$84,1,0)</f>
        <v>1</v>
      </c>
      <c r="N167" s="39" t="n">
        <f aca="false">IF(N166&lt;=Assumptions!$E$84,1,0)</f>
        <v>1</v>
      </c>
      <c r="P167" s="40"/>
      <c r="Q167" s="40"/>
      <c r="R167" s="40"/>
      <c r="S167" s="41"/>
    </row>
    <row r="168" customFormat="false" ht="15" hidden="false" customHeight="false" outlineLevel="0" collapsed="false">
      <c r="A168" s="4" t="s">
        <v>477</v>
      </c>
      <c r="B168" s="36" t="s">
        <v>478</v>
      </c>
      <c r="C168" s="42" t="n">
        <f aca="false">IF(C166=Assumptions!$E$13,0.5,IF(C166&gt;Assumptions!$E$13,1,0))</f>
        <v>0.5</v>
      </c>
      <c r="D168" s="42" t="n">
        <f aca="false">IF(D166=Assumptions!$E$13,0.5,IF(D166&gt;Assumptions!$E$13,1,0))</f>
        <v>1</v>
      </c>
      <c r="E168" s="42" t="n">
        <f aca="false">IF(E166=Assumptions!$E$13,0.5,IF(E166&gt;Assumptions!$E$13,1,0))</f>
        <v>1</v>
      </c>
      <c r="F168" s="42" t="n">
        <f aca="false">IF(F166=Assumptions!$E$13,0.5,IF(F166&gt;Assumptions!$E$13,1,0))</f>
        <v>1</v>
      </c>
      <c r="G168" s="42" t="n">
        <f aca="false">IF(G166=Assumptions!$E$13,0.5,IF(G166&gt;Assumptions!$E$13,1,0))</f>
        <v>1</v>
      </c>
      <c r="H168" s="42" t="n">
        <f aca="false">IF(H166=Assumptions!$E$13,0.5,IF(H166&gt;Assumptions!$E$13,1,0))</f>
        <v>1</v>
      </c>
      <c r="I168" s="42" t="n">
        <f aca="false">IF(I166=Assumptions!$E$13,0.5,IF(I166&gt;Assumptions!$E$13,1,0))</f>
        <v>1</v>
      </c>
      <c r="J168" s="42" t="n">
        <f aca="false">IF(J166=Assumptions!$E$13,0.5,IF(J166&gt;Assumptions!$E$13,1,0))</f>
        <v>1</v>
      </c>
      <c r="K168" s="42" t="n">
        <f aca="false">IF(K166=Assumptions!$E$13,0.5,IF(K166&gt;Assumptions!$E$13,1,0))</f>
        <v>1</v>
      </c>
      <c r="L168" s="42" t="n">
        <f aca="false">IF(L166=Assumptions!$E$13,0.5,IF(L166&gt;Assumptions!$E$13,1,0))</f>
        <v>1</v>
      </c>
      <c r="M168" s="42" t="n">
        <f aca="false">IF(M166=Assumptions!$E$13,0.5,IF(M166&gt;Assumptions!$E$13,1,0))</f>
        <v>1</v>
      </c>
      <c r="N168" s="42" t="n">
        <f aca="false">IF(N166=Assumptions!$E$13,0.5,IF(N166&gt;Assumptions!$E$13,1,0))</f>
        <v>1</v>
      </c>
      <c r="P168" s="43"/>
      <c r="Q168" s="43"/>
      <c r="R168" s="43"/>
      <c r="S168" s="44"/>
    </row>
    <row r="169" customFormat="false" ht="15" hidden="false" customHeight="false" outlineLevel="0" collapsed="false">
      <c r="A169" s="4" t="s">
        <v>479</v>
      </c>
      <c r="B169" s="36" t="s">
        <v>478</v>
      </c>
      <c r="C169" s="42" t="n">
        <f aca="false">IF(C166=Assumptions!$E$14,0.5,IF(C166&gt;Assumptions!$E$14,1,0))</f>
        <v>0</v>
      </c>
      <c r="D169" s="42" t="n">
        <f aca="false">IF(D166=Assumptions!$E$14,0.5,IF(D166&gt;Assumptions!$E$14,1,0))</f>
        <v>0</v>
      </c>
      <c r="E169" s="42" t="n">
        <f aca="false">IF(E166=Assumptions!$E$14,0.5,IF(E166&gt;Assumptions!$E$14,1,0))</f>
        <v>0</v>
      </c>
      <c r="F169" s="42" t="n">
        <f aca="false">IF(F166=Assumptions!$E$14,0.5,IF(F166&gt;Assumptions!$E$14,1,0))</f>
        <v>0</v>
      </c>
      <c r="G169" s="42" t="n">
        <f aca="false">IF(G166=Assumptions!$E$14,0.5,IF(G166&gt;Assumptions!$E$14,1,0))</f>
        <v>0.5</v>
      </c>
      <c r="H169" s="42" t="n">
        <f aca="false">IF(H166=Assumptions!$E$14,0.5,IF(H166&gt;Assumptions!$E$14,1,0))</f>
        <v>1</v>
      </c>
      <c r="I169" s="42" t="n">
        <f aca="false">IF(I166=Assumptions!$E$14,0.5,IF(I166&gt;Assumptions!$E$14,1,0))</f>
        <v>1</v>
      </c>
      <c r="J169" s="42" t="n">
        <f aca="false">IF(J166=Assumptions!$E$14,0.5,IF(J166&gt;Assumptions!$E$14,1,0))</f>
        <v>1</v>
      </c>
      <c r="K169" s="42" t="n">
        <f aca="false">IF(K166=Assumptions!$E$14,0.5,IF(K166&gt;Assumptions!$E$14,1,0))</f>
        <v>1</v>
      </c>
      <c r="L169" s="42" t="n">
        <f aca="false">IF(L166=Assumptions!$E$14,0.5,IF(L166&gt;Assumptions!$E$14,1,0))</f>
        <v>1</v>
      </c>
      <c r="M169" s="42" t="n">
        <f aca="false">IF(M166=Assumptions!$E$14,0.5,IF(M166&gt;Assumptions!$E$14,1,0))</f>
        <v>1</v>
      </c>
      <c r="N169" s="42" t="n">
        <f aca="false">IF(N166=Assumptions!$E$14,0.5,IF(N166&gt;Assumptions!$E$14,1,0))</f>
        <v>1</v>
      </c>
      <c r="P169" s="43"/>
      <c r="Q169" s="43"/>
      <c r="R169" s="43"/>
      <c r="S169" s="44"/>
    </row>
    <row r="170" customFormat="false" ht="15" hidden="false" customHeight="false" outlineLevel="0" collapsed="false">
      <c r="A170" s="4" t="s">
        <v>480</v>
      </c>
      <c r="B170" s="36" t="s">
        <v>478</v>
      </c>
      <c r="C170" s="42" t="n">
        <f aca="false">IF(C166=Assumptions!$E$15,0.5,IF(C166&gt;Assumptions!$E$15,1,0))</f>
        <v>0</v>
      </c>
      <c r="D170" s="42" t="n">
        <f aca="false">IF(D166=Assumptions!$E$15,0.5,IF(D166&gt;Assumptions!$E$15,1,0))</f>
        <v>0</v>
      </c>
      <c r="E170" s="42" t="n">
        <f aca="false">IF(E166=Assumptions!$E$15,0.5,IF(E166&gt;Assumptions!$E$15,1,0))</f>
        <v>0</v>
      </c>
      <c r="F170" s="42" t="n">
        <f aca="false">IF(F166=Assumptions!$E$15,0.5,IF(F166&gt;Assumptions!$E$15,1,0))</f>
        <v>0</v>
      </c>
      <c r="G170" s="42" t="n">
        <f aca="false">IF(G166=Assumptions!$E$15,0.5,IF(G166&gt;Assumptions!$E$15,1,0))</f>
        <v>0</v>
      </c>
      <c r="H170" s="42" t="n">
        <f aca="false">IF(H166=Assumptions!$E$15,0.5,IF(H166&gt;Assumptions!$E$15,1,0))</f>
        <v>0</v>
      </c>
      <c r="I170" s="42" t="n">
        <f aca="false">IF(I166=Assumptions!$E$15,0.5,IF(I166&gt;Assumptions!$E$15,1,0))</f>
        <v>0.5</v>
      </c>
      <c r="J170" s="42" t="n">
        <f aca="false">IF(J166=Assumptions!$E$15,0.5,IF(J166&gt;Assumptions!$E$15,1,0))</f>
        <v>1</v>
      </c>
      <c r="K170" s="42" t="n">
        <f aca="false">IF(K166=Assumptions!$E$15,0.5,IF(K166&gt;Assumptions!$E$15,1,0))</f>
        <v>1</v>
      </c>
      <c r="L170" s="42" t="n">
        <f aca="false">IF(L166=Assumptions!$E$15,0.5,IF(L166&gt;Assumptions!$E$15,1,0))</f>
        <v>1</v>
      </c>
      <c r="M170" s="42" t="n">
        <f aca="false">IF(M166=Assumptions!$E$15,0.5,IF(M166&gt;Assumptions!$E$15,1,0))</f>
        <v>1</v>
      </c>
      <c r="N170" s="42" t="n">
        <f aca="false">IF(N166=Assumptions!$E$15,0.5,IF(N166&gt;Assumptions!$E$15,1,0))</f>
        <v>1</v>
      </c>
      <c r="P170" s="43"/>
      <c r="Q170" s="43"/>
      <c r="R170" s="43"/>
      <c r="S170" s="44"/>
    </row>
    <row r="171" customFormat="false" ht="15" hidden="false" customHeight="false" outlineLevel="0" collapsed="false">
      <c r="A171" s="4" t="s">
        <v>481</v>
      </c>
      <c r="B171" s="36" t="s">
        <v>478</v>
      </c>
      <c r="C171" s="45" t="n">
        <f aca="false">Assumptions!$E$21^(MAX(0,C166-Assumptions!$E$13)/4)</f>
        <v>1</v>
      </c>
      <c r="D171" s="45" t="n">
        <f aca="false">Assumptions!$E$21^(MAX(0,D166-Assumptions!$E$13)/4)</f>
        <v>0.9306048591021</v>
      </c>
      <c r="E171" s="45" t="n">
        <f aca="false">Assumptions!$E$21^(MAX(0,E166-Assumptions!$E$13)/4)</f>
        <v>0.866025403784439</v>
      </c>
      <c r="F171" s="45" t="n">
        <f aca="false">Assumptions!$E$21^(MAX(0,F166-Assumptions!$E$13)/4)</f>
        <v>0.805927448867656</v>
      </c>
      <c r="G171" s="45" t="n">
        <f aca="false">Assumptions!$E$21^(MAX(0,G166-Assumptions!$E$13)/4)</f>
        <v>0.75</v>
      </c>
      <c r="H171" s="45" t="n">
        <f aca="false">Assumptions!$E$21^(MAX(0,H166-Assumptions!$E$13)/4)</f>
        <v>0.697953644326575</v>
      </c>
      <c r="I171" s="45" t="n">
        <f aca="false">Assumptions!$E$21^(MAX(0,I166-Assumptions!$E$13)/4)</f>
        <v>0.649519052838329</v>
      </c>
      <c r="J171" s="45" t="n">
        <f aca="false">Assumptions!$E$21^(MAX(0,J166-Assumptions!$E$13)/4)</f>
        <v>0.604445586650742</v>
      </c>
      <c r="K171" s="45" t="n">
        <f aca="false">Assumptions!$E$21^(MAX(0,K166-Assumptions!$E$13)/4)</f>
        <v>0.5625</v>
      </c>
      <c r="L171" s="45" t="n">
        <f aca="false">Assumptions!$E$21^(MAX(0,L166-Assumptions!$E$13)/4)</f>
        <v>0.523465233244931</v>
      </c>
      <c r="M171" s="45" t="n">
        <f aca="false">Assumptions!$E$21^(MAX(0,M166-Assumptions!$E$13)/4)</f>
        <v>0.487139289628747</v>
      </c>
      <c r="N171" s="45" t="n">
        <f aca="false">Assumptions!$E$21^(MAX(0,N166-Assumptions!$E$13)/4)</f>
        <v>0.453334189988057</v>
      </c>
      <c r="P171" s="46"/>
      <c r="Q171" s="46"/>
      <c r="R171" s="46"/>
      <c r="S171" s="47"/>
    </row>
    <row r="172" customFormat="false" ht="15" hidden="false" customHeight="false" outlineLevel="0" collapsed="false">
      <c r="A172" s="4" t="s">
        <v>482</v>
      </c>
      <c r="B172" s="36" t="s">
        <v>478</v>
      </c>
      <c r="C172" s="45" t="n">
        <f aca="false">Assumptions!$E$21^(MAX(0,C166-Assumptions!$E$14)/4)</f>
        <v>1</v>
      </c>
      <c r="D172" s="45" t="n">
        <f aca="false">Assumptions!$E$21^(MAX(0,D166-Assumptions!$E$14)/4)</f>
        <v>1</v>
      </c>
      <c r="E172" s="45" t="n">
        <f aca="false">Assumptions!$E$21^(MAX(0,E166-Assumptions!$E$14)/4)</f>
        <v>1</v>
      </c>
      <c r="F172" s="45" t="n">
        <f aca="false">Assumptions!$E$21^(MAX(0,F166-Assumptions!$E$14)/4)</f>
        <v>1</v>
      </c>
      <c r="G172" s="45" t="n">
        <f aca="false">Assumptions!$E$21^(MAX(0,G166-Assumptions!$E$14)/4)</f>
        <v>1</v>
      </c>
      <c r="H172" s="45" t="n">
        <f aca="false">Assumptions!$E$21^(MAX(0,H166-Assumptions!$E$14)/4)</f>
        <v>0.9306048591021</v>
      </c>
      <c r="I172" s="45" t="n">
        <f aca="false">Assumptions!$E$21^(MAX(0,I166-Assumptions!$E$14)/4)</f>
        <v>0.866025403784439</v>
      </c>
      <c r="J172" s="45" t="n">
        <f aca="false">Assumptions!$E$21^(MAX(0,J166-Assumptions!$E$14)/4)</f>
        <v>0.805927448867656</v>
      </c>
      <c r="K172" s="45" t="n">
        <f aca="false">Assumptions!$E$21^(MAX(0,K166-Assumptions!$E$14)/4)</f>
        <v>0.75</v>
      </c>
      <c r="L172" s="45" t="n">
        <f aca="false">Assumptions!$E$21^(MAX(0,L166-Assumptions!$E$14)/4)</f>
        <v>0.697953644326575</v>
      </c>
      <c r="M172" s="45" t="n">
        <f aca="false">Assumptions!$E$21^(MAX(0,M166-Assumptions!$E$14)/4)</f>
        <v>0.649519052838329</v>
      </c>
      <c r="N172" s="45" t="n">
        <f aca="false">Assumptions!$E$21^(MAX(0,N166-Assumptions!$E$14)/4)</f>
        <v>0.604445586650742</v>
      </c>
      <c r="P172" s="46"/>
      <c r="Q172" s="46"/>
      <c r="R172" s="46"/>
      <c r="S172" s="47"/>
    </row>
    <row r="173" customFormat="false" ht="15" hidden="false" customHeight="false" outlineLevel="0" collapsed="false">
      <c r="A173" s="4" t="s">
        <v>483</v>
      </c>
      <c r="B173" s="36" t="s">
        <v>478</v>
      </c>
      <c r="C173" s="45" t="n">
        <f aca="false">Assumptions!$E$21^(MAX(0,C166-Assumptions!$E$15)/4)</f>
        <v>1</v>
      </c>
      <c r="D173" s="45" t="n">
        <f aca="false">Assumptions!$E$21^(MAX(0,D166-Assumptions!$E$15)/4)</f>
        <v>1</v>
      </c>
      <c r="E173" s="45" t="n">
        <f aca="false">Assumptions!$E$21^(MAX(0,E166-Assumptions!$E$15)/4)</f>
        <v>1</v>
      </c>
      <c r="F173" s="45" t="n">
        <f aca="false">Assumptions!$E$21^(MAX(0,F166-Assumptions!$E$15)/4)</f>
        <v>1</v>
      </c>
      <c r="G173" s="45" t="n">
        <f aca="false">Assumptions!$E$21^(MAX(0,G166-Assumptions!$E$15)/4)</f>
        <v>1</v>
      </c>
      <c r="H173" s="45" t="n">
        <f aca="false">Assumptions!$E$21^(MAX(0,H166-Assumptions!$E$15)/4)</f>
        <v>1</v>
      </c>
      <c r="I173" s="45" t="n">
        <f aca="false">Assumptions!$E$21^(MAX(0,I166-Assumptions!$E$15)/4)</f>
        <v>1</v>
      </c>
      <c r="J173" s="45" t="n">
        <f aca="false">Assumptions!$E$21^(MAX(0,J166-Assumptions!$E$15)/4)</f>
        <v>0.9306048591021</v>
      </c>
      <c r="K173" s="45" t="n">
        <f aca="false">Assumptions!$E$21^(MAX(0,K166-Assumptions!$E$15)/4)</f>
        <v>0.866025403784439</v>
      </c>
      <c r="L173" s="45" t="n">
        <f aca="false">Assumptions!$E$21^(MAX(0,L166-Assumptions!$E$15)/4)</f>
        <v>0.805927448867656</v>
      </c>
      <c r="M173" s="45" t="n">
        <f aca="false">Assumptions!$E$21^(MAX(0,M166-Assumptions!$E$15)/4)</f>
        <v>0.75</v>
      </c>
      <c r="N173" s="45" t="n">
        <f aca="false">Assumptions!$E$21^(MAX(0,N166-Assumptions!$E$15)/4)</f>
        <v>0.697953644326575</v>
      </c>
      <c r="P173" s="46"/>
      <c r="Q173" s="46"/>
      <c r="R173" s="46"/>
      <c r="S173" s="47"/>
    </row>
    <row r="174" customFormat="false" ht="15" hidden="false" customHeight="false" outlineLevel="0" collapsed="false">
      <c r="A174" s="4" t="s">
        <v>484</v>
      </c>
      <c r="B174" s="36" t="s">
        <v>485</v>
      </c>
      <c r="C174" s="39" t="n">
        <f aca="false">$C$145*C168+$C$149*C169+$C$153*C170</f>
        <v>421.51972352</v>
      </c>
      <c r="D174" s="39" t="n">
        <f aca="false">$C$145*D168+$C$149*D169+$C$153*D170</f>
        <v>843.03944704</v>
      </c>
      <c r="E174" s="39" t="n">
        <f aca="false">$C$145*E168+$C$149*E169+$C$153*E170</f>
        <v>843.03944704</v>
      </c>
      <c r="F174" s="39" t="n">
        <f aca="false">$C$145*F168+$C$149*F169+$C$153*F170</f>
        <v>843.03944704</v>
      </c>
      <c r="G174" s="39" t="n">
        <f aca="false">$C$145*G168+$C$149*G169+$C$153*G170</f>
        <v>1149.32798176</v>
      </c>
      <c r="H174" s="39" t="n">
        <f aca="false">$C$145*H168+$C$149*H169+$C$153*H170</f>
        <v>1455.61651648</v>
      </c>
      <c r="I174" s="39" t="n">
        <f aca="false">$C$145*I168+$C$149*I169+$C$153*I170</f>
        <v>2486.00303616</v>
      </c>
      <c r="J174" s="39" t="n">
        <f aca="false">$C$145*J168+$C$149*J169+$C$153*J170</f>
        <v>3516.38955584</v>
      </c>
      <c r="K174" s="39" t="n">
        <f aca="false">$C$145*K168+$C$149*K169+$C$153*K170</f>
        <v>3516.38955584</v>
      </c>
      <c r="L174" s="39" t="n">
        <f aca="false">$C$145*L168+$C$149*L169+$C$153*L170</f>
        <v>3516.38955584</v>
      </c>
      <c r="M174" s="39" t="n">
        <f aca="false">$C$145*M168+$C$149*M169+$C$153*M170</f>
        <v>3516.38955584</v>
      </c>
      <c r="N174" s="39" t="n">
        <f aca="false">$C$145*N168+$C$149*N169+$C$153*N170</f>
        <v>3516.38955584</v>
      </c>
      <c r="P174" s="40" t="n">
        <f aca="false">F174</f>
        <v>843.03944704</v>
      </c>
      <c r="Q174" s="40" t="n">
        <f aca="false">J174</f>
        <v>3516.38955584</v>
      </c>
      <c r="R174" s="40" t="n">
        <f aca="false">N174</f>
        <v>3516.38955584</v>
      </c>
      <c r="S174" s="41" t="n">
        <f aca="false">R174</f>
        <v>3516.38955584</v>
      </c>
    </row>
    <row r="175" customFormat="false" ht="15" hidden="false" customHeight="false" outlineLevel="0" collapsed="false">
      <c r="A175" s="4" t="s">
        <v>486</v>
      </c>
      <c r="B175" s="36" t="s">
        <v>485</v>
      </c>
      <c r="C175" s="39" t="n">
        <f aca="false">$C$146*C168+$C$150*C169+$C$154*C170</f>
        <v>105.59808</v>
      </c>
      <c r="D175" s="39" t="n">
        <f aca="false">$C$146*D168+$C$150*D169+$C$154*D170</f>
        <v>211.19616</v>
      </c>
      <c r="E175" s="39" t="n">
        <f aca="false">$C$146*E168+$C$150*E169+$C$154*E170</f>
        <v>211.19616</v>
      </c>
      <c r="F175" s="39" t="n">
        <f aca="false">$C$146*F168+$C$150*F169+$C$154*F170</f>
        <v>211.19616</v>
      </c>
      <c r="G175" s="39" t="n">
        <f aca="false">$C$146*G168+$C$150*G169+$C$154*G170</f>
        <v>282.24672</v>
      </c>
      <c r="H175" s="39" t="n">
        <f aca="false">$C$146*H168+$C$150*H169+$C$154*H170</f>
        <v>353.29728</v>
      </c>
      <c r="I175" s="39" t="n">
        <f aca="false">$C$146*I168+$C$150*I169+$C$154*I170</f>
        <v>567.53536</v>
      </c>
      <c r="J175" s="39" t="n">
        <f aca="false">$C$146*J168+$C$150*J169+$C$154*J170</f>
        <v>781.77344</v>
      </c>
      <c r="K175" s="39" t="n">
        <f aca="false">$C$146*K168+$C$150*K169+$C$154*K170</f>
        <v>781.77344</v>
      </c>
      <c r="L175" s="39" t="n">
        <f aca="false">$C$146*L168+$C$150*L169+$C$154*L170</f>
        <v>781.77344</v>
      </c>
      <c r="M175" s="39" t="n">
        <f aca="false">$C$146*M168+$C$150*M169+$C$154*M170</f>
        <v>781.77344</v>
      </c>
      <c r="N175" s="39" t="n">
        <f aca="false">$C$146*N168+$C$150*N169+$C$154*N170</f>
        <v>781.77344</v>
      </c>
      <c r="P175" s="40" t="n">
        <f aca="false">F175</f>
        <v>211.19616</v>
      </c>
      <c r="Q175" s="40" t="n">
        <f aca="false">J175</f>
        <v>781.77344</v>
      </c>
      <c r="R175" s="40" t="n">
        <f aca="false">N175</f>
        <v>781.77344</v>
      </c>
      <c r="S175" s="41" t="n">
        <f aca="false">R175</f>
        <v>781.77344</v>
      </c>
    </row>
    <row r="176" customFormat="false" ht="15" hidden="false" customHeight="false" outlineLevel="0" collapsed="false">
      <c r="A176" s="4" t="s">
        <v>487</v>
      </c>
      <c r="B176" s="36" t="s">
        <v>485</v>
      </c>
      <c r="C176" s="39" t="n">
        <f aca="false">$C$147*C168+$C$151*C169+$C$155*C170</f>
        <v>24.76992</v>
      </c>
      <c r="D176" s="39" t="n">
        <f aca="false">$C$147*D168+$C$151*D169+$C$155*D170</f>
        <v>49.53984</v>
      </c>
      <c r="E176" s="39" t="n">
        <f aca="false">$C$147*E168+$C$151*E169+$C$155*E170</f>
        <v>49.53984</v>
      </c>
      <c r="F176" s="39" t="n">
        <f aca="false">$C$147*F168+$C$151*F169+$C$155*F170</f>
        <v>49.53984</v>
      </c>
      <c r="G176" s="39" t="n">
        <f aca="false">$C$147*G168+$C$151*G169+$C$155*G170</f>
        <v>61.9248</v>
      </c>
      <c r="H176" s="39" t="n">
        <f aca="false">$C$147*H168+$C$151*H169+$C$155*H170</f>
        <v>74.30976</v>
      </c>
      <c r="I176" s="39" t="n">
        <f aca="false">$C$147*I168+$C$151*I169+$C$155*I170</f>
        <v>114.072</v>
      </c>
      <c r="J176" s="39" t="n">
        <f aca="false">$C$147*J168+$C$151*J169+$C$155*J170</f>
        <v>153.83424</v>
      </c>
      <c r="K176" s="39" t="n">
        <f aca="false">$C$147*K168+$C$151*K169+$C$155*K170</f>
        <v>153.83424</v>
      </c>
      <c r="L176" s="39" t="n">
        <f aca="false">$C$147*L168+$C$151*L169+$C$155*L170</f>
        <v>153.83424</v>
      </c>
      <c r="M176" s="39" t="n">
        <f aca="false">$C$147*M168+$C$151*M169+$C$155*M170</f>
        <v>153.83424</v>
      </c>
      <c r="N176" s="39" t="n">
        <f aca="false">$C$147*N168+$C$151*N169+$C$155*N170</f>
        <v>153.83424</v>
      </c>
      <c r="P176" s="40" t="n">
        <f aca="false">F176</f>
        <v>49.53984</v>
      </c>
      <c r="Q176" s="40" t="n">
        <f aca="false">J176</f>
        <v>153.83424</v>
      </c>
      <c r="R176" s="40" t="n">
        <f aca="false">N176</f>
        <v>153.83424</v>
      </c>
      <c r="S176" s="41" t="n">
        <f aca="false">R176</f>
        <v>153.83424</v>
      </c>
    </row>
    <row r="177" customFormat="false" ht="15" hidden="false" customHeight="false" outlineLevel="0" collapsed="false">
      <c r="A177" s="4" t="s">
        <v>488</v>
      </c>
      <c r="B177" s="36" t="s">
        <v>485</v>
      </c>
      <c r="C177" s="39" t="n">
        <f aca="false">C174+C175+C176</f>
        <v>551.88772352</v>
      </c>
      <c r="D177" s="39" t="n">
        <f aca="false">D174+D175+D176</f>
        <v>1103.77544704</v>
      </c>
      <c r="E177" s="39" t="n">
        <f aca="false">E174+E175+E176</f>
        <v>1103.77544704</v>
      </c>
      <c r="F177" s="39" t="n">
        <f aca="false">F174+F175+F176</f>
        <v>1103.77544704</v>
      </c>
      <c r="G177" s="39" t="n">
        <f aca="false">G174+G175+G176</f>
        <v>1493.49950176</v>
      </c>
      <c r="H177" s="39" t="n">
        <f aca="false">H174+H175+H176</f>
        <v>1883.22355648</v>
      </c>
      <c r="I177" s="39" t="n">
        <f aca="false">I174+I175+I176</f>
        <v>3167.61039616</v>
      </c>
      <c r="J177" s="39" t="n">
        <f aca="false">J174+J175+J176</f>
        <v>4451.99723584</v>
      </c>
      <c r="K177" s="39" t="n">
        <f aca="false">K174+K175+K176</f>
        <v>4451.99723584</v>
      </c>
      <c r="L177" s="39" t="n">
        <f aca="false">L174+L175+L176</f>
        <v>4451.99723584</v>
      </c>
      <c r="M177" s="39" t="n">
        <f aca="false">M174+M175+M176</f>
        <v>4451.99723584</v>
      </c>
      <c r="N177" s="39" t="n">
        <f aca="false">N174+N175+N176</f>
        <v>4451.99723584</v>
      </c>
      <c r="P177" s="40" t="n">
        <f aca="false">F177</f>
        <v>1103.77544704</v>
      </c>
      <c r="Q177" s="40" t="n">
        <f aca="false">J177</f>
        <v>4451.99723584</v>
      </c>
      <c r="R177" s="40" t="n">
        <f aca="false">N177</f>
        <v>4451.99723584</v>
      </c>
      <c r="S177" s="41" t="n">
        <f aca="false">R177</f>
        <v>4451.99723584</v>
      </c>
    </row>
    <row r="178" customFormat="false" ht="15" hidden="false" customHeight="false" outlineLevel="0" collapsed="false">
      <c r="A178" s="4" t="s">
        <v>489</v>
      </c>
      <c r="B178" s="36" t="s">
        <v>485</v>
      </c>
      <c r="C178" s="39" t="n">
        <f aca="false">$C$148*C168*C171+$C$152*C169*C172+$C$156*C170*C173</f>
        <v>551.88772352</v>
      </c>
      <c r="D178" s="39" t="n">
        <f aca="false">$C$148*D168*D171+$C$152*D169*D172+$C$156*D170*D173</f>
        <v>1027.17879437302</v>
      </c>
      <c r="E178" s="39" t="n">
        <f aca="false">$C$148*E168*E171+$C$152*E169*E172+$C$156*E170*E173</f>
        <v>955.897577210165</v>
      </c>
      <c r="F178" s="39" t="n">
        <f aca="false">$C$148*F168*F171+$C$152*F169*F172+$C$156*F170*F173</f>
        <v>889.562930155704</v>
      </c>
      <c r="G178" s="39" t="n">
        <f aca="false">$C$148*G168*G171+$C$152*G169*G172+$C$156*G170*G173</f>
        <v>1217.55564</v>
      </c>
      <c r="H178" s="39" t="n">
        <f aca="false">$C$148*H168*H171+$C$152*H169*H172+$C$156*H170*H173</f>
        <v>1495.74229384257</v>
      </c>
      <c r="I178" s="39" t="n">
        <f aca="false">$C$148*I168*I171+$C$152*I169*I172+$C$156*I170*I173</f>
        <v>2676.33188629442</v>
      </c>
      <c r="J178" s="39" t="n">
        <f aca="false">$C$148*J168*J171+$C$152*J169*J172+$C$156*J170*J173</f>
        <v>3685.86409192847</v>
      </c>
      <c r="K178" s="39" t="n">
        <f aca="false">$C$148*K168*K171+$C$152*K169*K172+$C$156*K170*K173</f>
        <v>3430.08303393858</v>
      </c>
      <c r="L178" s="39" t="n">
        <f aca="false">$C$148*L168*L171+$C$152*L169*L172+$C$156*L170*L173</f>
        <v>3192.05193850692</v>
      </c>
      <c r="M178" s="39" t="n">
        <f aca="false">$C$148*M168*M171+$C$152*M169*M172+$C$156*M170*M173</f>
        <v>2970.53904448081</v>
      </c>
      <c r="N178" s="39" t="n">
        <f aca="false">$C$148*N168*N171+$C$152*N169*N172+$C$156*N170*N173</f>
        <v>2764.39806894635</v>
      </c>
      <c r="P178" s="40"/>
      <c r="Q178" s="40"/>
      <c r="R178" s="40"/>
      <c r="S178" s="41"/>
    </row>
    <row r="179" customFormat="false" ht="15" hidden="false" customHeight="false" outlineLevel="0" collapsed="false">
      <c r="A179" s="4" t="s">
        <v>490</v>
      </c>
      <c r="B179" s="36" t="s">
        <v>491</v>
      </c>
      <c r="C179" s="48" t="n">
        <f aca="false">$C$160*Assumptions!$E$20*C167*C178</f>
        <v>6.62265268224</v>
      </c>
      <c r="D179" s="48" t="n">
        <f aca="false">$C$160*Assumptions!$E$20*D167*D178</f>
        <v>12.3261455324762</v>
      </c>
      <c r="E179" s="48" t="n">
        <f aca="false">$C$160*Assumptions!$E$20*E167*E178</f>
        <v>11.470770926522</v>
      </c>
      <c r="F179" s="48" t="n">
        <f aca="false">$C$160*Assumptions!$E$20*F167*F178</f>
        <v>10.6747551618685</v>
      </c>
      <c r="G179" s="48" t="n">
        <f aca="false">$C$160*Assumptions!$E$20*G167*G178</f>
        <v>14.61066768</v>
      </c>
      <c r="H179" s="48" t="n">
        <f aca="false">$C$160*Assumptions!$E$20*H167*H178</f>
        <v>17.9489075261109</v>
      </c>
      <c r="I179" s="48" t="n">
        <f aca="false">$C$160*Assumptions!$E$20*I167*I178</f>
        <v>32.115982635533</v>
      </c>
      <c r="J179" s="48" t="n">
        <f aca="false">$C$160*Assumptions!$E$20*J167*J178</f>
        <v>44.2303691031417</v>
      </c>
      <c r="K179" s="48" t="n">
        <f aca="false">$C$160*Assumptions!$E$20*K167*K178</f>
        <v>41.160996407263</v>
      </c>
      <c r="L179" s="48" t="n">
        <f aca="false">$C$160*Assumptions!$E$20*L167*L178</f>
        <v>38.304623262083</v>
      </c>
      <c r="M179" s="48" t="n">
        <f aca="false">$C$160*Assumptions!$E$20*M167*M178</f>
        <v>35.6464685337698</v>
      </c>
      <c r="N179" s="48" t="n">
        <f aca="false">$C$160*Assumptions!$E$20*N167*N178</f>
        <v>33.1727768273562</v>
      </c>
      <c r="P179" s="49" t="n">
        <f aca="false">SUM(C179:F179)</f>
        <v>41.0943243031066</v>
      </c>
      <c r="Q179" s="49" t="n">
        <f aca="false">SUM(G179:J179)</f>
        <v>108.905926944786</v>
      </c>
      <c r="R179" s="49" t="n">
        <f aca="false">SUM(K179:N179)</f>
        <v>148.284865030472</v>
      </c>
      <c r="S179" s="50" t="n">
        <f aca="false">SUM(P179:R179)</f>
        <v>298.285116278364</v>
      </c>
    </row>
    <row r="180" customFormat="false" ht="15" hidden="false" customHeight="false" outlineLevel="0" collapsed="false">
      <c r="A180" s="4" t="s">
        <v>492</v>
      </c>
      <c r="B180" s="36" t="s">
        <v>321</v>
      </c>
      <c r="C180" s="48" t="n">
        <f aca="false">Assumptions!$D$111</f>
        <v>0</v>
      </c>
      <c r="D180" s="48" t="n">
        <f aca="false">Assumptions!$E$111</f>
        <v>0</v>
      </c>
      <c r="E180" s="48" t="n">
        <f aca="false">Assumptions!$F$111</f>
        <v>0</v>
      </c>
      <c r="F180" s="48" t="n">
        <f aca="false">Assumptions!$G$111</f>
        <v>0</v>
      </c>
      <c r="G180" s="48" t="n">
        <f aca="false">Assumptions!$H$111</f>
        <v>0</v>
      </c>
      <c r="H180" s="48" t="n">
        <f aca="false">Assumptions!$I$111</f>
        <v>0</v>
      </c>
      <c r="I180" s="48" t="n">
        <f aca="false">Assumptions!$J$111</f>
        <v>0</v>
      </c>
      <c r="J180" s="48" t="n">
        <f aca="false">Assumptions!$K$111</f>
        <v>0</v>
      </c>
      <c r="K180" s="48" t="n">
        <f aca="false">Assumptions!$L$111</f>
        <v>0</v>
      </c>
      <c r="L180" s="48" t="n">
        <f aca="false">Assumptions!$M$111</f>
        <v>0</v>
      </c>
      <c r="M180" s="48" t="n">
        <f aca="false">Assumptions!$N$111</f>
        <v>0</v>
      </c>
      <c r="N180" s="48" t="n">
        <f aca="false">Assumptions!$O$111</f>
        <v>0</v>
      </c>
      <c r="P180" s="49" t="n">
        <f aca="false">F180</f>
        <v>0</v>
      </c>
      <c r="Q180" s="49" t="n">
        <f aca="false">J180</f>
        <v>0</v>
      </c>
      <c r="R180" s="49" t="n">
        <f aca="false">N180</f>
        <v>0</v>
      </c>
      <c r="S180" s="50" t="n">
        <f aca="false">R180</f>
        <v>0</v>
      </c>
    </row>
    <row r="181" customFormat="false" ht="15" hidden="false" customHeight="false" outlineLevel="0" collapsed="false">
      <c r="A181" s="4" t="s">
        <v>493</v>
      </c>
      <c r="B181" s="36" t="s">
        <v>321</v>
      </c>
      <c r="C181" s="48" t="n">
        <f aca="false">0</f>
        <v>0</v>
      </c>
      <c r="D181" s="48" t="n">
        <f aca="false">0.5*C180</f>
        <v>0</v>
      </c>
      <c r="E181" s="48" t="n">
        <f aca="false">C180+0.5*(D180-C180)</f>
        <v>0</v>
      </c>
      <c r="F181" s="48" t="n">
        <f aca="false">D180+0.5*(E180-D180)</f>
        <v>0</v>
      </c>
      <c r="G181" s="48" t="n">
        <f aca="false">E180+0.5*(F180-E180)</f>
        <v>0</v>
      </c>
      <c r="H181" s="48" t="n">
        <f aca="false">F180+0.5*(G180-F180)</f>
        <v>0</v>
      </c>
      <c r="I181" s="48" t="n">
        <f aca="false">G180+0.5*(H180-G180)</f>
        <v>0</v>
      </c>
      <c r="J181" s="48" t="n">
        <f aca="false">H180+0.5*(I180-H180)</f>
        <v>0</v>
      </c>
      <c r="K181" s="48" t="n">
        <f aca="false">I180+0.5*(J180-I180)</f>
        <v>0</v>
      </c>
      <c r="L181" s="48" t="n">
        <f aca="false">J180+0.5*(K180-J180)</f>
        <v>0</v>
      </c>
      <c r="M181" s="48" t="n">
        <f aca="false">K180+0.5*(L180-K180)</f>
        <v>0</v>
      </c>
      <c r="N181" s="48" t="n">
        <f aca="false">L180+0.5*(M180-L180)</f>
        <v>0</v>
      </c>
      <c r="P181" s="49" t="n">
        <f aca="false">F181</f>
        <v>0</v>
      </c>
      <c r="Q181" s="49" t="n">
        <f aca="false">J181</f>
        <v>0</v>
      </c>
      <c r="R181" s="49" t="n">
        <f aca="false">N181</f>
        <v>0</v>
      </c>
      <c r="S181" s="50" t="n">
        <f aca="false">R181</f>
        <v>0</v>
      </c>
    </row>
    <row r="182" customFormat="false" ht="15" hidden="false" customHeight="false" outlineLevel="0" collapsed="false">
      <c r="A182" s="4" t="s">
        <v>494</v>
      </c>
      <c r="B182" s="36" t="s">
        <v>485</v>
      </c>
      <c r="C182" s="39" t="n">
        <f aca="false">MIN(C181*Assumptions!$E$38,C177*(1-$C$160))</f>
        <v>0</v>
      </c>
      <c r="D182" s="39" t="n">
        <f aca="false">MIN(D181*Assumptions!$E$38,D177*(1-$C$160))</f>
        <v>0</v>
      </c>
      <c r="E182" s="39" t="n">
        <f aca="false">MIN(E181*Assumptions!$E$38,E177*(1-$C$160))</f>
        <v>0</v>
      </c>
      <c r="F182" s="39" t="n">
        <f aca="false">MIN(F181*Assumptions!$E$38,F177*(1-$C$160))</f>
        <v>0</v>
      </c>
      <c r="G182" s="39" t="n">
        <f aca="false">MIN(G181*Assumptions!$E$38,G177*(1-$C$160))</f>
        <v>0</v>
      </c>
      <c r="H182" s="39" t="n">
        <f aca="false">MIN(H181*Assumptions!$E$38,H177*(1-$C$160))</f>
        <v>0</v>
      </c>
      <c r="I182" s="39" t="n">
        <f aca="false">MIN(I181*Assumptions!$E$38,I177*(1-$C$160))</f>
        <v>0</v>
      </c>
      <c r="J182" s="39" t="n">
        <f aca="false">MIN(J181*Assumptions!$E$38,J177*(1-$C$160))</f>
        <v>0</v>
      </c>
      <c r="K182" s="39" t="n">
        <f aca="false">MIN(K181*Assumptions!$E$38,K177*(1-$C$160))</f>
        <v>0</v>
      </c>
      <c r="L182" s="39" t="n">
        <f aca="false">MIN(L181*Assumptions!$E$38,L177*(1-$C$160))</f>
        <v>0</v>
      </c>
      <c r="M182" s="39" t="n">
        <f aca="false">MIN(M181*Assumptions!$E$38,M177*(1-$C$160))</f>
        <v>0</v>
      </c>
      <c r="N182" s="39" t="n">
        <f aca="false">MIN(N181*Assumptions!$E$38,N177*(1-$C$160))</f>
        <v>0</v>
      </c>
      <c r="P182" s="40" t="n">
        <f aca="false">SUM(C182:F182)</f>
        <v>0</v>
      </c>
      <c r="Q182" s="40" t="n">
        <f aca="false">SUM(G182:J182)</f>
        <v>0</v>
      </c>
      <c r="R182" s="40" t="n">
        <f aca="false">SUM(K182:N182)</f>
        <v>0</v>
      </c>
      <c r="S182" s="41" t="n">
        <f aca="false">SUM(P182:R182)</f>
        <v>0</v>
      </c>
    </row>
    <row r="183" customFormat="false" ht="15" hidden="false" customHeight="false" outlineLevel="0" collapsed="false">
      <c r="A183" s="4" t="s">
        <v>495</v>
      </c>
      <c r="B183" s="36" t="s">
        <v>491</v>
      </c>
      <c r="C183" s="48" t="n">
        <f aca="false">C182*Assumptions!$E$20*Assumptions!$E$39*IF(C177&gt;0,C178/C177,0)*C167</f>
        <v>0</v>
      </c>
      <c r="D183" s="48" t="n">
        <f aca="false">D182*Assumptions!$E$20*Assumptions!$E$39*IF(D177&gt;0,D178/D177,0)*D167</f>
        <v>0</v>
      </c>
      <c r="E183" s="48" t="n">
        <f aca="false">E182*Assumptions!$E$20*Assumptions!$E$39*IF(E177&gt;0,E178/E177,0)*E167</f>
        <v>0</v>
      </c>
      <c r="F183" s="48" t="n">
        <f aca="false">F182*Assumptions!$E$20*Assumptions!$E$39*IF(F177&gt;0,F178/F177,0)*F167</f>
        <v>0</v>
      </c>
      <c r="G183" s="48" t="n">
        <f aca="false">G182*Assumptions!$E$20*Assumptions!$E$39*IF(G177&gt;0,G178/G177,0)*G167</f>
        <v>0</v>
      </c>
      <c r="H183" s="48" t="n">
        <f aca="false">H182*Assumptions!$E$20*Assumptions!$E$39*IF(H177&gt;0,H178/H177,0)*H167</f>
        <v>0</v>
      </c>
      <c r="I183" s="48" t="n">
        <f aca="false">I182*Assumptions!$E$20*Assumptions!$E$39*IF(I177&gt;0,I178/I177,0)*I167</f>
        <v>0</v>
      </c>
      <c r="J183" s="48" t="n">
        <f aca="false">J182*Assumptions!$E$20*Assumptions!$E$39*IF(J177&gt;0,J178/J177,0)*J167</f>
        <v>0</v>
      </c>
      <c r="K183" s="48" t="n">
        <f aca="false">K182*Assumptions!$E$20*Assumptions!$E$39*IF(K177&gt;0,K178/K177,0)*K167</f>
        <v>0</v>
      </c>
      <c r="L183" s="48" t="n">
        <f aca="false">L182*Assumptions!$E$20*Assumptions!$E$39*IF(L177&gt;0,L178/L177,0)*L167</f>
        <v>0</v>
      </c>
      <c r="M183" s="48" t="n">
        <f aca="false">M182*Assumptions!$E$20*Assumptions!$E$39*IF(M177&gt;0,M178/M177,0)*M167</f>
        <v>0</v>
      </c>
      <c r="N183" s="48" t="n">
        <f aca="false">N182*Assumptions!$E$20*Assumptions!$E$39*IF(N177&gt;0,N178/N177,0)*N167</f>
        <v>0</v>
      </c>
      <c r="P183" s="49" t="n">
        <f aca="false">SUM(C183:F183)</f>
        <v>0</v>
      </c>
      <c r="Q183" s="49" t="n">
        <f aca="false">SUM(G183:J183)</f>
        <v>0</v>
      </c>
      <c r="R183" s="49" t="n">
        <f aca="false">SUM(K183:N183)</f>
        <v>0</v>
      </c>
      <c r="S183" s="50" t="n">
        <f aca="false">SUM(P183:R183)</f>
        <v>0</v>
      </c>
    </row>
    <row r="184" customFormat="false" ht="15" hidden="false" customHeight="false" outlineLevel="0" collapsed="false">
      <c r="A184" s="4" t="s">
        <v>496</v>
      </c>
      <c r="B184" s="36" t="s">
        <v>497</v>
      </c>
      <c r="C184" s="48" t="n">
        <f aca="false">IF(AND(C177&gt;0,$C$164&gt;0),C177*Assumptions!$E$24*(1-EXP(-$C$164/(Assumptions!$E$23*C177*Assumptions!$E$24))),0)</f>
        <v>0</v>
      </c>
      <c r="D184" s="48" t="n">
        <f aca="false">IF(AND(D177&gt;0,$C$164&gt;0),D177*Assumptions!$E$24*(1-EXP(-$C$164/(Assumptions!$E$23*D177*Assumptions!$E$24))),0)</f>
        <v>0</v>
      </c>
      <c r="E184" s="48" t="n">
        <f aca="false">IF(AND(E177&gt;0,$C$164&gt;0),E177*Assumptions!$E$24*(1-EXP(-$C$164/(Assumptions!$E$23*E177*Assumptions!$E$24))),0)</f>
        <v>0</v>
      </c>
      <c r="F184" s="48" t="n">
        <f aca="false">IF(AND(F177&gt;0,$C$164&gt;0),F177*Assumptions!$E$24*(1-EXP(-$C$164/(Assumptions!$E$23*F177*Assumptions!$E$24))),0)</f>
        <v>0</v>
      </c>
      <c r="G184" s="48" t="n">
        <f aca="false">IF(AND(G177&gt;0,$C$164&gt;0),G177*Assumptions!$E$24*(1-EXP(-$C$164/(Assumptions!$E$23*G177*Assumptions!$E$24))),0)</f>
        <v>0</v>
      </c>
      <c r="H184" s="48" t="n">
        <f aca="false">IF(AND(H177&gt;0,$C$164&gt;0),H177*Assumptions!$E$24*(1-EXP(-$C$164/(Assumptions!$E$23*H177*Assumptions!$E$24))),0)</f>
        <v>0</v>
      </c>
      <c r="I184" s="48" t="n">
        <f aca="false">IF(AND(I177&gt;0,$C$164&gt;0),I177*Assumptions!$E$24*(1-EXP(-$C$164/(Assumptions!$E$23*I177*Assumptions!$E$24))),0)</f>
        <v>0</v>
      </c>
      <c r="J184" s="48" t="n">
        <f aca="false">IF(AND(J177&gt;0,$C$164&gt;0),J177*Assumptions!$E$24*(1-EXP(-$C$164/(Assumptions!$E$23*J177*Assumptions!$E$24))),0)</f>
        <v>0</v>
      </c>
      <c r="K184" s="48" t="n">
        <f aca="false">IF(AND(K177&gt;0,$C$164&gt;0),K177*Assumptions!$E$24*(1-EXP(-$C$164/(Assumptions!$E$23*K177*Assumptions!$E$24))),0)</f>
        <v>0</v>
      </c>
      <c r="L184" s="48" t="n">
        <f aca="false">IF(AND(L177&gt;0,$C$164&gt;0),L177*Assumptions!$E$24*(1-EXP(-$C$164/(Assumptions!$E$23*L177*Assumptions!$E$24))),0)</f>
        <v>0</v>
      </c>
      <c r="M184" s="48" t="n">
        <f aca="false">IF(AND(M177&gt;0,$C$164&gt;0),M177*Assumptions!$E$24*(1-EXP(-$C$164/(Assumptions!$E$23*M177*Assumptions!$E$24))),0)</f>
        <v>0</v>
      </c>
      <c r="N184" s="48" t="n">
        <f aca="false">IF(AND(N177&gt;0,$C$164&gt;0),N177*Assumptions!$E$24*(1-EXP(-$C$164/(Assumptions!$E$23*N177*Assumptions!$E$24))),0)</f>
        <v>0</v>
      </c>
      <c r="P184" s="49" t="n">
        <f aca="false">SUM(C184:F184)</f>
        <v>0</v>
      </c>
      <c r="Q184" s="49" t="n">
        <f aca="false">SUM(G184:J184)</f>
        <v>0</v>
      </c>
      <c r="R184" s="49" t="n">
        <f aca="false">SUM(K184:N184)</f>
        <v>0</v>
      </c>
      <c r="S184" s="50" t="n">
        <f aca="false">SUM(P184:R184)</f>
        <v>0</v>
      </c>
    </row>
    <row r="185" customFormat="false" ht="15" hidden="false" customHeight="false" outlineLevel="0" collapsed="false">
      <c r="A185" s="4" t="s">
        <v>498</v>
      </c>
      <c r="B185" s="36" t="s">
        <v>497</v>
      </c>
      <c r="C185" s="48" t="n">
        <f aca="false">(C177*Assumptions!$E$22*MIN(1,Assumptions!$D$103/Assumptions!$E$78)+C184)*C167</f>
        <v>5.5188772352</v>
      </c>
      <c r="D185" s="48" t="n">
        <f aca="false">(D177*Assumptions!$E$22*MIN(1,Assumptions!$D$103/Assumptions!$E$78)+D184)*D167</f>
        <v>11.0377544704</v>
      </c>
      <c r="E185" s="48" t="n">
        <f aca="false">(E177*Assumptions!$E$22*MIN(1,Assumptions!$D$103/Assumptions!$E$78)+E184)*E167</f>
        <v>11.0377544704</v>
      </c>
      <c r="F185" s="48" t="n">
        <f aca="false">(F177*Assumptions!$E$22*MIN(1,Assumptions!$D$103/Assumptions!$E$78)+F184)*F167</f>
        <v>11.0377544704</v>
      </c>
      <c r="G185" s="48" t="n">
        <f aca="false">(G177*Assumptions!$E$22*MIN(1,Assumptions!$D$103/Assumptions!$E$78)+G184)*G167</f>
        <v>14.9349950176</v>
      </c>
      <c r="H185" s="48" t="n">
        <f aca="false">(H177*Assumptions!$E$22*MIN(1,Assumptions!$D$103/Assumptions!$E$78)+H184)*H167</f>
        <v>18.8322355648</v>
      </c>
      <c r="I185" s="48" t="n">
        <f aca="false">(I177*Assumptions!$E$22*MIN(1,Assumptions!$D$103/Assumptions!$E$78)+I184)*I167</f>
        <v>31.6761039616</v>
      </c>
      <c r="J185" s="48" t="n">
        <f aca="false">(J177*Assumptions!$E$22*MIN(1,Assumptions!$D$103/Assumptions!$E$78)+J184)*J167</f>
        <v>44.5199723584</v>
      </c>
      <c r="K185" s="48" t="n">
        <f aca="false">(K177*Assumptions!$E$22*MIN(1,Assumptions!$D$103/Assumptions!$E$78)+K184)*K167</f>
        <v>44.5199723584</v>
      </c>
      <c r="L185" s="48" t="n">
        <f aca="false">(L177*Assumptions!$E$22*MIN(1,Assumptions!$D$103/Assumptions!$E$78)+L184)*L167</f>
        <v>44.5199723584</v>
      </c>
      <c r="M185" s="48" t="n">
        <f aca="false">(M177*Assumptions!$E$22*MIN(1,Assumptions!$D$103/Assumptions!$E$78)+M184)*M167</f>
        <v>44.5199723584</v>
      </c>
      <c r="N185" s="48" t="n">
        <f aca="false">(N177*Assumptions!$E$22*MIN(1,Assumptions!$D$103/Assumptions!$E$78)+N184)*N167</f>
        <v>44.5199723584</v>
      </c>
      <c r="P185" s="49" t="n">
        <f aca="false">SUM(C185:F185)</f>
        <v>38.6321406464</v>
      </c>
      <c r="Q185" s="49" t="n">
        <f aca="false">SUM(G185:J185)</f>
        <v>109.9633069024</v>
      </c>
      <c r="R185" s="49" t="n">
        <f aca="false">SUM(K185:N185)</f>
        <v>178.0798894336</v>
      </c>
      <c r="S185" s="50" t="n">
        <f aca="false">SUM(P185:R185)</f>
        <v>326.6753369824</v>
      </c>
    </row>
    <row r="186" customFormat="false" ht="15" hidden="false" customHeight="false" outlineLevel="0" collapsed="false">
      <c r="A186" s="4" t="s">
        <v>499</v>
      </c>
      <c r="B186" s="36" t="s">
        <v>500</v>
      </c>
      <c r="C186" s="48" t="n">
        <f aca="false">C167*MIN(Assumptions!$E$27,Assumptions!$E$25+Assumptions!$E$26*(C166-1))*Assumptions!$D$107</f>
        <v>2</v>
      </c>
      <c r="D186" s="48" t="n">
        <f aca="false">D167*MIN(Assumptions!$E$27,Assumptions!$E$25+Assumptions!$E$26*(D166-1))*Assumptions!$D$107</f>
        <v>3</v>
      </c>
      <c r="E186" s="48" t="n">
        <f aca="false">E167*MIN(Assumptions!$E$27,Assumptions!$E$25+Assumptions!$E$26*(E166-1))*Assumptions!$D$107</f>
        <v>4</v>
      </c>
      <c r="F186" s="48" t="n">
        <f aca="false">F167*MIN(Assumptions!$E$27,Assumptions!$E$25+Assumptions!$E$26*(F166-1))*Assumptions!$D$107</f>
        <v>5</v>
      </c>
      <c r="G186" s="48" t="n">
        <f aca="false">G167*MIN(Assumptions!$E$27,Assumptions!$E$25+Assumptions!$E$26*(G166-1))*Assumptions!$D$107</f>
        <v>6</v>
      </c>
      <c r="H186" s="48" t="n">
        <f aca="false">H167*MIN(Assumptions!$E$27,Assumptions!$E$25+Assumptions!$E$26*(H166-1))*Assumptions!$D$107</f>
        <v>7</v>
      </c>
      <c r="I186" s="48" t="n">
        <f aca="false">I167*MIN(Assumptions!$E$27,Assumptions!$E$25+Assumptions!$E$26*(I166-1))*Assumptions!$D$107</f>
        <v>8</v>
      </c>
      <c r="J186" s="48" t="n">
        <f aca="false">J167*MIN(Assumptions!$E$27,Assumptions!$E$25+Assumptions!$E$26*(J166-1))*Assumptions!$D$107</f>
        <v>9</v>
      </c>
      <c r="K186" s="48" t="n">
        <f aca="false">K167*MIN(Assumptions!$E$27,Assumptions!$E$25+Assumptions!$E$26*(K166-1))*Assumptions!$D$107</f>
        <v>10</v>
      </c>
      <c r="L186" s="48" t="n">
        <f aca="false">L167*MIN(Assumptions!$E$27,Assumptions!$E$25+Assumptions!$E$26*(L166-1))*Assumptions!$D$107</f>
        <v>10</v>
      </c>
      <c r="M186" s="48" t="n">
        <f aca="false">M167*MIN(Assumptions!$E$27,Assumptions!$E$25+Assumptions!$E$26*(M166-1))*Assumptions!$D$107</f>
        <v>10</v>
      </c>
      <c r="N186" s="48" t="n">
        <f aca="false">N167*MIN(Assumptions!$E$27,Assumptions!$E$25+Assumptions!$E$26*(N166-1))*Assumptions!$D$107</f>
        <v>10</v>
      </c>
      <c r="P186" s="49" t="n">
        <f aca="false">F186</f>
        <v>5</v>
      </c>
      <c r="Q186" s="49" t="n">
        <f aca="false">J186</f>
        <v>9</v>
      </c>
      <c r="R186" s="49" t="n">
        <f aca="false">N186</f>
        <v>10</v>
      </c>
      <c r="S186" s="50" t="n">
        <f aca="false">R186</f>
        <v>10</v>
      </c>
    </row>
    <row r="187" customFormat="false" ht="15" hidden="false" customHeight="false" outlineLevel="0" collapsed="false">
      <c r="A187" s="4" t="s">
        <v>501</v>
      </c>
      <c r="B187" s="36" t="s">
        <v>502</v>
      </c>
      <c r="C187" s="48" t="n">
        <f aca="false">C186*Assumptions!$E$28</f>
        <v>6</v>
      </c>
      <c r="D187" s="48" t="n">
        <f aca="false">D186*Assumptions!$E$28</f>
        <v>9</v>
      </c>
      <c r="E187" s="48" t="n">
        <f aca="false">E186*Assumptions!$E$28</f>
        <v>12</v>
      </c>
      <c r="F187" s="48" t="n">
        <f aca="false">F186*Assumptions!$E$28</f>
        <v>15</v>
      </c>
      <c r="G187" s="48" t="n">
        <f aca="false">G186*Assumptions!$E$28</f>
        <v>18</v>
      </c>
      <c r="H187" s="48" t="n">
        <f aca="false">H186*Assumptions!$E$28</f>
        <v>21</v>
      </c>
      <c r="I187" s="48" t="n">
        <f aca="false">I186*Assumptions!$E$28</f>
        <v>24</v>
      </c>
      <c r="J187" s="48" t="n">
        <f aca="false">J186*Assumptions!$E$28</f>
        <v>27</v>
      </c>
      <c r="K187" s="48" t="n">
        <f aca="false">K186*Assumptions!$E$28</f>
        <v>30</v>
      </c>
      <c r="L187" s="48" t="n">
        <f aca="false">L186*Assumptions!$E$28</f>
        <v>30</v>
      </c>
      <c r="M187" s="48" t="n">
        <f aca="false">M186*Assumptions!$E$28</f>
        <v>30</v>
      </c>
      <c r="N187" s="48" t="n">
        <f aca="false">N186*Assumptions!$E$28</f>
        <v>30</v>
      </c>
      <c r="P187" s="49" t="n">
        <f aca="false">SUM(C187:F187)</f>
        <v>42</v>
      </c>
      <c r="Q187" s="49" t="n">
        <f aca="false">SUM(G187:J187)</f>
        <v>90</v>
      </c>
      <c r="R187" s="49" t="n">
        <f aca="false">SUM(K187:N187)</f>
        <v>120</v>
      </c>
      <c r="S187" s="50" t="n">
        <f aca="false">SUM(P187:R187)</f>
        <v>252</v>
      </c>
    </row>
    <row r="188" customFormat="false" ht="15" hidden="false" customHeight="false" outlineLevel="0" collapsed="false">
      <c r="A188" s="4" t="s">
        <v>503</v>
      </c>
      <c r="B188" s="36" t="s">
        <v>504</v>
      </c>
      <c r="C188" s="48" t="n">
        <f aca="false">(C179+C183)*Assumptions!$E$29</f>
        <v>2.649061072896</v>
      </c>
      <c r="D188" s="48" t="n">
        <f aca="false">(D179+D183)*Assumptions!$E$29</f>
        <v>4.93045821299048</v>
      </c>
      <c r="E188" s="48" t="n">
        <f aca="false">(E179+E183)*Assumptions!$E$29</f>
        <v>4.58830837060879</v>
      </c>
      <c r="F188" s="48" t="n">
        <f aca="false">(F179+F183)*Assumptions!$E$29</f>
        <v>4.26990206474738</v>
      </c>
      <c r="G188" s="48" t="n">
        <f aca="false">(G179+G183)*Assumptions!$E$29</f>
        <v>5.844267072</v>
      </c>
      <c r="H188" s="48" t="n">
        <f aca="false">(H179+H183)*Assumptions!$E$29</f>
        <v>7.17956301044434</v>
      </c>
      <c r="I188" s="48" t="n">
        <f aca="false">(I179+I183)*Assumptions!$E$29</f>
        <v>12.8463930542132</v>
      </c>
      <c r="J188" s="48" t="n">
        <f aca="false">(J179+J183)*Assumptions!$E$29</f>
        <v>17.6921476412567</v>
      </c>
      <c r="K188" s="48" t="n">
        <f aca="false">(K179+K183)*Assumptions!$E$29</f>
        <v>16.4643985629052</v>
      </c>
      <c r="L188" s="48" t="n">
        <f aca="false">(L179+L183)*Assumptions!$E$29</f>
        <v>15.3218493048332</v>
      </c>
      <c r="M188" s="48" t="n">
        <f aca="false">(M179+M183)*Assumptions!$E$29</f>
        <v>14.2585874135079</v>
      </c>
      <c r="N188" s="48" t="n">
        <f aca="false">(N179+N183)*Assumptions!$E$29</f>
        <v>13.2691107309425</v>
      </c>
      <c r="P188" s="49" t="n">
        <f aca="false">SUM(C188:F188)</f>
        <v>16.4377297212427</v>
      </c>
      <c r="Q188" s="49" t="n">
        <f aca="false">SUM(G188:J188)</f>
        <v>43.5623707779142</v>
      </c>
      <c r="R188" s="49" t="n">
        <f aca="false">SUM(K188:N188)</f>
        <v>59.3139460121888</v>
      </c>
      <c r="S188" s="50" t="n">
        <f aca="false">SUM(P188:R188)</f>
        <v>119.314046511346</v>
      </c>
    </row>
    <row r="189" customFormat="false" ht="15" hidden="false" customHeight="false" outlineLevel="0" collapsed="false">
      <c r="A189" s="4" t="s">
        <v>505</v>
      </c>
      <c r="B189" s="36" t="s">
        <v>504</v>
      </c>
      <c r="C189" s="48" t="n">
        <f aca="false">C185*Assumptions!$E$31</f>
        <v>0.883020357632</v>
      </c>
      <c r="D189" s="48" t="n">
        <f aca="false">D185*Assumptions!$E$31</f>
        <v>1.766040715264</v>
      </c>
      <c r="E189" s="48" t="n">
        <f aca="false">E185*Assumptions!$E$31</f>
        <v>1.766040715264</v>
      </c>
      <c r="F189" s="48" t="n">
        <f aca="false">F185*Assumptions!$E$31</f>
        <v>1.766040715264</v>
      </c>
      <c r="G189" s="48" t="n">
        <f aca="false">G185*Assumptions!$E$31</f>
        <v>2.389599202816</v>
      </c>
      <c r="H189" s="48" t="n">
        <f aca="false">H185*Assumptions!$E$31</f>
        <v>3.013157690368</v>
      </c>
      <c r="I189" s="48" t="n">
        <f aca="false">I185*Assumptions!$E$31</f>
        <v>5.068176633856</v>
      </c>
      <c r="J189" s="48" t="n">
        <f aca="false">J185*Assumptions!$E$31</f>
        <v>7.123195577344</v>
      </c>
      <c r="K189" s="48" t="n">
        <f aca="false">K185*Assumptions!$E$31</f>
        <v>7.123195577344</v>
      </c>
      <c r="L189" s="48" t="n">
        <f aca="false">L185*Assumptions!$E$31</f>
        <v>7.123195577344</v>
      </c>
      <c r="M189" s="48" t="n">
        <f aca="false">M185*Assumptions!$E$31</f>
        <v>7.123195577344</v>
      </c>
      <c r="N189" s="48" t="n">
        <f aca="false">N185*Assumptions!$E$31</f>
        <v>7.123195577344</v>
      </c>
      <c r="P189" s="49" t="n">
        <f aca="false">SUM(C189:F189)</f>
        <v>6.181142503424</v>
      </c>
      <c r="Q189" s="49" t="n">
        <f aca="false">SUM(G189:J189)</f>
        <v>17.594129104384</v>
      </c>
      <c r="R189" s="49" t="n">
        <f aca="false">SUM(K189:N189)</f>
        <v>28.492782309376</v>
      </c>
      <c r="S189" s="50" t="n">
        <f aca="false">SUM(P189:R189)</f>
        <v>52.268053917184</v>
      </c>
    </row>
    <row r="190" customFormat="false" ht="15" hidden="false" customHeight="false" outlineLevel="0" collapsed="false">
      <c r="A190" s="4" t="s">
        <v>506</v>
      </c>
      <c r="B190" s="36" t="s">
        <v>504</v>
      </c>
      <c r="C190" s="48" t="n">
        <f aca="false">C187*Assumptions!$E$30</f>
        <v>3</v>
      </c>
      <c r="D190" s="48" t="n">
        <f aca="false">D187*Assumptions!$E$30</f>
        <v>4.5</v>
      </c>
      <c r="E190" s="48" t="n">
        <f aca="false">E187*Assumptions!$E$30</f>
        <v>6</v>
      </c>
      <c r="F190" s="48" t="n">
        <f aca="false">F187*Assumptions!$E$30</f>
        <v>7.5</v>
      </c>
      <c r="G190" s="48" t="n">
        <f aca="false">G187*Assumptions!$E$30</f>
        <v>9</v>
      </c>
      <c r="H190" s="48" t="n">
        <f aca="false">H187*Assumptions!$E$30</f>
        <v>10.5</v>
      </c>
      <c r="I190" s="48" t="n">
        <f aca="false">I187*Assumptions!$E$30</f>
        <v>12</v>
      </c>
      <c r="J190" s="48" t="n">
        <f aca="false">J187*Assumptions!$E$30</f>
        <v>13.5</v>
      </c>
      <c r="K190" s="48" t="n">
        <f aca="false">K187*Assumptions!$E$30</f>
        <v>15</v>
      </c>
      <c r="L190" s="48" t="n">
        <f aca="false">L187*Assumptions!$E$30</f>
        <v>15</v>
      </c>
      <c r="M190" s="48" t="n">
        <f aca="false">M187*Assumptions!$E$30</f>
        <v>15</v>
      </c>
      <c r="N190" s="48" t="n">
        <f aca="false">N187*Assumptions!$E$30</f>
        <v>15</v>
      </c>
      <c r="P190" s="49" t="n">
        <f aca="false">SUM(C190:F190)</f>
        <v>21</v>
      </c>
      <c r="Q190" s="49" t="n">
        <f aca="false">SUM(G190:J190)</f>
        <v>45</v>
      </c>
      <c r="R190" s="49" t="n">
        <f aca="false">SUM(K190:N190)</f>
        <v>60</v>
      </c>
      <c r="S190" s="50" t="n">
        <f aca="false">SUM(P190:R190)</f>
        <v>126</v>
      </c>
    </row>
    <row r="191" customFormat="false" ht="15" hidden="false" customHeight="false" outlineLevel="0" collapsed="false">
      <c r="A191" s="9" t="s">
        <v>507</v>
      </c>
      <c r="B191" s="36" t="s">
        <v>504</v>
      </c>
      <c r="C191" s="49" t="n">
        <f aca="false">C188+C189+C190</f>
        <v>6.532081430528</v>
      </c>
      <c r="D191" s="49" t="n">
        <f aca="false">D188+D189+D190</f>
        <v>11.1964989282545</v>
      </c>
      <c r="E191" s="49" t="n">
        <f aca="false">E188+E189+E190</f>
        <v>12.3543490858728</v>
      </c>
      <c r="F191" s="49" t="n">
        <f aca="false">F188+F189+F190</f>
        <v>13.5359427800114</v>
      </c>
      <c r="G191" s="49" t="n">
        <f aca="false">G188+G189+G190</f>
        <v>17.233866274816</v>
      </c>
      <c r="H191" s="49" t="n">
        <f aca="false">H188+H189+H190</f>
        <v>20.6927207008123</v>
      </c>
      <c r="I191" s="49" t="n">
        <f aca="false">I188+I189+I190</f>
        <v>29.9145696880692</v>
      </c>
      <c r="J191" s="49" t="n">
        <f aca="false">J188+J189+J190</f>
        <v>38.3153432186007</v>
      </c>
      <c r="K191" s="49" t="n">
        <f aca="false">K188+K189+K190</f>
        <v>38.5875941402492</v>
      </c>
      <c r="L191" s="49" t="n">
        <f aca="false">L188+L189+L190</f>
        <v>37.4450448821772</v>
      </c>
      <c r="M191" s="49" t="n">
        <f aca="false">M188+M189+M190</f>
        <v>36.3817829908519</v>
      </c>
      <c r="N191" s="49" t="n">
        <f aca="false">N188+N189+N190</f>
        <v>35.3923063082865</v>
      </c>
      <c r="P191" s="49" t="n">
        <f aca="false">SUM(C191:F191)</f>
        <v>43.6188722246667</v>
      </c>
      <c r="Q191" s="49" t="n">
        <f aca="false">SUM(G191:J191)</f>
        <v>106.156499882298</v>
      </c>
      <c r="R191" s="49" t="n">
        <f aca="false">SUM(K191:N191)</f>
        <v>147.806728321565</v>
      </c>
      <c r="S191" s="50" t="n">
        <f aca="false">SUM(P191:R191)</f>
        <v>297.58210042853</v>
      </c>
    </row>
    <row r="192" customFormat="false" ht="15" hidden="false" customHeight="false" outlineLevel="0" collapsed="false">
      <c r="A192" s="4" t="s">
        <v>508</v>
      </c>
      <c r="B192" s="36" t="s">
        <v>509</v>
      </c>
      <c r="C192" s="48" t="n">
        <f aca="false">C174</f>
        <v>421.51972352</v>
      </c>
      <c r="D192" s="48" t="n">
        <f aca="false">D174</f>
        <v>843.03944704</v>
      </c>
      <c r="E192" s="48" t="n">
        <f aca="false">E174</f>
        <v>843.03944704</v>
      </c>
      <c r="F192" s="48" t="n">
        <f aca="false">F174</f>
        <v>843.03944704</v>
      </c>
      <c r="G192" s="48" t="n">
        <f aca="false">G174</f>
        <v>1149.32798176</v>
      </c>
      <c r="H192" s="48" t="n">
        <f aca="false">H174</f>
        <v>1455.61651648</v>
      </c>
      <c r="I192" s="48" t="n">
        <f aca="false">I174</f>
        <v>2486.00303616</v>
      </c>
      <c r="J192" s="48" t="n">
        <f aca="false">J174</f>
        <v>3516.38955584</v>
      </c>
      <c r="K192" s="48" t="n">
        <f aca="false">K174</f>
        <v>3516.38955584</v>
      </c>
      <c r="L192" s="48" t="n">
        <f aca="false">L174</f>
        <v>3516.38955584</v>
      </c>
      <c r="M192" s="48" t="n">
        <f aca="false">M174</f>
        <v>3516.38955584</v>
      </c>
      <c r="N192" s="48" t="n">
        <f aca="false">N174</f>
        <v>3516.38955584</v>
      </c>
      <c r="P192" s="49"/>
      <c r="Q192" s="49"/>
      <c r="R192" s="49"/>
      <c r="S192" s="50"/>
    </row>
    <row r="193" customFormat="false" ht="15" hidden="false" customHeight="false" outlineLevel="0" collapsed="false">
      <c r="A193" s="4" t="s">
        <v>510</v>
      </c>
      <c r="B193" s="36" t="s">
        <v>509</v>
      </c>
      <c r="C193" s="48" t="n">
        <f aca="false">C175*Assumptions!$E$18*Assumptions!$E$33</f>
        <v>211.19616</v>
      </c>
      <c r="D193" s="48" t="n">
        <f aca="false">D175*Assumptions!$E$18*Assumptions!$E$33</f>
        <v>422.39232</v>
      </c>
      <c r="E193" s="48" t="n">
        <f aca="false">E175*Assumptions!$E$18*Assumptions!$E$33</f>
        <v>422.39232</v>
      </c>
      <c r="F193" s="48" t="n">
        <f aca="false">F175*Assumptions!$E$18*Assumptions!$E$33</f>
        <v>422.39232</v>
      </c>
      <c r="G193" s="48" t="n">
        <f aca="false">G175*Assumptions!$E$18*Assumptions!$E$33</f>
        <v>564.49344</v>
      </c>
      <c r="H193" s="48" t="n">
        <f aca="false">H175*Assumptions!$E$18*Assumptions!$E$33</f>
        <v>706.59456</v>
      </c>
      <c r="I193" s="48" t="n">
        <f aca="false">I175*Assumptions!$E$18*Assumptions!$E$33</f>
        <v>1135.07072</v>
      </c>
      <c r="J193" s="48" t="n">
        <f aca="false">J175*Assumptions!$E$18*Assumptions!$E$33</f>
        <v>1563.54688</v>
      </c>
      <c r="K193" s="48" t="n">
        <f aca="false">K175*Assumptions!$E$18*Assumptions!$E$33</f>
        <v>1563.54688</v>
      </c>
      <c r="L193" s="48" t="n">
        <f aca="false">L175*Assumptions!$E$18*Assumptions!$E$33</f>
        <v>1563.54688</v>
      </c>
      <c r="M193" s="48" t="n">
        <f aca="false">M175*Assumptions!$E$18*Assumptions!$E$33</f>
        <v>1563.54688</v>
      </c>
      <c r="N193" s="48" t="n">
        <f aca="false">N175*Assumptions!$E$18*Assumptions!$E$33</f>
        <v>1563.54688</v>
      </c>
      <c r="P193" s="49"/>
      <c r="Q193" s="49"/>
      <c r="R193" s="49"/>
      <c r="S193" s="50"/>
    </row>
    <row r="194" customFormat="false" ht="15" hidden="false" customHeight="false" outlineLevel="0" collapsed="false">
      <c r="A194" s="4" t="s">
        <v>511</v>
      </c>
      <c r="B194" s="36" t="s">
        <v>509</v>
      </c>
      <c r="C194" s="48" t="n">
        <f aca="false">C176*Assumptions!$E$19*Assumptions!$E$34</f>
        <v>34.677888</v>
      </c>
      <c r="D194" s="48" t="n">
        <f aca="false">D176*Assumptions!$E$19*Assumptions!$E$34</f>
        <v>69.355776</v>
      </c>
      <c r="E194" s="48" t="n">
        <f aca="false">E176*Assumptions!$E$19*Assumptions!$E$34</f>
        <v>69.355776</v>
      </c>
      <c r="F194" s="48" t="n">
        <f aca="false">F176*Assumptions!$E$19*Assumptions!$E$34</f>
        <v>69.355776</v>
      </c>
      <c r="G194" s="48" t="n">
        <f aca="false">G176*Assumptions!$E$19*Assumptions!$E$34</f>
        <v>86.69472</v>
      </c>
      <c r="H194" s="48" t="n">
        <f aca="false">H176*Assumptions!$E$19*Assumptions!$E$34</f>
        <v>104.033664</v>
      </c>
      <c r="I194" s="48" t="n">
        <f aca="false">I176*Assumptions!$E$19*Assumptions!$E$34</f>
        <v>159.7008</v>
      </c>
      <c r="J194" s="48" t="n">
        <f aca="false">J176*Assumptions!$E$19*Assumptions!$E$34</f>
        <v>215.367936</v>
      </c>
      <c r="K194" s="48" t="n">
        <f aca="false">K176*Assumptions!$E$19*Assumptions!$E$34</f>
        <v>215.367936</v>
      </c>
      <c r="L194" s="48" t="n">
        <f aca="false">L176*Assumptions!$E$19*Assumptions!$E$34</f>
        <v>215.367936</v>
      </c>
      <c r="M194" s="48" t="n">
        <f aca="false">M176*Assumptions!$E$19*Assumptions!$E$34</f>
        <v>215.367936</v>
      </c>
      <c r="N194" s="48" t="n">
        <f aca="false">N176*Assumptions!$E$19*Assumptions!$E$34</f>
        <v>215.367936</v>
      </c>
      <c r="P194" s="49"/>
      <c r="Q194" s="49"/>
      <c r="R194" s="49"/>
      <c r="S194" s="50"/>
    </row>
    <row r="195" customFormat="false" ht="15" hidden="false" customHeight="false" outlineLevel="0" collapsed="false">
      <c r="A195" s="4" t="s">
        <v>512</v>
      </c>
      <c r="B195" s="36" t="s">
        <v>77</v>
      </c>
      <c r="C195" s="51" t="n">
        <f aca="false">IFERROR(C192/(C192+C193+C194),0)</f>
        <v>0.631590736245533</v>
      </c>
      <c r="D195" s="51" t="n">
        <f aca="false">IFERROR(D192/(D192+D193+D194),0)</f>
        <v>0.631590736245533</v>
      </c>
      <c r="E195" s="51" t="n">
        <f aca="false">IFERROR(E192/(E192+E193+E194),0)</f>
        <v>0.631590736245533</v>
      </c>
      <c r="F195" s="51" t="n">
        <f aca="false">IFERROR(F192/(F192+F193+F194),0)</f>
        <v>0.631590736245533</v>
      </c>
      <c r="G195" s="51" t="n">
        <f aca="false">IFERROR(G192/(G192+G193+G194),0)</f>
        <v>0.638332506498128</v>
      </c>
      <c r="H195" s="51" t="n">
        <f aca="false">IFERROR(H192/(H192+H193+H194),0)</f>
        <v>0.642303318118984</v>
      </c>
      <c r="I195" s="51" t="n">
        <f aca="false">IFERROR(I192/(I192+I193+I194),0)</f>
        <v>0.657538025405288</v>
      </c>
      <c r="J195" s="51" t="n">
        <f aca="false">IFERROR(J192/(J192+J193+J194),0)</f>
        <v>0.664058061428891</v>
      </c>
      <c r="K195" s="51" t="n">
        <f aca="false">IFERROR(K192/(K192+K193+K194),0)</f>
        <v>0.664058061428891</v>
      </c>
      <c r="L195" s="51" t="n">
        <f aca="false">IFERROR(L192/(L192+L193+L194),0)</f>
        <v>0.664058061428891</v>
      </c>
      <c r="M195" s="51" t="n">
        <f aca="false">IFERROR(M192/(M192+M193+M194),0)</f>
        <v>0.664058061428891</v>
      </c>
      <c r="N195" s="51" t="n">
        <f aca="false">IFERROR(N192/(N192+N193+N194),0)</f>
        <v>0.664058061428891</v>
      </c>
      <c r="P195" s="52"/>
      <c r="Q195" s="52"/>
      <c r="R195" s="52"/>
      <c r="S195" s="53"/>
    </row>
    <row r="196" customFormat="false" ht="15" hidden="false" customHeight="false" outlineLevel="0" collapsed="false">
      <c r="A196" s="4" t="s">
        <v>513</v>
      </c>
      <c r="B196" s="36" t="s">
        <v>77</v>
      </c>
      <c r="C196" s="51" t="n">
        <f aca="false">IFERROR(C193/(C192+C193+C194),0)</f>
        <v>0.316449102482628</v>
      </c>
      <c r="D196" s="51" t="n">
        <f aca="false">IFERROR(D193/(D192+D193+D194),0)</f>
        <v>0.316449102482628</v>
      </c>
      <c r="E196" s="51" t="n">
        <f aca="false">IFERROR(E193/(E192+E193+E194),0)</f>
        <v>0.316449102482628</v>
      </c>
      <c r="F196" s="51" t="n">
        <f aca="false">IFERROR(F193/(F192+F193+F194),0)</f>
        <v>0.316449102482628</v>
      </c>
      <c r="G196" s="51" t="n">
        <f aca="false">IFERROR(G193/(G192+G193+G194),0)</f>
        <v>0.313517566939561</v>
      </c>
      <c r="H196" s="51" t="n">
        <f aca="false">IFERROR(H193/(H192+H193+H194),0)</f>
        <v>0.311790932099567</v>
      </c>
      <c r="I196" s="51" t="n">
        <f aca="false">IFERROR(I193/(I192+I193+I194),0)</f>
        <v>0.300221741111391</v>
      </c>
      <c r="J196" s="51" t="n">
        <f aca="false">IFERROR(J193/(J192+J193+J194),0)</f>
        <v>0.295270445324128</v>
      </c>
      <c r="K196" s="51" t="n">
        <f aca="false">IFERROR(K193/(K192+K193+K194),0)</f>
        <v>0.295270445324128</v>
      </c>
      <c r="L196" s="51" t="n">
        <f aca="false">IFERROR(L193/(L192+L193+L194),0)</f>
        <v>0.295270445324128</v>
      </c>
      <c r="M196" s="51" t="n">
        <f aca="false">IFERROR(M193/(M192+M193+M194),0)</f>
        <v>0.295270445324128</v>
      </c>
      <c r="N196" s="51" t="n">
        <f aca="false">IFERROR(N193/(N192+N193+N194),0)</f>
        <v>0.295270445324128</v>
      </c>
      <c r="P196" s="52"/>
      <c r="Q196" s="52"/>
      <c r="R196" s="52"/>
      <c r="S196" s="53"/>
    </row>
    <row r="197" customFormat="false" ht="15" hidden="false" customHeight="false" outlineLevel="0" collapsed="false">
      <c r="A197" s="4" t="s">
        <v>514</v>
      </c>
      <c r="B197" s="36" t="s">
        <v>77</v>
      </c>
      <c r="C197" s="51" t="n">
        <f aca="false">IFERROR(C194/(C192+C193+C194),0)</f>
        <v>0.0519601612718389</v>
      </c>
      <c r="D197" s="51" t="n">
        <f aca="false">IFERROR(D194/(D192+D193+D194),0)</f>
        <v>0.0519601612718389</v>
      </c>
      <c r="E197" s="51" t="n">
        <f aca="false">IFERROR(E194/(E192+E193+E194),0)</f>
        <v>0.0519601612718389</v>
      </c>
      <c r="F197" s="51" t="n">
        <f aca="false">IFERROR(F194/(F192+F193+F194),0)</f>
        <v>0.0519601612718389</v>
      </c>
      <c r="G197" s="51" t="n">
        <f aca="false">IFERROR(G194/(G192+G193+G194),0)</f>
        <v>0.0481499265623113</v>
      </c>
      <c r="H197" s="51" t="n">
        <f aca="false">IFERROR(H194/(H192+H193+H194),0)</f>
        <v>0.0459057497814491</v>
      </c>
      <c r="I197" s="51" t="n">
        <f aca="false">IFERROR(I194/(I192+I193+I194),0)</f>
        <v>0.0422402334833216</v>
      </c>
      <c r="J197" s="51" t="n">
        <f aca="false">IFERROR(J194/(J192+J193+J194),0)</f>
        <v>0.0406714932469811</v>
      </c>
      <c r="K197" s="51" t="n">
        <f aca="false">IFERROR(K194/(K192+K193+K194),0)</f>
        <v>0.0406714932469811</v>
      </c>
      <c r="L197" s="51" t="n">
        <f aca="false">IFERROR(L194/(L192+L193+L194),0)</f>
        <v>0.0406714932469811</v>
      </c>
      <c r="M197" s="51" t="n">
        <f aca="false">IFERROR(M194/(M192+M193+M194),0)</f>
        <v>0.0406714932469811</v>
      </c>
      <c r="N197" s="51" t="n">
        <f aca="false">IFERROR(N194/(N192+N193+N194),0)</f>
        <v>0.0406714932469811</v>
      </c>
      <c r="P197" s="52"/>
      <c r="Q197" s="52"/>
      <c r="R197" s="52"/>
      <c r="S197" s="53"/>
    </row>
    <row r="198" customFormat="false" ht="15" hidden="false" customHeight="false" outlineLevel="0" collapsed="false">
      <c r="A198" s="4" t="s">
        <v>515</v>
      </c>
      <c r="B198" s="36" t="s">
        <v>516</v>
      </c>
      <c r="C198" s="48" t="n">
        <f aca="false">IF(C166-Assumptions!$E$35&lt;1,0,INDEX($C$191:$N$191,1,C166-Assumptions!$E$35)*INDEX($C$195:$N$195,1,C166-Assumptions!$E$35)*Assumptions!$E$32)</f>
        <v>0</v>
      </c>
      <c r="D198" s="48" t="n">
        <f aca="false">IF(D166-Assumptions!$E$35&lt;1,0,INDEX($C$191:$N$191,1,D166-Assumptions!$E$35)*INDEX($C$195:$N$195,1,D166-Assumptions!$E$35)*Assumptions!$E$32)</f>
        <v>0.866376445183821</v>
      </c>
      <c r="E198" s="48" t="n">
        <f aca="false">IF(E166-Assumptions!$E$35&lt;1,0,INDEX($C$191:$N$191,1,E166-Assumptions!$E$35)*INDEX($C$195:$N$195,1,E166-Assumptions!$E$35)*Assumptions!$E$32)</f>
        <v>1.4850370503084</v>
      </c>
      <c r="F198" s="48" t="n">
        <f aca="false">IF(F166-Assumptions!$E$35&lt;1,0,INDEX($C$191:$N$191,1,F166-Assumptions!$E$35)*INDEX($C$195:$N$195,1,F166-Assumptions!$E$35)*Assumptions!$E$32)</f>
        <v>1.63860741134595</v>
      </c>
      <c r="G198" s="48" t="n">
        <f aca="false">IF(G166-Assumptions!$E$35&lt;1,0,INDEX($C$191:$N$191,1,G166-Assumptions!$E$35)*INDEX($C$195:$N$195,1,G166-Assumptions!$E$35)*Assumptions!$E$32)</f>
        <v>1.79532697390301</v>
      </c>
      <c r="H198" s="48" t="n">
        <f aca="false">IF(H166-Assumptions!$E$35&lt;1,0,INDEX($C$191:$N$191,1,H166-Assumptions!$E$35)*INDEX($C$195:$N$195,1,H166-Assumptions!$E$35)*Assumptions!$E$32)</f>
        <v>2.31019678172994</v>
      </c>
      <c r="I198" s="48" t="n">
        <f aca="false">IF(I166-Assumptions!$E$35&lt;1,0,INDEX($C$191:$N$191,1,I166-Assumptions!$E$35)*INDEX($C$195:$N$195,1,I166-Assumptions!$E$35)*Assumptions!$E$32)</f>
        <v>2.79111066507864</v>
      </c>
      <c r="J198" s="48" t="n">
        <f aca="false">IF(J166-Assumptions!$E$35&lt;1,0,INDEX($C$191:$N$191,1,J166-Assumptions!$E$35)*INDEX($C$195:$N$195,1,J166-Assumptions!$E$35)*Assumptions!$E$32)</f>
        <v>4.1306930875438</v>
      </c>
      <c r="K198" s="48" t="n">
        <f aca="false">IF(K166-Assumptions!$E$35&lt;1,0,INDEX($C$191:$N$191,1,K166-Assumptions!$E$35)*INDEX($C$195:$N$195,1,K166-Assumptions!$E$35)*Assumptions!$E$32)</f>
        <v>5.34315863355258</v>
      </c>
      <c r="L198" s="48" t="n">
        <f aca="false">IF(L166-Assumptions!$E$35&lt;1,0,INDEX($C$191:$N$191,1,L166-Assumptions!$E$35)*INDEX($C$195:$N$195,1,L166-Assumptions!$E$35)*Assumptions!$E$32)</f>
        <v>5.38112462159553</v>
      </c>
      <c r="M198" s="48" t="n">
        <f aca="false">IF(M166-Assumptions!$E$35&lt;1,0,INDEX($C$191:$N$191,1,M166-Assumptions!$E$35)*INDEX($C$195:$N$195,1,M166-Assumptions!$E$35)*Assumptions!$E$32)</f>
        <v>5.22179362206104</v>
      </c>
      <c r="N198" s="48" t="n">
        <f aca="false">IF(N166-Assumptions!$E$35&lt;1,0,INDEX($C$191:$N$191,1,N166-Assumptions!$E$35)*INDEX($C$195:$N$195,1,N166-Assumptions!$E$35)*Assumptions!$E$32)</f>
        <v>5.07351941968866</v>
      </c>
      <c r="P198" s="49" t="n">
        <f aca="false">SUM(C198:F198)</f>
        <v>3.99002090683817</v>
      </c>
      <c r="Q198" s="49" t="n">
        <f aca="false">SUM(G198:J198)</f>
        <v>11.0273275082554</v>
      </c>
      <c r="R198" s="49" t="n">
        <f aca="false">SUM(K198:N198)</f>
        <v>21.0195962968978</v>
      </c>
      <c r="S198" s="50" t="n">
        <f aca="false">SUM(P198:R198)</f>
        <v>36.0369447119914</v>
      </c>
    </row>
    <row r="199" customFormat="false" ht="15" hidden="false" customHeight="false" outlineLevel="0" collapsed="false">
      <c r="A199" s="4" t="s">
        <v>517</v>
      </c>
      <c r="B199" s="36" t="s">
        <v>516</v>
      </c>
      <c r="C199" s="48" t="n">
        <f aca="false">IF(C166-Assumptions!$E$35&lt;1,0,INDEX($C$191:$N$191,1,C166-Assumptions!$E$35)*INDEX($C$196:$N$196,1,C166-Assumptions!$E$35)*Assumptions!$E$32)</f>
        <v>0</v>
      </c>
      <c r="D199" s="48" t="n">
        <f aca="false">IF(D166-Assumptions!$E$35&lt;1,0,INDEX($C$191:$N$191,1,D166-Assumptions!$E$35)*INDEX($C$196:$N$196,1,D166-Assumptions!$E$35)*Assumptions!$E$32)</f>
        <v>0.434084974267145</v>
      </c>
      <c r="E199" s="48" t="n">
        <f aca="false">IF(E166-Assumptions!$E$35&lt;1,0,INDEX($C$191:$N$191,1,E166-Assumptions!$E$35)*INDEX($C$196:$N$196,1,E166-Assumptions!$E$35)*Assumptions!$E$32)</f>
        <v>0.744055627726705</v>
      </c>
      <c r="F199" s="48" t="n">
        <f aca="false">IF(F166-Assumptions!$E$35&lt;1,0,INDEX($C$191:$N$191,1,F166-Assumptions!$E$35)*INDEX($C$196:$N$196,1,F166-Assumptions!$E$35)*Assumptions!$E$32)</f>
        <v>0.820999762796119</v>
      </c>
      <c r="G199" s="48" t="n">
        <f aca="false">IF(G166-Assumptions!$E$35&lt;1,0,INDEX($C$191:$N$191,1,G166-Assumptions!$E$35)*INDEX($C$196:$N$196,1,G166-Assumptions!$E$35)*Assumptions!$E$32)</f>
        <v>0.89952175823807</v>
      </c>
      <c r="H199" s="48" t="n">
        <f aca="false">IF(H166-Assumptions!$E$35&lt;1,0,INDEX($C$191:$N$191,1,H166-Assumptions!$E$35)*INDEX($C$196:$N$196,1,H166-Assumptions!$E$35)*Assumptions!$E$32)</f>
        <v>1.13465516292283</v>
      </c>
      <c r="I199" s="48" t="n">
        <f aca="false">IF(I166-Assumptions!$E$35&lt;1,0,INDEX($C$191:$N$191,1,I166-Assumptions!$E$35)*INDEX($C$196:$N$196,1,I166-Assumptions!$E$35)*Assumptions!$E$32)</f>
        <v>1.35487856174628</v>
      </c>
      <c r="J199" s="48" t="n">
        <f aca="false">IF(J166-Assumptions!$E$35&lt;1,0,INDEX($C$191:$N$191,1,J166-Assumptions!$E$35)*INDEX($C$196:$N$196,1,J166-Assumptions!$E$35)*Assumptions!$E$32)</f>
        <v>1.88601088123353</v>
      </c>
      <c r="K199" s="48" t="n">
        <f aca="false">IF(K166-Assumptions!$E$35&lt;1,0,INDEX($C$191:$N$191,1,K166-Assumptions!$E$35)*INDEX($C$196:$N$196,1,K166-Assumptions!$E$35)*Assumptions!$E$32)</f>
        <v>2.37581157552964</v>
      </c>
      <c r="L199" s="48" t="n">
        <f aca="false">IF(L166-Assumptions!$E$35&lt;1,0,INDEX($C$191:$N$191,1,L166-Assumptions!$E$35)*INDEX($C$196:$N$196,1,L166-Assumptions!$E$35)*Assumptions!$E$32)</f>
        <v>2.3926929822134</v>
      </c>
      <c r="M199" s="48" t="n">
        <f aca="false">IF(M166-Assumptions!$E$35&lt;1,0,INDEX($C$191:$N$191,1,M166-Assumptions!$E$35)*INDEX($C$196:$N$196,1,M166-Assumptions!$E$35)*Assumptions!$E$32)</f>
        <v>2.32184716628391</v>
      </c>
      <c r="N199" s="48" t="n">
        <f aca="false">IF(N166-Assumptions!$E$35&lt;1,0,INDEX($C$191:$N$191,1,N166-Assumptions!$E$35)*INDEX($C$196:$N$196,1,N166-Assumptions!$E$35)*Assumptions!$E$32)</f>
        <v>2.25591770573287</v>
      </c>
      <c r="P199" s="49" t="n">
        <f aca="false">SUM(C199:F199)</f>
        <v>1.99914036478997</v>
      </c>
      <c r="Q199" s="49" t="n">
        <f aca="false">SUM(G199:J199)</f>
        <v>5.27506636414072</v>
      </c>
      <c r="R199" s="49" t="n">
        <f aca="false">SUM(K199:N199)</f>
        <v>9.34626942975982</v>
      </c>
      <c r="S199" s="50" t="n">
        <f aca="false">SUM(P199:R199)</f>
        <v>16.6204761586905</v>
      </c>
    </row>
    <row r="200" customFormat="false" ht="15" hidden="false" customHeight="false" outlineLevel="0" collapsed="false">
      <c r="A200" s="4" t="s">
        <v>518</v>
      </c>
      <c r="B200" s="36" t="s">
        <v>516</v>
      </c>
      <c r="C200" s="48" t="n">
        <f aca="false">IF(C166-Assumptions!$E$36&lt;1,0,INDEX($C$191:$N$191,1,C166-Assumptions!$E$36)*INDEX($C$197:$N$197,1,C166-Assumptions!$E$36)*Assumptions!$E$32)</f>
        <v>0</v>
      </c>
      <c r="D200" s="48" t="n">
        <f aca="false">IF(D166-Assumptions!$E$36&lt;1,0,INDEX($C$191:$N$191,1,D166-Assumptions!$E$36)*INDEX($C$197:$N$197,1,D166-Assumptions!$E$36)*Assumptions!$E$32)</f>
        <v>0</v>
      </c>
      <c r="E200" s="48" t="n">
        <f aca="false">IF(E166-Assumptions!$E$36&lt;1,0,INDEX($C$191:$N$191,1,E166-Assumptions!$E$36)*INDEX($C$197:$N$197,1,E166-Assumptions!$E$36)*Assumptions!$E$32)</f>
        <v>0.071275680959914</v>
      </c>
      <c r="F200" s="48" t="n">
        <f aca="false">IF(F166-Assumptions!$E$36&lt;1,0,INDEX($C$191:$N$191,1,F166-Assumptions!$E$36)*INDEX($C$197:$N$197,1,F166-Assumptions!$E$36)*Assumptions!$E$32)</f>
        <v>0.122172096898336</v>
      </c>
      <c r="G200" s="48" t="n">
        <f aca="false">IF(G166-Assumptions!$E$36&lt;1,0,INDEX($C$191:$N$191,1,G166-Assumptions!$E$36)*INDEX($C$197:$N$197,1,G166-Assumptions!$E$36)*Assumptions!$E$32)</f>
        <v>0.134806133891215</v>
      </c>
      <c r="H200" s="48" t="n">
        <f aca="false">IF(H166-Assumptions!$E$36&lt;1,0,INDEX($C$191:$N$191,1,H166-Assumptions!$E$36)*INDEX($C$197:$N$197,1,H166-Assumptions!$E$36)*Assumptions!$E$32)</f>
        <v>0.147699251661313</v>
      </c>
      <c r="I200" s="48" t="n">
        <f aca="false">IF(I166-Assumptions!$E$36&lt;1,0,INDEX($C$191:$N$191,1,I166-Assumptions!$E$36)*INDEX($C$197:$N$197,1,I166-Assumptions!$E$36)*Assumptions!$E$32)</f>
        <v>0.174259973058587</v>
      </c>
      <c r="J200" s="48" t="n">
        <f aca="false">IF(J166-Assumptions!$E$36&lt;1,0,INDEX($C$191:$N$191,1,J166-Assumptions!$E$36)*INDEX($C$197:$N$197,1,J166-Assumptions!$E$36)*Assumptions!$E$32)</f>
        <v>0.19948212034567</v>
      </c>
      <c r="K200" s="48" t="n">
        <f aca="false">IF(K166-Assumptions!$E$36&lt;1,0,INDEX($C$191:$N$191,1,K166-Assumptions!$E$36)*INDEX($C$197:$N$197,1,K166-Assumptions!$E$36)*Assumptions!$E$32)</f>
        <v>0.265355665717199</v>
      </c>
      <c r="L200" s="48" t="n">
        <f aca="false">IF(L166-Assumptions!$E$36&lt;1,0,INDEX($C$191:$N$191,1,L166-Assumptions!$E$36)*INDEX($C$197:$N$197,1,L166-Assumptions!$E$36)*Assumptions!$E$32)</f>
        <v>0.327251866823927</v>
      </c>
      <c r="M200" s="48" t="n">
        <f aca="false">IF(M166-Assumptions!$E$36&lt;1,0,INDEX($C$191:$N$191,1,M166-Assumptions!$E$36)*INDEX($C$197:$N$197,1,M166-Assumptions!$E$36)*Assumptions!$E$32)</f>
        <v>0.329577165643402</v>
      </c>
      <c r="N200" s="48" t="n">
        <f aca="false">IF(N166-Assumptions!$E$36&lt;1,0,INDEX($C$191:$N$191,1,N166-Assumptions!$E$36)*INDEX($C$197:$N$197,1,N166-Assumptions!$E$36)*Assumptions!$E$32)</f>
        <v>0.319818636912259</v>
      </c>
      <c r="P200" s="49" t="n">
        <f aca="false">SUM(C200:F200)</f>
        <v>0.19344777785825</v>
      </c>
      <c r="Q200" s="49" t="n">
        <f aca="false">SUM(G200:J200)</f>
        <v>0.656247478956785</v>
      </c>
      <c r="R200" s="49" t="n">
        <f aca="false">SUM(K200:N200)</f>
        <v>1.24200333509679</v>
      </c>
      <c r="S200" s="50" t="n">
        <f aca="false">SUM(P200:R200)</f>
        <v>2.09169859191182</v>
      </c>
    </row>
    <row r="201" customFormat="false" ht="15" hidden="false" customHeight="false" outlineLevel="0" collapsed="false">
      <c r="A201" s="4" t="s">
        <v>519</v>
      </c>
      <c r="B201" s="36" t="s">
        <v>77</v>
      </c>
      <c r="C201" s="51" t="n">
        <f aca="false">IF(C166-Assumptions!$E$35&lt;1,0,IFERROR(INDEX($C$190:$N$190,1,C166-Assumptions!$E$35)/INDEX($C$191:$N$191,1,C166-Assumptions!$E$35),0))</f>
        <v>0</v>
      </c>
      <c r="D201" s="51" t="n">
        <f aca="false">IF(D166-Assumptions!$E$35&lt;1,0,IFERROR(INDEX($C$190:$N$190,1,D166-Assumptions!$E$35)/INDEX($C$191:$N$191,1,D166-Assumptions!$E$35),0))</f>
        <v>0.459271678087073</v>
      </c>
      <c r="E201" s="51" t="n">
        <f aca="false">IF(E166-Assumptions!$E$35&lt;1,0,IFERROR(INDEX($C$190:$N$190,1,E166-Assumptions!$E$35)/INDEX($C$191:$N$191,1,E166-Assumptions!$E$35),0))</f>
        <v>0.401911350042128</v>
      </c>
      <c r="F201" s="51" t="n">
        <f aca="false">IF(F166-Assumptions!$E$35&lt;1,0,IFERROR(INDEX($C$190:$N$190,1,F166-Assumptions!$E$35)/INDEX($C$191:$N$191,1,F166-Assumptions!$E$35),0))</f>
        <v>0.485658933408398</v>
      </c>
      <c r="G201" s="51" t="n">
        <f aca="false">IF(G166-Assumptions!$E$35&lt;1,0,IFERROR(INDEX($C$190:$N$190,1,G166-Assumptions!$E$35)/INDEX($C$191:$N$191,1,G166-Assumptions!$E$35),0))</f>
        <v>0.554080356417826</v>
      </c>
      <c r="H201" s="51" t="n">
        <f aca="false">IF(H166-Assumptions!$E$35&lt;1,0,IFERROR(INDEX($C$190:$N$190,1,H166-Assumptions!$E$35)/INDEX($C$191:$N$191,1,H166-Assumptions!$E$35),0))</f>
        <v>0.522227563825987</v>
      </c>
      <c r="I201" s="51" t="n">
        <f aca="false">IF(I166-Assumptions!$E$35&lt;1,0,IFERROR(INDEX($C$190:$N$190,1,I166-Assumptions!$E$35)/INDEX($C$191:$N$191,1,I166-Assumptions!$E$35),0))</f>
        <v>0.507424816282752</v>
      </c>
      <c r="J201" s="51" t="n">
        <f aca="false">IF(J166-Assumptions!$E$35&lt;1,0,IFERROR(INDEX($C$190:$N$190,1,J166-Assumptions!$E$35)/INDEX($C$191:$N$191,1,J166-Assumptions!$E$35),0))</f>
        <v>0.401142323795015</v>
      </c>
      <c r="K201" s="51" t="n">
        <f aca="false">IF(K166-Assumptions!$E$35&lt;1,0,IFERROR(INDEX($C$190:$N$190,1,K166-Assumptions!$E$35)/INDEX($C$191:$N$191,1,K166-Assumptions!$E$35),0))</f>
        <v>0.352339268448632</v>
      </c>
      <c r="L201" s="51" t="n">
        <f aca="false">IF(L166-Assumptions!$E$35&lt;1,0,IFERROR(INDEX($C$190:$N$190,1,L166-Assumptions!$E$35)/INDEX($C$191:$N$191,1,L166-Assumptions!$E$35),0))</f>
        <v>0.388725970981282</v>
      </c>
      <c r="M201" s="51" t="n">
        <f aca="false">IF(M166-Assumptions!$E$35&lt;1,0,IFERROR(INDEX($C$190:$N$190,1,M166-Assumptions!$E$35)/INDEX($C$191:$N$191,1,M166-Assumptions!$E$35),0))</f>
        <v>0.400587048224893</v>
      </c>
      <c r="N201" s="51" t="n">
        <f aca="false">IF(N166-Assumptions!$E$35&lt;1,0,IFERROR(INDEX($C$190:$N$190,1,N166-Assumptions!$E$35)/INDEX($C$191:$N$191,1,N166-Assumptions!$E$35),0))</f>
        <v>0.412294251872474</v>
      </c>
      <c r="P201" s="52"/>
      <c r="Q201" s="52"/>
      <c r="R201" s="52"/>
      <c r="S201" s="53"/>
    </row>
    <row r="202" customFormat="false" ht="15" hidden="false" customHeight="false" outlineLevel="0" collapsed="false">
      <c r="A202" s="4" t="s">
        <v>520</v>
      </c>
      <c r="B202" s="36" t="s">
        <v>516</v>
      </c>
      <c r="C202" s="48" t="n">
        <f aca="false">C198*Assumptions!$E$37</f>
        <v>0</v>
      </c>
      <c r="D202" s="48" t="n">
        <f aca="false">D198*Assumptions!$E$37</f>
        <v>0.259912933555146</v>
      </c>
      <c r="E202" s="48" t="n">
        <f aca="false">E198*Assumptions!$E$37</f>
        <v>0.44551111509252</v>
      </c>
      <c r="F202" s="48" t="n">
        <f aca="false">F198*Assumptions!$E$37</f>
        <v>0.491582223403786</v>
      </c>
      <c r="G202" s="48" t="n">
        <f aca="false">G198*Assumptions!$E$37</f>
        <v>0.538598092170902</v>
      </c>
      <c r="H202" s="48" t="n">
        <f aca="false">H198*Assumptions!$E$37</f>
        <v>0.693059034518982</v>
      </c>
      <c r="I202" s="48" t="n">
        <f aca="false">I198*Assumptions!$E$37</f>
        <v>0.837333199523593</v>
      </c>
      <c r="J202" s="48" t="n">
        <f aca="false">J198*Assumptions!$E$37</f>
        <v>1.23920792626314</v>
      </c>
      <c r="K202" s="48" t="n">
        <f aca="false">K198*Assumptions!$E$37</f>
        <v>1.60294759006577</v>
      </c>
      <c r="L202" s="48" t="n">
        <f aca="false">L198*Assumptions!$E$37</f>
        <v>1.61433738647866</v>
      </c>
      <c r="M202" s="48" t="n">
        <f aca="false">M198*Assumptions!$E$37</f>
        <v>1.56653808661831</v>
      </c>
      <c r="N202" s="48" t="n">
        <f aca="false">N198*Assumptions!$E$37</f>
        <v>1.5220558259066</v>
      </c>
      <c r="P202" s="49" t="n">
        <f aca="false">SUM(C202:F202)</f>
        <v>1.19700627205145</v>
      </c>
      <c r="Q202" s="49" t="n">
        <f aca="false">SUM(G202:J202)</f>
        <v>3.30819825247662</v>
      </c>
      <c r="R202" s="49" t="n">
        <f aca="false">SUM(K202:N202)</f>
        <v>6.30587888906934</v>
      </c>
      <c r="S202" s="50" t="n">
        <f aca="false">SUM(P202:R202)</f>
        <v>10.8110834135974</v>
      </c>
    </row>
    <row r="203" customFormat="false" ht="15" hidden="false" customHeight="false" outlineLevel="0" collapsed="false">
      <c r="A203" s="4" t="s">
        <v>521</v>
      </c>
      <c r="B203" s="36" t="s">
        <v>516</v>
      </c>
      <c r="C203" s="48" t="n">
        <f aca="false">C198*(1-Assumptions!$E$37)</f>
        <v>0</v>
      </c>
      <c r="D203" s="48" t="n">
        <f aca="false">D198*(1-Assumptions!$E$37)</f>
        <v>0.606463511628675</v>
      </c>
      <c r="E203" s="48" t="n">
        <f aca="false">E198*(1-Assumptions!$E$37)</f>
        <v>1.03952593521588</v>
      </c>
      <c r="F203" s="48" t="n">
        <f aca="false">F198*(1-Assumptions!$E$37)</f>
        <v>1.14702518794217</v>
      </c>
      <c r="G203" s="48" t="n">
        <f aca="false">G198*(1-Assumptions!$E$37)</f>
        <v>1.25672888173211</v>
      </c>
      <c r="H203" s="48" t="n">
        <f aca="false">H198*(1-Assumptions!$E$37)</f>
        <v>1.61713774721096</v>
      </c>
      <c r="I203" s="48" t="n">
        <f aca="false">I198*(1-Assumptions!$E$37)</f>
        <v>1.95377746555505</v>
      </c>
      <c r="J203" s="48" t="n">
        <f aca="false">J198*(1-Assumptions!$E$37)</f>
        <v>2.89148516128066</v>
      </c>
      <c r="K203" s="48" t="n">
        <f aca="false">K198*(1-Assumptions!$E$37)</f>
        <v>3.7402110434868</v>
      </c>
      <c r="L203" s="48" t="n">
        <f aca="false">L198*(1-Assumptions!$E$37)</f>
        <v>3.76678723511687</v>
      </c>
      <c r="M203" s="48" t="n">
        <f aca="false">M198*(1-Assumptions!$E$37)</f>
        <v>3.65525553544273</v>
      </c>
      <c r="N203" s="48" t="n">
        <f aca="false">N198*(1-Assumptions!$E$37)</f>
        <v>3.55146359378206</v>
      </c>
      <c r="P203" s="49" t="n">
        <f aca="false">SUM(C203:F203)</f>
        <v>2.79301463478672</v>
      </c>
      <c r="Q203" s="49" t="n">
        <f aca="false">SUM(G203:J203)</f>
        <v>7.71912925577877</v>
      </c>
      <c r="R203" s="49" t="n">
        <f aca="false">SUM(K203:N203)</f>
        <v>14.7137174078285</v>
      </c>
      <c r="S203" s="50" t="n">
        <f aca="false">SUM(P203:R203)</f>
        <v>25.225861298394</v>
      </c>
    </row>
    <row r="204" customFormat="false" ht="15" hidden="false" customHeight="false" outlineLevel="0" collapsed="false">
      <c r="A204" s="4" t="s">
        <v>522</v>
      </c>
      <c r="B204" s="36" t="s">
        <v>125</v>
      </c>
      <c r="C204" s="54" t="n">
        <f aca="false">C203*$C$157+C199*$C$158+C200*$C$159</f>
        <v>0</v>
      </c>
      <c r="D204" s="54" t="n">
        <f aca="false">D203*$C$157+D199*$C$158+D200*$C$159</f>
        <v>7485.37917000042</v>
      </c>
      <c r="E204" s="54" t="n">
        <f aca="false">E203*$C$157+E199*$C$158+E200*$C$159</f>
        <v>17233.8131620616</v>
      </c>
      <c r="F204" s="54" t="n">
        <f aca="false">F203*$C$157+F199*$C$158+F200*$C$159</f>
        <v>21704.9328199195</v>
      </c>
      <c r="G204" s="54" t="n">
        <f aca="false">G203*$C$157+G199*$C$158+G200*$C$159</f>
        <v>23839.4781169478</v>
      </c>
      <c r="H204" s="54" t="n">
        <f aca="false">H203*$C$157+H199*$C$158+H200*$C$159</f>
        <v>28861.3828545359</v>
      </c>
      <c r="I204" s="54" t="n">
        <f aca="false">I203*$C$157+I199*$C$158+I200*$C$159</f>
        <v>34454.8139810786</v>
      </c>
      <c r="J204" s="54" t="n">
        <f aca="false">J203*$C$157+J199*$C$158+J200*$C$159</f>
        <v>46219.0265618748</v>
      </c>
      <c r="K204" s="54" t="n">
        <f aca="false">K203*$C$157+K199*$C$158+K200*$C$159</f>
        <v>59614.7065475457</v>
      </c>
      <c r="L204" s="54" t="n">
        <f aca="false">L203*$C$157+L199*$C$158+L200*$C$159</f>
        <v>63745.6576705911</v>
      </c>
      <c r="M204" s="54" t="n">
        <f aca="false">M203*$C$157+M199*$C$158+M200*$C$159</f>
        <v>62600.461663715</v>
      </c>
      <c r="N204" s="54" t="n">
        <f aca="false">N203*$C$157+N199*$C$158+N200*$C$159</f>
        <v>60798.1877142281</v>
      </c>
      <c r="P204" s="55" t="n">
        <f aca="false">SUM(C204:F204)</f>
        <v>46424.1251519815</v>
      </c>
      <c r="Q204" s="55" t="n">
        <f aca="false">SUM(G204:J204)</f>
        <v>133374.701514437</v>
      </c>
      <c r="R204" s="55" t="n">
        <f aca="false">SUM(K204:N204)</f>
        <v>246759.01359608</v>
      </c>
      <c r="S204" s="56" t="n">
        <f aca="false">SUM(P204:R204)</f>
        <v>426557.840262498</v>
      </c>
    </row>
    <row r="205" customFormat="false" ht="15" hidden="false" customHeight="false" outlineLevel="0" collapsed="false">
      <c r="A205" s="4" t="s">
        <v>523</v>
      </c>
      <c r="B205" s="36" t="s">
        <v>125</v>
      </c>
      <c r="C205" s="54" t="n">
        <f aca="false">(C181+Assumptions!$D$104*C167)*$C$162</f>
        <v>306250</v>
      </c>
      <c r="D205" s="54" t="n">
        <f aca="false">(D181+Assumptions!$D$104*D167)*$C$162</f>
        <v>306250</v>
      </c>
      <c r="E205" s="54" t="n">
        <f aca="false">(E181+Assumptions!$D$104*E167)*$C$162</f>
        <v>306250</v>
      </c>
      <c r="F205" s="54" t="n">
        <f aca="false">(F181+Assumptions!$D$104*F167)*$C$162</f>
        <v>306250</v>
      </c>
      <c r="G205" s="54" t="n">
        <f aca="false">(G181+Assumptions!$D$104*G167)*$C$162</f>
        <v>306250</v>
      </c>
      <c r="H205" s="54" t="n">
        <f aca="false">(H181+Assumptions!$D$104*H167)*$C$162</f>
        <v>306250</v>
      </c>
      <c r="I205" s="54" t="n">
        <f aca="false">(I181+Assumptions!$D$104*I167)*$C$162</f>
        <v>306250</v>
      </c>
      <c r="J205" s="54" t="n">
        <f aca="false">(J181+Assumptions!$D$104*J167)*$C$162</f>
        <v>306250</v>
      </c>
      <c r="K205" s="54" t="n">
        <f aca="false">(K181+Assumptions!$D$104*K167)*$C$162</f>
        <v>306250</v>
      </c>
      <c r="L205" s="54" t="n">
        <f aca="false">(L181+Assumptions!$D$104*L167)*$C$162</f>
        <v>306250</v>
      </c>
      <c r="M205" s="54" t="n">
        <f aca="false">(M181+Assumptions!$D$104*M167)*$C$162</f>
        <v>306250</v>
      </c>
      <c r="N205" s="54" t="n">
        <f aca="false">(N181+Assumptions!$D$104*N167)*$C$162</f>
        <v>306250</v>
      </c>
      <c r="P205" s="55" t="n">
        <f aca="false">SUM(C205:F205)</f>
        <v>1225000</v>
      </c>
      <c r="Q205" s="55" t="n">
        <f aca="false">SUM(G205:J205)</f>
        <v>1225000</v>
      </c>
      <c r="R205" s="55" t="n">
        <f aca="false">SUM(K205:N205)</f>
        <v>1225000</v>
      </c>
      <c r="S205" s="56" t="n">
        <f aca="false">SUM(P205:R205)</f>
        <v>3675000</v>
      </c>
    </row>
    <row r="206" customFormat="false" ht="15" hidden="false" customHeight="false" outlineLevel="0" collapsed="false">
      <c r="A206" s="4" t="s">
        <v>524</v>
      </c>
      <c r="B206" s="36" t="s">
        <v>77</v>
      </c>
      <c r="C206" s="51" t="n">
        <f aca="false">IF(C204&gt;0,MIN(1,C205/C204),1)</f>
        <v>1</v>
      </c>
      <c r="D206" s="51" t="n">
        <f aca="false">IF(D204&gt;0,MIN(1,D205/D204),1)</f>
        <v>1</v>
      </c>
      <c r="E206" s="51" t="n">
        <f aca="false">IF(E204&gt;0,MIN(1,E205/E204),1)</f>
        <v>1</v>
      </c>
      <c r="F206" s="51" t="n">
        <f aca="false">IF(F204&gt;0,MIN(1,F205/F204),1)</f>
        <v>1</v>
      </c>
      <c r="G206" s="51" t="n">
        <f aca="false">IF(G204&gt;0,MIN(1,G205/G204),1)</f>
        <v>1</v>
      </c>
      <c r="H206" s="51" t="n">
        <f aca="false">IF(H204&gt;0,MIN(1,H205/H204),1)</f>
        <v>1</v>
      </c>
      <c r="I206" s="51" t="n">
        <f aca="false">IF(I204&gt;0,MIN(1,I205/I204),1)</f>
        <v>1</v>
      </c>
      <c r="J206" s="51" t="n">
        <f aca="false">IF(J204&gt;0,MIN(1,J205/J204),1)</f>
        <v>1</v>
      </c>
      <c r="K206" s="51" t="n">
        <f aca="false">IF(K204&gt;0,MIN(1,K205/K204),1)</f>
        <v>1</v>
      </c>
      <c r="L206" s="51" t="n">
        <f aca="false">IF(L204&gt;0,MIN(1,L205/L204),1)</f>
        <v>1</v>
      </c>
      <c r="M206" s="51" t="n">
        <f aca="false">IF(M204&gt;0,MIN(1,M205/M204),1)</f>
        <v>1</v>
      </c>
      <c r="N206" s="51" t="n">
        <f aca="false">IF(N204&gt;0,MIN(1,N205/N204),1)</f>
        <v>1</v>
      </c>
      <c r="P206" s="52"/>
      <c r="Q206" s="52"/>
      <c r="R206" s="52"/>
      <c r="S206" s="53"/>
    </row>
    <row r="207" customFormat="false" ht="15" hidden="false" customHeight="false" outlineLevel="0" collapsed="false">
      <c r="A207" s="4" t="s">
        <v>525</v>
      </c>
      <c r="B207" s="36" t="s">
        <v>125</v>
      </c>
      <c r="C207" s="54" t="n">
        <f aca="false">C204*(1-C206)</f>
        <v>0</v>
      </c>
      <c r="D207" s="54" t="n">
        <f aca="false">D204*(1-D206)</f>
        <v>0</v>
      </c>
      <c r="E207" s="54" t="n">
        <f aca="false">E204*(1-E206)</f>
        <v>0</v>
      </c>
      <c r="F207" s="54" t="n">
        <f aca="false">F204*(1-F206)</f>
        <v>0</v>
      </c>
      <c r="G207" s="54" t="n">
        <f aca="false">G204*(1-G206)</f>
        <v>0</v>
      </c>
      <c r="H207" s="54" t="n">
        <f aca="false">H204*(1-H206)</f>
        <v>0</v>
      </c>
      <c r="I207" s="54" t="n">
        <f aca="false">I204*(1-I206)</f>
        <v>0</v>
      </c>
      <c r="J207" s="54" t="n">
        <f aca="false">J204*(1-J206)</f>
        <v>0</v>
      </c>
      <c r="K207" s="54" t="n">
        <f aca="false">K204*(1-K206)</f>
        <v>0</v>
      </c>
      <c r="L207" s="54" t="n">
        <f aca="false">L204*(1-L206)</f>
        <v>0</v>
      </c>
      <c r="M207" s="54" t="n">
        <f aca="false">M204*(1-M206)</f>
        <v>0</v>
      </c>
      <c r="N207" s="54" t="n">
        <f aca="false">N204*(1-N206)</f>
        <v>0</v>
      </c>
      <c r="P207" s="55" t="n">
        <f aca="false">SUM(C207:F207)</f>
        <v>0</v>
      </c>
      <c r="Q207" s="55" t="n">
        <f aca="false">SUM(G207:J207)</f>
        <v>0</v>
      </c>
      <c r="R207" s="55" t="n">
        <f aca="false">SUM(K207:N207)</f>
        <v>0</v>
      </c>
      <c r="S207" s="56" t="n">
        <f aca="false">SUM(P207:R207)</f>
        <v>0</v>
      </c>
    </row>
    <row r="208" customFormat="false" ht="15" hidden="false" customHeight="false" outlineLevel="0" collapsed="false">
      <c r="A208" s="4" t="s">
        <v>526</v>
      </c>
      <c r="B208" s="36" t="s">
        <v>527</v>
      </c>
      <c r="C208" s="48" t="n">
        <f aca="false">C202+C203*C206</f>
        <v>0</v>
      </c>
      <c r="D208" s="48" t="n">
        <f aca="false">D202+D203*D206</f>
        <v>0.866376445183821</v>
      </c>
      <c r="E208" s="48" t="n">
        <f aca="false">E202+E203*E206</f>
        <v>1.4850370503084</v>
      </c>
      <c r="F208" s="48" t="n">
        <f aca="false">F202+F203*F206</f>
        <v>1.63860741134595</v>
      </c>
      <c r="G208" s="48" t="n">
        <f aca="false">G202+G203*G206</f>
        <v>1.79532697390301</v>
      </c>
      <c r="H208" s="48" t="n">
        <f aca="false">H202+H203*H206</f>
        <v>2.31019678172994</v>
      </c>
      <c r="I208" s="48" t="n">
        <f aca="false">I202+I203*I206</f>
        <v>2.79111066507864</v>
      </c>
      <c r="J208" s="48" t="n">
        <f aca="false">J202+J203*J206</f>
        <v>4.1306930875438</v>
      </c>
      <c r="K208" s="48" t="n">
        <f aca="false">K202+K203*K206</f>
        <v>5.34315863355258</v>
      </c>
      <c r="L208" s="48" t="n">
        <f aca="false">L202+L203*L206</f>
        <v>5.38112462159553</v>
      </c>
      <c r="M208" s="48" t="n">
        <f aca="false">M202+M203*M206</f>
        <v>5.22179362206104</v>
      </c>
      <c r="N208" s="48" t="n">
        <f aca="false">N202+N203*N206</f>
        <v>5.07351941968866</v>
      </c>
      <c r="P208" s="49" t="n">
        <f aca="false">SUM(C208:F208)</f>
        <v>3.99002090683817</v>
      </c>
      <c r="Q208" s="49" t="n">
        <f aca="false">SUM(G208:J208)</f>
        <v>11.0273275082554</v>
      </c>
      <c r="R208" s="49" t="n">
        <f aca="false">SUM(K208:N208)</f>
        <v>21.0195962968978</v>
      </c>
      <c r="S208" s="50" t="n">
        <f aca="false">SUM(P208:R208)</f>
        <v>36.0369447119914</v>
      </c>
    </row>
    <row r="209" customFormat="false" ht="15" hidden="false" customHeight="false" outlineLevel="0" collapsed="false">
      <c r="A209" s="4" t="s">
        <v>528</v>
      </c>
      <c r="B209" s="36" t="s">
        <v>527</v>
      </c>
      <c r="C209" s="48" t="n">
        <f aca="false">C199*C206</f>
        <v>0</v>
      </c>
      <c r="D209" s="48" t="n">
        <f aca="false">D199*D206</f>
        <v>0.434084974267145</v>
      </c>
      <c r="E209" s="48" t="n">
        <f aca="false">E199*E206</f>
        <v>0.744055627726705</v>
      </c>
      <c r="F209" s="48" t="n">
        <f aca="false">F199*F206</f>
        <v>0.820999762796119</v>
      </c>
      <c r="G209" s="48" t="n">
        <f aca="false">G199*G206</f>
        <v>0.89952175823807</v>
      </c>
      <c r="H209" s="48" t="n">
        <f aca="false">H199*H206</f>
        <v>1.13465516292283</v>
      </c>
      <c r="I209" s="48" t="n">
        <f aca="false">I199*I206</f>
        <v>1.35487856174628</v>
      </c>
      <c r="J209" s="48" t="n">
        <f aca="false">J199*J206</f>
        <v>1.88601088123353</v>
      </c>
      <c r="K209" s="48" t="n">
        <f aca="false">K199*K206</f>
        <v>2.37581157552964</v>
      </c>
      <c r="L209" s="48" t="n">
        <f aca="false">L199*L206</f>
        <v>2.3926929822134</v>
      </c>
      <c r="M209" s="48" t="n">
        <f aca="false">M199*M206</f>
        <v>2.32184716628391</v>
      </c>
      <c r="N209" s="48" t="n">
        <f aca="false">N199*N206</f>
        <v>2.25591770573287</v>
      </c>
      <c r="P209" s="49" t="n">
        <f aca="false">SUM(C209:F209)</f>
        <v>1.99914036478997</v>
      </c>
      <c r="Q209" s="49" t="n">
        <f aca="false">SUM(G209:J209)</f>
        <v>5.27506636414072</v>
      </c>
      <c r="R209" s="49" t="n">
        <f aca="false">SUM(K209:N209)</f>
        <v>9.34626942975982</v>
      </c>
      <c r="S209" s="50" t="n">
        <f aca="false">SUM(P209:R209)</f>
        <v>16.6204761586905</v>
      </c>
    </row>
    <row r="210" customFormat="false" ht="15" hidden="false" customHeight="false" outlineLevel="0" collapsed="false">
      <c r="A210" s="4" t="s">
        <v>529</v>
      </c>
      <c r="B210" s="36" t="s">
        <v>527</v>
      </c>
      <c r="C210" s="48" t="n">
        <f aca="false">C200*C206</f>
        <v>0</v>
      </c>
      <c r="D210" s="48" t="n">
        <f aca="false">D200*D206</f>
        <v>0</v>
      </c>
      <c r="E210" s="48" t="n">
        <f aca="false">E200*E206</f>
        <v>0.071275680959914</v>
      </c>
      <c r="F210" s="48" t="n">
        <f aca="false">F200*F206</f>
        <v>0.122172096898336</v>
      </c>
      <c r="G210" s="48" t="n">
        <f aca="false">G200*G206</f>
        <v>0.134806133891215</v>
      </c>
      <c r="H210" s="48" t="n">
        <f aca="false">H200*H206</f>
        <v>0.147699251661313</v>
      </c>
      <c r="I210" s="48" t="n">
        <f aca="false">I200*I206</f>
        <v>0.174259973058587</v>
      </c>
      <c r="J210" s="48" t="n">
        <f aca="false">J200*J206</f>
        <v>0.19948212034567</v>
      </c>
      <c r="K210" s="48" t="n">
        <f aca="false">K200*K206</f>
        <v>0.265355665717199</v>
      </c>
      <c r="L210" s="48" t="n">
        <f aca="false">L200*L206</f>
        <v>0.327251866823927</v>
      </c>
      <c r="M210" s="48" t="n">
        <f aca="false">M200*M206</f>
        <v>0.329577165643402</v>
      </c>
      <c r="N210" s="48" t="n">
        <f aca="false">N200*N206</f>
        <v>0.319818636912259</v>
      </c>
      <c r="P210" s="49" t="n">
        <f aca="false">SUM(C210:F210)</f>
        <v>0.19344777785825</v>
      </c>
      <c r="Q210" s="49" t="n">
        <f aca="false">SUM(G210:J210)</f>
        <v>0.656247478956785</v>
      </c>
      <c r="R210" s="49" t="n">
        <f aca="false">SUM(K210:N210)</f>
        <v>1.24200333509679</v>
      </c>
      <c r="S210" s="50" t="n">
        <f aca="false">SUM(P210:R210)</f>
        <v>2.09169859191182</v>
      </c>
    </row>
    <row r="211" customFormat="false" ht="15" hidden="false" customHeight="false" outlineLevel="0" collapsed="false">
      <c r="A211" s="9" t="s">
        <v>530</v>
      </c>
      <c r="B211" s="36" t="s">
        <v>527</v>
      </c>
      <c r="C211" s="49" t="n">
        <f aca="false">C208+C209+C210</f>
        <v>0</v>
      </c>
      <c r="D211" s="49" t="n">
        <f aca="false">D208+D209+D210</f>
        <v>1.30046141945097</v>
      </c>
      <c r="E211" s="49" t="n">
        <f aca="false">E208+E209+E210</f>
        <v>2.30036835899502</v>
      </c>
      <c r="F211" s="49" t="n">
        <f aca="false">F208+F209+F210</f>
        <v>2.58177927104041</v>
      </c>
      <c r="G211" s="49" t="n">
        <f aca="false">G208+G209+G210</f>
        <v>2.82965486603229</v>
      </c>
      <c r="H211" s="49" t="n">
        <f aca="false">H208+H209+H210</f>
        <v>3.59255119631409</v>
      </c>
      <c r="I211" s="49" t="n">
        <f aca="false">I208+I209+I210</f>
        <v>4.32024919988351</v>
      </c>
      <c r="J211" s="49" t="n">
        <f aca="false">J208+J209+J210</f>
        <v>6.216186089123</v>
      </c>
      <c r="K211" s="49" t="n">
        <f aca="false">K208+K209+K210</f>
        <v>7.98432587479941</v>
      </c>
      <c r="L211" s="49" t="n">
        <f aca="false">L208+L209+L210</f>
        <v>8.10106947063285</v>
      </c>
      <c r="M211" s="49" t="n">
        <f aca="false">M208+M209+M210</f>
        <v>7.87321795398836</v>
      </c>
      <c r="N211" s="49" t="n">
        <f aca="false">N208+N209+N210</f>
        <v>7.64925576233379</v>
      </c>
      <c r="P211" s="49" t="n">
        <f aca="false">SUM(C211:F211)</f>
        <v>6.18260904948639</v>
      </c>
      <c r="Q211" s="49" t="n">
        <f aca="false">SUM(G211:J211)</f>
        <v>16.9586413513529</v>
      </c>
      <c r="R211" s="49" t="n">
        <f aca="false">SUM(K211:N211)</f>
        <v>31.6078690617544</v>
      </c>
      <c r="S211" s="50" t="n">
        <f aca="false">SUM(P211:R211)</f>
        <v>54.7491194625937</v>
      </c>
    </row>
    <row r="212" customFormat="false" ht="15" hidden="false" customHeight="false" outlineLevel="0" collapsed="false">
      <c r="A212" s="35" t="s">
        <v>533</v>
      </c>
      <c r="B212" s="35" t="s">
        <v>444</v>
      </c>
      <c r="C212" s="6" t="s">
        <v>354</v>
      </c>
      <c r="D212" s="6" t="s">
        <v>355</v>
      </c>
      <c r="E212" s="6" t="s">
        <v>356</v>
      </c>
      <c r="F212" s="6" t="s">
        <v>357</v>
      </c>
      <c r="G212" s="6" t="s">
        <v>358</v>
      </c>
      <c r="H212" s="6" t="s">
        <v>359</v>
      </c>
      <c r="I212" s="6" t="s">
        <v>360</v>
      </c>
      <c r="J212" s="6" t="s">
        <v>361</v>
      </c>
      <c r="K212" s="6" t="s">
        <v>362</v>
      </c>
      <c r="L212" s="6" t="s">
        <v>363</v>
      </c>
      <c r="M212" s="6" t="s">
        <v>364</v>
      </c>
      <c r="N212" s="6" t="s">
        <v>365</v>
      </c>
      <c r="P212" s="6" t="s">
        <v>445</v>
      </c>
      <c r="Q212" s="6" t="s">
        <v>446</v>
      </c>
      <c r="R212" s="6" t="s">
        <v>447</v>
      </c>
      <c r="S212" s="6" t="s">
        <v>448</v>
      </c>
    </row>
    <row r="213" customFormat="false" ht="15" hidden="false" customHeight="false" outlineLevel="0" collapsed="false">
      <c r="A213" s="4" t="s">
        <v>534</v>
      </c>
      <c r="B213" s="36" t="s">
        <v>527</v>
      </c>
      <c r="C213" s="48" t="n">
        <f aca="false">0*Assumptions!$E$59^(1/4)+C208</f>
        <v>0</v>
      </c>
      <c r="D213" s="48" t="n">
        <f aca="false">C213*Assumptions!$E$59^(1/4)+D208</f>
        <v>0.866376445183821</v>
      </c>
      <c r="E213" s="48" t="n">
        <f aca="false">D213*Assumptions!$E$59^(1/4)+E208</f>
        <v>2.32416329488403</v>
      </c>
      <c r="F213" s="48" t="n">
        <f aca="false">E213*Assumptions!$E$59^(1/4)+F208</f>
        <v>3.88966863104794</v>
      </c>
      <c r="G213" s="48" t="n">
        <f aca="false">F213*Assumptions!$E$59^(1/4)+G208</f>
        <v>5.56265357789716</v>
      </c>
      <c r="H213" s="48" t="n">
        <f aca="false">G213*Assumptions!$E$59^(1/4)+H208</f>
        <v>7.69788781678072</v>
      </c>
      <c r="I213" s="48" t="n">
        <f aca="false">H213*Assumptions!$E$59^(1/4)+I208</f>
        <v>10.2468762630101</v>
      </c>
      <c r="J213" s="48" t="n">
        <f aca="false">I213*Assumptions!$E$59^(1/4)+J208</f>
        <v>14.0552736148763</v>
      </c>
      <c r="K213" s="48" t="n">
        <f aca="false">J213*Assumptions!$E$59^(1/4)+K208</f>
        <v>18.9563507170835</v>
      </c>
      <c r="L213" s="48" t="n">
        <f aca="false">K213*Assumptions!$E$59^(1/4)+L208</f>
        <v>23.7412398769334</v>
      </c>
      <c r="M213" s="48" t="n">
        <f aca="false">L213*Assumptions!$E$59^(1/4)+M208</f>
        <v>28.2162985745513</v>
      </c>
      <c r="N213" s="48" t="n">
        <f aca="false">M213*Assumptions!$E$59^(1/4)+N208</f>
        <v>32.4023287268997</v>
      </c>
      <c r="P213" s="49" t="n">
        <f aca="false">F213</f>
        <v>3.88966863104794</v>
      </c>
      <c r="Q213" s="49" t="n">
        <f aca="false">J213</f>
        <v>14.0552736148763</v>
      </c>
      <c r="R213" s="49" t="n">
        <f aca="false">N213</f>
        <v>32.4023287268997</v>
      </c>
      <c r="S213" s="50" t="n">
        <f aca="false">R213</f>
        <v>32.4023287268997</v>
      </c>
    </row>
    <row r="214" customFormat="false" ht="15" hidden="false" customHeight="false" outlineLevel="0" collapsed="false">
      <c r="A214" s="4" t="s">
        <v>535</v>
      </c>
      <c r="B214" s="36" t="s">
        <v>527</v>
      </c>
      <c r="C214" s="48" t="n">
        <f aca="false">0*Assumptions!$E$60^(1/4)+C209</f>
        <v>0</v>
      </c>
      <c r="D214" s="48" t="n">
        <f aca="false">C214*Assumptions!$E$60^(1/4)+D209</f>
        <v>0.434084974267145</v>
      </c>
      <c r="E214" s="48" t="n">
        <f aca="false">D214*Assumptions!$E$60^(1/4)+E209</f>
        <v>1.16685601892983</v>
      </c>
      <c r="F214" s="48" t="n">
        <f aca="false">E214*Assumptions!$E$60^(1/4)+F209</f>
        <v>1.95752189677268</v>
      </c>
      <c r="G214" s="48" t="n">
        <f aca="false">F214*Assumptions!$E$60^(1/4)+G209</f>
        <v>2.80615541940422</v>
      </c>
      <c r="H214" s="48" t="n">
        <f aca="false">G214*Assumptions!$E$60^(1/4)+H209</f>
        <v>3.86786105447419</v>
      </c>
      <c r="I214" s="48" t="n">
        <f aca="false">H214*Assumptions!$E$60^(1/4)+I209</f>
        <v>5.12218971945664</v>
      </c>
      <c r="J214" s="48" t="n">
        <f aca="false">I214*Assumptions!$E$60^(1/4)+J209</f>
        <v>6.87504285788544</v>
      </c>
      <c r="K214" s="48" t="n">
        <f aca="false">J214*Assumptions!$E$60^(1/4)+K209</f>
        <v>9.07212907594454</v>
      </c>
      <c r="L214" s="48" t="n">
        <f aca="false">K214*Assumptions!$E$60^(1/4)+L209</f>
        <v>11.2289806902372</v>
      </c>
      <c r="M214" s="48" t="n">
        <f aca="false">L214*Assumptions!$E$60^(1/4)+M209</f>
        <v>13.2589164271123</v>
      </c>
      <c r="N214" s="48" t="n">
        <f aca="false">M214*Assumptions!$E$60^(1/4)+N209</f>
        <v>15.1701519792802</v>
      </c>
      <c r="P214" s="49" t="n">
        <f aca="false">F214</f>
        <v>1.95752189677268</v>
      </c>
      <c r="Q214" s="49" t="n">
        <f aca="false">J214</f>
        <v>6.87504285788544</v>
      </c>
      <c r="R214" s="49" t="n">
        <f aca="false">N214</f>
        <v>15.1701519792802</v>
      </c>
      <c r="S214" s="50" t="n">
        <f aca="false">R214</f>
        <v>15.1701519792802</v>
      </c>
    </row>
    <row r="215" customFormat="false" ht="15" hidden="false" customHeight="false" outlineLevel="0" collapsed="false">
      <c r="A215" s="4" t="s">
        <v>536</v>
      </c>
      <c r="B215" s="36" t="s">
        <v>527</v>
      </c>
      <c r="C215" s="48" t="n">
        <f aca="false">0*Assumptions!$E$61^(1/4)+C210</f>
        <v>0</v>
      </c>
      <c r="D215" s="48" t="n">
        <f aca="false">C215*Assumptions!$E$61^(1/4)+D210</f>
        <v>0</v>
      </c>
      <c r="E215" s="48" t="n">
        <f aca="false">D215*Assumptions!$E$61^(1/4)+E210</f>
        <v>0.071275680959914</v>
      </c>
      <c r="F215" s="48" t="n">
        <f aca="false">E215*Assumptions!$E$61^(1/4)+F210</f>
        <v>0.191977386314485</v>
      </c>
      <c r="G215" s="48" t="n">
        <f aca="false">F215*Assumptions!$E$61^(1/4)+G210</f>
        <v>0.322823096094288</v>
      </c>
      <c r="H215" s="48" t="n">
        <f aca="false">G215*Assumptions!$E$61^(1/4)+H210</f>
        <v>0.463862623930639</v>
      </c>
      <c r="I215" s="48" t="n">
        <f aca="false">H215*Assumptions!$E$61^(1/4)+I210</f>
        <v>0.628553278667598</v>
      </c>
      <c r="J215" s="48" t="n">
        <f aca="false">I215*Assumptions!$E$61^(1/4)+J210</f>
        <v>0.815068571993006</v>
      </c>
      <c r="K215" s="48" t="n">
        <f aca="false">J215*Assumptions!$E$61^(1/4)+K210</f>
        <v>1.06360966758325</v>
      </c>
      <c r="L215" s="48" t="n">
        <f aca="false">K215*Assumptions!$E$61^(1/4)+L210</f>
        <v>1.36891965128493</v>
      </c>
      <c r="M215" s="48" t="n">
        <f aca="false">L215*Assumptions!$E$61^(1/4)+M210</f>
        <v>1.67025649916167</v>
      </c>
      <c r="N215" s="48" t="n">
        <f aca="false">M215*Assumptions!$E$61^(1/4)+N210</f>
        <v>1.95561834801929</v>
      </c>
      <c r="P215" s="49" t="n">
        <f aca="false">F215</f>
        <v>0.191977386314485</v>
      </c>
      <c r="Q215" s="49" t="n">
        <f aca="false">J215</f>
        <v>0.815068571993006</v>
      </c>
      <c r="R215" s="49" t="n">
        <f aca="false">N215</f>
        <v>1.95561834801929</v>
      </c>
      <c r="S215" s="50" t="n">
        <f aca="false">R215</f>
        <v>1.95561834801929</v>
      </c>
    </row>
    <row r="216" customFormat="false" ht="15" hidden="false" customHeight="false" outlineLevel="0" collapsed="false">
      <c r="A216" s="9" t="s">
        <v>537</v>
      </c>
      <c r="B216" s="36" t="s">
        <v>527</v>
      </c>
      <c r="C216" s="49" t="n">
        <f aca="false">C213+C214+C215</f>
        <v>0</v>
      </c>
      <c r="D216" s="49" t="n">
        <f aca="false">D213+D214+D215</f>
        <v>1.30046141945097</v>
      </c>
      <c r="E216" s="49" t="n">
        <f aca="false">E213+E214+E215</f>
        <v>3.56229499477378</v>
      </c>
      <c r="F216" s="49" t="n">
        <f aca="false">F213+F214+F215</f>
        <v>6.0391679141351</v>
      </c>
      <c r="G216" s="49" t="n">
        <f aca="false">G213+G214+G215</f>
        <v>8.69163209339566</v>
      </c>
      <c r="H216" s="49" t="n">
        <f aca="false">H213+H214+H215</f>
        <v>12.0296114951856</v>
      </c>
      <c r="I216" s="49" t="n">
        <f aca="false">I213+I214+I215</f>
        <v>15.9976192611344</v>
      </c>
      <c r="J216" s="49" t="n">
        <f aca="false">J213+J214+J215</f>
        <v>21.7453850447547</v>
      </c>
      <c r="K216" s="49" t="n">
        <f aca="false">K213+K214+K215</f>
        <v>29.0920894606113</v>
      </c>
      <c r="L216" s="49" t="n">
        <f aca="false">L213+L214+L215</f>
        <v>36.3391402184556</v>
      </c>
      <c r="M216" s="49" t="n">
        <f aca="false">M213+M214+M215</f>
        <v>43.1454715008253</v>
      </c>
      <c r="N216" s="49" t="n">
        <f aca="false">N213+N214+N215</f>
        <v>49.5280990541991</v>
      </c>
      <c r="P216" s="49" t="n">
        <f aca="false">F216</f>
        <v>6.0391679141351</v>
      </c>
      <c r="Q216" s="49" t="n">
        <f aca="false">J216</f>
        <v>21.7453850447547</v>
      </c>
      <c r="R216" s="49" t="n">
        <f aca="false">N216</f>
        <v>49.5280990541991</v>
      </c>
      <c r="S216" s="50" t="n">
        <f aca="false">R216</f>
        <v>49.5280990541991</v>
      </c>
    </row>
    <row r="217" customFormat="false" ht="15" hidden="false" customHeight="false" outlineLevel="0" collapsed="false">
      <c r="A217" s="4" t="s">
        <v>538</v>
      </c>
      <c r="B217" s="36" t="s">
        <v>125</v>
      </c>
      <c r="C217" s="54" t="n">
        <f aca="false">0*Assumptions!$E$62^(1/4)+C208*$C$157</f>
        <v>0</v>
      </c>
      <c r="D217" s="54" t="n">
        <f aca="false">C217*Assumptions!$E$62^(1/4)+D208*$C$157</f>
        <v>4636.84673462381</v>
      </c>
      <c r="E217" s="54" t="n">
        <f aca="false">D217*Assumptions!$E$62^(1/4)+E208*$C$157</f>
        <v>12584.7650278744</v>
      </c>
      <c r="F217" s="54" t="n">
        <f aca="false">E217*Assumptions!$E$62^(1/4)+F208*$C$157</f>
        <v>21354.5918933979</v>
      </c>
      <c r="G217" s="54" t="n">
        <f aca="false">F217*Assumptions!$E$62^(1/4)+G208*$C$157</f>
        <v>30963.1818577268</v>
      </c>
      <c r="H217" s="54" t="n">
        <f aca="false">G217*Assumptions!$E$62^(1/4)+H208*$C$157</f>
        <v>43327.3550335454</v>
      </c>
      <c r="I217" s="54" t="n">
        <f aca="false">H217*Assumptions!$E$62^(1/4)+I208*$C$157</f>
        <v>58265.3793130463</v>
      </c>
      <c r="J217" s="54" t="n">
        <f aca="false">I217*Assumptions!$E$62^(1/4)+J208*$C$157</f>
        <v>80372.8487175808</v>
      </c>
      <c r="K217" s="54" t="n">
        <f aca="false">J217*Assumptions!$E$62^(1/4)+K208*$C$157</f>
        <v>108969.433724354</v>
      </c>
      <c r="L217" s="54" t="n">
        <f aca="false">K217*Assumptions!$E$62^(1/4)+L208*$C$157</f>
        <v>137769.212699133</v>
      </c>
      <c r="M217" s="54" t="n">
        <f aca="false">L217*Assumptions!$E$62^(1/4)+M208*$C$157</f>
        <v>165716.252164404</v>
      </c>
      <c r="N217" s="54" t="n">
        <f aca="false">M217*Assumptions!$E$62^(1/4)+N208*$C$157</f>
        <v>192869.728098578</v>
      </c>
      <c r="P217" s="55" t="n">
        <f aca="false">F217</f>
        <v>21354.5918933979</v>
      </c>
      <c r="Q217" s="55" t="n">
        <f aca="false">J217</f>
        <v>80372.8487175808</v>
      </c>
      <c r="R217" s="55" t="n">
        <f aca="false">N217</f>
        <v>192869.728098578</v>
      </c>
      <c r="S217" s="56" t="n">
        <f aca="false">R217</f>
        <v>192869.728098578</v>
      </c>
    </row>
    <row r="218" customFormat="false" ht="15" hidden="false" customHeight="false" outlineLevel="0" collapsed="false">
      <c r="A218" s="4" t="s">
        <v>539</v>
      </c>
      <c r="B218" s="36" t="s">
        <v>125</v>
      </c>
      <c r="C218" s="54" t="n">
        <f aca="false">0*Assumptions!$E$63^(1/4)+C209*$C$158</f>
        <v>0</v>
      </c>
      <c r="D218" s="54" t="n">
        <f aca="false">C218*Assumptions!$E$63^(1/4)+D209*$C$158</f>
        <v>4239.58645576376</v>
      </c>
      <c r="E218" s="54" t="n">
        <f aca="false">D218*Assumptions!$E$63^(1/4)+E209*$C$158</f>
        <v>11568.780571464</v>
      </c>
      <c r="F218" s="54" t="n">
        <f aca="false">E218*Assumptions!$E$63^(1/4)+F209*$C$158</f>
        <v>19757.0139869302</v>
      </c>
      <c r="G218" s="54" t="n">
        <f aca="false">F218*Assumptions!$E$63^(1/4)+G209*$C$158</f>
        <v>28832.3026333607</v>
      </c>
      <c r="H218" s="54" t="n">
        <f aca="false">G218*Assumptions!$E$63^(1/4)+H209*$C$158</f>
        <v>40337.2428258018</v>
      </c>
      <c r="I218" s="54" t="n">
        <f aca="false">H218*Assumptions!$E$63^(1/4)+I209*$C$158</f>
        <v>54161.8650429175</v>
      </c>
      <c r="J218" s="54" t="n">
        <f aca="false">I218*Assumptions!$E$63^(1/4)+J209*$C$158</f>
        <v>73376.768355554</v>
      </c>
      <c r="K218" s="54" t="n">
        <f aca="false">J218*Assumptions!$E$63^(1/4)+K209*$C$158</f>
        <v>97657.3745036042</v>
      </c>
      <c r="L218" s="54" t="n">
        <f aca="false">K218*Assumptions!$E$63^(1/4)+L209*$C$158</f>
        <v>122459.146505613</v>
      </c>
      <c r="M218" s="54" t="n">
        <f aca="false">L218*Assumptions!$E$63^(1/4)+M209*$C$158</f>
        <v>146932.924638212</v>
      </c>
      <c r="N218" s="54" t="n">
        <f aca="false">M218*Assumptions!$E$63^(1/4)+N209*$C$158</f>
        <v>171121.912636854</v>
      </c>
      <c r="P218" s="55" t="n">
        <f aca="false">F218</f>
        <v>19757.0139869302</v>
      </c>
      <c r="Q218" s="55" t="n">
        <f aca="false">J218</f>
        <v>73376.768355554</v>
      </c>
      <c r="R218" s="55" t="n">
        <f aca="false">N218</f>
        <v>171121.912636854</v>
      </c>
      <c r="S218" s="56" t="n">
        <f aca="false">R218</f>
        <v>171121.912636854</v>
      </c>
    </row>
    <row r="219" customFormat="false" ht="15" hidden="false" customHeight="false" outlineLevel="0" collapsed="false">
      <c r="A219" s="4" t="s">
        <v>540</v>
      </c>
      <c r="B219" s="36" t="s">
        <v>125</v>
      </c>
      <c r="C219" s="54" t="n">
        <f aca="false">0*Assumptions!$E$64^(1/4)+C210*$C$159</f>
        <v>0</v>
      </c>
      <c r="D219" s="54" t="n">
        <f aca="false">C219*Assumptions!$E$64^(1/4)+D210*$C$159</f>
        <v>0</v>
      </c>
      <c r="E219" s="54" t="n">
        <f aca="false">D219*Assumptions!$E$64^(1/4)+E210*$C$159</f>
        <v>4403.28728055653</v>
      </c>
      <c r="F219" s="54" t="n">
        <f aca="false">E219*Assumptions!$E$64^(1/4)+F210*$C$159</f>
        <v>12107.4388108841</v>
      </c>
      <c r="G219" s="54" t="n">
        <f aca="false">F219*Assumptions!$E$64^(1/4)+G210*$C$159</f>
        <v>20866.0439239064</v>
      </c>
      <c r="H219" s="54" t="n">
        <f aca="false">G219*Assumptions!$E$64^(1/4)+H210*$C$159</f>
        <v>30732.6025192522</v>
      </c>
      <c r="I219" s="54" t="n">
        <f aca="false">H219*Assumptions!$E$64^(1/4)+I210*$C$159</f>
        <v>42590.8720102144</v>
      </c>
      <c r="J219" s="54" t="n">
        <f aca="false">I219*Assumptions!$E$64^(1/4)+J210*$C$159</f>
        <v>56428.9790305215</v>
      </c>
      <c r="K219" s="54" t="n">
        <f aca="false">J219*Assumptions!$E$64^(1/4)+K210*$C$159</f>
        <v>74828.6952807254</v>
      </c>
      <c r="L219" s="54" t="n">
        <f aca="false">K219*Assumptions!$E$64^(1/4)+L210*$C$159</f>
        <v>97706.5094169996</v>
      </c>
      <c r="M219" s="54" t="n">
        <f aca="false">L219*Assumptions!$E$64^(1/4)+M210*$C$159</f>
        <v>121541.467521117</v>
      </c>
      <c r="N219" s="54" t="n">
        <f aca="false">M219*Assumptions!$E$64^(1/4)+N210*$C$159</f>
        <v>145621.085996823</v>
      </c>
      <c r="P219" s="55" t="n">
        <f aca="false">F219</f>
        <v>12107.4388108841</v>
      </c>
      <c r="Q219" s="55" t="n">
        <f aca="false">J219</f>
        <v>56428.9790305215</v>
      </c>
      <c r="R219" s="55" t="n">
        <f aca="false">N219</f>
        <v>145621.085996823</v>
      </c>
      <c r="S219" s="56" t="n">
        <f aca="false">R219</f>
        <v>145621.085996823</v>
      </c>
    </row>
    <row r="220" customFormat="false" ht="15" hidden="false" customHeight="false" outlineLevel="0" collapsed="false">
      <c r="A220" s="9" t="s">
        <v>541</v>
      </c>
      <c r="B220" s="36" t="s">
        <v>125</v>
      </c>
      <c r="C220" s="55" t="n">
        <f aca="false">C217+C218+C219</f>
        <v>0</v>
      </c>
      <c r="D220" s="55" t="n">
        <f aca="false">D217+D218+D219</f>
        <v>8876.43319038757</v>
      </c>
      <c r="E220" s="55" t="n">
        <f aca="false">E217+E218+E219</f>
        <v>28556.8328798949</v>
      </c>
      <c r="F220" s="55" t="n">
        <f aca="false">F217+F218+F219</f>
        <v>53219.0446912122</v>
      </c>
      <c r="G220" s="55" t="n">
        <f aca="false">G217+G218+G219</f>
        <v>80661.5284149939</v>
      </c>
      <c r="H220" s="55" t="n">
        <f aca="false">H217+H218+H219</f>
        <v>114397.200378599</v>
      </c>
      <c r="I220" s="55" t="n">
        <f aca="false">I217+I218+I219</f>
        <v>155018.116366178</v>
      </c>
      <c r="J220" s="55" t="n">
        <f aca="false">J217+J218+J219</f>
        <v>210178.596103656</v>
      </c>
      <c r="K220" s="55" t="n">
        <f aca="false">K217+K218+K219</f>
        <v>281455.503508684</v>
      </c>
      <c r="L220" s="55" t="n">
        <f aca="false">L217+L218+L219</f>
        <v>357934.868621746</v>
      </c>
      <c r="M220" s="55" t="n">
        <f aca="false">M217+M218+M219</f>
        <v>434190.644323734</v>
      </c>
      <c r="N220" s="55" t="n">
        <f aca="false">N217+N218+N219</f>
        <v>509612.726732255</v>
      </c>
      <c r="P220" s="55" t="n">
        <f aca="false">F220</f>
        <v>53219.0446912122</v>
      </c>
      <c r="Q220" s="55" t="n">
        <f aca="false">J220</f>
        <v>210178.596103656</v>
      </c>
      <c r="R220" s="55" t="n">
        <f aca="false">N220</f>
        <v>509612.726732255</v>
      </c>
      <c r="S220" s="56" t="n">
        <f aca="false">R220</f>
        <v>509612.726732255</v>
      </c>
    </row>
    <row r="221" customFormat="false" ht="15" hidden="false" customHeight="false" outlineLevel="0" collapsed="false">
      <c r="A221" s="4" t="s">
        <v>542</v>
      </c>
      <c r="B221" s="36" t="s">
        <v>125</v>
      </c>
      <c r="C221" s="54" t="n">
        <f aca="false">C208*$C$157+C209*$C$158+C210*$C$159</f>
        <v>0</v>
      </c>
      <c r="D221" s="54" t="n">
        <f aca="false">D208*$C$157+D209*$C$158+D210*$C$159</f>
        <v>8876.43319038757</v>
      </c>
      <c r="E221" s="54" t="n">
        <f aca="false">E208*$C$157+E209*$C$158+E210*$C$159</f>
        <v>19618.1886500368</v>
      </c>
      <c r="F221" s="54" t="n">
        <f aca="false">F208*$C$157+F209*$C$158+F210*$C$159</f>
        <v>24335.8808795765</v>
      </c>
      <c r="G221" s="54" t="n">
        <f aca="false">G208*$C$157+G209*$C$158+G210*$C$159</f>
        <v>26722.0551062465</v>
      </c>
      <c r="H221" s="54" t="n">
        <f aca="false">H208*$C$157+H209*$C$158+H210*$C$159</f>
        <v>32570.6348072815</v>
      </c>
      <c r="I221" s="54" t="n">
        <f aca="false">I208*$C$157+I209*$C$158+I210*$C$159</f>
        <v>38936.2212649288</v>
      </c>
      <c r="J221" s="54" t="n">
        <f aca="false">J208*$C$157+J209*$C$158+J210*$C$159</f>
        <v>52851.2673832351</v>
      </c>
      <c r="K221" s="54" t="n">
        <f aca="false">K208*$C$157+K209*$C$158+K210*$C$159</f>
        <v>68193.6820495777</v>
      </c>
      <c r="L221" s="54" t="n">
        <f aca="false">L208*$C$157+L209*$C$158+L210*$C$159</f>
        <v>72385.5913630249</v>
      </c>
      <c r="M221" s="54" t="n">
        <f aca="false">M208*$C$157+M209*$C$158+M210*$C$159</f>
        <v>70984.5735032962</v>
      </c>
      <c r="N221" s="54" t="n">
        <f aca="false">N208*$C$157+N209*$C$158+N210*$C$159</f>
        <v>68944.2304944803</v>
      </c>
      <c r="P221" s="55" t="n">
        <f aca="false">SUM(C221:F221)</f>
        <v>52830.5027200009</v>
      </c>
      <c r="Q221" s="55" t="n">
        <f aca="false">SUM(G221:J221)</f>
        <v>151080.178561692</v>
      </c>
      <c r="R221" s="55" t="n">
        <f aca="false">SUM(K221:N221)</f>
        <v>280508.077410379</v>
      </c>
      <c r="S221" s="56" t="n">
        <f aca="false">SUM(P221:R221)</f>
        <v>484418.758692072</v>
      </c>
    </row>
    <row r="222" customFormat="false" ht="15" hidden="false" customHeight="false" outlineLevel="0" collapsed="false">
      <c r="A222" s="9" t="s">
        <v>543</v>
      </c>
      <c r="B222" s="36" t="s">
        <v>125</v>
      </c>
      <c r="C222" s="55" t="n">
        <f aca="false">(0+C220)/8</f>
        <v>0</v>
      </c>
      <c r="D222" s="55" t="n">
        <f aca="false">(C220+D220)/8</f>
        <v>1109.55414879845</v>
      </c>
      <c r="E222" s="55" t="n">
        <f aca="false">(D220+E220)/8</f>
        <v>4679.15825878531</v>
      </c>
      <c r="F222" s="55" t="n">
        <f aca="false">(E220+F220)/8</f>
        <v>10221.9846963884</v>
      </c>
      <c r="G222" s="55" t="n">
        <f aca="false">(F220+G220)/8</f>
        <v>16735.0716382758</v>
      </c>
      <c r="H222" s="55" t="n">
        <f aca="false">(G220+H220)/8</f>
        <v>24382.3410991992</v>
      </c>
      <c r="I222" s="55" t="n">
        <f aca="false">(H220+I220)/8</f>
        <v>33676.9145930972</v>
      </c>
      <c r="J222" s="55" t="n">
        <f aca="false">(I220+J220)/8</f>
        <v>45649.5890587293</v>
      </c>
      <c r="K222" s="55" t="n">
        <f aca="false">(J220+K220)/8</f>
        <v>61454.2624515425</v>
      </c>
      <c r="L222" s="55" t="n">
        <f aca="false">(K220+L220)/8</f>
        <v>79923.7965163037</v>
      </c>
      <c r="M222" s="55" t="n">
        <f aca="false">(L220+M220)/8</f>
        <v>99015.6891181849</v>
      </c>
      <c r="N222" s="55" t="n">
        <f aca="false">(M220+N220)/8</f>
        <v>117975.421381999</v>
      </c>
      <c r="P222" s="55" t="n">
        <f aca="false">SUM(C222:F222)</f>
        <v>16010.6971039722</v>
      </c>
      <c r="Q222" s="55" t="n">
        <f aca="false">SUM(G222:J222)</f>
        <v>120443.916389301</v>
      </c>
      <c r="R222" s="55" t="n">
        <f aca="false">SUM(K222:N222)</f>
        <v>358369.16946803</v>
      </c>
      <c r="S222" s="56" t="n">
        <f aca="false">SUM(P222:R222)</f>
        <v>494823.782961303</v>
      </c>
    </row>
    <row r="223" customFormat="false" ht="15" hidden="false" customHeight="false" outlineLevel="0" collapsed="false">
      <c r="A223" s="4" t="s">
        <v>544</v>
      </c>
      <c r="B223" s="36" t="s">
        <v>125</v>
      </c>
      <c r="C223" s="54" t="n">
        <f aca="false">C222*Assumptions!$E$76</f>
        <v>0</v>
      </c>
      <c r="D223" s="54" t="n">
        <f aca="false">D222*Assumptions!$E$76</f>
        <v>721.21019671899</v>
      </c>
      <c r="E223" s="54" t="n">
        <f aca="false">E222*Assumptions!$E$76</f>
        <v>3041.45286821045</v>
      </c>
      <c r="F223" s="54" t="n">
        <f aca="false">F222*Assumptions!$E$76</f>
        <v>6644.29005265246</v>
      </c>
      <c r="G223" s="54" t="n">
        <f aca="false">G222*Assumptions!$E$76</f>
        <v>10877.7965648792</v>
      </c>
      <c r="H223" s="54" t="n">
        <f aca="false">H222*Assumptions!$E$76</f>
        <v>15848.5217144795</v>
      </c>
      <c r="I223" s="54" t="n">
        <f aca="false">I222*Assumptions!$E$76</f>
        <v>21889.9944855132</v>
      </c>
      <c r="J223" s="54" t="n">
        <f aca="false">J222*Assumptions!$E$76</f>
        <v>29672.2328881741</v>
      </c>
      <c r="K223" s="54" t="n">
        <f aca="false">K222*Assumptions!$E$76</f>
        <v>39945.2705935026</v>
      </c>
      <c r="L223" s="54" t="n">
        <f aca="false">L222*Assumptions!$E$76</f>
        <v>51950.4677355974</v>
      </c>
      <c r="M223" s="54" t="n">
        <f aca="false">M222*Assumptions!$E$76</f>
        <v>64360.1979268202</v>
      </c>
      <c r="N223" s="54" t="n">
        <f aca="false">N222*Assumptions!$E$76</f>
        <v>76684.0238982991</v>
      </c>
      <c r="P223" s="55" t="n">
        <f aca="false">SUM(C223:F223)</f>
        <v>10406.9531175819</v>
      </c>
      <c r="Q223" s="55" t="n">
        <f aca="false">SUM(G223:J223)</f>
        <v>78288.545653046</v>
      </c>
      <c r="R223" s="55" t="n">
        <f aca="false">SUM(K223:N223)</f>
        <v>232939.960154219</v>
      </c>
      <c r="S223" s="56" t="n">
        <f aca="false">SUM(P223:R223)</f>
        <v>321635.458924847</v>
      </c>
    </row>
    <row r="224" customFormat="false" ht="15" hidden="false" customHeight="false" outlineLevel="0" collapsed="false">
      <c r="A224" s="35" t="s">
        <v>547</v>
      </c>
      <c r="B224" s="35" t="s">
        <v>444</v>
      </c>
      <c r="C224" s="6" t="s">
        <v>354</v>
      </c>
      <c r="D224" s="6" t="s">
        <v>355</v>
      </c>
      <c r="E224" s="6" t="s">
        <v>356</v>
      </c>
      <c r="F224" s="6" t="s">
        <v>357</v>
      </c>
      <c r="G224" s="6" t="s">
        <v>358</v>
      </c>
      <c r="H224" s="6" t="s">
        <v>359</v>
      </c>
      <c r="I224" s="6" t="s">
        <v>360</v>
      </c>
      <c r="J224" s="6" t="s">
        <v>361</v>
      </c>
      <c r="K224" s="6" t="s">
        <v>362</v>
      </c>
      <c r="L224" s="6" t="s">
        <v>363</v>
      </c>
      <c r="M224" s="6" t="s">
        <v>364</v>
      </c>
      <c r="N224" s="6" t="s">
        <v>365</v>
      </c>
      <c r="P224" s="6" t="s">
        <v>445</v>
      </c>
      <c r="Q224" s="6" t="s">
        <v>446</v>
      </c>
      <c r="R224" s="6" t="s">
        <v>447</v>
      </c>
      <c r="S224" s="6" t="s">
        <v>448</v>
      </c>
    </row>
    <row r="225" customFormat="false" ht="15" hidden="false" customHeight="false" outlineLevel="0" collapsed="false">
      <c r="A225" s="4" t="s">
        <v>548</v>
      </c>
      <c r="B225" s="36" t="s">
        <v>321</v>
      </c>
      <c r="C225" s="48" t="n">
        <f aca="false">Assumptions!$D$97*C167</f>
        <v>1</v>
      </c>
      <c r="D225" s="48" t="n">
        <f aca="false">Assumptions!$D$97*D167</f>
        <v>1</v>
      </c>
      <c r="E225" s="48" t="n">
        <f aca="false">Assumptions!$D$97*E167</f>
        <v>1</v>
      </c>
      <c r="F225" s="48" t="n">
        <f aca="false">Assumptions!$D$97*F167</f>
        <v>1</v>
      </c>
      <c r="G225" s="48" t="n">
        <f aca="false">Assumptions!$D$97*G167</f>
        <v>1</v>
      </c>
      <c r="H225" s="48" t="n">
        <f aca="false">Assumptions!$D$97*H167</f>
        <v>1</v>
      </c>
      <c r="I225" s="48" t="n">
        <f aca="false">Assumptions!$D$97*I167</f>
        <v>1</v>
      </c>
      <c r="J225" s="48" t="n">
        <f aca="false">Assumptions!$D$97*J167</f>
        <v>1</v>
      </c>
      <c r="K225" s="48" t="n">
        <f aca="false">Assumptions!$D$97*K167</f>
        <v>1</v>
      </c>
      <c r="L225" s="48" t="n">
        <f aca="false">Assumptions!$D$97*L167</f>
        <v>1</v>
      </c>
      <c r="M225" s="48" t="n">
        <f aca="false">Assumptions!$D$97*M167</f>
        <v>1</v>
      </c>
      <c r="N225" s="48" t="n">
        <f aca="false">Assumptions!$D$97*N167</f>
        <v>1</v>
      </c>
      <c r="P225" s="49" t="n">
        <f aca="false">AVERAGE(C225:F225)</f>
        <v>1</v>
      </c>
      <c r="Q225" s="49" t="n">
        <f aca="false">AVERAGE(G225:J225)</f>
        <v>1</v>
      </c>
      <c r="R225" s="49" t="n">
        <f aca="false">AVERAGE(K225:N225)</f>
        <v>1</v>
      </c>
      <c r="S225" s="50"/>
    </row>
    <row r="226" customFormat="false" ht="15" hidden="false" customHeight="false" outlineLevel="0" collapsed="false">
      <c r="A226" s="4" t="s">
        <v>549</v>
      </c>
      <c r="B226" s="36" t="s">
        <v>321</v>
      </c>
      <c r="C226" s="48" t="n">
        <f aca="false">C180*C167</f>
        <v>0</v>
      </c>
      <c r="D226" s="48" t="n">
        <f aca="false">D180*D167</f>
        <v>0</v>
      </c>
      <c r="E226" s="48" t="n">
        <f aca="false">E180*E167</f>
        <v>0</v>
      </c>
      <c r="F226" s="48" t="n">
        <f aca="false">F180*F167</f>
        <v>0</v>
      </c>
      <c r="G226" s="48" t="n">
        <f aca="false">G180*G167</f>
        <v>0</v>
      </c>
      <c r="H226" s="48" t="n">
        <f aca="false">H180*H167</f>
        <v>0</v>
      </c>
      <c r="I226" s="48" t="n">
        <f aca="false">I180*I167</f>
        <v>0</v>
      </c>
      <c r="J226" s="48" t="n">
        <f aca="false">J180*J167</f>
        <v>0</v>
      </c>
      <c r="K226" s="48" t="n">
        <f aca="false">K180*K167</f>
        <v>0</v>
      </c>
      <c r="L226" s="48" t="n">
        <f aca="false">L180*L167</f>
        <v>0</v>
      </c>
      <c r="M226" s="48" t="n">
        <f aca="false">M180*M167</f>
        <v>0</v>
      </c>
      <c r="N226" s="48" t="n">
        <f aca="false">N180*N167</f>
        <v>0</v>
      </c>
      <c r="P226" s="49" t="n">
        <f aca="false">AVERAGE(C226:F226)</f>
        <v>0</v>
      </c>
      <c r="Q226" s="49" t="n">
        <f aca="false">AVERAGE(G226:J226)</f>
        <v>0</v>
      </c>
      <c r="R226" s="49" t="n">
        <f aca="false">AVERAGE(K226:N226)</f>
        <v>0</v>
      </c>
      <c r="S226" s="50"/>
    </row>
    <row r="227" customFormat="false" ht="15" hidden="false" customHeight="false" outlineLevel="0" collapsed="false">
      <c r="A227" s="4" t="s">
        <v>550</v>
      </c>
      <c r="B227" s="36" t="s">
        <v>321</v>
      </c>
      <c r="C227" s="48" t="n">
        <f aca="false">IF(C166&lt;=4,Assumptions!$D$98,Assumptions!$D$99)*C167</f>
        <v>0</v>
      </c>
      <c r="D227" s="48" t="n">
        <f aca="false">IF(D166&lt;=4,Assumptions!$D$98,Assumptions!$D$99)*D167</f>
        <v>0</v>
      </c>
      <c r="E227" s="48" t="n">
        <f aca="false">IF(E166&lt;=4,Assumptions!$D$98,Assumptions!$D$99)*E167</f>
        <v>0</v>
      </c>
      <c r="F227" s="48" t="n">
        <f aca="false">IF(F166&lt;=4,Assumptions!$D$98,Assumptions!$D$99)*F167</f>
        <v>0</v>
      </c>
      <c r="G227" s="48" t="n">
        <f aca="false">IF(G166&lt;=4,Assumptions!$D$98,Assumptions!$D$99)*G167</f>
        <v>0.5</v>
      </c>
      <c r="H227" s="48" t="n">
        <f aca="false">IF(H166&lt;=4,Assumptions!$D$98,Assumptions!$D$99)*H167</f>
        <v>0.5</v>
      </c>
      <c r="I227" s="48" t="n">
        <f aca="false">IF(I166&lt;=4,Assumptions!$D$98,Assumptions!$D$99)*I167</f>
        <v>0.5</v>
      </c>
      <c r="J227" s="48" t="n">
        <f aca="false">IF(J166&lt;=4,Assumptions!$D$98,Assumptions!$D$99)*J167</f>
        <v>0.5</v>
      </c>
      <c r="K227" s="48" t="n">
        <f aca="false">IF(K166&lt;=4,Assumptions!$D$98,Assumptions!$D$99)*K167</f>
        <v>0.5</v>
      </c>
      <c r="L227" s="48" t="n">
        <f aca="false">IF(L166&lt;=4,Assumptions!$D$98,Assumptions!$D$99)*L167</f>
        <v>0.5</v>
      </c>
      <c r="M227" s="48" t="n">
        <f aca="false">IF(M166&lt;=4,Assumptions!$D$98,Assumptions!$D$99)*M167</f>
        <v>0.5</v>
      </c>
      <c r="N227" s="48" t="n">
        <f aca="false">IF(N166&lt;=4,Assumptions!$D$98,Assumptions!$D$99)*N167</f>
        <v>0.5</v>
      </c>
      <c r="P227" s="49" t="n">
        <f aca="false">AVERAGE(C227:F227)</f>
        <v>0</v>
      </c>
      <c r="Q227" s="49" t="n">
        <f aca="false">AVERAGE(G227:J227)</f>
        <v>0.5</v>
      </c>
      <c r="R227" s="49" t="n">
        <f aca="false">AVERAGE(K227:N227)</f>
        <v>0.5</v>
      </c>
      <c r="S227" s="50"/>
    </row>
    <row r="228" customFormat="false" ht="15" hidden="false" customHeight="false" outlineLevel="0" collapsed="false">
      <c r="A228" s="4" t="s">
        <v>551</v>
      </c>
      <c r="B228" s="36" t="s">
        <v>321</v>
      </c>
      <c r="C228" s="48" t="n">
        <f aca="false">IF(C166&lt;=4,Assumptions!$D$100,Assumptions!$D$101)*C167</f>
        <v>1</v>
      </c>
      <c r="D228" s="48" t="n">
        <f aca="false">IF(D166&lt;=4,Assumptions!$D$100,Assumptions!$D$101)*D167</f>
        <v>1</v>
      </c>
      <c r="E228" s="48" t="n">
        <f aca="false">IF(E166&lt;=4,Assumptions!$D$100,Assumptions!$D$101)*E167</f>
        <v>1</v>
      </c>
      <c r="F228" s="48" t="n">
        <f aca="false">IF(F166&lt;=4,Assumptions!$D$100,Assumptions!$D$101)*F167</f>
        <v>1</v>
      </c>
      <c r="G228" s="48" t="n">
        <f aca="false">IF(G166&lt;=4,Assumptions!$D$100,Assumptions!$D$101)*G167</f>
        <v>0.5</v>
      </c>
      <c r="H228" s="48" t="n">
        <f aca="false">IF(H166&lt;=4,Assumptions!$D$100,Assumptions!$D$101)*H167</f>
        <v>0.5</v>
      </c>
      <c r="I228" s="48" t="n">
        <f aca="false">IF(I166&lt;=4,Assumptions!$D$100,Assumptions!$D$101)*I167</f>
        <v>0.5</v>
      </c>
      <c r="J228" s="48" t="n">
        <f aca="false">IF(J166&lt;=4,Assumptions!$D$100,Assumptions!$D$101)*J167</f>
        <v>0.5</v>
      </c>
      <c r="K228" s="48" t="n">
        <f aca="false">IF(K166&lt;=4,Assumptions!$D$100,Assumptions!$D$101)*K167</f>
        <v>0.5</v>
      </c>
      <c r="L228" s="48" t="n">
        <f aca="false">IF(L166&lt;=4,Assumptions!$D$100,Assumptions!$D$101)*L167</f>
        <v>0.5</v>
      </c>
      <c r="M228" s="48" t="n">
        <f aca="false">IF(M166&lt;=4,Assumptions!$D$100,Assumptions!$D$101)*M167</f>
        <v>0.5</v>
      </c>
      <c r="N228" s="48" t="n">
        <f aca="false">IF(N166&lt;=4,Assumptions!$D$100,Assumptions!$D$101)*N167</f>
        <v>0.5</v>
      </c>
      <c r="P228" s="49" t="n">
        <f aca="false">AVERAGE(C228:F228)</f>
        <v>1</v>
      </c>
      <c r="Q228" s="49" t="n">
        <f aca="false">AVERAGE(G228:J228)</f>
        <v>0.5</v>
      </c>
      <c r="R228" s="49" t="n">
        <f aca="false">AVERAGE(K228:N228)</f>
        <v>0.5</v>
      </c>
      <c r="S228" s="50"/>
    </row>
    <row r="229" customFormat="false" ht="15" hidden="false" customHeight="false" outlineLevel="0" collapsed="false">
      <c r="A229" s="4" t="s">
        <v>552</v>
      </c>
      <c r="B229" s="36" t="s">
        <v>321</v>
      </c>
      <c r="C229" s="48" t="n">
        <f aca="false">Assumptions!$D$102*C167</f>
        <v>0.25</v>
      </c>
      <c r="D229" s="48" t="n">
        <f aca="false">Assumptions!$D$102*D167</f>
        <v>0.25</v>
      </c>
      <c r="E229" s="48" t="n">
        <f aca="false">Assumptions!$D$102*E167</f>
        <v>0.25</v>
      </c>
      <c r="F229" s="48" t="n">
        <f aca="false">Assumptions!$D$102*F167</f>
        <v>0.25</v>
      </c>
      <c r="G229" s="48" t="n">
        <f aca="false">Assumptions!$D$102*G167</f>
        <v>0.25</v>
      </c>
      <c r="H229" s="48" t="n">
        <f aca="false">Assumptions!$D$102*H167</f>
        <v>0.25</v>
      </c>
      <c r="I229" s="48" t="n">
        <f aca="false">Assumptions!$D$102*I167</f>
        <v>0.25</v>
      </c>
      <c r="J229" s="48" t="n">
        <f aca="false">Assumptions!$D$102*J167</f>
        <v>0.25</v>
      </c>
      <c r="K229" s="48" t="n">
        <f aca="false">Assumptions!$D$102*K167</f>
        <v>0.25</v>
      </c>
      <c r="L229" s="48" t="n">
        <f aca="false">Assumptions!$D$102*L167</f>
        <v>0.25</v>
      </c>
      <c r="M229" s="48" t="n">
        <f aca="false">Assumptions!$D$102*M167</f>
        <v>0.25</v>
      </c>
      <c r="N229" s="48" t="n">
        <f aca="false">Assumptions!$D$102*N167</f>
        <v>0.25</v>
      </c>
      <c r="P229" s="49" t="n">
        <f aca="false">AVERAGE(C229:F229)</f>
        <v>0.25</v>
      </c>
      <c r="Q229" s="49" t="n">
        <f aca="false">AVERAGE(G229:J229)</f>
        <v>0.25</v>
      </c>
      <c r="R229" s="49" t="n">
        <f aca="false">AVERAGE(K229:N229)</f>
        <v>0.25</v>
      </c>
      <c r="S229" s="50"/>
    </row>
    <row r="230" customFormat="false" ht="15" hidden="false" customHeight="false" outlineLevel="0" collapsed="false">
      <c r="A230" s="4" t="s">
        <v>553</v>
      </c>
      <c r="B230" s="36" t="s">
        <v>321</v>
      </c>
      <c r="C230" s="48" t="n">
        <f aca="false">(C214+C215)/Assumptions!$E$74+C213/Assumptions!$E$75</f>
        <v>0</v>
      </c>
      <c r="D230" s="48" t="n">
        <f aca="false">(D214+D215)/Assumptions!$E$74+D213/Assumptions!$E$75</f>
        <v>0.0143176301374139</v>
      </c>
      <c r="E230" s="48" t="n">
        <f aca="false">(E214+E215)/Assumptions!$E$74+E213/Assumptions!$E$75</f>
        <v>0.0402499456767798</v>
      </c>
      <c r="F230" s="48" t="n">
        <f aca="false">(F214+F215)/Assumptions!$E$74+F213/Assumptions!$E$75</f>
        <v>0.069296156601371</v>
      </c>
      <c r="G230" s="48" t="n">
        <f aca="false">(G214+G215)/Assumptions!$E$74+G213/Assumptions!$E$75</f>
        <v>0.100475077199051</v>
      </c>
      <c r="H230" s="48" t="n">
        <f aca="false">(H214+H215)/Assumptions!$E$74+H213/Assumptions!$E$75</f>
        <v>0.139084643227244</v>
      </c>
      <c r="I230" s="48" t="n">
        <f aca="false">(I214+I215)/Assumptions!$E$74+I213/Assumptions!$E$75</f>
        <v>0.184756080005146</v>
      </c>
      <c r="J230" s="48" t="n">
        <f aca="false">(J214+J215)/Assumptions!$E$74+J213/Assumptions!$E$75</f>
        <v>0.248473880206466</v>
      </c>
      <c r="K230" s="48" t="n">
        <f aca="false">(K214+K215)/Assumptions!$E$74+K213/Assumptions!$E$75</f>
        <v>0.329218871456529</v>
      </c>
      <c r="L230" s="48" t="n">
        <f aca="false">(L214+L215)/Assumptions!$E$74+L213/Assumptions!$E$75</f>
        <v>0.409912468045788</v>
      </c>
      <c r="M230" s="48" t="n">
        <f aca="false">(M214+M215)/Assumptions!$E$74+M213/Assumptions!$E$75</f>
        <v>0.486094517455055</v>
      </c>
      <c r="N230" s="48" t="n">
        <f aca="false">(N214+N215)/Assumptions!$E$74+N213/Assumptions!$E$75</f>
        <v>0.557753573090085</v>
      </c>
      <c r="P230" s="49" t="n">
        <f aca="false">AVERAGE(C230:F230)</f>
        <v>0.0309659331038912</v>
      </c>
      <c r="Q230" s="49" t="n">
        <f aca="false">AVERAGE(G230:J230)</f>
        <v>0.168197420159477</v>
      </c>
      <c r="R230" s="49" t="n">
        <f aca="false">AVERAGE(K230:N230)</f>
        <v>0.445744857511864</v>
      </c>
      <c r="S230" s="50"/>
    </row>
    <row r="231" customFormat="false" ht="15" hidden="false" customHeight="false" outlineLevel="0" collapsed="false">
      <c r="A231" s="4" t="s">
        <v>554</v>
      </c>
      <c r="B231" s="36" t="s">
        <v>125</v>
      </c>
      <c r="C231" s="54" t="n">
        <f aca="false">(C225+C227)*Assumptions!$E$70/Assumptions!$E$69/4</f>
        <v>66753.5714285714</v>
      </c>
      <c r="D231" s="54" t="n">
        <f aca="false">(D225+D227)*Assumptions!$E$70/Assumptions!$E$69/4</f>
        <v>66753.5714285714</v>
      </c>
      <c r="E231" s="54" t="n">
        <f aca="false">(E225+E227)*Assumptions!$E$70/Assumptions!$E$69/4</f>
        <v>66753.5714285714</v>
      </c>
      <c r="F231" s="54" t="n">
        <f aca="false">(F225+F227)*Assumptions!$E$70/Assumptions!$E$69/4</f>
        <v>66753.5714285714</v>
      </c>
      <c r="G231" s="54" t="n">
        <f aca="false">(G225+G227)*Assumptions!$E$70/Assumptions!$E$69/4</f>
        <v>100130.357142857</v>
      </c>
      <c r="H231" s="54" t="n">
        <f aca="false">(H225+H227)*Assumptions!$E$70/Assumptions!$E$69/4</f>
        <v>100130.357142857</v>
      </c>
      <c r="I231" s="54" t="n">
        <f aca="false">(I225+I227)*Assumptions!$E$70/Assumptions!$E$69/4</f>
        <v>100130.357142857</v>
      </c>
      <c r="J231" s="54" t="n">
        <f aca="false">(J225+J227)*Assumptions!$E$70/Assumptions!$E$69/4</f>
        <v>100130.357142857</v>
      </c>
      <c r="K231" s="54" t="n">
        <f aca="false">(K225+K227)*Assumptions!$E$70/Assumptions!$E$69/4</f>
        <v>100130.357142857</v>
      </c>
      <c r="L231" s="54" t="n">
        <f aca="false">(L225+L227)*Assumptions!$E$70/Assumptions!$E$69/4</f>
        <v>100130.357142857</v>
      </c>
      <c r="M231" s="54" t="n">
        <f aca="false">(M225+M227)*Assumptions!$E$70/Assumptions!$E$69/4</f>
        <v>100130.357142857</v>
      </c>
      <c r="N231" s="54" t="n">
        <f aca="false">(N225+N227)*Assumptions!$E$70/Assumptions!$E$69/4</f>
        <v>100130.357142857</v>
      </c>
      <c r="P231" s="55" t="n">
        <f aca="false">SUM(C231:F231)</f>
        <v>267014.285714286</v>
      </c>
      <c r="Q231" s="55" t="n">
        <f aca="false">SUM(G231:J231)</f>
        <v>400521.428571429</v>
      </c>
      <c r="R231" s="55" t="n">
        <f aca="false">SUM(K231:N231)</f>
        <v>400521.428571429</v>
      </c>
      <c r="S231" s="56" t="n">
        <f aca="false">SUM(P231:R231)</f>
        <v>1068057.14285714</v>
      </c>
    </row>
    <row r="232" customFormat="false" ht="15" hidden="false" customHeight="false" outlineLevel="0" collapsed="false">
      <c r="A232" s="4" t="s">
        <v>555</v>
      </c>
      <c r="B232" s="36" t="s">
        <v>125</v>
      </c>
      <c r="C232" s="54" t="n">
        <f aca="false">C226*$C$161/4</f>
        <v>0</v>
      </c>
      <c r="D232" s="54" t="n">
        <f aca="false">D226*$C$161/4</f>
        <v>0</v>
      </c>
      <c r="E232" s="54" t="n">
        <f aca="false">E226*$C$161/4</f>
        <v>0</v>
      </c>
      <c r="F232" s="54" t="n">
        <f aca="false">F226*$C$161/4</f>
        <v>0</v>
      </c>
      <c r="G232" s="54" t="n">
        <f aca="false">G226*$C$161/4</f>
        <v>0</v>
      </c>
      <c r="H232" s="54" t="n">
        <f aca="false">H226*$C$161/4</f>
        <v>0</v>
      </c>
      <c r="I232" s="54" t="n">
        <f aca="false">I226*$C$161/4</f>
        <v>0</v>
      </c>
      <c r="J232" s="54" t="n">
        <f aca="false">J226*$C$161/4</f>
        <v>0</v>
      </c>
      <c r="K232" s="54" t="n">
        <f aca="false">K226*$C$161/4</f>
        <v>0</v>
      </c>
      <c r="L232" s="54" t="n">
        <f aca="false">L226*$C$161/4</f>
        <v>0</v>
      </c>
      <c r="M232" s="54" t="n">
        <f aca="false">M226*$C$161/4</f>
        <v>0</v>
      </c>
      <c r="N232" s="54" t="n">
        <f aca="false">N226*$C$161/4</f>
        <v>0</v>
      </c>
      <c r="P232" s="55" t="n">
        <f aca="false">SUM(C232:F232)</f>
        <v>0</v>
      </c>
      <c r="Q232" s="55" t="n">
        <f aca="false">SUM(G232:J232)</f>
        <v>0</v>
      </c>
      <c r="R232" s="55" t="n">
        <f aca="false">SUM(K232:N232)</f>
        <v>0</v>
      </c>
      <c r="S232" s="56" t="n">
        <f aca="false">SUM(P232:R232)</f>
        <v>0</v>
      </c>
    </row>
    <row r="233" customFormat="false" ht="15" hidden="false" customHeight="false" outlineLevel="0" collapsed="false">
      <c r="A233" s="4" t="s">
        <v>556</v>
      </c>
      <c r="B233" s="36" t="s">
        <v>125</v>
      </c>
      <c r="C233" s="54" t="n">
        <f aca="false">MAX(0,(C221-C202*$C$157)-C181*$C$162)*$C$163*Assumptions!$D$105</f>
        <v>0</v>
      </c>
      <c r="D233" s="54" t="n">
        <f aca="false">MAX(0,(D221-D202*$C$157)-D181*$C$162)*$C$163*Assumptions!$D$105</f>
        <v>3491.72206180778</v>
      </c>
      <c r="E233" s="54" t="n">
        <f aca="false">MAX(0,(E221-E202*$C$157)-E181*$C$162)*$C$163*Assumptions!$D$105</f>
        <v>8039.09651874593</v>
      </c>
      <c r="F233" s="54" t="n">
        <f aca="false">MAX(0,(F221-F202*$C$157)-F181*$C$162)*$C$163*Assumptions!$D$105</f>
        <v>10124.750003461</v>
      </c>
      <c r="G233" s="54" t="n">
        <f aca="false">MAX(0,(G221-G202*$C$157)-G181*$C$162)*$C$163*Assumptions!$D$105</f>
        <v>11120.4562644655</v>
      </c>
      <c r="H233" s="54" t="n">
        <f aca="false">MAX(0,(H221-H202*$C$157)-H181*$C$162)*$C$163*Assumptions!$D$105</f>
        <v>13463.0357338943</v>
      </c>
      <c r="I233" s="54" t="n">
        <f aca="false">MAX(0,(I221-I202*$C$157)-I181*$C$162)*$C$163*Assumptions!$D$105</f>
        <v>16072.2164343224</v>
      </c>
      <c r="J233" s="54" t="n">
        <f aca="false">MAX(0,(J221-J202*$C$157)-J181*$C$162)*$C$163*Assumptions!$D$105</f>
        <v>21559.8957723031</v>
      </c>
      <c r="K233" s="54" t="n">
        <f aca="false">MAX(0,(K221-K202*$C$157)-K181*$C$162)*$C$163*Assumptions!$D$105</f>
        <v>27808.6094682429</v>
      </c>
      <c r="L233" s="54" t="n">
        <f aca="false">MAX(0,(L221-L202*$C$157)-L181*$C$162)*$C$163*Assumptions!$D$105</f>
        <v>29735.5837530454</v>
      </c>
      <c r="M233" s="54" t="n">
        <f aca="false">MAX(0,(M221-M202*$C$157)-M181*$C$162)*$C$163*Assumptions!$D$105</f>
        <v>29201.3815340945</v>
      </c>
      <c r="N233" s="54" t="n">
        <f aca="false">MAX(0,(N221-N202*$C$157)-N181*$C$162)*$C$163*Assumptions!$D$105</f>
        <v>28360.6706538674</v>
      </c>
      <c r="P233" s="55" t="n">
        <f aca="false">SUM(C233:F233)</f>
        <v>21655.5685840147</v>
      </c>
      <c r="Q233" s="55" t="n">
        <f aca="false">SUM(G233:J233)</f>
        <v>62215.6042049852</v>
      </c>
      <c r="R233" s="55" t="n">
        <f aca="false">SUM(K233:N233)</f>
        <v>115106.24540925</v>
      </c>
      <c r="S233" s="56" t="n">
        <f aca="false">SUM(P233:R233)</f>
        <v>198977.41819825</v>
      </c>
    </row>
    <row r="234" customFormat="false" ht="15" hidden="false" customHeight="false" outlineLevel="0" collapsed="false">
      <c r="A234" s="4" t="s">
        <v>557</v>
      </c>
      <c r="B234" s="36" t="s">
        <v>125</v>
      </c>
      <c r="C234" s="54" t="n">
        <f aca="false">C229*Assumptions!$E$71/Assumptions!$E$69/4</f>
        <v>18475.8928571429</v>
      </c>
      <c r="D234" s="54" t="n">
        <f aca="false">D229*Assumptions!$E$71/Assumptions!$E$69/4</f>
        <v>18475.8928571429</v>
      </c>
      <c r="E234" s="54" t="n">
        <f aca="false">E229*Assumptions!$E$71/Assumptions!$E$69/4</f>
        <v>18475.8928571429</v>
      </c>
      <c r="F234" s="54" t="n">
        <f aca="false">F229*Assumptions!$E$71/Assumptions!$E$69/4</f>
        <v>18475.8928571429</v>
      </c>
      <c r="G234" s="54" t="n">
        <f aca="false">G229*Assumptions!$E$71/Assumptions!$E$69/4</f>
        <v>18475.8928571429</v>
      </c>
      <c r="H234" s="54" t="n">
        <f aca="false">H229*Assumptions!$E$71/Assumptions!$E$69/4</f>
        <v>18475.8928571429</v>
      </c>
      <c r="I234" s="54" t="n">
        <f aca="false">I229*Assumptions!$E$71/Assumptions!$E$69/4</f>
        <v>18475.8928571429</v>
      </c>
      <c r="J234" s="54" t="n">
        <f aca="false">J229*Assumptions!$E$71/Assumptions!$E$69/4</f>
        <v>18475.8928571429</v>
      </c>
      <c r="K234" s="54" t="n">
        <f aca="false">K229*Assumptions!$E$71/Assumptions!$E$69/4</f>
        <v>18475.8928571429</v>
      </c>
      <c r="L234" s="54" t="n">
        <f aca="false">L229*Assumptions!$E$71/Assumptions!$E$69/4</f>
        <v>18475.8928571429</v>
      </c>
      <c r="M234" s="54" t="n">
        <f aca="false">M229*Assumptions!$E$71/Assumptions!$E$69/4</f>
        <v>18475.8928571429</v>
      </c>
      <c r="N234" s="54" t="n">
        <f aca="false">N229*Assumptions!$E$71/Assumptions!$E$69/4</f>
        <v>18475.8928571429</v>
      </c>
      <c r="P234" s="55" t="n">
        <f aca="false">SUM(C234:F234)</f>
        <v>73903.5714285714</v>
      </c>
      <c r="Q234" s="55" t="n">
        <f aca="false">SUM(G234:J234)</f>
        <v>73903.5714285714</v>
      </c>
      <c r="R234" s="55" t="n">
        <f aca="false">SUM(K234:N234)</f>
        <v>73903.5714285714</v>
      </c>
      <c r="S234" s="56" t="n">
        <f aca="false">SUM(P234:R234)</f>
        <v>221710.714285714</v>
      </c>
    </row>
    <row r="235" customFormat="false" ht="15" hidden="false" customHeight="false" outlineLevel="0" collapsed="false">
      <c r="A235" s="4" t="s">
        <v>558</v>
      </c>
      <c r="B235" s="36" t="s">
        <v>125</v>
      </c>
      <c r="C235" s="54" t="n">
        <f aca="false">(Assumptions!$D$103+Assumptions!$E$77*((C166=Assumptions!$E$13)+(C166=Assumptions!$E$14)+(C166=Assumptions!$E$15)))*C167</f>
        <v>65000</v>
      </c>
      <c r="D235" s="54" t="n">
        <f aca="false">(Assumptions!$D$103+Assumptions!$E$77*((D166=Assumptions!$E$13)+(D166=Assumptions!$E$14)+(D166=Assumptions!$E$15)))*D167</f>
        <v>25000</v>
      </c>
      <c r="E235" s="54" t="n">
        <f aca="false">(Assumptions!$D$103+Assumptions!$E$77*((E166=Assumptions!$E$13)+(E166=Assumptions!$E$14)+(E166=Assumptions!$E$15)))*E167</f>
        <v>25000</v>
      </c>
      <c r="F235" s="54" t="n">
        <f aca="false">(Assumptions!$D$103+Assumptions!$E$77*((F166=Assumptions!$E$13)+(F166=Assumptions!$E$14)+(F166=Assumptions!$E$15)))*F167</f>
        <v>25000</v>
      </c>
      <c r="G235" s="54" t="n">
        <f aca="false">(Assumptions!$D$103+Assumptions!$E$77*((G166=Assumptions!$E$13)+(G166=Assumptions!$E$14)+(G166=Assumptions!$E$15)))*G167</f>
        <v>65000</v>
      </c>
      <c r="H235" s="54" t="n">
        <f aca="false">(Assumptions!$D$103+Assumptions!$E$77*((H166=Assumptions!$E$13)+(H166=Assumptions!$E$14)+(H166=Assumptions!$E$15)))*H167</f>
        <v>25000</v>
      </c>
      <c r="I235" s="54" t="n">
        <f aca="false">(Assumptions!$D$103+Assumptions!$E$77*((I166=Assumptions!$E$13)+(I166=Assumptions!$E$14)+(I166=Assumptions!$E$15)))*I167</f>
        <v>65000</v>
      </c>
      <c r="J235" s="54" t="n">
        <f aca="false">(Assumptions!$D$103+Assumptions!$E$77*((J166=Assumptions!$E$13)+(J166=Assumptions!$E$14)+(J166=Assumptions!$E$15)))*J167</f>
        <v>25000</v>
      </c>
      <c r="K235" s="54" t="n">
        <f aca="false">(Assumptions!$D$103+Assumptions!$E$77*((K166=Assumptions!$E$13)+(K166=Assumptions!$E$14)+(K166=Assumptions!$E$15)))*K167</f>
        <v>25000</v>
      </c>
      <c r="L235" s="54" t="n">
        <f aca="false">(Assumptions!$D$103+Assumptions!$E$77*((L166=Assumptions!$E$13)+(L166=Assumptions!$E$14)+(L166=Assumptions!$E$15)))*L167</f>
        <v>25000</v>
      </c>
      <c r="M235" s="54" t="n">
        <f aca="false">(Assumptions!$D$103+Assumptions!$E$77*((M166=Assumptions!$E$13)+(M166=Assumptions!$E$14)+(M166=Assumptions!$E$15)))*M167</f>
        <v>25000</v>
      </c>
      <c r="N235" s="54" t="n">
        <f aca="false">(Assumptions!$D$103+Assumptions!$E$77*((N166=Assumptions!$E$13)+(N166=Assumptions!$E$14)+(N166=Assumptions!$E$15)))*N167</f>
        <v>25000</v>
      </c>
      <c r="P235" s="55" t="n">
        <f aca="false">SUM(C235:F235)</f>
        <v>140000</v>
      </c>
      <c r="Q235" s="55" t="n">
        <f aca="false">SUM(G235:J235)</f>
        <v>180000</v>
      </c>
      <c r="R235" s="55" t="n">
        <f aca="false">SUM(K235:N235)</f>
        <v>100000</v>
      </c>
      <c r="S235" s="56" t="n">
        <f aca="false">SUM(P235:R235)</f>
        <v>420000</v>
      </c>
    </row>
    <row r="236" customFormat="false" ht="15" hidden="false" customHeight="false" outlineLevel="0" collapsed="false">
      <c r="A236" s="4" t="s">
        <v>559</v>
      </c>
      <c r="B236" s="36" t="s">
        <v>125</v>
      </c>
      <c r="C236" s="54" t="n">
        <f aca="false">C221*C201*Assumptions!$E$79</f>
        <v>0</v>
      </c>
      <c r="D236" s="54" t="n">
        <f aca="false">D221*D201*Assumptions!$E$79</f>
        <v>815.338873355417</v>
      </c>
      <c r="E236" s="54" t="n">
        <f aca="false">E221*E201*Assumptions!$E$79</f>
        <v>1576.95453714349</v>
      </c>
      <c r="F236" s="54" t="n">
        <f aca="false">F221*F201*Assumptions!$E$79</f>
        <v>2363.78759030579</v>
      </c>
      <c r="G236" s="54" t="n">
        <f aca="false">G221*G201*Assumptions!$E$79</f>
        <v>2961.23316349717</v>
      </c>
      <c r="H236" s="54" t="n">
        <f aca="false">H221*H201*Assumptions!$E$79</f>
        <v>3401.8566535345</v>
      </c>
      <c r="I236" s="54" t="n">
        <f aca="false">I221*I201*Assumptions!$E$79</f>
        <v>3951.44098442022</v>
      </c>
      <c r="J236" s="54" t="n">
        <f aca="false">J221*J201*Assumptions!$E$79</f>
        <v>4240.17604272452</v>
      </c>
      <c r="K236" s="54" t="n">
        <f aca="false">K221*K201*Assumptions!$E$79</f>
        <v>4805.46240923336</v>
      </c>
      <c r="L236" s="54" t="n">
        <f aca="false">L221*L201*Assumptions!$E$79</f>
        <v>5627.63185752923</v>
      </c>
      <c r="M236" s="54" t="n">
        <f aca="false">M221*M201*Assumptions!$E$79</f>
        <v>5687.10015383768</v>
      </c>
      <c r="N236" s="54" t="n">
        <f aca="false">N221*N201*Assumptions!$E$79</f>
        <v>5685.06198652904</v>
      </c>
      <c r="P236" s="55" t="n">
        <f aca="false">SUM(C236:F236)</f>
        <v>4756.0810008047</v>
      </c>
      <c r="Q236" s="55" t="n">
        <f aca="false">SUM(G236:J236)</f>
        <v>14554.7068441764</v>
      </c>
      <c r="R236" s="55" t="n">
        <f aca="false">SUM(K236:N236)</f>
        <v>21805.2564071293</v>
      </c>
      <c r="S236" s="56" t="n">
        <f aca="false">SUM(P236:R236)</f>
        <v>41116.0442521104</v>
      </c>
    </row>
    <row r="237" customFormat="false" ht="15" hidden="false" customHeight="false" outlineLevel="0" collapsed="false">
      <c r="A237" s="4" t="s">
        <v>560</v>
      </c>
      <c r="B237" s="36" t="s">
        <v>125</v>
      </c>
      <c r="C237" s="54" t="n">
        <f aca="false">C186*Assumptions!$E$80</f>
        <v>4000</v>
      </c>
      <c r="D237" s="54" t="n">
        <f aca="false">D186*Assumptions!$E$80</f>
        <v>6000</v>
      </c>
      <c r="E237" s="54" t="n">
        <f aca="false">E186*Assumptions!$E$80</f>
        <v>8000</v>
      </c>
      <c r="F237" s="54" t="n">
        <f aca="false">F186*Assumptions!$E$80</f>
        <v>10000</v>
      </c>
      <c r="G237" s="54" t="n">
        <f aca="false">G186*Assumptions!$E$80</f>
        <v>12000</v>
      </c>
      <c r="H237" s="54" t="n">
        <f aca="false">H186*Assumptions!$E$80</f>
        <v>14000</v>
      </c>
      <c r="I237" s="54" t="n">
        <f aca="false">I186*Assumptions!$E$80</f>
        <v>16000</v>
      </c>
      <c r="J237" s="54" t="n">
        <f aca="false">J186*Assumptions!$E$80</f>
        <v>18000</v>
      </c>
      <c r="K237" s="54" t="n">
        <f aca="false">K186*Assumptions!$E$80</f>
        <v>20000</v>
      </c>
      <c r="L237" s="54" t="n">
        <f aca="false">L186*Assumptions!$E$80</f>
        <v>20000</v>
      </c>
      <c r="M237" s="54" t="n">
        <f aca="false">M186*Assumptions!$E$80</f>
        <v>20000</v>
      </c>
      <c r="N237" s="54" t="n">
        <f aca="false">N186*Assumptions!$E$80</f>
        <v>20000</v>
      </c>
      <c r="P237" s="55" t="n">
        <f aca="false">SUM(C237:F237)</f>
        <v>28000</v>
      </c>
      <c r="Q237" s="55" t="n">
        <f aca="false">SUM(G237:J237)</f>
        <v>60000</v>
      </c>
      <c r="R237" s="55" t="n">
        <f aca="false">SUM(K237:N237)</f>
        <v>80000</v>
      </c>
      <c r="S237" s="56" t="n">
        <f aca="false">SUM(P237:R237)</f>
        <v>168000</v>
      </c>
    </row>
    <row r="238" customFormat="false" ht="15" hidden="false" customHeight="false" outlineLevel="0" collapsed="false">
      <c r="A238" s="4" t="s">
        <v>561</v>
      </c>
      <c r="B238" s="36" t="s">
        <v>125</v>
      </c>
      <c r="C238" s="54" t="n">
        <f aca="false">(C209*$C$158+C210*$C$159)*Assumptions!$E$81</f>
        <v>0</v>
      </c>
      <c r="D238" s="54" t="n">
        <f aca="false">(D209*$C$158+D210*$C$159)*Assumptions!$E$81</f>
        <v>635.937968364564</v>
      </c>
      <c r="E238" s="54" t="n">
        <f aca="false">(E209*$C$158+E210*$C$159)*Assumptions!$E$81</f>
        <v>1750.54055351793</v>
      </c>
      <c r="F238" s="54" t="n">
        <f aca="false">(F209*$C$158+F210*$C$159)*Assumptions!$E$81</f>
        <v>2334.90810210795</v>
      </c>
      <c r="G238" s="54" t="n">
        <f aca="false">(G209*$C$158+G210*$C$159)*Assumptions!$E$81</f>
        <v>2567.01977128764</v>
      </c>
      <c r="H238" s="54" t="n">
        <f aca="false">(H209*$C$158+H210*$C$159)*Assumptions!$E$81</f>
        <v>3030.96924471942</v>
      </c>
      <c r="I238" s="54" t="n">
        <f aca="false">(I209*$C$158+I210*$C$159)*Assumptions!$E$81</f>
        <v>3599.72954781419</v>
      </c>
      <c r="J238" s="54" t="n">
        <f aca="false">(J209*$C$158+J210*$C$159)*Assumptions!$E$81</f>
        <v>4611.5696968051</v>
      </c>
      <c r="K238" s="54" t="n">
        <f aca="false">(K209*$C$158+K210*$C$159)*Assumptions!$E$81</f>
        <v>5939.56455642065</v>
      </c>
      <c r="L238" s="54" t="n">
        <f aca="false">(L209*$C$158+L210*$C$159)*Assumptions!$E$81</f>
        <v>6537.87185823684</v>
      </c>
      <c r="M238" s="54" t="n">
        <f aca="false">(M209*$C$158+M210*$C$159)*Assumptions!$E$81</f>
        <v>6455.63010570383</v>
      </c>
      <c r="N238" s="54" t="n">
        <f aca="false">(N209*$C$158+N210*$C$159)*Assumptions!$E$81</f>
        <v>6268.61318404599</v>
      </c>
      <c r="P238" s="55" t="n">
        <f aca="false">SUM(C238:F238)</f>
        <v>4721.38662399044</v>
      </c>
      <c r="Q238" s="55" t="n">
        <f aca="false">SUM(G238:J238)</f>
        <v>13809.2882606264</v>
      </c>
      <c r="R238" s="55" t="n">
        <f aca="false">SUM(K238:N238)</f>
        <v>25201.6797044073</v>
      </c>
      <c r="S238" s="56" t="n">
        <f aca="false">SUM(P238:R238)</f>
        <v>43732.3545890241</v>
      </c>
    </row>
    <row r="239" customFormat="false" ht="15" hidden="false" customHeight="false" outlineLevel="0" collapsed="false">
      <c r="A239" s="9" t="s">
        <v>562</v>
      </c>
      <c r="B239" s="36" t="s">
        <v>125</v>
      </c>
      <c r="C239" s="55" t="n">
        <f aca="false">C231+C232+C233+C234+C235+C236+C237+C238</f>
        <v>154229.464285714</v>
      </c>
      <c r="D239" s="55" t="n">
        <f aca="false">D231+D232+D233+D234+D235+D236+D237+D238</f>
        <v>121172.463189242</v>
      </c>
      <c r="E239" s="55" t="n">
        <f aca="false">E231+E232+E233+E234+E235+E236+E237+E238</f>
        <v>129596.055895122</v>
      </c>
      <c r="F239" s="55" t="n">
        <f aca="false">F231+F232+F233+F234+F235+F236+F237+F238</f>
        <v>135052.909981589</v>
      </c>
      <c r="G239" s="55" t="n">
        <f aca="false">G231+G232+G233+G234+G235+G236+G237+G238</f>
        <v>212254.95919925</v>
      </c>
      <c r="H239" s="55" t="n">
        <f aca="false">H231+H232+H233+H234+H235+H236+H237+H238</f>
        <v>177502.111632148</v>
      </c>
      <c r="I239" s="55" t="n">
        <f aca="false">I231+I232+I233+I234+I235+I236+I237+I238</f>
        <v>223229.636966557</v>
      </c>
      <c r="J239" s="55" t="n">
        <f aca="false">J231+J232+J233+J234+J235+J236+J237+J238</f>
        <v>192017.891511833</v>
      </c>
      <c r="K239" s="55" t="n">
        <f aca="false">K231+K232+K233+K234+K235+K236+K237+K238</f>
        <v>202159.886433897</v>
      </c>
      <c r="L239" s="55" t="n">
        <f aca="false">L231+L232+L233+L234+L235+L236+L237+L238</f>
        <v>205507.337468812</v>
      </c>
      <c r="M239" s="55" t="n">
        <f aca="false">M231+M232+M233+M234+M235+M236+M237+M238</f>
        <v>204950.361793636</v>
      </c>
      <c r="N239" s="55" t="n">
        <f aca="false">N231+N232+N233+N234+N235+N236+N237+N238</f>
        <v>203920.595824442</v>
      </c>
      <c r="P239" s="55" t="n">
        <f aca="false">SUM(C239:F239)</f>
        <v>540050.893351667</v>
      </c>
      <c r="Q239" s="55" t="n">
        <f aca="false">SUM(G239:J239)</f>
        <v>805004.599309788</v>
      </c>
      <c r="R239" s="55" t="n">
        <f aca="false">SUM(K239:N239)</f>
        <v>816538.181520787</v>
      </c>
      <c r="S239" s="56" t="n">
        <f aca="false">SUM(P239:R239)</f>
        <v>2161593.67418224</v>
      </c>
    </row>
    <row r="240" customFormat="false" ht="15" hidden="false" customHeight="false" outlineLevel="0" collapsed="false">
      <c r="A240" s="4" t="s">
        <v>563</v>
      </c>
      <c r="B240" s="36" t="s">
        <v>125</v>
      </c>
      <c r="C240" s="54" t="n">
        <f aca="false">C228*Assumptions!$E$72/Assumptions!$E$69/4</f>
        <v>56535.7142857143</v>
      </c>
      <c r="D240" s="54" t="n">
        <f aca="false">D228*Assumptions!$E$72/Assumptions!$E$69/4</f>
        <v>56535.7142857143</v>
      </c>
      <c r="E240" s="54" t="n">
        <f aca="false">E228*Assumptions!$E$72/Assumptions!$E$69/4</f>
        <v>56535.7142857143</v>
      </c>
      <c r="F240" s="54" t="n">
        <f aca="false">F228*Assumptions!$E$72/Assumptions!$E$69/4</f>
        <v>56535.7142857143</v>
      </c>
      <c r="G240" s="54" t="n">
        <f aca="false">G228*Assumptions!$E$72/Assumptions!$E$69/4</f>
        <v>28267.8571428571</v>
      </c>
      <c r="H240" s="54" t="n">
        <f aca="false">H228*Assumptions!$E$72/Assumptions!$E$69/4</f>
        <v>28267.8571428571</v>
      </c>
      <c r="I240" s="54" t="n">
        <f aca="false">I228*Assumptions!$E$72/Assumptions!$E$69/4</f>
        <v>28267.8571428571</v>
      </c>
      <c r="J240" s="54" t="n">
        <f aca="false">J228*Assumptions!$E$72/Assumptions!$E$69/4</f>
        <v>28267.8571428571</v>
      </c>
      <c r="K240" s="54" t="n">
        <f aca="false">K228*Assumptions!$E$72/Assumptions!$E$69/4</f>
        <v>28267.8571428571</v>
      </c>
      <c r="L240" s="54" t="n">
        <f aca="false">L228*Assumptions!$E$72/Assumptions!$E$69/4</f>
        <v>28267.8571428571</v>
      </c>
      <c r="M240" s="54" t="n">
        <f aca="false">M228*Assumptions!$E$72/Assumptions!$E$69/4</f>
        <v>28267.8571428571</v>
      </c>
      <c r="N240" s="54" t="n">
        <f aca="false">N228*Assumptions!$E$72/Assumptions!$E$69/4</f>
        <v>28267.8571428571</v>
      </c>
      <c r="P240" s="55" t="n">
        <f aca="false">SUM(C240:F240)</f>
        <v>226142.857142857</v>
      </c>
      <c r="Q240" s="55" t="n">
        <f aca="false">SUM(G240:J240)</f>
        <v>113071.428571429</v>
      </c>
      <c r="R240" s="55" t="n">
        <f aca="false">SUM(K240:N240)</f>
        <v>113071.428571429</v>
      </c>
      <c r="S240" s="56" t="n">
        <f aca="false">SUM(P240:R240)</f>
        <v>452285.714285714</v>
      </c>
    </row>
    <row r="241" customFormat="false" ht="15" hidden="false" customHeight="false" outlineLevel="0" collapsed="false">
      <c r="A241" s="4" t="s">
        <v>564</v>
      </c>
      <c r="B241" s="36" t="s">
        <v>125</v>
      </c>
      <c r="C241" s="54" t="n">
        <f aca="false">IF(C166&lt;=Assumptions!$E$83,Assumptions!$E$82*Assumptions!$D$108/Assumptions!$E$83,0)</f>
        <v>62500</v>
      </c>
      <c r="D241" s="54" t="n">
        <f aca="false">IF(D166&lt;=Assumptions!$E$83,Assumptions!$E$82*Assumptions!$D$108/Assumptions!$E$83,0)</f>
        <v>62500</v>
      </c>
      <c r="E241" s="54" t="n">
        <f aca="false">IF(E166&lt;=Assumptions!$E$83,Assumptions!$E$82*Assumptions!$D$108/Assumptions!$E$83,0)</f>
        <v>62500</v>
      </c>
      <c r="F241" s="54" t="n">
        <f aca="false">IF(F166&lt;=Assumptions!$E$83,Assumptions!$E$82*Assumptions!$D$108/Assumptions!$E$83,0)</f>
        <v>62500</v>
      </c>
      <c r="G241" s="54" t="n">
        <f aca="false">IF(G166&lt;=Assumptions!$E$83,Assumptions!$E$82*Assumptions!$D$108/Assumptions!$E$83,0)</f>
        <v>0</v>
      </c>
      <c r="H241" s="54" t="n">
        <f aca="false">IF(H166&lt;=Assumptions!$E$83,Assumptions!$E$82*Assumptions!$D$108/Assumptions!$E$83,0)</f>
        <v>0</v>
      </c>
      <c r="I241" s="54" t="n">
        <f aca="false">IF(I166&lt;=Assumptions!$E$83,Assumptions!$E$82*Assumptions!$D$108/Assumptions!$E$83,0)</f>
        <v>0</v>
      </c>
      <c r="J241" s="54" t="n">
        <f aca="false">IF(J166&lt;=Assumptions!$E$83,Assumptions!$E$82*Assumptions!$D$108/Assumptions!$E$83,0)</f>
        <v>0</v>
      </c>
      <c r="K241" s="54" t="n">
        <f aca="false">IF(K166&lt;=Assumptions!$E$83,Assumptions!$E$82*Assumptions!$D$108/Assumptions!$E$83,0)</f>
        <v>0</v>
      </c>
      <c r="L241" s="54" t="n">
        <f aca="false">IF(L166&lt;=Assumptions!$E$83,Assumptions!$E$82*Assumptions!$D$108/Assumptions!$E$83,0)</f>
        <v>0</v>
      </c>
      <c r="M241" s="54" t="n">
        <f aca="false">IF(M166&lt;=Assumptions!$E$83,Assumptions!$E$82*Assumptions!$D$108/Assumptions!$E$83,0)</f>
        <v>0</v>
      </c>
      <c r="N241" s="54" t="n">
        <f aca="false">IF(N166&lt;=Assumptions!$E$83,Assumptions!$E$82*Assumptions!$D$108/Assumptions!$E$83,0)</f>
        <v>0</v>
      </c>
      <c r="P241" s="55" t="n">
        <f aca="false">SUM(C241:F241)</f>
        <v>250000</v>
      </c>
      <c r="Q241" s="55" t="n">
        <f aca="false">SUM(G241:J241)</f>
        <v>0</v>
      </c>
      <c r="R241" s="55" t="n">
        <f aca="false">SUM(K241:N241)</f>
        <v>0</v>
      </c>
      <c r="S241" s="56" t="n">
        <f aca="false">SUM(P241:R241)</f>
        <v>250000</v>
      </c>
    </row>
    <row r="242" customFormat="false" ht="15" hidden="false" customHeight="false" outlineLevel="0" collapsed="false">
      <c r="A242" s="4" t="s">
        <v>565</v>
      </c>
      <c r="B242" s="36" t="s">
        <v>125</v>
      </c>
      <c r="C242" s="54" t="n">
        <f aca="false">C230*Assumptions!$E$73/Assumptions!$E$69/4</f>
        <v>0</v>
      </c>
      <c r="D242" s="54" t="n">
        <f aca="false">D230*Assumptions!$E$73/Assumptions!$E$69/4</f>
        <v>575.3130595573</v>
      </c>
      <c r="E242" s="54" t="n">
        <f aca="false">E230*Assumptions!$E$73/Assumptions!$E$69/4</f>
        <v>1617.32906717661</v>
      </c>
      <c r="F242" s="54" t="n">
        <f aca="false">F230*Assumptions!$E$73/Assumptions!$E$69/4</f>
        <v>2784.46806400723</v>
      </c>
      <c r="G242" s="54" t="n">
        <f aca="false">G230*Assumptions!$E$73/Assumptions!$E$69/4</f>
        <v>4037.30390559473</v>
      </c>
      <c r="H242" s="54" t="n">
        <f aca="false">H230*Assumptions!$E$73/Assumptions!$E$69/4</f>
        <v>5588.71900339185</v>
      </c>
      <c r="I242" s="54" t="n">
        <f aca="false">I230*Assumptions!$E$73/Assumptions!$E$69/4</f>
        <v>7423.89520049251</v>
      </c>
      <c r="J242" s="54" t="n">
        <f aca="false">J230*Assumptions!$E$73/Assumptions!$E$69/4</f>
        <v>9984.21295072483</v>
      </c>
      <c r="K242" s="54" t="n">
        <f aca="false">K230*Assumptions!$E$73/Assumptions!$E$69/4</f>
        <v>13228.7197241336</v>
      </c>
      <c r="L242" s="54" t="n">
        <f aca="false">L230*Assumptions!$E$73/Assumptions!$E$69/4</f>
        <v>16471.1613499398</v>
      </c>
      <c r="M242" s="54" t="n">
        <f aca="false">M230*Assumptions!$E$73/Assumptions!$E$69/4</f>
        <v>19532.3193424529</v>
      </c>
      <c r="N242" s="54" t="n">
        <f aca="false">N230*Assumptions!$E$73/Assumptions!$E$69/4</f>
        <v>22411.7337529877</v>
      </c>
      <c r="P242" s="55" t="n">
        <f aca="false">SUM(C242:F242)</f>
        <v>4977.11019074114</v>
      </c>
      <c r="Q242" s="55" t="n">
        <f aca="false">SUM(G242:J242)</f>
        <v>27034.1310602039</v>
      </c>
      <c r="R242" s="55" t="n">
        <f aca="false">SUM(K242:N242)</f>
        <v>71643.934169514</v>
      </c>
      <c r="S242" s="56" t="n">
        <f aca="false">SUM(P242:R242)</f>
        <v>103655.175420459</v>
      </c>
    </row>
    <row r="243" customFormat="false" ht="15" hidden="false" customHeight="false" outlineLevel="0" collapsed="false">
      <c r="A243" s="9" t="s">
        <v>566</v>
      </c>
      <c r="B243" s="36" t="s">
        <v>125</v>
      </c>
      <c r="C243" s="55" t="n">
        <f aca="false">C239+C240+C241+C242</f>
        <v>273265.178571429</v>
      </c>
      <c r="D243" s="55" t="n">
        <f aca="false">D239+D240+D241+D242</f>
        <v>240783.490534514</v>
      </c>
      <c r="E243" s="55" t="n">
        <f aca="false">E239+E240+E241+E242</f>
        <v>250249.099248013</v>
      </c>
      <c r="F243" s="55" t="n">
        <f aca="false">F239+F240+F241+F242</f>
        <v>256873.092331311</v>
      </c>
      <c r="G243" s="55" t="n">
        <f aca="false">G239+G240+G241+G242</f>
        <v>244560.120247702</v>
      </c>
      <c r="H243" s="55" t="n">
        <f aca="false">H239+H240+H241+H242</f>
        <v>211358.687778397</v>
      </c>
      <c r="I243" s="55" t="n">
        <f aca="false">I239+I240+I241+I242</f>
        <v>258921.389309906</v>
      </c>
      <c r="J243" s="55" t="n">
        <f aca="false">J239+J240+J241+J242</f>
        <v>230269.961605415</v>
      </c>
      <c r="K243" s="55" t="n">
        <f aca="false">K239+K240+K241+K242</f>
        <v>243656.463300888</v>
      </c>
      <c r="L243" s="55" t="n">
        <f aca="false">L239+L240+L241+L242</f>
        <v>250246.355961609</v>
      </c>
      <c r="M243" s="55" t="n">
        <f aca="false">M239+M240+M241+M242</f>
        <v>252750.538278946</v>
      </c>
      <c r="N243" s="55" t="n">
        <f aca="false">N239+N240+N241+N242</f>
        <v>254600.186720287</v>
      </c>
      <c r="P243" s="55" t="n">
        <f aca="false">SUM(C243:F243)</f>
        <v>1021170.86068527</v>
      </c>
      <c r="Q243" s="55" t="n">
        <f aca="false">SUM(G243:J243)</f>
        <v>945110.158941421</v>
      </c>
      <c r="R243" s="55" t="n">
        <f aca="false">SUM(K243:N243)</f>
        <v>1001253.54426173</v>
      </c>
      <c r="S243" s="56" t="n">
        <f aca="false">SUM(P243:R243)</f>
        <v>2967534.56388842</v>
      </c>
    </row>
    <row r="244" customFormat="false" ht="15" hidden="false" customHeight="false" outlineLevel="0" collapsed="false">
      <c r="A244" s="35" t="s">
        <v>567</v>
      </c>
      <c r="B244" s="35" t="s">
        <v>444</v>
      </c>
      <c r="C244" s="6" t="s">
        <v>354</v>
      </c>
      <c r="D244" s="6" t="s">
        <v>355</v>
      </c>
      <c r="E244" s="6" t="s">
        <v>356</v>
      </c>
      <c r="F244" s="6" t="s">
        <v>357</v>
      </c>
      <c r="G244" s="6" t="s">
        <v>358</v>
      </c>
      <c r="H244" s="6" t="s">
        <v>359</v>
      </c>
      <c r="I244" s="6" t="s">
        <v>360</v>
      </c>
      <c r="J244" s="6" t="s">
        <v>361</v>
      </c>
      <c r="K244" s="6" t="s">
        <v>362</v>
      </c>
      <c r="L244" s="6" t="s">
        <v>363</v>
      </c>
      <c r="M244" s="6" t="s">
        <v>364</v>
      </c>
      <c r="N244" s="6" t="s">
        <v>365</v>
      </c>
      <c r="P244" s="6" t="s">
        <v>445</v>
      </c>
      <c r="Q244" s="6" t="s">
        <v>446</v>
      </c>
      <c r="R244" s="6" t="s">
        <v>447</v>
      </c>
      <c r="S244" s="6" t="s">
        <v>448</v>
      </c>
    </row>
    <row r="245" customFormat="false" ht="15" hidden="false" customHeight="false" outlineLevel="0" collapsed="false">
      <c r="A245" s="9" t="s">
        <v>568</v>
      </c>
      <c r="B245" s="36" t="s">
        <v>125</v>
      </c>
      <c r="C245" s="55" t="n">
        <f aca="false">C223-C243</f>
        <v>-273265.178571429</v>
      </c>
      <c r="D245" s="55" t="n">
        <f aca="false">D223-D243</f>
        <v>-240062.280337795</v>
      </c>
      <c r="E245" s="55" t="n">
        <f aca="false">E223-E243</f>
        <v>-247207.646379802</v>
      </c>
      <c r="F245" s="55" t="n">
        <f aca="false">F223-F243</f>
        <v>-250228.802278658</v>
      </c>
      <c r="G245" s="55" t="n">
        <f aca="false">G223-G243</f>
        <v>-233682.323682823</v>
      </c>
      <c r="H245" s="55" t="n">
        <f aca="false">H223-H243</f>
        <v>-195510.166063918</v>
      </c>
      <c r="I245" s="55" t="n">
        <f aca="false">I223-I243</f>
        <v>-237031.394824393</v>
      </c>
      <c r="J245" s="55" t="n">
        <f aca="false">J223-J243</f>
        <v>-200597.728717241</v>
      </c>
      <c r="K245" s="55" t="n">
        <f aca="false">K223-K243</f>
        <v>-203711.192707385</v>
      </c>
      <c r="L245" s="55" t="n">
        <f aca="false">L223-L243</f>
        <v>-198295.888226011</v>
      </c>
      <c r="M245" s="55" t="n">
        <f aca="false">M223-M243</f>
        <v>-188390.340352126</v>
      </c>
      <c r="N245" s="55" t="n">
        <f aca="false">N223-N243</f>
        <v>-177916.162821988</v>
      </c>
      <c r="P245" s="55" t="n">
        <f aca="false">SUM(C245:F245)</f>
        <v>-1010763.90756768</v>
      </c>
      <c r="Q245" s="55" t="n">
        <f aca="false">SUM(G245:J245)</f>
        <v>-866821.613288375</v>
      </c>
      <c r="R245" s="55" t="n">
        <f aca="false">SUM(K245:N245)</f>
        <v>-768313.58410751</v>
      </c>
      <c r="S245" s="56" t="n">
        <f aca="false">SUM(P245:R245)</f>
        <v>-2645899.10496357</v>
      </c>
    </row>
    <row r="246" customFormat="false" ht="15" hidden="false" customHeight="false" outlineLevel="0" collapsed="false">
      <c r="A246" s="9" t="s">
        <v>569</v>
      </c>
      <c r="B246" s="36" t="s">
        <v>125</v>
      </c>
      <c r="C246" s="55" t="n">
        <f aca="false">0+C245</f>
        <v>-273265.178571429</v>
      </c>
      <c r="D246" s="55" t="n">
        <f aca="false">C246+D245</f>
        <v>-513327.458909223</v>
      </c>
      <c r="E246" s="55" t="n">
        <f aca="false">D246+E245</f>
        <v>-760535.105289025</v>
      </c>
      <c r="F246" s="55" t="n">
        <f aca="false">E246+F245</f>
        <v>-1010763.90756768</v>
      </c>
      <c r="G246" s="55" t="n">
        <f aca="false">F246+G245</f>
        <v>-1244446.23125051</v>
      </c>
      <c r="H246" s="55" t="n">
        <f aca="false">G246+H245</f>
        <v>-1439956.39731442</v>
      </c>
      <c r="I246" s="55" t="n">
        <f aca="false">H246+I245</f>
        <v>-1676987.79213882</v>
      </c>
      <c r="J246" s="55" t="n">
        <f aca="false">I246+J245</f>
        <v>-1877585.52085606</v>
      </c>
      <c r="K246" s="55" t="n">
        <f aca="false">J246+K245</f>
        <v>-2081296.71356344</v>
      </c>
      <c r="L246" s="55" t="n">
        <f aca="false">K246+L245</f>
        <v>-2279592.60178945</v>
      </c>
      <c r="M246" s="55" t="n">
        <f aca="false">L246+M245</f>
        <v>-2467982.94214158</v>
      </c>
      <c r="N246" s="55" t="n">
        <f aca="false">M246+N245</f>
        <v>-2645899.10496357</v>
      </c>
      <c r="P246" s="55" t="n">
        <f aca="false">F246</f>
        <v>-1010763.90756768</v>
      </c>
      <c r="Q246" s="55" t="n">
        <f aca="false">J246</f>
        <v>-1877585.52085606</v>
      </c>
      <c r="R246" s="55" t="n">
        <f aca="false">N246</f>
        <v>-2645899.10496357</v>
      </c>
      <c r="S246" s="56" t="n">
        <f aca="false">R246</f>
        <v>-2645899.10496357</v>
      </c>
    </row>
    <row r="247" customFormat="false" ht="15" hidden="false" customHeight="false" outlineLevel="0" collapsed="false">
      <c r="A247" s="4" t="s">
        <v>570</v>
      </c>
      <c r="B247" s="36" t="s">
        <v>107</v>
      </c>
      <c r="C247" s="57" t="n">
        <f aca="false">1/(1+Assumptions!$E$87)^(C166/4)</f>
        <v>0.972065420906982</v>
      </c>
      <c r="D247" s="57" t="n">
        <f aca="false">1/(1+Assumptions!$E$87)^(D166/4)</f>
        <v>0.944911182523068</v>
      </c>
      <c r="E247" s="57" t="n">
        <f aca="false">1/(1+Assumptions!$E$87)^(E166/4)</f>
        <v>0.918515486359</v>
      </c>
      <c r="F247" s="57" t="n">
        <f aca="false">1/(1+Assumptions!$E$87)^(F166/4)</f>
        <v>0.892857142857143</v>
      </c>
      <c r="G247" s="57" t="n">
        <f aca="false">1/(1+Assumptions!$E$87)^(G166/4)</f>
        <v>0.867915554381234</v>
      </c>
      <c r="H247" s="57" t="n">
        <f aca="false">1/(1+Assumptions!$E$87)^(H166/4)</f>
        <v>0.843670698681311</v>
      </c>
      <c r="I247" s="57" t="n">
        <f aca="false">1/(1+Assumptions!$E$87)^(I166/4)</f>
        <v>0.820103112820536</v>
      </c>
      <c r="J247" s="57" t="n">
        <f aca="false">1/(1+Assumptions!$E$87)^(J166/4)</f>
        <v>0.79719387755102</v>
      </c>
      <c r="K247" s="57" t="n">
        <f aca="false">1/(1+Assumptions!$E$87)^(K166/4)</f>
        <v>0.774924602126102</v>
      </c>
      <c r="L247" s="57" t="n">
        <f aca="false">1/(1+Assumptions!$E$87)^(L166/4)</f>
        <v>0.753277409536885</v>
      </c>
      <c r="M247" s="57" t="n">
        <f aca="false">1/(1+Assumptions!$E$87)^(M166/4)</f>
        <v>0.732234922161193</v>
      </c>
      <c r="N247" s="57" t="n">
        <f aca="false">1/(1+Assumptions!$E$87)^(N166/4)</f>
        <v>0.711780247813411</v>
      </c>
      <c r="P247" s="58"/>
      <c r="Q247" s="58"/>
      <c r="R247" s="58"/>
      <c r="S247" s="59"/>
    </row>
    <row r="248" customFormat="false" ht="15" hidden="false" customHeight="false" outlineLevel="0" collapsed="false">
      <c r="A248" s="4" t="s">
        <v>571</v>
      </c>
      <c r="B248" s="36" t="s">
        <v>125</v>
      </c>
      <c r="C248" s="54" t="n">
        <f aca="false">(C223*(1-Assumptions!$E$88)-C243)*C247</f>
        <v>-265631.630827257</v>
      </c>
      <c r="D248" s="54" t="n">
        <f aca="false">(D223*(1-Assumptions!$E$88)-D243)*D247</f>
        <v>-226973.829109136</v>
      </c>
      <c r="E248" s="54" t="n">
        <f aca="false">(E223*(1-Assumptions!$E$88)-E243)*E247</f>
        <v>-227622.775858304</v>
      </c>
      <c r="F248" s="54" t="n">
        <f aca="false">(F223*(1-Assumptions!$E$88)-F243)*F247</f>
        <v>-224605.053829633</v>
      </c>
      <c r="G248" s="54" t="n">
        <f aca="false">(G223*(1-Assumptions!$E$88)-G243)*G247</f>
        <v>-204704.725275483</v>
      </c>
      <c r="H248" s="54" t="n">
        <f aca="false">(H223*(1-Assumptions!$E$88)-H243)*H247</f>
        <v>-167620.385080029</v>
      </c>
      <c r="I248" s="54" t="n">
        <f aca="false">(I223*(1-Assumptions!$E$88)-I243)*I247</f>
        <v>-197980.595255117</v>
      </c>
      <c r="J248" s="54" t="n">
        <f aca="false">(J223*(1-Assumptions!$E$88)-J243)*J247</f>
        <v>-164646.185662369</v>
      </c>
      <c r="K248" s="54" t="n">
        <f aca="false">(K223*(1-Assumptions!$E$88)-K243)*K247</f>
        <v>-164051.729541702</v>
      </c>
      <c r="L248" s="54" t="n">
        <f aca="false">(L223*(1-Assumptions!$E$88)-L243)*L247</f>
        <v>-157198.435756725</v>
      </c>
      <c r="M248" s="54" t="n">
        <f aca="false">(M223*(1-Assumptions!$E$88)-M243)*M247</f>
        <v>-147371.343107504</v>
      </c>
      <c r="N248" s="54" t="n">
        <f aca="false">(N223*(1-Assumptions!$E$88)-N243)*N247</f>
        <v>-137553.645170178</v>
      </c>
      <c r="P248" s="55" t="n">
        <f aca="false">SUM(C248:F248)</f>
        <v>-944833.28962433</v>
      </c>
      <c r="Q248" s="55" t="n">
        <f aca="false">SUM(G248:J248)</f>
        <v>-734951.891272998</v>
      </c>
      <c r="R248" s="55" t="n">
        <f aca="false">SUM(K248:N248)</f>
        <v>-606175.153576109</v>
      </c>
      <c r="S248" s="56" t="n">
        <f aca="false">SUM(P248:R248)</f>
        <v>-2285960.33447344</v>
      </c>
    </row>
    <row r="249" customFormat="false" ht="15" hidden="false" customHeight="false" outlineLevel="0" collapsed="false">
      <c r="A249" s="4" t="s">
        <v>572</v>
      </c>
      <c r="B249" s="36" t="s">
        <v>125</v>
      </c>
      <c r="C249" s="54" t="n">
        <f aca="false">(C243-C242)*12/(Assumptions!$E$89*Assumptions!$E$76)*Assumptions!$E$90</f>
        <v>189183.585164835</v>
      </c>
      <c r="D249" s="54" t="n">
        <f aca="false">(D243-D242)*12/(Assumptions!$E$89*Assumptions!$E$76)*Assumptions!$E$90</f>
        <v>166297.969021124</v>
      </c>
      <c r="E249" s="54" t="n">
        <f aca="false">(E243-E242)*12/(Assumptions!$E$89*Assumptions!$E$76)*Assumptions!$E$90</f>
        <v>172129.687048271</v>
      </c>
      <c r="F249" s="54" t="n">
        <f aca="false">(F243-F242)*12/(Assumptions!$E$89*Assumptions!$E$76)*Assumptions!$E$90</f>
        <v>175907.509108133</v>
      </c>
      <c r="G249" s="54" t="n">
        <f aca="false">(G243-G242)*12/(Assumptions!$E$89*Assumptions!$E$76)*Assumptions!$E$90</f>
        <v>166515.795929151</v>
      </c>
      <c r="H249" s="54" t="n">
        <f aca="false">(H243-H242)*12/(Assumptions!$E$89*Assumptions!$E$76)*Assumptions!$E$90</f>
        <v>142456.13222885</v>
      </c>
      <c r="I249" s="54" t="n">
        <f aca="false">(I243-I242)*12/(Assumptions!$E$89*Assumptions!$E$76)*Assumptions!$E$90</f>
        <v>174113.649768056</v>
      </c>
      <c r="J249" s="54" t="n">
        <f aca="false">(J243-J242)*12/(Assumptions!$E$89*Assumptions!$E$76)*Assumptions!$E$90</f>
        <v>152505.518299401</v>
      </c>
      <c r="K249" s="54" t="n">
        <f aca="false">(K243-K242)*12/(Assumptions!$E$89*Assumptions!$E$76)*Assumptions!$E$90</f>
        <v>159526.899399291</v>
      </c>
      <c r="L249" s="54" t="n">
        <f aca="false">(L243-L242)*12/(Assumptions!$E$89*Assumptions!$E$76)*Assumptions!$E$90</f>
        <v>161844.365500386</v>
      </c>
      <c r="M249" s="54" t="n">
        <f aca="false">(M243-M242)*12/(Assumptions!$E$89*Assumptions!$E$76)*Assumptions!$E$90</f>
        <v>161458.766956034</v>
      </c>
      <c r="N249" s="54" t="n">
        <f aca="false">(N243-N242)*12/(Assumptions!$E$89*Assumptions!$E$76)*Assumptions!$E$90</f>
        <v>160745.852054284</v>
      </c>
      <c r="P249" s="55" t="n">
        <f aca="false">SUM(C249:F249)</f>
        <v>703518.750342363</v>
      </c>
      <c r="Q249" s="55" t="n">
        <f aca="false">SUM(G249:J249)</f>
        <v>635591.096225458</v>
      </c>
      <c r="R249" s="55" t="n">
        <f aca="false">SUM(K249:N249)</f>
        <v>643575.883909995</v>
      </c>
      <c r="S249" s="56" t="n">
        <f aca="false">SUM(P249:R249)</f>
        <v>1982685.73047782</v>
      </c>
    </row>
    <row r="250" customFormat="false" ht="15" hidden="false" customHeight="false" outlineLevel="0" collapsed="false">
      <c r="A250" s="4" t="s">
        <v>573</v>
      </c>
      <c r="B250" s="36" t="s">
        <v>125</v>
      </c>
      <c r="C250" s="54" t="n">
        <f aca="false">0*Assumptions!$E$92^(1/4)+C249</f>
        <v>189183.585164835</v>
      </c>
      <c r="D250" s="54" t="n">
        <f aca="false">C250*Assumptions!$E$92^(1/4)+D249</f>
        <v>355952.749828138</v>
      </c>
      <c r="E250" s="54" t="n">
        <f aca="false">D250*Assumptions!$E$92^(1/4)+E249</f>
        <v>528969.001027282</v>
      </c>
      <c r="F250" s="54" t="n">
        <f aca="false">E250*Assumptions!$E$92^(1/4)+F249</f>
        <v>706194.00228419</v>
      </c>
      <c r="G250" s="54" t="n">
        <f aca="false">F250*Assumptions!$E$92^(1/4)+G249</f>
        <v>874468.701006729</v>
      </c>
      <c r="H250" s="54" t="n">
        <f aca="false">G250*Assumptions!$E$92^(1/4)+H249</f>
        <v>1019102.8543402</v>
      </c>
      <c r="I250" s="54" t="n">
        <f aca="false">H250*Assumptions!$E$92^(1/4)+I249</f>
        <v>1195754.76250672</v>
      </c>
      <c r="J250" s="54" t="n">
        <f aca="false">I250*Assumptions!$E$92^(1/4)+J249</f>
        <v>1351238.5224581</v>
      </c>
      <c r="K250" s="54" t="n">
        <f aca="false">J250*Assumptions!$E$92^(1/4)+K249</f>
        <v>1514130.92369399</v>
      </c>
      <c r="L250" s="54" t="n">
        <f aca="false">K250*Assumptions!$E$92^(1/4)+L249</f>
        <v>1679746.5037652</v>
      </c>
      <c r="M250" s="54" t="n">
        <f aca="false">L250*Assumptions!$E$92^(1/4)+M249</f>
        <v>1845388.98059146</v>
      </c>
      <c r="N250" s="54" t="n">
        <f aca="false">M250*Assumptions!$E$92^(1/4)+N249</f>
        <v>2010731.10480658</v>
      </c>
      <c r="P250" s="55" t="n">
        <f aca="false">F250</f>
        <v>706194.00228419</v>
      </c>
      <c r="Q250" s="55" t="n">
        <f aca="false">J250</f>
        <v>1351238.5224581</v>
      </c>
      <c r="R250" s="55" t="n">
        <f aca="false">N250</f>
        <v>2010731.10480658</v>
      </c>
      <c r="S250" s="56" t="n">
        <f aca="false">R250</f>
        <v>2010731.10480658</v>
      </c>
    </row>
    <row r="251" customFormat="false" ht="15" hidden="false" customHeight="false" outlineLevel="0" collapsed="false">
      <c r="A251" s="4" t="s">
        <v>574</v>
      </c>
      <c r="B251" s="36" t="s">
        <v>125</v>
      </c>
      <c r="C251" s="54" t="n">
        <f aca="false">(0+C250)/8*Assumptions!$E$76-(C243-C242)-C250*Assumptions!$E$93/4</f>
        <v>-260258.807091346</v>
      </c>
      <c r="D251" s="54" t="n">
        <f aca="false">(C250+D250)/8*Assumptions!$E$76-(D243-D242)-D250*Assumptions!$E$93/4</f>
        <v>-200365.259629629</v>
      </c>
      <c r="E251" s="54" t="n">
        <f aca="false">(D250+E250)/8*Assumptions!$E$76-(E243-E242)-E250*Assumptions!$E$93/4</f>
        <v>-183343.990436674</v>
      </c>
      <c r="F251" s="54" t="n">
        <f aca="false">(E250+F250)/8*Assumptions!$E$76-(F243-F242)-F250*Assumptions!$E$93/4</f>
        <v>-162559.055276799</v>
      </c>
      <c r="G251" s="54" t="n">
        <f aca="false">(F250+G250)/8*Assumptions!$E$76-(G243-G242)-G250*Assumptions!$E$93/4</f>
        <v>-123024.830462304</v>
      </c>
      <c r="H251" s="54" t="n">
        <f aca="false">(G250+H250)/8*Assumptions!$E$76-(H243-H242)-H250*Assumptions!$E$93/4</f>
        <v>-64656.0655823201</v>
      </c>
      <c r="I251" s="54" t="n">
        <f aca="false">(H250+I250)/8*Assumptions!$E$76-(I243-I242)-I250*Assumptions!$E$93/4</f>
        <v>-86487.2472719356</v>
      </c>
      <c r="J251" s="54" t="n">
        <f aca="false">(I250+J250)/8*Assumptions!$E$76-(J243-J242)-J250*Assumptions!$E$93/4</f>
        <v>-30233.0257820242</v>
      </c>
      <c r="K251" s="54" t="n">
        <f aca="false">(J250+K250)/8*Assumptions!$E$76-(K243-K242)-K250*Assumptions!$E$93/4</f>
        <v>-16543.1126230714</v>
      </c>
      <c r="L251" s="54" t="n">
        <f aca="false">(K250+L250)/8*Assumptions!$E$76-(L243-L242)-L250*Assumptions!$E$93/4</f>
        <v>4730.51507232551</v>
      </c>
      <c r="M251" s="54" t="n">
        <f aca="false">(L250+M250)/8*Assumptions!$E$76-(M243-M242)-M250*Assumptions!$E$93/4</f>
        <v>30131.676910092</v>
      </c>
      <c r="N251" s="54" t="n">
        <f aca="false">(M250+N250)/8*Assumptions!$E$76-(N243-N242)-N250*Assumptions!$E$93/4</f>
        <v>55987.1651612092</v>
      </c>
      <c r="P251" s="55" t="n">
        <f aca="false">SUM(C251:F251)</f>
        <v>-806527.112434448</v>
      </c>
      <c r="Q251" s="55" t="n">
        <f aca="false">SUM(G251:J251)</f>
        <v>-304401.169098584</v>
      </c>
      <c r="R251" s="55" t="n">
        <f aca="false">SUM(K251:N251)</f>
        <v>74306.2445205553</v>
      </c>
      <c r="S251" s="56" t="n">
        <f aca="false">SUM(P251:R251)</f>
        <v>-1036622.03701248</v>
      </c>
    </row>
    <row r="252" customFormat="false" ht="15" hidden="false" customHeight="false" outlineLevel="0" collapsed="false">
      <c r="A252" s="4" t="s">
        <v>575</v>
      </c>
      <c r="B252" s="36" t="s">
        <v>125</v>
      </c>
      <c r="C252" s="54" t="n">
        <f aca="false">C251*C247</f>
        <v>-252988.586859998</v>
      </c>
      <c r="D252" s="54" t="n">
        <f aca="false">D251*D247</f>
        <v>-189327.374413174</v>
      </c>
      <c r="E252" s="54" t="n">
        <f aca="false">E251*E247</f>
        <v>-168404.294546942</v>
      </c>
      <c r="F252" s="54" t="n">
        <f aca="false">F251*F247</f>
        <v>-145142.013639999</v>
      </c>
      <c r="G252" s="54" t="n">
        <f aca="false">G251*G247</f>
        <v>-106775.163933348</v>
      </c>
      <c r="H252" s="54" t="n">
        <f aca="false">H251*H247</f>
        <v>-54548.4280238207</v>
      </c>
      <c r="I252" s="54" t="n">
        <f aca="false">I251*I247</f>
        <v>-70928.4607069938</v>
      </c>
      <c r="J252" s="54" t="n">
        <f aca="false">J251*J247</f>
        <v>-24101.5830532718</v>
      </c>
      <c r="K252" s="54" t="n">
        <f aca="false">K251*K247</f>
        <v>-12819.6649673609</v>
      </c>
      <c r="L252" s="54" t="n">
        <f aca="false">L251*L247</f>
        <v>3563.39013945655</v>
      </c>
      <c r="M252" s="54" t="n">
        <f aca="false">M251*M247</f>
        <v>22063.4660968474</v>
      </c>
      <c r="N252" s="54" t="n">
        <f aca="false">N251*N247</f>
        <v>39850.5582928159</v>
      </c>
      <c r="P252" s="55" t="n">
        <f aca="false">SUM(C252:F252)</f>
        <v>-755862.269460113</v>
      </c>
      <c r="Q252" s="55" t="n">
        <f aca="false">SUM(G252:J252)</f>
        <v>-256353.635717434</v>
      </c>
      <c r="R252" s="55" t="n">
        <f aca="false">SUM(K252:N252)</f>
        <v>52657.749561759</v>
      </c>
      <c r="S252" s="56" t="n">
        <f aca="false">SUM(P252:R252)</f>
        <v>-959558.155615789</v>
      </c>
    </row>
    <row r="253" customFormat="false" ht="15" hidden="false" customHeight="false" outlineLevel="0" collapsed="false">
      <c r="A253" s="4" t="s">
        <v>576</v>
      </c>
      <c r="B253" s="36"/>
      <c r="C253" s="37" t="n">
        <f aca="false">IFERROR((S208*$C$157*Assumptions!$E$59+S209*$C$158*Assumptions!$E$60+S210*$C$159*Assumptions!$E$61)/(S208*$C$157+S209*$C$158+S210*$C$159),0.9)</f>
        <v>0.897372181179546</v>
      </c>
    </row>
    <row r="254" customFormat="false" ht="15" hidden="false" customHeight="false" outlineLevel="0" collapsed="false">
      <c r="A254" s="4" t="s">
        <v>577</v>
      </c>
      <c r="B254" s="36"/>
      <c r="C254" s="37" t="n">
        <f aca="false">IFERROR(N242*4/N220,0)</f>
        <v>0.175911884278844</v>
      </c>
    </row>
    <row r="255" customFormat="false" ht="15" hidden="false" customHeight="false" outlineLevel="0" collapsed="false">
      <c r="A255" s="4" t="s">
        <v>578</v>
      </c>
      <c r="B255" s="36"/>
      <c r="C255" s="60" t="n">
        <f aca="false">$C$253/(1+Assumptions!$E$87)</f>
        <v>0.801225161767451</v>
      </c>
    </row>
    <row r="256" customFormat="false" ht="15" hidden="false" customHeight="false" outlineLevel="0" collapsed="false">
      <c r="A256" s="4" t="s">
        <v>579</v>
      </c>
      <c r="B256" s="36"/>
      <c r="C256" s="60" t="n">
        <f aca="false">Assumptions!$E$91/(1+Assumptions!$E$87)</f>
        <v>0.803571428571429</v>
      </c>
    </row>
    <row r="257" customFormat="false" ht="15" hidden="false" customHeight="false" outlineLevel="0" collapsed="false">
      <c r="A257" s="35" t="s">
        <v>580</v>
      </c>
      <c r="B257" s="35" t="s">
        <v>444</v>
      </c>
      <c r="C257" s="6" t="s">
        <v>354</v>
      </c>
      <c r="D257" s="6" t="s">
        <v>355</v>
      </c>
      <c r="E257" s="6" t="s">
        <v>356</v>
      </c>
      <c r="F257" s="6" t="s">
        <v>357</v>
      </c>
      <c r="G257" s="6" t="s">
        <v>358</v>
      </c>
      <c r="H257" s="6" t="s">
        <v>359</v>
      </c>
      <c r="I257" s="6" t="s">
        <v>360</v>
      </c>
      <c r="J257" s="6" t="s">
        <v>361</v>
      </c>
      <c r="K257" s="6" t="s">
        <v>362</v>
      </c>
      <c r="L257" s="6" t="s">
        <v>363</v>
      </c>
      <c r="M257" s="6" t="s">
        <v>364</v>
      </c>
      <c r="N257" s="6" t="s">
        <v>365</v>
      </c>
      <c r="P257" s="6" t="s">
        <v>445</v>
      </c>
      <c r="Q257" s="6" t="s">
        <v>446</v>
      </c>
      <c r="R257" s="6" t="s">
        <v>447</v>
      </c>
      <c r="S257" s="6" t="s">
        <v>448</v>
      </c>
    </row>
    <row r="258" customFormat="false" ht="15" hidden="false" customHeight="false" outlineLevel="0" collapsed="false">
      <c r="A258" s="9" t="s">
        <v>581</v>
      </c>
      <c r="C258" s="61" t="n">
        <f aca="false">N220</f>
        <v>509612.726732255</v>
      </c>
      <c r="D258" s="61"/>
    </row>
    <row r="259" customFormat="false" ht="15" hidden="false" customHeight="false" outlineLevel="0" collapsed="false">
      <c r="A259" s="9" t="s">
        <v>582</v>
      </c>
      <c r="C259" s="62" t="n">
        <f aca="false">N216</f>
        <v>49.5280990541991</v>
      </c>
      <c r="D259" s="62"/>
    </row>
    <row r="260" customFormat="false" ht="15" hidden="false" customHeight="false" outlineLevel="0" collapsed="false">
      <c r="A260" s="9" t="s">
        <v>583</v>
      </c>
      <c r="C260" s="63" t="n">
        <f aca="false">S211</f>
        <v>54.7491194625937</v>
      </c>
      <c r="D260" s="63"/>
    </row>
    <row r="261" customFormat="false" ht="15" hidden="false" customHeight="false" outlineLevel="0" collapsed="false">
      <c r="A261" s="9" t="s">
        <v>584</v>
      </c>
      <c r="C261" s="61" t="n">
        <f aca="false">S222</f>
        <v>494823.782961303</v>
      </c>
      <c r="D261" s="61"/>
    </row>
    <row r="262" customFormat="false" ht="15" hidden="false" customHeight="false" outlineLevel="0" collapsed="false">
      <c r="A262" s="9" t="s">
        <v>22</v>
      </c>
      <c r="C262" s="61" t="n">
        <f aca="false">IFERROR(S221/S211,0)</f>
        <v>8847.97350983958</v>
      </c>
      <c r="D262" s="61"/>
    </row>
    <row r="263" customFormat="false" ht="15" hidden="false" customHeight="false" outlineLevel="0" collapsed="false">
      <c r="A263" s="9" t="s">
        <v>585</v>
      </c>
      <c r="C263" s="61" t="n">
        <f aca="false">IFERROR(S239/S211,0)</f>
        <v>39481.7979795841</v>
      </c>
      <c r="D263" s="61"/>
    </row>
    <row r="264" customFormat="false" ht="23.85" hidden="false" customHeight="false" outlineLevel="0" collapsed="false">
      <c r="A264" s="9" t="s">
        <v>586</v>
      </c>
      <c r="C264" s="61" t="n">
        <f aca="false">IFERROR((S233+S235+S236+S237+S238)/S211,0)</f>
        <v>15924.0153192791</v>
      </c>
      <c r="D264" s="61"/>
    </row>
    <row r="265" customFormat="false" ht="15" hidden="false" customHeight="false" outlineLevel="0" collapsed="false">
      <c r="A265" s="9" t="s">
        <v>587</v>
      </c>
      <c r="C265" s="64" t="n">
        <f aca="false">IFERROR('Engine Runs'!$C$263/('Engine Runs'!$C$262*Assumptions!$E$76/12),0)</f>
        <v>82.3798501566715</v>
      </c>
      <c r="D265" s="64"/>
    </row>
    <row r="266" customFormat="false" ht="15" hidden="false" customHeight="false" outlineLevel="0" collapsed="false">
      <c r="A266" s="9" t="s">
        <v>588</v>
      </c>
      <c r="C266" s="64" t="n">
        <f aca="false">IFERROR((R239/R211)/((R221/R211)*Assumptions!$E$76/12),0)</f>
        <v>53.7401674227257</v>
      </c>
      <c r="D266" s="64"/>
    </row>
    <row r="267" customFormat="false" ht="15" hidden="false" customHeight="false" outlineLevel="0" collapsed="false">
      <c r="A267" s="9" t="s">
        <v>589</v>
      </c>
      <c r="C267" s="61" t="n">
        <f aca="false">S243</f>
        <v>2967534.56388842</v>
      </c>
      <c r="D267" s="61"/>
    </row>
    <row r="268" customFormat="false" ht="15" hidden="false" customHeight="false" outlineLevel="0" collapsed="false">
      <c r="A268" s="9" t="s">
        <v>590</v>
      </c>
      <c r="C268" s="61" t="n">
        <f aca="false">N246</f>
        <v>-2645899.10496357</v>
      </c>
      <c r="D268" s="61"/>
    </row>
    <row r="269" customFormat="false" ht="15" hidden="false" customHeight="false" outlineLevel="0" collapsed="false">
      <c r="A269" s="9" t="s">
        <v>591</v>
      </c>
      <c r="C269" s="61" t="n">
        <f aca="false">MIN($C$246:$N$246)</f>
        <v>-2645899.10496357</v>
      </c>
      <c r="D269" s="61"/>
    </row>
    <row r="270" customFormat="false" ht="15" hidden="false" customHeight="false" outlineLevel="0" collapsed="false">
      <c r="A270" s="9" t="s">
        <v>592</v>
      </c>
      <c r="C270" s="61" t="n">
        <f aca="false">N220*(Assumptions!$E$76-$C$254)*$C$253*(1-$C$253^Assumptions!$E$85)/(1-$C$253)</f>
        <v>883215.352678571</v>
      </c>
      <c r="D270" s="61"/>
    </row>
    <row r="271" customFormat="false" ht="15" hidden="false" customHeight="false" outlineLevel="0" collapsed="false">
      <c r="A271" s="9" t="s">
        <v>593</v>
      </c>
      <c r="C271" s="61" t="n">
        <f aca="false">N220*(Assumptions!$E$76-$C$254)*(1-Assumptions!$E$88)/(1+Assumptions!$E$87)^2.5*$C$255*(1-$C$255^Assumptions!$E$85)/(1-$C$255)</f>
        <v>393083.337460226</v>
      </c>
      <c r="D271" s="61"/>
    </row>
    <row r="272" customFormat="false" ht="15" hidden="false" customHeight="false" outlineLevel="0" collapsed="false">
      <c r="A272" s="9" t="s">
        <v>594</v>
      </c>
      <c r="C272" s="61" t="n">
        <f aca="false">SUM($C$248:$N$248)+'Engine Runs'!$C$271</f>
        <v>-1892876.99701321</v>
      </c>
      <c r="D272" s="61"/>
    </row>
    <row r="273" customFormat="false" ht="15" hidden="false" customHeight="false" outlineLevel="0" collapsed="false">
      <c r="A273" s="9" t="s">
        <v>595</v>
      </c>
      <c r="C273" s="61" t="n">
        <f aca="false">SUM($C$252:$N$252)+N250*(Assumptions!$E$76-Assumptions!$E$93)/(1+Assumptions!$E$87)^2.5*$C$256*(1-$C$256^Assumptions!$E$85)/(1-$C$256)</f>
        <v>1512522.02860027</v>
      </c>
      <c r="D273" s="61"/>
    </row>
    <row r="274" customFormat="false" ht="15" hidden="false" customHeight="false" outlineLevel="0" collapsed="false">
      <c r="A274" s="9" t="s">
        <v>596</v>
      </c>
      <c r="C274" s="61" t="n">
        <f aca="false">'Engine Runs'!$C$272-'Engine Runs'!$C$273</f>
        <v>-3405399.02561348</v>
      </c>
      <c r="D274" s="61"/>
    </row>
    <row r="275" customFormat="false" ht="15" hidden="false" customHeight="false" outlineLevel="0" collapsed="false">
      <c r="A275" s="9" t="s">
        <v>597</v>
      </c>
      <c r="C275" s="61" t="n">
        <f aca="false">S207</f>
        <v>0</v>
      </c>
      <c r="D275" s="61"/>
    </row>
    <row r="276" customFormat="false" ht="15" hidden="false" customHeight="false" outlineLevel="0" collapsed="false">
      <c r="A276" s="9" t="s">
        <v>598</v>
      </c>
      <c r="C276" s="63" t="n">
        <f aca="false">P191</f>
        <v>43.6188722246667</v>
      </c>
      <c r="D276" s="63"/>
    </row>
    <row r="277" customFormat="false" ht="15" hidden="false" customHeight="false" outlineLevel="0" collapsed="false">
      <c r="A277" s="9" t="s">
        <v>599</v>
      </c>
      <c r="C277" s="63" t="n">
        <f aca="false">P211</f>
        <v>6.18260904948639</v>
      </c>
      <c r="D277" s="63"/>
    </row>
    <row r="278" customFormat="false" ht="15" hidden="false" customHeight="false" outlineLevel="0" collapsed="false">
      <c r="A278" s="9" t="s">
        <v>600</v>
      </c>
      <c r="C278" s="63" t="n">
        <f aca="false">P187</f>
        <v>42</v>
      </c>
      <c r="D278" s="63"/>
    </row>
    <row r="279" customFormat="false" ht="15" hidden="false" customHeight="false" outlineLevel="0" collapsed="false">
      <c r="A279" s="9" t="s">
        <v>601</v>
      </c>
      <c r="C279" s="61" t="n">
        <f aca="false">IFERROR(P221/P211,0)</f>
        <v>8545.01753177967</v>
      </c>
      <c r="D279" s="61"/>
    </row>
    <row r="282" customFormat="false" ht="15" hidden="false" customHeight="true" outlineLevel="0" collapsed="false">
      <c r="A282" s="77" t="s">
        <v>765</v>
      </c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</row>
    <row r="283" customFormat="false" ht="15" hidden="false" customHeight="false" outlineLevel="0" collapsed="false">
      <c r="A283" s="35" t="s">
        <v>766</v>
      </c>
      <c r="B283" s="35" t="s">
        <v>444</v>
      </c>
      <c r="C283" s="6" t="s">
        <v>354</v>
      </c>
      <c r="D283" s="6" t="s">
        <v>355</v>
      </c>
      <c r="E283" s="6" t="s">
        <v>356</v>
      </c>
      <c r="F283" s="6" t="s">
        <v>357</v>
      </c>
      <c r="G283" s="6" t="s">
        <v>358</v>
      </c>
      <c r="H283" s="6" t="s">
        <v>359</v>
      </c>
      <c r="I283" s="6" t="s">
        <v>360</v>
      </c>
      <c r="J283" s="6" t="s">
        <v>361</v>
      </c>
      <c r="K283" s="6" t="s">
        <v>362</v>
      </c>
      <c r="L283" s="6" t="s">
        <v>363</v>
      </c>
      <c r="M283" s="6" t="s">
        <v>364</v>
      </c>
      <c r="N283" s="6" t="s">
        <v>365</v>
      </c>
      <c r="P283" s="6" t="s">
        <v>445</v>
      </c>
      <c r="Q283" s="6" t="s">
        <v>446</v>
      </c>
      <c r="R283" s="6" t="s">
        <v>447</v>
      </c>
      <c r="S283" s="6" t="s">
        <v>448</v>
      </c>
    </row>
    <row r="284" customFormat="false" ht="15" hidden="false" customHeight="false" outlineLevel="0" collapsed="false">
      <c r="A284" s="4" t="s">
        <v>449</v>
      </c>
      <c r="B284" s="36" t="s">
        <v>450</v>
      </c>
      <c r="C284" s="34" t="n">
        <f aca="false">'Market Sizing'!$C$17*Assumptions!$F$10*Assumptions!$F$11*(1-Assumptions!$F$12)</f>
        <v>843.03944704</v>
      </c>
    </row>
    <row r="285" customFormat="false" ht="15" hidden="false" customHeight="false" outlineLevel="0" collapsed="false">
      <c r="A285" s="4" t="s">
        <v>451</v>
      </c>
      <c r="B285" s="36" t="s">
        <v>450</v>
      </c>
      <c r="C285" s="34" t="n">
        <f aca="false">'Market Sizing'!$D$17*Assumptions!$F$10*Assumptions!$F$11*(1-Assumptions!$F$12)</f>
        <v>211.19616</v>
      </c>
    </row>
    <row r="286" customFormat="false" ht="15" hidden="false" customHeight="false" outlineLevel="0" collapsed="false">
      <c r="A286" s="4" t="s">
        <v>452</v>
      </c>
      <c r="B286" s="36" t="s">
        <v>450</v>
      </c>
      <c r="C286" s="34" t="n">
        <f aca="false">'Market Sizing'!$E$17*Assumptions!$F$10*Assumptions!$F$11*(1-Assumptions!$F$12)</f>
        <v>49.53984</v>
      </c>
    </row>
    <row r="287" customFormat="false" ht="15" hidden="false" customHeight="false" outlineLevel="0" collapsed="false">
      <c r="A287" s="4" t="s">
        <v>453</v>
      </c>
      <c r="B287" s="36"/>
      <c r="C287" s="34" t="n">
        <f aca="false">$C$284+$C$285+$C$286</f>
        <v>1103.77544704</v>
      </c>
    </row>
    <row r="288" customFormat="false" ht="15" hidden="false" customHeight="false" outlineLevel="0" collapsed="false">
      <c r="A288" s="4" t="s">
        <v>454</v>
      </c>
      <c r="B288" s="36" t="s">
        <v>450</v>
      </c>
      <c r="C288" s="34" t="n">
        <f aca="false">'Market Sizing'!$C$18*Assumptions!$F$10*Assumptions!$F$11*(1-Assumptions!$F$12)</f>
        <v>612.57706944</v>
      </c>
    </row>
    <row r="289" customFormat="false" ht="15" hidden="false" customHeight="false" outlineLevel="0" collapsed="false">
      <c r="A289" s="4" t="s">
        <v>455</v>
      </c>
      <c r="B289" s="36" t="s">
        <v>450</v>
      </c>
      <c r="C289" s="34" t="n">
        <f aca="false">'Market Sizing'!$D$18*Assumptions!$F$10*Assumptions!$F$11*(1-Assumptions!$F$12)</f>
        <v>142.10112</v>
      </c>
    </row>
    <row r="290" customFormat="false" ht="15" hidden="false" customHeight="false" outlineLevel="0" collapsed="false">
      <c r="A290" s="4" t="s">
        <v>456</v>
      </c>
      <c r="B290" s="36" t="s">
        <v>450</v>
      </c>
      <c r="C290" s="34" t="n">
        <f aca="false">'Market Sizing'!$E$18*Assumptions!$F$10*Assumptions!$F$11*(1-Assumptions!$F$12)</f>
        <v>24.76992</v>
      </c>
    </row>
    <row r="291" customFormat="false" ht="15" hidden="false" customHeight="false" outlineLevel="0" collapsed="false">
      <c r="A291" s="4" t="s">
        <v>457</v>
      </c>
      <c r="B291" s="36"/>
      <c r="C291" s="34" t="n">
        <f aca="false">$C$288+$C$289+$C$290</f>
        <v>779.44810944</v>
      </c>
    </row>
    <row r="292" customFormat="false" ht="15" hidden="false" customHeight="false" outlineLevel="0" collapsed="false">
      <c r="A292" s="4" t="s">
        <v>458</v>
      </c>
      <c r="B292" s="36" t="s">
        <v>450</v>
      </c>
      <c r="C292" s="34" t="n">
        <f aca="false">'Market Sizing'!$C$19*Assumptions!$F$10*Assumptions!$F$11*(1-Assumptions!$F$12)</f>
        <v>2060.77303936</v>
      </c>
    </row>
    <row r="293" customFormat="false" ht="15" hidden="false" customHeight="false" outlineLevel="0" collapsed="false">
      <c r="A293" s="4" t="s">
        <v>459</v>
      </c>
      <c r="B293" s="36" t="s">
        <v>450</v>
      </c>
      <c r="C293" s="34" t="n">
        <f aca="false">'Market Sizing'!$D$19*Assumptions!$F$10*Assumptions!$F$11*(1-Assumptions!$F$12)</f>
        <v>428.47616</v>
      </c>
    </row>
    <row r="294" customFormat="false" ht="15" hidden="false" customHeight="false" outlineLevel="0" collapsed="false">
      <c r="A294" s="4" t="s">
        <v>460</v>
      </c>
      <c r="B294" s="36" t="s">
        <v>450</v>
      </c>
      <c r="C294" s="34" t="n">
        <f aca="false">'Market Sizing'!$E$19*Assumptions!$F$10*Assumptions!$F$11*(1-Assumptions!$F$12)</f>
        <v>79.52448</v>
      </c>
    </row>
    <row r="295" customFormat="false" ht="15" hidden="false" customHeight="false" outlineLevel="0" collapsed="false">
      <c r="A295" s="4" t="s">
        <v>461</v>
      </c>
      <c r="B295" s="36"/>
      <c r="C295" s="34" t="n">
        <f aca="false">$C$292+$C$293+$C$294</f>
        <v>2568.77367936</v>
      </c>
    </row>
    <row r="296" customFormat="false" ht="15" hidden="false" customHeight="false" outlineLevel="0" collapsed="false">
      <c r="A296" s="4" t="s">
        <v>462</v>
      </c>
      <c r="B296" s="36" t="s">
        <v>463</v>
      </c>
      <c r="C296" s="33" t="n">
        <f aca="false">MAX((Assumptions!$F$51+Assumptions!$F$53)*12,(((('Market Sizing'!$E$25*Assumptions!$F$41*Assumptions!$F$42*Assumptions!$F$43)*Assumptions!$F$44)*Assumptions!$F$45*Assumptions!$F$46+('Market Sizing'!$E$25*Assumptions!$F$41*Assumptions!$F$42*Assumptions!$F$43)*Assumptions!$F$47+('Market Sizing'!$E$25*Assumptions!$F$41*Assumptions!$F$42*Assumptions!$F$43)*Assumptions!$F$48*Assumptions!$F$49)*(Assumptions!$F$51*12/Assumptions!$F$52)+((('Market Sizing'!$E$25*Assumptions!$F$41*Assumptions!$F$42*Assumptions!$F$43)*Assumptions!$F$44)*Assumptions!$F$45+('Market Sizing'!$E$25*Assumptions!$F$41*Assumptions!$F$42*Assumptions!$F$43)+('Market Sizing'!$E$25*Assumptions!$F$41*Assumptions!$F$42*Assumptions!$F$43)*Assumptions!$F$48)*Assumptions!$F$50*(Assumptions!$F$53*12/Assumptions!$F$54)))</f>
        <v>5352</v>
      </c>
    </row>
    <row r="297" customFormat="false" ht="15" hidden="false" customHeight="false" outlineLevel="0" collapsed="false">
      <c r="A297" s="4" t="s">
        <v>464</v>
      </c>
      <c r="B297" s="36" t="s">
        <v>463</v>
      </c>
      <c r="C297" s="33" t="n">
        <f aca="false">MAX((Assumptions!$F$51+Assumptions!$F$53)*12,(((('Market Sizing'!$E$26*Assumptions!$F$41*Assumptions!$F$42*Assumptions!$F$43)*Assumptions!$F$44)*Assumptions!$F$45*Assumptions!$F$46+('Market Sizing'!$E$26*Assumptions!$F$41*Assumptions!$F$42*Assumptions!$F$43)*Assumptions!$F$47+('Market Sizing'!$E$26*Assumptions!$F$41*Assumptions!$F$42*Assumptions!$F$43)*Assumptions!$F$48*Assumptions!$F$49)*(Assumptions!$F$51*12/Assumptions!$F$52)+((('Market Sizing'!$E$26*Assumptions!$F$41*Assumptions!$F$42*Assumptions!$F$43)*Assumptions!$F$44)*Assumptions!$F$45+('Market Sizing'!$E$26*Assumptions!$F$41*Assumptions!$F$42*Assumptions!$F$43)+('Market Sizing'!$E$26*Assumptions!$F$41*Assumptions!$F$42*Assumptions!$F$43)*Assumptions!$F$48)*Assumptions!$F$50*(Assumptions!$F$53*12/Assumptions!$F$54)))</f>
        <v>14650.0801931281</v>
      </c>
    </row>
    <row r="298" customFormat="false" ht="15" hidden="false" customHeight="false" outlineLevel="0" collapsed="false">
      <c r="A298" s="4" t="s">
        <v>465</v>
      </c>
      <c r="B298" s="36" t="s">
        <v>463</v>
      </c>
      <c r="C298" s="33" t="n">
        <f aca="false">MAX(Assumptions!$F$55*(Assumptions!$F$51*12/Assumptions!$F$52)+Assumptions!$F$56*(Assumptions!$F$53*12/Assumptions!$F$54),(((('Market Sizing'!$E$27*Assumptions!$F$41*Assumptions!$F$42*Assumptions!$F$43)*Assumptions!$F$44)*Assumptions!$F$45*Assumptions!$F$46+('Market Sizing'!$E$27*Assumptions!$F$41*Assumptions!$F$42*Assumptions!$F$43)*Assumptions!$F$47+('Market Sizing'!$E$27*Assumptions!$F$41*Assumptions!$F$42*Assumptions!$F$43)*Assumptions!$F$48*Assumptions!$F$49)*(Assumptions!$F$51*12/Assumptions!$F$52)+((('Market Sizing'!$E$27*Assumptions!$F$41*Assumptions!$F$42*Assumptions!$F$43)*Assumptions!$F$44)*Assumptions!$F$45+('Market Sizing'!$E$27*Assumptions!$F$41*Assumptions!$F$42*Assumptions!$F$43)+('Market Sizing'!$E$27*Assumptions!$F$41*Assumptions!$F$42*Assumptions!$F$43)*Assumptions!$F$48)*Assumptions!$F$50*(Assumptions!$F$53*12/Assumptions!$F$54)))*(1-Assumptions!$F$57)</f>
        <v>92667.3843291578</v>
      </c>
    </row>
    <row r="299" customFormat="false" ht="23.85" hidden="false" customHeight="false" outlineLevel="0" collapsed="false">
      <c r="A299" s="4" t="s">
        <v>466</v>
      </c>
      <c r="B299" s="36" t="s">
        <v>467</v>
      </c>
      <c r="C299" s="37" t="n">
        <f aca="false">Assumptions!$F$17*Assumptions!$D$106</f>
        <v>0.5</v>
      </c>
    </row>
    <row r="300" customFormat="false" ht="23.85" hidden="false" customHeight="false" outlineLevel="0" collapsed="false">
      <c r="A300" s="4" t="s">
        <v>468</v>
      </c>
      <c r="B300" s="36" t="s">
        <v>469</v>
      </c>
      <c r="C300" s="33" t="n">
        <f aca="false">Assumptions!$F$68/Assumptions!$F$69</f>
        <v>285714.285714286</v>
      </c>
    </row>
    <row r="301" customFormat="false" ht="23.85" hidden="false" customHeight="false" outlineLevel="0" collapsed="false">
      <c r="A301" s="4" t="s">
        <v>470</v>
      </c>
      <c r="B301" s="36" t="s">
        <v>471</v>
      </c>
      <c r="C301" s="33" t="n">
        <f aca="false">Assumptions!$F$66*Assumptions!$F$67/4</f>
        <v>185937.5</v>
      </c>
    </row>
    <row r="302" customFormat="false" ht="15" hidden="false" customHeight="false" outlineLevel="0" collapsed="false">
      <c r="A302" s="4" t="s">
        <v>472</v>
      </c>
      <c r="B302" s="36"/>
      <c r="C302" s="38" t="n">
        <f aca="false">$C$300/Assumptions!$F$66/Assumptions!$F$67</f>
        <v>0.384153661464586</v>
      </c>
    </row>
    <row r="303" customFormat="false" ht="15" hidden="false" customHeight="false" outlineLevel="0" collapsed="false">
      <c r="A303" s="4" t="s">
        <v>473</v>
      </c>
      <c r="B303" s="36"/>
      <c r="C303" s="33" t="n">
        <f aca="false">MAX(0,Assumptions!$D$103-Assumptions!$F$78)</f>
        <v>0</v>
      </c>
    </row>
    <row r="304" customFormat="false" ht="15" hidden="false" customHeight="false" outlineLevel="0" collapsed="false">
      <c r="A304" s="35" t="s">
        <v>474</v>
      </c>
      <c r="B304" s="35" t="s">
        <v>444</v>
      </c>
      <c r="C304" s="6" t="s">
        <v>354</v>
      </c>
      <c r="D304" s="6" t="s">
        <v>355</v>
      </c>
      <c r="E304" s="6" t="s">
        <v>356</v>
      </c>
      <c r="F304" s="6" t="s">
        <v>357</v>
      </c>
      <c r="G304" s="6" t="s">
        <v>358</v>
      </c>
      <c r="H304" s="6" t="s">
        <v>359</v>
      </c>
      <c r="I304" s="6" t="s">
        <v>360</v>
      </c>
      <c r="J304" s="6" t="s">
        <v>361</v>
      </c>
      <c r="K304" s="6" t="s">
        <v>362</v>
      </c>
      <c r="L304" s="6" t="s">
        <v>363</v>
      </c>
      <c r="M304" s="6" t="s">
        <v>364</v>
      </c>
      <c r="N304" s="6" t="s">
        <v>365</v>
      </c>
      <c r="P304" s="6" t="s">
        <v>445</v>
      </c>
      <c r="Q304" s="6" t="s">
        <v>446</v>
      </c>
      <c r="R304" s="6" t="s">
        <v>447</v>
      </c>
      <c r="S304" s="6" t="s">
        <v>448</v>
      </c>
    </row>
    <row r="305" customFormat="false" ht="15" hidden="false" customHeight="false" outlineLevel="0" collapsed="false">
      <c r="A305" s="4" t="s">
        <v>475</v>
      </c>
      <c r="B305" s="36" t="s">
        <v>133</v>
      </c>
      <c r="C305" s="39" t="n">
        <v>1</v>
      </c>
      <c r="D305" s="39" t="n">
        <v>2</v>
      </c>
      <c r="E305" s="39" t="n">
        <v>3</v>
      </c>
      <c r="F305" s="39" t="n">
        <v>4</v>
      </c>
      <c r="G305" s="39" t="n">
        <v>5</v>
      </c>
      <c r="H305" s="39" t="n">
        <v>6</v>
      </c>
      <c r="I305" s="39" t="n">
        <v>7</v>
      </c>
      <c r="J305" s="39" t="n">
        <v>8</v>
      </c>
      <c r="K305" s="39" t="n">
        <v>9</v>
      </c>
      <c r="L305" s="39" t="n">
        <v>10</v>
      </c>
      <c r="M305" s="39" t="n">
        <v>11</v>
      </c>
      <c r="N305" s="39" t="n">
        <v>12</v>
      </c>
      <c r="P305" s="40"/>
      <c r="Q305" s="40"/>
      <c r="R305" s="40"/>
      <c r="S305" s="41"/>
    </row>
    <row r="306" customFormat="false" ht="15" hidden="false" customHeight="false" outlineLevel="0" collapsed="false">
      <c r="A306" s="4" t="s">
        <v>476</v>
      </c>
      <c r="B306" s="36" t="s">
        <v>343</v>
      </c>
      <c r="C306" s="39" t="n">
        <f aca="false">IF(C305&lt;=Assumptions!$F$84,1,0)</f>
        <v>1</v>
      </c>
      <c r="D306" s="39" t="n">
        <f aca="false">IF(D305&lt;=Assumptions!$F$84,1,0)</f>
        <v>1</v>
      </c>
      <c r="E306" s="39" t="n">
        <f aca="false">IF(E305&lt;=Assumptions!$F$84,1,0)</f>
        <v>1</v>
      </c>
      <c r="F306" s="39" t="n">
        <f aca="false">IF(F305&lt;=Assumptions!$F$84,1,0)</f>
        <v>1</v>
      </c>
      <c r="G306" s="39" t="n">
        <f aca="false">IF(G305&lt;=Assumptions!$F$84,1,0)</f>
        <v>1</v>
      </c>
      <c r="H306" s="39" t="n">
        <f aca="false">IF(H305&lt;=Assumptions!$F$84,1,0)</f>
        <v>1</v>
      </c>
      <c r="I306" s="39" t="n">
        <f aca="false">IF(I305&lt;=Assumptions!$F$84,1,0)</f>
        <v>1</v>
      </c>
      <c r="J306" s="39" t="n">
        <f aca="false">IF(J305&lt;=Assumptions!$F$84,1,0)</f>
        <v>1</v>
      </c>
      <c r="K306" s="39" t="n">
        <f aca="false">IF(K305&lt;=Assumptions!$F$84,1,0)</f>
        <v>1</v>
      </c>
      <c r="L306" s="39" t="n">
        <f aca="false">IF(L305&lt;=Assumptions!$F$84,1,0)</f>
        <v>1</v>
      </c>
      <c r="M306" s="39" t="n">
        <f aca="false">IF(M305&lt;=Assumptions!$F$84,1,0)</f>
        <v>1</v>
      </c>
      <c r="N306" s="39" t="n">
        <f aca="false">IF(N305&lt;=Assumptions!$F$84,1,0)</f>
        <v>1</v>
      </c>
      <c r="P306" s="40"/>
      <c r="Q306" s="40"/>
      <c r="R306" s="40"/>
      <c r="S306" s="41"/>
    </row>
    <row r="307" customFormat="false" ht="15" hidden="false" customHeight="false" outlineLevel="0" collapsed="false">
      <c r="A307" s="4" t="s">
        <v>477</v>
      </c>
      <c r="B307" s="36" t="s">
        <v>478</v>
      </c>
      <c r="C307" s="42" t="n">
        <f aca="false">IF(C305=Assumptions!$F$13,0.5,IF(C305&gt;Assumptions!$F$13,1,0))</f>
        <v>0.5</v>
      </c>
      <c r="D307" s="42" t="n">
        <f aca="false">IF(D305=Assumptions!$F$13,0.5,IF(D305&gt;Assumptions!$F$13,1,0))</f>
        <v>1</v>
      </c>
      <c r="E307" s="42" t="n">
        <f aca="false">IF(E305=Assumptions!$F$13,0.5,IF(E305&gt;Assumptions!$F$13,1,0))</f>
        <v>1</v>
      </c>
      <c r="F307" s="42" t="n">
        <f aca="false">IF(F305=Assumptions!$F$13,0.5,IF(F305&gt;Assumptions!$F$13,1,0))</f>
        <v>1</v>
      </c>
      <c r="G307" s="42" t="n">
        <f aca="false">IF(G305=Assumptions!$F$13,0.5,IF(G305&gt;Assumptions!$F$13,1,0))</f>
        <v>1</v>
      </c>
      <c r="H307" s="42" t="n">
        <f aca="false">IF(H305=Assumptions!$F$13,0.5,IF(H305&gt;Assumptions!$F$13,1,0))</f>
        <v>1</v>
      </c>
      <c r="I307" s="42" t="n">
        <f aca="false">IF(I305=Assumptions!$F$13,0.5,IF(I305&gt;Assumptions!$F$13,1,0))</f>
        <v>1</v>
      </c>
      <c r="J307" s="42" t="n">
        <f aca="false">IF(J305=Assumptions!$F$13,0.5,IF(J305&gt;Assumptions!$F$13,1,0))</f>
        <v>1</v>
      </c>
      <c r="K307" s="42" t="n">
        <f aca="false">IF(K305=Assumptions!$F$13,0.5,IF(K305&gt;Assumptions!$F$13,1,0))</f>
        <v>1</v>
      </c>
      <c r="L307" s="42" t="n">
        <f aca="false">IF(L305=Assumptions!$F$13,0.5,IF(L305&gt;Assumptions!$F$13,1,0))</f>
        <v>1</v>
      </c>
      <c r="M307" s="42" t="n">
        <f aca="false">IF(M305=Assumptions!$F$13,0.5,IF(M305&gt;Assumptions!$F$13,1,0))</f>
        <v>1</v>
      </c>
      <c r="N307" s="42" t="n">
        <f aca="false">IF(N305=Assumptions!$F$13,0.5,IF(N305&gt;Assumptions!$F$13,1,0))</f>
        <v>1</v>
      </c>
      <c r="P307" s="43"/>
      <c r="Q307" s="43"/>
      <c r="R307" s="43"/>
      <c r="S307" s="44"/>
    </row>
    <row r="308" customFormat="false" ht="15" hidden="false" customHeight="false" outlineLevel="0" collapsed="false">
      <c r="A308" s="4" t="s">
        <v>479</v>
      </c>
      <c r="B308" s="36" t="s">
        <v>478</v>
      </c>
      <c r="C308" s="42" t="n">
        <f aca="false">IF(C305=Assumptions!$F$14,0.5,IF(C305&gt;Assumptions!$F$14,1,0))</f>
        <v>0</v>
      </c>
      <c r="D308" s="42" t="n">
        <f aca="false">IF(D305=Assumptions!$F$14,0.5,IF(D305&gt;Assumptions!$F$14,1,0))</f>
        <v>0</v>
      </c>
      <c r="E308" s="42" t="n">
        <f aca="false">IF(E305=Assumptions!$F$14,0.5,IF(E305&gt;Assumptions!$F$14,1,0))</f>
        <v>0</v>
      </c>
      <c r="F308" s="42" t="n">
        <f aca="false">IF(F305=Assumptions!$F$14,0.5,IF(F305&gt;Assumptions!$F$14,1,0))</f>
        <v>0.5</v>
      </c>
      <c r="G308" s="42" t="n">
        <f aca="false">IF(G305=Assumptions!$F$14,0.5,IF(G305&gt;Assumptions!$F$14,1,0))</f>
        <v>1</v>
      </c>
      <c r="H308" s="42" t="n">
        <f aca="false">IF(H305=Assumptions!$F$14,0.5,IF(H305&gt;Assumptions!$F$14,1,0))</f>
        <v>1</v>
      </c>
      <c r="I308" s="42" t="n">
        <f aca="false">IF(I305=Assumptions!$F$14,0.5,IF(I305&gt;Assumptions!$F$14,1,0))</f>
        <v>1</v>
      </c>
      <c r="J308" s="42" t="n">
        <f aca="false">IF(J305=Assumptions!$F$14,0.5,IF(J305&gt;Assumptions!$F$14,1,0))</f>
        <v>1</v>
      </c>
      <c r="K308" s="42" t="n">
        <f aca="false">IF(K305=Assumptions!$F$14,0.5,IF(K305&gt;Assumptions!$F$14,1,0))</f>
        <v>1</v>
      </c>
      <c r="L308" s="42" t="n">
        <f aca="false">IF(L305=Assumptions!$F$14,0.5,IF(L305&gt;Assumptions!$F$14,1,0))</f>
        <v>1</v>
      </c>
      <c r="M308" s="42" t="n">
        <f aca="false">IF(M305=Assumptions!$F$14,0.5,IF(M305&gt;Assumptions!$F$14,1,0))</f>
        <v>1</v>
      </c>
      <c r="N308" s="42" t="n">
        <f aca="false">IF(N305=Assumptions!$F$14,0.5,IF(N305&gt;Assumptions!$F$14,1,0))</f>
        <v>1</v>
      </c>
      <c r="P308" s="43"/>
      <c r="Q308" s="43"/>
      <c r="R308" s="43"/>
      <c r="S308" s="44"/>
    </row>
    <row r="309" customFormat="false" ht="15" hidden="false" customHeight="false" outlineLevel="0" collapsed="false">
      <c r="A309" s="4" t="s">
        <v>480</v>
      </c>
      <c r="B309" s="36" t="s">
        <v>478</v>
      </c>
      <c r="C309" s="42" t="n">
        <f aca="false">IF(C305=Assumptions!$F$15,0.5,IF(C305&gt;Assumptions!$F$15,1,0))</f>
        <v>0</v>
      </c>
      <c r="D309" s="42" t="n">
        <f aca="false">IF(D305=Assumptions!$F$15,0.5,IF(D305&gt;Assumptions!$F$15,1,0))</f>
        <v>0</v>
      </c>
      <c r="E309" s="42" t="n">
        <f aca="false">IF(E305=Assumptions!$F$15,0.5,IF(E305&gt;Assumptions!$F$15,1,0))</f>
        <v>0</v>
      </c>
      <c r="F309" s="42" t="n">
        <f aca="false">IF(F305=Assumptions!$F$15,0.5,IF(F305&gt;Assumptions!$F$15,1,0))</f>
        <v>0</v>
      </c>
      <c r="G309" s="42" t="n">
        <f aca="false">IF(G305=Assumptions!$F$15,0.5,IF(G305&gt;Assumptions!$F$15,1,0))</f>
        <v>0</v>
      </c>
      <c r="H309" s="42" t="n">
        <f aca="false">IF(H305=Assumptions!$F$15,0.5,IF(H305&gt;Assumptions!$F$15,1,0))</f>
        <v>0.5</v>
      </c>
      <c r="I309" s="42" t="n">
        <f aca="false">IF(I305=Assumptions!$F$15,0.5,IF(I305&gt;Assumptions!$F$15,1,0))</f>
        <v>1</v>
      </c>
      <c r="J309" s="42" t="n">
        <f aca="false">IF(J305=Assumptions!$F$15,0.5,IF(J305&gt;Assumptions!$F$15,1,0))</f>
        <v>1</v>
      </c>
      <c r="K309" s="42" t="n">
        <f aca="false">IF(K305=Assumptions!$F$15,0.5,IF(K305&gt;Assumptions!$F$15,1,0))</f>
        <v>1</v>
      </c>
      <c r="L309" s="42" t="n">
        <f aca="false">IF(L305=Assumptions!$F$15,0.5,IF(L305&gt;Assumptions!$F$15,1,0))</f>
        <v>1</v>
      </c>
      <c r="M309" s="42" t="n">
        <f aca="false">IF(M305=Assumptions!$F$15,0.5,IF(M305&gt;Assumptions!$F$15,1,0))</f>
        <v>1</v>
      </c>
      <c r="N309" s="42" t="n">
        <f aca="false">IF(N305=Assumptions!$F$15,0.5,IF(N305&gt;Assumptions!$F$15,1,0))</f>
        <v>1</v>
      </c>
      <c r="P309" s="43"/>
      <c r="Q309" s="43"/>
      <c r="R309" s="43"/>
      <c r="S309" s="44"/>
    </row>
    <row r="310" customFormat="false" ht="15" hidden="false" customHeight="false" outlineLevel="0" collapsed="false">
      <c r="A310" s="4" t="s">
        <v>481</v>
      </c>
      <c r="B310" s="36" t="s">
        <v>478</v>
      </c>
      <c r="C310" s="45" t="n">
        <f aca="false">Assumptions!$F$21^(MAX(0,C305-Assumptions!$F$13)/4)</f>
        <v>1</v>
      </c>
      <c r="D310" s="45" t="n">
        <f aca="false">Assumptions!$F$21^(MAX(0,D305-Assumptions!$F$13)/4)</f>
        <v>0.960184589404188</v>
      </c>
      <c r="E310" s="45" t="n">
        <f aca="false">Assumptions!$F$21^(MAX(0,E305-Assumptions!$F$13)/4)</f>
        <v>0.921954445729289</v>
      </c>
      <c r="F310" s="45" t="n">
        <f aca="false">Assumptions!$F$21^(MAX(0,F305-Assumptions!$F$13)/4)</f>
        <v>0.885246450921943</v>
      </c>
      <c r="G310" s="45" t="n">
        <f aca="false">Assumptions!$F$21^(MAX(0,G305-Assumptions!$F$13)/4)</f>
        <v>0.85</v>
      </c>
      <c r="H310" s="45" t="n">
        <f aca="false">Assumptions!$F$21^(MAX(0,H305-Assumptions!$F$13)/4)</f>
        <v>0.81615690099356</v>
      </c>
      <c r="I310" s="45" t="n">
        <f aca="false">Assumptions!$F$21^(MAX(0,I305-Assumptions!$F$13)/4)</f>
        <v>0.783661278869895</v>
      </c>
      <c r="J310" s="45" t="n">
        <f aca="false">Assumptions!$F$21^(MAX(0,J305-Assumptions!$F$13)/4)</f>
        <v>0.752459483283651</v>
      </c>
      <c r="K310" s="45" t="n">
        <f aca="false">Assumptions!$F$21^(MAX(0,K305-Assumptions!$F$13)/4)</f>
        <v>0.7225</v>
      </c>
      <c r="L310" s="45" t="n">
        <f aca="false">Assumptions!$F$21^(MAX(0,L305-Assumptions!$F$13)/4)</f>
        <v>0.693733365844526</v>
      </c>
      <c r="M310" s="45" t="n">
        <f aca="false">Assumptions!$F$21^(MAX(0,M305-Assumptions!$F$13)/4)</f>
        <v>0.666112087039411</v>
      </c>
      <c r="N310" s="45" t="n">
        <f aca="false">Assumptions!$F$21^(MAX(0,N305-Assumptions!$F$13)/4)</f>
        <v>0.639590560791104</v>
      </c>
      <c r="P310" s="46"/>
      <c r="Q310" s="46"/>
      <c r="R310" s="46"/>
      <c r="S310" s="47"/>
    </row>
    <row r="311" customFormat="false" ht="15" hidden="false" customHeight="false" outlineLevel="0" collapsed="false">
      <c r="A311" s="4" t="s">
        <v>482</v>
      </c>
      <c r="B311" s="36" t="s">
        <v>478</v>
      </c>
      <c r="C311" s="45" t="n">
        <f aca="false">Assumptions!$F$21^(MAX(0,C305-Assumptions!$F$14)/4)</f>
        <v>1</v>
      </c>
      <c r="D311" s="45" t="n">
        <f aca="false">Assumptions!$F$21^(MAX(0,D305-Assumptions!$F$14)/4)</f>
        <v>1</v>
      </c>
      <c r="E311" s="45" t="n">
        <f aca="false">Assumptions!$F$21^(MAX(0,E305-Assumptions!$F$14)/4)</f>
        <v>1</v>
      </c>
      <c r="F311" s="45" t="n">
        <f aca="false">Assumptions!$F$21^(MAX(0,F305-Assumptions!$F$14)/4)</f>
        <v>1</v>
      </c>
      <c r="G311" s="45" t="n">
        <f aca="false">Assumptions!$F$21^(MAX(0,G305-Assumptions!$F$14)/4)</f>
        <v>0.960184589404188</v>
      </c>
      <c r="H311" s="45" t="n">
        <f aca="false">Assumptions!$F$21^(MAX(0,H305-Assumptions!$F$14)/4)</f>
        <v>0.921954445729289</v>
      </c>
      <c r="I311" s="45" t="n">
        <f aca="false">Assumptions!$F$21^(MAX(0,I305-Assumptions!$F$14)/4)</f>
        <v>0.885246450921943</v>
      </c>
      <c r="J311" s="45" t="n">
        <f aca="false">Assumptions!$F$21^(MAX(0,J305-Assumptions!$F$14)/4)</f>
        <v>0.85</v>
      </c>
      <c r="K311" s="45" t="n">
        <f aca="false">Assumptions!$F$21^(MAX(0,K305-Assumptions!$F$14)/4)</f>
        <v>0.81615690099356</v>
      </c>
      <c r="L311" s="45" t="n">
        <f aca="false">Assumptions!$F$21^(MAX(0,L305-Assumptions!$F$14)/4)</f>
        <v>0.783661278869895</v>
      </c>
      <c r="M311" s="45" t="n">
        <f aca="false">Assumptions!$F$21^(MAX(0,M305-Assumptions!$F$14)/4)</f>
        <v>0.752459483283651</v>
      </c>
      <c r="N311" s="45" t="n">
        <f aca="false">Assumptions!$F$21^(MAX(0,N305-Assumptions!$F$14)/4)</f>
        <v>0.7225</v>
      </c>
      <c r="P311" s="46"/>
      <c r="Q311" s="46"/>
      <c r="R311" s="46"/>
      <c r="S311" s="47"/>
    </row>
    <row r="312" customFormat="false" ht="15" hidden="false" customHeight="false" outlineLevel="0" collapsed="false">
      <c r="A312" s="4" t="s">
        <v>483</v>
      </c>
      <c r="B312" s="36" t="s">
        <v>478</v>
      </c>
      <c r="C312" s="45" t="n">
        <f aca="false">Assumptions!$F$21^(MAX(0,C305-Assumptions!$F$15)/4)</f>
        <v>1</v>
      </c>
      <c r="D312" s="45" t="n">
        <f aca="false">Assumptions!$F$21^(MAX(0,D305-Assumptions!$F$15)/4)</f>
        <v>1</v>
      </c>
      <c r="E312" s="45" t="n">
        <f aca="false">Assumptions!$F$21^(MAX(0,E305-Assumptions!$F$15)/4)</f>
        <v>1</v>
      </c>
      <c r="F312" s="45" t="n">
        <f aca="false">Assumptions!$F$21^(MAX(0,F305-Assumptions!$F$15)/4)</f>
        <v>1</v>
      </c>
      <c r="G312" s="45" t="n">
        <f aca="false">Assumptions!$F$21^(MAX(0,G305-Assumptions!$F$15)/4)</f>
        <v>1</v>
      </c>
      <c r="H312" s="45" t="n">
        <f aca="false">Assumptions!$F$21^(MAX(0,H305-Assumptions!$F$15)/4)</f>
        <v>1</v>
      </c>
      <c r="I312" s="45" t="n">
        <f aca="false">Assumptions!$F$21^(MAX(0,I305-Assumptions!$F$15)/4)</f>
        <v>0.960184589404188</v>
      </c>
      <c r="J312" s="45" t="n">
        <f aca="false">Assumptions!$F$21^(MAX(0,J305-Assumptions!$F$15)/4)</f>
        <v>0.921954445729289</v>
      </c>
      <c r="K312" s="45" t="n">
        <f aca="false">Assumptions!$F$21^(MAX(0,K305-Assumptions!$F$15)/4)</f>
        <v>0.885246450921943</v>
      </c>
      <c r="L312" s="45" t="n">
        <f aca="false">Assumptions!$F$21^(MAX(0,L305-Assumptions!$F$15)/4)</f>
        <v>0.85</v>
      </c>
      <c r="M312" s="45" t="n">
        <f aca="false">Assumptions!$F$21^(MAX(0,M305-Assumptions!$F$15)/4)</f>
        <v>0.81615690099356</v>
      </c>
      <c r="N312" s="45" t="n">
        <f aca="false">Assumptions!$F$21^(MAX(0,N305-Assumptions!$F$15)/4)</f>
        <v>0.783661278869895</v>
      </c>
      <c r="P312" s="46"/>
      <c r="Q312" s="46"/>
      <c r="R312" s="46"/>
      <c r="S312" s="47"/>
    </row>
    <row r="313" customFormat="false" ht="15" hidden="false" customHeight="false" outlineLevel="0" collapsed="false">
      <c r="A313" s="4" t="s">
        <v>484</v>
      </c>
      <c r="B313" s="36" t="s">
        <v>485</v>
      </c>
      <c r="C313" s="39" t="n">
        <f aca="false">$C$284*C307+$C$288*C308+$C$292*C309</f>
        <v>421.51972352</v>
      </c>
      <c r="D313" s="39" t="n">
        <f aca="false">$C$284*D307+$C$288*D308+$C$292*D309</f>
        <v>843.03944704</v>
      </c>
      <c r="E313" s="39" t="n">
        <f aca="false">$C$284*E307+$C$288*E308+$C$292*E309</f>
        <v>843.03944704</v>
      </c>
      <c r="F313" s="39" t="n">
        <f aca="false">$C$284*F307+$C$288*F308+$C$292*F309</f>
        <v>1149.32798176</v>
      </c>
      <c r="G313" s="39" t="n">
        <f aca="false">$C$284*G307+$C$288*G308+$C$292*G309</f>
        <v>1455.61651648</v>
      </c>
      <c r="H313" s="39" t="n">
        <f aca="false">$C$284*H307+$C$288*H308+$C$292*H309</f>
        <v>2486.00303616</v>
      </c>
      <c r="I313" s="39" t="n">
        <f aca="false">$C$284*I307+$C$288*I308+$C$292*I309</f>
        <v>3516.38955584</v>
      </c>
      <c r="J313" s="39" t="n">
        <f aca="false">$C$284*J307+$C$288*J308+$C$292*J309</f>
        <v>3516.38955584</v>
      </c>
      <c r="K313" s="39" t="n">
        <f aca="false">$C$284*K307+$C$288*K308+$C$292*K309</f>
        <v>3516.38955584</v>
      </c>
      <c r="L313" s="39" t="n">
        <f aca="false">$C$284*L307+$C$288*L308+$C$292*L309</f>
        <v>3516.38955584</v>
      </c>
      <c r="M313" s="39" t="n">
        <f aca="false">$C$284*M307+$C$288*M308+$C$292*M309</f>
        <v>3516.38955584</v>
      </c>
      <c r="N313" s="39" t="n">
        <f aca="false">$C$284*N307+$C$288*N308+$C$292*N309</f>
        <v>3516.38955584</v>
      </c>
      <c r="P313" s="40" t="n">
        <f aca="false">F313</f>
        <v>1149.32798176</v>
      </c>
      <c r="Q313" s="40" t="n">
        <f aca="false">J313</f>
        <v>3516.38955584</v>
      </c>
      <c r="R313" s="40" t="n">
        <f aca="false">N313</f>
        <v>3516.38955584</v>
      </c>
      <c r="S313" s="41" t="n">
        <f aca="false">R313</f>
        <v>3516.38955584</v>
      </c>
    </row>
    <row r="314" customFormat="false" ht="15" hidden="false" customHeight="false" outlineLevel="0" collapsed="false">
      <c r="A314" s="4" t="s">
        <v>486</v>
      </c>
      <c r="B314" s="36" t="s">
        <v>485</v>
      </c>
      <c r="C314" s="39" t="n">
        <f aca="false">$C$285*C307+$C$289*C308+$C$293*C309</f>
        <v>105.59808</v>
      </c>
      <c r="D314" s="39" t="n">
        <f aca="false">$C$285*D307+$C$289*D308+$C$293*D309</f>
        <v>211.19616</v>
      </c>
      <c r="E314" s="39" t="n">
        <f aca="false">$C$285*E307+$C$289*E308+$C$293*E309</f>
        <v>211.19616</v>
      </c>
      <c r="F314" s="39" t="n">
        <f aca="false">$C$285*F307+$C$289*F308+$C$293*F309</f>
        <v>282.24672</v>
      </c>
      <c r="G314" s="39" t="n">
        <f aca="false">$C$285*G307+$C$289*G308+$C$293*G309</f>
        <v>353.29728</v>
      </c>
      <c r="H314" s="39" t="n">
        <f aca="false">$C$285*H307+$C$289*H308+$C$293*H309</f>
        <v>567.53536</v>
      </c>
      <c r="I314" s="39" t="n">
        <f aca="false">$C$285*I307+$C$289*I308+$C$293*I309</f>
        <v>781.77344</v>
      </c>
      <c r="J314" s="39" t="n">
        <f aca="false">$C$285*J307+$C$289*J308+$C$293*J309</f>
        <v>781.77344</v>
      </c>
      <c r="K314" s="39" t="n">
        <f aca="false">$C$285*K307+$C$289*K308+$C$293*K309</f>
        <v>781.77344</v>
      </c>
      <c r="L314" s="39" t="n">
        <f aca="false">$C$285*L307+$C$289*L308+$C$293*L309</f>
        <v>781.77344</v>
      </c>
      <c r="M314" s="39" t="n">
        <f aca="false">$C$285*M307+$C$289*M308+$C$293*M309</f>
        <v>781.77344</v>
      </c>
      <c r="N314" s="39" t="n">
        <f aca="false">$C$285*N307+$C$289*N308+$C$293*N309</f>
        <v>781.77344</v>
      </c>
      <c r="P314" s="40" t="n">
        <f aca="false">F314</f>
        <v>282.24672</v>
      </c>
      <c r="Q314" s="40" t="n">
        <f aca="false">J314</f>
        <v>781.77344</v>
      </c>
      <c r="R314" s="40" t="n">
        <f aca="false">N314</f>
        <v>781.77344</v>
      </c>
      <c r="S314" s="41" t="n">
        <f aca="false">R314</f>
        <v>781.77344</v>
      </c>
    </row>
    <row r="315" customFormat="false" ht="15" hidden="false" customHeight="false" outlineLevel="0" collapsed="false">
      <c r="A315" s="4" t="s">
        <v>487</v>
      </c>
      <c r="B315" s="36" t="s">
        <v>485</v>
      </c>
      <c r="C315" s="39" t="n">
        <f aca="false">$C$286*C307+$C$290*C308+$C$294*C309</f>
        <v>24.76992</v>
      </c>
      <c r="D315" s="39" t="n">
        <f aca="false">$C$286*D307+$C$290*D308+$C$294*D309</f>
        <v>49.53984</v>
      </c>
      <c r="E315" s="39" t="n">
        <f aca="false">$C$286*E307+$C$290*E308+$C$294*E309</f>
        <v>49.53984</v>
      </c>
      <c r="F315" s="39" t="n">
        <f aca="false">$C$286*F307+$C$290*F308+$C$294*F309</f>
        <v>61.9248</v>
      </c>
      <c r="G315" s="39" t="n">
        <f aca="false">$C$286*G307+$C$290*G308+$C$294*G309</f>
        <v>74.30976</v>
      </c>
      <c r="H315" s="39" t="n">
        <f aca="false">$C$286*H307+$C$290*H308+$C$294*H309</f>
        <v>114.072</v>
      </c>
      <c r="I315" s="39" t="n">
        <f aca="false">$C$286*I307+$C$290*I308+$C$294*I309</f>
        <v>153.83424</v>
      </c>
      <c r="J315" s="39" t="n">
        <f aca="false">$C$286*J307+$C$290*J308+$C$294*J309</f>
        <v>153.83424</v>
      </c>
      <c r="K315" s="39" t="n">
        <f aca="false">$C$286*K307+$C$290*K308+$C$294*K309</f>
        <v>153.83424</v>
      </c>
      <c r="L315" s="39" t="n">
        <f aca="false">$C$286*L307+$C$290*L308+$C$294*L309</f>
        <v>153.83424</v>
      </c>
      <c r="M315" s="39" t="n">
        <f aca="false">$C$286*M307+$C$290*M308+$C$294*M309</f>
        <v>153.83424</v>
      </c>
      <c r="N315" s="39" t="n">
        <f aca="false">$C$286*N307+$C$290*N308+$C$294*N309</f>
        <v>153.83424</v>
      </c>
      <c r="P315" s="40" t="n">
        <f aca="false">F315</f>
        <v>61.9248</v>
      </c>
      <c r="Q315" s="40" t="n">
        <f aca="false">J315</f>
        <v>153.83424</v>
      </c>
      <c r="R315" s="40" t="n">
        <f aca="false">N315</f>
        <v>153.83424</v>
      </c>
      <c r="S315" s="41" t="n">
        <f aca="false">R315</f>
        <v>153.83424</v>
      </c>
    </row>
    <row r="316" customFormat="false" ht="15" hidden="false" customHeight="false" outlineLevel="0" collapsed="false">
      <c r="A316" s="4" t="s">
        <v>488</v>
      </c>
      <c r="B316" s="36" t="s">
        <v>485</v>
      </c>
      <c r="C316" s="39" t="n">
        <f aca="false">C313+C314+C315</f>
        <v>551.88772352</v>
      </c>
      <c r="D316" s="39" t="n">
        <f aca="false">D313+D314+D315</f>
        <v>1103.77544704</v>
      </c>
      <c r="E316" s="39" t="n">
        <f aca="false">E313+E314+E315</f>
        <v>1103.77544704</v>
      </c>
      <c r="F316" s="39" t="n">
        <f aca="false">F313+F314+F315</f>
        <v>1493.49950176</v>
      </c>
      <c r="G316" s="39" t="n">
        <f aca="false">G313+G314+G315</f>
        <v>1883.22355648</v>
      </c>
      <c r="H316" s="39" t="n">
        <f aca="false">H313+H314+H315</f>
        <v>3167.61039616</v>
      </c>
      <c r="I316" s="39" t="n">
        <f aca="false">I313+I314+I315</f>
        <v>4451.99723584</v>
      </c>
      <c r="J316" s="39" t="n">
        <f aca="false">J313+J314+J315</f>
        <v>4451.99723584</v>
      </c>
      <c r="K316" s="39" t="n">
        <f aca="false">K313+K314+K315</f>
        <v>4451.99723584</v>
      </c>
      <c r="L316" s="39" t="n">
        <f aca="false">L313+L314+L315</f>
        <v>4451.99723584</v>
      </c>
      <c r="M316" s="39" t="n">
        <f aca="false">M313+M314+M315</f>
        <v>4451.99723584</v>
      </c>
      <c r="N316" s="39" t="n">
        <f aca="false">N313+N314+N315</f>
        <v>4451.99723584</v>
      </c>
      <c r="P316" s="40" t="n">
        <f aca="false">F316</f>
        <v>1493.49950176</v>
      </c>
      <c r="Q316" s="40" t="n">
        <f aca="false">J316</f>
        <v>4451.99723584</v>
      </c>
      <c r="R316" s="40" t="n">
        <f aca="false">N316</f>
        <v>4451.99723584</v>
      </c>
      <c r="S316" s="41" t="n">
        <f aca="false">R316</f>
        <v>4451.99723584</v>
      </c>
    </row>
    <row r="317" customFormat="false" ht="15" hidden="false" customHeight="false" outlineLevel="0" collapsed="false">
      <c r="A317" s="4" t="s">
        <v>489</v>
      </c>
      <c r="B317" s="36" t="s">
        <v>485</v>
      </c>
      <c r="C317" s="39" t="n">
        <f aca="false">$C$287*C307*C310+$C$291*C308*C311+$C$295*C309*C312</f>
        <v>551.88772352</v>
      </c>
      <c r="D317" s="39" t="n">
        <f aca="false">$C$287*D307*D310+$C$291*D308*D311+$C$295*D309*D312</f>
        <v>1059.82817441053</v>
      </c>
      <c r="E317" s="39" t="n">
        <f aca="false">$C$287*E307*E310+$C$291*E308*E311+$C$295*E309*E312</f>
        <v>1017.63068048536</v>
      </c>
      <c r="F317" s="39" t="n">
        <f aca="false">$C$287*F307*F310+$C$291*F308*F311+$C$295*F309*F312</f>
        <v>1366.83735182694</v>
      </c>
      <c r="G317" s="39" t="n">
        <f aca="false">$C$287*G307*G310+$C$291*G308*G311+$C$295*G309*G312</f>
        <v>1686.62319290852</v>
      </c>
      <c r="H317" s="39" t="n">
        <f aca="false">$C$287*H307*H310+$C$291*H308*H311+$C$295*H309*H312</f>
        <v>2903.85643764244</v>
      </c>
      <c r="I317" s="39" t="n">
        <f aca="false">$C$287*I307*I310+$C$291*I308*I311+$C$295*I309*I312</f>
        <v>4021.4866515607</v>
      </c>
      <c r="J317" s="39" t="n">
        <f aca="false">$C$287*J307*J310+$C$291*J308*J311+$C$295*J309*J312</f>
        <v>3861.36950932324</v>
      </c>
      <c r="K317" s="39" t="n">
        <f aca="false">$C$287*K307*K310+$C$291*K308*K311+$C$295*K309*K312</f>
        <v>3707.62749684738</v>
      </c>
      <c r="L317" s="39" t="n">
        <f aca="false">$C$287*L307*L310+$C$291*L308*L311+$C$295*L309*L312</f>
        <v>3560.00678572408</v>
      </c>
      <c r="M317" s="39" t="n">
        <f aca="false">$C$287*M307*M310+$C$291*M308*M311+$C$295*M309*M312</f>
        <v>3418.2636538266</v>
      </c>
      <c r="N317" s="39" t="n">
        <f aca="false">$C$287*N307*N310+$C$291*N308*N311+$C$295*N309*N312</f>
        <v>3282.16408292475</v>
      </c>
      <c r="P317" s="40"/>
      <c r="Q317" s="40"/>
      <c r="R317" s="40"/>
      <c r="S317" s="41"/>
    </row>
    <row r="318" customFormat="false" ht="15" hidden="false" customHeight="false" outlineLevel="0" collapsed="false">
      <c r="A318" s="4" t="s">
        <v>490</v>
      </c>
      <c r="B318" s="36" t="s">
        <v>491</v>
      </c>
      <c r="C318" s="48" t="n">
        <f aca="false">$C$299*Assumptions!$F$20*C306*C317</f>
        <v>12.4174737792</v>
      </c>
      <c r="D318" s="48" t="n">
        <f aca="false">$C$299*Assumptions!$F$20*D306*D317</f>
        <v>23.8461339242368</v>
      </c>
      <c r="E318" s="48" t="n">
        <f aca="false">$C$299*Assumptions!$F$20*E306*E317</f>
        <v>22.8966903109206</v>
      </c>
      <c r="F318" s="48" t="n">
        <f aca="false">$C$299*Assumptions!$F$20*F306*F317</f>
        <v>30.7538404161062</v>
      </c>
      <c r="G318" s="48" t="n">
        <f aca="false">$C$299*Assumptions!$F$20*G306*G317</f>
        <v>37.9490218404416</v>
      </c>
      <c r="H318" s="48" t="n">
        <f aca="false">$C$299*Assumptions!$F$20*H306*H317</f>
        <v>65.336769846955</v>
      </c>
      <c r="I318" s="48" t="n">
        <f aca="false">$C$299*Assumptions!$F$20*I306*I317</f>
        <v>90.4834496601158</v>
      </c>
      <c r="J318" s="48" t="n">
        <f aca="false">$C$299*Assumptions!$F$20*J306*J317</f>
        <v>86.8808139597728</v>
      </c>
      <c r="K318" s="48" t="n">
        <f aca="false">$C$299*Assumptions!$F$20*K306*K317</f>
        <v>83.421618679066</v>
      </c>
      <c r="L318" s="48" t="n">
        <f aca="false">$C$299*Assumptions!$F$20*L306*L317</f>
        <v>80.1001526787918</v>
      </c>
      <c r="M318" s="48" t="n">
        <f aca="false">$C$299*Assumptions!$F$20*M306*M317</f>
        <v>76.9109322110984</v>
      </c>
      <c r="N318" s="48" t="n">
        <f aca="false">$C$299*Assumptions!$F$20*N306*N317</f>
        <v>73.8486918658069</v>
      </c>
      <c r="P318" s="49" t="n">
        <f aca="false">SUM(C318:F318)</f>
        <v>89.9141384304636</v>
      </c>
      <c r="Q318" s="49" t="n">
        <f aca="false">SUM(G318:J318)</f>
        <v>280.650055307285</v>
      </c>
      <c r="R318" s="49" t="n">
        <f aca="false">SUM(K318:N318)</f>
        <v>314.281395434763</v>
      </c>
      <c r="S318" s="50" t="n">
        <f aca="false">SUM(P318:R318)</f>
        <v>684.845589172512</v>
      </c>
    </row>
    <row r="319" customFormat="false" ht="15" hidden="false" customHeight="false" outlineLevel="0" collapsed="false">
      <c r="A319" s="4" t="s">
        <v>492</v>
      </c>
      <c r="B319" s="36" t="s">
        <v>321</v>
      </c>
      <c r="C319" s="48" t="n">
        <f aca="false">Assumptions!$D$111</f>
        <v>0</v>
      </c>
      <c r="D319" s="48" t="n">
        <f aca="false">Assumptions!$E$111</f>
        <v>0</v>
      </c>
      <c r="E319" s="48" t="n">
        <f aca="false">Assumptions!$F$111</f>
        <v>0</v>
      </c>
      <c r="F319" s="48" t="n">
        <f aca="false">Assumptions!$G$111</f>
        <v>0</v>
      </c>
      <c r="G319" s="48" t="n">
        <f aca="false">Assumptions!$H$111</f>
        <v>0</v>
      </c>
      <c r="H319" s="48" t="n">
        <f aca="false">Assumptions!$I$111</f>
        <v>0</v>
      </c>
      <c r="I319" s="48" t="n">
        <f aca="false">Assumptions!$J$111</f>
        <v>0</v>
      </c>
      <c r="J319" s="48" t="n">
        <f aca="false">Assumptions!$K$111</f>
        <v>0</v>
      </c>
      <c r="K319" s="48" t="n">
        <f aca="false">Assumptions!$L$111</f>
        <v>0</v>
      </c>
      <c r="L319" s="48" t="n">
        <f aca="false">Assumptions!$M$111</f>
        <v>0</v>
      </c>
      <c r="M319" s="48" t="n">
        <f aca="false">Assumptions!$N$111</f>
        <v>0</v>
      </c>
      <c r="N319" s="48" t="n">
        <f aca="false">Assumptions!$O$111</f>
        <v>0</v>
      </c>
      <c r="P319" s="49" t="n">
        <f aca="false">F319</f>
        <v>0</v>
      </c>
      <c r="Q319" s="49" t="n">
        <f aca="false">J319</f>
        <v>0</v>
      </c>
      <c r="R319" s="49" t="n">
        <f aca="false">N319</f>
        <v>0</v>
      </c>
      <c r="S319" s="50" t="n">
        <f aca="false">R319</f>
        <v>0</v>
      </c>
    </row>
    <row r="320" customFormat="false" ht="15" hidden="false" customHeight="false" outlineLevel="0" collapsed="false">
      <c r="A320" s="4" t="s">
        <v>493</v>
      </c>
      <c r="B320" s="36" t="s">
        <v>321</v>
      </c>
      <c r="C320" s="48" t="n">
        <f aca="false">0</f>
        <v>0</v>
      </c>
      <c r="D320" s="48" t="n">
        <f aca="false">0.5*C319</f>
        <v>0</v>
      </c>
      <c r="E320" s="48" t="n">
        <f aca="false">C319+0.5*(D319-C319)</f>
        <v>0</v>
      </c>
      <c r="F320" s="48" t="n">
        <f aca="false">D319+0.5*(E319-D319)</f>
        <v>0</v>
      </c>
      <c r="G320" s="48" t="n">
        <f aca="false">E319+0.5*(F319-E319)</f>
        <v>0</v>
      </c>
      <c r="H320" s="48" t="n">
        <f aca="false">F319+0.5*(G319-F319)</f>
        <v>0</v>
      </c>
      <c r="I320" s="48" t="n">
        <f aca="false">G319+0.5*(H319-G319)</f>
        <v>0</v>
      </c>
      <c r="J320" s="48" t="n">
        <f aca="false">H319+0.5*(I319-H319)</f>
        <v>0</v>
      </c>
      <c r="K320" s="48" t="n">
        <f aca="false">I319+0.5*(J319-I319)</f>
        <v>0</v>
      </c>
      <c r="L320" s="48" t="n">
        <f aca="false">J319+0.5*(K319-J319)</f>
        <v>0</v>
      </c>
      <c r="M320" s="48" t="n">
        <f aca="false">K319+0.5*(L319-K319)</f>
        <v>0</v>
      </c>
      <c r="N320" s="48" t="n">
        <f aca="false">L319+0.5*(M319-L319)</f>
        <v>0</v>
      </c>
      <c r="P320" s="49" t="n">
        <f aca="false">F320</f>
        <v>0</v>
      </c>
      <c r="Q320" s="49" t="n">
        <f aca="false">J320</f>
        <v>0</v>
      </c>
      <c r="R320" s="49" t="n">
        <f aca="false">N320</f>
        <v>0</v>
      </c>
      <c r="S320" s="50" t="n">
        <f aca="false">R320</f>
        <v>0</v>
      </c>
    </row>
    <row r="321" customFormat="false" ht="15" hidden="false" customHeight="false" outlineLevel="0" collapsed="false">
      <c r="A321" s="4" t="s">
        <v>494</v>
      </c>
      <c r="B321" s="36" t="s">
        <v>485</v>
      </c>
      <c r="C321" s="39" t="n">
        <f aca="false">MIN(C320*Assumptions!$F$38,C316*(1-$C$299))</f>
        <v>0</v>
      </c>
      <c r="D321" s="39" t="n">
        <f aca="false">MIN(D320*Assumptions!$F$38,D316*(1-$C$299))</f>
        <v>0</v>
      </c>
      <c r="E321" s="39" t="n">
        <f aca="false">MIN(E320*Assumptions!$F$38,E316*(1-$C$299))</f>
        <v>0</v>
      </c>
      <c r="F321" s="39" t="n">
        <f aca="false">MIN(F320*Assumptions!$F$38,F316*(1-$C$299))</f>
        <v>0</v>
      </c>
      <c r="G321" s="39" t="n">
        <f aca="false">MIN(G320*Assumptions!$F$38,G316*(1-$C$299))</f>
        <v>0</v>
      </c>
      <c r="H321" s="39" t="n">
        <f aca="false">MIN(H320*Assumptions!$F$38,H316*(1-$C$299))</f>
        <v>0</v>
      </c>
      <c r="I321" s="39" t="n">
        <f aca="false">MIN(I320*Assumptions!$F$38,I316*(1-$C$299))</f>
        <v>0</v>
      </c>
      <c r="J321" s="39" t="n">
        <f aca="false">MIN(J320*Assumptions!$F$38,J316*(1-$C$299))</f>
        <v>0</v>
      </c>
      <c r="K321" s="39" t="n">
        <f aca="false">MIN(K320*Assumptions!$F$38,K316*(1-$C$299))</f>
        <v>0</v>
      </c>
      <c r="L321" s="39" t="n">
        <f aca="false">MIN(L320*Assumptions!$F$38,L316*(1-$C$299))</f>
        <v>0</v>
      </c>
      <c r="M321" s="39" t="n">
        <f aca="false">MIN(M320*Assumptions!$F$38,M316*(1-$C$299))</f>
        <v>0</v>
      </c>
      <c r="N321" s="39" t="n">
        <f aca="false">MIN(N320*Assumptions!$F$38,N316*(1-$C$299))</f>
        <v>0</v>
      </c>
      <c r="P321" s="40" t="n">
        <f aca="false">SUM(C321:F321)</f>
        <v>0</v>
      </c>
      <c r="Q321" s="40" t="n">
        <f aca="false">SUM(G321:J321)</f>
        <v>0</v>
      </c>
      <c r="R321" s="40" t="n">
        <f aca="false">SUM(K321:N321)</f>
        <v>0</v>
      </c>
      <c r="S321" s="41" t="n">
        <f aca="false">SUM(P321:R321)</f>
        <v>0</v>
      </c>
    </row>
    <row r="322" customFormat="false" ht="15" hidden="false" customHeight="false" outlineLevel="0" collapsed="false">
      <c r="A322" s="4" t="s">
        <v>495</v>
      </c>
      <c r="B322" s="36" t="s">
        <v>491</v>
      </c>
      <c r="C322" s="48" t="n">
        <f aca="false">C321*Assumptions!$F$20*Assumptions!$F$39*IF(C316&gt;0,C317/C316,0)*C306</f>
        <v>0</v>
      </c>
      <c r="D322" s="48" t="n">
        <f aca="false">D321*Assumptions!$F$20*Assumptions!$F$39*IF(D316&gt;0,D317/D316,0)*D306</f>
        <v>0</v>
      </c>
      <c r="E322" s="48" t="n">
        <f aca="false">E321*Assumptions!$F$20*Assumptions!$F$39*IF(E316&gt;0,E317/E316,0)*E306</f>
        <v>0</v>
      </c>
      <c r="F322" s="48" t="n">
        <f aca="false">F321*Assumptions!$F$20*Assumptions!$F$39*IF(F316&gt;0,F317/F316,0)*F306</f>
        <v>0</v>
      </c>
      <c r="G322" s="48" t="n">
        <f aca="false">G321*Assumptions!$F$20*Assumptions!$F$39*IF(G316&gt;0,G317/G316,0)*G306</f>
        <v>0</v>
      </c>
      <c r="H322" s="48" t="n">
        <f aca="false">H321*Assumptions!$F$20*Assumptions!$F$39*IF(H316&gt;0,H317/H316,0)*H306</f>
        <v>0</v>
      </c>
      <c r="I322" s="48" t="n">
        <f aca="false">I321*Assumptions!$F$20*Assumptions!$F$39*IF(I316&gt;0,I317/I316,0)*I306</f>
        <v>0</v>
      </c>
      <c r="J322" s="48" t="n">
        <f aca="false">J321*Assumptions!$F$20*Assumptions!$F$39*IF(J316&gt;0,J317/J316,0)*J306</f>
        <v>0</v>
      </c>
      <c r="K322" s="48" t="n">
        <f aca="false">K321*Assumptions!$F$20*Assumptions!$F$39*IF(K316&gt;0,K317/K316,0)*K306</f>
        <v>0</v>
      </c>
      <c r="L322" s="48" t="n">
        <f aca="false">L321*Assumptions!$F$20*Assumptions!$F$39*IF(L316&gt;0,L317/L316,0)*L306</f>
        <v>0</v>
      </c>
      <c r="M322" s="48" t="n">
        <f aca="false">M321*Assumptions!$F$20*Assumptions!$F$39*IF(M316&gt;0,M317/M316,0)*M306</f>
        <v>0</v>
      </c>
      <c r="N322" s="48" t="n">
        <f aca="false">N321*Assumptions!$F$20*Assumptions!$F$39*IF(N316&gt;0,N317/N316,0)*N306</f>
        <v>0</v>
      </c>
      <c r="P322" s="49" t="n">
        <f aca="false">SUM(C322:F322)</f>
        <v>0</v>
      </c>
      <c r="Q322" s="49" t="n">
        <f aca="false">SUM(G322:J322)</f>
        <v>0</v>
      </c>
      <c r="R322" s="49" t="n">
        <f aca="false">SUM(K322:N322)</f>
        <v>0</v>
      </c>
      <c r="S322" s="50" t="n">
        <f aca="false">SUM(P322:R322)</f>
        <v>0</v>
      </c>
    </row>
    <row r="323" customFormat="false" ht="15" hidden="false" customHeight="false" outlineLevel="0" collapsed="false">
      <c r="A323" s="4" t="s">
        <v>496</v>
      </c>
      <c r="B323" s="36" t="s">
        <v>497</v>
      </c>
      <c r="C323" s="48" t="n">
        <f aca="false">IF(AND(C316&gt;0,$C$303&gt;0),C316*Assumptions!$F$24*(1-EXP(-$C$303/(Assumptions!$F$23*C316*Assumptions!$F$24))),0)</f>
        <v>0</v>
      </c>
      <c r="D323" s="48" t="n">
        <f aca="false">IF(AND(D316&gt;0,$C$303&gt;0),D316*Assumptions!$F$24*(1-EXP(-$C$303/(Assumptions!$F$23*D316*Assumptions!$F$24))),0)</f>
        <v>0</v>
      </c>
      <c r="E323" s="48" t="n">
        <f aca="false">IF(AND(E316&gt;0,$C$303&gt;0),E316*Assumptions!$F$24*(1-EXP(-$C$303/(Assumptions!$F$23*E316*Assumptions!$F$24))),0)</f>
        <v>0</v>
      </c>
      <c r="F323" s="48" t="n">
        <f aca="false">IF(AND(F316&gt;0,$C$303&gt;0),F316*Assumptions!$F$24*(1-EXP(-$C$303/(Assumptions!$F$23*F316*Assumptions!$F$24))),0)</f>
        <v>0</v>
      </c>
      <c r="G323" s="48" t="n">
        <f aca="false">IF(AND(G316&gt;0,$C$303&gt;0),G316*Assumptions!$F$24*(1-EXP(-$C$303/(Assumptions!$F$23*G316*Assumptions!$F$24))),0)</f>
        <v>0</v>
      </c>
      <c r="H323" s="48" t="n">
        <f aca="false">IF(AND(H316&gt;0,$C$303&gt;0),H316*Assumptions!$F$24*(1-EXP(-$C$303/(Assumptions!$F$23*H316*Assumptions!$F$24))),0)</f>
        <v>0</v>
      </c>
      <c r="I323" s="48" t="n">
        <f aca="false">IF(AND(I316&gt;0,$C$303&gt;0),I316*Assumptions!$F$24*(1-EXP(-$C$303/(Assumptions!$F$23*I316*Assumptions!$F$24))),0)</f>
        <v>0</v>
      </c>
      <c r="J323" s="48" t="n">
        <f aca="false">IF(AND(J316&gt;0,$C$303&gt;0),J316*Assumptions!$F$24*(1-EXP(-$C$303/(Assumptions!$F$23*J316*Assumptions!$F$24))),0)</f>
        <v>0</v>
      </c>
      <c r="K323" s="48" t="n">
        <f aca="false">IF(AND(K316&gt;0,$C$303&gt;0),K316*Assumptions!$F$24*(1-EXP(-$C$303/(Assumptions!$F$23*K316*Assumptions!$F$24))),0)</f>
        <v>0</v>
      </c>
      <c r="L323" s="48" t="n">
        <f aca="false">IF(AND(L316&gt;0,$C$303&gt;0),L316*Assumptions!$F$24*(1-EXP(-$C$303/(Assumptions!$F$23*L316*Assumptions!$F$24))),0)</f>
        <v>0</v>
      </c>
      <c r="M323" s="48" t="n">
        <f aca="false">IF(AND(M316&gt;0,$C$303&gt;0),M316*Assumptions!$F$24*(1-EXP(-$C$303/(Assumptions!$F$23*M316*Assumptions!$F$24))),0)</f>
        <v>0</v>
      </c>
      <c r="N323" s="48" t="n">
        <f aca="false">IF(AND(N316&gt;0,$C$303&gt;0),N316*Assumptions!$F$24*(1-EXP(-$C$303/(Assumptions!$F$23*N316*Assumptions!$F$24))),0)</f>
        <v>0</v>
      </c>
      <c r="P323" s="49" t="n">
        <f aca="false">SUM(C323:F323)</f>
        <v>0</v>
      </c>
      <c r="Q323" s="49" t="n">
        <f aca="false">SUM(G323:J323)</f>
        <v>0</v>
      </c>
      <c r="R323" s="49" t="n">
        <f aca="false">SUM(K323:N323)</f>
        <v>0</v>
      </c>
      <c r="S323" s="50" t="n">
        <f aca="false">SUM(P323:R323)</f>
        <v>0</v>
      </c>
    </row>
    <row r="324" customFormat="false" ht="15" hidden="false" customHeight="false" outlineLevel="0" collapsed="false">
      <c r="A324" s="4" t="s">
        <v>498</v>
      </c>
      <c r="B324" s="36" t="s">
        <v>497</v>
      </c>
      <c r="C324" s="48" t="n">
        <f aca="false">(C316*Assumptions!$F$22*MIN(1,Assumptions!$D$103/Assumptions!$F$78)+C323)*C306</f>
        <v>8.2783158528</v>
      </c>
      <c r="D324" s="48" t="n">
        <f aca="false">(D316*Assumptions!$F$22*MIN(1,Assumptions!$D$103/Assumptions!$F$78)+D323)*D306</f>
        <v>16.5566317056</v>
      </c>
      <c r="E324" s="48" t="n">
        <f aca="false">(E316*Assumptions!$F$22*MIN(1,Assumptions!$D$103/Assumptions!$F$78)+E323)*E306</f>
        <v>16.5566317056</v>
      </c>
      <c r="F324" s="48" t="n">
        <f aca="false">(F316*Assumptions!$F$22*MIN(1,Assumptions!$D$103/Assumptions!$F$78)+F323)*F306</f>
        <v>22.4024925264</v>
      </c>
      <c r="G324" s="48" t="n">
        <f aca="false">(G316*Assumptions!$F$22*MIN(1,Assumptions!$D$103/Assumptions!$F$78)+G323)*G306</f>
        <v>28.2483533472</v>
      </c>
      <c r="H324" s="48" t="n">
        <f aca="false">(H316*Assumptions!$F$22*MIN(1,Assumptions!$D$103/Assumptions!$F$78)+H323)*H306</f>
        <v>47.5141559424</v>
      </c>
      <c r="I324" s="48" t="n">
        <f aca="false">(I316*Assumptions!$F$22*MIN(1,Assumptions!$D$103/Assumptions!$F$78)+I323)*I306</f>
        <v>66.7799585376</v>
      </c>
      <c r="J324" s="48" t="n">
        <f aca="false">(J316*Assumptions!$F$22*MIN(1,Assumptions!$D$103/Assumptions!$F$78)+J323)*J306</f>
        <v>66.7799585376</v>
      </c>
      <c r="K324" s="48" t="n">
        <f aca="false">(K316*Assumptions!$F$22*MIN(1,Assumptions!$D$103/Assumptions!$F$78)+K323)*K306</f>
        <v>66.7799585376</v>
      </c>
      <c r="L324" s="48" t="n">
        <f aca="false">(L316*Assumptions!$F$22*MIN(1,Assumptions!$D$103/Assumptions!$F$78)+L323)*L306</f>
        <v>66.7799585376</v>
      </c>
      <c r="M324" s="48" t="n">
        <f aca="false">(M316*Assumptions!$F$22*MIN(1,Assumptions!$D$103/Assumptions!$F$78)+M323)*M306</f>
        <v>66.7799585376</v>
      </c>
      <c r="N324" s="48" t="n">
        <f aca="false">(N316*Assumptions!$F$22*MIN(1,Assumptions!$D$103/Assumptions!$F$78)+N323)*N306</f>
        <v>66.7799585376</v>
      </c>
      <c r="P324" s="49" t="n">
        <f aca="false">SUM(C324:F324)</f>
        <v>63.7940717904</v>
      </c>
      <c r="Q324" s="49" t="n">
        <f aca="false">SUM(G324:J324)</f>
        <v>209.3224263648</v>
      </c>
      <c r="R324" s="49" t="n">
        <f aca="false">SUM(K324:N324)</f>
        <v>267.1198341504</v>
      </c>
      <c r="S324" s="50" t="n">
        <f aca="false">SUM(P324:R324)</f>
        <v>540.2363323056</v>
      </c>
    </row>
    <row r="325" customFormat="false" ht="15" hidden="false" customHeight="false" outlineLevel="0" collapsed="false">
      <c r="A325" s="4" t="s">
        <v>499</v>
      </c>
      <c r="B325" s="36" t="s">
        <v>500</v>
      </c>
      <c r="C325" s="48" t="n">
        <f aca="false">C306*MIN(Assumptions!$F$27,Assumptions!$F$25+Assumptions!$F$26*(C305-1))*Assumptions!$D$107</f>
        <v>3</v>
      </c>
      <c r="D325" s="48" t="n">
        <f aca="false">D306*MIN(Assumptions!$F$27,Assumptions!$F$25+Assumptions!$F$26*(D305-1))*Assumptions!$D$107</f>
        <v>5</v>
      </c>
      <c r="E325" s="48" t="n">
        <f aca="false">E306*MIN(Assumptions!$F$27,Assumptions!$F$25+Assumptions!$F$26*(E305-1))*Assumptions!$D$107</f>
        <v>7</v>
      </c>
      <c r="F325" s="48" t="n">
        <f aca="false">F306*MIN(Assumptions!$F$27,Assumptions!$F$25+Assumptions!$F$26*(F305-1))*Assumptions!$D$107</f>
        <v>9</v>
      </c>
      <c r="G325" s="48" t="n">
        <f aca="false">G306*MIN(Assumptions!$F$27,Assumptions!$F$25+Assumptions!$F$26*(G305-1))*Assumptions!$D$107</f>
        <v>11</v>
      </c>
      <c r="H325" s="48" t="n">
        <f aca="false">H306*MIN(Assumptions!$F$27,Assumptions!$F$25+Assumptions!$F$26*(H305-1))*Assumptions!$D$107</f>
        <v>13</v>
      </c>
      <c r="I325" s="48" t="n">
        <f aca="false">I306*MIN(Assumptions!$F$27,Assumptions!$F$25+Assumptions!$F$26*(I305-1))*Assumptions!$D$107</f>
        <v>15</v>
      </c>
      <c r="J325" s="48" t="n">
        <f aca="false">J306*MIN(Assumptions!$F$27,Assumptions!$F$25+Assumptions!$F$26*(J305-1))*Assumptions!$D$107</f>
        <v>15</v>
      </c>
      <c r="K325" s="48" t="n">
        <f aca="false">K306*MIN(Assumptions!$F$27,Assumptions!$F$25+Assumptions!$F$26*(K305-1))*Assumptions!$D$107</f>
        <v>15</v>
      </c>
      <c r="L325" s="48" t="n">
        <f aca="false">L306*MIN(Assumptions!$F$27,Assumptions!$F$25+Assumptions!$F$26*(L305-1))*Assumptions!$D$107</f>
        <v>15</v>
      </c>
      <c r="M325" s="48" t="n">
        <f aca="false">M306*MIN(Assumptions!$F$27,Assumptions!$F$25+Assumptions!$F$26*(M305-1))*Assumptions!$D$107</f>
        <v>15</v>
      </c>
      <c r="N325" s="48" t="n">
        <f aca="false">N306*MIN(Assumptions!$F$27,Assumptions!$F$25+Assumptions!$F$26*(N305-1))*Assumptions!$D$107</f>
        <v>15</v>
      </c>
      <c r="P325" s="49" t="n">
        <f aca="false">F325</f>
        <v>9</v>
      </c>
      <c r="Q325" s="49" t="n">
        <f aca="false">J325</f>
        <v>15</v>
      </c>
      <c r="R325" s="49" t="n">
        <f aca="false">N325</f>
        <v>15</v>
      </c>
      <c r="S325" s="50" t="n">
        <f aca="false">R325</f>
        <v>15</v>
      </c>
    </row>
    <row r="326" customFormat="false" ht="15" hidden="false" customHeight="false" outlineLevel="0" collapsed="false">
      <c r="A326" s="4" t="s">
        <v>501</v>
      </c>
      <c r="B326" s="36" t="s">
        <v>502</v>
      </c>
      <c r="C326" s="48" t="n">
        <f aca="false">C325*Assumptions!$F$28</f>
        <v>12</v>
      </c>
      <c r="D326" s="48" t="n">
        <f aca="false">D325*Assumptions!$F$28</f>
        <v>20</v>
      </c>
      <c r="E326" s="48" t="n">
        <f aca="false">E325*Assumptions!$F$28</f>
        <v>28</v>
      </c>
      <c r="F326" s="48" t="n">
        <f aca="false">F325*Assumptions!$F$28</f>
        <v>36</v>
      </c>
      <c r="G326" s="48" t="n">
        <f aca="false">G325*Assumptions!$F$28</f>
        <v>44</v>
      </c>
      <c r="H326" s="48" t="n">
        <f aca="false">H325*Assumptions!$F$28</f>
        <v>52</v>
      </c>
      <c r="I326" s="48" t="n">
        <f aca="false">I325*Assumptions!$F$28</f>
        <v>60</v>
      </c>
      <c r="J326" s="48" t="n">
        <f aca="false">J325*Assumptions!$F$28</f>
        <v>60</v>
      </c>
      <c r="K326" s="48" t="n">
        <f aca="false">K325*Assumptions!$F$28</f>
        <v>60</v>
      </c>
      <c r="L326" s="48" t="n">
        <f aca="false">L325*Assumptions!$F$28</f>
        <v>60</v>
      </c>
      <c r="M326" s="48" t="n">
        <f aca="false">M325*Assumptions!$F$28</f>
        <v>60</v>
      </c>
      <c r="N326" s="48" t="n">
        <f aca="false">N325*Assumptions!$F$28</f>
        <v>60</v>
      </c>
      <c r="P326" s="49" t="n">
        <f aca="false">SUM(C326:F326)</f>
        <v>96</v>
      </c>
      <c r="Q326" s="49" t="n">
        <f aca="false">SUM(G326:J326)</f>
        <v>216</v>
      </c>
      <c r="R326" s="49" t="n">
        <f aca="false">SUM(K326:N326)</f>
        <v>240</v>
      </c>
      <c r="S326" s="50" t="n">
        <f aca="false">SUM(P326:R326)</f>
        <v>552</v>
      </c>
    </row>
    <row r="327" customFormat="false" ht="15" hidden="false" customHeight="false" outlineLevel="0" collapsed="false">
      <c r="A327" s="4" t="s">
        <v>503</v>
      </c>
      <c r="B327" s="36" t="s">
        <v>504</v>
      </c>
      <c r="C327" s="48" t="n">
        <f aca="false">(C318+C322)*Assumptions!$F$29</f>
        <v>6.2087368896</v>
      </c>
      <c r="D327" s="48" t="n">
        <f aca="false">(D318+D322)*Assumptions!$F$29</f>
        <v>11.9230669621184</v>
      </c>
      <c r="E327" s="48" t="n">
        <f aca="false">(E318+E322)*Assumptions!$F$29</f>
        <v>11.4483451554603</v>
      </c>
      <c r="F327" s="48" t="n">
        <f aca="false">(F318+F322)*Assumptions!$F$29</f>
        <v>15.3769202080531</v>
      </c>
      <c r="G327" s="48" t="n">
        <f aca="false">(G318+G322)*Assumptions!$F$29</f>
        <v>18.9745109202208</v>
      </c>
      <c r="H327" s="48" t="n">
        <f aca="false">(H318+H322)*Assumptions!$F$29</f>
        <v>32.6683849234775</v>
      </c>
      <c r="I327" s="48" t="n">
        <f aca="false">(I318+I322)*Assumptions!$F$29</f>
        <v>45.2417248300579</v>
      </c>
      <c r="J327" s="48" t="n">
        <f aca="false">(J318+J322)*Assumptions!$F$29</f>
        <v>43.4404069798864</v>
      </c>
      <c r="K327" s="48" t="n">
        <f aca="false">(K318+K322)*Assumptions!$F$29</f>
        <v>41.710809339533</v>
      </c>
      <c r="L327" s="48" t="n">
        <f aca="false">(L318+L322)*Assumptions!$F$29</f>
        <v>40.0500763393959</v>
      </c>
      <c r="M327" s="48" t="n">
        <f aca="false">(M318+M322)*Assumptions!$F$29</f>
        <v>38.4554661055492</v>
      </c>
      <c r="N327" s="48" t="n">
        <f aca="false">(N318+N322)*Assumptions!$F$29</f>
        <v>36.9243459329034</v>
      </c>
      <c r="P327" s="49" t="n">
        <f aca="false">SUM(C327:F327)</f>
        <v>44.9570692152318</v>
      </c>
      <c r="Q327" s="49" t="n">
        <f aca="false">SUM(G327:J327)</f>
        <v>140.325027653643</v>
      </c>
      <c r="R327" s="49" t="n">
        <f aca="false">SUM(K327:N327)</f>
        <v>157.140697717382</v>
      </c>
      <c r="S327" s="50" t="n">
        <f aca="false">SUM(P327:R327)</f>
        <v>342.422794586256</v>
      </c>
    </row>
    <row r="328" customFormat="false" ht="15" hidden="false" customHeight="false" outlineLevel="0" collapsed="false">
      <c r="A328" s="4" t="s">
        <v>505</v>
      </c>
      <c r="B328" s="36" t="s">
        <v>504</v>
      </c>
      <c r="C328" s="48" t="n">
        <f aca="false">C324*Assumptions!$F$31</f>
        <v>1.821229487616</v>
      </c>
      <c r="D328" s="48" t="n">
        <f aca="false">D324*Assumptions!$F$31</f>
        <v>3.642458975232</v>
      </c>
      <c r="E328" s="48" t="n">
        <f aca="false">E324*Assumptions!$F$31</f>
        <v>3.642458975232</v>
      </c>
      <c r="F328" s="48" t="n">
        <f aca="false">F324*Assumptions!$F$31</f>
        <v>4.928548355808</v>
      </c>
      <c r="G328" s="48" t="n">
        <f aca="false">G324*Assumptions!$F$31</f>
        <v>6.214637736384</v>
      </c>
      <c r="H328" s="48" t="n">
        <f aca="false">H324*Assumptions!$F$31</f>
        <v>10.453114307328</v>
      </c>
      <c r="I328" s="48" t="n">
        <f aca="false">I324*Assumptions!$F$31</f>
        <v>14.691590878272</v>
      </c>
      <c r="J328" s="48" t="n">
        <f aca="false">J324*Assumptions!$F$31</f>
        <v>14.691590878272</v>
      </c>
      <c r="K328" s="48" t="n">
        <f aca="false">K324*Assumptions!$F$31</f>
        <v>14.691590878272</v>
      </c>
      <c r="L328" s="48" t="n">
        <f aca="false">L324*Assumptions!$F$31</f>
        <v>14.691590878272</v>
      </c>
      <c r="M328" s="48" t="n">
        <f aca="false">M324*Assumptions!$F$31</f>
        <v>14.691590878272</v>
      </c>
      <c r="N328" s="48" t="n">
        <f aca="false">N324*Assumptions!$F$31</f>
        <v>14.691590878272</v>
      </c>
      <c r="P328" s="49" t="n">
        <f aca="false">SUM(C328:F328)</f>
        <v>14.034695793888</v>
      </c>
      <c r="Q328" s="49" t="n">
        <f aca="false">SUM(G328:J328)</f>
        <v>46.050933800256</v>
      </c>
      <c r="R328" s="49" t="n">
        <f aca="false">SUM(K328:N328)</f>
        <v>58.766363513088</v>
      </c>
      <c r="S328" s="50" t="n">
        <f aca="false">SUM(P328:R328)</f>
        <v>118.851993107232</v>
      </c>
    </row>
    <row r="329" customFormat="false" ht="15" hidden="false" customHeight="false" outlineLevel="0" collapsed="false">
      <c r="A329" s="4" t="s">
        <v>506</v>
      </c>
      <c r="B329" s="36" t="s">
        <v>504</v>
      </c>
      <c r="C329" s="48" t="n">
        <f aca="false">C326*Assumptions!$F$30</f>
        <v>7.2</v>
      </c>
      <c r="D329" s="48" t="n">
        <f aca="false">D326*Assumptions!$F$30</f>
        <v>12</v>
      </c>
      <c r="E329" s="48" t="n">
        <f aca="false">E326*Assumptions!$F$30</f>
        <v>16.8</v>
      </c>
      <c r="F329" s="48" t="n">
        <f aca="false">F326*Assumptions!$F$30</f>
        <v>21.6</v>
      </c>
      <c r="G329" s="48" t="n">
        <f aca="false">G326*Assumptions!$F$30</f>
        <v>26.4</v>
      </c>
      <c r="H329" s="48" t="n">
        <f aca="false">H326*Assumptions!$F$30</f>
        <v>31.2</v>
      </c>
      <c r="I329" s="48" t="n">
        <f aca="false">I326*Assumptions!$F$30</f>
        <v>36</v>
      </c>
      <c r="J329" s="48" t="n">
        <f aca="false">J326*Assumptions!$F$30</f>
        <v>36</v>
      </c>
      <c r="K329" s="48" t="n">
        <f aca="false">K326*Assumptions!$F$30</f>
        <v>36</v>
      </c>
      <c r="L329" s="48" t="n">
        <f aca="false">L326*Assumptions!$F$30</f>
        <v>36</v>
      </c>
      <c r="M329" s="48" t="n">
        <f aca="false">M326*Assumptions!$F$30</f>
        <v>36</v>
      </c>
      <c r="N329" s="48" t="n">
        <f aca="false">N326*Assumptions!$F$30</f>
        <v>36</v>
      </c>
      <c r="P329" s="49" t="n">
        <f aca="false">SUM(C329:F329)</f>
        <v>57.6</v>
      </c>
      <c r="Q329" s="49" t="n">
        <f aca="false">SUM(G329:J329)</f>
        <v>129.6</v>
      </c>
      <c r="R329" s="49" t="n">
        <f aca="false">SUM(K329:N329)</f>
        <v>144</v>
      </c>
      <c r="S329" s="50" t="n">
        <f aca="false">SUM(P329:R329)</f>
        <v>331.2</v>
      </c>
    </row>
    <row r="330" customFormat="false" ht="15" hidden="false" customHeight="false" outlineLevel="0" collapsed="false">
      <c r="A330" s="9" t="s">
        <v>507</v>
      </c>
      <c r="B330" s="36" t="s">
        <v>504</v>
      </c>
      <c r="C330" s="49" t="n">
        <f aca="false">C327+C328+C329</f>
        <v>15.229966377216</v>
      </c>
      <c r="D330" s="49" t="n">
        <f aca="false">D327+D328+D329</f>
        <v>27.5655259373504</v>
      </c>
      <c r="E330" s="49" t="n">
        <f aca="false">E327+E328+E329</f>
        <v>31.8908041306923</v>
      </c>
      <c r="F330" s="49" t="n">
        <f aca="false">F327+F328+F329</f>
        <v>41.9054685638611</v>
      </c>
      <c r="G330" s="49" t="n">
        <f aca="false">G327+G328+G329</f>
        <v>51.5891486566048</v>
      </c>
      <c r="H330" s="49" t="n">
        <f aca="false">H327+H328+H329</f>
        <v>74.3214992308055</v>
      </c>
      <c r="I330" s="49" t="n">
        <f aca="false">I327+I328+I329</f>
        <v>95.9333157083299</v>
      </c>
      <c r="J330" s="49" t="n">
        <f aca="false">J327+J328+J329</f>
        <v>94.1319978581584</v>
      </c>
      <c r="K330" s="49" t="n">
        <f aca="false">K327+K328+K329</f>
        <v>92.402400217805</v>
      </c>
      <c r="L330" s="49" t="n">
        <f aca="false">L327+L328+L329</f>
        <v>90.7416672176679</v>
      </c>
      <c r="M330" s="49" t="n">
        <f aca="false">M327+M328+M329</f>
        <v>89.1470569838212</v>
      </c>
      <c r="N330" s="49" t="n">
        <f aca="false">N327+N328+N329</f>
        <v>87.6159368111754</v>
      </c>
      <c r="P330" s="49" t="n">
        <f aca="false">SUM(C330:F330)</f>
        <v>116.59176500912</v>
      </c>
      <c r="Q330" s="49" t="n">
        <f aca="false">SUM(G330:J330)</f>
        <v>315.975961453899</v>
      </c>
      <c r="R330" s="49" t="n">
        <f aca="false">SUM(K330:N330)</f>
        <v>359.90706123047</v>
      </c>
      <c r="S330" s="50" t="n">
        <f aca="false">SUM(P330:R330)</f>
        <v>792.474787693488</v>
      </c>
    </row>
    <row r="331" customFormat="false" ht="15" hidden="false" customHeight="false" outlineLevel="0" collapsed="false">
      <c r="A331" s="4" t="s">
        <v>508</v>
      </c>
      <c r="B331" s="36" t="s">
        <v>509</v>
      </c>
      <c r="C331" s="48" t="n">
        <f aca="false">C313</f>
        <v>421.51972352</v>
      </c>
      <c r="D331" s="48" t="n">
        <f aca="false">D313</f>
        <v>843.03944704</v>
      </c>
      <c r="E331" s="48" t="n">
        <f aca="false">E313</f>
        <v>843.03944704</v>
      </c>
      <c r="F331" s="48" t="n">
        <f aca="false">F313</f>
        <v>1149.32798176</v>
      </c>
      <c r="G331" s="48" t="n">
        <f aca="false">G313</f>
        <v>1455.61651648</v>
      </c>
      <c r="H331" s="48" t="n">
        <f aca="false">H313</f>
        <v>2486.00303616</v>
      </c>
      <c r="I331" s="48" t="n">
        <f aca="false">I313</f>
        <v>3516.38955584</v>
      </c>
      <c r="J331" s="48" t="n">
        <f aca="false">J313</f>
        <v>3516.38955584</v>
      </c>
      <c r="K331" s="48" t="n">
        <f aca="false">K313</f>
        <v>3516.38955584</v>
      </c>
      <c r="L331" s="48" t="n">
        <f aca="false">L313</f>
        <v>3516.38955584</v>
      </c>
      <c r="M331" s="48" t="n">
        <f aca="false">M313</f>
        <v>3516.38955584</v>
      </c>
      <c r="N331" s="48" t="n">
        <f aca="false">N313</f>
        <v>3516.38955584</v>
      </c>
      <c r="P331" s="49"/>
      <c r="Q331" s="49"/>
      <c r="R331" s="49"/>
      <c r="S331" s="50"/>
    </row>
    <row r="332" customFormat="false" ht="15" hidden="false" customHeight="false" outlineLevel="0" collapsed="false">
      <c r="A332" s="4" t="s">
        <v>510</v>
      </c>
      <c r="B332" s="36" t="s">
        <v>509</v>
      </c>
      <c r="C332" s="48" t="n">
        <f aca="false">C314*Assumptions!$F$18*Assumptions!$F$33</f>
        <v>211.19616</v>
      </c>
      <c r="D332" s="48" t="n">
        <f aca="false">D314*Assumptions!$F$18*Assumptions!$F$33</f>
        <v>422.39232</v>
      </c>
      <c r="E332" s="48" t="n">
        <f aca="false">E314*Assumptions!$F$18*Assumptions!$F$33</f>
        <v>422.39232</v>
      </c>
      <c r="F332" s="48" t="n">
        <f aca="false">F314*Assumptions!$F$18*Assumptions!$F$33</f>
        <v>564.49344</v>
      </c>
      <c r="G332" s="48" t="n">
        <f aca="false">G314*Assumptions!$F$18*Assumptions!$F$33</f>
        <v>706.59456</v>
      </c>
      <c r="H332" s="48" t="n">
        <f aca="false">H314*Assumptions!$F$18*Assumptions!$F$33</f>
        <v>1135.07072</v>
      </c>
      <c r="I332" s="48" t="n">
        <f aca="false">I314*Assumptions!$F$18*Assumptions!$F$33</f>
        <v>1563.54688</v>
      </c>
      <c r="J332" s="48" t="n">
        <f aca="false">J314*Assumptions!$F$18*Assumptions!$F$33</f>
        <v>1563.54688</v>
      </c>
      <c r="K332" s="48" t="n">
        <f aca="false">K314*Assumptions!$F$18*Assumptions!$F$33</f>
        <v>1563.54688</v>
      </c>
      <c r="L332" s="48" t="n">
        <f aca="false">L314*Assumptions!$F$18*Assumptions!$F$33</f>
        <v>1563.54688</v>
      </c>
      <c r="M332" s="48" t="n">
        <f aca="false">M314*Assumptions!$F$18*Assumptions!$F$33</f>
        <v>1563.54688</v>
      </c>
      <c r="N332" s="48" t="n">
        <f aca="false">N314*Assumptions!$F$18*Assumptions!$F$33</f>
        <v>1563.54688</v>
      </c>
      <c r="P332" s="49"/>
      <c r="Q332" s="49"/>
      <c r="R332" s="49"/>
      <c r="S332" s="50"/>
    </row>
    <row r="333" customFormat="false" ht="15" hidden="false" customHeight="false" outlineLevel="0" collapsed="false">
      <c r="A333" s="4" t="s">
        <v>511</v>
      </c>
      <c r="B333" s="36" t="s">
        <v>509</v>
      </c>
      <c r="C333" s="48" t="n">
        <f aca="false">C315*Assumptions!$F$19*Assumptions!$F$34</f>
        <v>44.585856</v>
      </c>
      <c r="D333" s="48" t="n">
        <f aca="false">D315*Assumptions!$F$19*Assumptions!$F$34</f>
        <v>89.171712</v>
      </c>
      <c r="E333" s="48" t="n">
        <f aca="false">E315*Assumptions!$F$19*Assumptions!$F$34</f>
        <v>89.171712</v>
      </c>
      <c r="F333" s="48" t="n">
        <f aca="false">F315*Assumptions!$F$19*Assumptions!$F$34</f>
        <v>111.46464</v>
      </c>
      <c r="G333" s="48" t="n">
        <f aca="false">G315*Assumptions!$F$19*Assumptions!$F$34</f>
        <v>133.757568</v>
      </c>
      <c r="H333" s="48" t="n">
        <f aca="false">H315*Assumptions!$F$19*Assumptions!$F$34</f>
        <v>205.3296</v>
      </c>
      <c r="I333" s="48" t="n">
        <f aca="false">I315*Assumptions!$F$19*Assumptions!$F$34</f>
        <v>276.901632</v>
      </c>
      <c r="J333" s="48" t="n">
        <f aca="false">J315*Assumptions!$F$19*Assumptions!$F$34</f>
        <v>276.901632</v>
      </c>
      <c r="K333" s="48" t="n">
        <f aca="false">K315*Assumptions!$F$19*Assumptions!$F$34</f>
        <v>276.901632</v>
      </c>
      <c r="L333" s="48" t="n">
        <f aca="false">L315*Assumptions!$F$19*Assumptions!$F$34</f>
        <v>276.901632</v>
      </c>
      <c r="M333" s="48" t="n">
        <f aca="false">M315*Assumptions!$F$19*Assumptions!$F$34</f>
        <v>276.901632</v>
      </c>
      <c r="N333" s="48" t="n">
        <f aca="false">N315*Assumptions!$F$19*Assumptions!$F$34</f>
        <v>276.901632</v>
      </c>
      <c r="P333" s="49"/>
      <c r="Q333" s="49"/>
      <c r="R333" s="49"/>
      <c r="S333" s="50"/>
    </row>
    <row r="334" customFormat="false" ht="15" hidden="false" customHeight="false" outlineLevel="0" collapsed="false">
      <c r="A334" s="4" t="s">
        <v>512</v>
      </c>
      <c r="B334" s="36" t="s">
        <v>77</v>
      </c>
      <c r="C334" s="51" t="n">
        <f aca="false">IFERROR(C331/(C331+C332+C333),0)</f>
        <v>0.622351455672813</v>
      </c>
      <c r="D334" s="51" t="n">
        <f aca="false">IFERROR(D331/(D331+D332+D333),0)</f>
        <v>0.622351455672813</v>
      </c>
      <c r="E334" s="51" t="n">
        <f aca="false">IFERROR(E331/(E331+E332+E333),0)</f>
        <v>0.622351455672813</v>
      </c>
      <c r="F334" s="51" t="n">
        <f aca="false">IFERROR(F331/(F331+F332+F333),0)</f>
        <v>0.629670058758779</v>
      </c>
      <c r="G334" s="51" t="n">
        <f aca="false">IFERROR(G331/(G331+G332+G333),0)</f>
        <v>0.633987977135321</v>
      </c>
      <c r="H334" s="51" t="n">
        <f aca="false">IFERROR(H331/(H331+H332+H333),0)</f>
        <v>0.649697066609004</v>
      </c>
      <c r="I334" s="51" t="n">
        <f aca="false">IFERROR(I331/(I331+I332+I333),0)</f>
        <v>0.656430064024297</v>
      </c>
      <c r="J334" s="51" t="n">
        <f aca="false">IFERROR(J331/(J331+J332+J333),0)</f>
        <v>0.656430064024297</v>
      </c>
      <c r="K334" s="51" t="n">
        <f aca="false">IFERROR(K331/(K331+K332+K333),0)</f>
        <v>0.656430064024297</v>
      </c>
      <c r="L334" s="51" t="n">
        <f aca="false">IFERROR(L331/(L331+L332+L333),0)</f>
        <v>0.656430064024297</v>
      </c>
      <c r="M334" s="51" t="n">
        <f aca="false">IFERROR(M331/(M331+M332+M333),0)</f>
        <v>0.656430064024297</v>
      </c>
      <c r="N334" s="51" t="n">
        <f aca="false">IFERROR(N331/(N331+N332+N333),0)</f>
        <v>0.656430064024297</v>
      </c>
      <c r="P334" s="52"/>
      <c r="Q334" s="52"/>
      <c r="R334" s="52"/>
      <c r="S334" s="53"/>
    </row>
    <row r="335" customFormat="false" ht="15" hidden="false" customHeight="false" outlineLevel="0" collapsed="false">
      <c r="A335" s="4" t="s">
        <v>513</v>
      </c>
      <c r="B335" s="36" t="s">
        <v>77</v>
      </c>
      <c r="C335" s="51" t="n">
        <f aca="false">IFERROR(C332/(C331+C332+C333),0)</f>
        <v>0.311819898985751</v>
      </c>
      <c r="D335" s="51" t="n">
        <f aca="false">IFERROR(D332/(D331+D332+D333),0)</f>
        <v>0.311819898985751</v>
      </c>
      <c r="E335" s="51" t="n">
        <f aca="false">IFERROR(E332/(E331+E332+E333),0)</f>
        <v>0.311819898985751</v>
      </c>
      <c r="F335" s="51" t="n">
        <f aca="false">IFERROR(F332/(F331+F332+F333),0)</f>
        <v>0.309262998182157</v>
      </c>
      <c r="G335" s="51" t="n">
        <f aca="false">IFERROR(G332/(G331+G332+G333),0)</f>
        <v>0.307754446777313</v>
      </c>
      <c r="H335" s="51" t="n">
        <f aca="false">IFERROR(H332/(H331+H332+H333),0)</f>
        <v>0.296641680018571</v>
      </c>
      <c r="I335" s="51" t="n">
        <f aca="false">IFERROR(I332/(I331+I332+I333),0)</f>
        <v>0.291878690413813</v>
      </c>
      <c r="J335" s="51" t="n">
        <f aca="false">IFERROR(J332/(J331+J332+J333),0)</f>
        <v>0.291878690413813</v>
      </c>
      <c r="K335" s="51" t="n">
        <f aca="false">IFERROR(K332/(K331+K332+K333),0)</f>
        <v>0.291878690413813</v>
      </c>
      <c r="L335" s="51" t="n">
        <f aca="false">IFERROR(L332/(L331+L332+L333),0)</f>
        <v>0.291878690413813</v>
      </c>
      <c r="M335" s="51" t="n">
        <f aca="false">IFERROR(M332/(M331+M332+M333),0)</f>
        <v>0.291878690413813</v>
      </c>
      <c r="N335" s="51" t="n">
        <f aca="false">IFERROR(N332/(N331+N332+N333),0)</f>
        <v>0.291878690413813</v>
      </c>
      <c r="P335" s="52"/>
      <c r="Q335" s="52"/>
      <c r="R335" s="52"/>
      <c r="S335" s="53"/>
    </row>
    <row r="336" customFormat="false" ht="15" hidden="false" customHeight="false" outlineLevel="0" collapsed="false">
      <c r="A336" s="4" t="s">
        <v>514</v>
      </c>
      <c r="B336" s="36" t="s">
        <v>77</v>
      </c>
      <c r="C336" s="51" t="n">
        <f aca="false">IFERROR(C333/(C331+C332+C333),0)</f>
        <v>0.0658286453414364</v>
      </c>
      <c r="D336" s="51" t="n">
        <f aca="false">IFERROR(D333/(D331+D332+D333),0)</f>
        <v>0.0658286453414364</v>
      </c>
      <c r="E336" s="51" t="n">
        <f aca="false">IFERROR(E333/(E331+E332+E333),0)</f>
        <v>0.0658286453414364</v>
      </c>
      <c r="F336" s="51" t="n">
        <f aca="false">IFERROR(F333/(F331+F332+F333),0)</f>
        <v>0.0610669430590634</v>
      </c>
      <c r="G336" s="51" t="n">
        <f aca="false">IFERROR(G333/(G331+G332+G333),0)</f>
        <v>0.0582575760873659</v>
      </c>
      <c r="H336" s="51" t="n">
        <f aca="false">IFERROR(H333/(H331+H332+H333),0)</f>
        <v>0.0536612533724252</v>
      </c>
      <c r="I336" s="51" t="n">
        <f aca="false">IFERROR(I333/(I331+I332+I333),0)</f>
        <v>0.0516912455618904</v>
      </c>
      <c r="J336" s="51" t="n">
        <f aca="false">IFERROR(J333/(J331+J332+J333),0)</f>
        <v>0.0516912455618904</v>
      </c>
      <c r="K336" s="51" t="n">
        <f aca="false">IFERROR(K333/(K331+K332+K333),0)</f>
        <v>0.0516912455618904</v>
      </c>
      <c r="L336" s="51" t="n">
        <f aca="false">IFERROR(L333/(L331+L332+L333),0)</f>
        <v>0.0516912455618904</v>
      </c>
      <c r="M336" s="51" t="n">
        <f aca="false">IFERROR(M333/(M331+M332+M333),0)</f>
        <v>0.0516912455618904</v>
      </c>
      <c r="N336" s="51" t="n">
        <f aca="false">IFERROR(N333/(N331+N332+N333),0)</f>
        <v>0.0516912455618904</v>
      </c>
      <c r="P336" s="52"/>
      <c r="Q336" s="52"/>
      <c r="R336" s="52"/>
      <c r="S336" s="53"/>
    </row>
    <row r="337" customFormat="false" ht="15" hidden="false" customHeight="false" outlineLevel="0" collapsed="false">
      <c r="A337" s="4" t="s">
        <v>515</v>
      </c>
      <c r="B337" s="36" t="s">
        <v>516</v>
      </c>
      <c r="C337" s="48" t="n">
        <f aca="false">IF(C305-Assumptions!$F$35&lt;1,0,INDEX($C$330:$N$330,1,C305-Assumptions!$F$35)*INDEX($C$334:$N$334,1,C305-Assumptions!$F$35)*Assumptions!$F$32)</f>
        <v>0</v>
      </c>
      <c r="D337" s="48" t="n">
        <f aca="false">IF(D305-Assumptions!$F$35&lt;1,0,INDEX($C$330:$N$330,1,D305-Assumptions!$F$35)*INDEX($C$334:$N$334,1,D305-Assumptions!$F$35)*Assumptions!$F$32)</f>
        <v>2.84351752341251</v>
      </c>
      <c r="E337" s="48" t="n">
        <f aca="false">IF(E305-Assumptions!$F$35&lt;1,0,INDEX($C$330:$N$330,1,E305-Assumptions!$F$35)*INDEX($C$334:$N$334,1,E305-Assumptions!$F$35)*Assumptions!$F$32)</f>
        <v>5.14663355804901</v>
      </c>
      <c r="F337" s="48" t="n">
        <f aca="false">IF(F305-Assumptions!$F$35&lt;1,0,INDEX($C$330:$N$330,1,F305-Assumptions!$F$35)*INDEX($C$334:$N$334,1,F305-Assumptions!$F$35)*Assumptions!$F$32)</f>
        <v>5.95418651199387</v>
      </c>
      <c r="G337" s="48" t="n">
        <f aca="false">IF(G305-Assumptions!$F$35&lt;1,0,INDEX($C$330:$N$330,1,G305-Assumptions!$F$35)*INDEX($C$334:$N$334,1,G305-Assumptions!$F$35)*Assumptions!$F$32)</f>
        <v>7.91598565587617</v>
      </c>
      <c r="H337" s="48" t="n">
        <f aca="false">IF(H305-Assumptions!$F$35&lt;1,0,INDEX($C$330:$N$330,1,H305-Assumptions!$F$35)*INDEX($C$334:$N$334,1,H305-Assumptions!$F$35)*Assumptions!$F$32)</f>
        <v>9.81206999968027</v>
      </c>
      <c r="I337" s="48" t="n">
        <f aca="false">IF(I305-Assumptions!$F$35&lt;1,0,INDEX($C$330:$N$330,1,I305-Assumptions!$F$35)*INDEX($C$334:$N$334,1,I305-Assumptions!$F$35)*Assumptions!$F$32)</f>
        <v>14.4859380108713</v>
      </c>
      <c r="J337" s="48" t="n">
        <f aca="false">IF(J305-Assumptions!$F$35&lt;1,0,INDEX($C$330:$N$330,1,J305-Assumptions!$F$35)*INDEX($C$334:$N$334,1,J305-Assumptions!$F$35)*Assumptions!$F$32)</f>
        <v>18.8920537717446</v>
      </c>
      <c r="K337" s="48" t="n">
        <f aca="false">IF(K305-Assumptions!$F$35&lt;1,0,INDEX($C$330:$N$330,1,K305-Assumptions!$F$35)*INDEX($C$334:$N$334,1,K305-Assumptions!$F$35)*Assumptions!$F$32)</f>
        <v>18.5373220142298</v>
      </c>
      <c r="L337" s="48" t="n">
        <f aca="false">IF(L305-Assumptions!$F$35&lt;1,0,INDEX($C$330:$N$330,1,L305-Assumptions!$F$35)*INDEX($C$334:$N$334,1,L305-Assumptions!$F$35)*Assumptions!$F$32)</f>
        <v>18.1967140472917</v>
      </c>
      <c r="M337" s="48" t="n">
        <f aca="false">IF(M305-Assumptions!$F$35&lt;1,0,INDEX($C$330:$N$330,1,M305-Assumptions!$F$35)*INDEX($C$334:$N$334,1,M305-Assumptions!$F$35)*Assumptions!$F$32)</f>
        <v>17.8696675264095</v>
      </c>
      <c r="N337" s="48" t="n">
        <f aca="false">IF(N305-Assumptions!$F$35&lt;1,0,INDEX($C$330:$N$330,1,N305-Assumptions!$F$35)*INDEX($C$334:$N$334,1,N305-Assumptions!$F$35)*Assumptions!$F$32)</f>
        <v>17.5556424970402</v>
      </c>
      <c r="P337" s="49" t="n">
        <f aca="false">SUM(C337:F337)</f>
        <v>13.9443375934554</v>
      </c>
      <c r="Q337" s="49" t="n">
        <f aca="false">SUM(G337:J337)</f>
        <v>51.1060474381724</v>
      </c>
      <c r="R337" s="49" t="n">
        <f aca="false">SUM(K337:N337)</f>
        <v>72.1593460849712</v>
      </c>
      <c r="S337" s="50" t="n">
        <f aca="false">SUM(P337:R337)</f>
        <v>137.209731116599</v>
      </c>
    </row>
    <row r="338" customFormat="false" ht="15" hidden="false" customHeight="false" outlineLevel="0" collapsed="false">
      <c r="A338" s="4" t="s">
        <v>517</v>
      </c>
      <c r="B338" s="36" t="s">
        <v>516</v>
      </c>
      <c r="C338" s="48" t="n">
        <f aca="false">IF(C305-Assumptions!$F$35&lt;1,0,INDEX($C$330:$N$330,1,C305-Assumptions!$F$35)*INDEX($C$335:$N$335,1,C305-Assumptions!$F$35)*Assumptions!$F$32)</f>
        <v>0</v>
      </c>
      <c r="D338" s="48" t="n">
        <f aca="false">IF(D305-Assumptions!$F$35&lt;1,0,INDEX($C$330:$N$330,1,D305-Assumptions!$F$35)*INDEX($C$335:$N$335,1,D305-Assumptions!$F$35)*Assumptions!$F$32)</f>
        <v>1.42470197318996</v>
      </c>
      <c r="E338" s="48" t="n">
        <f aca="false">IF(E305-Assumptions!$F$35&lt;1,0,INDEX($C$330:$N$330,1,E305-Assumptions!$F$35)*INDEX($C$335:$N$335,1,E305-Assumptions!$F$35)*Assumptions!$F$32)</f>
        <v>2.57864385398211</v>
      </c>
      <c r="F338" s="48" t="n">
        <f aca="false">IF(F305-Assumptions!$F$35&lt;1,0,INDEX($C$330:$N$330,1,F305-Assumptions!$F$35)*INDEX($C$335:$N$335,1,F305-Assumptions!$F$35)*Assumptions!$F$32)</f>
        <v>2.98325619678206</v>
      </c>
      <c r="G338" s="48" t="n">
        <f aca="false">IF(G305-Assumptions!$F$35&lt;1,0,INDEX($C$330:$N$330,1,G305-Assumptions!$F$35)*INDEX($C$335:$N$335,1,G305-Assumptions!$F$35)*Assumptions!$F$32)</f>
        <v>3.88794325448635</v>
      </c>
      <c r="H338" s="48" t="n">
        <f aca="false">IF(H305-Assumptions!$F$35&lt;1,0,INDEX($C$330:$N$330,1,H305-Assumptions!$F$35)*INDEX($C$335:$N$335,1,H305-Assumptions!$F$35)*Assumptions!$F$32)</f>
        <v>4.7630369713578</v>
      </c>
      <c r="I338" s="48" t="n">
        <f aca="false">IF(I305-Assumptions!$F$35&lt;1,0,INDEX($C$330:$N$330,1,I305-Assumptions!$F$35)*INDEX($C$335:$N$335,1,I305-Assumptions!$F$35)*Assumptions!$F$32)</f>
        <v>6.61405631799752</v>
      </c>
      <c r="J338" s="48" t="n">
        <f aca="false">IF(J305-Assumptions!$F$35&lt;1,0,INDEX($C$330:$N$330,1,J305-Assumptions!$F$35)*INDEX($C$335:$N$335,1,J305-Assumptions!$F$35)*Assumptions!$F$32)</f>
        <v>8.40026716680066</v>
      </c>
      <c r="K338" s="48" t="n">
        <f aca="false">IF(K305-Assumptions!$F$35&lt;1,0,INDEX($C$330:$N$330,1,K305-Assumptions!$F$35)*INDEX($C$335:$N$335,1,K305-Assumptions!$F$35)*Assumptions!$F$32)</f>
        <v>8.24253727826254</v>
      </c>
      <c r="L338" s="48" t="n">
        <f aca="false">IF(L305-Assumptions!$F$35&lt;1,0,INDEX($C$330:$N$330,1,L305-Assumptions!$F$35)*INDEX($C$335:$N$335,1,L305-Assumptions!$F$35)*Assumptions!$F$32)</f>
        <v>8.09108746999979</v>
      </c>
      <c r="M338" s="48" t="n">
        <f aca="false">IF(M305-Assumptions!$F$35&lt;1,0,INDEX($C$330:$N$330,1,M305-Assumptions!$F$35)*INDEX($C$335:$N$335,1,M305-Assumptions!$F$35)*Assumptions!$F$32)</f>
        <v>7.94566769803768</v>
      </c>
      <c r="N338" s="48" t="n">
        <f aca="false">IF(N305-Assumptions!$F$35&lt;1,0,INDEX($C$330:$N$330,1,N305-Assumptions!$F$35)*INDEX($C$335:$N$335,1,N305-Assumptions!$F$35)*Assumptions!$F$32)</f>
        <v>7.80603787400499</v>
      </c>
      <c r="P338" s="49" t="n">
        <f aca="false">SUM(C338:F338)</f>
        <v>6.98660202395414</v>
      </c>
      <c r="Q338" s="49" t="n">
        <f aca="false">SUM(G338:J338)</f>
        <v>23.6653037106423</v>
      </c>
      <c r="R338" s="49" t="n">
        <f aca="false">SUM(K338:N338)</f>
        <v>32.085330320305</v>
      </c>
      <c r="S338" s="50" t="n">
        <f aca="false">SUM(P338:R338)</f>
        <v>62.7372360549015</v>
      </c>
    </row>
    <row r="339" customFormat="false" ht="15" hidden="false" customHeight="false" outlineLevel="0" collapsed="false">
      <c r="A339" s="4" t="s">
        <v>518</v>
      </c>
      <c r="B339" s="36" t="s">
        <v>516</v>
      </c>
      <c r="C339" s="48" t="n">
        <f aca="false">IF(C305-Assumptions!$F$36&lt;1,0,INDEX($C$330:$N$330,1,C305-Assumptions!$F$36)*INDEX($C$336:$N$336,1,C305-Assumptions!$F$36)*Assumptions!$F$32)</f>
        <v>0</v>
      </c>
      <c r="D339" s="48" t="n">
        <f aca="false">IF(D305-Assumptions!$F$36&lt;1,0,INDEX($C$330:$N$330,1,D305-Assumptions!$F$36)*INDEX($C$336:$N$336,1,D305-Assumptions!$F$36)*Assumptions!$F$32)</f>
        <v>0</v>
      </c>
      <c r="E339" s="48" t="n">
        <f aca="false">IF(E305-Assumptions!$F$36&lt;1,0,INDEX($C$330:$N$330,1,E305-Assumptions!$F$36)*INDEX($C$336:$N$336,1,E305-Assumptions!$F$36)*Assumptions!$F$32)</f>
        <v>0.300770416562326</v>
      </c>
      <c r="F339" s="48" t="n">
        <f aca="false">IF(F305-Assumptions!$F$36&lt;1,0,INDEX($C$330:$N$330,1,F305-Assumptions!$F$36)*INDEX($C$336:$N$336,1,F305-Assumptions!$F$36)*Assumptions!$F$32)</f>
        <v>0.544380369174002</v>
      </c>
      <c r="G339" s="48" t="n">
        <f aca="false">IF(G305-Assumptions!$F$36&lt;1,0,INDEX($C$330:$N$330,1,G305-Assumptions!$F$36)*INDEX($C$336:$N$336,1,G305-Assumptions!$F$36)*Assumptions!$F$32)</f>
        <v>0.629798530431768</v>
      </c>
      <c r="H339" s="48" t="n">
        <f aca="false">IF(H305-Assumptions!$F$36&lt;1,0,INDEX($C$330:$N$330,1,H305-Assumptions!$F$36)*INDEX($C$336:$N$336,1,H305-Assumptions!$F$36)*Assumptions!$F$32)</f>
        <v>0.767711658795803</v>
      </c>
      <c r="I339" s="48" t="n">
        <f aca="false">IF(I305-Assumptions!$F$36&lt;1,0,INDEX($C$330:$N$330,1,I305-Assumptions!$F$36)*INDEX($C$336:$N$336,1,I305-Assumptions!$F$36)*Assumptions!$F$32)</f>
        <v>0.901637625943376</v>
      </c>
      <c r="J339" s="48" t="n">
        <f aca="false">IF(J305-Assumptions!$F$36&lt;1,0,INDEX($C$330:$N$330,1,J305-Assumptions!$F$36)*INDEX($C$336:$N$336,1,J305-Assumptions!$F$36)*Assumptions!$F$32)</f>
        <v>1.19645544037283</v>
      </c>
      <c r="K339" s="48" t="n">
        <f aca="false">IF(K305-Assumptions!$F$36&lt;1,0,INDEX($C$330:$N$330,1,K305-Assumptions!$F$36)*INDEX($C$336:$N$336,1,K305-Assumptions!$F$36)*Assumptions!$F$32)</f>
        <v>1.48767377395369</v>
      </c>
      <c r="L339" s="48" t="n">
        <f aca="false">IF(L305-Assumptions!$F$36&lt;1,0,INDEX($C$330:$N$330,1,L305-Assumptions!$F$36)*INDEX($C$336:$N$336,1,L305-Assumptions!$F$36)*Assumptions!$F$32)</f>
        <v>1.45974006495522</v>
      </c>
      <c r="M339" s="48" t="n">
        <f aca="false">IF(M305-Assumptions!$F$36&lt;1,0,INDEX($C$330:$N$330,1,M305-Assumptions!$F$36)*INDEX($C$336:$N$336,1,M305-Assumptions!$F$36)*Assumptions!$F$32)</f>
        <v>1.43291854804999</v>
      </c>
      <c r="N339" s="48" t="n">
        <f aca="false">IF(N305-Assumptions!$F$36&lt;1,0,INDEX($C$330:$N$330,1,N305-Assumptions!$F$36)*INDEX($C$336:$N$336,1,N305-Assumptions!$F$36)*Assumptions!$F$32)</f>
        <v>1.40716494085314</v>
      </c>
      <c r="P339" s="49" t="n">
        <f aca="false">SUM(C339:F339)</f>
        <v>0.845150785736328</v>
      </c>
      <c r="Q339" s="49" t="n">
        <f aca="false">SUM(G339:J339)</f>
        <v>3.49560325554377</v>
      </c>
      <c r="R339" s="49" t="n">
        <f aca="false">SUM(K339:N339)</f>
        <v>5.78749732781205</v>
      </c>
      <c r="S339" s="50" t="n">
        <f aca="false">SUM(P339:R339)</f>
        <v>10.1282513690922</v>
      </c>
    </row>
    <row r="340" customFormat="false" ht="15" hidden="false" customHeight="false" outlineLevel="0" collapsed="false">
      <c r="A340" s="4" t="s">
        <v>519</v>
      </c>
      <c r="B340" s="36" t="s">
        <v>77</v>
      </c>
      <c r="C340" s="51" t="n">
        <f aca="false">IF(C305-Assumptions!$F$35&lt;1,0,IFERROR(INDEX($C$329:$N$329,1,C305-Assumptions!$F$35)/INDEX($C$330:$N$330,1,C305-Assumptions!$F$35),0))</f>
        <v>0</v>
      </c>
      <c r="D340" s="51" t="n">
        <f aca="false">IF(D305-Assumptions!$F$35&lt;1,0,IFERROR(INDEX($C$329:$N$329,1,D305-Assumptions!$F$35)/INDEX($C$330:$N$330,1,D305-Assumptions!$F$35),0))</f>
        <v>0.472752192727831</v>
      </c>
      <c r="E340" s="51" t="n">
        <f aca="false">IF(E305-Assumptions!$F$35&lt;1,0,IFERROR(INDEX($C$329:$N$329,1,E305-Assumptions!$F$35)/INDEX($C$330:$N$330,1,E305-Assumptions!$F$35),0))</f>
        <v>0.435326357540684</v>
      </c>
      <c r="F340" s="51" t="n">
        <f aca="false">IF(F305-Assumptions!$F$35&lt;1,0,IFERROR(INDEX($C$329:$N$329,1,F305-Assumptions!$F$35)/INDEX($C$330:$N$330,1,F305-Assumptions!$F$35),0))</f>
        <v>0.526797628907431</v>
      </c>
      <c r="G340" s="51" t="n">
        <f aca="false">IF(G305-Assumptions!$F$35&lt;1,0,IFERROR(INDEX($C$329:$N$329,1,G305-Assumptions!$F$35)/INDEX($C$330:$N$330,1,G305-Assumptions!$F$35),0))</f>
        <v>0.515445853256194</v>
      </c>
      <c r="H340" s="51" t="n">
        <f aca="false">IF(H305-Assumptions!$F$35&lt;1,0,IFERROR(INDEX($C$329:$N$329,1,H305-Assumptions!$F$35)/INDEX($C$330:$N$330,1,H305-Assumptions!$F$35),0))</f>
        <v>0.511735523602599</v>
      </c>
      <c r="I340" s="51" t="n">
        <f aca="false">IF(I305-Assumptions!$F$35&lt;1,0,IFERROR(INDEX($C$329:$N$329,1,I305-Assumptions!$F$35)/INDEX($C$330:$N$330,1,I305-Assumptions!$F$35),0))</f>
        <v>0.419797774841818</v>
      </c>
      <c r="J340" s="51" t="n">
        <f aca="false">IF(J305-Assumptions!$F$35&lt;1,0,IFERROR(INDEX($C$329:$N$329,1,J305-Assumptions!$F$35)/INDEX($C$330:$N$330,1,J305-Assumptions!$F$35),0))</f>
        <v>0.375260666580652</v>
      </c>
      <c r="K340" s="51" t="n">
        <f aca="false">IF(K305-Assumptions!$F$35&lt;1,0,IFERROR(INDEX($C$329:$N$329,1,K305-Assumptions!$F$35)/INDEX($C$330:$N$330,1,K305-Assumptions!$F$35),0))</f>
        <v>0.382441686346083</v>
      </c>
      <c r="L340" s="51" t="n">
        <f aca="false">IF(L305-Assumptions!$F$35&lt;1,0,IFERROR(INDEX($C$329:$N$329,1,L305-Assumptions!$F$35)/INDEX($C$330:$N$330,1,L305-Assumptions!$F$35),0))</f>
        <v>0.389600269204513</v>
      </c>
      <c r="M340" s="51" t="n">
        <f aca="false">IF(M305-Assumptions!$F$35&lt;1,0,IFERROR(INDEX($C$329:$N$329,1,M305-Assumptions!$F$35)/INDEX($C$330:$N$330,1,M305-Assumptions!$F$35),0))</f>
        <v>0.396730643196631</v>
      </c>
      <c r="N340" s="51" t="n">
        <f aca="false">IF(N305-Assumptions!$F$35&lt;1,0,IFERROR(INDEX($C$329:$N$329,1,N305-Assumptions!$F$35)/INDEX($C$330:$N$330,1,N305-Assumptions!$F$35),0))</f>
        <v>0.403827128096146</v>
      </c>
      <c r="P340" s="52"/>
      <c r="Q340" s="52"/>
      <c r="R340" s="52"/>
      <c r="S340" s="53"/>
    </row>
    <row r="341" customFormat="false" ht="15" hidden="false" customHeight="false" outlineLevel="0" collapsed="false">
      <c r="A341" s="4" t="s">
        <v>520</v>
      </c>
      <c r="B341" s="36" t="s">
        <v>516</v>
      </c>
      <c r="C341" s="48" t="n">
        <f aca="false">C337*Assumptions!$F$37</f>
        <v>0</v>
      </c>
      <c r="D341" s="48" t="n">
        <f aca="false">D337*Assumptions!$F$37</f>
        <v>1.137407009365</v>
      </c>
      <c r="E341" s="48" t="n">
        <f aca="false">E337*Assumptions!$F$37</f>
        <v>2.0586534232196</v>
      </c>
      <c r="F341" s="48" t="n">
        <f aca="false">F337*Assumptions!$F$37</f>
        <v>2.38167460479755</v>
      </c>
      <c r="G341" s="48" t="n">
        <f aca="false">G337*Assumptions!$F$37</f>
        <v>3.16639426235047</v>
      </c>
      <c r="H341" s="48" t="n">
        <f aca="false">H337*Assumptions!$F$37</f>
        <v>3.92482799987211</v>
      </c>
      <c r="I341" s="48" t="n">
        <f aca="false">I337*Assumptions!$F$37</f>
        <v>5.79437520434852</v>
      </c>
      <c r="J341" s="48" t="n">
        <f aca="false">J337*Assumptions!$F$37</f>
        <v>7.55682150869785</v>
      </c>
      <c r="K341" s="48" t="n">
        <f aca="false">K337*Assumptions!$F$37</f>
        <v>7.4149288056919</v>
      </c>
      <c r="L341" s="48" t="n">
        <f aca="false">L337*Assumptions!$F$37</f>
        <v>7.27868561891669</v>
      </c>
      <c r="M341" s="48" t="n">
        <f aca="false">M337*Assumptions!$F$37</f>
        <v>7.14786701056382</v>
      </c>
      <c r="N341" s="48" t="n">
        <f aca="false">N337*Assumptions!$F$37</f>
        <v>7.02225699881609</v>
      </c>
      <c r="P341" s="49" t="n">
        <f aca="false">SUM(C341:F341)</f>
        <v>5.57773503738216</v>
      </c>
      <c r="Q341" s="49" t="n">
        <f aca="false">SUM(G341:J341)</f>
        <v>20.4424189752689</v>
      </c>
      <c r="R341" s="49" t="n">
        <f aca="false">SUM(K341:N341)</f>
        <v>28.8637384339885</v>
      </c>
      <c r="S341" s="50" t="n">
        <f aca="false">SUM(P341:R341)</f>
        <v>54.8838924466396</v>
      </c>
    </row>
    <row r="342" customFormat="false" ht="15" hidden="false" customHeight="false" outlineLevel="0" collapsed="false">
      <c r="A342" s="4" t="s">
        <v>521</v>
      </c>
      <c r="B342" s="36" t="s">
        <v>516</v>
      </c>
      <c r="C342" s="48" t="n">
        <f aca="false">C337*(1-Assumptions!$F$37)</f>
        <v>0</v>
      </c>
      <c r="D342" s="48" t="n">
        <f aca="false">D337*(1-Assumptions!$F$37)</f>
        <v>1.70611051404751</v>
      </c>
      <c r="E342" s="48" t="n">
        <f aca="false">E337*(1-Assumptions!$F$37)</f>
        <v>3.08798013482941</v>
      </c>
      <c r="F342" s="48" t="n">
        <f aca="false">F337*(1-Assumptions!$F$37)</f>
        <v>3.57251190719632</v>
      </c>
      <c r="G342" s="48" t="n">
        <f aca="false">G337*(1-Assumptions!$F$37)</f>
        <v>4.7495913935257</v>
      </c>
      <c r="H342" s="48" t="n">
        <f aca="false">H337*(1-Assumptions!$F$37)</f>
        <v>5.88724199980816</v>
      </c>
      <c r="I342" s="48" t="n">
        <f aca="false">I337*(1-Assumptions!$F$37)</f>
        <v>8.69156280652278</v>
      </c>
      <c r="J342" s="48" t="n">
        <f aca="false">J337*(1-Assumptions!$F$37)</f>
        <v>11.3352322630468</v>
      </c>
      <c r="K342" s="48" t="n">
        <f aca="false">K337*(1-Assumptions!$F$37)</f>
        <v>11.1223932085379</v>
      </c>
      <c r="L342" s="48" t="n">
        <f aca="false">L337*(1-Assumptions!$F$37)</f>
        <v>10.918028428375</v>
      </c>
      <c r="M342" s="48" t="n">
        <f aca="false">M337*(1-Assumptions!$F$37)</f>
        <v>10.7218005158457</v>
      </c>
      <c r="N342" s="48" t="n">
        <f aca="false">N337*(1-Assumptions!$F$37)</f>
        <v>10.5333854982241</v>
      </c>
      <c r="P342" s="49" t="n">
        <f aca="false">SUM(C342:F342)</f>
        <v>8.36660255607324</v>
      </c>
      <c r="Q342" s="49" t="n">
        <f aca="false">SUM(G342:J342)</f>
        <v>30.6636284629034</v>
      </c>
      <c r="R342" s="49" t="n">
        <f aca="false">SUM(K342:N342)</f>
        <v>43.2956076509827</v>
      </c>
      <c r="S342" s="50" t="n">
        <f aca="false">SUM(P342:R342)</f>
        <v>82.3258386699594</v>
      </c>
    </row>
    <row r="343" customFormat="false" ht="15" hidden="false" customHeight="false" outlineLevel="0" collapsed="false">
      <c r="A343" s="4" t="s">
        <v>522</v>
      </c>
      <c r="B343" s="36" t="s">
        <v>125</v>
      </c>
      <c r="C343" s="54" t="n">
        <f aca="false">C342*$C$296+C338*$C$297+C339*$C$298</f>
        <v>0</v>
      </c>
      <c r="D343" s="54" t="n">
        <f aca="false">D342*$C$296+D338*$C$297+D339*$C$298</f>
        <v>30003.1016297231</v>
      </c>
      <c r="E343" s="54" t="n">
        <f aca="false">E342*$C$296+E338*$C$297+E339*$C$298</f>
        <v>82175.8167183839</v>
      </c>
      <c r="F343" s="54" t="n">
        <f aca="false">F342*$C$296+F338*$C$297+F339*$C$298</f>
        <v>113271.331138314</v>
      </c>
      <c r="G343" s="54" t="n">
        <f aca="false">G342*$C$296+G338*$C$297+G339*$C$298</f>
        <v>140740.276072165</v>
      </c>
      <c r="H343" s="54" t="n">
        <f aca="false">H342*$C$296+H338*$C$297+H339*$C$298</f>
        <v>172429.224115805</v>
      </c>
      <c r="I343" s="54" t="n">
        <f aca="false">I342*$C$296+I338*$C$297+I339*$C$298</f>
        <v>226966.100009964</v>
      </c>
      <c r="J343" s="54" t="n">
        <f aca="false">J342*$C$296+J338*$C$297+J339*$C$298</f>
        <v>294603.146834898</v>
      </c>
      <c r="K343" s="54" t="n">
        <f aca="false">K342*$C$296+K338*$C$297+K339*$C$298</f>
        <v>318139.717940864</v>
      </c>
      <c r="L343" s="54" t="n">
        <f aca="false">L342*$C$296+L338*$C$297+L339*$C$298</f>
        <v>312238.66205365</v>
      </c>
      <c r="M343" s="54" t="n">
        <f aca="false">M342*$C$296+M338*$C$297+M339*$C$298</f>
        <v>306572.559129533</v>
      </c>
      <c r="N343" s="54" t="n">
        <f aca="false">N342*$C$296+N338*$C$297+N339*$C$298</f>
        <v>301132.054419819</v>
      </c>
      <c r="P343" s="55" t="n">
        <f aca="false">SUM(C343:F343)</f>
        <v>225450.249486421</v>
      </c>
      <c r="Q343" s="55" t="n">
        <f aca="false">SUM(G343:J343)</f>
        <v>834738.747032832</v>
      </c>
      <c r="R343" s="55" t="n">
        <f aca="false">SUM(K343:N343)</f>
        <v>1238082.99354387</v>
      </c>
      <c r="S343" s="56" t="n">
        <f aca="false">SUM(P343:R343)</f>
        <v>2298271.99006312</v>
      </c>
    </row>
    <row r="344" customFormat="false" ht="15" hidden="false" customHeight="false" outlineLevel="0" collapsed="false">
      <c r="A344" s="4" t="s">
        <v>523</v>
      </c>
      <c r="B344" s="36" t="s">
        <v>125</v>
      </c>
      <c r="C344" s="54" t="n">
        <f aca="false">(C320+Assumptions!$D$104*C306)*$C$301</f>
        <v>371875</v>
      </c>
      <c r="D344" s="54" t="n">
        <f aca="false">(D320+Assumptions!$D$104*D306)*$C$301</f>
        <v>371875</v>
      </c>
      <c r="E344" s="54" t="n">
        <f aca="false">(E320+Assumptions!$D$104*E306)*$C$301</f>
        <v>371875</v>
      </c>
      <c r="F344" s="54" t="n">
        <f aca="false">(F320+Assumptions!$D$104*F306)*$C$301</f>
        <v>371875</v>
      </c>
      <c r="G344" s="54" t="n">
        <f aca="false">(G320+Assumptions!$D$104*G306)*$C$301</f>
        <v>371875</v>
      </c>
      <c r="H344" s="54" t="n">
        <f aca="false">(H320+Assumptions!$D$104*H306)*$C$301</f>
        <v>371875</v>
      </c>
      <c r="I344" s="54" t="n">
        <f aca="false">(I320+Assumptions!$D$104*I306)*$C$301</f>
        <v>371875</v>
      </c>
      <c r="J344" s="54" t="n">
        <f aca="false">(J320+Assumptions!$D$104*J306)*$C$301</f>
        <v>371875</v>
      </c>
      <c r="K344" s="54" t="n">
        <f aca="false">(K320+Assumptions!$D$104*K306)*$C$301</f>
        <v>371875</v>
      </c>
      <c r="L344" s="54" t="n">
        <f aca="false">(L320+Assumptions!$D$104*L306)*$C$301</f>
        <v>371875</v>
      </c>
      <c r="M344" s="54" t="n">
        <f aca="false">(M320+Assumptions!$D$104*M306)*$C$301</f>
        <v>371875</v>
      </c>
      <c r="N344" s="54" t="n">
        <f aca="false">(N320+Assumptions!$D$104*N306)*$C$301</f>
        <v>371875</v>
      </c>
      <c r="P344" s="55" t="n">
        <f aca="false">SUM(C344:F344)</f>
        <v>1487500</v>
      </c>
      <c r="Q344" s="55" t="n">
        <f aca="false">SUM(G344:J344)</f>
        <v>1487500</v>
      </c>
      <c r="R344" s="55" t="n">
        <f aca="false">SUM(K344:N344)</f>
        <v>1487500</v>
      </c>
      <c r="S344" s="56" t="n">
        <f aca="false">SUM(P344:R344)</f>
        <v>4462500</v>
      </c>
    </row>
    <row r="345" customFormat="false" ht="15" hidden="false" customHeight="false" outlineLevel="0" collapsed="false">
      <c r="A345" s="4" t="s">
        <v>524</v>
      </c>
      <c r="B345" s="36" t="s">
        <v>77</v>
      </c>
      <c r="C345" s="51" t="n">
        <f aca="false">IF(C343&gt;0,MIN(1,C344/C343),1)</f>
        <v>1</v>
      </c>
      <c r="D345" s="51" t="n">
        <f aca="false">IF(D343&gt;0,MIN(1,D344/D343),1)</f>
        <v>1</v>
      </c>
      <c r="E345" s="51" t="n">
        <f aca="false">IF(E343&gt;0,MIN(1,E344/E343),1)</f>
        <v>1</v>
      </c>
      <c r="F345" s="51" t="n">
        <f aca="false">IF(F343&gt;0,MIN(1,F344/F343),1)</f>
        <v>1</v>
      </c>
      <c r="G345" s="51" t="n">
        <f aca="false">IF(G343&gt;0,MIN(1,G344/G343),1)</f>
        <v>1</v>
      </c>
      <c r="H345" s="51" t="n">
        <f aca="false">IF(H343&gt;0,MIN(1,H344/H343),1)</f>
        <v>1</v>
      </c>
      <c r="I345" s="51" t="n">
        <f aca="false">IF(I343&gt;0,MIN(1,I344/I343),1)</f>
        <v>1</v>
      </c>
      <c r="J345" s="51" t="n">
        <f aca="false">IF(J343&gt;0,MIN(1,J344/J343),1)</f>
        <v>1</v>
      </c>
      <c r="K345" s="51" t="n">
        <f aca="false">IF(K343&gt;0,MIN(1,K344/K343),1)</f>
        <v>1</v>
      </c>
      <c r="L345" s="51" t="n">
        <f aca="false">IF(L343&gt;0,MIN(1,L344/L343),1)</f>
        <v>1</v>
      </c>
      <c r="M345" s="51" t="n">
        <f aca="false">IF(M343&gt;0,MIN(1,M344/M343),1)</f>
        <v>1</v>
      </c>
      <c r="N345" s="51" t="n">
        <f aca="false">IF(N343&gt;0,MIN(1,N344/N343),1)</f>
        <v>1</v>
      </c>
      <c r="P345" s="52"/>
      <c r="Q345" s="52"/>
      <c r="R345" s="52"/>
      <c r="S345" s="53"/>
    </row>
    <row r="346" customFormat="false" ht="15" hidden="false" customHeight="false" outlineLevel="0" collapsed="false">
      <c r="A346" s="4" t="s">
        <v>525</v>
      </c>
      <c r="B346" s="36" t="s">
        <v>125</v>
      </c>
      <c r="C346" s="54" t="n">
        <f aca="false">C343*(1-C345)</f>
        <v>0</v>
      </c>
      <c r="D346" s="54" t="n">
        <f aca="false">D343*(1-D345)</f>
        <v>0</v>
      </c>
      <c r="E346" s="54" t="n">
        <f aca="false">E343*(1-E345)</f>
        <v>0</v>
      </c>
      <c r="F346" s="54" t="n">
        <f aca="false">F343*(1-F345)</f>
        <v>0</v>
      </c>
      <c r="G346" s="54" t="n">
        <f aca="false">G343*(1-G345)</f>
        <v>0</v>
      </c>
      <c r="H346" s="54" t="n">
        <f aca="false">H343*(1-H345)</f>
        <v>0</v>
      </c>
      <c r="I346" s="54" t="n">
        <f aca="false">I343*(1-I345)</f>
        <v>0</v>
      </c>
      <c r="J346" s="54" t="n">
        <f aca="false">J343*(1-J345)</f>
        <v>0</v>
      </c>
      <c r="K346" s="54" t="n">
        <f aca="false">K343*(1-K345)</f>
        <v>0</v>
      </c>
      <c r="L346" s="54" t="n">
        <f aca="false">L343*(1-L345)</f>
        <v>0</v>
      </c>
      <c r="M346" s="54" t="n">
        <f aca="false">M343*(1-M345)</f>
        <v>0</v>
      </c>
      <c r="N346" s="54" t="n">
        <f aca="false">N343*(1-N345)</f>
        <v>0</v>
      </c>
      <c r="P346" s="55" t="n">
        <f aca="false">SUM(C346:F346)</f>
        <v>0</v>
      </c>
      <c r="Q346" s="55" t="n">
        <f aca="false">SUM(G346:J346)</f>
        <v>0</v>
      </c>
      <c r="R346" s="55" t="n">
        <f aca="false">SUM(K346:N346)</f>
        <v>0</v>
      </c>
      <c r="S346" s="56" t="n">
        <f aca="false">SUM(P346:R346)</f>
        <v>0</v>
      </c>
    </row>
    <row r="347" customFormat="false" ht="15" hidden="false" customHeight="false" outlineLevel="0" collapsed="false">
      <c r="A347" s="4" t="s">
        <v>526</v>
      </c>
      <c r="B347" s="36" t="s">
        <v>527</v>
      </c>
      <c r="C347" s="48" t="n">
        <f aca="false">C341+C342*C345</f>
        <v>0</v>
      </c>
      <c r="D347" s="48" t="n">
        <f aca="false">D341+D342*D345</f>
        <v>2.84351752341251</v>
      </c>
      <c r="E347" s="48" t="n">
        <f aca="false">E341+E342*E345</f>
        <v>5.14663355804901</v>
      </c>
      <c r="F347" s="48" t="n">
        <f aca="false">F341+F342*F345</f>
        <v>5.95418651199387</v>
      </c>
      <c r="G347" s="48" t="n">
        <f aca="false">G341+G342*G345</f>
        <v>7.91598565587617</v>
      </c>
      <c r="H347" s="48" t="n">
        <f aca="false">H341+H342*H345</f>
        <v>9.81206999968027</v>
      </c>
      <c r="I347" s="48" t="n">
        <f aca="false">I341+I342*I345</f>
        <v>14.4859380108713</v>
      </c>
      <c r="J347" s="48" t="n">
        <f aca="false">J341+J342*J345</f>
        <v>18.8920537717446</v>
      </c>
      <c r="K347" s="48" t="n">
        <f aca="false">K341+K342*K345</f>
        <v>18.5373220142298</v>
      </c>
      <c r="L347" s="48" t="n">
        <f aca="false">L341+L342*L345</f>
        <v>18.1967140472917</v>
      </c>
      <c r="M347" s="48" t="n">
        <f aca="false">M341+M342*M345</f>
        <v>17.8696675264095</v>
      </c>
      <c r="N347" s="48" t="n">
        <f aca="false">N341+N342*N345</f>
        <v>17.5556424970402</v>
      </c>
      <c r="P347" s="49" t="n">
        <f aca="false">SUM(C347:F347)</f>
        <v>13.9443375934554</v>
      </c>
      <c r="Q347" s="49" t="n">
        <f aca="false">SUM(G347:J347)</f>
        <v>51.1060474381724</v>
      </c>
      <c r="R347" s="49" t="n">
        <f aca="false">SUM(K347:N347)</f>
        <v>72.1593460849712</v>
      </c>
      <c r="S347" s="50" t="n">
        <f aca="false">SUM(P347:R347)</f>
        <v>137.209731116599</v>
      </c>
    </row>
    <row r="348" customFormat="false" ht="15" hidden="false" customHeight="false" outlineLevel="0" collapsed="false">
      <c r="A348" s="4" t="s">
        <v>528</v>
      </c>
      <c r="B348" s="36" t="s">
        <v>527</v>
      </c>
      <c r="C348" s="48" t="n">
        <f aca="false">C338*C345</f>
        <v>0</v>
      </c>
      <c r="D348" s="48" t="n">
        <f aca="false">D338*D345</f>
        <v>1.42470197318996</v>
      </c>
      <c r="E348" s="48" t="n">
        <f aca="false">E338*E345</f>
        <v>2.57864385398211</v>
      </c>
      <c r="F348" s="48" t="n">
        <f aca="false">F338*F345</f>
        <v>2.98325619678206</v>
      </c>
      <c r="G348" s="48" t="n">
        <f aca="false">G338*G345</f>
        <v>3.88794325448635</v>
      </c>
      <c r="H348" s="48" t="n">
        <f aca="false">H338*H345</f>
        <v>4.7630369713578</v>
      </c>
      <c r="I348" s="48" t="n">
        <f aca="false">I338*I345</f>
        <v>6.61405631799752</v>
      </c>
      <c r="J348" s="48" t="n">
        <f aca="false">J338*J345</f>
        <v>8.40026716680066</v>
      </c>
      <c r="K348" s="48" t="n">
        <f aca="false">K338*K345</f>
        <v>8.24253727826254</v>
      </c>
      <c r="L348" s="48" t="n">
        <f aca="false">L338*L345</f>
        <v>8.09108746999979</v>
      </c>
      <c r="M348" s="48" t="n">
        <f aca="false">M338*M345</f>
        <v>7.94566769803768</v>
      </c>
      <c r="N348" s="48" t="n">
        <f aca="false">N338*N345</f>
        <v>7.80603787400499</v>
      </c>
      <c r="P348" s="49" t="n">
        <f aca="false">SUM(C348:F348)</f>
        <v>6.98660202395414</v>
      </c>
      <c r="Q348" s="49" t="n">
        <f aca="false">SUM(G348:J348)</f>
        <v>23.6653037106423</v>
      </c>
      <c r="R348" s="49" t="n">
        <f aca="false">SUM(K348:N348)</f>
        <v>32.085330320305</v>
      </c>
      <c r="S348" s="50" t="n">
        <f aca="false">SUM(P348:R348)</f>
        <v>62.7372360549015</v>
      </c>
    </row>
    <row r="349" customFormat="false" ht="15" hidden="false" customHeight="false" outlineLevel="0" collapsed="false">
      <c r="A349" s="4" t="s">
        <v>529</v>
      </c>
      <c r="B349" s="36" t="s">
        <v>527</v>
      </c>
      <c r="C349" s="48" t="n">
        <f aca="false">C339*C345</f>
        <v>0</v>
      </c>
      <c r="D349" s="48" t="n">
        <f aca="false">D339*D345</f>
        <v>0</v>
      </c>
      <c r="E349" s="48" t="n">
        <f aca="false">E339*E345</f>
        <v>0.300770416562326</v>
      </c>
      <c r="F349" s="48" t="n">
        <f aca="false">F339*F345</f>
        <v>0.544380369174002</v>
      </c>
      <c r="G349" s="48" t="n">
        <f aca="false">G339*G345</f>
        <v>0.629798530431768</v>
      </c>
      <c r="H349" s="48" t="n">
        <f aca="false">H339*H345</f>
        <v>0.767711658795803</v>
      </c>
      <c r="I349" s="48" t="n">
        <f aca="false">I339*I345</f>
        <v>0.901637625943376</v>
      </c>
      <c r="J349" s="48" t="n">
        <f aca="false">J339*J345</f>
        <v>1.19645544037283</v>
      </c>
      <c r="K349" s="48" t="n">
        <f aca="false">K339*K345</f>
        <v>1.48767377395369</v>
      </c>
      <c r="L349" s="48" t="n">
        <f aca="false">L339*L345</f>
        <v>1.45974006495522</v>
      </c>
      <c r="M349" s="48" t="n">
        <f aca="false">M339*M345</f>
        <v>1.43291854804999</v>
      </c>
      <c r="N349" s="48" t="n">
        <f aca="false">N339*N345</f>
        <v>1.40716494085314</v>
      </c>
      <c r="P349" s="49" t="n">
        <f aca="false">SUM(C349:F349)</f>
        <v>0.845150785736328</v>
      </c>
      <c r="Q349" s="49" t="n">
        <f aca="false">SUM(G349:J349)</f>
        <v>3.49560325554377</v>
      </c>
      <c r="R349" s="49" t="n">
        <f aca="false">SUM(K349:N349)</f>
        <v>5.78749732781205</v>
      </c>
      <c r="S349" s="50" t="n">
        <f aca="false">SUM(P349:R349)</f>
        <v>10.1282513690922</v>
      </c>
    </row>
    <row r="350" customFormat="false" ht="15" hidden="false" customHeight="false" outlineLevel="0" collapsed="false">
      <c r="A350" s="9" t="s">
        <v>530</v>
      </c>
      <c r="B350" s="36" t="s">
        <v>527</v>
      </c>
      <c r="C350" s="49" t="n">
        <f aca="false">C347+C348+C349</f>
        <v>0</v>
      </c>
      <c r="D350" s="49" t="n">
        <f aca="false">D347+D348+D349</f>
        <v>4.26821949660248</v>
      </c>
      <c r="E350" s="49" t="n">
        <f aca="false">E347+E348+E349</f>
        <v>8.02604782859345</v>
      </c>
      <c r="F350" s="49" t="n">
        <f aca="false">F347+F348+F349</f>
        <v>9.48182307794993</v>
      </c>
      <c r="G350" s="49" t="n">
        <f aca="false">G347+G348+G349</f>
        <v>12.4337274407943</v>
      </c>
      <c r="H350" s="49" t="n">
        <f aca="false">H347+H348+H349</f>
        <v>15.3428186298339</v>
      </c>
      <c r="I350" s="49" t="n">
        <f aca="false">I347+I348+I349</f>
        <v>22.0016319548122</v>
      </c>
      <c r="J350" s="49" t="n">
        <f aca="false">J347+J348+J349</f>
        <v>28.4887763789181</v>
      </c>
      <c r="K350" s="49" t="n">
        <f aca="false">K347+K348+K349</f>
        <v>28.267533066446</v>
      </c>
      <c r="L350" s="49" t="n">
        <f aca="false">L347+L348+L349</f>
        <v>27.7475415822467</v>
      </c>
      <c r="M350" s="49" t="n">
        <f aca="false">M347+M348+M349</f>
        <v>27.2482537724972</v>
      </c>
      <c r="N350" s="49" t="n">
        <f aca="false">N347+N348+N349</f>
        <v>26.7688453118983</v>
      </c>
      <c r="P350" s="49" t="n">
        <f aca="false">SUM(C350:F350)</f>
        <v>21.7760904031459</v>
      </c>
      <c r="Q350" s="49" t="n">
        <f aca="false">SUM(G350:J350)</f>
        <v>78.2669544043585</v>
      </c>
      <c r="R350" s="49" t="n">
        <f aca="false">SUM(K350:N350)</f>
        <v>110.032173733088</v>
      </c>
      <c r="S350" s="50" t="n">
        <f aca="false">SUM(P350:R350)</f>
        <v>210.075218540593</v>
      </c>
    </row>
    <row r="351" customFormat="false" ht="15" hidden="false" customHeight="false" outlineLevel="0" collapsed="false">
      <c r="A351" s="35" t="s">
        <v>533</v>
      </c>
      <c r="B351" s="35" t="s">
        <v>444</v>
      </c>
      <c r="C351" s="6" t="s">
        <v>354</v>
      </c>
      <c r="D351" s="6" t="s">
        <v>355</v>
      </c>
      <c r="E351" s="6" t="s">
        <v>356</v>
      </c>
      <c r="F351" s="6" t="s">
        <v>357</v>
      </c>
      <c r="G351" s="6" t="s">
        <v>358</v>
      </c>
      <c r="H351" s="6" t="s">
        <v>359</v>
      </c>
      <c r="I351" s="6" t="s">
        <v>360</v>
      </c>
      <c r="J351" s="6" t="s">
        <v>361</v>
      </c>
      <c r="K351" s="6" t="s">
        <v>362</v>
      </c>
      <c r="L351" s="6" t="s">
        <v>363</v>
      </c>
      <c r="M351" s="6" t="s">
        <v>364</v>
      </c>
      <c r="N351" s="6" t="s">
        <v>365</v>
      </c>
      <c r="P351" s="6" t="s">
        <v>445</v>
      </c>
      <c r="Q351" s="6" t="s">
        <v>446</v>
      </c>
      <c r="R351" s="6" t="s">
        <v>447</v>
      </c>
      <c r="S351" s="6" t="s">
        <v>448</v>
      </c>
    </row>
    <row r="352" customFormat="false" ht="15" hidden="false" customHeight="false" outlineLevel="0" collapsed="false">
      <c r="A352" s="4" t="s">
        <v>534</v>
      </c>
      <c r="B352" s="36" t="s">
        <v>527</v>
      </c>
      <c r="C352" s="48" t="n">
        <f aca="false">0*Assumptions!$F$59^(1/4)+C347</f>
        <v>0</v>
      </c>
      <c r="D352" s="48" t="n">
        <f aca="false">C352*Assumptions!$F$59^(1/4)+D347</f>
        <v>2.84351752341251</v>
      </c>
      <c r="E352" s="48" t="n">
        <f aca="false">D352*Assumptions!$F$59^(1/4)+E347</f>
        <v>7.92389175377895</v>
      </c>
      <c r="F352" s="48" t="n">
        <f aca="false">E352*Assumptions!$F$59^(1/4)+F347</f>
        <v>13.6934366253004</v>
      </c>
      <c r="G352" s="48" t="n">
        <f aca="false">F352*Assumptions!$F$59^(1/4)+G347</f>
        <v>21.2903393506211</v>
      </c>
      <c r="H352" s="48" t="n">
        <f aca="false">G352*Assumptions!$F$59^(1/4)+H347</f>
        <v>30.6063042410868</v>
      </c>
      <c r="I352" s="48" t="n">
        <f aca="false">H352*Assumptions!$F$59^(1/4)+I347</f>
        <v>44.3790575695479</v>
      </c>
      <c r="J352" s="48" t="n">
        <f aca="false">I352*Assumptions!$F$59^(1/4)+J347</f>
        <v>62.2369954993703</v>
      </c>
      <c r="K352" s="48" t="n">
        <f aca="false">J352*Assumptions!$F$59^(1/4)+K347</f>
        <v>79.3240779969387</v>
      </c>
      <c r="L352" s="48" t="n">
        <f aca="false">K352*Assumptions!$F$59^(1/4)+L347</f>
        <v>95.6723912400006</v>
      </c>
      <c r="M352" s="48" t="n">
        <f aca="false">L352*Assumptions!$F$59^(1/4)+M347</f>
        <v>111.312711393253</v>
      </c>
      <c r="N352" s="48" t="n">
        <f aca="false">M352*Assumptions!$F$59^(1/4)+N347</f>
        <v>126.274557524097</v>
      </c>
      <c r="P352" s="49" t="n">
        <f aca="false">F352</f>
        <v>13.6934366253004</v>
      </c>
      <c r="Q352" s="49" t="n">
        <f aca="false">J352</f>
        <v>62.2369954993703</v>
      </c>
      <c r="R352" s="49" t="n">
        <f aca="false">N352</f>
        <v>126.274557524097</v>
      </c>
      <c r="S352" s="50" t="n">
        <f aca="false">R352</f>
        <v>126.274557524097</v>
      </c>
    </row>
    <row r="353" customFormat="false" ht="15" hidden="false" customHeight="false" outlineLevel="0" collapsed="false">
      <c r="A353" s="4" t="s">
        <v>535</v>
      </c>
      <c r="B353" s="36" t="s">
        <v>527</v>
      </c>
      <c r="C353" s="48" t="n">
        <f aca="false">0*Assumptions!$F$60^(1/4)+C348</f>
        <v>0</v>
      </c>
      <c r="D353" s="48" t="n">
        <f aca="false">C353*Assumptions!$F$60^(1/4)+D348</f>
        <v>1.42470197318996</v>
      </c>
      <c r="E353" s="48" t="n">
        <f aca="false">D353*Assumptions!$F$60^(1/4)+E348</f>
        <v>3.97773098828223</v>
      </c>
      <c r="F353" s="48" t="n">
        <f aca="false">E353*Assumptions!$F$60^(1/4)+F348</f>
        <v>6.8894712186872</v>
      </c>
      <c r="G353" s="48" t="n">
        <f aca="false">F353*Assumptions!$F$60^(1/4)+G348</f>
        <v>10.6535480796233</v>
      </c>
      <c r="H353" s="48" t="n">
        <f aca="false">G353*Assumptions!$F$60^(1/4)+H348</f>
        <v>15.225043996922</v>
      </c>
      <c r="I353" s="48" t="n">
        <f aca="false">H353*Assumptions!$F$60^(1/4)+I348</f>
        <v>21.5653679439319</v>
      </c>
      <c r="J353" s="48" t="n">
        <f aca="false">I353*Assumptions!$F$60^(1/4)+J348</f>
        <v>29.5779095120606</v>
      </c>
      <c r="K353" s="48" t="n">
        <f aca="false">J353*Assumptions!$F$60^(1/4)+K348</f>
        <v>37.2886630200279</v>
      </c>
      <c r="L353" s="48" t="n">
        <f aca="false">K353*Assumptions!$F$60^(1/4)+L348</f>
        <v>44.7093344215096</v>
      </c>
      <c r="M353" s="48" t="n">
        <f aca="false">L353*Assumptions!$F$60^(1/4)+M348</f>
        <v>51.8511691638623</v>
      </c>
      <c r="N353" s="48" t="n">
        <f aca="false">M353*Assumptions!$F$60^(1/4)+N348</f>
        <v>58.7249704232096</v>
      </c>
      <c r="P353" s="49" t="n">
        <f aca="false">F353</f>
        <v>6.8894712186872</v>
      </c>
      <c r="Q353" s="49" t="n">
        <f aca="false">J353</f>
        <v>29.5779095120606</v>
      </c>
      <c r="R353" s="49" t="n">
        <f aca="false">N353</f>
        <v>58.7249704232096</v>
      </c>
      <c r="S353" s="50" t="n">
        <f aca="false">R353</f>
        <v>58.7249704232096</v>
      </c>
    </row>
    <row r="354" customFormat="false" ht="15" hidden="false" customHeight="false" outlineLevel="0" collapsed="false">
      <c r="A354" s="4" t="s">
        <v>536</v>
      </c>
      <c r="B354" s="36" t="s">
        <v>527</v>
      </c>
      <c r="C354" s="48" t="n">
        <f aca="false">0*Assumptions!$F$61^(1/4)+C349</f>
        <v>0</v>
      </c>
      <c r="D354" s="48" t="n">
        <f aca="false">C354*Assumptions!$F$61^(1/4)+D349</f>
        <v>0</v>
      </c>
      <c r="E354" s="48" t="n">
        <f aca="false">D354*Assumptions!$F$61^(1/4)+E349</f>
        <v>0.300770416562326</v>
      </c>
      <c r="F354" s="48" t="n">
        <f aca="false">E354*Assumptions!$F$61^(1/4)+F349</f>
        <v>0.841318532978722</v>
      </c>
      <c r="G354" s="48" t="n">
        <f aca="false">F354*Assumptions!$F$61^(1/4)+G349</f>
        <v>1.46039744109895</v>
      </c>
      <c r="H354" s="48" t="n">
        <f aca="false">G354*Assumptions!$F$61^(1/4)+H349</f>
        <v>2.20950151147293</v>
      </c>
      <c r="I354" s="48" t="n">
        <f aca="false">H354*Assumptions!$F$61^(1/4)+I349</f>
        <v>3.08298687311766</v>
      </c>
      <c r="J354" s="48" t="n">
        <f aca="false">I354*Assumptions!$F$61^(1/4)+J349</f>
        <v>4.24016057467719</v>
      </c>
      <c r="K354" s="48" t="n">
        <f aca="false">J354*Assumptions!$F$61^(1/4)+K349</f>
        <v>5.67380853305792</v>
      </c>
      <c r="L354" s="48" t="n">
        <f aca="false">K354*Assumptions!$F$61^(1/4)+L349</f>
        <v>7.06125602135132</v>
      </c>
      <c r="M354" s="48" t="n">
        <f aca="false">L354*Assumptions!$F$61^(1/4)+M349</f>
        <v>8.40420389286579</v>
      </c>
      <c r="N354" s="48" t="n">
        <f aca="false">M354*Assumptions!$F$61^(1/4)+N349</f>
        <v>9.70428704717879</v>
      </c>
      <c r="P354" s="49" t="n">
        <f aca="false">F354</f>
        <v>0.841318532978722</v>
      </c>
      <c r="Q354" s="49" t="n">
        <f aca="false">J354</f>
        <v>4.24016057467719</v>
      </c>
      <c r="R354" s="49" t="n">
        <f aca="false">N354</f>
        <v>9.70428704717879</v>
      </c>
      <c r="S354" s="50" t="n">
        <f aca="false">R354</f>
        <v>9.70428704717879</v>
      </c>
    </row>
    <row r="355" customFormat="false" ht="15" hidden="false" customHeight="false" outlineLevel="0" collapsed="false">
      <c r="A355" s="9" t="s">
        <v>537</v>
      </c>
      <c r="B355" s="36" t="s">
        <v>527</v>
      </c>
      <c r="C355" s="49" t="n">
        <f aca="false">C352+C353+C354</f>
        <v>0</v>
      </c>
      <c r="D355" s="49" t="n">
        <f aca="false">D352+D353+D354</f>
        <v>4.26821949660248</v>
      </c>
      <c r="E355" s="49" t="n">
        <f aca="false">E352+E353+E354</f>
        <v>12.2023931586235</v>
      </c>
      <c r="F355" s="49" t="n">
        <f aca="false">F352+F353+F354</f>
        <v>21.4242263769663</v>
      </c>
      <c r="G355" s="49" t="n">
        <f aca="false">G352+G353+G354</f>
        <v>33.4042848713434</v>
      </c>
      <c r="H355" s="49" t="n">
        <f aca="false">H352+H353+H354</f>
        <v>48.0408497494818</v>
      </c>
      <c r="I355" s="49" t="n">
        <f aca="false">I352+I353+I354</f>
        <v>69.0274123865975</v>
      </c>
      <c r="J355" s="49" t="n">
        <f aca="false">J352+J353+J354</f>
        <v>96.0550655861081</v>
      </c>
      <c r="K355" s="49" t="n">
        <f aca="false">K352+K353+K354</f>
        <v>122.286549550025</v>
      </c>
      <c r="L355" s="49" t="n">
        <f aca="false">L352+L353+L354</f>
        <v>147.442981682861</v>
      </c>
      <c r="M355" s="49" t="n">
        <f aca="false">M352+M353+M354</f>
        <v>171.568084449981</v>
      </c>
      <c r="N355" s="49" t="n">
        <f aca="false">N352+N353+N354</f>
        <v>194.703814994485</v>
      </c>
      <c r="P355" s="49" t="n">
        <f aca="false">F355</f>
        <v>21.4242263769663</v>
      </c>
      <c r="Q355" s="49" t="n">
        <f aca="false">J355</f>
        <v>96.0550655861081</v>
      </c>
      <c r="R355" s="49" t="n">
        <f aca="false">N355</f>
        <v>194.703814994485</v>
      </c>
      <c r="S355" s="50" t="n">
        <f aca="false">R355</f>
        <v>194.703814994485</v>
      </c>
    </row>
    <row r="356" customFormat="false" ht="15" hidden="false" customHeight="false" outlineLevel="0" collapsed="false">
      <c r="A356" s="4" t="s">
        <v>538</v>
      </c>
      <c r="B356" s="36" t="s">
        <v>125</v>
      </c>
      <c r="C356" s="54" t="n">
        <f aca="false">0*Assumptions!$F$62^(1/4)+C347*$C$296</f>
        <v>0</v>
      </c>
      <c r="D356" s="54" t="n">
        <f aca="false">C356*Assumptions!$F$62^(1/4)+D347*$C$296</f>
        <v>15218.5057853038</v>
      </c>
      <c r="E356" s="54" t="n">
        <f aca="false">D356*Assumptions!$F$62^(1/4)+E347*$C$296</f>
        <v>42986.6026007925</v>
      </c>
      <c r="F356" s="54" t="n">
        <f aca="false">E356*Assumptions!$F$62^(1/4)+F347*$C$296</f>
        <v>75484.187606861</v>
      </c>
      <c r="G356" s="54" t="n">
        <f aca="false">F356*Assumptions!$F$62^(1/4)+G347*$C$296</f>
        <v>118958.18619422</v>
      </c>
      <c r="H356" s="54" t="n">
        <f aca="false">G356*Assumptions!$F$62^(1/4)+H347*$C$296</f>
        <v>173217.958957225</v>
      </c>
      <c r="I356" s="54" t="n">
        <f aca="false">H356*Assumptions!$F$62^(1/4)+I347*$C$296</f>
        <v>253288.472874796</v>
      </c>
      <c r="J356" s="54" t="n">
        <f aca="false">I356*Assumptions!$F$62^(1/4)+J347*$C$296</f>
        <v>358115.460748432</v>
      </c>
      <c r="K356" s="54" t="n">
        <f aca="false">J356*Assumptions!$F$62^(1/4)+K347*$C$296</f>
        <v>462582.139350231</v>
      </c>
      <c r="L356" s="54" t="n">
        <f aca="false">K356*Assumptions!$F$62^(1/4)+L347*$C$296</f>
        <v>566758.812084531</v>
      </c>
      <c r="M356" s="54" t="n">
        <f aca="false">L356*Assumptions!$F$62^(1/4)+M347*$C$296</f>
        <v>670713.804309135</v>
      </c>
      <c r="N356" s="54" t="n">
        <f aca="false">M356*Assumptions!$F$62^(1/4)+N347*$C$296</f>
        <v>774513.554140923</v>
      </c>
      <c r="P356" s="55" t="n">
        <f aca="false">F356</f>
        <v>75484.187606861</v>
      </c>
      <c r="Q356" s="55" t="n">
        <f aca="false">J356</f>
        <v>358115.460748432</v>
      </c>
      <c r="R356" s="55" t="n">
        <f aca="false">N356</f>
        <v>774513.554140923</v>
      </c>
      <c r="S356" s="56" t="n">
        <f aca="false">R356</f>
        <v>774513.554140923</v>
      </c>
    </row>
    <row r="357" customFormat="false" ht="15" hidden="false" customHeight="false" outlineLevel="0" collapsed="false">
      <c r="A357" s="4" t="s">
        <v>539</v>
      </c>
      <c r="B357" s="36" t="s">
        <v>125</v>
      </c>
      <c r="C357" s="54" t="n">
        <f aca="false">0*Assumptions!$F$63^(1/4)+C348*$C$297</f>
        <v>0</v>
      </c>
      <c r="D357" s="54" t="n">
        <f aca="false">C357*Assumptions!$F$63^(1/4)+D348*$C$297</f>
        <v>20871.9981585408</v>
      </c>
      <c r="E357" s="54" t="n">
        <f aca="false">D357*Assumptions!$F$63^(1/4)+E348*$C$297</f>
        <v>59391.5055128194</v>
      </c>
      <c r="F357" s="54" t="n">
        <f aca="false">E357*Assumptions!$F$63^(1/4)+F348*$C$297</f>
        <v>105208.295719392</v>
      </c>
      <c r="G357" s="54" t="n">
        <f aca="false">F357*Assumptions!$F$63^(1/4)+G348*$C$297</f>
        <v>165907.98079491</v>
      </c>
      <c r="H357" s="54" t="n">
        <f aca="false">G357*Assumptions!$F$63^(1/4)+H348*$C$297</f>
        <v>241586.223034926</v>
      </c>
      <c r="I357" s="54" t="n">
        <f aca="false">H357*Assumptions!$F$63^(1/4)+I348*$C$297</f>
        <v>347073.019857215</v>
      </c>
      <c r="J357" s="54" t="n">
        <f aca="false">I357*Assumptions!$F$63^(1/4)+J348*$C$297</f>
        <v>482478.856430746</v>
      </c>
      <c r="K357" s="54" t="n">
        <f aca="false">J357*Assumptions!$F$63^(1/4)+K348*$C$297</f>
        <v>620388.708562323</v>
      </c>
      <c r="L357" s="54" t="n">
        <f aca="false">K357*Assumptions!$F$63^(1/4)+L348*$C$297</f>
        <v>760983.617907974</v>
      </c>
      <c r="M357" s="54" t="n">
        <f aca="false">L357*Assumptions!$F$63^(1/4)+M348*$C$297</f>
        <v>904447.400452469</v>
      </c>
      <c r="N357" s="54" t="n">
        <f aca="false">M357*Assumptions!$F$63^(1/4)+N348*$C$297</f>
        <v>1050966.89100951</v>
      </c>
      <c r="P357" s="55" t="n">
        <f aca="false">F357</f>
        <v>105208.295719392</v>
      </c>
      <c r="Q357" s="55" t="n">
        <f aca="false">J357</f>
        <v>482478.856430746</v>
      </c>
      <c r="R357" s="55" t="n">
        <f aca="false">N357</f>
        <v>1050966.89100951</v>
      </c>
      <c r="S357" s="56" t="n">
        <f aca="false">R357</f>
        <v>1050966.89100951</v>
      </c>
    </row>
    <row r="358" customFormat="false" ht="15" hidden="false" customHeight="false" outlineLevel="0" collapsed="false">
      <c r="A358" s="4" t="s">
        <v>540</v>
      </c>
      <c r="B358" s="36" t="s">
        <v>125</v>
      </c>
      <c r="C358" s="54" t="n">
        <f aca="false">0*Assumptions!$F$64^(1/4)+C349*$C$298</f>
        <v>0</v>
      </c>
      <c r="D358" s="54" t="n">
        <f aca="false">C358*Assumptions!$F$64^(1/4)+D349*$C$298</f>
        <v>0</v>
      </c>
      <c r="E358" s="54" t="n">
        <f aca="false">D358*Assumptions!$F$64^(1/4)+E349*$C$298</f>
        <v>27871.6077864219</v>
      </c>
      <c r="F358" s="54" t="n">
        <f aca="false">E358*Assumptions!$F$64^(1/4)+F349*$C$298</f>
        <v>80207.328199735</v>
      </c>
      <c r="G358" s="54" t="n">
        <f aca="false">F358*Assumptions!$F$64^(1/4)+G349*$C$298</f>
        <v>144006.363231922</v>
      </c>
      <c r="H358" s="54" t="n">
        <f aca="false">G358*Assumptions!$F$64^(1/4)+H349*$C$298</f>
        <v>224910.381956475</v>
      </c>
      <c r="I358" s="54" t="n">
        <f aca="false">H358*Assumptions!$F$64^(1/4)+I349*$C$298</f>
        <v>323709.450944504</v>
      </c>
      <c r="J358" s="54" t="n">
        <f aca="false">I358*Assumptions!$F$64^(1/4)+J349*$C$298</f>
        <v>456526.101806471</v>
      </c>
      <c r="K358" s="54" t="n">
        <f aca="false">J358*Assumptions!$F$64^(1/4)+K349*$C$298</f>
        <v>625332.831002605</v>
      </c>
      <c r="L358" s="54" t="n">
        <f aca="false">K358*Assumptions!$F$64^(1/4)+L349*$C$298</f>
        <v>802994.419959727</v>
      </c>
      <c r="M358" s="54" t="n">
        <f aca="false">L358*Assumptions!$F$64^(1/4)+M349*$C$298</f>
        <v>990214.203308549</v>
      </c>
      <c r="N358" s="54" t="n">
        <f aca="false">M358*Assumptions!$F$64^(1/4)+N349*$C$298</f>
        <v>1187739.09118219</v>
      </c>
      <c r="P358" s="55" t="n">
        <f aca="false">F358</f>
        <v>80207.328199735</v>
      </c>
      <c r="Q358" s="55" t="n">
        <f aca="false">J358</f>
        <v>456526.101806471</v>
      </c>
      <c r="R358" s="55" t="n">
        <f aca="false">N358</f>
        <v>1187739.09118219</v>
      </c>
      <c r="S358" s="56" t="n">
        <f aca="false">R358</f>
        <v>1187739.09118219</v>
      </c>
    </row>
    <row r="359" customFormat="false" ht="15" hidden="false" customHeight="false" outlineLevel="0" collapsed="false">
      <c r="A359" s="9" t="s">
        <v>541</v>
      </c>
      <c r="B359" s="36" t="s">
        <v>125</v>
      </c>
      <c r="C359" s="55" t="n">
        <f aca="false">C356+C357+C358</f>
        <v>0</v>
      </c>
      <c r="D359" s="55" t="n">
        <f aca="false">D356+D357+D358</f>
        <v>36090.5039438446</v>
      </c>
      <c r="E359" s="55" t="n">
        <f aca="false">E356+E357+E358</f>
        <v>130249.715900034</v>
      </c>
      <c r="F359" s="55" t="n">
        <f aca="false">F356+F357+F358</f>
        <v>260899.811525988</v>
      </c>
      <c r="G359" s="55" t="n">
        <f aca="false">G356+G357+G358</f>
        <v>428872.530221052</v>
      </c>
      <c r="H359" s="55" t="n">
        <f aca="false">H356+H357+H358</f>
        <v>639714.563948626</v>
      </c>
      <c r="I359" s="55" t="n">
        <f aca="false">I356+I357+I358</f>
        <v>924070.943676515</v>
      </c>
      <c r="J359" s="55" t="n">
        <f aca="false">J356+J357+J358</f>
        <v>1297120.41898565</v>
      </c>
      <c r="K359" s="55" t="n">
        <f aca="false">K356+K357+K358</f>
        <v>1708303.67891516</v>
      </c>
      <c r="L359" s="55" t="n">
        <f aca="false">L356+L357+L358</f>
        <v>2130736.84995223</v>
      </c>
      <c r="M359" s="55" t="n">
        <f aca="false">M356+M357+M358</f>
        <v>2565375.40807015</v>
      </c>
      <c r="N359" s="55" t="n">
        <f aca="false">N356+N357+N358</f>
        <v>3013219.53633262</v>
      </c>
      <c r="P359" s="55" t="n">
        <f aca="false">F359</f>
        <v>260899.811525988</v>
      </c>
      <c r="Q359" s="55" t="n">
        <f aca="false">J359</f>
        <v>1297120.41898565</v>
      </c>
      <c r="R359" s="55" t="n">
        <f aca="false">N359</f>
        <v>3013219.53633262</v>
      </c>
      <c r="S359" s="56" t="n">
        <f aca="false">R359</f>
        <v>3013219.53633262</v>
      </c>
    </row>
    <row r="360" customFormat="false" ht="15" hidden="false" customHeight="false" outlineLevel="0" collapsed="false">
      <c r="A360" s="4" t="s">
        <v>542</v>
      </c>
      <c r="B360" s="36" t="s">
        <v>125</v>
      </c>
      <c r="C360" s="54" t="n">
        <f aca="false">C347*$C$296+C348*$C$297+C349*$C$298</f>
        <v>0</v>
      </c>
      <c r="D360" s="54" t="n">
        <f aca="false">D347*$C$296+D348*$C$297+D349*$C$298</f>
        <v>36090.5039438446</v>
      </c>
      <c r="E360" s="54" t="n">
        <f aca="false">E347*$C$296+E348*$C$297+E349*$C$298</f>
        <v>93193.7298394552</v>
      </c>
      <c r="F360" s="54" t="n">
        <f aca="false">F347*$C$296+F348*$C$297+F349*$C$298</f>
        <v>126018.053623191</v>
      </c>
      <c r="G360" s="54" t="n">
        <f aca="false">G347*$C$296+G348*$C$297+G349*$C$298</f>
        <v>157686.818164265</v>
      </c>
      <c r="H360" s="54" t="n">
        <f aca="false">H347*$C$296+H348*$C$297+H349*$C$298</f>
        <v>193434.903571121</v>
      </c>
      <c r="I360" s="54" t="n">
        <f aca="false">I347*$C$296+I348*$C$297+I349*$C$298</f>
        <v>257977.596103637</v>
      </c>
      <c r="J360" s="54" t="n">
        <f aca="false">J347*$C$296+J348*$C$297+J349*$C$298</f>
        <v>335047.255549449</v>
      </c>
      <c r="K360" s="54" t="n">
        <f aca="false">K347*$C$296+K348*$C$297+K349*$C$298</f>
        <v>357824.416908927</v>
      </c>
      <c r="L360" s="54" t="n">
        <f aca="false">L347*$C$296+L348*$C$297+L349*$C$298</f>
        <v>351194.187486092</v>
      </c>
      <c r="M360" s="54" t="n">
        <f aca="false">M347*$C$296+M348*$C$297+M349*$C$298</f>
        <v>344827.943370071</v>
      </c>
      <c r="N360" s="54" t="n">
        <f aca="false">N347*$C$296+N348*$C$297+N349*$C$298</f>
        <v>338715.173877483</v>
      </c>
      <c r="P360" s="55" t="n">
        <f aca="false">SUM(C360:F360)</f>
        <v>255302.287406491</v>
      </c>
      <c r="Q360" s="55" t="n">
        <f aca="false">SUM(G360:J360)</f>
        <v>944146.573388471</v>
      </c>
      <c r="R360" s="55" t="n">
        <f aca="false">SUM(K360:N360)</f>
        <v>1392561.72164257</v>
      </c>
      <c r="S360" s="56" t="n">
        <f aca="false">SUM(P360:R360)</f>
        <v>2592010.58243753</v>
      </c>
    </row>
    <row r="361" customFormat="false" ht="15" hidden="false" customHeight="false" outlineLevel="0" collapsed="false">
      <c r="A361" s="9" t="s">
        <v>543</v>
      </c>
      <c r="B361" s="36" t="s">
        <v>125</v>
      </c>
      <c r="C361" s="55" t="n">
        <f aca="false">(0+C359)/8</f>
        <v>0</v>
      </c>
      <c r="D361" s="55" t="n">
        <f aca="false">(C359+D359)/8</f>
        <v>4511.31299298058</v>
      </c>
      <c r="E361" s="55" t="n">
        <f aca="false">(D359+E359)/8</f>
        <v>20792.5274804848</v>
      </c>
      <c r="F361" s="55" t="n">
        <f aca="false">(E359+F359)/8</f>
        <v>48893.6909282527</v>
      </c>
      <c r="G361" s="55" t="n">
        <f aca="false">(F359+G359)/8</f>
        <v>86221.5427183799</v>
      </c>
      <c r="H361" s="55" t="n">
        <f aca="false">(G359+H359)/8</f>
        <v>133573.38677121</v>
      </c>
      <c r="I361" s="55" t="n">
        <f aca="false">(H359+I359)/8</f>
        <v>195473.188453143</v>
      </c>
      <c r="J361" s="55" t="n">
        <f aca="false">(I359+J359)/8</f>
        <v>277648.920332771</v>
      </c>
      <c r="K361" s="55" t="n">
        <f aca="false">(J359+K359)/8</f>
        <v>375678.012237601</v>
      </c>
      <c r="L361" s="55" t="n">
        <f aca="false">(K359+L359)/8</f>
        <v>479880.066108424</v>
      </c>
      <c r="M361" s="55" t="n">
        <f aca="false">(L359+M359)/8</f>
        <v>587014.032252798</v>
      </c>
      <c r="N361" s="55" t="n">
        <f aca="false">(M359+N359)/8</f>
        <v>697324.368050347</v>
      </c>
      <c r="P361" s="55" t="n">
        <f aca="false">SUM(C361:F361)</f>
        <v>74197.5314017181</v>
      </c>
      <c r="Q361" s="55" t="n">
        <f aca="false">SUM(G361:J361)</f>
        <v>692917.038275503</v>
      </c>
      <c r="R361" s="55" t="n">
        <f aca="false">SUM(K361:N361)</f>
        <v>2139896.47864917</v>
      </c>
      <c r="S361" s="56" t="n">
        <f aca="false">SUM(P361:R361)</f>
        <v>2907011.04832639</v>
      </c>
    </row>
    <row r="362" customFormat="false" ht="15" hidden="false" customHeight="false" outlineLevel="0" collapsed="false">
      <c r="A362" s="4" t="s">
        <v>544</v>
      </c>
      <c r="B362" s="36" t="s">
        <v>125</v>
      </c>
      <c r="C362" s="54" t="n">
        <f aca="false">C361*Assumptions!$F$76</f>
        <v>0</v>
      </c>
      <c r="D362" s="54" t="n">
        <f aca="false">D361*Assumptions!$F$76</f>
        <v>3248.14535494601</v>
      </c>
      <c r="E362" s="54" t="n">
        <f aca="false">E361*Assumptions!$F$76</f>
        <v>14970.6197859491</v>
      </c>
      <c r="F362" s="54" t="n">
        <f aca="false">F361*Assumptions!$F$76</f>
        <v>35203.4574683419</v>
      </c>
      <c r="G362" s="54" t="n">
        <f aca="false">G361*Assumptions!$F$76</f>
        <v>62079.5107572335</v>
      </c>
      <c r="H362" s="54" t="n">
        <f aca="false">H361*Assumptions!$F$76</f>
        <v>96172.838475271</v>
      </c>
      <c r="I362" s="54" t="n">
        <f aca="false">I361*Assumptions!$F$76</f>
        <v>140740.695686263</v>
      </c>
      <c r="J362" s="54" t="n">
        <f aca="false">J361*Assumptions!$F$76</f>
        <v>199907.222639595</v>
      </c>
      <c r="K362" s="54" t="n">
        <f aca="false">K361*Assumptions!$F$76</f>
        <v>270488.168811073</v>
      </c>
      <c r="L362" s="54" t="n">
        <f aca="false">L361*Assumptions!$F$76</f>
        <v>345513.647598065</v>
      </c>
      <c r="M362" s="54" t="n">
        <f aca="false">M361*Assumptions!$F$76</f>
        <v>422650.103222015</v>
      </c>
      <c r="N362" s="54" t="n">
        <f aca="false">N361*Assumptions!$F$76</f>
        <v>502073.54499625</v>
      </c>
      <c r="P362" s="55" t="n">
        <f aca="false">SUM(C362:F362)</f>
        <v>53422.222609237</v>
      </c>
      <c r="Q362" s="55" t="n">
        <f aca="false">SUM(G362:J362)</f>
        <v>498900.267558362</v>
      </c>
      <c r="R362" s="55" t="n">
        <f aca="false">SUM(K362:N362)</f>
        <v>1540725.4646274</v>
      </c>
      <c r="S362" s="56" t="n">
        <f aca="false">SUM(P362:R362)</f>
        <v>2093047.954795</v>
      </c>
    </row>
    <row r="363" customFormat="false" ht="15" hidden="false" customHeight="false" outlineLevel="0" collapsed="false">
      <c r="A363" s="35" t="s">
        <v>547</v>
      </c>
      <c r="B363" s="35" t="s">
        <v>444</v>
      </c>
      <c r="C363" s="6" t="s">
        <v>354</v>
      </c>
      <c r="D363" s="6" t="s">
        <v>355</v>
      </c>
      <c r="E363" s="6" t="s">
        <v>356</v>
      </c>
      <c r="F363" s="6" t="s">
        <v>357</v>
      </c>
      <c r="G363" s="6" t="s">
        <v>358</v>
      </c>
      <c r="H363" s="6" t="s">
        <v>359</v>
      </c>
      <c r="I363" s="6" t="s">
        <v>360</v>
      </c>
      <c r="J363" s="6" t="s">
        <v>361</v>
      </c>
      <c r="K363" s="6" t="s">
        <v>362</v>
      </c>
      <c r="L363" s="6" t="s">
        <v>363</v>
      </c>
      <c r="M363" s="6" t="s">
        <v>364</v>
      </c>
      <c r="N363" s="6" t="s">
        <v>365</v>
      </c>
      <c r="P363" s="6" t="s">
        <v>445</v>
      </c>
      <c r="Q363" s="6" t="s">
        <v>446</v>
      </c>
      <c r="R363" s="6" t="s">
        <v>447</v>
      </c>
      <c r="S363" s="6" t="s">
        <v>448</v>
      </c>
    </row>
    <row r="364" customFormat="false" ht="15" hidden="false" customHeight="false" outlineLevel="0" collapsed="false">
      <c r="A364" s="4" t="s">
        <v>548</v>
      </c>
      <c r="B364" s="36" t="s">
        <v>321</v>
      </c>
      <c r="C364" s="48" t="n">
        <f aca="false">Assumptions!$D$97*C306</f>
        <v>1</v>
      </c>
      <c r="D364" s="48" t="n">
        <f aca="false">Assumptions!$D$97*D306</f>
        <v>1</v>
      </c>
      <c r="E364" s="48" t="n">
        <f aca="false">Assumptions!$D$97*E306</f>
        <v>1</v>
      </c>
      <c r="F364" s="48" t="n">
        <f aca="false">Assumptions!$D$97*F306</f>
        <v>1</v>
      </c>
      <c r="G364" s="48" t="n">
        <f aca="false">Assumptions!$D$97*G306</f>
        <v>1</v>
      </c>
      <c r="H364" s="48" t="n">
        <f aca="false">Assumptions!$D$97*H306</f>
        <v>1</v>
      </c>
      <c r="I364" s="48" t="n">
        <f aca="false">Assumptions!$D$97*I306</f>
        <v>1</v>
      </c>
      <c r="J364" s="48" t="n">
        <f aca="false">Assumptions!$D$97*J306</f>
        <v>1</v>
      </c>
      <c r="K364" s="48" t="n">
        <f aca="false">Assumptions!$D$97*K306</f>
        <v>1</v>
      </c>
      <c r="L364" s="48" t="n">
        <f aca="false">Assumptions!$D$97*L306</f>
        <v>1</v>
      </c>
      <c r="M364" s="48" t="n">
        <f aca="false">Assumptions!$D$97*M306</f>
        <v>1</v>
      </c>
      <c r="N364" s="48" t="n">
        <f aca="false">Assumptions!$D$97*N306</f>
        <v>1</v>
      </c>
      <c r="P364" s="49" t="n">
        <f aca="false">AVERAGE(C364:F364)</f>
        <v>1</v>
      </c>
      <c r="Q364" s="49" t="n">
        <f aca="false">AVERAGE(G364:J364)</f>
        <v>1</v>
      </c>
      <c r="R364" s="49" t="n">
        <f aca="false">AVERAGE(K364:N364)</f>
        <v>1</v>
      </c>
      <c r="S364" s="50"/>
    </row>
    <row r="365" customFormat="false" ht="15" hidden="false" customHeight="false" outlineLevel="0" collapsed="false">
      <c r="A365" s="4" t="s">
        <v>549</v>
      </c>
      <c r="B365" s="36" t="s">
        <v>321</v>
      </c>
      <c r="C365" s="48" t="n">
        <f aca="false">C319*C306</f>
        <v>0</v>
      </c>
      <c r="D365" s="48" t="n">
        <f aca="false">D319*D306</f>
        <v>0</v>
      </c>
      <c r="E365" s="48" t="n">
        <f aca="false">E319*E306</f>
        <v>0</v>
      </c>
      <c r="F365" s="48" t="n">
        <f aca="false">F319*F306</f>
        <v>0</v>
      </c>
      <c r="G365" s="48" t="n">
        <f aca="false">G319*G306</f>
        <v>0</v>
      </c>
      <c r="H365" s="48" t="n">
        <f aca="false">H319*H306</f>
        <v>0</v>
      </c>
      <c r="I365" s="48" t="n">
        <f aca="false">I319*I306</f>
        <v>0</v>
      </c>
      <c r="J365" s="48" t="n">
        <f aca="false">J319*J306</f>
        <v>0</v>
      </c>
      <c r="K365" s="48" t="n">
        <f aca="false">K319*K306</f>
        <v>0</v>
      </c>
      <c r="L365" s="48" t="n">
        <f aca="false">L319*L306</f>
        <v>0</v>
      </c>
      <c r="M365" s="48" t="n">
        <f aca="false">M319*M306</f>
        <v>0</v>
      </c>
      <c r="N365" s="48" t="n">
        <f aca="false">N319*N306</f>
        <v>0</v>
      </c>
      <c r="P365" s="49" t="n">
        <f aca="false">AVERAGE(C365:F365)</f>
        <v>0</v>
      </c>
      <c r="Q365" s="49" t="n">
        <f aca="false">AVERAGE(G365:J365)</f>
        <v>0</v>
      </c>
      <c r="R365" s="49" t="n">
        <f aca="false">AVERAGE(K365:N365)</f>
        <v>0</v>
      </c>
      <c r="S365" s="50"/>
    </row>
    <row r="366" customFormat="false" ht="15" hidden="false" customHeight="false" outlineLevel="0" collapsed="false">
      <c r="A366" s="4" t="s">
        <v>550</v>
      </c>
      <c r="B366" s="36" t="s">
        <v>321</v>
      </c>
      <c r="C366" s="48" t="n">
        <f aca="false">IF(C305&lt;=4,Assumptions!$D$98,Assumptions!$D$99)*C306</f>
        <v>0</v>
      </c>
      <c r="D366" s="48" t="n">
        <f aca="false">IF(D305&lt;=4,Assumptions!$D$98,Assumptions!$D$99)*D306</f>
        <v>0</v>
      </c>
      <c r="E366" s="48" t="n">
        <f aca="false">IF(E305&lt;=4,Assumptions!$D$98,Assumptions!$D$99)*E306</f>
        <v>0</v>
      </c>
      <c r="F366" s="48" t="n">
        <f aca="false">IF(F305&lt;=4,Assumptions!$D$98,Assumptions!$D$99)*F306</f>
        <v>0</v>
      </c>
      <c r="G366" s="48" t="n">
        <f aca="false">IF(G305&lt;=4,Assumptions!$D$98,Assumptions!$D$99)*G306</f>
        <v>0.5</v>
      </c>
      <c r="H366" s="48" t="n">
        <f aca="false">IF(H305&lt;=4,Assumptions!$D$98,Assumptions!$D$99)*H306</f>
        <v>0.5</v>
      </c>
      <c r="I366" s="48" t="n">
        <f aca="false">IF(I305&lt;=4,Assumptions!$D$98,Assumptions!$D$99)*I306</f>
        <v>0.5</v>
      </c>
      <c r="J366" s="48" t="n">
        <f aca="false">IF(J305&lt;=4,Assumptions!$D$98,Assumptions!$D$99)*J306</f>
        <v>0.5</v>
      </c>
      <c r="K366" s="48" t="n">
        <f aca="false">IF(K305&lt;=4,Assumptions!$D$98,Assumptions!$D$99)*K306</f>
        <v>0.5</v>
      </c>
      <c r="L366" s="48" t="n">
        <f aca="false">IF(L305&lt;=4,Assumptions!$D$98,Assumptions!$D$99)*L306</f>
        <v>0.5</v>
      </c>
      <c r="M366" s="48" t="n">
        <f aca="false">IF(M305&lt;=4,Assumptions!$D$98,Assumptions!$D$99)*M306</f>
        <v>0.5</v>
      </c>
      <c r="N366" s="48" t="n">
        <f aca="false">IF(N305&lt;=4,Assumptions!$D$98,Assumptions!$D$99)*N306</f>
        <v>0.5</v>
      </c>
      <c r="P366" s="49" t="n">
        <f aca="false">AVERAGE(C366:F366)</f>
        <v>0</v>
      </c>
      <c r="Q366" s="49" t="n">
        <f aca="false">AVERAGE(G366:J366)</f>
        <v>0.5</v>
      </c>
      <c r="R366" s="49" t="n">
        <f aca="false">AVERAGE(K366:N366)</f>
        <v>0.5</v>
      </c>
      <c r="S366" s="50"/>
    </row>
    <row r="367" customFormat="false" ht="15" hidden="false" customHeight="false" outlineLevel="0" collapsed="false">
      <c r="A367" s="4" t="s">
        <v>551</v>
      </c>
      <c r="B367" s="36" t="s">
        <v>321</v>
      </c>
      <c r="C367" s="48" t="n">
        <f aca="false">IF(C305&lt;=4,Assumptions!$D$100,Assumptions!$D$101)*C306</f>
        <v>1</v>
      </c>
      <c r="D367" s="48" t="n">
        <f aca="false">IF(D305&lt;=4,Assumptions!$D$100,Assumptions!$D$101)*D306</f>
        <v>1</v>
      </c>
      <c r="E367" s="48" t="n">
        <f aca="false">IF(E305&lt;=4,Assumptions!$D$100,Assumptions!$D$101)*E306</f>
        <v>1</v>
      </c>
      <c r="F367" s="48" t="n">
        <f aca="false">IF(F305&lt;=4,Assumptions!$D$100,Assumptions!$D$101)*F306</f>
        <v>1</v>
      </c>
      <c r="G367" s="48" t="n">
        <f aca="false">IF(G305&lt;=4,Assumptions!$D$100,Assumptions!$D$101)*G306</f>
        <v>0.5</v>
      </c>
      <c r="H367" s="48" t="n">
        <f aca="false">IF(H305&lt;=4,Assumptions!$D$100,Assumptions!$D$101)*H306</f>
        <v>0.5</v>
      </c>
      <c r="I367" s="48" t="n">
        <f aca="false">IF(I305&lt;=4,Assumptions!$D$100,Assumptions!$D$101)*I306</f>
        <v>0.5</v>
      </c>
      <c r="J367" s="48" t="n">
        <f aca="false">IF(J305&lt;=4,Assumptions!$D$100,Assumptions!$D$101)*J306</f>
        <v>0.5</v>
      </c>
      <c r="K367" s="48" t="n">
        <f aca="false">IF(K305&lt;=4,Assumptions!$D$100,Assumptions!$D$101)*K306</f>
        <v>0.5</v>
      </c>
      <c r="L367" s="48" t="n">
        <f aca="false">IF(L305&lt;=4,Assumptions!$D$100,Assumptions!$D$101)*L306</f>
        <v>0.5</v>
      </c>
      <c r="M367" s="48" t="n">
        <f aca="false">IF(M305&lt;=4,Assumptions!$D$100,Assumptions!$D$101)*M306</f>
        <v>0.5</v>
      </c>
      <c r="N367" s="48" t="n">
        <f aca="false">IF(N305&lt;=4,Assumptions!$D$100,Assumptions!$D$101)*N306</f>
        <v>0.5</v>
      </c>
      <c r="P367" s="49" t="n">
        <f aca="false">AVERAGE(C367:F367)</f>
        <v>1</v>
      </c>
      <c r="Q367" s="49" t="n">
        <f aca="false">AVERAGE(G367:J367)</f>
        <v>0.5</v>
      </c>
      <c r="R367" s="49" t="n">
        <f aca="false">AVERAGE(K367:N367)</f>
        <v>0.5</v>
      </c>
      <c r="S367" s="50"/>
    </row>
    <row r="368" customFormat="false" ht="15" hidden="false" customHeight="false" outlineLevel="0" collapsed="false">
      <c r="A368" s="4" t="s">
        <v>552</v>
      </c>
      <c r="B368" s="36" t="s">
        <v>321</v>
      </c>
      <c r="C368" s="48" t="n">
        <f aca="false">Assumptions!$D$102*C306</f>
        <v>0.25</v>
      </c>
      <c r="D368" s="48" t="n">
        <f aca="false">Assumptions!$D$102*D306</f>
        <v>0.25</v>
      </c>
      <c r="E368" s="48" t="n">
        <f aca="false">Assumptions!$D$102*E306</f>
        <v>0.25</v>
      </c>
      <c r="F368" s="48" t="n">
        <f aca="false">Assumptions!$D$102*F306</f>
        <v>0.25</v>
      </c>
      <c r="G368" s="48" t="n">
        <f aca="false">Assumptions!$D$102*G306</f>
        <v>0.25</v>
      </c>
      <c r="H368" s="48" t="n">
        <f aca="false">Assumptions!$D$102*H306</f>
        <v>0.25</v>
      </c>
      <c r="I368" s="48" t="n">
        <f aca="false">Assumptions!$D$102*I306</f>
        <v>0.25</v>
      </c>
      <c r="J368" s="48" t="n">
        <f aca="false">Assumptions!$D$102*J306</f>
        <v>0.25</v>
      </c>
      <c r="K368" s="48" t="n">
        <f aca="false">Assumptions!$D$102*K306</f>
        <v>0.25</v>
      </c>
      <c r="L368" s="48" t="n">
        <f aca="false">Assumptions!$D$102*L306</f>
        <v>0.25</v>
      </c>
      <c r="M368" s="48" t="n">
        <f aca="false">Assumptions!$D$102*M306</f>
        <v>0.25</v>
      </c>
      <c r="N368" s="48" t="n">
        <f aca="false">Assumptions!$D$102*N306</f>
        <v>0.25</v>
      </c>
      <c r="P368" s="49" t="n">
        <f aca="false">AVERAGE(C368:F368)</f>
        <v>0.25</v>
      </c>
      <c r="Q368" s="49" t="n">
        <f aca="false">AVERAGE(G368:J368)</f>
        <v>0.25</v>
      </c>
      <c r="R368" s="49" t="n">
        <f aca="false">AVERAGE(K368:N368)</f>
        <v>0.25</v>
      </c>
      <c r="S368" s="50"/>
    </row>
    <row r="369" customFormat="false" ht="15" hidden="false" customHeight="false" outlineLevel="0" collapsed="false">
      <c r="A369" s="4" t="s">
        <v>553</v>
      </c>
      <c r="B369" s="36" t="s">
        <v>321</v>
      </c>
      <c r="C369" s="48" t="n">
        <f aca="false">(C353+C354)/Assumptions!$F$74+C352/Assumptions!$F$75</f>
        <v>0</v>
      </c>
      <c r="D369" s="48" t="n">
        <f aca="false">(D353+D354)/Assumptions!$F$74+D352/Assumptions!$F$75</f>
        <v>0.0469916194233992</v>
      </c>
      <c r="E369" s="48" t="n">
        <f aca="false">(E353+E354)/Assumptions!$F$74+E352/Assumptions!$F$75</f>
        <v>0.13865810213623</v>
      </c>
      <c r="F369" s="48" t="n">
        <f aca="false">(F353+F354)/Assumptions!$F$74+F352/Assumptions!$F$75</f>
        <v>0.24804349029285</v>
      </c>
      <c r="G369" s="48" t="n">
        <f aca="false">(G353+G354)/Assumptions!$F$74+G352/Assumptions!$F$75</f>
        <v>0.388009995420541</v>
      </c>
      <c r="H369" s="48" t="n">
        <f aca="false">(H353+H354)/Assumptions!$F$74+H352/Assumptions!$F$75</f>
        <v>0.558288854674221</v>
      </c>
      <c r="I369" s="48" t="n">
        <f aca="false">(I353+I354)/Assumptions!$F$74+I352/Assumptions!$F$75</f>
        <v>0.793725100704431</v>
      </c>
      <c r="J369" s="48" t="n">
        <f aca="false">(J353+J354)/Assumptions!$F$74+J352/Assumptions!$F$75</f>
        <v>1.09439973416593</v>
      </c>
      <c r="K369" s="48" t="n">
        <f aca="false">(K353+K354)/Assumptions!$F$74+K352/Assumptions!$F$75</f>
        <v>1.3913581008149</v>
      </c>
      <c r="L369" s="48" t="n">
        <f aca="false">(L353+L354)/Assumptions!$F$74+L352/Assumptions!$F$75</f>
        <v>1.67695432603153</v>
      </c>
      <c r="M369" s="48" t="n">
        <f aca="false">(M353+M354)/Assumptions!$F$74+M352/Assumptions!$F$75</f>
        <v>1.95163517199121</v>
      </c>
      <c r="N369" s="48" t="n">
        <f aca="false">(N353+N354)/Assumptions!$F$74+N352/Assumptions!$F$75</f>
        <v>2.2158296668561</v>
      </c>
      <c r="P369" s="49" t="n">
        <f aca="false">AVERAGE(C369:F369)</f>
        <v>0.10842330296312</v>
      </c>
      <c r="Q369" s="49" t="n">
        <f aca="false">AVERAGE(G369:J369)</f>
        <v>0.70860592124128</v>
      </c>
      <c r="R369" s="49" t="n">
        <f aca="false">AVERAGE(K369:N369)</f>
        <v>1.80894431642343</v>
      </c>
      <c r="S369" s="50"/>
    </row>
    <row r="370" customFormat="false" ht="15" hidden="false" customHeight="false" outlineLevel="0" collapsed="false">
      <c r="A370" s="4" t="s">
        <v>554</v>
      </c>
      <c r="B370" s="36" t="s">
        <v>125</v>
      </c>
      <c r="C370" s="54" t="n">
        <f aca="false">(C364+C366)*Assumptions!$F$70/Assumptions!$F$69/4</f>
        <v>66753.5714285714</v>
      </c>
      <c r="D370" s="54" t="n">
        <f aca="false">(D364+D366)*Assumptions!$F$70/Assumptions!$F$69/4</f>
        <v>66753.5714285714</v>
      </c>
      <c r="E370" s="54" t="n">
        <f aca="false">(E364+E366)*Assumptions!$F$70/Assumptions!$F$69/4</f>
        <v>66753.5714285714</v>
      </c>
      <c r="F370" s="54" t="n">
        <f aca="false">(F364+F366)*Assumptions!$F$70/Assumptions!$F$69/4</f>
        <v>66753.5714285714</v>
      </c>
      <c r="G370" s="54" t="n">
        <f aca="false">(G364+G366)*Assumptions!$F$70/Assumptions!$F$69/4</f>
        <v>100130.357142857</v>
      </c>
      <c r="H370" s="54" t="n">
        <f aca="false">(H364+H366)*Assumptions!$F$70/Assumptions!$F$69/4</f>
        <v>100130.357142857</v>
      </c>
      <c r="I370" s="54" t="n">
        <f aca="false">(I364+I366)*Assumptions!$F$70/Assumptions!$F$69/4</f>
        <v>100130.357142857</v>
      </c>
      <c r="J370" s="54" t="n">
        <f aca="false">(J364+J366)*Assumptions!$F$70/Assumptions!$F$69/4</f>
        <v>100130.357142857</v>
      </c>
      <c r="K370" s="54" t="n">
        <f aca="false">(K364+K366)*Assumptions!$F$70/Assumptions!$F$69/4</f>
        <v>100130.357142857</v>
      </c>
      <c r="L370" s="54" t="n">
        <f aca="false">(L364+L366)*Assumptions!$F$70/Assumptions!$F$69/4</f>
        <v>100130.357142857</v>
      </c>
      <c r="M370" s="54" t="n">
        <f aca="false">(M364+M366)*Assumptions!$F$70/Assumptions!$F$69/4</f>
        <v>100130.357142857</v>
      </c>
      <c r="N370" s="54" t="n">
        <f aca="false">(N364+N366)*Assumptions!$F$70/Assumptions!$F$69/4</f>
        <v>100130.357142857</v>
      </c>
      <c r="P370" s="55" t="n">
        <f aca="false">SUM(C370:F370)</f>
        <v>267014.285714286</v>
      </c>
      <c r="Q370" s="55" t="n">
        <f aca="false">SUM(G370:J370)</f>
        <v>400521.428571429</v>
      </c>
      <c r="R370" s="55" t="n">
        <f aca="false">SUM(K370:N370)</f>
        <v>400521.428571429</v>
      </c>
      <c r="S370" s="56" t="n">
        <f aca="false">SUM(P370:R370)</f>
        <v>1068057.14285714</v>
      </c>
    </row>
    <row r="371" customFormat="false" ht="15" hidden="false" customHeight="false" outlineLevel="0" collapsed="false">
      <c r="A371" s="4" t="s">
        <v>555</v>
      </c>
      <c r="B371" s="36" t="s">
        <v>125</v>
      </c>
      <c r="C371" s="54" t="n">
        <f aca="false">C365*$C$300/4</f>
        <v>0</v>
      </c>
      <c r="D371" s="54" t="n">
        <f aca="false">D365*$C$300/4</f>
        <v>0</v>
      </c>
      <c r="E371" s="54" t="n">
        <f aca="false">E365*$C$300/4</f>
        <v>0</v>
      </c>
      <c r="F371" s="54" t="n">
        <f aca="false">F365*$C$300/4</f>
        <v>0</v>
      </c>
      <c r="G371" s="54" t="n">
        <f aca="false">G365*$C$300/4</f>
        <v>0</v>
      </c>
      <c r="H371" s="54" t="n">
        <f aca="false">H365*$C$300/4</f>
        <v>0</v>
      </c>
      <c r="I371" s="54" t="n">
        <f aca="false">I365*$C$300/4</f>
        <v>0</v>
      </c>
      <c r="J371" s="54" t="n">
        <f aca="false">J365*$C$300/4</f>
        <v>0</v>
      </c>
      <c r="K371" s="54" t="n">
        <f aca="false">K365*$C$300/4</f>
        <v>0</v>
      </c>
      <c r="L371" s="54" t="n">
        <f aca="false">L365*$C$300/4</f>
        <v>0</v>
      </c>
      <c r="M371" s="54" t="n">
        <f aca="false">M365*$C$300/4</f>
        <v>0</v>
      </c>
      <c r="N371" s="54" t="n">
        <f aca="false">N365*$C$300/4</f>
        <v>0</v>
      </c>
      <c r="P371" s="55" t="n">
        <f aca="false">SUM(C371:F371)</f>
        <v>0</v>
      </c>
      <c r="Q371" s="55" t="n">
        <f aca="false">SUM(G371:J371)</f>
        <v>0</v>
      </c>
      <c r="R371" s="55" t="n">
        <f aca="false">SUM(K371:N371)</f>
        <v>0</v>
      </c>
      <c r="S371" s="56" t="n">
        <f aca="false">SUM(P371:R371)</f>
        <v>0</v>
      </c>
    </row>
    <row r="372" customFormat="false" ht="15" hidden="false" customHeight="false" outlineLevel="0" collapsed="false">
      <c r="A372" s="4" t="s">
        <v>556</v>
      </c>
      <c r="B372" s="36" t="s">
        <v>125</v>
      </c>
      <c r="C372" s="54" t="n">
        <f aca="false">MAX(0,(C360-C341*$C$296)-C320*$C$301)*$C$302*Assumptions!$D$105</f>
        <v>0</v>
      </c>
      <c r="D372" s="54" t="n">
        <f aca="false">MAX(0,(D360-D341*$C$296)-D320*$C$301)*$C$302*Assumptions!$D$105</f>
        <v>11525.8013463522</v>
      </c>
      <c r="E372" s="54" t="n">
        <f aca="false">MAX(0,(E360-E341*$C$296)-E320*$C$301)*$C$302*Assumptions!$D$105</f>
        <v>31568.1408762099</v>
      </c>
      <c r="F372" s="54" t="n">
        <f aca="false">MAX(0,(F360-F341*$C$296)-F320*$C$301)*$C$302*Assumptions!$D$105</f>
        <v>43513.596595751</v>
      </c>
      <c r="G372" s="54" t="n">
        <f aca="false">MAX(0,(G360-G341*$C$296)-G320*$C$301)*$C$302*Assumptions!$D$105</f>
        <v>54065.892368659</v>
      </c>
      <c r="H372" s="54" t="n">
        <f aca="false">MAX(0,(H360-H341*$C$296)-H320*$C$301)*$C$302*Assumptions!$D$105</f>
        <v>66239.3177875842</v>
      </c>
      <c r="I372" s="54" t="n">
        <f aca="false">MAX(0,(I360-I341*$C$296)-I320*$C$301)*$C$302*Assumptions!$D$105</f>
        <v>87189.8583471649</v>
      </c>
      <c r="J372" s="54" t="n">
        <f aca="false">MAX(0,(J360-J341*$C$296)-J320*$C$301)*$C$302*Assumptions!$D$105</f>
        <v>113172.877535615</v>
      </c>
      <c r="K372" s="54" t="n">
        <f aca="false">MAX(0,(K360-K341*$C$296)-K320*$C$301)*$C$302*Assumptions!$D$105</f>
        <v>122214.537504294</v>
      </c>
      <c r="L372" s="54" t="n">
        <f aca="false">MAX(0,(L360-L341*$C$296)-L320*$C$301)*$C$302*Assumptions!$D$105</f>
        <v>119947.625278713</v>
      </c>
      <c r="M372" s="54" t="n">
        <f aca="false">MAX(0,(M360-M341*$C$296)-M320*$C$301)*$C$302*Assumptions!$D$105</f>
        <v>117770.971094178</v>
      </c>
      <c r="N372" s="54" t="n">
        <f aca="false">MAX(0,(N360-N341*$C$296)-N320*$C$301)*$C$302*Assumptions!$D$105</f>
        <v>115680.981289726</v>
      </c>
      <c r="P372" s="55" t="n">
        <f aca="false">SUM(C372:F372)</f>
        <v>86607.5388183131</v>
      </c>
      <c r="Q372" s="55" t="n">
        <f aca="false">SUM(G372:J372)</f>
        <v>320667.946039023</v>
      </c>
      <c r="R372" s="55" t="n">
        <f aca="false">SUM(K372:N372)</f>
        <v>475614.115166911</v>
      </c>
      <c r="S372" s="56" t="n">
        <f aca="false">SUM(P372:R372)</f>
        <v>882889.600024248</v>
      </c>
    </row>
    <row r="373" customFormat="false" ht="15" hidden="false" customHeight="false" outlineLevel="0" collapsed="false">
      <c r="A373" s="4" t="s">
        <v>557</v>
      </c>
      <c r="B373" s="36" t="s">
        <v>125</v>
      </c>
      <c r="C373" s="54" t="n">
        <f aca="false">C368*Assumptions!$F$71/Assumptions!$F$69/4</f>
        <v>18475.8928571429</v>
      </c>
      <c r="D373" s="54" t="n">
        <f aca="false">D368*Assumptions!$F$71/Assumptions!$F$69/4</f>
        <v>18475.8928571429</v>
      </c>
      <c r="E373" s="54" t="n">
        <f aca="false">E368*Assumptions!$F$71/Assumptions!$F$69/4</f>
        <v>18475.8928571429</v>
      </c>
      <c r="F373" s="54" t="n">
        <f aca="false">F368*Assumptions!$F$71/Assumptions!$F$69/4</f>
        <v>18475.8928571429</v>
      </c>
      <c r="G373" s="54" t="n">
        <f aca="false">G368*Assumptions!$F$71/Assumptions!$F$69/4</f>
        <v>18475.8928571429</v>
      </c>
      <c r="H373" s="54" t="n">
        <f aca="false">H368*Assumptions!$F$71/Assumptions!$F$69/4</f>
        <v>18475.8928571429</v>
      </c>
      <c r="I373" s="54" t="n">
        <f aca="false">I368*Assumptions!$F$71/Assumptions!$F$69/4</f>
        <v>18475.8928571429</v>
      </c>
      <c r="J373" s="54" t="n">
        <f aca="false">J368*Assumptions!$F$71/Assumptions!$F$69/4</f>
        <v>18475.8928571429</v>
      </c>
      <c r="K373" s="54" t="n">
        <f aca="false">K368*Assumptions!$F$71/Assumptions!$F$69/4</f>
        <v>18475.8928571429</v>
      </c>
      <c r="L373" s="54" t="n">
        <f aca="false">L368*Assumptions!$F$71/Assumptions!$F$69/4</f>
        <v>18475.8928571429</v>
      </c>
      <c r="M373" s="54" t="n">
        <f aca="false">M368*Assumptions!$F$71/Assumptions!$F$69/4</f>
        <v>18475.8928571429</v>
      </c>
      <c r="N373" s="54" t="n">
        <f aca="false">N368*Assumptions!$F$71/Assumptions!$F$69/4</f>
        <v>18475.8928571429</v>
      </c>
      <c r="P373" s="55" t="n">
        <f aca="false">SUM(C373:F373)</f>
        <v>73903.5714285714</v>
      </c>
      <c r="Q373" s="55" t="n">
        <f aca="false">SUM(G373:J373)</f>
        <v>73903.5714285714</v>
      </c>
      <c r="R373" s="55" t="n">
        <f aca="false">SUM(K373:N373)</f>
        <v>73903.5714285714</v>
      </c>
      <c r="S373" s="56" t="n">
        <f aca="false">SUM(P373:R373)</f>
        <v>221710.714285714</v>
      </c>
    </row>
    <row r="374" customFormat="false" ht="15" hidden="false" customHeight="false" outlineLevel="0" collapsed="false">
      <c r="A374" s="4" t="s">
        <v>558</v>
      </c>
      <c r="B374" s="36" t="s">
        <v>125</v>
      </c>
      <c r="C374" s="54" t="n">
        <f aca="false">(Assumptions!$D$103+Assumptions!$F$77*((C305=Assumptions!$F$13)+(C305=Assumptions!$F$14)+(C305=Assumptions!$F$15)))*C306</f>
        <v>65000</v>
      </c>
      <c r="D374" s="54" t="n">
        <f aca="false">(Assumptions!$D$103+Assumptions!$F$77*((D305=Assumptions!$F$13)+(D305=Assumptions!$F$14)+(D305=Assumptions!$F$15)))*D306</f>
        <v>25000</v>
      </c>
      <c r="E374" s="54" t="n">
        <f aca="false">(Assumptions!$D$103+Assumptions!$F$77*((E305=Assumptions!$F$13)+(E305=Assumptions!$F$14)+(E305=Assumptions!$F$15)))*E306</f>
        <v>25000</v>
      </c>
      <c r="F374" s="54" t="n">
        <f aca="false">(Assumptions!$D$103+Assumptions!$F$77*((F305=Assumptions!$F$13)+(F305=Assumptions!$F$14)+(F305=Assumptions!$F$15)))*F306</f>
        <v>65000</v>
      </c>
      <c r="G374" s="54" t="n">
        <f aca="false">(Assumptions!$D$103+Assumptions!$F$77*((G305=Assumptions!$F$13)+(G305=Assumptions!$F$14)+(G305=Assumptions!$F$15)))*G306</f>
        <v>25000</v>
      </c>
      <c r="H374" s="54" t="n">
        <f aca="false">(Assumptions!$D$103+Assumptions!$F$77*((H305=Assumptions!$F$13)+(H305=Assumptions!$F$14)+(H305=Assumptions!$F$15)))*H306</f>
        <v>65000</v>
      </c>
      <c r="I374" s="54" t="n">
        <f aca="false">(Assumptions!$D$103+Assumptions!$F$77*((I305=Assumptions!$F$13)+(I305=Assumptions!$F$14)+(I305=Assumptions!$F$15)))*I306</f>
        <v>25000</v>
      </c>
      <c r="J374" s="54" t="n">
        <f aca="false">(Assumptions!$D$103+Assumptions!$F$77*((J305=Assumptions!$F$13)+(J305=Assumptions!$F$14)+(J305=Assumptions!$F$15)))*J306</f>
        <v>25000</v>
      </c>
      <c r="K374" s="54" t="n">
        <f aca="false">(Assumptions!$D$103+Assumptions!$F$77*((K305=Assumptions!$F$13)+(K305=Assumptions!$F$14)+(K305=Assumptions!$F$15)))*K306</f>
        <v>25000</v>
      </c>
      <c r="L374" s="54" t="n">
        <f aca="false">(Assumptions!$D$103+Assumptions!$F$77*((L305=Assumptions!$F$13)+(L305=Assumptions!$F$14)+(L305=Assumptions!$F$15)))*L306</f>
        <v>25000</v>
      </c>
      <c r="M374" s="54" t="n">
        <f aca="false">(Assumptions!$D$103+Assumptions!$F$77*((M305=Assumptions!$F$13)+(M305=Assumptions!$F$14)+(M305=Assumptions!$F$15)))*M306</f>
        <v>25000</v>
      </c>
      <c r="N374" s="54" t="n">
        <f aca="false">(Assumptions!$D$103+Assumptions!$F$77*((N305=Assumptions!$F$13)+(N305=Assumptions!$F$14)+(N305=Assumptions!$F$15)))*N306</f>
        <v>25000</v>
      </c>
      <c r="P374" s="55" t="n">
        <f aca="false">SUM(C374:F374)</f>
        <v>180000</v>
      </c>
      <c r="Q374" s="55" t="n">
        <f aca="false">SUM(G374:J374)</f>
        <v>140000</v>
      </c>
      <c r="R374" s="55" t="n">
        <f aca="false">SUM(K374:N374)</f>
        <v>100000</v>
      </c>
      <c r="S374" s="56" t="n">
        <f aca="false">SUM(P374:R374)</f>
        <v>420000</v>
      </c>
    </row>
    <row r="375" customFormat="false" ht="15" hidden="false" customHeight="false" outlineLevel="0" collapsed="false">
      <c r="A375" s="4" t="s">
        <v>559</v>
      </c>
      <c r="B375" s="36" t="s">
        <v>125</v>
      </c>
      <c r="C375" s="54" t="n">
        <f aca="false">C360*C340*Assumptions!$F$79</f>
        <v>0</v>
      </c>
      <c r="D375" s="54" t="n">
        <f aca="false">D360*D340*Assumptions!$F$79</f>
        <v>2559.27973141574</v>
      </c>
      <c r="E375" s="54" t="n">
        <f aca="false">E360*E340*Assumptions!$F$79</f>
        <v>6085.45304349608</v>
      </c>
      <c r="F375" s="54" t="n">
        <f aca="false">F360*F340*Assumptions!$F$79</f>
        <v>9957.90177723395</v>
      </c>
      <c r="G375" s="54" t="n">
        <f aca="false">G360*G340*Assumptions!$F$79</f>
        <v>12191.8524803901</v>
      </c>
      <c r="H375" s="54" t="n">
        <f aca="false">H360*H340*Assumptions!$F$79</f>
        <v>14848.1267492979</v>
      </c>
      <c r="I375" s="54" t="n">
        <f aca="false">I360*I340*Assumptions!$F$79</f>
        <v>16244.7631205022</v>
      </c>
      <c r="J375" s="54" t="n">
        <f aca="false">J360*J340*Assumptions!$F$79</f>
        <v>18859.5084680256</v>
      </c>
      <c r="K375" s="54" t="n">
        <f aca="false">K360*K340*Assumptions!$F$79</f>
        <v>20527.0460127681</v>
      </c>
      <c r="L375" s="54" t="n">
        <f aca="false">L360*L340*Assumptions!$F$79</f>
        <v>20523.8024981462</v>
      </c>
      <c r="M375" s="54" t="n">
        <f aca="false">M360*M340*Assumptions!$F$79</f>
        <v>20520.5717648069</v>
      </c>
      <c r="N375" s="54" t="n">
        <f aca="false">N360*N340*Assumptions!$F$79</f>
        <v>20517.3563864296</v>
      </c>
      <c r="P375" s="55" t="n">
        <f aca="false">SUM(C375:F375)</f>
        <v>18602.6345521458</v>
      </c>
      <c r="Q375" s="55" t="n">
        <f aca="false">SUM(G375:J375)</f>
        <v>62144.2508182158</v>
      </c>
      <c r="R375" s="55" t="n">
        <f aca="false">SUM(K375:N375)</f>
        <v>82088.7766621509</v>
      </c>
      <c r="S375" s="56" t="n">
        <f aca="false">SUM(P375:R375)</f>
        <v>162835.662032512</v>
      </c>
    </row>
    <row r="376" customFormat="false" ht="15" hidden="false" customHeight="false" outlineLevel="0" collapsed="false">
      <c r="A376" s="4" t="s">
        <v>560</v>
      </c>
      <c r="B376" s="36" t="s">
        <v>125</v>
      </c>
      <c r="C376" s="54" t="n">
        <f aca="false">C325*Assumptions!$F$80</f>
        <v>6000</v>
      </c>
      <c r="D376" s="54" t="n">
        <f aca="false">D325*Assumptions!$F$80</f>
        <v>10000</v>
      </c>
      <c r="E376" s="54" t="n">
        <f aca="false">E325*Assumptions!$F$80</f>
        <v>14000</v>
      </c>
      <c r="F376" s="54" t="n">
        <f aca="false">F325*Assumptions!$F$80</f>
        <v>18000</v>
      </c>
      <c r="G376" s="54" t="n">
        <f aca="false">G325*Assumptions!$F$80</f>
        <v>22000</v>
      </c>
      <c r="H376" s="54" t="n">
        <f aca="false">H325*Assumptions!$F$80</f>
        <v>26000</v>
      </c>
      <c r="I376" s="54" t="n">
        <f aca="false">I325*Assumptions!$F$80</f>
        <v>30000</v>
      </c>
      <c r="J376" s="54" t="n">
        <f aca="false">J325*Assumptions!$F$80</f>
        <v>30000</v>
      </c>
      <c r="K376" s="54" t="n">
        <f aca="false">K325*Assumptions!$F$80</f>
        <v>30000</v>
      </c>
      <c r="L376" s="54" t="n">
        <f aca="false">L325*Assumptions!$F$80</f>
        <v>30000</v>
      </c>
      <c r="M376" s="54" t="n">
        <f aca="false">M325*Assumptions!$F$80</f>
        <v>30000</v>
      </c>
      <c r="N376" s="54" t="n">
        <f aca="false">N325*Assumptions!$F$80</f>
        <v>30000</v>
      </c>
      <c r="P376" s="55" t="n">
        <f aca="false">SUM(C376:F376)</f>
        <v>48000</v>
      </c>
      <c r="Q376" s="55" t="n">
        <f aca="false">SUM(G376:J376)</f>
        <v>108000</v>
      </c>
      <c r="R376" s="55" t="n">
        <f aca="false">SUM(K376:N376)</f>
        <v>120000</v>
      </c>
      <c r="S376" s="56" t="n">
        <f aca="false">SUM(P376:R376)</f>
        <v>276000</v>
      </c>
    </row>
    <row r="377" customFormat="false" ht="15" hidden="false" customHeight="false" outlineLevel="0" collapsed="false">
      <c r="A377" s="4" t="s">
        <v>561</v>
      </c>
      <c r="B377" s="36" t="s">
        <v>125</v>
      </c>
      <c r="C377" s="54" t="n">
        <f aca="false">(C348*$C$297+C349*$C$298)*Assumptions!$F$81</f>
        <v>0</v>
      </c>
      <c r="D377" s="54" t="n">
        <f aca="false">(D348*$C$297+D349*$C$298)*Assumptions!$F$81</f>
        <v>2087.19981585408</v>
      </c>
      <c r="E377" s="54" t="n">
        <f aca="false">(E348*$C$297+E349*$C$298)*Assumptions!$F$81</f>
        <v>6564.89470367769</v>
      </c>
      <c r="F377" s="54" t="n">
        <f aca="false">(F348*$C$297+F349*$C$298)*Assumptions!$F$81</f>
        <v>9415.12474109996</v>
      </c>
      <c r="G377" s="54" t="n">
        <f aca="false">(G348*$C$297+G349*$C$298)*Assumptions!$F$81</f>
        <v>11532.0462934016</v>
      </c>
      <c r="H377" s="54" t="n">
        <f aca="false">(H348*$C$297+H349*$C$298)*Assumptions!$F$81</f>
        <v>14092.0704932832</v>
      </c>
      <c r="I377" s="54" t="n">
        <f aca="false">(I348*$C$297+I349*$C$298)*Assumptions!$F$81</f>
        <v>18044.8855869454</v>
      </c>
      <c r="J377" s="54" t="n">
        <f aca="false">(J348*$C$297+J349*$C$298)*Assumptions!$F$81</f>
        <v>23393.6983763072</v>
      </c>
      <c r="K377" s="54" t="n">
        <f aca="false">(K348*$C$297+K349*$C$298)*Assumptions!$F$81</f>
        <v>25861.266948877</v>
      </c>
      <c r="L377" s="54" t="n">
        <f aca="false">(L348*$C$297+L349*$C$298)*Assumptions!$F$81</f>
        <v>25380.5373904986</v>
      </c>
      <c r="M377" s="54" t="n">
        <f aca="false">(M348*$C$297+M349*$C$298)*Assumptions!$F$81</f>
        <v>24918.9482768727</v>
      </c>
      <c r="N377" s="54" t="n">
        <f aca="false">(N348*$C$297+N349*$C$298)*Assumptions!$F$81</f>
        <v>24475.7375233323</v>
      </c>
      <c r="P377" s="55" t="n">
        <f aca="false">SUM(C377:F377)</f>
        <v>18067.2192606317</v>
      </c>
      <c r="Q377" s="55" t="n">
        <f aca="false">SUM(G377:J377)</f>
        <v>67062.7007499373</v>
      </c>
      <c r="R377" s="55" t="n">
        <f aca="false">SUM(K377:N377)</f>
        <v>100636.490139581</v>
      </c>
      <c r="S377" s="56" t="n">
        <f aca="false">SUM(P377:R377)</f>
        <v>185766.41015015</v>
      </c>
    </row>
    <row r="378" customFormat="false" ht="15" hidden="false" customHeight="false" outlineLevel="0" collapsed="false">
      <c r="A378" s="9" t="s">
        <v>562</v>
      </c>
      <c r="B378" s="36" t="s">
        <v>125</v>
      </c>
      <c r="C378" s="55" t="n">
        <f aca="false">C370+C371+C372+C373+C374+C375+C376+C377</f>
        <v>156229.464285714</v>
      </c>
      <c r="D378" s="55" t="n">
        <f aca="false">D370+D371+D372+D373+D374+D375+D376+D377</f>
        <v>136401.745179336</v>
      </c>
      <c r="E378" s="55" t="n">
        <f aca="false">E370+E371+E372+E373+E374+E375+E376+E377</f>
        <v>168447.952909098</v>
      </c>
      <c r="F378" s="55" t="n">
        <f aca="false">F370+F371+F372+F373+F374+F375+F376+F377</f>
        <v>231116.087399799</v>
      </c>
      <c r="G378" s="55" t="n">
        <f aca="false">G370+G371+G372+G373+G374+G375+G376+G377</f>
        <v>243396.041142451</v>
      </c>
      <c r="H378" s="55" t="n">
        <f aca="false">H370+H371+H372+H373+H374+H375+H376+H377</f>
        <v>304785.765030165</v>
      </c>
      <c r="I378" s="55" t="n">
        <f aca="false">I370+I371+I372+I373+I374+I375+I376+I377</f>
        <v>295085.757054612</v>
      </c>
      <c r="J378" s="55" t="n">
        <f aca="false">J370+J371+J372+J373+J374+J375+J376+J377</f>
        <v>329032.334379948</v>
      </c>
      <c r="K378" s="55" t="n">
        <f aca="false">K370+K371+K372+K373+K374+K375+K376+K377</f>
        <v>342209.100465939</v>
      </c>
      <c r="L378" s="55" t="n">
        <f aca="false">L370+L371+L372+L373+L374+L375+L376+L377</f>
        <v>339458.215167358</v>
      </c>
      <c r="M378" s="55" t="n">
        <f aca="false">M370+M371+M372+M373+M374+M375+M376+M377</f>
        <v>336816.741135858</v>
      </c>
      <c r="N378" s="55" t="n">
        <f aca="false">N370+N371+N372+N373+N374+N375+N376+N377</f>
        <v>334280.325199488</v>
      </c>
      <c r="P378" s="55" t="n">
        <f aca="false">SUM(C378:F378)</f>
        <v>692195.249773948</v>
      </c>
      <c r="Q378" s="55" t="n">
        <f aca="false">SUM(G378:J378)</f>
        <v>1172299.89760718</v>
      </c>
      <c r="R378" s="55" t="n">
        <f aca="false">SUM(K378:N378)</f>
        <v>1352764.38196864</v>
      </c>
      <c r="S378" s="56" t="n">
        <f aca="false">SUM(P378:R378)</f>
        <v>3217259.52934977</v>
      </c>
    </row>
    <row r="379" customFormat="false" ht="15" hidden="false" customHeight="false" outlineLevel="0" collapsed="false">
      <c r="A379" s="4" t="s">
        <v>563</v>
      </c>
      <c r="B379" s="36" t="s">
        <v>125</v>
      </c>
      <c r="C379" s="54" t="n">
        <f aca="false">C367*Assumptions!$F$72/Assumptions!$F$69/4</f>
        <v>56535.7142857143</v>
      </c>
      <c r="D379" s="54" t="n">
        <f aca="false">D367*Assumptions!$F$72/Assumptions!$F$69/4</f>
        <v>56535.7142857143</v>
      </c>
      <c r="E379" s="54" t="n">
        <f aca="false">E367*Assumptions!$F$72/Assumptions!$F$69/4</f>
        <v>56535.7142857143</v>
      </c>
      <c r="F379" s="54" t="n">
        <f aca="false">F367*Assumptions!$F$72/Assumptions!$F$69/4</f>
        <v>56535.7142857143</v>
      </c>
      <c r="G379" s="54" t="n">
        <f aca="false">G367*Assumptions!$F$72/Assumptions!$F$69/4</f>
        <v>28267.8571428571</v>
      </c>
      <c r="H379" s="54" t="n">
        <f aca="false">H367*Assumptions!$F$72/Assumptions!$F$69/4</f>
        <v>28267.8571428571</v>
      </c>
      <c r="I379" s="54" t="n">
        <f aca="false">I367*Assumptions!$F$72/Assumptions!$F$69/4</f>
        <v>28267.8571428571</v>
      </c>
      <c r="J379" s="54" t="n">
        <f aca="false">J367*Assumptions!$F$72/Assumptions!$F$69/4</f>
        <v>28267.8571428571</v>
      </c>
      <c r="K379" s="54" t="n">
        <f aca="false">K367*Assumptions!$F$72/Assumptions!$F$69/4</f>
        <v>28267.8571428571</v>
      </c>
      <c r="L379" s="54" t="n">
        <f aca="false">L367*Assumptions!$F$72/Assumptions!$F$69/4</f>
        <v>28267.8571428571</v>
      </c>
      <c r="M379" s="54" t="n">
        <f aca="false">M367*Assumptions!$F$72/Assumptions!$F$69/4</f>
        <v>28267.8571428571</v>
      </c>
      <c r="N379" s="54" t="n">
        <f aca="false">N367*Assumptions!$F$72/Assumptions!$F$69/4</f>
        <v>28267.8571428571</v>
      </c>
      <c r="P379" s="55" t="n">
        <f aca="false">SUM(C379:F379)</f>
        <v>226142.857142857</v>
      </c>
      <c r="Q379" s="55" t="n">
        <f aca="false">SUM(G379:J379)</f>
        <v>113071.428571429</v>
      </c>
      <c r="R379" s="55" t="n">
        <f aca="false">SUM(K379:N379)</f>
        <v>113071.428571429</v>
      </c>
      <c r="S379" s="56" t="n">
        <f aca="false">SUM(P379:R379)</f>
        <v>452285.714285714</v>
      </c>
    </row>
    <row r="380" customFormat="false" ht="15" hidden="false" customHeight="false" outlineLevel="0" collapsed="false">
      <c r="A380" s="4" t="s">
        <v>564</v>
      </c>
      <c r="B380" s="36" t="s">
        <v>125</v>
      </c>
      <c r="C380" s="54" t="n">
        <f aca="false">IF(C305&lt;=Assumptions!$F$83,Assumptions!$F$82*Assumptions!$D$108/Assumptions!$F$83,0)</f>
        <v>62500</v>
      </c>
      <c r="D380" s="54" t="n">
        <f aca="false">IF(D305&lt;=Assumptions!$F$83,Assumptions!$F$82*Assumptions!$D$108/Assumptions!$F$83,0)</f>
        <v>62500</v>
      </c>
      <c r="E380" s="54" t="n">
        <f aca="false">IF(E305&lt;=Assumptions!$F$83,Assumptions!$F$82*Assumptions!$D$108/Assumptions!$F$83,0)</f>
        <v>62500</v>
      </c>
      <c r="F380" s="54" t="n">
        <f aca="false">IF(F305&lt;=Assumptions!$F$83,Assumptions!$F$82*Assumptions!$D$108/Assumptions!$F$83,0)</f>
        <v>62500</v>
      </c>
      <c r="G380" s="54" t="n">
        <f aca="false">IF(G305&lt;=Assumptions!$F$83,Assumptions!$F$82*Assumptions!$D$108/Assumptions!$F$83,0)</f>
        <v>0</v>
      </c>
      <c r="H380" s="54" t="n">
        <f aca="false">IF(H305&lt;=Assumptions!$F$83,Assumptions!$F$82*Assumptions!$D$108/Assumptions!$F$83,0)</f>
        <v>0</v>
      </c>
      <c r="I380" s="54" t="n">
        <f aca="false">IF(I305&lt;=Assumptions!$F$83,Assumptions!$F$82*Assumptions!$D$108/Assumptions!$F$83,0)</f>
        <v>0</v>
      </c>
      <c r="J380" s="54" t="n">
        <f aca="false">IF(J305&lt;=Assumptions!$F$83,Assumptions!$F$82*Assumptions!$D$108/Assumptions!$F$83,0)</f>
        <v>0</v>
      </c>
      <c r="K380" s="54" t="n">
        <f aca="false">IF(K305&lt;=Assumptions!$F$83,Assumptions!$F$82*Assumptions!$D$108/Assumptions!$F$83,0)</f>
        <v>0</v>
      </c>
      <c r="L380" s="54" t="n">
        <f aca="false">IF(L305&lt;=Assumptions!$F$83,Assumptions!$F$82*Assumptions!$D$108/Assumptions!$F$83,0)</f>
        <v>0</v>
      </c>
      <c r="M380" s="54" t="n">
        <f aca="false">IF(M305&lt;=Assumptions!$F$83,Assumptions!$F$82*Assumptions!$D$108/Assumptions!$F$83,0)</f>
        <v>0</v>
      </c>
      <c r="N380" s="54" t="n">
        <f aca="false">IF(N305&lt;=Assumptions!$F$83,Assumptions!$F$82*Assumptions!$D$108/Assumptions!$F$83,0)</f>
        <v>0</v>
      </c>
      <c r="P380" s="55" t="n">
        <f aca="false">SUM(C380:F380)</f>
        <v>250000</v>
      </c>
      <c r="Q380" s="55" t="n">
        <f aca="false">SUM(G380:J380)</f>
        <v>0</v>
      </c>
      <c r="R380" s="55" t="n">
        <f aca="false">SUM(K380:N380)</f>
        <v>0</v>
      </c>
      <c r="S380" s="56" t="n">
        <f aca="false">SUM(P380:R380)</f>
        <v>250000</v>
      </c>
    </row>
    <row r="381" customFormat="false" ht="15" hidden="false" customHeight="false" outlineLevel="0" collapsed="false">
      <c r="A381" s="4" t="s">
        <v>565</v>
      </c>
      <c r="B381" s="36" t="s">
        <v>125</v>
      </c>
      <c r="C381" s="54" t="n">
        <f aca="false">C369*Assumptions!$F$73/Assumptions!$F$69/4</f>
        <v>0</v>
      </c>
      <c r="D381" s="54" t="n">
        <f aca="false">D369*Assumptions!$F$73/Assumptions!$F$69/4</f>
        <v>1888.22396475951</v>
      </c>
      <c r="E381" s="54" t="n">
        <f aca="false">E369*Assumptions!$F$73/Assumptions!$F$69/4</f>
        <v>5571.57966833828</v>
      </c>
      <c r="F381" s="54" t="n">
        <f aca="false">F369*Assumptions!$F$73/Assumptions!$F$69/4</f>
        <v>9966.91896173162</v>
      </c>
      <c r="G381" s="54" t="n">
        <f aca="false">G369*Assumptions!$F$73/Assumptions!$F$69/4</f>
        <v>15591.0730659875</v>
      </c>
      <c r="H381" s="54" t="n">
        <f aca="false">H369*Assumptions!$F$73/Assumptions!$F$69/4</f>
        <v>22433.2425140702</v>
      </c>
      <c r="I381" s="54" t="n">
        <f aca="false">I369*Assumptions!$F$73/Assumptions!$F$69/4</f>
        <v>31893.5753858055</v>
      </c>
      <c r="J381" s="54" t="n">
        <f aca="false">J369*Assumptions!$F$73/Assumptions!$F$69/4</f>
        <v>43975.3264610744</v>
      </c>
      <c r="K381" s="54" t="n">
        <f aca="false">K369*Assumptions!$F$73/Assumptions!$F$69/4</f>
        <v>55907.7499723873</v>
      </c>
      <c r="L381" s="54" t="n">
        <f aca="false">L369*Assumptions!$F$73/Assumptions!$F$69/4</f>
        <v>67383.6182935025</v>
      </c>
      <c r="M381" s="54" t="n">
        <f aca="false">M369*Assumptions!$F$73/Assumptions!$F$69/4</f>
        <v>78420.8832859755</v>
      </c>
      <c r="N381" s="54" t="n">
        <f aca="false">N369*Assumptions!$F$73/Assumptions!$F$69/4</f>
        <v>89036.784220707</v>
      </c>
      <c r="P381" s="55" t="n">
        <f aca="false">SUM(C381:F381)</f>
        <v>17426.7225948294</v>
      </c>
      <c r="Q381" s="55" t="n">
        <f aca="false">SUM(G381:J381)</f>
        <v>113893.217426938</v>
      </c>
      <c r="R381" s="55" t="n">
        <f aca="false">SUM(K381:N381)</f>
        <v>290749.035772572</v>
      </c>
      <c r="S381" s="56" t="n">
        <f aca="false">SUM(P381:R381)</f>
        <v>422068.975794339</v>
      </c>
    </row>
    <row r="382" customFormat="false" ht="15" hidden="false" customHeight="false" outlineLevel="0" collapsed="false">
      <c r="A382" s="9" t="s">
        <v>566</v>
      </c>
      <c r="B382" s="36" t="s">
        <v>125</v>
      </c>
      <c r="C382" s="55" t="n">
        <f aca="false">C378+C379+C380+C381</f>
        <v>275265.178571429</v>
      </c>
      <c r="D382" s="55" t="n">
        <f aca="false">D378+D379+D380+D381</f>
        <v>257325.68342981</v>
      </c>
      <c r="E382" s="55" t="n">
        <f aca="false">E378+E379+E380+E381</f>
        <v>293055.246863151</v>
      </c>
      <c r="F382" s="55" t="n">
        <f aca="false">F378+F379+F380+F381</f>
        <v>360118.720647245</v>
      </c>
      <c r="G382" s="55" t="n">
        <f aca="false">G378+G379+G380+G381</f>
        <v>287254.971351295</v>
      </c>
      <c r="H382" s="55" t="n">
        <f aca="false">H378+H379+H380+H381</f>
        <v>355486.864687093</v>
      </c>
      <c r="I382" s="55" t="n">
        <f aca="false">I378+I379+I380+I381</f>
        <v>355247.189583275</v>
      </c>
      <c r="J382" s="55" t="n">
        <f aca="false">J378+J379+J380+J381</f>
        <v>401275.517983879</v>
      </c>
      <c r="K382" s="55" t="n">
        <f aca="false">K378+K379+K380+K381</f>
        <v>426384.707581183</v>
      </c>
      <c r="L382" s="55" t="n">
        <f aca="false">L378+L379+L380+L381</f>
        <v>435109.690603717</v>
      </c>
      <c r="M382" s="55" t="n">
        <f aca="false">M378+M379+M380+M381</f>
        <v>443505.481564691</v>
      </c>
      <c r="N382" s="55" t="n">
        <f aca="false">N378+N379+N380+N381</f>
        <v>451584.966563052</v>
      </c>
      <c r="P382" s="55" t="n">
        <f aca="false">SUM(C382:F382)</f>
        <v>1185764.82951163</v>
      </c>
      <c r="Q382" s="55" t="n">
        <f aca="false">SUM(G382:J382)</f>
        <v>1399264.54360554</v>
      </c>
      <c r="R382" s="55" t="n">
        <f aca="false">SUM(K382:N382)</f>
        <v>1756584.84631264</v>
      </c>
      <c r="S382" s="56" t="n">
        <f aca="false">SUM(P382:R382)</f>
        <v>4341614.21942982</v>
      </c>
    </row>
    <row r="383" customFormat="false" ht="15" hidden="false" customHeight="false" outlineLevel="0" collapsed="false">
      <c r="A383" s="35" t="s">
        <v>567</v>
      </c>
      <c r="B383" s="35" t="s">
        <v>444</v>
      </c>
      <c r="C383" s="6" t="s">
        <v>354</v>
      </c>
      <c r="D383" s="6" t="s">
        <v>355</v>
      </c>
      <c r="E383" s="6" t="s">
        <v>356</v>
      </c>
      <c r="F383" s="6" t="s">
        <v>357</v>
      </c>
      <c r="G383" s="6" t="s">
        <v>358</v>
      </c>
      <c r="H383" s="6" t="s">
        <v>359</v>
      </c>
      <c r="I383" s="6" t="s">
        <v>360</v>
      </c>
      <c r="J383" s="6" t="s">
        <v>361</v>
      </c>
      <c r="K383" s="6" t="s">
        <v>362</v>
      </c>
      <c r="L383" s="6" t="s">
        <v>363</v>
      </c>
      <c r="M383" s="6" t="s">
        <v>364</v>
      </c>
      <c r="N383" s="6" t="s">
        <v>365</v>
      </c>
      <c r="P383" s="6" t="s">
        <v>445</v>
      </c>
      <c r="Q383" s="6" t="s">
        <v>446</v>
      </c>
      <c r="R383" s="6" t="s">
        <v>447</v>
      </c>
      <c r="S383" s="6" t="s">
        <v>448</v>
      </c>
    </row>
    <row r="384" customFormat="false" ht="15" hidden="false" customHeight="false" outlineLevel="0" collapsed="false">
      <c r="A384" s="9" t="s">
        <v>568</v>
      </c>
      <c r="B384" s="36" t="s">
        <v>125</v>
      </c>
      <c r="C384" s="55" t="n">
        <f aca="false">C362-C382</f>
        <v>-275265.178571429</v>
      </c>
      <c r="D384" s="55" t="n">
        <f aca="false">D362-D382</f>
        <v>-254077.538074864</v>
      </c>
      <c r="E384" s="55" t="n">
        <f aca="false">E362-E382</f>
        <v>-278084.627077201</v>
      </c>
      <c r="F384" s="55" t="n">
        <f aca="false">F362-F382</f>
        <v>-324915.263178903</v>
      </c>
      <c r="G384" s="55" t="n">
        <f aca="false">G362-G382</f>
        <v>-225175.460594062</v>
      </c>
      <c r="H384" s="55" t="n">
        <f aca="false">H362-H382</f>
        <v>-259314.026211822</v>
      </c>
      <c r="I384" s="55" t="n">
        <f aca="false">I362-I382</f>
        <v>-214506.493897012</v>
      </c>
      <c r="J384" s="55" t="n">
        <f aca="false">J362-J382</f>
        <v>-201368.295344285</v>
      </c>
      <c r="K384" s="55" t="n">
        <f aca="false">K362-K382</f>
        <v>-155896.53877011</v>
      </c>
      <c r="L384" s="55" t="n">
        <f aca="false">L362-L382</f>
        <v>-89596.0430056523</v>
      </c>
      <c r="M384" s="55" t="n">
        <f aca="false">M362-M382</f>
        <v>-20855.3783426762</v>
      </c>
      <c r="N384" s="55" t="n">
        <f aca="false">N362-N382</f>
        <v>50488.5784331971</v>
      </c>
      <c r="P384" s="55" t="n">
        <f aca="false">SUM(C384:F384)</f>
        <v>-1132342.6069024</v>
      </c>
      <c r="Q384" s="55" t="n">
        <f aca="false">SUM(G384:J384)</f>
        <v>-900364.276047181</v>
      </c>
      <c r="R384" s="55" t="n">
        <f aca="false">SUM(K384:N384)</f>
        <v>-215859.381685242</v>
      </c>
      <c r="S384" s="56" t="n">
        <f aca="false">SUM(P384:R384)</f>
        <v>-2248566.26463482</v>
      </c>
    </row>
    <row r="385" customFormat="false" ht="15" hidden="false" customHeight="false" outlineLevel="0" collapsed="false">
      <c r="A385" s="9" t="s">
        <v>569</v>
      </c>
      <c r="B385" s="36" t="s">
        <v>125</v>
      </c>
      <c r="C385" s="55" t="n">
        <f aca="false">0+C384</f>
        <v>-275265.178571429</v>
      </c>
      <c r="D385" s="55" t="n">
        <f aca="false">C385+D384</f>
        <v>-529342.716646293</v>
      </c>
      <c r="E385" s="55" t="n">
        <f aca="false">D385+E384</f>
        <v>-807427.343723494</v>
      </c>
      <c r="F385" s="55" t="n">
        <f aca="false">E385+F384</f>
        <v>-1132342.6069024</v>
      </c>
      <c r="G385" s="55" t="n">
        <f aca="false">F385+G384</f>
        <v>-1357518.06749646</v>
      </c>
      <c r="H385" s="55" t="n">
        <f aca="false">G385+H384</f>
        <v>-1616832.09370828</v>
      </c>
      <c r="I385" s="55" t="n">
        <f aca="false">H385+I384</f>
        <v>-1831338.58760529</v>
      </c>
      <c r="J385" s="55" t="n">
        <f aca="false">I385+J384</f>
        <v>-2032706.88294958</v>
      </c>
      <c r="K385" s="55" t="n">
        <f aca="false">J385+K384</f>
        <v>-2188603.42171969</v>
      </c>
      <c r="L385" s="55" t="n">
        <f aca="false">K385+L384</f>
        <v>-2278199.46472534</v>
      </c>
      <c r="M385" s="55" t="n">
        <f aca="false">L385+M384</f>
        <v>-2299054.84306802</v>
      </c>
      <c r="N385" s="55" t="n">
        <f aca="false">M385+N384</f>
        <v>-2248566.26463482</v>
      </c>
      <c r="P385" s="55" t="n">
        <f aca="false">F385</f>
        <v>-1132342.6069024</v>
      </c>
      <c r="Q385" s="55" t="n">
        <f aca="false">J385</f>
        <v>-2032706.88294958</v>
      </c>
      <c r="R385" s="55" t="n">
        <f aca="false">N385</f>
        <v>-2248566.26463482</v>
      </c>
      <c r="S385" s="56" t="n">
        <f aca="false">R385</f>
        <v>-2248566.26463482</v>
      </c>
    </row>
    <row r="386" customFormat="false" ht="15" hidden="false" customHeight="false" outlineLevel="0" collapsed="false">
      <c r="A386" s="4" t="s">
        <v>570</v>
      </c>
      <c r="B386" s="36" t="s">
        <v>107</v>
      </c>
      <c r="C386" s="57" t="n">
        <f aca="false">1/(1+Assumptions!$F$87)^(C305/4)</f>
        <v>0.972065420906982</v>
      </c>
      <c r="D386" s="57" t="n">
        <f aca="false">1/(1+Assumptions!$F$87)^(D305/4)</f>
        <v>0.944911182523068</v>
      </c>
      <c r="E386" s="57" t="n">
        <f aca="false">1/(1+Assumptions!$F$87)^(E305/4)</f>
        <v>0.918515486359</v>
      </c>
      <c r="F386" s="57" t="n">
        <f aca="false">1/(1+Assumptions!$F$87)^(F305/4)</f>
        <v>0.892857142857143</v>
      </c>
      <c r="G386" s="57" t="n">
        <f aca="false">1/(1+Assumptions!$F$87)^(G305/4)</f>
        <v>0.867915554381234</v>
      </c>
      <c r="H386" s="57" t="n">
        <f aca="false">1/(1+Assumptions!$F$87)^(H305/4)</f>
        <v>0.843670698681311</v>
      </c>
      <c r="I386" s="57" t="n">
        <f aca="false">1/(1+Assumptions!$F$87)^(I305/4)</f>
        <v>0.820103112820536</v>
      </c>
      <c r="J386" s="57" t="n">
        <f aca="false">1/(1+Assumptions!$F$87)^(J305/4)</f>
        <v>0.79719387755102</v>
      </c>
      <c r="K386" s="57" t="n">
        <f aca="false">1/(1+Assumptions!$F$87)^(K305/4)</f>
        <v>0.774924602126102</v>
      </c>
      <c r="L386" s="57" t="n">
        <f aca="false">1/(1+Assumptions!$F$87)^(L305/4)</f>
        <v>0.753277409536885</v>
      </c>
      <c r="M386" s="57" t="n">
        <f aca="false">1/(1+Assumptions!$F$87)^(M305/4)</f>
        <v>0.732234922161193</v>
      </c>
      <c r="N386" s="57" t="n">
        <f aca="false">1/(1+Assumptions!$F$87)^(N305/4)</f>
        <v>0.711780247813411</v>
      </c>
      <c r="P386" s="58"/>
      <c r="Q386" s="58"/>
      <c r="R386" s="58"/>
      <c r="S386" s="59"/>
    </row>
    <row r="387" customFormat="false" ht="15" hidden="false" customHeight="false" outlineLevel="0" collapsed="false">
      <c r="A387" s="4" t="s">
        <v>571</v>
      </c>
      <c r="B387" s="36" t="s">
        <v>125</v>
      </c>
      <c r="C387" s="54" t="n">
        <f aca="false">(C362*(1-Assumptions!$F$88)-C382)*C386</f>
        <v>-267575.761669071</v>
      </c>
      <c r="D387" s="54" t="n">
        <f aca="false">(D362*(1-Assumptions!$F$88)-D382)*D386</f>
        <v>-240387.627841705</v>
      </c>
      <c r="E387" s="54" t="n">
        <f aca="false">(E362*(1-Assumptions!$F$88)-E382)*E386</f>
        <v>-256800.111100156</v>
      </c>
      <c r="F387" s="54" t="n">
        <f aca="false">(F362*(1-Assumptions!$F$88)-F382)*F386</f>
        <v>-293246.07939798</v>
      </c>
      <c r="G387" s="54" t="n">
        <f aca="false">(G362*(1-Assumptions!$F$88)-G382)*G386</f>
        <v>-200821.262014003</v>
      </c>
      <c r="H387" s="54" t="n">
        <f aca="false">(H362*(1-Assumptions!$F$88)-H382)*H386</f>
        <v>-226889.466255051</v>
      </c>
      <c r="I387" s="54" t="n">
        <f aca="false">(I362*(1-Assumptions!$F$88)-I382)*I386</f>
        <v>-187459.631628442</v>
      </c>
      <c r="J387" s="54" t="n">
        <f aca="false">(J362*(1-Assumptions!$F$88)-J382)*J386</f>
        <v>-176466.053578001</v>
      </c>
      <c r="K387" s="54" t="n">
        <f aca="false">(K362*(1-Assumptions!$F$88)-K382)*K386</f>
        <v>-141768.856938838</v>
      </c>
      <c r="L387" s="54" t="n">
        <f aca="false">(L362*(1-Assumptions!$F$88)-L382)*L386</f>
        <v>-93517.4377222841</v>
      </c>
      <c r="M387" s="54" t="n">
        <f aca="false">(M362*(1-Assumptions!$F$88)-M382)*M386</f>
        <v>-46218.9528808109</v>
      </c>
      <c r="N387" s="54" t="n">
        <f aca="false">(N362*(1-Assumptions!$F$88)-N382)*N386</f>
        <v>200.169641129029</v>
      </c>
      <c r="P387" s="55" t="n">
        <f aca="false">SUM(C387:F387)</f>
        <v>-1058009.58000891</v>
      </c>
      <c r="Q387" s="55" t="n">
        <f aca="false">SUM(G387:J387)</f>
        <v>-791636.413475497</v>
      </c>
      <c r="R387" s="55" t="n">
        <f aca="false">SUM(K387:N387)</f>
        <v>-281305.077900804</v>
      </c>
      <c r="S387" s="56" t="n">
        <f aca="false">SUM(P387:R387)</f>
        <v>-2130951.07138521</v>
      </c>
    </row>
    <row r="388" customFormat="false" ht="15" hidden="false" customHeight="false" outlineLevel="0" collapsed="false">
      <c r="A388" s="4" t="s">
        <v>572</v>
      </c>
      <c r="B388" s="36" t="s">
        <v>125</v>
      </c>
      <c r="C388" s="54" t="n">
        <f aca="false">(C382-C381)*12/(Assumptions!$F$89*Assumptions!$F$76)*Assumptions!$F$90</f>
        <v>172040.736607143</v>
      </c>
      <c r="D388" s="54" t="n">
        <f aca="false">(D382-D381)*12/(Assumptions!$F$89*Assumptions!$F$76)*Assumptions!$F$90</f>
        <v>159648.412165657</v>
      </c>
      <c r="E388" s="54" t="n">
        <f aca="false">(E382-E381)*12/(Assumptions!$F$89*Assumptions!$F$76)*Assumptions!$F$90</f>
        <v>179677.291996758</v>
      </c>
      <c r="F388" s="54" t="n">
        <f aca="false">(F382-F381)*12/(Assumptions!$F$89*Assumptions!$F$76)*Assumptions!$F$90</f>
        <v>218844.876053446</v>
      </c>
      <c r="G388" s="54" t="n">
        <f aca="false">(G382-G381)*12/(Assumptions!$F$89*Assumptions!$F$76)*Assumptions!$F$90</f>
        <v>169789.936428317</v>
      </c>
      <c r="H388" s="54" t="n">
        <f aca="false">(H382-H381)*12/(Assumptions!$F$89*Assumptions!$F$76)*Assumptions!$F$90</f>
        <v>208158.513858139</v>
      </c>
      <c r="I388" s="54" t="n">
        <f aca="false">(I382-I381)*12/(Assumptions!$F$89*Assumptions!$F$76)*Assumptions!$F$90</f>
        <v>202096.008873418</v>
      </c>
      <c r="J388" s="54" t="n">
        <f aca="false">(J382-J381)*12/(Assumptions!$F$89*Assumptions!$F$76)*Assumptions!$F$90</f>
        <v>223312.619701753</v>
      </c>
      <c r="K388" s="54" t="n">
        <f aca="false">(K382-K381)*12/(Assumptions!$F$89*Assumptions!$F$76)*Assumptions!$F$90</f>
        <v>231548.098505497</v>
      </c>
      <c r="L388" s="54" t="n">
        <f aca="false">(L382-L381)*12/(Assumptions!$F$89*Assumptions!$F$76)*Assumptions!$F$90</f>
        <v>229828.795193884</v>
      </c>
      <c r="M388" s="54" t="n">
        <f aca="false">(M382-M381)*12/(Assumptions!$F$89*Assumptions!$F$76)*Assumptions!$F$90</f>
        <v>228177.873924197</v>
      </c>
      <c r="N388" s="54" t="n">
        <f aca="false">(N382-N381)*12/(Assumptions!$F$89*Assumptions!$F$76)*Assumptions!$F$90</f>
        <v>226592.613963966</v>
      </c>
      <c r="P388" s="55" t="n">
        <f aca="false">SUM(C388:F388)</f>
        <v>730211.316823003</v>
      </c>
      <c r="Q388" s="55" t="n">
        <f aca="false">SUM(G388:J388)</f>
        <v>803357.078861628</v>
      </c>
      <c r="R388" s="55" t="n">
        <f aca="false">SUM(K388:N388)</f>
        <v>916147.381587545</v>
      </c>
      <c r="S388" s="56" t="n">
        <f aca="false">SUM(P388:R388)</f>
        <v>2449715.77727218</v>
      </c>
    </row>
    <row r="389" customFormat="false" ht="15" hidden="false" customHeight="false" outlineLevel="0" collapsed="false">
      <c r="A389" s="4" t="s">
        <v>573</v>
      </c>
      <c r="B389" s="36" t="s">
        <v>125</v>
      </c>
      <c r="C389" s="54" t="n">
        <f aca="false">0*Assumptions!$F$92^(1/4)+C388</f>
        <v>172040.736607143</v>
      </c>
      <c r="D389" s="54" t="n">
        <f aca="false">C389*Assumptions!$F$92^(1/4)+D388</f>
        <v>332117.647076688</v>
      </c>
      <c r="E389" s="54" t="n">
        <f aca="false">D389*Assumptions!$F$92^(1/4)+E388</f>
        <v>512622.13762694</v>
      </c>
      <c r="F389" s="54" t="n">
        <f aca="false">E389*Assumptions!$F$92^(1/4)+F388</f>
        <v>732743.791034636</v>
      </c>
      <c r="G389" s="54" t="n">
        <f aca="false">F389*Assumptions!$F$92^(1/4)+G388</f>
        <v>904358.757265981</v>
      </c>
      <c r="H389" s="54" t="n">
        <f aca="false">G389*Assumptions!$F$92^(1/4)+H388</f>
        <v>1114769.73877357</v>
      </c>
      <c r="I389" s="54" t="n">
        <f aca="false">H389*Assumptions!$F$92^(1/4)+I388</f>
        <v>1319642.28157558</v>
      </c>
      <c r="J389" s="54" t="n">
        <f aca="false">I389*Assumptions!$F$92^(1/4)+J388</f>
        <v>1546241.70701036</v>
      </c>
      <c r="K389" s="54" t="n">
        <f aca="false">J389*Assumptions!$F$92^(1/4)+K388</f>
        <v>1781640.99775045</v>
      </c>
      <c r="L389" s="54" t="n">
        <f aca="false">K389*Assumptions!$F$92^(1/4)+L388</f>
        <v>2015907.28932297</v>
      </c>
      <c r="M389" s="54" t="n">
        <f aca="false">L389*Assumptions!$F$92^(1/4)+M388</f>
        <v>2249106.14183228</v>
      </c>
      <c r="N389" s="54" t="n">
        <f aca="false">M389*Assumptions!$F$92^(1/4)+N388</f>
        <v>2481300.55793942</v>
      </c>
      <c r="P389" s="55" t="n">
        <f aca="false">F389</f>
        <v>732743.791034636</v>
      </c>
      <c r="Q389" s="55" t="n">
        <f aca="false">J389</f>
        <v>1546241.70701036</v>
      </c>
      <c r="R389" s="55" t="n">
        <f aca="false">N389</f>
        <v>2481300.55793942</v>
      </c>
      <c r="S389" s="56" t="n">
        <f aca="false">R389</f>
        <v>2481300.55793942</v>
      </c>
    </row>
    <row r="390" customFormat="false" ht="15" hidden="false" customHeight="false" outlineLevel="0" collapsed="false">
      <c r="A390" s="4" t="s">
        <v>574</v>
      </c>
      <c r="B390" s="36" t="s">
        <v>125</v>
      </c>
      <c r="C390" s="54" t="n">
        <f aca="false">(0+C389)/8*Assumptions!$F$76-(C382-C381)-C389*Assumptions!$F$93/4</f>
        <v>-261932.021484375</v>
      </c>
      <c r="D390" s="54" t="n">
        <f aca="false">(C389+D389)/8*Assumptions!$F$76-(D382-D381)-D389*Assumptions!$F$93/4</f>
        <v>-214214.675521965</v>
      </c>
      <c r="E390" s="54" t="n">
        <f aca="false">(D389+E389)/8*Assumptions!$F$76-(E382-E381)-E389*Assumptions!$F$93/4</f>
        <v>-217864.863291823</v>
      </c>
      <c r="F390" s="54" t="n">
        <f aca="false">(E389+F389)/8*Assumptions!$F$76-(F382-F381)-F389*Assumptions!$F$93/4</f>
        <v>-247228.165493905</v>
      </c>
      <c r="G390" s="54" t="n">
        <f aca="false">(F389+G389)/8*Assumptions!$F$76-(G382-G381)-G389*Assumptions!$F$93/4</f>
        <v>-135629.153404077</v>
      </c>
      <c r="H390" s="54" t="n">
        <f aca="false">(G389+H389)/8*Assumptions!$F$76-(H382-H381)-H389*Assumptions!$F$93/4</f>
        <v>-165266.679264133</v>
      </c>
      <c r="I390" s="54" t="n">
        <f aca="false">(H389+I389)/8*Assumptions!$F$76-(I382-I381)-I389*Assumptions!$F$93/4</f>
        <v>-120752.060885741</v>
      </c>
      <c r="J390" s="54" t="n">
        <f aca="false">(I389+J389)/8*Assumptions!$F$76-(J382-J381)-J389*Assumptions!$F$93/4</f>
        <v>-118698.6538877</v>
      </c>
      <c r="K390" s="54" t="n">
        <f aca="false">(J389+K389)/8*Assumptions!$F$76-(K382-K381)-K389*Assumptions!$F$93/4</f>
        <v>-93238.0266522041</v>
      </c>
      <c r="L390" s="54" t="n">
        <f aca="false">(K389+L389)/8*Assumptions!$F$76-(L382-L381)-L389*Assumptions!$F$93/4</f>
        <v>-51145.5675901444</v>
      </c>
      <c r="M390" s="54" t="n">
        <f aca="false">(L389+M389)/8*Assumptions!$F$76-(M382-M381)-M389*Assumptions!$F$93/4</f>
        <v>-9347.21624764616</v>
      </c>
      <c r="N390" s="54" t="n">
        <f aca="false">(M389+N389)/8*Assumptions!$F$76-(N382-N381)-N389*Assumptions!$F$93/4</f>
        <v>32172.1636628643</v>
      </c>
      <c r="P390" s="55" t="n">
        <f aca="false">SUM(C390:F390)</f>
        <v>-941239.725792067</v>
      </c>
      <c r="Q390" s="55" t="n">
        <f aca="false">SUM(G390:J390)</f>
        <v>-540346.547441651</v>
      </c>
      <c r="R390" s="55" t="n">
        <f aca="false">SUM(K390:N390)</f>
        <v>-121558.64682713</v>
      </c>
      <c r="S390" s="56" t="n">
        <f aca="false">SUM(P390:R390)</f>
        <v>-1603144.92006085</v>
      </c>
    </row>
    <row r="391" customFormat="false" ht="15" hidden="false" customHeight="false" outlineLevel="0" collapsed="false">
      <c r="A391" s="4" t="s">
        <v>575</v>
      </c>
      <c r="B391" s="36" t="s">
        <v>125</v>
      </c>
      <c r="C391" s="54" t="n">
        <f aca="false">C390*C386</f>
        <v>-254615.060713226</v>
      </c>
      <c r="D391" s="54" t="n">
        <f aca="false">D390*D386</f>
        <v>-202413.842361255</v>
      </c>
      <c r="E391" s="54" t="n">
        <f aca="false">E390*E386</f>
        <v>-200112.250867025</v>
      </c>
      <c r="F391" s="54" t="n">
        <f aca="false">F390*F386</f>
        <v>-220739.4334767</v>
      </c>
      <c r="G391" s="54" t="n">
        <f aca="false">G390*G386</f>
        <v>-117714.651866957</v>
      </c>
      <c r="H391" s="54" t="n">
        <f aca="false">H390*H386</f>
        <v>-139430.654763511</v>
      </c>
      <c r="I391" s="54" t="n">
        <f aca="false">I390*I386</f>
        <v>-99029.141011891</v>
      </c>
      <c r="J391" s="54" t="n">
        <f aca="false">J390*J386</f>
        <v>-94625.8401528221</v>
      </c>
      <c r="K391" s="54" t="n">
        <f aca="false">K390*K386</f>
        <v>-72252.4407064821</v>
      </c>
      <c r="L391" s="54" t="n">
        <f aca="false">L390*L386</f>
        <v>-38526.8006635976</v>
      </c>
      <c r="M391" s="54" t="n">
        <f aca="false">M390*M386</f>
        <v>-6844.35816151902</v>
      </c>
      <c r="N391" s="54" t="n">
        <f aca="false">N390*N386</f>
        <v>22899.5106246472</v>
      </c>
      <c r="P391" s="55" t="n">
        <f aca="false">SUM(C391:F391)</f>
        <v>-877880.587418206</v>
      </c>
      <c r="Q391" s="55" t="n">
        <f aca="false">SUM(G391:J391)</f>
        <v>-450800.287795181</v>
      </c>
      <c r="R391" s="55" t="n">
        <f aca="false">SUM(K391:N391)</f>
        <v>-94724.0889069516</v>
      </c>
      <c r="S391" s="56" t="n">
        <f aca="false">SUM(P391:R391)</f>
        <v>-1423404.96412034</v>
      </c>
    </row>
    <row r="392" customFormat="false" ht="15" hidden="false" customHeight="false" outlineLevel="0" collapsed="false">
      <c r="A392" s="4" t="s">
        <v>576</v>
      </c>
      <c r="B392" s="36"/>
      <c r="C392" s="37" t="n">
        <f aca="false">IFERROR((S347*$C$296*Assumptions!$F$59+S348*$C$297*Assumptions!$F$60+S349*$C$298*Assumptions!$F$61)/(S347*$C$296+S348*$C$297+S349*$C$298),0.9)</f>
        <v>0.93157570407042</v>
      </c>
    </row>
    <row r="393" customFormat="false" ht="15" hidden="false" customHeight="false" outlineLevel="0" collapsed="false">
      <c r="A393" s="4" t="s">
        <v>577</v>
      </c>
      <c r="B393" s="36"/>
      <c r="C393" s="37" t="n">
        <f aca="false">IFERROR(N381*4/N359,0)</f>
        <v>0.118194885101632</v>
      </c>
    </row>
    <row r="394" customFormat="false" ht="15" hidden="false" customHeight="false" outlineLevel="0" collapsed="false">
      <c r="A394" s="4" t="s">
        <v>578</v>
      </c>
      <c r="B394" s="36"/>
      <c r="C394" s="60" t="n">
        <f aca="false">$C$392/(1+Assumptions!$F$87)</f>
        <v>0.831764021491446</v>
      </c>
    </row>
    <row r="395" customFormat="false" ht="15" hidden="false" customHeight="false" outlineLevel="0" collapsed="false">
      <c r="A395" s="4" t="s">
        <v>579</v>
      </c>
      <c r="B395" s="36"/>
      <c r="C395" s="60" t="n">
        <f aca="false">Assumptions!$F$91/(1+Assumptions!$F$87)</f>
        <v>0.803571428571429</v>
      </c>
    </row>
    <row r="396" customFormat="false" ht="15" hidden="false" customHeight="false" outlineLevel="0" collapsed="false">
      <c r="A396" s="35" t="s">
        <v>580</v>
      </c>
      <c r="B396" s="35" t="s">
        <v>444</v>
      </c>
      <c r="C396" s="6" t="s">
        <v>354</v>
      </c>
      <c r="D396" s="6" t="s">
        <v>355</v>
      </c>
      <c r="E396" s="6" t="s">
        <v>356</v>
      </c>
      <c r="F396" s="6" t="s">
        <v>357</v>
      </c>
      <c r="G396" s="6" t="s">
        <v>358</v>
      </c>
      <c r="H396" s="6" t="s">
        <v>359</v>
      </c>
      <c r="I396" s="6" t="s">
        <v>360</v>
      </c>
      <c r="J396" s="6" t="s">
        <v>361</v>
      </c>
      <c r="K396" s="6" t="s">
        <v>362</v>
      </c>
      <c r="L396" s="6" t="s">
        <v>363</v>
      </c>
      <c r="M396" s="6" t="s">
        <v>364</v>
      </c>
      <c r="N396" s="6" t="s">
        <v>365</v>
      </c>
      <c r="P396" s="6" t="s">
        <v>445</v>
      </c>
      <c r="Q396" s="6" t="s">
        <v>446</v>
      </c>
      <c r="R396" s="6" t="s">
        <v>447</v>
      </c>
      <c r="S396" s="6" t="s">
        <v>448</v>
      </c>
    </row>
    <row r="397" customFormat="false" ht="15" hidden="false" customHeight="false" outlineLevel="0" collapsed="false">
      <c r="A397" s="9" t="s">
        <v>581</v>
      </c>
      <c r="C397" s="61" t="n">
        <f aca="false">N359</f>
        <v>3013219.53633262</v>
      </c>
      <c r="D397" s="61"/>
    </row>
    <row r="398" customFormat="false" ht="15" hidden="false" customHeight="false" outlineLevel="0" collapsed="false">
      <c r="A398" s="9" t="s">
        <v>582</v>
      </c>
      <c r="C398" s="62" t="n">
        <f aca="false">N355</f>
        <v>194.703814994485</v>
      </c>
      <c r="D398" s="62"/>
    </row>
    <row r="399" customFormat="false" ht="15" hidden="false" customHeight="false" outlineLevel="0" collapsed="false">
      <c r="A399" s="9" t="s">
        <v>583</v>
      </c>
      <c r="C399" s="63" t="n">
        <f aca="false">S350</f>
        <v>210.075218540593</v>
      </c>
      <c r="D399" s="63"/>
    </row>
    <row r="400" customFormat="false" ht="15" hidden="false" customHeight="false" outlineLevel="0" collapsed="false">
      <c r="A400" s="9" t="s">
        <v>584</v>
      </c>
      <c r="C400" s="61" t="n">
        <f aca="false">S361</f>
        <v>2907011.04832639</v>
      </c>
      <c r="D400" s="61"/>
    </row>
    <row r="401" customFormat="false" ht="15" hidden="false" customHeight="false" outlineLevel="0" collapsed="false">
      <c r="A401" s="9" t="s">
        <v>22</v>
      </c>
      <c r="C401" s="61" t="n">
        <f aca="false">IFERROR(S360/S350,0)</f>
        <v>12338.4880922387</v>
      </c>
      <c r="D401" s="61"/>
    </row>
    <row r="402" customFormat="false" ht="15" hidden="false" customHeight="false" outlineLevel="0" collapsed="false">
      <c r="A402" s="9" t="s">
        <v>585</v>
      </c>
      <c r="C402" s="61" t="n">
        <f aca="false">IFERROR(S378/S350,0)</f>
        <v>15314.7979647495</v>
      </c>
      <c r="D402" s="61"/>
    </row>
    <row r="403" customFormat="false" ht="23.85" hidden="false" customHeight="false" outlineLevel="0" collapsed="false">
      <c r="A403" s="9" t="s">
        <v>586</v>
      </c>
      <c r="C403" s="61" t="n">
        <f aca="false">IFERROR((S372+S374+S375+S376+S377)/S350,0)</f>
        <v>9175.24535067644</v>
      </c>
      <c r="D403" s="61"/>
    </row>
    <row r="404" customFormat="false" ht="15" hidden="false" customHeight="false" outlineLevel="0" collapsed="false">
      <c r="A404" s="9" t="s">
        <v>587</v>
      </c>
      <c r="C404" s="64" t="n">
        <f aca="false">IFERROR('Engine Runs'!$C$402/('Engine Runs'!$C$401*Assumptions!$F$76/12),0)</f>
        <v>20.687026711675</v>
      </c>
      <c r="D404" s="64"/>
    </row>
    <row r="405" customFormat="false" ht="15" hidden="false" customHeight="false" outlineLevel="0" collapsed="false">
      <c r="A405" s="9" t="s">
        <v>588</v>
      </c>
      <c r="C405" s="64" t="n">
        <f aca="false">IFERROR((R378/R350)/((R360/R350)*Assumptions!$F$76/12),0)</f>
        <v>16.190358159649</v>
      </c>
      <c r="D405" s="64"/>
    </row>
    <row r="406" customFormat="false" ht="15" hidden="false" customHeight="false" outlineLevel="0" collapsed="false">
      <c r="A406" s="9" t="s">
        <v>589</v>
      </c>
      <c r="C406" s="61" t="n">
        <f aca="false">S382</f>
        <v>4341614.21942982</v>
      </c>
      <c r="D406" s="61"/>
    </row>
    <row r="407" customFormat="false" ht="15" hidden="false" customHeight="false" outlineLevel="0" collapsed="false">
      <c r="A407" s="9" t="s">
        <v>590</v>
      </c>
      <c r="C407" s="61" t="n">
        <f aca="false">N385</f>
        <v>-2248566.26463482</v>
      </c>
      <c r="D407" s="61"/>
    </row>
    <row r="408" customFormat="false" ht="15" hidden="false" customHeight="false" outlineLevel="0" collapsed="false">
      <c r="A408" s="9" t="s">
        <v>591</v>
      </c>
      <c r="C408" s="61" t="n">
        <f aca="false">MIN($C$385:$N$385)</f>
        <v>-2299054.84306802</v>
      </c>
      <c r="D408" s="61"/>
    </row>
    <row r="409" customFormat="false" ht="15" hidden="false" customHeight="false" outlineLevel="0" collapsed="false">
      <c r="A409" s="9" t="s">
        <v>592</v>
      </c>
      <c r="C409" s="61" t="n">
        <f aca="false">N359*(Assumptions!$F$76-$C$393)*$C$392*(1-$C$392^Assumptions!$F$85)/(1-$C$392)</f>
        <v>7366997.01511559</v>
      </c>
      <c r="D409" s="61"/>
    </row>
    <row r="410" customFormat="false" ht="15" hidden="false" customHeight="false" outlineLevel="0" collapsed="false">
      <c r="A410" s="9" t="s">
        <v>593</v>
      </c>
      <c r="C410" s="61" t="n">
        <f aca="false">N359*(Assumptions!$F$76-$C$393)*(1-Assumptions!$F$88)/(1+Assumptions!$F$87)^2.5*$C$394*(1-$C$394^Assumptions!$F$85)/(1-$C$394)</f>
        <v>3658340.21590259</v>
      </c>
      <c r="D410" s="61"/>
    </row>
    <row r="411" customFormat="false" ht="15" hidden="false" customHeight="false" outlineLevel="0" collapsed="false">
      <c r="A411" s="9" t="s">
        <v>594</v>
      </c>
      <c r="C411" s="61" t="n">
        <f aca="false">SUM($C$387:$N$387)+'Engine Runs'!$C$410</f>
        <v>1527389.14451738</v>
      </c>
      <c r="D411" s="61"/>
    </row>
    <row r="412" customFormat="false" ht="15" hidden="false" customHeight="false" outlineLevel="0" collapsed="false">
      <c r="A412" s="9" t="s">
        <v>595</v>
      </c>
      <c r="C412" s="61" t="n">
        <f aca="false">SUM($C$391:$N$391)+N389*(Assumptions!$F$76-Assumptions!$F$93)/(1+Assumptions!$F$87)^2.5*$C$395*(1-$C$395^Assumptions!$F$85)/(1-$C$395)</f>
        <v>1983119.26830202</v>
      </c>
      <c r="D412" s="61"/>
    </row>
    <row r="413" customFormat="false" ht="15" hidden="false" customHeight="false" outlineLevel="0" collapsed="false">
      <c r="A413" s="9" t="s">
        <v>596</v>
      </c>
      <c r="C413" s="61" t="n">
        <f aca="false">'Engine Runs'!$C$411-'Engine Runs'!$C$412</f>
        <v>-455730.123784644</v>
      </c>
      <c r="D413" s="61"/>
    </row>
    <row r="414" customFormat="false" ht="15" hidden="false" customHeight="false" outlineLevel="0" collapsed="false">
      <c r="A414" s="9" t="s">
        <v>597</v>
      </c>
      <c r="C414" s="61" t="n">
        <f aca="false">S346</f>
        <v>0</v>
      </c>
      <c r="D414" s="61"/>
    </row>
    <row r="415" customFormat="false" ht="15" hidden="false" customHeight="false" outlineLevel="0" collapsed="false">
      <c r="A415" s="9" t="s">
        <v>598</v>
      </c>
      <c r="C415" s="63" t="n">
        <f aca="false">P330</f>
        <v>116.59176500912</v>
      </c>
      <c r="D415" s="63"/>
    </row>
    <row r="416" customFormat="false" ht="15" hidden="false" customHeight="false" outlineLevel="0" collapsed="false">
      <c r="A416" s="9" t="s">
        <v>599</v>
      </c>
      <c r="C416" s="63" t="n">
        <f aca="false">P350</f>
        <v>21.7760904031459</v>
      </c>
      <c r="D416" s="63"/>
    </row>
    <row r="417" customFormat="false" ht="15" hidden="false" customHeight="false" outlineLevel="0" collapsed="false">
      <c r="A417" s="9" t="s">
        <v>600</v>
      </c>
      <c r="C417" s="63" t="n">
        <f aca="false">P326</f>
        <v>96</v>
      </c>
      <c r="D417" s="63"/>
    </row>
    <row r="418" customFormat="false" ht="15" hidden="false" customHeight="false" outlineLevel="0" collapsed="false">
      <c r="A418" s="9" t="s">
        <v>601</v>
      </c>
      <c r="C418" s="61" t="n">
        <f aca="false">IFERROR(P360/P350,0)</f>
        <v>11723.9726084903</v>
      </c>
      <c r="D418" s="61"/>
    </row>
    <row r="421" customFormat="false" ht="15" hidden="false" customHeight="true" outlineLevel="0" collapsed="false">
      <c r="A421" s="78" t="s">
        <v>767</v>
      </c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</row>
    <row r="422" customFormat="false" ht="15" hidden="false" customHeight="true" outlineLevel="0" collapsed="false">
      <c r="A422" s="79" t="s">
        <v>768</v>
      </c>
      <c r="B422" s="79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</row>
    <row r="423" customFormat="false" ht="23.85" hidden="false" customHeight="false" outlineLevel="0" collapsed="false">
      <c r="A423" s="35" t="s">
        <v>769</v>
      </c>
      <c r="B423" s="35" t="s">
        <v>444</v>
      </c>
      <c r="C423" s="6" t="s">
        <v>354</v>
      </c>
      <c r="D423" s="6" t="s">
        <v>355</v>
      </c>
      <c r="E423" s="6" t="s">
        <v>356</v>
      </c>
      <c r="F423" s="6" t="s">
        <v>357</v>
      </c>
      <c r="G423" s="6" t="s">
        <v>358</v>
      </c>
      <c r="H423" s="6" t="s">
        <v>359</v>
      </c>
      <c r="I423" s="6" t="s">
        <v>360</v>
      </c>
      <c r="J423" s="6" t="s">
        <v>361</v>
      </c>
      <c r="K423" s="6" t="s">
        <v>362</v>
      </c>
      <c r="L423" s="6" t="s">
        <v>363</v>
      </c>
      <c r="M423" s="6" t="s">
        <v>364</v>
      </c>
      <c r="N423" s="6" t="s">
        <v>365</v>
      </c>
      <c r="P423" s="6" t="s">
        <v>445</v>
      </c>
      <c r="Q423" s="6" t="s">
        <v>446</v>
      </c>
      <c r="R423" s="6" t="s">
        <v>447</v>
      </c>
      <c r="S423" s="6" t="s">
        <v>448</v>
      </c>
    </row>
    <row r="424" customFormat="false" ht="15" hidden="false" customHeight="false" outlineLevel="0" collapsed="false">
      <c r="A424" s="4" t="s">
        <v>449</v>
      </c>
      <c r="B424" s="36" t="s">
        <v>450</v>
      </c>
      <c r="C424" s="34" t="n">
        <f aca="false">'Market Sizing'!$C$17*Assumptions!$D$10*Assumptions!$D$11*(1-Assumptions!$D$12)</f>
        <v>843.03944704</v>
      </c>
    </row>
    <row r="425" customFormat="false" ht="15" hidden="false" customHeight="false" outlineLevel="0" collapsed="false">
      <c r="A425" s="4" t="s">
        <v>451</v>
      </c>
      <c r="B425" s="36" t="s">
        <v>450</v>
      </c>
      <c r="C425" s="34" t="n">
        <f aca="false">'Market Sizing'!$D$17*Assumptions!$D$10*Assumptions!$D$11*(1-Assumptions!$D$12)</f>
        <v>211.19616</v>
      </c>
    </row>
    <row r="426" customFormat="false" ht="15" hidden="false" customHeight="false" outlineLevel="0" collapsed="false">
      <c r="A426" s="4" t="s">
        <v>452</v>
      </c>
      <c r="B426" s="36" t="s">
        <v>450</v>
      </c>
      <c r="C426" s="34" t="n">
        <f aca="false">'Market Sizing'!$E$17*Assumptions!$D$10*Assumptions!$D$11*(1-Assumptions!$D$12)</f>
        <v>49.53984</v>
      </c>
    </row>
    <row r="427" customFormat="false" ht="15" hidden="false" customHeight="false" outlineLevel="0" collapsed="false">
      <c r="A427" s="4" t="s">
        <v>453</v>
      </c>
      <c r="B427" s="36"/>
      <c r="C427" s="34" t="n">
        <f aca="false">$C$424+$C$425+$C$426</f>
        <v>1103.77544704</v>
      </c>
    </row>
    <row r="428" customFormat="false" ht="15" hidden="false" customHeight="false" outlineLevel="0" collapsed="false">
      <c r="A428" s="4" t="s">
        <v>454</v>
      </c>
      <c r="B428" s="36" t="s">
        <v>450</v>
      </c>
      <c r="C428" s="34" t="n">
        <f aca="false">'Market Sizing'!$C$18*Assumptions!$D$10*Assumptions!$D$11*(1-Assumptions!$D$12)</f>
        <v>612.57706944</v>
      </c>
    </row>
    <row r="429" customFormat="false" ht="15" hidden="false" customHeight="false" outlineLevel="0" collapsed="false">
      <c r="A429" s="4" t="s">
        <v>455</v>
      </c>
      <c r="B429" s="36" t="s">
        <v>450</v>
      </c>
      <c r="C429" s="34" t="n">
        <f aca="false">'Market Sizing'!$D$18*Assumptions!$D$10*Assumptions!$D$11*(1-Assumptions!$D$12)</f>
        <v>142.10112</v>
      </c>
    </row>
    <row r="430" customFormat="false" ht="15" hidden="false" customHeight="false" outlineLevel="0" collapsed="false">
      <c r="A430" s="4" t="s">
        <v>456</v>
      </c>
      <c r="B430" s="36" t="s">
        <v>450</v>
      </c>
      <c r="C430" s="34" t="n">
        <f aca="false">'Market Sizing'!$E$18*Assumptions!$D$10*Assumptions!$D$11*(1-Assumptions!$D$12)</f>
        <v>24.76992</v>
      </c>
    </row>
    <row r="431" customFormat="false" ht="15" hidden="false" customHeight="false" outlineLevel="0" collapsed="false">
      <c r="A431" s="4" t="s">
        <v>457</v>
      </c>
      <c r="B431" s="36"/>
      <c r="C431" s="34" t="n">
        <f aca="false">$C$428+$C$429+$C$430</f>
        <v>779.44810944</v>
      </c>
    </row>
    <row r="432" customFormat="false" ht="15" hidden="false" customHeight="false" outlineLevel="0" collapsed="false">
      <c r="A432" s="4" t="s">
        <v>458</v>
      </c>
      <c r="B432" s="36" t="s">
        <v>450</v>
      </c>
      <c r="C432" s="34" t="n">
        <f aca="false">'Market Sizing'!$C$19*Assumptions!$D$10*Assumptions!$D$11*(1-Assumptions!$D$12)</f>
        <v>2060.77303936</v>
      </c>
    </row>
    <row r="433" customFormat="false" ht="15" hidden="false" customHeight="false" outlineLevel="0" collapsed="false">
      <c r="A433" s="4" t="s">
        <v>459</v>
      </c>
      <c r="B433" s="36" t="s">
        <v>450</v>
      </c>
      <c r="C433" s="34" t="n">
        <f aca="false">'Market Sizing'!$D$19*Assumptions!$D$10*Assumptions!$D$11*(1-Assumptions!$D$12)</f>
        <v>428.47616</v>
      </c>
    </row>
    <row r="434" customFormat="false" ht="15" hidden="false" customHeight="false" outlineLevel="0" collapsed="false">
      <c r="A434" s="4" t="s">
        <v>460</v>
      </c>
      <c r="B434" s="36" t="s">
        <v>450</v>
      </c>
      <c r="C434" s="34" t="n">
        <f aca="false">'Market Sizing'!$E$19*Assumptions!$D$10*Assumptions!$D$11*(1-Assumptions!$D$12)</f>
        <v>79.52448</v>
      </c>
    </row>
    <row r="435" customFormat="false" ht="15" hidden="false" customHeight="false" outlineLevel="0" collapsed="false">
      <c r="A435" s="4" t="s">
        <v>461</v>
      </c>
      <c r="B435" s="36"/>
      <c r="C435" s="34" t="n">
        <f aca="false">$C$432+$C$433+$C$434</f>
        <v>2568.77367936</v>
      </c>
    </row>
    <row r="436" customFormat="false" ht="15" hidden="false" customHeight="false" outlineLevel="0" collapsed="false">
      <c r="A436" s="4" t="s">
        <v>462</v>
      </c>
      <c r="B436" s="36" t="s">
        <v>463</v>
      </c>
      <c r="C436" s="33" t="n">
        <f aca="false">MAX((Assumptions!$D$51+Assumptions!$D$53)*12,(((('Market Sizing'!$E$25*Assumptions!$D$41*Assumptions!$D$42*Assumptions!$D$43)*Assumptions!$D$44)*Assumptions!$D$45*Assumptions!$D$46+('Market Sizing'!$E$25*Assumptions!$D$41*Assumptions!$D$42*Assumptions!$D$43)*Assumptions!$D$47+('Market Sizing'!$E$25*Assumptions!$D$41*Assumptions!$D$42*Assumptions!$D$43)*Assumptions!$D$48*Assumptions!$D$49)*(Assumptions!$D$51*12/Assumptions!$D$52)+((('Market Sizing'!$E$25*Assumptions!$D$41*Assumptions!$D$42*Assumptions!$D$43)*Assumptions!$D$44)*Assumptions!$D$45+('Market Sizing'!$E$25*Assumptions!$D$41*Assumptions!$D$42*Assumptions!$D$43)+('Market Sizing'!$E$25*Assumptions!$D$41*Assumptions!$D$42*Assumptions!$D$43)*Assumptions!$D$48)*Assumptions!$D$50*(Assumptions!$D$53*12/Assumptions!$D$54)))</f>
        <v>5352</v>
      </c>
    </row>
    <row r="437" customFormat="false" ht="15" hidden="false" customHeight="false" outlineLevel="0" collapsed="false">
      <c r="A437" s="4" t="s">
        <v>464</v>
      </c>
      <c r="B437" s="36" t="s">
        <v>463</v>
      </c>
      <c r="C437" s="33" t="n">
        <f aca="false">MAX((Assumptions!$D$51+Assumptions!$D$53)*12,(((('Market Sizing'!$E$26*Assumptions!$D$41*Assumptions!$D$42*Assumptions!$D$43)*Assumptions!$D$44)*Assumptions!$D$45*Assumptions!$D$46+('Market Sizing'!$E$26*Assumptions!$D$41*Assumptions!$D$42*Assumptions!$D$43)*Assumptions!$D$47+('Market Sizing'!$E$26*Assumptions!$D$41*Assumptions!$D$42*Assumptions!$D$43)*Assumptions!$D$48*Assumptions!$D$49)*(Assumptions!$D$51*12/Assumptions!$D$52)+((('Market Sizing'!$E$26*Assumptions!$D$41*Assumptions!$D$42*Assumptions!$D$43)*Assumptions!$D$44)*Assumptions!$D$45+('Market Sizing'!$E$26*Assumptions!$D$41*Assumptions!$D$42*Assumptions!$D$43)+('Market Sizing'!$E$26*Assumptions!$D$41*Assumptions!$D$42*Assumptions!$D$43)*Assumptions!$D$48)*Assumptions!$D$50*(Assumptions!$D$53*12/Assumptions!$D$54)))</f>
        <v>7325.04009656406</v>
      </c>
    </row>
    <row r="438" customFormat="false" ht="15" hidden="false" customHeight="false" outlineLevel="0" collapsed="false">
      <c r="A438" s="4" t="s">
        <v>465</v>
      </c>
      <c r="B438" s="36" t="s">
        <v>463</v>
      </c>
      <c r="C438" s="33" t="n">
        <f aca="false">MAX(Assumptions!$D$55*(Assumptions!$D$51*12/Assumptions!$D$52)+Assumptions!$D$56*(Assumptions!$D$53*12/Assumptions!$D$54),(((('Market Sizing'!$E$27*Assumptions!$D$41*Assumptions!$D$42*Assumptions!$D$43)*Assumptions!$D$44)*Assumptions!$D$45*Assumptions!$D$46+('Market Sizing'!$E$27*Assumptions!$D$41*Assumptions!$D$42*Assumptions!$D$43)*Assumptions!$D$47+('Market Sizing'!$E$27*Assumptions!$D$41*Assumptions!$D$42*Assumptions!$D$43)*Assumptions!$D$48*Assumptions!$D$49)*(Assumptions!$D$51*12/Assumptions!$D$52)+((('Market Sizing'!$E$27*Assumptions!$D$41*Assumptions!$D$42*Assumptions!$D$43)*Assumptions!$D$44)*Assumptions!$D$45+('Market Sizing'!$E$27*Assumptions!$D$41*Assumptions!$D$42*Assumptions!$D$43)+('Market Sizing'!$E$27*Assumptions!$D$41*Assumptions!$D$42*Assumptions!$D$43)*Assumptions!$D$48)*Assumptions!$D$50*(Assumptions!$D$53*12/Assumptions!$D$54)))*(1-Assumptions!$D$57)</f>
        <v>46333.6921645789</v>
      </c>
    </row>
    <row r="439" customFormat="false" ht="23.85" hidden="false" customHeight="false" outlineLevel="0" collapsed="false">
      <c r="A439" s="4" t="s">
        <v>466</v>
      </c>
      <c r="B439" s="36" t="s">
        <v>467</v>
      </c>
      <c r="C439" s="37" t="n">
        <f aca="false">Assumptions!$D$17*Assumptions!$D$106</f>
        <v>0.3</v>
      </c>
    </row>
    <row r="440" customFormat="false" ht="23.85" hidden="false" customHeight="false" outlineLevel="0" collapsed="false">
      <c r="A440" s="4" t="s">
        <v>468</v>
      </c>
      <c r="B440" s="36" t="s">
        <v>469</v>
      </c>
      <c r="C440" s="33" t="n">
        <f aca="false">Assumptions!$D$68/Assumptions!$D$69</f>
        <v>285714.285714286</v>
      </c>
    </row>
    <row r="441" customFormat="false" ht="23.85" hidden="false" customHeight="false" outlineLevel="0" collapsed="false">
      <c r="A441" s="4" t="s">
        <v>470</v>
      </c>
      <c r="B441" s="36" t="s">
        <v>471</v>
      </c>
      <c r="C441" s="33" t="n">
        <f aca="false">Assumptions!$D$66*Assumptions!$D$67/4</f>
        <v>120312.5</v>
      </c>
    </row>
    <row r="442" customFormat="false" ht="15" hidden="false" customHeight="false" outlineLevel="0" collapsed="false">
      <c r="A442" s="4" t="s">
        <v>472</v>
      </c>
      <c r="B442" s="36"/>
      <c r="C442" s="38" t="n">
        <f aca="false">$C$440/Assumptions!$D$66/Assumptions!$D$67</f>
        <v>0.593692022263451</v>
      </c>
    </row>
    <row r="443" customFormat="false" ht="15" hidden="false" customHeight="false" outlineLevel="0" collapsed="false">
      <c r="A443" s="4" t="s">
        <v>473</v>
      </c>
      <c r="B443" s="36"/>
      <c r="C443" s="33" t="n">
        <f aca="false">MAX(0,Assumptions!$D$103-Assumptions!$D$78)</f>
        <v>0</v>
      </c>
    </row>
    <row r="444" customFormat="false" ht="15" hidden="false" customHeight="false" outlineLevel="0" collapsed="false">
      <c r="A444" s="35" t="s">
        <v>474</v>
      </c>
      <c r="B444" s="35" t="s">
        <v>444</v>
      </c>
      <c r="C444" s="6" t="s">
        <v>354</v>
      </c>
      <c r="D444" s="6" t="s">
        <v>355</v>
      </c>
      <c r="E444" s="6" t="s">
        <v>356</v>
      </c>
      <c r="F444" s="6" t="s">
        <v>357</v>
      </c>
      <c r="G444" s="6" t="s">
        <v>358</v>
      </c>
      <c r="H444" s="6" t="s">
        <v>359</v>
      </c>
      <c r="I444" s="6" t="s">
        <v>360</v>
      </c>
      <c r="J444" s="6" t="s">
        <v>361</v>
      </c>
      <c r="K444" s="6" t="s">
        <v>362</v>
      </c>
      <c r="L444" s="6" t="s">
        <v>363</v>
      </c>
      <c r="M444" s="6" t="s">
        <v>364</v>
      </c>
      <c r="N444" s="6" t="s">
        <v>365</v>
      </c>
      <c r="P444" s="6" t="s">
        <v>445</v>
      </c>
      <c r="Q444" s="6" t="s">
        <v>446</v>
      </c>
      <c r="R444" s="6" t="s">
        <v>447</v>
      </c>
      <c r="S444" s="6" t="s">
        <v>448</v>
      </c>
    </row>
    <row r="445" customFormat="false" ht="15" hidden="false" customHeight="false" outlineLevel="0" collapsed="false">
      <c r="A445" s="4" t="s">
        <v>475</v>
      </c>
      <c r="B445" s="36" t="s">
        <v>133</v>
      </c>
      <c r="C445" s="39" t="n">
        <v>1</v>
      </c>
      <c r="D445" s="39" t="n">
        <v>2</v>
      </c>
      <c r="E445" s="39" t="n">
        <v>3</v>
      </c>
      <c r="F445" s="39" t="n">
        <v>4</v>
      </c>
      <c r="G445" s="39" t="n">
        <v>5</v>
      </c>
      <c r="H445" s="39" t="n">
        <v>6</v>
      </c>
      <c r="I445" s="39" t="n">
        <v>7</v>
      </c>
      <c r="J445" s="39" t="n">
        <v>8</v>
      </c>
      <c r="K445" s="39" t="n">
        <v>9</v>
      </c>
      <c r="L445" s="39" t="n">
        <v>10</v>
      </c>
      <c r="M445" s="39" t="n">
        <v>11</v>
      </c>
      <c r="N445" s="39" t="n">
        <v>12</v>
      </c>
      <c r="P445" s="40"/>
      <c r="Q445" s="40"/>
      <c r="R445" s="40"/>
      <c r="S445" s="41"/>
    </row>
    <row r="446" customFormat="false" ht="15" hidden="false" customHeight="false" outlineLevel="0" collapsed="false">
      <c r="A446" s="4" t="s">
        <v>476</v>
      </c>
      <c r="B446" s="36" t="s">
        <v>343</v>
      </c>
      <c r="C446" s="39" t="n">
        <f aca="false">IF(C445&lt;=4,1,0)</f>
        <v>1</v>
      </c>
      <c r="D446" s="39" t="n">
        <f aca="false">IF(D445&lt;=4,1,0)</f>
        <v>1</v>
      </c>
      <c r="E446" s="39" t="n">
        <f aca="false">IF(E445&lt;=4,1,0)</f>
        <v>1</v>
      </c>
      <c r="F446" s="39" t="n">
        <f aca="false">IF(F445&lt;=4,1,0)</f>
        <v>1</v>
      </c>
      <c r="G446" s="39" t="n">
        <f aca="false">IF(G445&lt;=4,1,0)</f>
        <v>0</v>
      </c>
      <c r="H446" s="39" t="n">
        <f aca="false">IF(H445&lt;=4,1,0)</f>
        <v>0</v>
      </c>
      <c r="I446" s="39" t="n">
        <f aca="false">IF(I445&lt;=4,1,0)</f>
        <v>0</v>
      </c>
      <c r="J446" s="39" t="n">
        <f aca="false">IF(J445&lt;=4,1,0)</f>
        <v>0</v>
      </c>
      <c r="K446" s="39" t="n">
        <f aca="false">IF(K445&lt;=4,1,0)</f>
        <v>0</v>
      </c>
      <c r="L446" s="39" t="n">
        <f aca="false">IF(L445&lt;=4,1,0)</f>
        <v>0</v>
      </c>
      <c r="M446" s="39" t="n">
        <f aca="false">IF(M445&lt;=4,1,0)</f>
        <v>0</v>
      </c>
      <c r="N446" s="39" t="n">
        <f aca="false">IF(N445&lt;=4,1,0)</f>
        <v>0</v>
      </c>
      <c r="P446" s="40"/>
      <c r="Q446" s="40"/>
      <c r="R446" s="40"/>
      <c r="S446" s="41"/>
    </row>
    <row r="447" customFormat="false" ht="15" hidden="false" customHeight="false" outlineLevel="0" collapsed="false">
      <c r="A447" s="4" t="s">
        <v>477</v>
      </c>
      <c r="B447" s="36" t="s">
        <v>478</v>
      </c>
      <c r="C447" s="42" t="n">
        <f aca="false">IF(C445=Assumptions!$D$13,0.5,IF(C445&gt;Assumptions!$D$13,1,0))</f>
        <v>0.5</v>
      </c>
      <c r="D447" s="42" t="n">
        <f aca="false">IF(D445=Assumptions!$D$13,0.5,IF(D445&gt;Assumptions!$D$13,1,0))</f>
        <v>1</v>
      </c>
      <c r="E447" s="42" t="n">
        <f aca="false">IF(E445=Assumptions!$D$13,0.5,IF(E445&gt;Assumptions!$D$13,1,0))</f>
        <v>1</v>
      </c>
      <c r="F447" s="42" t="n">
        <f aca="false">IF(F445=Assumptions!$D$13,0.5,IF(F445&gt;Assumptions!$D$13,1,0))</f>
        <v>1</v>
      </c>
      <c r="G447" s="42" t="n">
        <f aca="false">IF(G445=Assumptions!$D$13,0.5,IF(G445&gt;Assumptions!$D$13,1,0))</f>
        <v>1</v>
      </c>
      <c r="H447" s="42" t="n">
        <f aca="false">IF(H445=Assumptions!$D$13,0.5,IF(H445&gt;Assumptions!$D$13,1,0))</f>
        <v>1</v>
      </c>
      <c r="I447" s="42" t="n">
        <f aca="false">IF(I445=Assumptions!$D$13,0.5,IF(I445&gt;Assumptions!$D$13,1,0))</f>
        <v>1</v>
      </c>
      <c r="J447" s="42" t="n">
        <f aca="false">IF(J445=Assumptions!$D$13,0.5,IF(J445&gt;Assumptions!$D$13,1,0))</f>
        <v>1</v>
      </c>
      <c r="K447" s="42" t="n">
        <f aca="false">IF(K445=Assumptions!$D$13,0.5,IF(K445&gt;Assumptions!$D$13,1,0))</f>
        <v>1</v>
      </c>
      <c r="L447" s="42" t="n">
        <f aca="false">IF(L445=Assumptions!$D$13,0.5,IF(L445&gt;Assumptions!$D$13,1,0))</f>
        <v>1</v>
      </c>
      <c r="M447" s="42" t="n">
        <f aca="false">IF(M445=Assumptions!$D$13,0.5,IF(M445&gt;Assumptions!$D$13,1,0))</f>
        <v>1</v>
      </c>
      <c r="N447" s="42" t="n">
        <f aca="false">IF(N445=Assumptions!$D$13,0.5,IF(N445&gt;Assumptions!$D$13,1,0))</f>
        <v>1</v>
      </c>
      <c r="P447" s="43"/>
      <c r="Q447" s="43"/>
      <c r="R447" s="43"/>
      <c r="S447" s="44"/>
    </row>
    <row r="448" customFormat="false" ht="15" hidden="false" customHeight="false" outlineLevel="0" collapsed="false">
      <c r="A448" s="4" t="s">
        <v>479</v>
      </c>
      <c r="B448" s="36" t="s">
        <v>478</v>
      </c>
      <c r="C448" s="42" t="n">
        <f aca="false">IF(C445=Assumptions!$D$14,0.5,IF(C445&gt;Assumptions!$D$14,1,0))</f>
        <v>0</v>
      </c>
      <c r="D448" s="42" t="n">
        <f aca="false">IF(D445=Assumptions!$D$14,0.5,IF(D445&gt;Assumptions!$D$14,1,0))</f>
        <v>0</v>
      </c>
      <c r="E448" s="42" t="n">
        <f aca="false">IF(E445=Assumptions!$D$14,0.5,IF(E445&gt;Assumptions!$D$14,1,0))</f>
        <v>0</v>
      </c>
      <c r="F448" s="42" t="n">
        <f aca="false">IF(F445=Assumptions!$D$14,0.5,IF(F445&gt;Assumptions!$D$14,1,0))</f>
        <v>0</v>
      </c>
      <c r="G448" s="42" t="n">
        <f aca="false">IF(G445=Assumptions!$D$14,0.5,IF(G445&gt;Assumptions!$D$14,1,0))</f>
        <v>0</v>
      </c>
      <c r="H448" s="42" t="n">
        <f aca="false">IF(H445=Assumptions!$D$14,0.5,IF(H445&gt;Assumptions!$D$14,1,0))</f>
        <v>0</v>
      </c>
      <c r="I448" s="42" t="n">
        <f aca="false">IF(I445=Assumptions!$D$14,0.5,IF(I445&gt;Assumptions!$D$14,1,0))</f>
        <v>0.5</v>
      </c>
      <c r="J448" s="42" t="n">
        <f aca="false">IF(J445=Assumptions!$D$14,0.5,IF(J445&gt;Assumptions!$D$14,1,0))</f>
        <v>1</v>
      </c>
      <c r="K448" s="42" t="n">
        <f aca="false">IF(K445=Assumptions!$D$14,0.5,IF(K445&gt;Assumptions!$D$14,1,0))</f>
        <v>1</v>
      </c>
      <c r="L448" s="42" t="n">
        <f aca="false">IF(L445=Assumptions!$D$14,0.5,IF(L445&gt;Assumptions!$D$14,1,0))</f>
        <v>1</v>
      </c>
      <c r="M448" s="42" t="n">
        <f aca="false">IF(M445=Assumptions!$D$14,0.5,IF(M445&gt;Assumptions!$D$14,1,0))</f>
        <v>1</v>
      </c>
      <c r="N448" s="42" t="n">
        <f aca="false">IF(N445=Assumptions!$D$14,0.5,IF(N445&gt;Assumptions!$D$14,1,0))</f>
        <v>1</v>
      </c>
      <c r="P448" s="43"/>
      <c r="Q448" s="43"/>
      <c r="R448" s="43"/>
      <c r="S448" s="44"/>
    </row>
    <row r="449" customFormat="false" ht="15" hidden="false" customHeight="false" outlineLevel="0" collapsed="false">
      <c r="A449" s="4" t="s">
        <v>480</v>
      </c>
      <c r="B449" s="36" t="s">
        <v>478</v>
      </c>
      <c r="C449" s="42" t="n">
        <f aca="false">IF(C445=Assumptions!$D$15,0.5,IF(C445&gt;Assumptions!$D$15,1,0))</f>
        <v>0</v>
      </c>
      <c r="D449" s="42" t="n">
        <f aca="false">IF(D445=Assumptions!$D$15,0.5,IF(D445&gt;Assumptions!$D$15,1,0))</f>
        <v>0</v>
      </c>
      <c r="E449" s="42" t="n">
        <f aca="false">IF(E445=Assumptions!$D$15,0.5,IF(E445&gt;Assumptions!$D$15,1,0))</f>
        <v>0</v>
      </c>
      <c r="F449" s="42" t="n">
        <f aca="false">IF(F445=Assumptions!$D$15,0.5,IF(F445&gt;Assumptions!$D$15,1,0))</f>
        <v>0</v>
      </c>
      <c r="G449" s="42" t="n">
        <f aca="false">IF(G445=Assumptions!$D$15,0.5,IF(G445&gt;Assumptions!$D$15,1,0))</f>
        <v>0</v>
      </c>
      <c r="H449" s="42" t="n">
        <f aca="false">IF(H445=Assumptions!$D$15,0.5,IF(H445&gt;Assumptions!$D$15,1,0))</f>
        <v>0</v>
      </c>
      <c r="I449" s="42" t="n">
        <f aca="false">IF(I445=Assumptions!$D$15,0.5,IF(I445&gt;Assumptions!$D$15,1,0))</f>
        <v>0</v>
      </c>
      <c r="J449" s="42" t="n">
        <f aca="false">IF(J445=Assumptions!$D$15,0.5,IF(J445&gt;Assumptions!$D$15,1,0))</f>
        <v>0</v>
      </c>
      <c r="K449" s="42" t="n">
        <f aca="false">IF(K445=Assumptions!$D$15,0.5,IF(K445&gt;Assumptions!$D$15,1,0))</f>
        <v>0</v>
      </c>
      <c r="L449" s="42" t="n">
        <f aca="false">IF(L445=Assumptions!$D$15,0.5,IF(L445&gt;Assumptions!$D$15,1,0))</f>
        <v>0</v>
      </c>
      <c r="M449" s="42" t="n">
        <f aca="false">IF(M445=Assumptions!$D$15,0.5,IF(M445&gt;Assumptions!$D$15,1,0))</f>
        <v>0</v>
      </c>
      <c r="N449" s="42" t="n">
        <f aca="false">IF(N445=Assumptions!$D$15,0.5,IF(N445&gt;Assumptions!$D$15,1,0))</f>
        <v>0</v>
      </c>
      <c r="P449" s="43"/>
      <c r="Q449" s="43"/>
      <c r="R449" s="43"/>
      <c r="S449" s="44"/>
    </row>
    <row r="450" customFormat="false" ht="15" hidden="false" customHeight="false" outlineLevel="0" collapsed="false">
      <c r="A450" s="4" t="s">
        <v>481</v>
      </c>
      <c r="B450" s="36" t="s">
        <v>478</v>
      </c>
      <c r="C450" s="45" t="n">
        <f aca="false">Assumptions!$D$21^(MAX(0,C445-Assumptions!$D$13)/4)</f>
        <v>1</v>
      </c>
      <c r="D450" s="45" t="n">
        <f aca="false">Assumptions!$D$21^(MAX(0,D445-Assumptions!$D$13)/4)</f>
        <v>0.880111736793393</v>
      </c>
      <c r="E450" s="45" t="n">
        <f aca="false">Assumptions!$D$21^(MAX(0,E445-Assumptions!$D$13)/4)</f>
        <v>0.774596669241483</v>
      </c>
      <c r="F450" s="45" t="n">
        <f aca="false">Assumptions!$D$21^(MAX(0,F445-Assumptions!$D$13)/4)</f>
        <v>0.6817316198805</v>
      </c>
      <c r="G450" s="45" t="n">
        <f aca="false">Assumptions!$D$21^(MAX(0,G445-Assumptions!$D$13)/4)</f>
        <v>0.6</v>
      </c>
      <c r="H450" s="45" t="n">
        <f aca="false">Assumptions!$D$21^(MAX(0,H445-Assumptions!$D$13)/4)</f>
        <v>0.528067042076036</v>
      </c>
      <c r="I450" s="45" t="n">
        <f aca="false">Assumptions!$D$21^(MAX(0,I445-Assumptions!$D$13)/4)</f>
        <v>0.46475800154489</v>
      </c>
      <c r="J450" s="45" t="n">
        <f aca="false">Assumptions!$D$21^(MAX(0,J445-Assumptions!$D$13)/4)</f>
        <v>0.4090389719283</v>
      </c>
      <c r="K450" s="45" t="n">
        <f aca="false">Assumptions!$D$21^(MAX(0,K445-Assumptions!$D$13)/4)</f>
        <v>0.36</v>
      </c>
      <c r="L450" s="45" t="n">
        <f aca="false">Assumptions!$D$21^(MAX(0,L445-Assumptions!$D$13)/4)</f>
        <v>0.316840225245622</v>
      </c>
      <c r="M450" s="45" t="n">
        <f aca="false">Assumptions!$D$21^(MAX(0,M445-Assumptions!$D$13)/4)</f>
        <v>0.278854800926934</v>
      </c>
      <c r="N450" s="45" t="n">
        <f aca="false">Assumptions!$D$21^(MAX(0,N445-Assumptions!$D$13)/4)</f>
        <v>0.24542338315698</v>
      </c>
      <c r="P450" s="46"/>
      <c r="Q450" s="46"/>
      <c r="R450" s="46"/>
      <c r="S450" s="47"/>
    </row>
    <row r="451" customFormat="false" ht="15" hidden="false" customHeight="false" outlineLevel="0" collapsed="false">
      <c r="A451" s="4" t="s">
        <v>482</v>
      </c>
      <c r="B451" s="36" t="s">
        <v>478</v>
      </c>
      <c r="C451" s="45" t="n">
        <f aca="false">Assumptions!$D$21^(MAX(0,C445-Assumptions!$D$14)/4)</f>
        <v>1</v>
      </c>
      <c r="D451" s="45" t="n">
        <f aca="false">Assumptions!$D$21^(MAX(0,D445-Assumptions!$D$14)/4)</f>
        <v>1</v>
      </c>
      <c r="E451" s="45" t="n">
        <f aca="false">Assumptions!$D$21^(MAX(0,E445-Assumptions!$D$14)/4)</f>
        <v>1</v>
      </c>
      <c r="F451" s="45" t="n">
        <f aca="false">Assumptions!$D$21^(MAX(0,F445-Assumptions!$D$14)/4)</f>
        <v>1</v>
      </c>
      <c r="G451" s="45" t="n">
        <f aca="false">Assumptions!$D$21^(MAX(0,G445-Assumptions!$D$14)/4)</f>
        <v>1</v>
      </c>
      <c r="H451" s="45" t="n">
        <f aca="false">Assumptions!$D$21^(MAX(0,H445-Assumptions!$D$14)/4)</f>
        <v>1</v>
      </c>
      <c r="I451" s="45" t="n">
        <f aca="false">Assumptions!$D$21^(MAX(0,I445-Assumptions!$D$14)/4)</f>
        <v>1</v>
      </c>
      <c r="J451" s="45" t="n">
        <f aca="false">Assumptions!$D$21^(MAX(0,J445-Assumptions!$D$14)/4)</f>
        <v>0.880111736793393</v>
      </c>
      <c r="K451" s="45" t="n">
        <f aca="false">Assumptions!$D$21^(MAX(0,K445-Assumptions!$D$14)/4)</f>
        <v>0.774596669241483</v>
      </c>
      <c r="L451" s="45" t="n">
        <f aca="false">Assumptions!$D$21^(MAX(0,L445-Assumptions!$D$14)/4)</f>
        <v>0.6817316198805</v>
      </c>
      <c r="M451" s="45" t="n">
        <f aca="false">Assumptions!$D$21^(MAX(0,M445-Assumptions!$D$14)/4)</f>
        <v>0.6</v>
      </c>
      <c r="N451" s="45" t="n">
        <f aca="false">Assumptions!$D$21^(MAX(0,N445-Assumptions!$D$14)/4)</f>
        <v>0.528067042076036</v>
      </c>
      <c r="P451" s="46"/>
      <c r="Q451" s="46"/>
      <c r="R451" s="46"/>
      <c r="S451" s="47"/>
    </row>
    <row r="452" customFormat="false" ht="15" hidden="false" customHeight="false" outlineLevel="0" collapsed="false">
      <c r="A452" s="4" t="s">
        <v>483</v>
      </c>
      <c r="B452" s="36" t="s">
        <v>478</v>
      </c>
      <c r="C452" s="45" t="n">
        <f aca="false">Assumptions!$D$21^(MAX(0,C445-Assumptions!$D$15)/4)</f>
        <v>1</v>
      </c>
      <c r="D452" s="45" t="n">
        <f aca="false">Assumptions!$D$21^(MAX(0,D445-Assumptions!$D$15)/4)</f>
        <v>1</v>
      </c>
      <c r="E452" s="45" t="n">
        <f aca="false">Assumptions!$D$21^(MAX(0,E445-Assumptions!$D$15)/4)</f>
        <v>1</v>
      </c>
      <c r="F452" s="45" t="n">
        <f aca="false">Assumptions!$D$21^(MAX(0,F445-Assumptions!$D$15)/4)</f>
        <v>1</v>
      </c>
      <c r="G452" s="45" t="n">
        <f aca="false">Assumptions!$D$21^(MAX(0,G445-Assumptions!$D$15)/4)</f>
        <v>1</v>
      </c>
      <c r="H452" s="45" t="n">
        <f aca="false">Assumptions!$D$21^(MAX(0,H445-Assumptions!$D$15)/4)</f>
        <v>1</v>
      </c>
      <c r="I452" s="45" t="n">
        <f aca="false">Assumptions!$D$21^(MAX(0,I445-Assumptions!$D$15)/4)</f>
        <v>1</v>
      </c>
      <c r="J452" s="45" t="n">
        <f aca="false">Assumptions!$D$21^(MAX(0,J445-Assumptions!$D$15)/4)</f>
        <v>1</v>
      </c>
      <c r="K452" s="45" t="n">
        <f aca="false">Assumptions!$D$21^(MAX(0,K445-Assumptions!$D$15)/4)</f>
        <v>1</v>
      </c>
      <c r="L452" s="45" t="n">
        <f aca="false">Assumptions!$D$21^(MAX(0,L445-Assumptions!$D$15)/4)</f>
        <v>1</v>
      </c>
      <c r="M452" s="45" t="n">
        <f aca="false">Assumptions!$D$21^(MAX(0,M445-Assumptions!$D$15)/4)</f>
        <v>1</v>
      </c>
      <c r="N452" s="45" t="n">
        <f aca="false">Assumptions!$D$21^(MAX(0,N445-Assumptions!$D$15)/4)</f>
        <v>1</v>
      </c>
      <c r="P452" s="46"/>
      <c r="Q452" s="46"/>
      <c r="R452" s="46"/>
      <c r="S452" s="47"/>
    </row>
    <row r="453" customFormat="false" ht="15" hidden="false" customHeight="false" outlineLevel="0" collapsed="false">
      <c r="A453" s="4" t="s">
        <v>484</v>
      </c>
      <c r="B453" s="36" t="s">
        <v>485</v>
      </c>
      <c r="C453" s="39" t="n">
        <f aca="false">$C$424*C447+$C$428*C448+$C$432*C449</f>
        <v>421.51972352</v>
      </c>
      <c r="D453" s="39" t="n">
        <f aca="false">$C$424*D447+$C$428*D448+$C$432*D449</f>
        <v>843.03944704</v>
      </c>
      <c r="E453" s="39" t="n">
        <f aca="false">$C$424*E447+$C$428*E448+$C$432*E449</f>
        <v>843.03944704</v>
      </c>
      <c r="F453" s="39" t="n">
        <f aca="false">$C$424*F447+$C$428*F448+$C$432*F449</f>
        <v>843.03944704</v>
      </c>
      <c r="G453" s="39" t="n">
        <f aca="false">$C$424*G447+$C$428*G448+$C$432*G449</f>
        <v>843.03944704</v>
      </c>
      <c r="H453" s="39" t="n">
        <f aca="false">$C$424*H447+$C$428*H448+$C$432*H449</f>
        <v>843.03944704</v>
      </c>
      <c r="I453" s="39" t="n">
        <f aca="false">$C$424*I447+$C$428*I448+$C$432*I449</f>
        <v>1149.32798176</v>
      </c>
      <c r="J453" s="39" t="n">
        <f aca="false">$C$424*J447+$C$428*J448+$C$432*J449</f>
        <v>1455.61651648</v>
      </c>
      <c r="K453" s="39" t="n">
        <f aca="false">$C$424*K447+$C$428*K448+$C$432*K449</f>
        <v>1455.61651648</v>
      </c>
      <c r="L453" s="39" t="n">
        <f aca="false">$C$424*L447+$C$428*L448+$C$432*L449</f>
        <v>1455.61651648</v>
      </c>
      <c r="M453" s="39" t="n">
        <f aca="false">$C$424*M447+$C$428*M448+$C$432*M449</f>
        <v>1455.61651648</v>
      </c>
      <c r="N453" s="39" t="n">
        <f aca="false">$C$424*N447+$C$428*N448+$C$432*N449</f>
        <v>1455.61651648</v>
      </c>
      <c r="P453" s="40" t="n">
        <f aca="false">F453</f>
        <v>843.03944704</v>
      </c>
      <c r="Q453" s="40" t="n">
        <f aca="false">J453</f>
        <v>1455.61651648</v>
      </c>
      <c r="R453" s="40" t="n">
        <f aca="false">N453</f>
        <v>1455.61651648</v>
      </c>
      <c r="S453" s="41" t="n">
        <f aca="false">R453</f>
        <v>1455.61651648</v>
      </c>
    </row>
    <row r="454" customFormat="false" ht="15" hidden="false" customHeight="false" outlineLevel="0" collapsed="false">
      <c r="A454" s="4" t="s">
        <v>486</v>
      </c>
      <c r="B454" s="36" t="s">
        <v>485</v>
      </c>
      <c r="C454" s="39" t="n">
        <f aca="false">$C$425*C447+$C$429*C448+$C$433*C449</f>
        <v>105.59808</v>
      </c>
      <c r="D454" s="39" t="n">
        <f aca="false">$C$425*D447+$C$429*D448+$C$433*D449</f>
        <v>211.19616</v>
      </c>
      <c r="E454" s="39" t="n">
        <f aca="false">$C$425*E447+$C$429*E448+$C$433*E449</f>
        <v>211.19616</v>
      </c>
      <c r="F454" s="39" t="n">
        <f aca="false">$C$425*F447+$C$429*F448+$C$433*F449</f>
        <v>211.19616</v>
      </c>
      <c r="G454" s="39" t="n">
        <f aca="false">$C$425*G447+$C$429*G448+$C$433*G449</f>
        <v>211.19616</v>
      </c>
      <c r="H454" s="39" t="n">
        <f aca="false">$C$425*H447+$C$429*H448+$C$433*H449</f>
        <v>211.19616</v>
      </c>
      <c r="I454" s="39" t="n">
        <f aca="false">$C$425*I447+$C$429*I448+$C$433*I449</f>
        <v>282.24672</v>
      </c>
      <c r="J454" s="39" t="n">
        <f aca="false">$C$425*J447+$C$429*J448+$C$433*J449</f>
        <v>353.29728</v>
      </c>
      <c r="K454" s="39" t="n">
        <f aca="false">$C$425*K447+$C$429*K448+$C$433*K449</f>
        <v>353.29728</v>
      </c>
      <c r="L454" s="39" t="n">
        <f aca="false">$C$425*L447+$C$429*L448+$C$433*L449</f>
        <v>353.29728</v>
      </c>
      <c r="M454" s="39" t="n">
        <f aca="false">$C$425*M447+$C$429*M448+$C$433*M449</f>
        <v>353.29728</v>
      </c>
      <c r="N454" s="39" t="n">
        <f aca="false">$C$425*N447+$C$429*N448+$C$433*N449</f>
        <v>353.29728</v>
      </c>
      <c r="P454" s="40" t="n">
        <f aca="false">F454</f>
        <v>211.19616</v>
      </c>
      <c r="Q454" s="40" t="n">
        <f aca="false">J454</f>
        <v>353.29728</v>
      </c>
      <c r="R454" s="40" t="n">
        <f aca="false">N454</f>
        <v>353.29728</v>
      </c>
      <c r="S454" s="41" t="n">
        <f aca="false">R454</f>
        <v>353.29728</v>
      </c>
    </row>
    <row r="455" customFormat="false" ht="15" hidden="false" customHeight="false" outlineLevel="0" collapsed="false">
      <c r="A455" s="4" t="s">
        <v>487</v>
      </c>
      <c r="B455" s="36" t="s">
        <v>485</v>
      </c>
      <c r="C455" s="39" t="n">
        <f aca="false">$C$426*C447+$C$430*C448+$C$434*C449</f>
        <v>24.76992</v>
      </c>
      <c r="D455" s="39" t="n">
        <f aca="false">$C$426*D447+$C$430*D448+$C$434*D449</f>
        <v>49.53984</v>
      </c>
      <c r="E455" s="39" t="n">
        <f aca="false">$C$426*E447+$C$430*E448+$C$434*E449</f>
        <v>49.53984</v>
      </c>
      <c r="F455" s="39" t="n">
        <f aca="false">$C$426*F447+$C$430*F448+$C$434*F449</f>
        <v>49.53984</v>
      </c>
      <c r="G455" s="39" t="n">
        <f aca="false">$C$426*G447+$C$430*G448+$C$434*G449</f>
        <v>49.53984</v>
      </c>
      <c r="H455" s="39" t="n">
        <f aca="false">$C$426*H447+$C$430*H448+$C$434*H449</f>
        <v>49.53984</v>
      </c>
      <c r="I455" s="39" t="n">
        <f aca="false">$C$426*I447+$C$430*I448+$C$434*I449</f>
        <v>61.9248</v>
      </c>
      <c r="J455" s="39" t="n">
        <f aca="false">$C$426*J447+$C$430*J448+$C$434*J449</f>
        <v>74.30976</v>
      </c>
      <c r="K455" s="39" t="n">
        <f aca="false">$C$426*K447+$C$430*K448+$C$434*K449</f>
        <v>74.30976</v>
      </c>
      <c r="L455" s="39" t="n">
        <f aca="false">$C$426*L447+$C$430*L448+$C$434*L449</f>
        <v>74.30976</v>
      </c>
      <c r="M455" s="39" t="n">
        <f aca="false">$C$426*M447+$C$430*M448+$C$434*M449</f>
        <v>74.30976</v>
      </c>
      <c r="N455" s="39" t="n">
        <f aca="false">$C$426*N447+$C$430*N448+$C$434*N449</f>
        <v>74.30976</v>
      </c>
      <c r="P455" s="40" t="n">
        <f aca="false">F455</f>
        <v>49.53984</v>
      </c>
      <c r="Q455" s="40" t="n">
        <f aca="false">J455</f>
        <v>74.30976</v>
      </c>
      <c r="R455" s="40" t="n">
        <f aca="false">N455</f>
        <v>74.30976</v>
      </c>
      <c r="S455" s="41" t="n">
        <f aca="false">R455</f>
        <v>74.30976</v>
      </c>
    </row>
    <row r="456" customFormat="false" ht="15" hidden="false" customHeight="false" outlineLevel="0" collapsed="false">
      <c r="A456" s="4" t="s">
        <v>488</v>
      </c>
      <c r="B456" s="36" t="s">
        <v>485</v>
      </c>
      <c r="C456" s="39" t="n">
        <f aca="false">C453+C454+C455</f>
        <v>551.88772352</v>
      </c>
      <c r="D456" s="39" t="n">
        <f aca="false">D453+D454+D455</f>
        <v>1103.77544704</v>
      </c>
      <c r="E456" s="39" t="n">
        <f aca="false">E453+E454+E455</f>
        <v>1103.77544704</v>
      </c>
      <c r="F456" s="39" t="n">
        <f aca="false">F453+F454+F455</f>
        <v>1103.77544704</v>
      </c>
      <c r="G456" s="39" t="n">
        <f aca="false">G453+G454+G455</f>
        <v>1103.77544704</v>
      </c>
      <c r="H456" s="39" t="n">
        <f aca="false">H453+H454+H455</f>
        <v>1103.77544704</v>
      </c>
      <c r="I456" s="39" t="n">
        <f aca="false">I453+I454+I455</f>
        <v>1493.49950176</v>
      </c>
      <c r="J456" s="39" t="n">
        <f aca="false">J453+J454+J455</f>
        <v>1883.22355648</v>
      </c>
      <c r="K456" s="39" t="n">
        <f aca="false">K453+K454+K455</f>
        <v>1883.22355648</v>
      </c>
      <c r="L456" s="39" t="n">
        <f aca="false">L453+L454+L455</f>
        <v>1883.22355648</v>
      </c>
      <c r="M456" s="39" t="n">
        <f aca="false">M453+M454+M455</f>
        <v>1883.22355648</v>
      </c>
      <c r="N456" s="39" t="n">
        <f aca="false">N453+N454+N455</f>
        <v>1883.22355648</v>
      </c>
      <c r="P456" s="40" t="n">
        <f aca="false">F456</f>
        <v>1103.77544704</v>
      </c>
      <c r="Q456" s="40" t="n">
        <f aca="false">J456</f>
        <v>1883.22355648</v>
      </c>
      <c r="R456" s="40" t="n">
        <f aca="false">N456</f>
        <v>1883.22355648</v>
      </c>
      <c r="S456" s="41" t="n">
        <f aca="false">R456</f>
        <v>1883.22355648</v>
      </c>
    </row>
    <row r="457" customFormat="false" ht="15" hidden="false" customHeight="false" outlineLevel="0" collapsed="false">
      <c r="A457" s="4" t="s">
        <v>489</v>
      </c>
      <c r="B457" s="36" t="s">
        <v>485</v>
      </c>
      <c r="C457" s="39" t="n">
        <f aca="false">$C$427*C447*C450+$C$431*C448*C451+$C$435*C449*C452</f>
        <v>551.88772352</v>
      </c>
      <c r="D457" s="39" t="n">
        <f aca="false">$C$427*D447*D450+$C$431*D448*D451+$C$435*D449*D452</f>
        <v>971.445725724279</v>
      </c>
      <c r="E457" s="39" t="n">
        <f aca="false">$C$427*E447*E450+$C$431*E448*E451+$C$435*E449*E452</f>
        <v>854.980784867713</v>
      </c>
      <c r="F457" s="39" t="n">
        <f aca="false">$C$427*F447*F450+$C$431*F448*F451+$C$435*F449*F452</f>
        <v>752.478623494902</v>
      </c>
      <c r="G457" s="39" t="n">
        <f aca="false">$C$427*G447*G450+$C$431*G448*G451+$C$435*G449*G452</f>
        <v>662.265268224</v>
      </c>
      <c r="H457" s="39" t="n">
        <f aca="false">$C$427*H447*H450+$C$431*H448*H451+$C$435*H449*H452</f>
        <v>582.867435434567</v>
      </c>
      <c r="I457" s="39" t="n">
        <f aca="false">$C$427*I447*I450+$C$431*I448*I451+$C$435*I449*I452</f>
        <v>902.712525640628</v>
      </c>
      <c r="J457" s="39" t="n">
        <f aca="false">$C$427*J447*J450+$C$431*J448*J451+$C$435*J449*J452</f>
        <v>1137.48860343651</v>
      </c>
      <c r="K457" s="39" t="n">
        <f aca="false">$C$427*K447*K450+$C$431*K448*K451+$C$435*K449*K452</f>
        <v>1001.1170703532</v>
      </c>
      <c r="L457" s="39" t="n">
        <f aca="false">$C$427*L447*L450+$C$431*L448*L451+$C$435*L449*L452</f>
        <v>881.094883522065</v>
      </c>
      <c r="M457" s="39" t="n">
        <f aca="false">$C$427*M447*M450+$C$431*M448*M451+$C$435*M449*M452</f>
        <v>775.461948216377</v>
      </c>
      <c r="N457" s="39" t="n">
        <f aca="false">$C$427*N447*N450+$C$431*N448*N451+$C$435*N449*N452</f>
        <v>682.493162061904</v>
      </c>
      <c r="P457" s="40"/>
      <c r="Q457" s="40"/>
      <c r="R457" s="40"/>
      <c r="S457" s="41"/>
    </row>
    <row r="458" customFormat="false" ht="15" hidden="false" customHeight="false" outlineLevel="0" collapsed="false">
      <c r="A458" s="4" t="s">
        <v>490</v>
      </c>
      <c r="B458" s="36" t="s">
        <v>491</v>
      </c>
      <c r="C458" s="48" t="n">
        <f aca="false">$C$439*Assumptions!$D$20*C446*C457</f>
        <v>3.31132634112</v>
      </c>
      <c r="D458" s="48" t="n">
        <f aca="false">$C$439*Assumptions!$D$20*D446*D457</f>
        <v>5.82867435434567</v>
      </c>
      <c r="E458" s="48" t="n">
        <f aca="false">$C$439*Assumptions!$D$20*E446*E457</f>
        <v>5.12988470920628</v>
      </c>
      <c r="F458" s="48" t="n">
        <f aca="false">$C$439*Assumptions!$D$20*F446*F457</f>
        <v>4.51487174096941</v>
      </c>
      <c r="G458" s="48" t="n">
        <f aca="false">$C$439*Assumptions!$D$20*G446*G457</f>
        <v>0</v>
      </c>
      <c r="H458" s="48" t="n">
        <f aca="false">$C$439*Assumptions!$D$20*H446*H457</f>
        <v>0</v>
      </c>
      <c r="I458" s="48" t="n">
        <f aca="false">$C$439*Assumptions!$D$20*I446*I457</f>
        <v>0</v>
      </c>
      <c r="J458" s="48" t="n">
        <f aca="false">$C$439*Assumptions!$D$20*J446*J457</f>
        <v>0</v>
      </c>
      <c r="K458" s="48" t="n">
        <f aca="false">$C$439*Assumptions!$D$20*K446*K457</f>
        <v>0</v>
      </c>
      <c r="L458" s="48" t="n">
        <f aca="false">$C$439*Assumptions!$D$20*L446*L457</f>
        <v>0</v>
      </c>
      <c r="M458" s="48" t="n">
        <f aca="false">$C$439*Assumptions!$D$20*M446*M457</f>
        <v>0</v>
      </c>
      <c r="N458" s="48" t="n">
        <f aca="false">$C$439*Assumptions!$D$20*N446*N457</f>
        <v>0</v>
      </c>
      <c r="P458" s="49" t="n">
        <f aca="false">SUM(C458:F458)</f>
        <v>18.7847571456414</v>
      </c>
      <c r="Q458" s="49" t="n">
        <f aca="false">SUM(G458:J458)</f>
        <v>0</v>
      </c>
      <c r="R458" s="49" t="n">
        <f aca="false">SUM(K458:N458)</f>
        <v>0</v>
      </c>
      <c r="S458" s="50" t="n">
        <f aca="false">SUM(P458:R458)</f>
        <v>18.7847571456414</v>
      </c>
    </row>
    <row r="459" customFormat="false" ht="15" hidden="false" customHeight="false" outlineLevel="0" collapsed="false">
      <c r="A459" s="4" t="s">
        <v>492</v>
      </c>
      <c r="B459" s="36" t="s">
        <v>321</v>
      </c>
      <c r="C459" s="48" t="n">
        <f aca="false">Assumptions!$D$111</f>
        <v>0</v>
      </c>
      <c r="D459" s="48" t="n">
        <f aca="false">Assumptions!$E$111</f>
        <v>0</v>
      </c>
      <c r="E459" s="48" t="n">
        <f aca="false">Assumptions!$F$111</f>
        <v>0</v>
      </c>
      <c r="F459" s="48" t="n">
        <f aca="false">Assumptions!$G$111</f>
        <v>0</v>
      </c>
      <c r="G459" s="48" t="n">
        <f aca="false">Assumptions!$H$111</f>
        <v>0</v>
      </c>
      <c r="H459" s="48" t="n">
        <f aca="false">Assumptions!$I$111</f>
        <v>0</v>
      </c>
      <c r="I459" s="48" t="n">
        <f aca="false">Assumptions!$J$111</f>
        <v>0</v>
      </c>
      <c r="J459" s="48" t="n">
        <f aca="false">Assumptions!$K$111</f>
        <v>0</v>
      </c>
      <c r="K459" s="48" t="n">
        <f aca="false">Assumptions!$L$111</f>
        <v>0</v>
      </c>
      <c r="L459" s="48" t="n">
        <f aca="false">Assumptions!$M$111</f>
        <v>0</v>
      </c>
      <c r="M459" s="48" t="n">
        <f aca="false">Assumptions!$N$111</f>
        <v>0</v>
      </c>
      <c r="N459" s="48" t="n">
        <f aca="false">Assumptions!$O$111</f>
        <v>0</v>
      </c>
      <c r="P459" s="49" t="n">
        <f aca="false">F459</f>
        <v>0</v>
      </c>
      <c r="Q459" s="49" t="n">
        <f aca="false">J459</f>
        <v>0</v>
      </c>
      <c r="R459" s="49" t="n">
        <f aca="false">N459</f>
        <v>0</v>
      </c>
      <c r="S459" s="50" t="n">
        <f aca="false">R459</f>
        <v>0</v>
      </c>
    </row>
    <row r="460" customFormat="false" ht="15" hidden="false" customHeight="false" outlineLevel="0" collapsed="false">
      <c r="A460" s="4" t="s">
        <v>493</v>
      </c>
      <c r="B460" s="36" t="s">
        <v>321</v>
      </c>
      <c r="C460" s="48" t="n">
        <f aca="false">0</f>
        <v>0</v>
      </c>
      <c r="D460" s="48" t="n">
        <f aca="false">0.5*C459</f>
        <v>0</v>
      </c>
      <c r="E460" s="48" t="n">
        <f aca="false">C459+0.5*(D459-C459)</f>
        <v>0</v>
      </c>
      <c r="F460" s="48" t="n">
        <f aca="false">D459+0.5*(E459-D459)</f>
        <v>0</v>
      </c>
      <c r="G460" s="48" t="n">
        <f aca="false">E459+0.5*(F459-E459)</f>
        <v>0</v>
      </c>
      <c r="H460" s="48" t="n">
        <f aca="false">F459+0.5*(G459-F459)</f>
        <v>0</v>
      </c>
      <c r="I460" s="48" t="n">
        <f aca="false">G459+0.5*(H459-G459)</f>
        <v>0</v>
      </c>
      <c r="J460" s="48" t="n">
        <f aca="false">H459+0.5*(I459-H459)</f>
        <v>0</v>
      </c>
      <c r="K460" s="48" t="n">
        <f aca="false">I459+0.5*(J459-I459)</f>
        <v>0</v>
      </c>
      <c r="L460" s="48" t="n">
        <f aca="false">J459+0.5*(K459-J459)</f>
        <v>0</v>
      </c>
      <c r="M460" s="48" t="n">
        <f aca="false">K459+0.5*(L459-K459)</f>
        <v>0</v>
      </c>
      <c r="N460" s="48" t="n">
        <f aca="false">L459+0.5*(M459-L459)</f>
        <v>0</v>
      </c>
      <c r="P460" s="49" t="n">
        <f aca="false">F460</f>
        <v>0</v>
      </c>
      <c r="Q460" s="49" t="n">
        <f aca="false">J460</f>
        <v>0</v>
      </c>
      <c r="R460" s="49" t="n">
        <f aca="false">N460</f>
        <v>0</v>
      </c>
      <c r="S460" s="50" t="n">
        <f aca="false">R460</f>
        <v>0</v>
      </c>
    </row>
    <row r="461" customFormat="false" ht="15" hidden="false" customHeight="false" outlineLevel="0" collapsed="false">
      <c r="A461" s="4" t="s">
        <v>494</v>
      </c>
      <c r="B461" s="36" t="s">
        <v>485</v>
      </c>
      <c r="C461" s="39" t="n">
        <f aca="false">MIN(C460*Assumptions!$D$38,C456*(1-$C$439))</f>
        <v>0</v>
      </c>
      <c r="D461" s="39" t="n">
        <f aca="false">MIN(D460*Assumptions!$D$38,D456*(1-$C$439))</f>
        <v>0</v>
      </c>
      <c r="E461" s="39" t="n">
        <f aca="false">MIN(E460*Assumptions!$D$38,E456*(1-$C$439))</f>
        <v>0</v>
      </c>
      <c r="F461" s="39" t="n">
        <f aca="false">MIN(F460*Assumptions!$D$38,F456*(1-$C$439))</f>
        <v>0</v>
      </c>
      <c r="G461" s="39" t="n">
        <f aca="false">MIN(G460*Assumptions!$D$38,G456*(1-$C$439))</f>
        <v>0</v>
      </c>
      <c r="H461" s="39" t="n">
        <f aca="false">MIN(H460*Assumptions!$D$38,H456*(1-$C$439))</f>
        <v>0</v>
      </c>
      <c r="I461" s="39" t="n">
        <f aca="false">MIN(I460*Assumptions!$D$38,I456*(1-$C$439))</f>
        <v>0</v>
      </c>
      <c r="J461" s="39" t="n">
        <f aca="false">MIN(J460*Assumptions!$D$38,J456*(1-$C$439))</f>
        <v>0</v>
      </c>
      <c r="K461" s="39" t="n">
        <f aca="false">MIN(K460*Assumptions!$D$38,K456*(1-$C$439))</f>
        <v>0</v>
      </c>
      <c r="L461" s="39" t="n">
        <f aca="false">MIN(L460*Assumptions!$D$38,L456*(1-$C$439))</f>
        <v>0</v>
      </c>
      <c r="M461" s="39" t="n">
        <f aca="false">MIN(M460*Assumptions!$D$38,M456*(1-$C$439))</f>
        <v>0</v>
      </c>
      <c r="N461" s="39" t="n">
        <f aca="false">MIN(N460*Assumptions!$D$38,N456*(1-$C$439))</f>
        <v>0</v>
      </c>
      <c r="P461" s="40" t="n">
        <f aca="false">SUM(C461:F461)</f>
        <v>0</v>
      </c>
      <c r="Q461" s="40" t="n">
        <f aca="false">SUM(G461:J461)</f>
        <v>0</v>
      </c>
      <c r="R461" s="40" t="n">
        <f aca="false">SUM(K461:N461)</f>
        <v>0</v>
      </c>
      <c r="S461" s="41" t="n">
        <f aca="false">SUM(P461:R461)</f>
        <v>0</v>
      </c>
    </row>
    <row r="462" customFormat="false" ht="15" hidden="false" customHeight="false" outlineLevel="0" collapsed="false">
      <c r="A462" s="4" t="s">
        <v>495</v>
      </c>
      <c r="B462" s="36" t="s">
        <v>491</v>
      </c>
      <c r="C462" s="48" t="n">
        <f aca="false">C461*Assumptions!$D$20*Assumptions!$D$39*IF(C456&gt;0,C457/C456,0)*C446</f>
        <v>0</v>
      </c>
      <c r="D462" s="48" t="n">
        <f aca="false">D461*Assumptions!$D$20*Assumptions!$D$39*IF(D456&gt;0,D457/D456,0)*D446</f>
        <v>0</v>
      </c>
      <c r="E462" s="48" t="n">
        <f aca="false">E461*Assumptions!$D$20*Assumptions!$D$39*IF(E456&gt;0,E457/E456,0)*E446</f>
        <v>0</v>
      </c>
      <c r="F462" s="48" t="n">
        <f aca="false">F461*Assumptions!$D$20*Assumptions!$D$39*IF(F456&gt;0,F457/F456,0)*F446</f>
        <v>0</v>
      </c>
      <c r="G462" s="48" t="n">
        <f aca="false">G461*Assumptions!$D$20*Assumptions!$D$39*IF(G456&gt;0,G457/G456,0)*G446</f>
        <v>0</v>
      </c>
      <c r="H462" s="48" t="n">
        <f aca="false">H461*Assumptions!$D$20*Assumptions!$D$39*IF(H456&gt;0,H457/H456,0)*H446</f>
        <v>0</v>
      </c>
      <c r="I462" s="48" t="n">
        <f aca="false">I461*Assumptions!$D$20*Assumptions!$D$39*IF(I456&gt;0,I457/I456,0)*I446</f>
        <v>0</v>
      </c>
      <c r="J462" s="48" t="n">
        <f aca="false">J461*Assumptions!$D$20*Assumptions!$D$39*IF(J456&gt;0,J457/J456,0)*J446</f>
        <v>0</v>
      </c>
      <c r="K462" s="48" t="n">
        <f aca="false">K461*Assumptions!$D$20*Assumptions!$D$39*IF(K456&gt;0,K457/K456,0)*K446</f>
        <v>0</v>
      </c>
      <c r="L462" s="48" t="n">
        <f aca="false">L461*Assumptions!$D$20*Assumptions!$D$39*IF(L456&gt;0,L457/L456,0)*L446</f>
        <v>0</v>
      </c>
      <c r="M462" s="48" t="n">
        <f aca="false">M461*Assumptions!$D$20*Assumptions!$D$39*IF(M456&gt;0,M457/M456,0)*M446</f>
        <v>0</v>
      </c>
      <c r="N462" s="48" t="n">
        <f aca="false">N461*Assumptions!$D$20*Assumptions!$D$39*IF(N456&gt;0,N457/N456,0)*N446</f>
        <v>0</v>
      </c>
      <c r="P462" s="49" t="n">
        <f aca="false">SUM(C462:F462)</f>
        <v>0</v>
      </c>
      <c r="Q462" s="49" t="n">
        <f aca="false">SUM(G462:J462)</f>
        <v>0</v>
      </c>
      <c r="R462" s="49" t="n">
        <f aca="false">SUM(K462:N462)</f>
        <v>0</v>
      </c>
      <c r="S462" s="50" t="n">
        <f aca="false">SUM(P462:R462)</f>
        <v>0</v>
      </c>
    </row>
    <row r="463" customFormat="false" ht="15" hidden="false" customHeight="false" outlineLevel="0" collapsed="false">
      <c r="A463" s="4" t="s">
        <v>496</v>
      </c>
      <c r="B463" s="36" t="s">
        <v>497</v>
      </c>
      <c r="C463" s="48" t="n">
        <f aca="false">IF(AND(C456&gt;0,$C$443&gt;0),C456*Assumptions!$D$24*(1-EXP(-$C$443/(Assumptions!$D$23*C456*Assumptions!$D$24))),0)</f>
        <v>0</v>
      </c>
      <c r="D463" s="48" t="n">
        <f aca="false">IF(AND(D456&gt;0,$C$443&gt;0),D456*Assumptions!$D$24*(1-EXP(-$C$443/(Assumptions!$D$23*D456*Assumptions!$D$24))),0)</f>
        <v>0</v>
      </c>
      <c r="E463" s="48" t="n">
        <f aca="false">IF(AND(E456&gt;0,$C$443&gt;0),E456*Assumptions!$D$24*(1-EXP(-$C$443/(Assumptions!$D$23*E456*Assumptions!$D$24))),0)</f>
        <v>0</v>
      </c>
      <c r="F463" s="48" t="n">
        <f aca="false">IF(AND(F456&gt;0,$C$443&gt;0),F456*Assumptions!$D$24*(1-EXP(-$C$443/(Assumptions!$D$23*F456*Assumptions!$D$24))),0)</f>
        <v>0</v>
      </c>
      <c r="G463" s="48" t="n">
        <f aca="false">IF(AND(G456&gt;0,$C$443&gt;0),G456*Assumptions!$D$24*(1-EXP(-$C$443/(Assumptions!$D$23*G456*Assumptions!$D$24))),0)</f>
        <v>0</v>
      </c>
      <c r="H463" s="48" t="n">
        <f aca="false">IF(AND(H456&gt;0,$C$443&gt;0),H456*Assumptions!$D$24*(1-EXP(-$C$443/(Assumptions!$D$23*H456*Assumptions!$D$24))),0)</f>
        <v>0</v>
      </c>
      <c r="I463" s="48" t="n">
        <f aca="false">IF(AND(I456&gt;0,$C$443&gt;0),I456*Assumptions!$D$24*(1-EXP(-$C$443/(Assumptions!$D$23*I456*Assumptions!$D$24))),0)</f>
        <v>0</v>
      </c>
      <c r="J463" s="48" t="n">
        <f aca="false">IF(AND(J456&gt;0,$C$443&gt;0),J456*Assumptions!$D$24*(1-EXP(-$C$443/(Assumptions!$D$23*J456*Assumptions!$D$24))),0)</f>
        <v>0</v>
      </c>
      <c r="K463" s="48" t="n">
        <f aca="false">IF(AND(K456&gt;0,$C$443&gt;0),K456*Assumptions!$D$24*(1-EXP(-$C$443/(Assumptions!$D$23*K456*Assumptions!$D$24))),0)</f>
        <v>0</v>
      </c>
      <c r="L463" s="48" t="n">
        <f aca="false">IF(AND(L456&gt;0,$C$443&gt;0),L456*Assumptions!$D$24*(1-EXP(-$C$443/(Assumptions!$D$23*L456*Assumptions!$D$24))),0)</f>
        <v>0</v>
      </c>
      <c r="M463" s="48" t="n">
        <f aca="false">IF(AND(M456&gt;0,$C$443&gt;0),M456*Assumptions!$D$24*(1-EXP(-$C$443/(Assumptions!$D$23*M456*Assumptions!$D$24))),0)</f>
        <v>0</v>
      </c>
      <c r="N463" s="48" t="n">
        <f aca="false">IF(AND(N456&gt;0,$C$443&gt;0),N456*Assumptions!$D$24*(1-EXP(-$C$443/(Assumptions!$D$23*N456*Assumptions!$D$24))),0)</f>
        <v>0</v>
      </c>
      <c r="P463" s="49" t="n">
        <f aca="false">SUM(C463:F463)</f>
        <v>0</v>
      </c>
      <c r="Q463" s="49" t="n">
        <f aca="false">SUM(G463:J463)</f>
        <v>0</v>
      </c>
      <c r="R463" s="49" t="n">
        <f aca="false">SUM(K463:N463)</f>
        <v>0</v>
      </c>
      <c r="S463" s="50" t="n">
        <f aca="false">SUM(P463:R463)</f>
        <v>0</v>
      </c>
    </row>
    <row r="464" customFormat="false" ht="15" hidden="false" customHeight="false" outlineLevel="0" collapsed="false">
      <c r="A464" s="4" t="s">
        <v>498</v>
      </c>
      <c r="B464" s="36" t="s">
        <v>497</v>
      </c>
      <c r="C464" s="48" t="n">
        <f aca="false">(C456*Assumptions!$D$22*MIN(1,Assumptions!$D$103/Assumptions!$D$78)+C463)*C446</f>
        <v>2.7594386176</v>
      </c>
      <c r="D464" s="48" t="n">
        <f aca="false">(D456*Assumptions!$D$22*MIN(1,Assumptions!$D$103/Assumptions!$D$78)+D463)*D446</f>
        <v>5.5188772352</v>
      </c>
      <c r="E464" s="48" t="n">
        <f aca="false">(E456*Assumptions!$D$22*MIN(1,Assumptions!$D$103/Assumptions!$D$78)+E463)*E446</f>
        <v>5.5188772352</v>
      </c>
      <c r="F464" s="48" t="n">
        <f aca="false">(F456*Assumptions!$D$22*MIN(1,Assumptions!$D$103/Assumptions!$D$78)+F463)*F446</f>
        <v>5.5188772352</v>
      </c>
      <c r="G464" s="48" t="n">
        <f aca="false">(G456*Assumptions!$D$22*MIN(1,Assumptions!$D$103/Assumptions!$D$78)+G463)*G446</f>
        <v>0</v>
      </c>
      <c r="H464" s="48" t="n">
        <f aca="false">(H456*Assumptions!$D$22*MIN(1,Assumptions!$D$103/Assumptions!$D$78)+H463)*H446</f>
        <v>0</v>
      </c>
      <c r="I464" s="48" t="n">
        <f aca="false">(I456*Assumptions!$D$22*MIN(1,Assumptions!$D$103/Assumptions!$D$78)+I463)*I446</f>
        <v>0</v>
      </c>
      <c r="J464" s="48" t="n">
        <f aca="false">(J456*Assumptions!$D$22*MIN(1,Assumptions!$D$103/Assumptions!$D$78)+J463)*J446</f>
        <v>0</v>
      </c>
      <c r="K464" s="48" t="n">
        <f aca="false">(K456*Assumptions!$D$22*MIN(1,Assumptions!$D$103/Assumptions!$D$78)+K463)*K446</f>
        <v>0</v>
      </c>
      <c r="L464" s="48" t="n">
        <f aca="false">(L456*Assumptions!$D$22*MIN(1,Assumptions!$D$103/Assumptions!$D$78)+L463)*L446</f>
        <v>0</v>
      </c>
      <c r="M464" s="48" t="n">
        <f aca="false">(M456*Assumptions!$D$22*MIN(1,Assumptions!$D$103/Assumptions!$D$78)+M463)*M446</f>
        <v>0</v>
      </c>
      <c r="N464" s="48" t="n">
        <f aca="false">(N456*Assumptions!$D$22*MIN(1,Assumptions!$D$103/Assumptions!$D$78)+N463)*N446</f>
        <v>0</v>
      </c>
      <c r="P464" s="49" t="n">
        <f aca="false">SUM(C464:F464)</f>
        <v>19.3160703232</v>
      </c>
      <c r="Q464" s="49" t="n">
        <f aca="false">SUM(G464:J464)</f>
        <v>0</v>
      </c>
      <c r="R464" s="49" t="n">
        <f aca="false">SUM(K464:N464)</f>
        <v>0</v>
      </c>
      <c r="S464" s="50" t="n">
        <f aca="false">SUM(P464:R464)</f>
        <v>19.3160703232</v>
      </c>
    </row>
    <row r="465" customFormat="false" ht="15" hidden="false" customHeight="false" outlineLevel="0" collapsed="false">
      <c r="A465" s="4" t="s">
        <v>499</v>
      </c>
      <c r="B465" s="36" t="s">
        <v>500</v>
      </c>
      <c r="C465" s="48" t="n">
        <f aca="false">C446*MIN(Assumptions!$D$27,Assumptions!$D$25+Assumptions!$D$26*(C445-1))*Assumptions!$D$107</f>
        <v>1</v>
      </c>
      <c r="D465" s="48" t="n">
        <f aca="false">D446*MIN(Assumptions!$D$27,Assumptions!$D$25+Assumptions!$D$26*(D445-1))*Assumptions!$D$107</f>
        <v>2</v>
      </c>
      <c r="E465" s="48" t="n">
        <f aca="false">E446*MIN(Assumptions!$D$27,Assumptions!$D$25+Assumptions!$D$26*(E445-1))*Assumptions!$D$107</f>
        <v>3</v>
      </c>
      <c r="F465" s="48" t="n">
        <f aca="false">F446*MIN(Assumptions!$D$27,Assumptions!$D$25+Assumptions!$D$26*(F445-1))*Assumptions!$D$107</f>
        <v>4</v>
      </c>
      <c r="G465" s="48" t="n">
        <f aca="false">G446*MIN(Assumptions!$D$27,Assumptions!$D$25+Assumptions!$D$26*(G445-1))*Assumptions!$D$107</f>
        <v>0</v>
      </c>
      <c r="H465" s="48" t="n">
        <f aca="false">H446*MIN(Assumptions!$D$27,Assumptions!$D$25+Assumptions!$D$26*(H445-1))*Assumptions!$D$107</f>
        <v>0</v>
      </c>
      <c r="I465" s="48" t="n">
        <f aca="false">I446*MIN(Assumptions!$D$27,Assumptions!$D$25+Assumptions!$D$26*(I445-1))*Assumptions!$D$107</f>
        <v>0</v>
      </c>
      <c r="J465" s="48" t="n">
        <f aca="false">J446*MIN(Assumptions!$D$27,Assumptions!$D$25+Assumptions!$D$26*(J445-1))*Assumptions!$D$107</f>
        <v>0</v>
      </c>
      <c r="K465" s="48" t="n">
        <f aca="false">K446*MIN(Assumptions!$D$27,Assumptions!$D$25+Assumptions!$D$26*(K445-1))*Assumptions!$D$107</f>
        <v>0</v>
      </c>
      <c r="L465" s="48" t="n">
        <f aca="false">L446*MIN(Assumptions!$D$27,Assumptions!$D$25+Assumptions!$D$26*(L445-1))*Assumptions!$D$107</f>
        <v>0</v>
      </c>
      <c r="M465" s="48" t="n">
        <f aca="false">M446*MIN(Assumptions!$D$27,Assumptions!$D$25+Assumptions!$D$26*(M445-1))*Assumptions!$D$107</f>
        <v>0</v>
      </c>
      <c r="N465" s="48" t="n">
        <f aca="false">N446*MIN(Assumptions!$D$27,Assumptions!$D$25+Assumptions!$D$26*(N445-1))*Assumptions!$D$107</f>
        <v>0</v>
      </c>
      <c r="P465" s="49" t="n">
        <f aca="false">F465</f>
        <v>4</v>
      </c>
      <c r="Q465" s="49" t="n">
        <f aca="false">J465</f>
        <v>0</v>
      </c>
      <c r="R465" s="49" t="n">
        <f aca="false">N465</f>
        <v>0</v>
      </c>
      <c r="S465" s="50" t="n">
        <f aca="false">R465</f>
        <v>0</v>
      </c>
    </row>
    <row r="466" customFormat="false" ht="15" hidden="false" customHeight="false" outlineLevel="0" collapsed="false">
      <c r="A466" s="4" t="s">
        <v>501</v>
      </c>
      <c r="B466" s="36" t="s">
        <v>502</v>
      </c>
      <c r="C466" s="48" t="n">
        <f aca="false">C465*Assumptions!$D$28</f>
        <v>2</v>
      </c>
      <c r="D466" s="48" t="n">
        <f aca="false">D465*Assumptions!$D$28</f>
        <v>4</v>
      </c>
      <c r="E466" s="48" t="n">
        <f aca="false">E465*Assumptions!$D$28</f>
        <v>6</v>
      </c>
      <c r="F466" s="48" t="n">
        <f aca="false">F465*Assumptions!$D$28</f>
        <v>8</v>
      </c>
      <c r="G466" s="48" t="n">
        <f aca="false">G465*Assumptions!$D$28</f>
        <v>0</v>
      </c>
      <c r="H466" s="48" t="n">
        <f aca="false">H465*Assumptions!$D$28</f>
        <v>0</v>
      </c>
      <c r="I466" s="48" t="n">
        <f aca="false">I465*Assumptions!$D$28</f>
        <v>0</v>
      </c>
      <c r="J466" s="48" t="n">
        <f aca="false">J465*Assumptions!$D$28</f>
        <v>0</v>
      </c>
      <c r="K466" s="48" t="n">
        <f aca="false">K465*Assumptions!$D$28</f>
        <v>0</v>
      </c>
      <c r="L466" s="48" t="n">
        <f aca="false">L465*Assumptions!$D$28</f>
        <v>0</v>
      </c>
      <c r="M466" s="48" t="n">
        <f aca="false">M465*Assumptions!$D$28</f>
        <v>0</v>
      </c>
      <c r="N466" s="48" t="n">
        <f aca="false">N465*Assumptions!$D$28</f>
        <v>0</v>
      </c>
      <c r="P466" s="49" t="n">
        <f aca="false">SUM(C466:F466)</f>
        <v>20</v>
      </c>
      <c r="Q466" s="49" t="n">
        <f aca="false">SUM(G466:J466)</f>
        <v>0</v>
      </c>
      <c r="R466" s="49" t="n">
        <f aca="false">SUM(K466:N466)</f>
        <v>0</v>
      </c>
      <c r="S466" s="50" t="n">
        <f aca="false">SUM(P466:R466)</f>
        <v>20</v>
      </c>
    </row>
    <row r="467" customFormat="false" ht="15" hidden="false" customHeight="false" outlineLevel="0" collapsed="false">
      <c r="A467" s="4" t="s">
        <v>503</v>
      </c>
      <c r="B467" s="36" t="s">
        <v>504</v>
      </c>
      <c r="C467" s="48" t="n">
        <f aca="false">(C458+C462)*Assumptions!$D$29</f>
        <v>0.993397902336</v>
      </c>
      <c r="D467" s="48" t="n">
        <f aca="false">(D458+D462)*Assumptions!$D$29</f>
        <v>1.7486023063037</v>
      </c>
      <c r="E467" s="48" t="n">
        <f aca="false">(E458+E462)*Assumptions!$D$29</f>
        <v>1.53896541276188</v>
      </c>
      <c r="F467" s="48" t="n">
        <f aca="false">(F458+F462)*Assumptions!$D$29</f>
        <v>1.35446152229082</v>
      </c>
      <c r="G467" s="48" t="n">
        <f aca="false">(G458+G462)*Assumptions!$D$29</f>
        <v>0</v>
      </c>
      <c r="H467" s="48" t="n">
        <f aca="false">(H458+H462)*Assumptions!$D$29</f>
        <v>0</v>
      </c>
      <c r="I467" s="48" t="n">
        <f aca="false">(I458+I462)*Assumptions!$D$29</f>
        <v>0</v>
      </c>
      <c r="J467" s="48" t="n">
        <f aca="false">(J458+J462)*Assumptions!$D$29</f>
        <v>0</v>
      </c>
      <c r="K467" s="48" t="n">
        <f aca="false">(K458+K462)*Assumptions!$D$29</f>
        <v>0</v>
      </c>
      <c r="L467" s="48" t="n">
        <f aca="false">(L458+L462)*Assumptions!$D$29</f>
        <v>0</v>
      </c>
      <c r="M467" s="48" t="n">
        <f aca="false">(M458+M462)*Assumptions!$D$29</f>
        <v>0</v>
      </c>
      <c r="N467" s="48" t="n">
        <f aca="false">(N458+N462)*Assumptions!$D$29</f>
        <v>0</v>
      </c>
      <c r="P467" s="49" t="n">
        <f aca="false">SUM(C467:F467)</f>
        <v>5.63542714369241</v>
      </c>
      <c r="Q467" s="49" t="n">
        <f aca="false">SUM(G467:J467)</f>
        <v>0</v>
      </c>
      <c r="R467" s="49" t="n">
        <f aca="false">SUM(K467:N467)</f>
        <v>0</v>
      </c>
      <c r="S467" s="50" t="n">
        <f aca="false">SUM(P467:R467)</f>
        <v>5.63542714369241</v>
      </c>
    </row>
    <row r="468" customFormat="false" ht="15" hidden="false" customHeight="false" outlineLevel="0" collapsed="false">
      <c r="A468" s="4" t="s">
        <v>505</v>
      </c>
      <c r="B468" s="36" t="s">
        <v>504</v>
      </c>
      <c r="C468" s="48" t="n">
        <f aca="false">C464*Assumptions!$D$31</f>
        <v>0.27594386176</v>
      </c>
      <c r="D468" s="48" t="n">
        <f aca="false">D464*Assumptions!$D$31</f>
        <v>0.55188772352</v>
      </c>
      <c r="E468" s="48" t="n">
        <f aca="false">E464*Assumptions!$D$31</f>
        <v>0.55188772352</v>
      </c>
      <c r="F468" s="48" t="n">
        <f aca="false">F464*Assumptions!$D$31</f>
        <v>0.55188772352</v>
      </c>
      <c r="G468" s="48" t="n">
        <f aca="false">G464*Assumptions!$D$31</f>
        <v>0</v>
      </c>
      <c r="H468" s="48" t="n">
        <f aca="false">H464*Assumptions!$D$31</f>
        <v>0</v>
      </c>
      <c r="I468" s="48" t="n">
        <f aca="false">I464*Assumptions!$D$31</f>
        <v>0</v>
      </c>
      <c r="J468" s="48" t="n">
        <f aca="false">J464*Assumptions!$D$31</f>
        <v>0</v>
      </c>
      <c r="K468" s="48" t="n">
        <f aca="false">K464*Assumptions!$D$31</f>
        <v>0</v>
      </c>
      <c r="L468" s="48" t="n">
        <f aca="false">L464*Assumptions!$D$31</f>
        <v>0</v>
      </c>
      <c r="M468" s="48" t="n">
        <f aca="false">M464*Assumptions!$D$31</f>
        <v>0</v>
      </c>
      <c r="N468" s="48" t="n">
        <f aca="false">N464*Assumptions!$D$31</f>
        <v>0</v>
      </c>
      <c r="P468" s="49" t="n">
        <f aca="false">SUM(C468:F468)</f>
        <v>1.93160703232</v>
      </c>
      <c r="Q468" s="49" t="n">
        <f aca="false">SUM(G468:J468)</f>
        <v>0</v>
      </c>
      <c r="R468" s="49" t="n">
        <f aca="false">SUM(K468:N468)</f>
        <v>0</v>
      </c>
      <c r="S468" s="50" t="n">
        <f aca="false">SUM(P468:R468)</f>
        <v>1.93160703232</v>
      </c>
    </row>
    <row r="469" customFormat="false" ht="15" hidden="false" customHeight="false" outlineLevel="0" collapsed="false">
      <c r="A469" s="4" t="s">
        <v>506</v>
      </c>
      <c r="B469" s="36" t="s">
        <v>504</v>
      </c>
      <c r="C469" s="48" t="n">
        <f aca="false">C466*Assumptions!$D$30</f>
        <v>0.8</v>
      </c>
      <c r="D469" s="48" t="n">
        <f aca="false">D466*Assumptions!$D$30</f>
        <v>1.6</v>
      </c>
      <c r="E469" s="48" t="n">
        <f aca="false">E466*Assumptions!$D$30</f>
        <v>2.4</v>
      </c>
      <c r="F469" s="48" t="n">
        <f aca="false">F466*Assumptions!$D$30</f>
        <v>3.2</v>
      </c>
      <c r="G469" s="48" t="n">
        <f aca="false">G466*Assumptions!$D$30</f>
        <v>0</v>
      </c>
      <c r="H469" s="48" t="n">
        <f aca="false">H466*Assumptions!$D$30</f>
        <v>0</v>
      </c>
      <c r="I469" s="48" t="n">
        <f aca="false">I466*Assumptions!$D$30</f>
        <v>0</v>
      </c>
      <c r="J469" s="48" t="n">
        <f aca="false">J466*Assumptions!$D$30</f>
        <v>0</v>
      </c>
      <c r="K469" s="48" t="n">
        <f aca="false">K466*Assumptions!$D$30</f>
        <v>0</v>
      </c>
      <c r="L469" s="48" t="n">
        <f aca="false">L466*Assumptions!$D$30</f>
        <v>0</v>
      </c>
      <c r="M469" s="48" t="n">
        <f aca="false">M466*Assumptions!$D$30</f>
        <v>0</v>
      </c>
      <c r="N469" s="48" t="n">
        <f aca="false">N466*Assumptions!$D$30</f>
        <v>0</v>
      </c>
      <c r="P469" s="49" t="n">
        <f aca="false">SUM(C469:F469)</f>
        <v>8</v>
      </c>
      <c r="Q469" s="49" t="n">
        <f aca="false">SUM(G469:J469)</f>
        <v>0</v>
      </c>
      <c r="R469" s="49" t="n">
        <f aca="false">SUM(K469:N469)</f>
        <v>0</v>
      </c>
      <c r="S469" s="50" t="n">
        <f aca="false">SUM(P469:R469)</f>
        <v>8</v>
      </c>
    </row>
    <row r="470" customFormat="false" ht="15" hidden="false" customHeight="false" outlineLevel="0" collapsed="false">
      <c r="A470" s="9" t="s">
        <v>507</v>
      </c>
      <c r="B470" s="36" t="s">
        <v>504</v>
      </c>
      <c r="C470" s="49" t="n">
        <f aca="false">C467+C468+C469</f>
        <v>2.069341764096</v>
      </c>
      <c r="D470" s="49" t="n">
        <f aca="false">D467+D468+D469</f>
        <v>3.9004900298237</v>
      </c>
      <c r="E470" s="49" t="n">
        <f aca="false">E467+E468+E469</f>
        <v>4.49085313628189</v>
      </c>
      <c r="F470" s="49" t="n">
        <f aca="false">F467+F468+F469</f>
        <v>5.10634924581082</v>
      </c>
      <c r="G470" s="49" t="n">
        <f aca="false">G467+G468+G469</f>
        <v>0</v>
      </c>
      <c r="H470" s="49" t="n">
        <f aca="false">H467+H468+H469</f>
        <v>0</v>
      </c>
      <c r="I470" s="49" t="n">
        <f aca="false">I467+I468+I469</f>
        <v>0</v>
      </c>
      <c r="J470" s="49" t="n">
        <f aca="false">J467+J468+J469</f>
        <v>0</v>
      </c>
      <c r="K470" s="49" t="n">
        <f aca="false">K467+K468+K469</f>
        <v>0</v>
      </c>
      <c r="L470" s="49" t="n">
        <f aca="false">L467+L468+L469</f>
        <v>0</v>
      </c>
      <c r="M470" s="49" t="n">
        <f aca="false">M467+M468+M469</f>
        <v>0</v>
      </c>
      <c r="N470" s="49" t="n">
        <f aca="false">N467+N468+N469</f>
        <v>0</v>
      </c>
      <c r="P470" s="49" t="n">
        <f aca="false">SUM(C470:F470)</f>
        <v>15.5670341760124</v>
      </c>
      <c r="Q470" s="49" t="n">
        <f aca="false">SUM(G470:J470)</f>
        <v>0</v>
      </c>
      <c r="R470" s="49" t="n">
        <f aca="false">SUM(K470:N470)</f>
        <v>0</v>
      </c>
      <c r="S470" s="50" t="n">
        <f aca="false">SUM(P470:R470)</f>
        <v>15.5670341760124</v>
      </c>
    </row>
    <row r="471" customFormat="false" ht="15" hidden="false" customHeight="false" outlineLevel="0" collapsed="false">
      <c r="A471" s="4" t="s">
        <v>508</v>
      </c>
      <c r="B471" s="36" t="s">
        <v>509</v>
      </c>
      <c r="C471" s="48" t="n">
        <f aca="false">C453</f>
        <v>421.51972352</v>
      </c>
      <c r="D471" s="48" t="n">
        <f aca="false">D453</f>
        <v>843.03944704</v>
      </c>
      <c r="E471" s="48" t="n">
        <f aca="false">E453</f>
        <v>843.03944704</v>
      </c>
      <c r="F471" s="48" t="n">
        <f aca="false">F453</f>
        <v>843.03944704</v>
      </c>
      <c r="G471" s="48" t="n">
        <f aca="false">G453</f>
        <v>843.03944704</v>
      </c>
      <c r="H471" s="48" t="n">
        <f aca="false">H453</f>
        <v>843.03944704</v>
      </c>
      <c r="I471" s="48" t="n">
        <f aca="false">I453</f>
        <v>1149.32798176</v>
      </c>
      <c r="J471" s="48" t="n">
        <f aca="false">J453</f>
        <v>1455.61651648</v>
      </c>
      <c r="K471" s="48" t="n">
        <f aca="false">K453</f>
        <v>1455.61651648</v>
      </c>
      <c r="L471" s="48" t="n">
        <f aca="false">L453</f>
        <v>1455.61651648</v>
      </c>
      <c r="M471" s="48" t="n">
        <f aca="false">M453</f>
        <v>1455.61651648</v>
      </c>
      <c r="N471" s="48" t="n">
        <f aca="false">N453</f>
        <v>1455.61651648</v>
      </c>
      <c r="P471" s="49"/>
      <c r="Q471" s="49"/>
      <c r="R471" s="49"/>
      <c r="S471" s="50"/>
    </row>
    <row r="472" customFormat="false" ht="15" hidden="false" customHeight="false" outlineLevel="0" collapsed="false">
      <c r="A472" s="4" t="s">
        <v>510</v>
      </c>
      <c r="B472" s="36" t="s">
        <v>509</v>
      </c>
      <c r="C472" s="48" t="n">
        <f aca="false">C454*Assumptions!$D$18*Assumptions!$D$33</f>
        <v>211.19616</v>
      </c>
      <c r="D472" s="48" t="n">
        <f aca="false">D454*Assumptions!$D$18*Assumptions!$D$33</f>
        <v>422.39232</v>
      </c>
      <c r="E472" s="48" t="n">
        <f aca="false">E454*Assumptions!$D$18*Assumptions!$D$33</f>
        <v>422.39232</v>
      </c>
      <c r="F472" s="48" t="n">
        <f aca="false">F454*Assumptions!$D$18*Assumptions!$D$33</f>
        <v>422.39232</v>
      </c>
      <c r="G472" s="48" t="n">
        <f aca="false">G454*Assumptions!$D$18*Assumptions!$D$33</f>
        <v>422.39232</v>
      </c>
      <c r="H472" s="48" t="n">
        <f aca="false">H454*Assumptions!$D$18*Assumptions!$D$33</f>
        <v>422.39232</v>
      </c>
      <c r="I472" s="48" t="n">
        <f aca="false">I454*Assumptions!$D$18*Assumptions!$D$33</f>
        <v>564.49344</v>
      </c>
      <c r="J472" s="48" t="n">
        <f aca="false">J454*Assumptions!$D$18*Assumptions!$D$33</f>
        <v>706.59456</v>
      </c>
      <c r="K472" s="48" t="n">
        <f aca="false">K454*Assumptions!$D$18*Assumptions!$D$33</f>
        <v>706.59456</v>
      </c>
      <c r="L472" s="48" t="n">
        <f aca="false">L454*Assumptions!$D$18*Assumptions!$D$33</f>
        <v>706.59456</v>
      </c>
      <c r="M472" s="48" t="n">
        <f aca="false">M454*Assumptions!$D$18*Assumptions!$D$33</f>
        <v>706.59456</v>
      </c>
      <c r="N472" s="48" t="n">
        <f aca="false">N454*Assumptions!$D$18*Assumptions!$D$33</f>
        <v>706.59456</v>
      </c>
      <c r="P472" s="49"/>
      <c r="Q472" s="49"/>
      <c r="R472" s="49"/>
      <c r="S472" s="50"/>
    </row>
    <row r="473" customFormat="false" ht="15" hidden="false" customHeight="false" outlineLevel="0" collapsed="false">
      <c r="A473" s="4" t="s">
        <v>511</v>
      </c>
      <c r="B473" s="36" t="s">
        <v>509</v>
      </c>
      <c r="C473" s="48" t="n">
        <f aca="false">C455*Assumptions!$D$19*Assumptions!$D$34</f>
        <v>24.76992</v>
      </c>
      <c r="D473" s="48" t="n">
        <f aca="false">D455*Assumptions!$D$19*Assumptions!$D$34</f>
        <v>49.53984</v>
      </c>
      <c r="E473" s="48" t="n">
        <f aca="false">E455*Assumptions!$D$19*Assumptions!$D$34</f>
        <v>49.53984</v>
      </c>
      <c r="F473" s="48" t="n">
        <f aca="false">F455*Assumptions!$D$19*Assumptions!$D$34</f>
        <v>49.53984</v>
      </c>
      <c r="G473" s="48" t="n">
        <f aca="false">G455*Assumptions!$D$19*Assumptions!$D$34</f>
        <v>49.53984</v>
      </c>
      <c r="H473" s="48" t="n">
        <f aca="false">H455*Assumptions!$D$19*Assumptions!$D$34</f>
        <v>49.53984</v>
      </c>
      <c r="I473" s="48" t="n">
        <f aca="false">I455*Assumptions!$D$19*Assumptions!$D$34</f>
        <v>61.9248</v>
      </c>
      <c r="J473" s="48" t="n">
        <f aca="false">J455*Assumptions!$D$19*Assumptions!$D$34</f>
        <v>74.30976</v>
      </c>
      <c r="K473" s="48" t="n">
        <f aca="false">K455*Assumptions!$D$19*Assumptions!$D$34</f>
        <v>74.30976</v>
      </c>
      <c r="L473" s="48" t="n">
        <f aca="false">L455*Assumptions!$D$19*Assumptions!$D$34</f>
        <v>74.30976</v>
      </c>
      <c r="M473" s="48" t="n">
        <f aca="false">M455*Assumptions!$D$19*Assumptions!$D$34</f>
        <v>74.30976</v>
      </c>
      <c r="N473" s="48" t="n">
        <f aca="false">N455*Assumptions!$D$19*Assumptions!$D$34</f>
        <v>74.30976</v>
      </c>
      <c r="P473" s="49"/>
      <c r="Q473" s="49"/>
      <c r="R473" s="49"/>
      <c r="S473" s="50"/>
    </row>
    <row r="474" customFormat="false" ht="15" hidden="false" customHeight="false" outlineLevel="0" collapsed="false">
      <c r="A474" s="4" t="s">
        <v>512</v>
      </c>
      <c r="B474" s="36" t="s">
        <v>77</v>
      </c>
      <c r="C474" s="51" t="n">
        <f aca="false">IFERROR(C471/(C471+C472+C473),0)</f>
        <v>0.641108479093082</v>
      </c>
      <c r="D474" s="51" t="n">
        <f aca="false">IFERROR(D471/(D471+D472+D473),0)</f>
        <v>0.641108479093082</v>
      </c>
      <c r="E474" s="51" t="n">
        <f aca="false">IFERROR(E471/(E471+E472+E473),0)</f>
        <v>0.641108479093082</v>
      </c>
      <c r="F474" s="51" t="n">
        <f aca="false">IFERROR(F471/(F471+F472+F473),0)</f>
        <v>0.641108479093082</v>
      </c>
      <c r="G474" s="51" t="n">
        <f aca="false">IFERROR(G471/(G471+G472+G473),0)</f>
        <v>0.641108479093082</v>
      </c>
      <c r="H474" s="51" t="n">
        <f aca="false">IFERROR(H471/(H471+H472+H473),0)</f>
        <v>0.641108479093082</v>
      </c>
      <c r="I474" s="51" t="n">
        <f aca="false">IFERROR(I471/(I471+I472+I473),0)</f>
        <v>0.647236619555278</v>
      </c>
      <c r="J474" s="51" t="n">
        <f aca="false">IFERROR(J471/(J471+J472+J473),0)</f>
        <v>0.650839684896903</v>
      </c>
      <c r="K474" s="51" t="n">
        <f aca="false">IFERROR(K471/(K471+K472+K473),0)</f>
        <v>0.650839684896903</v>
      </c>
      <c r="L474" s="51" t="n">
        <f aca="false">IFERROR(L471/(L471+L472+L473),0)</f>
        <v>0.650839684896903</v>
      </c>
      <c r="M474" s="51" t="n">
        <f aca="false">IFERROR(M471/(M471+M472+M473),0)</f>
        <v>0.650839684896903</v>
      </c>
      <c r="N474" s="51" t="n">
        <f aca="false">IFERROR(N471/(N471+N472+N473),0)</f>
        <v>0.650839684896903</v>
      </c>
      <c r="P474" s="52"/>
      <c r="Q474" s="52"/>
      <c r="R474" s="52"/>
      <c r="S474" s="53"/>
    </row>
    <row r="475" customFormat="false" ht="15" hidden="false" customHeight="false" outlineLevel="0" collapsed="false">
      <c r="A475" s="4" t="s">
        <v>513</v>
      </c>
      <c r="B475" s="36" t="s">
        <v>77</v>
      </c>
      <c r="C475" s="51" t="n">
        <f aca="false">IFERROR(C472/(C471+C472+C473),0)</f>
        <v>0.321217825342104</v>
      </c>
      <c r="D475" s="51" t="n">
        <f aca="false">IFERROR(D472/(D471+D472+D473),0)</f>
        <v>0.321217825342104</v>
      </c>
      <c r="E475" s="51" t="n">
        <f aca="false">IFERROR(E472/(E471+E472+E473),0)</f>
        <v>0.321217825342104</v>
      </c>
      <c r="F475" s="51" t="n">
        <f aca="false">IFERROR(F472/(F471+F472+F473),0)</f>
        <v>0.321217825342104</v>
      </c>
      <c r="G475" s="51" t="n">
        <f aca="false">IFERROR(G472/(G471+G472+G473),0)</f>
        <v>0.321217825342104</v>
      </c>
      <c r="H475" s="51" t="n">
        <f aca="false">IFERROR(H472/(H471+H472+H473),0)</f>
        <v>0.321217825342104</v>
      </c>
      <c r="I475" s="51" t="n">
        <f aca="false">IFERROR(I472/(I471+I472+I473),0)</f>
        <v>0.317890829828438</v>
      </c>
      <c r="J475" s="51" t="n">
        <f aca="false">IFERROR(J472/(J471+J472+J473),0)</f>
        <v>0.315934709158395</v>
      </c>
      <c r="K475" s="51" t="n">
        <f aca="false">IFERROR(K472/(K471+K472+K473),0)</f>
        <v>0.315934709158395</v>
      </c>
      <c r="L475" s="51" t="n">
        <f aca="false">IFERROR(L472/(L471+L472+L473),0)</f>
        <v>0.315934709158395</v>
      </c>
      <c r="M475" s="51" t="n">
        <f aca="false">IFERROR(M472/(M471+M472+M473),0)</f>
        <v>0.315934709158395</v>
      </c>
      <c r="N475" s="51" t="n">
        <f aca="false">IFERROR(N472/(N471+N472+N473),0)</f>
        <v>0.315934709158395</v>
      </c>
      <c r="P475" s="52"/>
      <c r="Q475" s="52"/>
      <c r="R475" s="52"/>
      <c r="S475" s="53"/>
    </row>
    <row r="476" customFormat="false" ht="15" hidden="false" customHeight="false" outlineLevel="0" collapsed="false">
      <c r="A476" s="4" t="s">
        <v>514</v>
      </c>
      <c r="B476" s="36" t="s">
        <v>77</v>
      </c>
      <c r="C476" s="51" t="n">
        <f aca="false">IFERROR(C473/(C471+C472+C473),0)</f>
        <v>0.0376736955648146</v>
      </c>
      <c r="D476" s="51" t="n">
        <f aca="false">IFERROR(D473/(D471+D472+D473),0)</f>
        <v>0.0376736955648146</v>
      </c>
      <c r="E476" s="51" t="n">
        <f aca="false">IFERROR(E473/(E471+E472+E473),0)</f>
        <v>0.0376736955648146</v>
      </c>
      <c r="F476" s="51" t="n">
        <f aca="false">IFERROR(F473/(F471+F472+F473),0)</f>
        <v>0.0376736955648146</v>
      </c>
      <c r="G476" s="51" t="n">
        <f aca="false">IFERROR(G473/(G471+G472+G473),0)</f>
        <v>0.0376736955648146</v>
      </c>
      <c r="H476" s="51" t="n">
        <f aca="false">IFERROR(H473/(H471+H472+H473),0)</f>
        <v>0.0376736955648146</v>
      </c>
      <c r="I476" s="51" t="n">
        <f aca="false">IFERROR(I473/(I471+I472+I473),0)</f>
        <v>0.0348725506162836</v>
      </c>
      <c r="J476" s="51" t="n">
        <f aca="false">IFERROR(J473/(J471+J472+J473),0)</f>
        <v>0.0332256059447021</v>
      </c>
      <c r="K476" s="51" t="n">
        <f aca="false">IFERROR(K473/(K471+K472+K473),0)</f>
        <v>0.0332256059447021</v>
      </c>
      <c r="L476" s="51" t="n">
        <f aca="false">IFERROR(L473/(L471+L472+L473),0)</f>
        <v>0.0332256059447021</v>
      </c>
      <c r="M476" s="51" t="n">
        <f aca="false">IFERROR(M473/(M471+M472+M473),0)</f>
        <v>0.0332256059447021</v>
      </c>
      <c r="N476" s="51" t="n">
        <f aca="false">IFERROR(N473/(N471+N472+N473),0)</f>
        <v>0.0332256059447021</v>
      </c>
      <c r="P476" s="52"/>
      <c r="Q476" s="52"/>
      <c r="R476" s="52"/>
      <c r="S476" s="53"/>
    </row>
    <row r="477" customFormat="false" ht="15" hidden="false" customHeight="false" outlineLevel="0" collapsed="false">
      <c r="A477" s="4" t="s">
        <v>515</v>
      </c>
      <c r="B477" s="36" t="s">
        <v>516</v>
      </c>
      <c r="C477" s="48" t="n">
        <f aca="false">IF(C445-Assumptions!$D$35&lt;1,0,INDEX($C$470:$N$470,1,C445-Assumptions!$D$35)*INDEX($C$474:$N$474,1,C445-Assumptions!$D$35)*Assumptions!$D$32)</f>
        <v>0</v>
      </c>
      <c r="D477" s="48" t="n">
        <f aca="false">IF(D445-Assumptions!$D$35&lt;1,0,INDEX($C$470:$N$470,1,D445-Assumptions!$D$35)*INDEX($C$474:$N$474,1,D445-Assumptions!$D$35)*Assumptions!$D$32)</f>
        <v>0.199000882665507</v>
      </c>
      <c r="E477" s="48" t="n">
        <f aca="false">IF(E445-Assumptions!$D$35&lt;1,0,INDEX($C$470:$N$470,1,E445-Assumptions!$D$35)*INDEX($C$474:$N$474,1,E445-Assumptions!$D$35)*Assumptions!$D$32)</f>
        <v>0.3750955846107</v>
      </c>
      <c r="F477" s="48" t="n">
        <f aca="false">IF(F445-Assumptions!$D$35&lt;1,0,INDEX($C$470:$N$470,1,F445-Assumptions!$D$35)*INDEX($C$474:$N$474,1,F445-Assumptions!$D$35)*Assumptions!$D$32)</f>
        <v>0.431868603604811</v>
      </c>
      <c r="G477" s="48" t="n">
        <f aca="false">IF(G445-Assumptions!$D$35&lt;1,0,INDEX($C$470:$N$470,1,G445-Assumptions!$D$35)*INDEX($C$474:$N$474,1,G445-Assumptions!$D$35)*Assumptions!$D$32)</f>
        <v>0.491058569804982</v>
      </c>
      <c r="H477" s="48" t="n">
        <f aca="false">IF(H445-Assumptions!$D$35&lt;1,0,INDEX($C$470:$N$470,1,H445-Assumptions!$D$35)*INDEX($C$474:$N$474,1,H445-Assumptions!$D$35)*Assumptions!$D$32)</f>
        <v>0</v>
      </c>
      <c r="I477" s="48" t="n">
        <f aca="false">IF(I445-Assumptions!$D$35&lt;1,0,INDEX($C$470:$N$470,1,I445-Assumptions!$D$35)*INDEX($C$474:$N$474,1,I445-Assumptions!$D$35)*Assumptions!$D$32)</f>
        <v>0</v>
      </c>
      <c r="J477" s="48" t="n">
        <f aca="false">IF(J445-Assumptions!$D$35&lt;1,0,INDEX($C$470:$N$470,1,J445-Assumptions!$D$35)*INDEX($C$474:$N$474,1,J445-Assumptions!$D$35)*Assumptions!$D$32)</f>
        <v>0</v>
      </c>
      <c r="K477" s="48" t="n">
        <f aca="false">IF(K445-Assumptions!$D$35&lt;1,0,INDEX($C$470:$N$470,1,K445-Assumptions!$D$35)*INDEX($C$474:$N$474,1,K445-Assumptions!$D$35)*Assumptions!$D$32)</f>
        <v>0</v>
      </c>
      <c r="L477" s="48" t="n">
        <f aca="false">IF(L445-Assumptions!$D$35&lt;1,0,INDEX($C$470:$N$470,1,L445-Assumptions!$D$35)*INDEX($C$474:$N$474,1,L445-Assumptions!$D$35)*Assumptions!$D$32)</f>
        <v>0</v>
      </c>
      <c r="M477" s="48" t="n">
        <f aca="false">IF(M445-Assumptions!$D$35&lt;1,0,INDEX($C$470:$N$470,1,M445-Assumptions!$D$35)*INDEX($C$474:$N$474,1,M445-Assumptions!$D$35)*Assumptions!$D$32)</f>
        <v>0</v>
      </c>
      <c r="N477" s="48" t="n">
        <f aca="false">IF(N445-Assumptions!$D$35&lt;1,0,INDEX($C$470:$N$470,1,N445-Assumptions!$D$35)*INDEX($C$474:$N$474,1,N445-Assumptions!$D$35)*Assumptions!$D$32)</f>
        <v>0</v>
      </c>
      <c r="P477" s="49" t="n">
        <f aca="false">SUM(C477:F477)</f>
        <v>1.00596507088102</v>
      </c>
      <c r="Q477" s="49" t="n">
        <f aca="false">SUM(G477:J477)</f>
        <v>0.491058569804982</v>
      </c>
      <c r="R477" s="49" t="n">
        <f aca="false">SUM(K477:N477)</f>
        <v>0</v>
      </c>
      <c r="S477" s="50" t="n">
        <f aca="false">SUM(P477:R477)</f>
        <v>1.497023640686</v>
      </c>
    </row>
    <row r="478" customFormat="false" ht="15" hidden="false" customHeight="false" outlineLevel="0" collapsed="false">
      <c r="A478" s="4" t="s">
        <v>517</v>
      </c>
      <c r="B478" s="36" t="s">
        <v>516</v>
      </c>
      <c r="C478" s="48" t="n">
        <f aca="false">IF(C445-Assumptions!$D$35&lt;1,0,INDEX($C$470:$N$470,1,C445-Assumptions!$D$35)*INDEX($C$475:$N$475,1,C445-Assumptions!$D$35)*Assumptions!$D$32)</f>
        <v>0</v>
      </c>
      <c r="D478" s="48" t="n">
        <f aca="false">IF(D445-Assumptions!$D$35&lt;1,0,INDEX($C$470:$N$470,1,D445-Assumptions!$D$35)*INDEX($C$475:$N$475,1,D445-Assumptions!$D$35)*Assumptions!$D$32)</f>
        <v>0.0997064192028764</v>
      </c>
      <c r="E478" s="48" t="n">
        <f aca="false">IF(E445-Assumptions!$D$35&lt;1,0,INDEX($C$470:$N$470,1,E445-Assumptions!$D$35)*INDEX($C$475:$N$475,1,E445-Assumptions!$D$35)*Assumptions!$D$32)</f>
        <v>0.187936038772279</v>
      </c>
      <c r="F478" s="48" t="n">
        <f aca="false">IF(F445-Assumptions!$D$35&lt;1,0,INDEX($C$470:$N$470,1,F445-Assumptions!$D$35)*INDEX($C$475:$N$475,1,F445-Assumptions!$D$35)*Assumptions!$D$32)</f>
        <v>0.216381311755085</v>
      </c>
      <c r="G478" s="48" t="n">
        <f aca="false">IF(G445-Assumptions!$D$35&lt;1,0,INDEX($C$470:$N$470,1,G445-Assumptions!$D$35)*INDEX($C$475:$N$475,1,G445-Assumptions!$D$35)*Assumptions!$D$32)</f>
        <v>0.246037560026497</v>
      </c>
      <c r="H478" s="48" t="n">
        <f aca="false">IF(H445-Assumptions!$D$35&lt;1,0,INDEX($C$470:$N$470,1,H445-Assumptions!$D$35)*INDEX($C$475:$N$475,1,H445-Assumptions!$D$35)*Assumptions!$D$32)</f>
        <v>0</v>
      </c>
      <c r="I478" s="48" t="n">
        <f aca="false">IF(I445-Assumptions!$D$35&lt;1,0,INDEX($C$470:$N$470,1,I445-Assumptions!$D$35)*INDEX($C$475:$N$475,1,I445-Assumptions!$D$35)*Assumptions!$D$32)</f>
        <v>0</v>
      </c>
      <c r="J478" s="48" t="n">
        <f aca="false">IF(J445-Assumptions!$D$35&lt;1,0,INDEX($C$470:$N$470,1,J445-Assumptions!$D$35)*INDEX($C$475:$N$475,1,J445-Assumptions!$D$35)*Assumptions!$D$32)</f>
        <v>0</v>
      </c>
      <c r="K478" s="48" t="n">
        <f aca="false">IF(K445-Assumptions!$D$35&lt;1,0,INDEX($C$470:$N$470,1,K445-Assumptions!$D$35)*INDEX($C$475:$N$475,1,K445-Assumptions!$D$35)*Assumptions!$D$32)</f>
        <v>0</v>
      </c>
      <c r="L478" s="48" t="n">
        <f aca="false">IF(L445-Assumptions!$D$35&lt;1,0,INDEX($C$470:$N$470,1,L445-Assumptions!$D$35)*INDEX($C$475:$N$475,1,L445-Assumptions!$D$35)*Assumptions!$D$32)</f>
        <v>0</v>
      </c>
      <c r="M478" s="48" t="n">
        <f aca="false">IF(M445-Assumptions!$D$35&lt;1,0,INDEX($C$470:$N$470,1,M445-Assumptions!$D$35)*INDEX($C$475:$N$475,1,M445-Assumptions!$D$35)*Assumptions!$D$32)</f>
        <v>0</v>
      </c>
      <c r="N478" s="48" t="n">
        <f aca="false">IF(N445-Assumptions!$D$35&lt;1,0,INDEX($C$470:$N$470,1,N445-Assumptions!$D$35)*INDEX($C$475:$N$475,1,N445-Assumptions!$D$35)*Assumptions!$D$32)</f>
        <v>0</v>
      </c>
      <c r="P478" s="49" t="n">
        <f aca="false">SUM(C478:F478)</f>
        <v>0.50402376973024</v>
      </c>
      <c r="Q478" s="49" t="n">
        <f aca="false">SUM(G478:J478)</f>
        <v>0.246037560026497</v>
      </c>
      <c r="R478" s="49" t="n">
        <f aca="false">SUM(K478:N478)</f>
        <v>0</v>
      </c>
      <c r="S478" s="50" t="n">
        <f aca="false">SUM(P478:R478)</f>
        <v>0.750061329756737</v>
      </c>
    </row>
    <row r="479" customFormat="false" ht="15" hidden="false" customHeight="false" outlineLevel="0" collapsed="false">
      <c r="A479" s="4" t="s">
        <v>518</v>
      </c>
      <c r="B479" s="36" t="s">
        <v>516</v>
      </c>
      <c r="C479" s="48" t="n">
        <f aca="false">IF(C445-Assumptions!$D$36&lt;1,0,INDEX($C$470:$N$470,1,C445-Assumptions!$D$36)*INDEX($C$476:$N$476,1,C445-Assumptions!$D$36)*Assumptions!$D$32)</f>
        <v>0</v>
      </c>
      <c r="D479" s="48" t="n">
        <f aca="false">IF(D445-Assumptions!$D$36&lt;1,0,INDEX($C$470:$N$470,1,D445-Assumptions!$D$36)*INDEX($C$476:$N$476,1,D445-Assumptions!$D$36)*Assumptions!$D$32)</f>
        <v>0</v>
      </c>
      <c r="E479" s="48" t="n">
        <f aca="false">IF(E445-Assumptions!$D$36&lt;1,0,INDEX($C$470:$N$470,1,E445-Assumptions!$D$36)*INDEX($C$476:$N$476,1,E445-Assumptions!$D$36)*Assumptions!$D$32)</f>
        <v>0.0116939627460164</v>
      </c>
      <c r="F479" s="48" t="n">
        <f aca="false">IF(F445-Assumptions!$D$36&lt;1,0,INDEX($C$470:$N$470,1,F445-Assumptions!$D$36)*INDEX($C$476:$N$476,1,F445-Assumptions!$D$36)*Assumptions!$D$32)</f>
        <v>0.0220418810905759</v>
      </c>
      <c r="G479" s="48" t="n">
        <f aca="false">IF(G445-Assumptions!$D$36&lt;1,0,INDEX($C$470:$N$470,1,G445-Assumptions!$D$36)*INDEX($C$476:$N$476,1,G445-Assumptions!$D$36)*Assumptions!$D$32)</f>
        <v>0.0253780550823865</v>
      </c>
      <c r="H479" s="48" t="n">
        <f aca="false">IF(H445-Assumptions!$D$36&lt;1,0,INDEX($C$470:$N$470,1,H445-Assumptions!$D$36)*INDEX($C$476:$N$476,1,H445-Assumptions!$D$36)*Assumptions!$D$32)</f>
        <v>0.0288562570401447</v>
      </c>
      <c r="I479" s="48" t="n">
        <f aca="false">IF(I445-Assumptions!$D$36&lt;1,0,INDEX($C$470:$N$470,1,I445-Assumptions!$D$36)*INDEX($C$476:$N$476,1,I445-Assumptions!$D$36)*Assumptions!$D$32)</f>
        <v>0</v>
      </c>
      <c r="J479" s="48" t="n">
        <f aca="false">IF(J445-Assumptions!$D$36&lt;1,0,INDEX($C$470:$N$470,1,J445-Assumptions!$D$36)*INDEX($C$476:$N$476,1,J445-Assumptions!$D$36)*Assumptions!$D$32)</f>
        <v>0</v>
      </c>
      <c r="K479" s="48" t="n">
        <f aca="false">IF(K445-Assumptions!$D$36&lt;1,0,INDEX($C$470:$N$470,1,K445-Assumptions!$D$36)*INDEX($C$476:$N$476,1,K445-Assumptions!$D$36)*Assumptions!$D$32)</f>
        <v>0</v>
      </c>
      <c r="L479" s="48" t="n">
        <f aca="false">IF(L445-Assumptions!$D$36&lt;1,0,INDEX($C$470:$N$470,1,L445-Assumptions!$D$36)*INDEX($C$476:$N$476,1,L445-Assumptions!$D$36)*Assumptions!$D$32)</f>
        <v>0</v>
      </c>
      <c r="M479" s="48" t="n">
        <f aca="false">IF(M445-Assumptions!$D$36&lt;1,0,INDEX($C$470:$N$470,1,M445-Assumptions!$D$36)*INDEX($C$476:$N$476,1,M445-Assumptions!$D$36)*Assumptions!$D$32)</f>
        <v>0</v>
      </c>
      <c r="N479" s="48" t="n">
        <f aca="false">IF(N445-Assumptions!$D$36&lt;1,0,INDEX($C$470:$N$470,1,N445-Assumptions!$D$36)*INDEX($C$476:$N$476,1,N445-Assumptions!$D$36)*Assumptions!$D$32)</f>
        <v>0</v>
      </c>
      <c r="P479" s="49" t="n">
        <f aca="false">SUM(C479:F479)</f>
        <v>0.0337358438365923</v>
      </c>
      <c r="Q479" s="49" t="n">
        <f aca="false">SUM(G479:J479)</f>
        <v>0.0542343121225312</v>
      </c>
      <c r="R479" s="49" t="n">
        <f aca="false">SUM(K479:N479)</f>
        <v>0</v>
      </c>
      <c r="S479" s="50" t="n">
        <f aca="false">SUM(P479:R479)</f>
        <v>0.0879701559591235</v>
      </c>
    </row>
    <row r="480" customFormat="false" ht="15" hidden="false" customHeight="false" outlineLevel="0" collapsed="false">
      <c r="A480" s="4" t="s">
        <v>519</v>
      </c>
      <c r="B480" s="36" t="s">
        <v>77</v>
      </c>
      <c r="C480" s="51" t="n">
        <f aca="false">IF(C445-Assumptions!$D$35&lt;1,0,IFERROR(INDEX($C$469:$N$469,1,C445-Assumptions!$D$35)/INDEX($C$470:$N$470,1,C445-Assumptions!$D$35),0))</f>
        <v>0</v>
      </c>
      <c r="D480" s="51" t="n">
        <f aca="false">IF(D445-Assumptions!$D$35&lt;1,0,IFERROR(INDEX($C$469:$N$469,1,D445-Assumptions!$D$35)/INDEX($C$470:$N$470,1,D445-Assumptions!$D$35),0))</f>
        <v>0.386596363094949</v>
      </c>
      <c r="E480" s="51" t="n">
        <f aca="false">IF(E445-Assumptions!$D$35&lt;1,0,IFERROR(INDEX($C$469:$N$469,1,E445-Assumptions!$D$35)/INDEX($C$470:$N$470,1,E445-Assumptions!$D$35),0))</f>
        <v>0.410204868559123</v>
      </c>
      <c r="F480" s="51" t="n">
        <f aca="false">IF(F445-Assumptions!$D$35&lt;1,0,IFERROR(INDEX($C$469:$N$469,1,F445-Assumptions!$D$35)/INDEX($C$470:$N$470,1,F445-Assumptions!$D$35),0))</f>
        <v>0.53441961408407</v>
      </c>
      <c r="G480" s="51" t="n">
        <f aca="false">IF(G445-Assumptions!$D$35&lt;1,0,IFERROR(INDEX($C$469:$N$469,1,G445-Assumptions!$D$35)/INDEX($C$470:$N$470,1,G445-Assumptions!$D$35),0))</f>
        <v>0.626670806472008</v>
      </c>
      <c r="H480" s="51" t="n">
        <f aca="false">IF(H445-Assumptions!$D$35&lt;1,0,IFERROR(INDEX($C$469:$N$469,1,H445-Assumptions!$D$35)/INDEX($C$470:$N$470,1,H445-Assumptions!$D$35),0))</f>
        <v>0</v>
      </c>
      <c r="I480" s="51" t="n">
        <f aca="false">IF(I445-Assumptions!$D$35&lt;1,0,IFERROR(INDEX($C$469:$N$469,1,I445-Assumptions!$D$35)/INDEX($C$470:$N$470,1,I445-Assumptions!$D$35),0))</f>
        <v>0</v>
      </c>
      <c r="J480" s="51" t="n">
        <f aca="false">IF(J445-Assumptions!$D$35&lt;1,0,IFERROR(INDEX($C$469:$N$469,1,J445-Assumptions!$D$35)/INDEX($C$470:$N$470,1,J445-Assumptions!$D$35),0))</f>
        <v>0</v>
      </c>
      <c r="K480" s="51" t="n">
        <f aca="false">IF(K445-Assumptions!$D$35&lt;1,0,IFERROR(INDEX($C$469:$N$469,1,K445-Assumptions!$D$35)/INDEX($C$470:$N$470,1,K445-Assumptions!$D$35),0))</f>
        <v>0</v>
      </c>
      <c r="L480" s="51" t="n">
        <f aca="false">IF(L445-Assumptions!$D$35&lt;1,0,IFERROR(INDEX($C$469:$N$469,1,L445-Assumptions!$D$35)/INDEX($C$470:$N$470,1,L445-Assumptions!$D$35),0))</f>
        <v>0</v>
      </c>
      <c r="M480" s="51" t="n">
        <f aca="false">IF(M445-Assumptions!$D$35&lt;1,0,IFERROR(INDEX($C$469:$N$469,1,M445-Assumptions!$D$35)/INDEX($C$470:$N$470,1,M445-Assumptions!$D$35),0))</f>
        <v>0</v>
      </c>
      <c r="N480" s="51" t="n">
        <f aca="false">IF(N445-Assumptions!$D$35&lt;1,0,IFERROR(INDEX($C$469:$N$469,1,N445-Assumptions!$D$35)/INDEX($C$470:$N$470,1,N445-Assumptions!$D$35),0))</f>
        <v>0</v>
      </c>
      <c r="P480" s="52"/>
      <c r="Q480" s="52"/>
      <c r="R480" s="52"/>
      <c r="S480" s="53"/>
    </row>
    <row r="481" customFormat="false" ht="15" hidden="false" customHeight="false" outlineLevel="0" collapsed="false">
      <c r="A481" s="4" t="s">
        <v>520</v>
      </c>
      <c r="B481" s="36" t="s">
        <v>516</v>
      </c>
      <c r="C481" s="48" t="n">
        <f aca="false">C477*Assumptions!$D$37</f>
        <v>0</v>
      </c>
      <c r="D481" s="48" t="n">
        <f aca="false">D477*Assumptions!$D$37</f>
        <v>0.0298501323998261</v>
      </c>
      <c r="E481" s="48" t="n">
        <f aca="false">E477*Assumptions!$D$37</f>
        <v>0.0562643376916051</v>
      </c>
      <c r="F481" s="48" t="n">
        <f aca="false">F477*Assumptions!$D$37</f>
        <v>0.0647802905407217</v>
      </c>
      <c r="G481" s="48" t="n">
        <f aca="false">G477*Assumptions!$D$37</f>
        <v>0.0736587854707474</v>
      </c>
      <c r="H481" s="48" t="n">
        <f aca="false">H477*Assumptions!$D$37</f>
        <v>0</v>
      </c>
      <c r="I481" s="48" t="n">
        <f aca="false">I477*Assumptions!$D$37</f>
        <v>0</v>
      </c>
      <c r="J481" s="48" t="n">
        <f aca="false">J477*Assumptions!$D$37</f>
        <v>0</v>
      </c>
      <c r="K481" s="48" t="n">
        <f aca="false">K477*Assumptions!$D$37</f>
        <v>0</v>
      </c>
      <c r="L481" s="48" t="n">
        <f aca="false">L477*Assumptions!$D$37</f>
        <v>0</v>
      </c>
      <c r="M481" s="48" t="n">
        <f aca="false">M477*Assumptions!$D$37</f>
        <v>0</v>
      </c>
      <c r="N481" s="48" t="n">
        <f aca="false">N477*Assumptions!$D$37</f>
        <v>0</v>
      </c>
      <c r="P481" s="49" t="n">
        <f aca="false">SUM(C481:F481)</f>
        <v>0.150894760632153</v>
      </c>
      <c r="Q481" s="49" t="n">
        <f aca="false">SUM(G481:J481)</f>
        <v>0.0736587854707474</v>
      </c>
      <c r="R481" s="49" t="n">
        <f aca="false">SUM(K481:N481)</f>
        <v>0</v>
      </c>
      <c r="S481" s="50" t="n">
        <f aca="false">SUM(P481:R481)</f>
        <v>0.2245535461029</v>
      </c>
    </row>
    <row r="482" customFormat="false" ht="15" hidden="false" customHeight="false" outlineLevel="0" collapsed="false">
      <c r="A482" s="4" t="s">
        <v>521</v>
      </c>
      <c r="B482" s="36" t="s">
        <v>516</v>
      </c>
      <c r="C482" s="48" t="n">
        <f aca="false">C477*(1-Assumptions!$D$37)</f>
        <v>0</v>
      </c>
      <c r="D482" s="48" t="n">
        <f aca="false">D477*(1-Assumptions!$D$37)</f>
        <v>0.169150750265681</v>
      </c>
      <c r="E482" s="48" t="n">
        <f aca="false">E477*(1-Assumptions!$D$37)</f>
        <v>0.318831246919095</v>
      </c>
      <c r="F482" s="48" t="n">
        <f aca="false">F477*(1-Assumptions!$D$37)</f>
        <v>0.36708831306409</v>
      </c>
      <c r="G482" s="48" t="n">
        <f aca="false">G477*(1-Assumptions!$D$37)</f>
        <v>0.417399784334235</v>
      </c>
      <c r="H482" s="48" t="n">
        <f aca="false">H477*(1-Assumptions!$D$37)</f>
        <v>0</v>
      </c>
      <c r="I482" s="48" t="n">
        <f aca="false">I477*(1-Assumptions!$D$37)</f>
        <v>0</v>
      </c>
      <c r="J482" s="48" t="n">
        <f aca="false">J477*(1-Assumptions!$D$37)</f>
        <v>0</v>
      </c>
      <c r="K482" s="48" t="n">
        <f aca="false">K477*(1-Assumptions!$D$37)</f>
        <v>0</v>
      </c>
      <c r="L482" s="48" t="n">
        <f aca="false">L477*(1-Assumptions!$D$37)</f>
        <v>0</v>
      </c>
      <c r="M482" s="48" t="n">
        <f aca="false">M477*(1-Assumptions!$D$37)</f>
        <v>0</v>
      </c>
      <c r="N482" s="48" t="n">
        <f aca="false">N477*(1-Assumptions!$D$37)</f>
        <v>0</v>
      </c>
      <c r="P482" s="49" t="n">
        <f aca="false">SUM(C482:F482)</f>
        <v>0.855070310248866</v>
      </c>
      <c r="Q482" s="49" t="n">
        <f aca="false">SUM(G482:J482)</f>
        <v>0.417399784334235</v>
      </c>
      <c r="R482" s="49" t="n">
        <f aca="false">SUM(K482:N482)</f>
        <v>0</v>
      </c>
      <c r="S482" s="50" t="n">
        <f aca="false">SUM(P482:R482)</f>
        <v>1.2724700945831</v>
      </c>
    </row>
    <row r="483" customFormat="false" ht="15" hidden="false" customHeight="false" outlineLevel="0" collapsed="false">
      <c r="A483" s="4" t="s">
        <v>522</v>
      </c>
      <c r="B483" s="36" t="s">
        <v>125</v>
      </c>
      <c r="C483" s="54" t="n">
        <f aca="false">C482*$C$436+C478*$C$437+C479*$C$438</f>
        <v>0</v>
      </c>
      <c r="D483" s="54" t="n">
        <f aca="false">D482*$C$436+D478*$C$437+D479*$C$438</f>
        <v>1635.64833396782</v>
      </c>
      <c r="E483" s="54" t="n">
        <f aca="false">E482*$C$436+E478*$C$437+E479*$C$438</f>
        <v>3624.84832316534</v>
      </c>
      <c r="F483" s="54" t="n">
        <f aca="false">F482*$C$436+F478*$C$437+F479*$C$438</f>
        <v>4570.94016945113</v>
      </c>
      <c r="G483" s="54" t="n">
        <f aca="false">G482*$C$436+G478*$C$437+G479*$C$438</f>
        <v>5212.01763013472</v>
      </c>
      <c r="H483" s="54" t="n">
        <f aca="false">H482*$C$436+H478*$C$437+H479*$C$438</f>
        <v>1337.01693072003</v>
      </c>
      <c r="I483" s="54" t="n">
        <f aca="false">I482*$C$436+I478*$C$437+I479*$C$438</f>
        <v>0</v>
      </c>
      <c r="J483" s="54" t="n">
        <f aca="false">J482*$C$436+J478*$C$437+J479*$C$438</f>
        <v>0</v>
      </c>
      <c r="K483" s="54" t="n">
        <f aca="false">K482*$C$436+K478*$C$437+K479*$C$438</f>
        <v>0</v>
      </c>
      <c r="L483" s="54" t="n">
        <f aca="false">L482*$C$436+L478*$C$437+L479*$C$438</f>
        <v>0</v>
      </c>
      <c r="M483" s="54" t="n">
        <f aca="false">M482*$C$436+M478*$C$437+M479*$C$438</f>
        <v>0</v>
      </c>
      <c r="N483" s="54" t="n">
        <f aca="false">N482*$C$436+N478*$C$437+N479*$C$438</f>
        <v>0</v>
      </c>
      <c r="P483" s="55" t="n">
        <f aca="false">SUM(C483:F483)</f>
        <v>9831.43682658429</v>
      </c>
      <c r="Q483" s="55" t="n">
        <f aca="false">SUM(G483:J483)</f>
        <v>6549.03456085475</v>
      </c>
      <c r="R483" s="55" t="n">
        <f aca="false">SUM(K483:N483)</f>
        <v>0</v>
      </c>
      <c r="S483" s="56" t="n">
        <f aca="false">SUM(P483:R483)</f>
        <v>16380.471387439</v>
      </c>
    </row>
    <row r="484" customFormat="false" ht="15" hidden="false" customHeight="false" outlineLevel="0" collapsed="false">
      <c r="A484" s="4" t="s">
        <v>523</v>
      </c>
      <c r="B484" s="36" t="s">
        <v>125</v>
      </c>
      <c r="C484" s="54" t="n">
        <f aca="false">(C460+Assumptions!$D$104*C446)*$C$441</f>
        <v>240625</v>
      </c>
      <c r="D484" s="54" t="n">
        <f aca="false">(D460+Assumptions!$D$104*D446)*$C$441</f>
        <v>240625</v>
      </c>
      <c r="E484" s="54" t="n">
        <f aca="false">(E460+Assumptions!$D$104*E446)*$C$441</f>
        <v>240625</v>
      </c>
      <c r="F484" s="54" t="n">
        <f aca="false">(F460+Assumptions!$D$104*F446)*$C$441</f>
        <v>240625</v>
      </c>
      <c r="G484" s="54" t="n">
        <f aca="false">(G460+Assumptions!$D$104*G446)*$C$441</f>
        <v>0</v>
      </c>
      <c r="H484" s="54" t="n">
        <f aca="false">(H460+Assumptions!$D$104*H446)*$C$441</f>
        <v>0</v>
      </c>
      <c r="I484" s="54" t="n">
        <f aca="false">(I460+Assumptions!$D$104*I446)*$C$441</f>
        <v>0</v>
      </c>
      <c r="J484" s="54" t="n">
        <f aca="false">(J460+Assumptions!$D$104*J446)*$C$441</f>
        <v>0</v>
      </c>
      <c r="K484" s="54" t="n">
        <f aca="false">(K460+Assumptions!$D$104*K446)*$C$441</f>
        <v>0</v>
      </c>
      <c r="L484" s="54" t="n">
        <f aca="false">(L460+Assumptions!$D$104*L446)*$C$441</f>
        <v>0</v>
      </c>
      <c r="M484" s="54" t="n">
        <f aca="false">(M460+Assumptions!$D$104*M446)*$C$441</f>
        <v>0</v>
      </c>
      <c r="N484" s="54" t="n">
        <f aca="false">(N460+Assumptions!$D$104*N446)*$C$441</f>
        <v>0</v>
      </c>
      <c r="P484" s="55" t="n">
        <f aca="false">SUM(C484:F484)</f>
        <v>962500</v>
      </c>
      <c r="Q484" s="55" t="n">
        <f aca="false">SUM(G484:J484)</f>
        <v>0</v>
      </c>
      <c r="R484" s="55" t="n">
        <f aca="false">SUM(K484:N484)</f>
        <v>0</v>
      </c>
      <c r="S484" s="56" t="n">
        <f aca="false">SUM(P484:R484)</f>
        <v>962500</v>
      </c>
    </row>
    <row r="485" customFormat="false" ht="15" hidden="false" customHeight="false" outlineLevel="0" collapsed="false">
      <c r="A485" s="4" t="s">
        <v>524</v>
      </c>
      <c r="B485" s="36" t="s">
        <v>77</v>
      </c>
      <c r="C485" s="51" t="n">
        <f aca="false">IF(C483&gt;0,MIN(1,C484/C483),1)</f>
        <v>1</v>
      </c>
      <c r="D485" s="51" t="n">
        <f aca="false">IF(D483&gt;0,MIN(1,D484/D483),1)</f>
        <v>1</v>
      </c>
      <c r="E485" s="51" t="n">
        <f aca="false">IF(E483&gt;0,MIN(1,E484/E483),1)</f>
        <v>1</v>
      </c>
      <c r="F485" s="51" t="n">
        <f aca="false">IF(F483&gt;0,MIN(1,F484/F483),1)</f>
        <v>1</v>
      </c>
      <c r="G485" s="51" t="n">
        <f aca="false">IF(G483&gt;0,MIN(1,G484/G483),1)</f>
        <v>0</v>
      </c>
      <c r="H485" s="51" t="n">
        <f aca="false">IF(H483&gt;0,MIN(1,H484/H483),1)</f>
        <v>0</v>
      </c>
      <c r="I485" s="51" t="n">
        <f aca="false">IF(I483&gt;0,MIN(1,I484/I483),1)</f>
        <v>1</v>
      </c>
      <c r="J485" s="51" t="n">
        <f aca="false">IF(J483&gt;0,MIN(1,J484/J483),1)</f>
        <v>1</v>
      </c>
      <c r="K485" s="51" t="n">
        <f aca="false">IF(K483&gt;0,MIN(1,K484/K483),1)</f>
        <v>1</v>
      </c>
      <c r="L485" s="51" t="n">
        <f aca="false">IF(L483&gt;0,MIN(1,L484/L483),1)</f>
        <v>1</v>
      </c>
      <c r="M485" s="51" t="n">
        <f aca="false">IF(M483&gt;0,MIN(1,M484/M483),1)</f>
        <v>1</v>
      </c>
      <c r="N485" s="51" t="n">
        <f aca="false">IF(N483&gt;0,MIN(1,N484/N483),1)</f>
        <v>1</v>
      </c>
      <c r="P485" s="52"/>
      <c r="Q485" s="52"/>
      <c r="R485" s="52"/>
      <c r="S485" s="53"/>
    </row>
    <row r="486" customFormat="false" ht="15" hidden="false" customHeight="false" outlineLevel="0" collapsed="false">
      <c r="A486" s="4" t="s">
        <v>525</v>
      </c>
      <c r="B486" s="36" t="s">
        <v>125</v>
      </c>
      <c r="C486" s="54" t="n">
        <f aca="false">C483*(1-C485)</f>
        <v>0</v>
      </c>
      <c r="D486" s="54" t="n">
        <f aca="false">D483*(1-D485)</f>
        <v>0</v>
      </c>
      <c r="E486" s="54" t="n">
        <f aca="false">E483*(1-E485)</f>
        <v>0</v>
      </c>
      <c r="F486" s="54" t="n">
        <f aca="false">F483*(1-F485)</f>
        <v>0</v>
      </c>
      <c r="G486" s="54" t="n">
        <f aca="false">G483*(1-G485)</f>
        <v>5212.01763013472</v>
      </c>
      <c r="H486" s="54" t="n">
        <f aca="false">H483*(1-H485)</f>
        <v>1337.01693072003</v>
      </c>
      <c r="I486" s="54" t="n">
        <f aca="false">I483*(1-I485)</f>
        <v>0</v>
      </c>
      <c r="J486" s="54" t="n">
        <f aca="false">J483*(1-J485)</f>
        <v>0</v>
      </c>
      <c r="K486" s="54" t="n">
        <f aca="false">K483*(1-K485)</f>
        <v>0</v>
      </c>
      <c r="L486" s="54" t="n">
        <f aca="false">L483*(1-L485)</f>
        <v>0</v>
      </c>
      <c r="M486" s="54" t="n">
        <f aca="false">M483*(1-M485)</f>
        <v>0</v>
      </c>
      <c r="N486" s="54" t="n">
        <f aca="false">N483*(1-N485)</f>
        <v>0</v>
      </c>
      <c r="P486" s="55" t="n">
        <f aca="false">SUM(C486:F486)</f>
        <v>0</v>
      </c>
      <c r="Q486" s="55" t="n">
        <f aca="false">SUM(G486:J486)</f>
        <v>6549.03456085475</v>
      </c>
      <c r="R486" s="55" t="n">
        <f aca="false">SUM(K486:N486)</f>
        <v>0</v>
      </c>
      <c r="S486" s="56" t="n">
        <f aca="false">SUM(P486:R486)</f>
        <v>6549.03456085475</v>
      </c>
    </row>
    <row r="487" customFormat="false" ht="15" hidden="false" customHeight="false" outlineLevel="0" collapsed="false">
      <c r="A487" s="4" t="s">
        <v>526</v>
      </c>
      <c r="B487" s="36" t="s">
        <v>527</v>
      </c>
      <c r="C487" s="48" t="n">
        <f aca="false">C481+C482*C485</f>
        <v>0</v>
      </c>
      <c r="D487" s="48" t="n">
        <f aca="false">D481+D482*D485</f>
        <v>0.199000882665507</v>
      </c>
      <c r="E487" s="48" t="n">
        <f aca="false">E481+E482*E485</f>
        <v>0.3750955846107</v>
      </c>
      <c r="F487" s="48" t="n">
        <f aca="false">F481+F482*F485</f>
        <v>0.431868603604811</v>
      </c>
      <c r="G487" s="48" t="n">
        <f aca="false">G481+G482*G485</f>
        <v>0.0736587854707474</v>
      </c>
      <c r="H487" s="48" t="n">
        <f aca="false">H481+H482*H485</f>
        <v>0</v>
      </c>
      <c r="I487" s="48" t="n">
        <f aca="false">I481+I482*I485</f>
        <v>0</v>
      </c>
      <c r="J487" s="48" t="n">
        <f aca="false">J481+J482*J485</f>
        <v>0</v>
      </c>
      <c r="K487" s="48" t="n">
        <f aca="false">K481+K482*K485</f>
        <v>0</v>
      </c>
      <c r="L487" s="48" t="n">
        <f aca="false">L481+L482*L485</f>
        <v>0</v>
      </c>
      <c r="M487" s="48" t="n">
        <f aca="false">M481+M482*M485</f>
        <v>0</v>
      </c>
      <c r="N487" s="48" t="n">
        <f aca="false">N481+N482*N485</f>
        <v>0</v>
      </c>
      <c r="P487" s="49" t="n">
        <f aca="false">SUM(C487:F487)</f>
        <v>1.00596507088102</v>
      </c>
      <c r="Q487" s="49" t="n">
        <f aca="false">SUM(G487:J487)</f>
        <v>0.0736587854707474</v>
      </c>
      <c r="R487" s="49" t="n">
        <f aca="false">SUM(K487:N487)</f>
        <v>0</v>
      </c>
      <c r="S487" s="50" t="n">
        <f aca="false">SUM(P487:R487)</f>
        <v>1.07962385635177</v>
      </c>
    </row>
    <row r="488" customFormat="false" ht="15" hidden="false" customHeight="false" outlineLevel="0" collapsed="false">
      <c r="A488" s="4" t="s">
        <v>528</v>
      </c>
      <c r="B488" s="36" t="s">
        <v>527</v>
      </c>
      <c r="C488" s="48" t="n">
        <f aca="false">C478*C485</f>
        <v>0</v>
      </c>
      <c r="D488" s="48" t="n">
        <f aca="false">D478*D485</f>
        <v>0.0997064192028764</v>
      </c>
      <c r="E488" s="48" t="n">
        <f aca="false">E478*E485</f>
        <v>0.187936038772279</v>
      </c>
      <c r="F488" s="48" t="n">
        <f aca="false">F478*F485</f>
        <v>0.216381311755085</v>
      </c>
      <c r="G488" s="48" t="n">
        <f aca="false">G478*G485</f>
        <v>0</v>
      </c>
      <c r="H488" s="48" t="n">
        <f aca="false">H478*H485</f>
        <v>0</v>
      </c>
      <c r="I488" s="48" t="n">
        <f aca="false">I478*I485</f>
        <v>0</v>
      </c>
      <c r="J488" s="48" t="n">
        <f aca="false">J478*J485</f>
        <v>0</v>
      </c>
      <c r="K488" s="48" t="n">
        <f aca="false">K478*K485</f>
        <v>0</v>
      </c>
      <c r="L488" s="48" t="n">
        <f aca="false">L478*L485</f>
        <v>0</v>
      </c>
      <c r="M488" s="48" t="n">
        <f aca="false">M478*M485</f>
        <v>0</v>
      </c>
      <c r="N488" s="48" t="n">
        <f aca="false">N478*N485</f>
        <v>0</v>
      </c>
      <c r="P488" s="49" t="n">
        <f aca="false">SUM(C488:F488)</f>
        <v>0.50402376973024</v>
      </c>
      <c r="Q488" s="49" t="n">
        <f aca="false">SUM(G488:J488)</f>
        <v>0</v>
      </c>
      <c r="R488" s="49" t="n">
        <f aca="false">SUM(K488:N488)</f>
        <v>0</v>
      </c>
      <c r="S488" s="50" t="n">
        <f aca="false">SUM(P488:R488)</f>
        <v>0.50402376973024</v>
      </c>
    </row>
    <row r="489" customFormat="false" ht="15" hidden="false" customHeight="false" outlineLevel="0" collapsed="false">
      <c r="A489" s="4" t="s">
        <v>529</v>
      </c>
      <c r="B489" s="36" t="s">
        <v>527</v>
      </c>
      <c r="C489" s="48" t="n">
        <f aca="false">C479*C485</f>
        <v>0</v>
      </c>
      <c r="D489" s="48" t="n">
        <f aca="false">D479*D485</f>
        <v>0</v>
      </c>
      <c r="E489" s="48" t="n">
        <f aca="false">E479*E485</f>
        <v>0.0116939627460164</v>
      </c>
      <c r="F489" s="48" t="n">
        <f aca="false">F479*F485</f>
        <v>0.0220418810905759</v>
      </c>
      <c r="G489" s="48" t="n">
        <f aca="false">G479*G485</f>
        <v>0</v>
      </c>
      <c r="H489" s="48" t="n">
        <f aca="false">H479*H485</f>
        <v>0</v>
      </c>
      <c r="I489" s="48" t="n">
        <f aca="false">I479*I485</f>
        <v>0</v>
      </c>
      <c r="J489" s="48" t="n">
        <f aca="false">J479*J485</f>
        <v>0</v>
      </c>
      <c r="K489" s="48" t="n">
        <f aca="false">K479*K485</f>
        <v>0</v>
      </c>
      <c r="L489" s="48" t="n">
        <f aca="false">L479*L485</f>
        <v>0</v>
      </c>
      <c r="M489" s="48" t="n">
        <f aca="false">M479*M485</f>
        <v>0</v>
      </c>
      <c r="N489" s="48" t="n">
        <f aca="false">N479*N485</f>
        <v>0</v>
      </c>
      <c r="P489" s="49" t="n">
        <f aca="false">SUM(C489:F489)</f>
        <v>0.0337358438365923</v>
      </c>
      <c r="Q489" s="49" t="n">
        <f aca="false">SUM(G489:J489)</f>
        <v>0</v>
      </c>
      <c r="R489" s="49" t="n">
        <f aca="false">SUM(K489:N489)</f>
        <v>0</v>
      </c>
      <c r="S489" s="50" t="n">
        <f aca="false">SUM(P489:R489)</f>
        <v>0.0337358438365923</v>
      </c>
    </row>
    <row r="490" customFormat="false" ht="15" hidden="false" customHeight="false" outlineLevel="0" collapsed="false">
      <c r="A490" s="9" t="s">
        <v>530</v>
      </c>
      <c r="B490" s="36" t="s">
        <v>527</v>
      </c>
      <c r="C490" s="49" t="n">
        <f aca="false">C487+C488+C489</f>
        <v>0</v>
      </c>
      <c r="D490" s="49" t="n">
        <f aca="false">D487+D488+D489</f>
        <v>0.298707301868384</v>
      </c>
      <c r="E490" s="49" t="n">
        <f aca="false">E487+E488+E489</f>
        <v>0.574725586128996</v>
      </c>
      <c r="F490" s="49" t="n">
        <f aca="false">F487+F488+F489</f>
        <v>0.670291796450472</v>
      </c>
      <c r="G490" s="49" t="n">
        <f aca="false">G487+G488+G489</f>
        <v>0.0736587854707474</v>
      </c>
      <c r="H490" s="49" t="n">
        <f aca="false">H487+H488+H489</f>
        <v>0</v>
      </c>
      <c r="I490" s="49" t="n">
        <f aca="false">I487+I488+I489</f>
        <v>0</v>
      </c>
      <c r="J490" s="49" t="n">
        <f aca="false">J487+J488+J489</f>
        <v>0</v>
      </c>
      <c r="K490" s="49" t="n">
        <f aca="false">K487+K488+K489</f>
        <v>0</v>
      </c>
      <c r="L490" s="49" t="n">
        <f aca="false">L487+L488+L489</f>
        <v>0</v>
      </c>
      <c r="M490" s="49" t="n">
        <f aca="false">M487+M488+M489</f>
        <v>0</v>
      </c>
      <c r="N490" s="49" t="n">
        <f aca="false">N487+N488+N489</f>
        <v>0</v>
      </c>
      <c r="P490" s="49" t="n">
        <f aca="false">SUM(C490:F490)</f>
        <v>1.54372468444785</v>
      </c>
      <c r="Q490" s="49" t="n">
        <f aca="false">SUM(G490:J490)</f>
        <v>0.0736587854707474</v>
      </c>
      <c r="R490" s="49" t="n">
        <f aca="false">SUM(K490:N490)</f>
        <v>0</v>
      </c>
      <c r="S490" s="50" t="n">
        <f aca="false">SUM(P490:R490)</f>
        <v>1.6173834699186</v>
      </c>
    </row>
    <row r="491" customFormat="false" ht="15" hidden="false" customHeight="false" outlineLevel="0" collapsed="false">
      <c r="A491" s="35" t="s">
        <v>533</v>
      </c>
      <c r="B491" s="35" t="s">
        <v>444</v>
      </c>
      <c r="C491" s="6" t="s">
        <v>354</v>
      </c>
      <c r="D491" s="6" t="s">
        <v>355</v>
      </c>
      <c r="E491" s="6" t="s">
        <v>356</v>
      </c>
      <c r="F491" s="6" t="s">
        <v>357</v>
      </c>
      <c r="G491" s="6" t="s">
        <v>358</v>
      </c>
      <c r="H491" s="6" t="s">
        <v>359</v>
      </c>
      <c r="I491" s="6" t="s">
        <v>360</v>
      </c>
      <c r="J491" s="6" t="s">
        <v>361</v>
      </c>
      <c r="K491" s="6" t="s">
        <v>362</v>
      </c>
      <c r="L491" s="6" t="s">
        <v>363</v>
      </c>
      <c r="M491" s="6" t="s">
        <v>364</v>
      </c>
      <c r="N491" s="6" t="s">
        <v>365</v>
      </c>
      <c r="P491" s="6" t="s">
        <v>445</v>
      </c>
      <c r="Q491" s="6" t="s">
        <v>446</v>
      </c>
      <c r="R491" s="6" t="s">
        <v>447</v>
      </c>
      <c r="S491" s="6" t="s">
        <v>448</v>
      </c>
    </row>
    <row r="492" customFormat="false" ht="15" hidden="false" customHeight="false" outlineLevel="0" collapsed="false">
      <c r="A492" s="4" t="s">
        <v>534</v>
      </c>
      <c r="B492" s="36" t="s">
        <v>527</v>
      </c>
      <c r="C492" s="48" t="n">
        <f aca="false">0*Assumptions!$D$59^(1/4)+C487</f>
        <v>0</v>
      </c>
      <c r="D492" s="48" t="n">
        <f aca="false">C492*Assumptions!$D$59^(1/4)+D487</f>
        <v>0.199000882665507</v>
      </c>
      <c r="E492" s="48" t="n">
        <f aca="false">D492*Assumptions!$D$59^(1/4)+E487</f>
        <v>0.566173165423952</v>
      </c>
      <c r="F492" s="48" t="n">
        <f aca="false">E492*Assumptions!$D$59^(1/4)+F487</f>
        <v>0.975499351979078</v>
      </c>
      <c r="G492" s="48" t="n">
        <f aca="false">F492*Assumptions!$D$59^(1/4)+G487</f>
        <v>1.01031823021483</v>
      </c>
      <c r="H492" s="48" t="n">
        <f aca="false">G492*Assumptions!$D$59^(1/4)+H487</f>
        <v>0.970091995046392</v>
      </c>
      <c r="I492" s="48" t="n">
        <f aca="false">H492*Assumptions!$D$59^(1/4)+I487</f>
        <v>0.931467383947909</v>
      </c>
      <c r="J492" s="48" t="n">
        <f aca="false">I492*Assumptions!$D$59^(1/4)+J487</f>
        <v>0.894380627599416</v>
      </c>
      <c r="K492" s="48" t="n">
        <f aca="false">J492*Assumptions!$D$59^(1/4)+K487</f>
        <v>0.858770495682605</v>
      </c>
      <c r="L492" s="48" t="n">
        <f aca="false">K492*Assumptions!$D$59^(1/4)+L487</f>
        <v>0.824578195789433</v>
      </c>
      <c r="M492" s="48" t="n">
        <f aca="false">L492*Assumptions!$D$59^(1/4)+M487</f>
        <v>0.791747276355723</v>
      </c>
      <c r="N492" s="48" t="n">
        <f aca="false">M492*Assumptions!$D$59^(1/4)+N487</f>
        <v>0.760223533459503</v>
      </c>
      <c r="P492" s="49" t="n">
        <f aca="false">F492</f>
        <v>0.975499351979078</v>
      </c>
      <c r="Q492" s="49" t="n">
        <f aca="false">J492</f>
        <v>0.894380627599416</v>
      </c>
      <c r="R492" s="49" t="n">
        <f aca="false">N492</f>
        <v>0.760223533459503</v>
      </c>
      <c r="S492" s="50" t="n">
        <f aca="false">R492</f>
        <v>0.760223533459503</v>
      </c>
    </row>
    <row r="493" customFormat="false" ht="15" hidden="false" customHeight="false" outlineLevel="0" collapsed="false">
      <c r="A493" s="4" t="s">
        <v>535</v>
      </c>
      <c r="B493" s="36" t="s">
        <v>527</v>
      </c>
      <c r="C493" s="48" t="n">
        <f aca="false">0*Assumptions!$D$60^(1/4)+C488</f>
        <v>0</v>
      </c>
      <c r="D493" s="48" t="n">
        <f aca="false">C493*Assumptions!$D$60^(1/4)+D488</f>
        <v>0.0997064192028764</v>
      </c>
      <c r="E493" s="48" t="n">
        <f aca="false">D493*Assumptions!$D$60^(1/4)+E488</f>
        <v>0.283952950294772</v>
      </c>
      <c r="F493" s="48" t="n">
        <f aca="false">E493*Assumptions!$D$60^(1/4)+F488</f>
        <v>0.489826948685727</v>
      </c>
      <c r="G493" s="48" t="n">
        <f aca="false">F493*Assumptions!$D$60^(1/4)+G488</f>
        <v>0.471701533053687</v>
      </c>
      <c r="H493" s="48" t="n">
        <f aca="false">G493*Assumptions!$D$60^(1/4)+H488</f>
        <v>0.454246825092418</v>
      </c>
      <c r="I493" s="48" t="n">
        <f aca="false">H493*Assumptions!$D$60^(1/4)+I488</f>
        <v>0.437438006128035</v>
      </c>
      <c r="J493" s="48" t="n">
        <f aca="false">I493*Assumptions!$D$60^(1/4)+J488</f>
        <v>0.421251175869725</v>
      </c>
      <c r="K493" s="48" t="n">
        <f aca="false">J493*Assumptions!$D$60^(1/4)+K488</f>
        <v>0.405663318426171</v>
      </c>
      <c r="L493" s="48" t="n">
        <f aca="false">K493*Assumptions!$D$60^(1/4)+L488</f>
        <v>0.39065226957948</v>
      </c>
      <c r="M493" s="48" t="n">
        <f aca="false">L493*Assumptions!$D$60^(1/4)+M488</f>
        <v>0.37619668527011</v>
      </c>
      <c r="N493" s="48" t="n">
        <f aca="false">M493*Assumptions!$D$60^(1/4)+N488</f>
        <v>0.362276011247964</v>
      </c>
      <c r="P493" s="49" t="n">
        <f aca="false">F493</f>
        <v>0.489826948685727</v>
      </c>
      <c r="Q493" s="49" t="n">
        <f aca="false">J493</f>
        <v>0.421251175869725</v>
      </c>
      <c r="R493" s="49" t="n">
        <f aca="false">N493</f>
        <v>0.362276011247964</v>
      </c>
      <c r="S493" s="50" t="n">
        <f aca="false">R493</f>
        <v>0.362276011247964</v>
      </c>
    </row>
    <row r="494" customFormat="false" ht="15" hidden="false" customHeight="false" outlineLevel="0" collapsed="false">
      <c r="A494" s="4" t="s">
        <v>536</v>
      </c>
      <c r="B494" s="36" t="s">
        <v>527</v>
      </c>
      <c r="C494" s="48" t="n">
        <f aca="false">0*Assumptions!$D$61^(1/4)+C489</f>
        <v>0</v>
      </c>
      <c r="D494" s="48" t="n">
        <f aca="false">C494*Assumptions!$D$61^(1/4)+D489</f>
        <v>0</v>
      </c>
      <c r="E494" s="48" t="n">
        <f aca="false">D494*Assumptions!$D$61^(1/4)+E489</f>
        <v>0.0116939627460164</v>
      </c>
      <c r="F494" s="48" t="n">
        <f aca="false">E494*Assumptions!$D$61^(1/4)+F489</f>
        <v>0.0333680327857436</v>
      </c>
      <c r="G494" s="48" t="n">
        <f aca="false">F494*Assumptions!$D$61^(1/4)+G489</f>
        <v>0.032318505651936</v>
      </c>
      <c r="H494" s="48" t="n">
        <f aca="false">G494*Assumptions!$D$61^(1/4)+H489</f>
        <v>0.0313019893705113</v>
      </c>
      <c r="I494" s="48" t="n">
        <f aca="false">H494*Assumptions!$D$61^(1/4)+I489</f>
        <v>0.0303174456487566</v>
      </c>
      <c r="J494" s="48" t="n">
        <f aca="false">I494*Assumptions!$D$61^(1/4)+J489</f>
        <v>0.0293638688514543</v>
      </c>
      <c r="K494" s="48" t="n">
        <f aca="false">J494*Assumptions!$D$61^(1/4)+K489</f>
        <v>0.0284402849737037</v>
      </c>
      <c r="L494" s="48" t="n">
        <f aca="false">K494*Assumptions!$D$61^(1/4)+L489</f>
        <v>0.0275457506460499</v>
      </c>
      <c r="M494" s="48" t="n">
        <f aca="false">L494*Assumptions!$D$61^(1/4)+M489</f>
        <v>0.0266793521709058</v>
      </c>
      <c r="N494" s="48" t="n">
        <f aca="false">M494*Assumptions!$D$61^(1/4)+N489</f>
        <v>0.0258402045892798</v>
      </c>
      <c r="P494" s="49" t="n">
        <f aca="false">F494</f>
        <v>0.0333680327857436</v>
      </c>
      <c r="Q494" s="49" t="n">
        <f aca="false">J494</f>
        <v>0.0293638688514543</v>
      </c>
      <c r="R494" s="49" t="n">
        <f aca="false">N494</f>
        <v>0.0258402045892798</v>
      </c>
      <c r="S494" s="50" t="n">
        <f aca="false">R494</f>
        <v>0.0258402045892798</v>
      </c>
    </row>
    <row r="495" customFormat="false" ht="15" hidden="false" customHeight="false" outlineLevel="0" collapsed="false">
      <c r="A495" s="9" t="s">
        <v>537</v>
      </c>
      <c r="B495" s="36" t="s">
        <v>527</v>
      </c>
      <c r="C495" s="49" t="n">
        <f aca="false">C492+C493+C494</f>
        <v>0</v>
      </c>
      <c r="D495" s="49" t="n">
        <f aca="false">D492+D493+D494</f>
        <v>0.298707301868384</v>
      </c>
      <c r="E495" s="49" t="n">
        <f aca="false">E492+E493+E494</f>
        <v>0.86182007846474</v>
      </c>
      <c r="F495" s="49" t="n">
        <f aca="false">F492+F493+F494</f>
        <v>1.49869433345055</v>
      </c>
      <c r="G495" s="49" t="n">
        <f aca="false">G492+G493+G494</f>
        <v>1.51433826892045</v>
      </c>
      <c r="H495" s="49" t="n">
        <f aca="false">H492+H493+H494</f>
        <v>1.45564080950932</v>
      </c>
      <c r="I495" s="49" t="n">
        <f aca="false">I492+I493+I494</f>
        <v>1.3992228357247</v>
      </c>
      <c r="J495" s="49" t="n">
        <f aca="false">J492+J493+J494</f>
        <v>1.3449956723206</v>
      </c>
      <c r="K495" s="49" t="n">
        <f aca="false">K492+K493+K494</f>
        <v>1.29287409908248</v>
      </c>
      <c r="L495" s="49" t="n">
        <f aca="false">L492+L493+L494</f>
        <v>1.24277621601496</v>
      </c>
      <c r="M495" s="49" t="n">
        <f aca="false">M492+M493+M494</f>
        <v>1.19462331379674</v>
      </c>
      <c r="N495" s="49" t="n">
        <f aca="false">N492+N493+N494</f>
        <v>1.14833974929675</v>
      </c>
      <c r="P495" s="49" t="n">
        <f aca="false">F495</f>
        <v>1.49869433345055</v>
      </c>
      <c r="Q495" s="49" t="n">
        <f aca="false">J495</f>
        <v>1.3449956723206</v>
      </c>
      <c r="R495" s="49" t="n">
        <f aca="false">N495</f>
        <v>1.14833974929675</v>
      </c>
      <c r="S495" s="50" t="n">
        <f aca="false">R495</f>
        <v>1.14833974929675</v>
      </c>
    </row>
    <row r="496" customFormat="false" ht="15" hidden="false" customHeight="false" outlineLevel="0" collapsed="false">
      <c r="A496" s="4" t="s">
        <v>538</v>
      </c>
      <c r="B496" s="36" t="s">
        <v>125</v>
      </c>
      <c r="C496" s="54" t="n">
        <f aca="false">0*Assumptions!$D$62^(1/4)+C487*$C$436</f>
        <v>0</v>
      </c>
      <c r="D496" s="54" t="n">
        <f aca="false">C496*Assumptions!$D$62^(1/4)+D487*$C$436</f>
        <v>1065.0527240258</v>
      </c>
      <c r="E496" s="54" t="n">
        <f aca="false">D496*Assumptions!$D$62^(1/4)+E487*$C$436</f>
        <v>3050.59264000703</v>
      </c>
      <c r="F496" s="54" t="n">
        <f aca="false">E496*Assumptions!$D$62^(1/4)+F487*$C$436</f>
        <v>5299.02078262424</v>
      </c>
      <c r="G496" s="54" t="n">
        <f aca="false">F496*Assumptions!$D$62^(1/4)+G487*$C$436</f>
        <v>5583.92571844278</v>
      </c>
      <c r="H496" s="54" t="n">
        <f aca="false">G496*Assumptions!$D$62^(1/4)+H487*$C$436</f>
        <v>5468.73134854223</v>
      </c>
      <c r="I496" s="54" t="n">
        <f aca="false">H496*Assumptions!$D$62^(1/4)+I487*$C$436</f>
        <v>5355.9133968689</v>
      </c>
      <c r="J496" s="54" t="n">
        <f aca="false">I496*Assumptions!$D$62^(1/4)+J487*$C$436</f>
        <v>5245.42283877346</v>
      </c>
      <c r="K496" s="54" t="n">
        <f aca="false">J496*Assumptions!$D$62^(1/4)+K487*$C$436</f>
        <v>5137.21166096736</v>
      </c>
      <c r="L496" s="54" t="n">
        <f aca="false">K496*Assumptions!$D$62^(1/4)+L487*$C$436</f>
        <v>5031.23284065885</v>
      </c>
      <c r="M496" s="54" t="n">
        <f aca="false">L496*Assumptions!$D$62^(1/4)+M487*$C$436</f>
        <v>4927.44032511939</v>
      </c>
      <c r="N496" s="54" t="n">
        <f aca="false">M496*Assumptions!$D$62^(1/4)+N487*$C$436</f>
        <v>4825.78901167158</v>
      </c>
      <c r="P496" s="55" t="n">
        <f aca="false">F496</f>
        <v>5299.02078262424</v>
      </c>
      <c r="Q496" s="55" t="n">
        <f aca="false">J496</f>
        <v>5245.42283877346</v>
      </c>
      <c r="R496" s="55" t="n">
        <f aca="false">N496</f>
        <v>4825.78901167158</v>
      </c>
      <c r="S496" s="56" t="n">
        <f aca="false">R496</f>
        <v>4825.78901167158</v>
      </c>
    </row>
    <row r="497" customFormat="false" ht="15" hidden="false" customHeight="false" outlineLevel="0" collapsed="false">
      <c r="A497" s="4" t="s">
        <v>539</v>
      </c>
      <c r="B497" s="36" t="s">
        <v>125</v>
      </c>
      <c r="C497" s="54" t="n">
        <f aca="false">0*Assumptions!$D$63^(1/4)+C488*$C$437</f>
        <v>0</v>
      </c>
      <c r="D497" s="54" t="n">
        <f aca="false">C497*Assumptions!$D$63^(1/4)+D488*$C$437</f>
        <v>730.353518545895</v>
      </c>
      <c r="E497" s="54" t="n">
        <f aca="false">D497*Assumptions!$D$63^(1/4)+E488*$C$437</f>
        <v>2103.31305830242</v>
      </c>
      <c r="F497" s="54" t="n">
        <f aca="false">E497*Assumptions!$D$63^(1/4)+F488*$C$437</f>
        <v>3677.7184704793</v>
      </c>
      <c r="G497" s="54" t="n">
        <f aca="false">F497*Assumptions!$D$63^(1/4)+G488*$C$437</f>
        <v>3659.19033222145</v>
      </c>
      <c r="H497" s="54" t="n">
        <f aca="false">G497*Assumptions!$D$63^(1/4)+H488*$C$437</f>
        <v>3640.7555376793</v>
      </c>
      <c r="I497" s="54" t="n">
        <f aca="false">H497*Assumptions!$D$63^(1/4)+I488*$C$437</f>
        <v>3622.41361659246</v>
      </c>
      <c r="J497" s="54" t="n">
        <f aca="false">I497*Assumptions!$D$63^(1/4)+J488*$C$437</f>
        <v>3604.16410106971</v>
      </c>
      <c r="K497" s="54" t="n">
        <f aca="false">J497*Assumptions!$D$63^(1/4)+K488*$C$437</f>
        <v>3586.00652557702</v>
      </c>
      <c r="L497" s="54" t="n">
        <f aca="false">K497*Assumptions!$D$63^(1/4)+L488*$C$437</f>
        <v>3567.94042692571</v>
      </c>
      <c r="M497" s="54" t="n">
        <f aca="false">L497*Assumptions!$D$63^(1/4)+M488*$C$437</f>
        <v>3549.96534426061</v>
      </c>
      <c r="N497" s="54" t="n">
        <f aca="false">M497*Assumptions!$D$63^(1/4)+N488*$C$437</f>
        <v>3532.08081904832</v>
      </c>
      <c r="P497" s="55" t="n">
        <f aca="false">F497</f>
        <v>3677.7184704793</v>
      </c>
      <c r="Q497" s="55" t="n">
        <f aca="false">J497</f>
        <v>3604.16410106971</v>
      </c>
      <c r="R497" s="55" t="n">
        <f aca="false">N497</f>
        <v>3532.08081904832</v>
      </c>
      <c r="S497" s="56" t="n">
        <f aca="false">R497</f>
        <v>3532.08081904832</v>
      </c>
    </row>
    <row r="498" customFormat="false" ht="15" hidden="false" customHeight="false" outlineLevel="0" collapsed="false">
      <c r="A498" s="4" t="s">
        <v>540</v>
      </c>
      <c r="B498" s="36" t="s">
        <v>125</v>
      </c>
      <c r="C498" s="54" t="n">
        <f aca="false">0*Assumptions!$D$64^(1/4)+C489*$C$438</f>
        <v>0</v>
      </c>
      <c r="D498" s="54" t="n">
        <f aca="false">C498*Assumptions!$D$64^(1/4)+D489*$C$438</f>
        <v>0</v>
      </c>
      <c r="E498" s="54" t="n">
        <f aca="false">D498*Assumptions!$D$64^(1/4)+E489*$C$438</f>
        <v>541.824470057977</v>
      </c>
      <c r="F498" s="54" t="n">
        <f aca="false">E498*Assumptions!$D$64^(1/4)+F489*$C$438</f>
        <v>1569.75560015292</v>
      </c>
      <c r="G498" s="54" t="n">
        <f aca="false">F498*Assumptions!$D$64^(1/4)+G489*$C$438</f>
        <v>1589.02000887429</v>
      </c>
      <c r="H498" s="54" t="n">
        <f aca="false">G498*Assumptions!$D$64^(1/4)+H489*$C$438</f>
        <v>1608.52083493563</v>
      </c>
      <c r="I498" s="54" t="n">
        <f aca="false">H498*Assumptions!$D$64^(1/4)+I489*$C$438</f>
        <v>1628.26097970595</v>
      </c>
      <c r="J498" s="54" t="n">
        <f aca="false">I498*Assumptions!$D$64^(1/4)+J489*$C$438</f>
        <v>1648.24338016056</v>
      </c>
      <c r="K498" s="54" t="n">
        <f aca="false">J498*Assumptions!$D$64^(1/4)+K489*$C$438</f>
        <v>1668.47100931801</v>
      </c>
      <c r="L498" s="54" t="n">
        <f aca="false">K498*Assumptions!$D$64^(1/4)+L489*$C$438</f>
        <v>1688.94687668241</v>
      </c>
      <c r="M498" s="54" t="n">
        <f aca="false">L498*Assumptions!$D$64^(1/4)+M489*$C$438</f>
        <v>1709.67402869125</v>
      </c>
      <c r="N498" s="54" t="n">
        <f aca="false">M498*Assumptions!$D$64^(1/4)+N489*$C$438</f>
        <v>1730.65554916859</v>
      </c>
      <c r="P498" s="55" t="n">
        <f aca="false">F498</f>
        <v>1569.75560015292</v>
      </c>
      <c r="Q498" s="55" t="n">
        <f aca="false">J498</f>
        <v>1648.24338016056</v>
      </c>
      <c r="R498" s="55" t="n">
        <f aca="false">N498</f>
        <v>1730.65554916859</v>
      </c>
      <c r="S498" s="56" t="n">
        <f aca="false">R498</f>
        <v>1730.65554916859</v>
      </c>
    </row>
    <row r="499" customFormat="false" ht="15" hidden="false" customHeight="false" outlineLevel="0" collapsed="false">
      <c r="A499" s="9" t="s">
        <v>541</v>
      </c>
      <c r="B499" s="36" t="s">
        <v>125</v>
      </c>
      <c r="C499" s="55" t="n">
        <f aca="false">C496+C497+C498</f>
        <v>0</v>
      </c>
      <c r="D499" s="55" t="n">
        <f aca="false">D496+D497+D498</f>
        <v>1795.40624257169</v>
      </c>
      <c r="E499" s="55" t="n">
        <f aca="false">E496+E497+E498</f>
        <v>5695.73016836743</v>
      </c>
      <c r="F499" s="55" t="n">
        <f aca="false">F496+F497+F498</f>
        <v>10546.4948532564</v>
      </c>
      <c r="G499" s="55" t="n">
        <f aca="false">G496+G497+G498</f>
        <v>10832.1360595385</v>
      </c>
      <c r="H499" s="55" t="n">
        <f aca="false">H496+H497+H498</f>
        <v>10718.0077211572</v>
      </c>
      <c r="I499" s="55" t="n">
        <f aca="false">I496+I497+I498</f>
        <v>10606.5879931673</v>
      </c>
      <c r="J499" s="55" t="n">
        <f aca="false">J496+J497+J498</f>
        <v>10497.8303200037</v>
      </c>
      <c r="K499" s="55" t="n">
        <f aca="false">K496+K497+K498</f>
        <v>10391.6891958624</v>
      </c>
      <c r="L499" s="55" t="n">
        <f aca="false">L496+L497+L498</f>
        <v>10288.120144267</v>
      </c>
      <c r="M499" s="55" t="n">
        <f aca="false">M496+M497+M498</f>
        <v>10187.0796980713</v>
      </c>
      <c r="N499" s="55" t="n">
        <f aca="false">N496+N497+N498</f>
        <v>10088.5253798885</v>
      </c>
      <c r="P499" s="55" t="n">
        <f aca="false">F499</f>
        <v>10546.4948532564</v>
      </c>
      <c r="Q499" s="55" t="n">
        <f aca="false">J499</f>
        <v>10497.8303200037</v>
      </c>
      <c r="R499" s="55" t="n">
        <f aca="false">N499</f>
        <v>10088.5253798885</v>
      </c>
      <c r="S499" s="56" t="n">
        <f aca="false">R499</f>
        <v>10088.5253798885</v>
      </c>
    </row>
    <row r="500" customFormat="false" ht="15" hidden="false" customHeight="false" outlineLevel="0" collapsed="false">
      <c r="A500" s="4" t="s">
        <v>542</v>
      </c>
      <c r="B500" s="36" t="s">
        <v>125</v>
      </c>
      <c r="C500" s="54" t="n">
        <f aca="false">C487*$C$436+C488*$C$437+C489*$C$438</f>
        <v>0</v>
      </c>
      <c r="D500" s="54" t="n">
        <f aca="false">D487*$C$436+D488*$C$437+D489*$C$438</f>
        <v>1795.40624257169</v>
      </c>
      <c r="E500" s="54" t="n">
        <f aca="false">E487*$C$436+E488*$C$437+E489*$C$438</f>
        <v>3925.97505849081</v>
      </c>
      <c r="F500" s="54" t="n">
        <f aca="false">F487*$C$436+F488*$C$437+F489*$C$438</f>
        <v>4917.64428442507</v>
      </c>
      <c r="G500" s="54" t="n">
        <f aca="false">G487*$C$436+G488*$C$437+G489*$C$438</f>
        <v>394.22181983944</v>
      </c>
      <c r="H500" s="54" t="n">
        <f aca="false">H487*$C$436+H488*$C$437+H489*$C$438</f>
        <v>0</v>
      </c>
      <c r="I500" s="54" t="n">
        <f aca="false">I487*$C$436+I488*$C$437+I489*$C$438</f>
        <v>0</v>
      </c>
      <c r="J500" s="54" t="n">
        <f aca="false">J487*$C$436+J488*$C$437+J489*$C$438</f>
        <v>0</v>
      </c>
      <c r="K500" s="54" t="n">
        <f aca="false">K487*$C$436+K488*$C$437+K489*$C$438</f>
        <v>0</v>
      </c>
      <c r="L500" s="54" t="n">
        <f aca="false">L487*$C$436+L488*$C$437+L489*$C$438</f>
        <v>0</v>
      </c>
      <c r="M500" s="54" t="n">
        <f aca="false">M487*$C$436+M488*$C$437+M489*$C$438</f>
        <v>0</v>
      </c>
      <c r="N500" s="54" t="n">
        <f aca="false">N487*$C$436+N488*$C$437+N489*$C$438</f>
        <v>0</v>
      </c>
      <c r="P500" s="55" t="n">
        <f aca="false">SUM(C500:F500)</f>
        <v>10639.0255854876</v>
      </c>
      <c r="Q500" s="55" t="n">
        <f aca="false">SUM(G500:J500)</f>
        <v>394.22181983944</v>
      </c>
      <c r="R500" s="55" t="n">
        <f aca="false">SUM(K500:N500)</f>
        <v>0</v>
      </c>
      <c r="S500" s="56" t="n">
        <f aca="false">SUM(P500:R500)</f>
        <v>11033.247405327</v>
      </c>
    </row>
    <row r="501" customFormat="false" ht="15" hidden="false" customHeight="false" outlineLevel="0" collapsed="false">
      <c r="A501" s="9" t="s">
        <v>543</v>
      </c>
      <c r="B501" s="36" t="s">
        <v>125</v>
      </c>
      <c r="C501" s="55" t="n">
        <f aca="false">(0+C499)/8</f>
        <v>0</v>
      </c>
      <c r="D501" s="55" t="n">
        <f aca="false">(C499+D499)/8</f>
        <v>224.425780321461</v>
      </c>
      <c r="E501" s="55" t="n">
        <f aca="false">(D499+E499)/8</f>
        <v>936.39205136739</v>
      </c>
      <c r="F501" s="55" t="n">
        <f aca="false">(E499+F499)/8</f>
        <v>2030.27812770298</v>
      </c>
      <c r="G501" s="55" t="n">
        <f aca="false">(F499+G499)/8</f>
        <v>2672.32886409937</v>
      </c>
      <c r="H501" s="55" t="n">
        <f aca="false">(G499+H499)/8</f>
        <v>2693.76797258696</v>
      </c>
      <c r="I501" s="55" t="n">
        <f aca="false">(H499+I499)/8</f>
        <v>2665.57446429056</v>
      </c>
      <c r="J501" s="55" t="n">
        <f aca="false">(I499+J499)/8</f>
        <v>2638.05228914638</v>
      </c>
      <c r="K501" s="55" t="n">
        <f aca="false">(J499+K499)/8</f>
        <v>2611.18993948326</v>
      </c>
      <c r="L501" s="55" t="n">
        <f aca="false">(K499+L499)/8</f>
        <v>2584.97616751617</v>
      </c>
      <c r="M501" s="55" t="n">
        <f aca="false">(L499+M499)/8</f>
        <v>2559.39998029228</v>
      </c>
      <c r="N501" s="55" t="n">
        <f aca="false">(M499+N499)/8</f>
        <v>2534.45063474497</v>
      </c>
      <c r="P501" s="55" t="n">
        <f aca="false">SUM(C501:F501)</f>
        <v>3191.09595939184</v>
      </c>
      <c r="Q501" s="55" t="n">
        <f aca="false">SUM(G501:J501)</f>
        <v>10669.7235901233</v>
      </c>
      <c r="R501" s="55" t="n">
        <f aca="false">SUM(K501:N501)</f>
        <v>10290.0167220367</v>
      </c>
      <c r="S501" s="56" t="n">
        <f aca="false">SUM(P501:R501)</f>
        <v>24150.8362715518</v>
      </c>
    </row>
    <row r="502" customFormat="false" ht="15" hidden="false" customHeight="false" outlineLevel="0" collapsed="false">
      <c r="A502" s="4" t="s">
        <v>544</v>
      </c>
      <c r="B502" s="36" t="s">
        <v>125</v>
      </c>
      <c r="C502" s="54" t="n">
        <f aca="false">C501*Assumptions!$D$76</f>
        <v>0</v>
      </c>
      <c r="D502" s="54" t="n">
        <f aca="false">D501*Assumptions!$D$76</f>
        <v>123.434179176804</v>
      </c>
      <c r="E502" s="54" t="n">
        <f aca="false">E501*Assumptions!$D$76</f>
        <v>515.015628252064</v>
      </c>
      <c r="F502" s="54" t="n">
        <f aca="false">F501*Assumptions!$D$76</f>
        <v>1116.65297023664</v>
      </c>
      <c r="G502" s="54" t="n">
        <f aca="false">G501*Assumptions!$D$76</f>
        <v>1469.78087525465</v>
      </c>
      <c r="H502" s="54" t="n">
        <f aca="false">H501*Assumptions!$D$76</f>
        <v>1481.57238492283</v>
      </c>
      <c r="I502" s="54" t="n">
        <f aca="false">I501*Assumptions!$D$76</f>
        <v>1466.06595535981</v>
      </c>
      <c r="J502" s="54" t="n">
        <f aca="false">J501*Assumptions!$D$76</f>
        <v>1450.92875903051</v>
      </c>
      <c r="K502" s="54" t="n">
        <f aca="false">K501*Assumptions!$D$76</f>
        <v>1436.1544667158</v>
      </c>
      <c r="L502" s="54" t="n">
        <f aca="false">L501*Assumptions!$D$76</f>
        <v>1421.73689213389</v>
      </c>
      <c r="M502" s="54" t="n">
        <f aca="false">M501*Assumptions!$D$76</f>
        <v>1407.66998916075</v>
      </c>
      <c r="N502" s="54" t="n">
        <f aca="false">N501*Assumptions!$D$76</f>
        <v>1393.94784910973</v>
      </c>
      <c r="P502" s="55" t="n">
        <f aca="false">SUM(C502:F502)</f>
        <v>1755.10277766551</v>
      </c>
      <c r="Q502" s="55" t="n">
        <f aca="false">SUM(G502:J502)</f>
        <v>5868.3479745678</v>
      </c>
      <c r="R502" s="55" t="n">
        <f aca="false">SUM(K502:N502)</f>
        <v>5659.50919712018</v>
      </c>
      <c r="S502" s="56" t="n">
        <f aca="false">SUM(P502:R502)</f>
        <v>13282.9599493535</v>
      </c>
    </row>
    <row r="503" customFormat="false" ht="15" hidden="false" customHeight="false" outlineLevel="0" collapsed="false">
      <c r="A503" s="35" t="s">
        <v>547</v>
      </c>
      <c r="B503" s="35" t="s">
        <v>444</v>
      </c>
      <c r="C503" s="6" t="s">
        <v>354</v>
      </c>
      <c r="D503" s="6" t="s">
        <v>355</v>
      </c>
      <c r="E503" s="6" t="s">
        <v>356</v>
      </c>
      <c r="F503" s="6" t="s">
        <v>357</v>
      </c>
      <c r="G503" s="6" t="s">
        <v>358</v>
      </c>
      <c r="H503" s="6" t="s">
        <v>359</v>
      </c>
      <c r="I503" s="6" t="s">
        <v>360</v>
      </c>
      <c r="J503" s="6" t="s">
        <v>361</v>
      </c>
      <c r="K503" s="6" t="s">
        <v>362</v>
      </c>
      <c r="L503" s="6" t="s">
        <v>363</v>
      </c>
      <c r="M503" s="6" t="s">
        <v>364</v>
      </c>
      <c r="N503" s="6" t="s">
        <v>365</v>
      </c>
      <c r="P503" s="6" t="s">
        <v>445</v>
      </c>
      <c r="Q503" s="6" t="s">
        <v>446</v>
      </c>
      <c r="R503" s="6" t="s">
        <v>447</v>
      </c>
      <c r="S503" s="6" t="s">
        <v>448</v>
      </c>
    </row>
    <row r="504" customFormat="false" ht="15" hidden="false" customHeight="false" outlineLevel="0" collapsed="false">
      <c r="A504" s="4" t="s">
        <v>548</v>
      </c>
      <c r="B504" s="36" t="s">
        <v>321</v>
      </c>
      <c r="C504" s="48" t="n">
        <f aca="false">Assumptions!$D$97*C446</f>
        <v>1</v>
      </c>
      <c r="D504" s="48" t="n">
        <f aca="false">Assumptions!$D$97*D446</f>
        <v>1</v>
      </c>
      <c r="E504" s="48" t="n">
        <f aca="false">Assumptions!$D$97*E446</f>
        <v>1</v>
      </c>
      <c r="F504" s="48" t="n">
        <f aca="false">Assumptions!$D$97*F446</f>
        <v>1</v>
      </c>
      <c r="G504" s="48" t="n">
        <f aca="false">Assumptions!$D$97*G446</f>
        <v>0</v>
      </c>
      <c r="H504" s="48" t="n">
        <f aca="false">Assumptions!$D$97*H446</f>
        <v>0</v>
      </c>
      <c r="I504" s="48" t="n">
        <f aca="false">Assumptions!$D$97*I446</f>
        <v>0</v>
      </c>
      <c r="J504" s="48" t="n">
        <f aca="false">Assumptions!$D$97*J446</f>
        <v>0</v>
      </c>
      <c r="K504" s="48" t="n">
        <f aca="false">Assumptions!$D$97*K446</f>
        <v>0</v>
      </c>
      <c r="L504" s="48" t="n">
        <f aca="false">Assumptions!$D$97*L446</f>
        <v>0</v>
      </c>
      <c r="M504" s="48" t="n">
        <f aca="false">Assumptions!$D$97*M446</f>
        <v>0</v>
      </c>
      <c r="N504" s="48" t="n">
        <f aca="false">Assumptions!$D$97*N446</f>
        <v>0</v>
      </c>
      <c r="P504" s="49" t="n">
        <f aca="false">AVERAGE(C504:F504)</f>
        <v>1</v>
      </c>
      <c r="Q504" s="49" t="n">
        <f aca="false">AVERAGE(G504:J504)</f>
        <v>0</v>
      </c>
      <c r="R504" s="49" t="n">
        <f aca="false">AVERAGE(K504:N504)</f>
        <v>0</v>
      </c>
      <c r="S504" s="50"/>
    </row>
    <row r="505" customFormat="false" ht="15" hidden="false" customHeight="false" outlineLevel="0" collapsed="false">
      <c r="A505" s="4" t="s">
        <v>549</v>
      </c>
      <c r="B505" s="36" t="s">
        <v>321</v>
      </c>
      <c r="C505" s="48" t="n">
        <f aca="false">C459*C446</f>
        <v>0</v>
      </c>
      <c r="D505" s="48" t="n">
        <f aca="false">D459*D446</f>
        <v>0</v>
      </c>
      <c r="E505" s="48" t="n">
        <f aca="false">E459*E446</f>
        <v>0</v>
      </c>
      <c r="F505" s="48" t="n">
        <f aca="false">F459*F446</f>
        <v>0</v>
      </c>
      <c r="G505" s="48" t="n">
        <f aca="false">G459*G446</f>
        <v>0</v>
      </c>
      <c r="H505" s="48" t="n">
        <f aca="false">H459*H446</f>
        <v>0</v>
      </c>
      <c r="I505" s="48" t="n">
        <f aca="false">I459*I446</f>
        <v>0</v>
      </c>
      <c r="J505" s="48" t="n">
        <f aca="false">J459*J446</f>
        <v>0</v>
      </c>
      <c r="K505" s="48" t="n">
        <f aca="false">K459*K446</f>
        <v>0</v>
      </c>
      <c r="L505" s="48" t="n">
        <f aca="false">L459*L446</f>
        <v>0</v>
      </c>
      <c r="M505" s="48" t="n">
        <f aca="false">M459*M446</f>
        <v>0</v>
      </c>
      <c r="N505" s="48" t="n">
        <f aca="false">N459*N446</f>
        <v>0</v>
      </c>
      <c r="P505" s="49" t="n">
        <f aca="false">AVERAGE(C505:F505)</f>
        <v>0</v>
      </c>
      <c r="Q505" s="49" t="n">
        <f aca="false">AVERAGE(G505:J505)</f>
        <v>0</v>
      </c>
      <c r="R505" s="49" t="n">
        <f aca="false">AVERAGE(K505:N505)</f>
        <v>0</v>
      </c>
      <c r="S505" s="50"/>
    </row>
    <row r="506" customFormat="false" ht="15" hidden="false" customHeight="false" outlineLevel="0" collapsed="false">
      <c r="A506" s="4" t="s">
        <v>550</v>
      </c>
      <c r="B506" s="36" t="s">
        <v>321</v>
      </c>
      <c r="C506" s="48" t="n">
        <f aca="false">IF(C445&lt;=4,Assumptions!$D$98,Assumptions!$D$99)*C446</f>
        <v>0</v>
      </c>
      <c r="D506" s="48" t="n">
        <f aca="false">IF(D445&lt;=4,Assumptions!$D$98,Assumptions!$D$99)*D446</f>
        <v>0</v>
      </c>
      <c r="E506" s="48" t="n">
        <f aca="false">IF(E445&lt;=4,Assumptions!$D$98,Assumptions!$D$99)*E446</f>
        <v>0</v>
      </c>
      <c r="F506" s="48" t="n">
        <f aca="false">IF(F445&lt;=4,Assumptions!$D$98,Assumptions!$D$99)*F446</f>
        <v>0</v>
      </c>
      <c r="G506" s="48" t="n">
        <f aca="false">IF(G445&lt;=4,Assumptions!$D$98,Assumptions!$D$99)*G446</f>
        <v>0</v>
      </c>
      <c r="H506" s="48" t="n">
        <f aca="false">IF(H445&lt;=4,Assumptions!$D$98,Assumptions!$D$99)*H446</f>
        <v>0</v>
      </c>
      <c r="I506" s="48" t="n">
        <f aca="false">IF(I445&lt;=4,Assumptions!$D$98,Assumptions!$D$99)*I446</f>
        <v>0</v>
      </c>
      <c r="J506" s="48" t="n">
        <f aca="false">IF(J445&lt;=4,Assumptions!$D$98,Assumptions!$D$99)*J446</f>
        <v>0</v>
      </c>
      <c r="K506" s="48" t="n">
        <f aca="false">IF(K445&lt;=4,Assumptions!$D$98,Assumptions!$D$99)*K446</f>
        <v>0</v>
      </c>
      <c r="L506" s="48" t="n">
        <f aca="false">IF(L445&lt;=4,Assumptions!$D$98,Assumptions!$D$99)*L446</f>
        <v>0</v>
      </c>
      <c r="M506" s="48" t="n">
        <f aca="false">IF(M445&lt;=4,Assumptions!$D$98,Assumptions!$D$99)*M446</f>
        <v>0</v>
      </c>
      <c r="N506" s="48" t="n">
        <f aca="false">IF(N445&lt;=4,Assumptions!$D$98,Assumptions!$D$99)*N446</f>
        <v>0</v>
      </c>
      <c r="P506" s="49" t="n">
        <f aca="false">AVERAGE(C506:F506)</f>
        <v>0</v>
      </c>
      <c r="Q506" s="49" t="n">
        <f aca="false">AVERAGE(G506:J506)</f>
        <v>0</v>
      </c>
      <c r="R506" s="49" t="n">
        <f aca="false">AVERAGE(K506:N506)</f>
        <v>0</v>
      </c>
      <c r="S506" s="50"/>
    </row>
    <row r="507" customFormat="false" ht="15" hidden="false" customHeight="false" outlineLevel="0" collapsed="false">
      <c r="A507" s="4" t="s">
        <v>551</v>
      </c>
      <c r="B507" s="36" t="s">
        <v>321</v>
      </c>
      <c r="C507" s="48" t="n">
        <f aca="false">IF(C445&lt;=4,Assumptions!$D$100,Assumptions!$D$101)*C446</f>
        <v>1</v>
      </c>
      <c r="D507" s="48" t="n">
        <f aca="false">IF(D445&lt;=4,Assumptions!$D$100,Assumptions!$D$101)*D446</f>
        <v>1</v>
      </c>
      <c r="E507" s="48" t="n">
        <f aca="false">IF(E445&lt;=4,Assumptions!$D$100,Assumptions!$D$101)*E446</f>
        <v>1</v>
      </c>
      <c r="F507" s="48" t="n">
        <f aca="false">IF(F445&lt;=4,Assumptions!$D$100,Assumptions!$D$101)*F446</f>
        <v>1</v>
      </c>
      <c r="G507" s="48" t="n">
        <f aca="false">IF(G445&lt;=4,Assumptions!$D$100,Assumptions!$D$101)*G446</f>
        <v>0</v>
      </c>
      <c r="H507" s="48" t="n">
        <f aca="false">IF(H445&lt;=4,Assumptions!$D$100,Assumptions!$D$101)*H446</f>
        <v>0</v>
      </c>
      <c r="I507" s="48" t="n">
        <f aca="false">IF(I445&lt;=4,Assumptions!$D$100,Assumptions!$D$101)*I446</f>
        <v>0</v>
      </c>
      <c r="J507" s="48" t="n">
        <f aca="false">IF(J445&lt;=4,Assumptions!$D$100,Assumptions!$D$101)*J446</f>
        <v>0</v>
      </c>
      <c r="K507" s="48" t="n">
        <f aca="false">IF(K445&lt;=4,Assumptions!$D$100,Assumptions!$D$101)*K446</f>
        <v>0</v>
      </c>
      <c r="L507" s="48" t="n">
        <f aca="false">IF(L445&lt;=4,Assumptions!$D$100,Assumptions!$D$101)*L446</f>
        <v>0</v>
      </c>
      <c r="M507" s="48" t="n">
        <f aca="false">IF(M445&lt;=4,Assumptions!$D$100,Assumptions!$D$101)*M446</f>
        <v>0</v>
      </c>
      <c r="N507" s="48" t="n">
        <f aca="false">IF(N445&lt;=4,Assumptions!$D$100,Assumptions!$D$101)*N446</f>
        <v>0</v>
      </c>
      <c r="P507" s="49" t="n">
        <f aca="false">AVERAGE(C507:F507)</f>
        <v>1</v>
      </c>
      <c r="Q507" s="49" t="n">
        <f aca="false">AVERAGE(G507:J507)</f>
        <v>0</v>
      </c>
      <c r="R507" s="49" t="n">
        <f aca="false">AVERAGE(K507:N507)</f>
        <v>0</v>
      </c>
      <c r="S507" s="50"/>
    </row>
    <row r="508" customFormat="false" ht="15" hidden="false" customHeight="false" outlineLevel="0" collapsed="false">
      <c r="A508" s="4" t="s">
        <v>552</v>
      </c>
      <c r="B508" s="36" t="s">
        <v>321</v>
      </c>
      <c r="C508" s="48" t="n">
        <f aca="false">Assumptions!$D$102*C446</f>
        <v>0.25</v>
      </c>
      <c r="D508" s="48" t="n">
        <f aca="false">Assumptions!$D$102*D446</f>
        <v>0.25</v>
      </c>
      <c r="E508" s="48" t="n">
        <f aca="false">Assumptions!$D$102*E446</f>
        <v>0.25</v>
      </c>
      <c r="F508" s="48" t="n">
        <f aca="false">Assumptions!$D$102*F446</f>
        <v>0.25</v>
      </c>
      <c r="G508" s="48" t="n">
        <f aca="false">Assumptions!$D$102*G446</f>
        <v>0</v>
      </c>
      <c r="H508" s="48" t="n">
        <f aca="false">Assumptions!$D$102*H446</f>
        <v>0</v>
      </c>
      <c r="I508" s="48" t="n">
        <f aca="false">Assumptions!$D$102*I446</f>
        <v>0</v>
      </c>
      <c r="J508" s="48" t="n">
        <f aca="false">Assumptions!$D$102*J446</f>
        <v>0</v>
      </c>
      <c r="K508" s="48" t="n">
        <f aca="false">Assumptions!$D$102*K446</f>
        <v>0</v>
      </c>
      <c r="L508" s="48" t="n">
        <f aca="false">Assumptions!$D$102*L446</f>
        <v>0</v>
      </c>
      <c r="M508" s="48" t="n">
        <f aca="false">Assumptions!$D$102*M446</f>
        <v>0</v>
      </c>
      <c r="N508" s="48" t="n">
        <f aca="false">Assumptions!$D$102*N446</f>
        <v>0</v>
      </c>
      <c r="P508" s="49" t="n">
        <f aca="false">AVERAGE(C508:F508)</f>
        <v>0.25</v>
      </c>
      <c r="Q508" s="49" t="n">
        <f aca="false">AVERAGE(G508:J508)</f>
        <v>0</v>
      </c>
      <c r="R508" s="49" t="n">
        <f aca="false">AVERAGE(K508:N508)</f>
        <v>0</v>
      </c>
      <c r="S508" s="50"/>
    </row>
    <row r="509" customFormat="false" ht="15" hidden="false" customHeight="false" outlineLevel="0" collapsed="false">
      <c r="A509" s="4" t="s">
        <v>553</v>
      </c>
      <c r="B509" s="36" t="s">
        <v>321</v>
      </c>
      <c r="C509" s="48" t="n">
        <f aca="false">(C493+C494)/Assumptions!$D$74+C492/Assumptions!$D$75</f>
        <v>0</v>
      </c>
      <c r="D509" s="48" t="n">
        <f aca="false">(D493+D494)/Assumptions!$D$74+D492/Assumptions!$D$75</f>
        <v>0.00328866401073394</v>
      </c>
      <c r="E509" s="48" t="n">
        <f aca="false">(E493+E494)/Assumptions!$D$74+E492/Assumptions!$D$75</f>
        <v>0.00965586548771553</v>
      </c>
      <c r="F509" s="48" t="n">
        <f aca="false">(F493+F494)/Assumptions!$D$74+F492/Assumptions!$D$75</f>
        <v>0.0169818719447031</v>
      </c>
      <c r="G509" s="48" t="n">
        <f aca="false">(G493+G494)/Assumptions!$D$74+G492/Assumptions!$D$75</f>
        <v>0.0166417738884999</v>
      </c>
      <c r="H509" s="48" t="n">
        <f aca="false">(H493+H494)/Assumptions!$D$74+H492/Assumptions!$D$75</f>
        <v>0.0160190883417588</v>
      </c>
      <c r="I509" s="48" t="n">
        <f aca="false">(I493+I494)/Assumptions!$D$74+I492/Assumptions!$D$75</f>
        <v>0.0154197558302114</v>
      </c>
      <c r="J509" s="48" t="n">
        <f aca="false">(J493+J494)/Assumptions!$D$74+J492/Assumptions!$D$75</f>
        <v>0.0148428986284271</v>
      </c>
      <c r="K509" s="48" t="n">
        <f aca="false">(K493+K494)/Assumptions!$D$74+K492/Assumptions!$D$75</f>
        <v>0.0142876720677273</v>
      </c>
      <c r="L509" s="48" t="n">
        <f aca="false">(L493+L494)/Assumptions!$D$74+L492/Assumptions!$D$75</f>
        <v>0.013753263288796</v>
      </c>
      <c r="M509" s="48" t="n">
        <f aca="false">(M493+M494)/Assumptions!$D$74+M492/Assumptions!$D$75</f>
        <v>0.0132388900414483</v>
      </c>
      <c r="N509" s="48" t="n">
        <f aca="false">(N493+N494)/Assumptions!$D$74+N492/Assumptions!$D$75</f>
        <v>0.0127437995297691</v>
      </c>
      <c r="P509" s="49" t="n">
        <f aca="false">AVERAGE(C509:F509)</f>
        <v>0.00748160036078813</v>
      </c>
      <c r="Q509" s="49" t="n">
        <f aca="false">AVERAGE(G509:J509)</f>
        <v>0.0157308791722243</v>
      </c>
      <c r="R509" s="49" t="n">
        <f aca="false">AVERAGE(K509:N509)</f>
        <v>0.0135059062319352</v>
      </c>
      <c r="S509" s="50"/>
    </row>
    <row r="510" customFormat="false" ht="15" hidden="false" customHeight="false" outlineLevel="0" collapsed="false">
      <c r="A510" s="4" t="s">
        <v>554</v>
      </c>
      <c r="B510" s="36" t="s">
        <v>125</v>
      </c>
      <c r="C510" s="54" t="n">
        <f aca="false">(C504+C506)*Assumptions!$D$70/Assumptions!$D$69/4</f>
        <v>66753.5714285714</v>
      </c>
      <c r="D510" s="54" t="n">
        <f aca="false">(D504+D506)*Assumptions!$D$70/Assumptions!$D$69/4</f>
        <v>66753.5714285714</v>
      </c>
      <c r="E510" s="54" t="n">
        <f aca="false">(E504+E506)*Assumptions!$D$70/Assumptions!$D$69/4</f>
        <v>66753.5714285714</v>
      </c>
      <c r="F510" s="54" t="n">
        <f aca="false">(F504+F506)*Assumptions!$D$70/Assumptions!$D$69/4</f>
        <v>66753.5714285714</v>
      </c>
      <c r="G510" s="54" t="n">
        <f aca="false">(G504+G506)*Assumptions!$D$70/Assumptions!$D$69/4</f>
        <v>0</v>
      </c>
      <c r="H510" s="54" t="n">
        <f aca="false">(H504+H506)*Assumptions!$D$70/Assumptions!$D$69/4</f>
        <v>0</v>
      </c>
      <c r="I510" s="54" t="n">
        <f aca="false">(I504+I506)*Assumptions!$D$70/Assumptions!$D$69/4</f>
        <v>0</v>
      </c>
      <c r="J510" s="54" t="n">
        <f aca="false">(J504+J506)*Assumptions!$D$70/Assumptions!$D$69/4</f>
        <v>0</v>
      </c>
      <c r="K510" s="54" t="n">
        <f aca="false">(K504+K506)*Assumptions!$D$70/Assumptions!$D$69/4</f>
        <v>0</v>
      </c>
      <c r="L510" s="54" t="n">
        <f aca="false">(L504+L506)*Assumptions!$D$70/Assumptions!$D$69/4</f>
        <v>0</v>
      </c>
      <c r="M510" s="54" t="n">
        <f aca="false">(M504+M506)*Assumptions!$D$70/Assumptions!$D$69/4</f>
        <v>0</v>
      </c>
      <c r="N510" s="54" t="n">
        <f aca="false">(N504+N506)*Assumptions!$D$70/Assumptions!$D$69/4</f>
        <v>0</v>
      </c>
      <c r="P510" s="55" t="n">
        <f aca="false">SUM(C510:F510)</f>
        <v>267014.285714286</v>
      </c>
      <c r="Q510" s="55" t="n">
        <f aca="false">SUM(G510:J510)</f>
        <v>0</v>
      </c>
      <c r="R510" s="55" t="n">
        <f aca="false">SUM(K510:N510)</f>
        <v>0</v>
      </c>
      <c r="S510" s="56" t="n">
        <f aca="false">SUM(P510:R510)</f>
        <v>267014.285714286</v>
      </c>
    </row>
    <row r="511" customFormat="false" ht="15" hidden="false" customHeight="false" outlineLevel="0" collapsed="false">
      <c r="A511" s="4" t="s">
        <v>555</v>
      </c>
      <c r="B511" s="36" t="s">
        <v>125</v>
      </c>
      <c r="C511" s="54" t="n">
        <f aca="false">C505*$C$440/4</f>
        <v>0</v>
      </c>
      <c r="D511" s="54" t="n">
        <f aca="false">D505*$C$440/4</f>
        <v>0</v>
      </c>
      <c r="E511" s="54" t="n">
        <f aca="false">E505*$C$440/4</f>
        <v>0</v>
      </c>
      <c r="F511" s="54" t="n">
        <f aca="false">F505*$C$440/4</f>
        <v>0</v>
      </c>
      <c r="G511" s="54" t="n">
        <f aca="false">G505*$C$440/4</f>
        <v>0</v>
      </c>
      <c r="H511" s="54" t="n">
        <f aca="false">H505*$C$440/4</f>
        <v>0</v>
      </c>
      <c r="I511" s="54" t="n">
        <f aca="false">I505*$C$440/4</f>
        <v>0</v>
      </c>
      <c r="J511" s="54" t="n">
        <f aca="false">J505*$C$440/4</f>
        <v>0</v>
      </c>
      <c r="K511" s="54" t="n">
        <f aca="false">K505*$C$440/4</f>
        <v>0</v>
      </c>
      <c r="L511" s="54" t="n">
        <f aca="false">L505*$C$440/4</f>
        <v>0</v>
      </c>
      <c r="M511" s="54" t="n">
        <f aca="false">M505*$C$440/4</f>
        <v>0</v>
      </c>
      <c r="N511" s="54" t="n">
        <f aca="false">N505*$C$440/4</f>
        <v>0</v>
      </c>
      <c r="P511" s="55" t="n">
        <f aca="false">SUM(C511:F511)</f>
        <v>0</v>
      </c>
      <c r="Q511" s="55" t="n">
        <f aca="false">SUM(G511:J511)</f>
        <v>0</v>
      </c>
      <c r="R511" s="55" t="n">
        <f aca="false">SUM(K511:N511)</f>
        <v>0</v>
      </c>
      <c r="S511" s="56" t="n">
        <f aca="false">SUM(P511:R511)</f>
        <v>0</v>
      </c>
    </row>
    <row r="512" customFormat="false" ht="15" hidden="false" customHeight="false" outlineLevel="0" collapsed="false">
      <c r="A512" s="4" t="s">
        <v>556</v>
      </c>
      <c r="B512" s="36" t="s">
        <v>125</v>
      </c>
      <c r="C512" s="54" t="n">
        <f aca="false">MAX(0,(C500-C481*$C$436)-C460*$C$441)*$C$442*Assumptions!$D$105</f>
        <v>0</v>
      </c>
      <c r="D512" s="54" t="n">
        <f aca="false">MAX(0,(D500-D481*$C$436)-D460*$C$441)*$C$442*Assumptions!$D$105</f>
        <v>971.0713671052</v>
      </c>
      <c r="E512" s="54" t="n">
        <f aca="false">MAX(0,(E500-E481*$C$436)-E460*$C$441)*$C$442*Assumptions!$D$105</f>
        <v>2152.04353137831</v>
      </c>
      <c r="F512" s="54" t="n">
        <f aca="false">MAX(0,(F500-F481*$C$436)-F460*$C$441)*$C$442*Assumptions!$D$105</f>
        <v>2713.73071284668</v>
      </c>
      <c r="G512" s="54" t="n">
        <f aca="false">MAX(0,(G500-G481*$C$436)-G460*$C$441)*$C$442*Assumptions!$D$105</f>
        <v>0</v>
      </c>
      <c r="H512" s="54" t="n">
        <f aca="false">MAX(0,(H500-H481*$C$436)-H460*$C$441)*$C$442*Assumptions!$D$105</f>
        <v>0</v>
      </c>
      <c r="I512" s="54" t="n">
        <f aca="false">MAX(0,(I500-I481*$C$436)-I460*$C$441)*$C$442*Assumptions!$D$105</f>
        <v>0</v>
      </c>
      <c r="J512" s="54" t="n">
        <f aca="false">MAX(0,(J500-J481*$C$436)-J460*$C$441)*$C$442*Assumptions!$D$105</f>
        <v>0</v>
      </c>
      <c r="K512" s="54" t="n">
        <f aca="false">MAX(0,(K500-K481*$C$436)-K460*$C$441)*$C$442*Assumptions!$D$105</f>
        <v>0</v>
      </c>
      <c r="L512" s="54" t="n">
        <f aca="false">MAX(0,(L500-L481*$C$436)-L460*$C$441)*$C$442*Assumptions!$D$105</f>
        <v>0</v>
      </c>
      <c r="M512" s="54" t="n">
        <f aca="false">MAX(0,(M500-M481*$C$436)-M460*$C$441)*$C$442*Assumptions!$D$105</f>
        <v>0</v>
      </c>
      <c r="N512" s="54" t="n">
        <f aca="false">MAX(0,(N500-N481*$C$436)-N460*$C$441)*$C$442*Assumptions!$D$105</f>
        <v>0</v>
      </c>
      <c r="P512" s="55" t="n">
        <f aca="false">SUM(C512:F512)</f>
        <v>5836.84561133019</v>
      </c>
      <c r="Q512" s="55" t="n">
        <f aca="false">SUM(G512:J512)</f>
        <v>0</v>
      </c>
      <c r="R512" s="55" t="n">
        <f aca="false">SUM(K512:N512)</f>
        <v>0</v>
      </c>
      <c r="S512" s="56" t="n">
        <f aca="false">SUM(P512:R512)</f>
        <v>5836.84561133019</v>
      </c>
    </row>
    <row r="513" customFormat="false" ht="15" hidden="false" customHeight="false" outlineLevel="0" collapsed="false">
      <c r="A513" s="4" t="s">
        <v>557</v>
      </c>
      <c r="B513" s="36" t="s">
        <v>125</v>
      </c>
      <c r="C513" s="54" t="n">
        <f aca="false">C508*Assumptions!$D$71/Assumptions!$D$69/4</f>
        <v>18475.8928571429</v>
      </c>
      <c r="D513" s="54" t="n">
        <f aca="false">D508*Assumptions!$D$71/Assumptions!$D$69/4</f>
        <v>18475.8928571429</v>
      </c>
      <c r="E513" s="54" t="n">
        <f aca="false">E508*Assumptions!$D$71/Assumptions!$D$69/4</f>
        <v>18475.8928571429</v>
      </c>
      <c r="F513" s="54" t="n">
        <f aca="false">F508*Assumptions!$D$71/Assumptions!$D$69/4</f>
        <v>18475.8928571429</v>
      </c>
      <c r="G513" s="54" t="n">
        <f aca="false">G508*Assumptions!$D$71/Assumptions!$D$69/4</f>
        <v>0</v>
      </c>
      <c r="H513" s="54" t="n">
        <f aca="false">H508*Assumptions!$D$71/Assumptions!$D$69/4</f>
        <v>0</v>
      </c>
      <c r="I513" s="54" t="n">
        <f aca="false">I508*Assumptions!$D$71/Assumptions!$D$69/4</f>
        <v>0</v>
      </c>
      <c r="J513" s="54" t="n">
        <f aca="false">J508*Assumptions!$D$71/Assumptions!$D$69/4</f>
        <v>0</v>
      </c>
      <c r="K513" s="54" t="n">
        <f aca="false">K508*Assumptions!$D$71/Assumptions!$D$69/4</f>
        <v>0</v>
      </c>
      <c r="L513" s="54" t="n">
        <f aca="false">L508*Assumptions!$D$71/Assumptions!$D$69/4</f>
        <v>0</v>
      </c>
      <c r="M513" s="54" t="n">
        <f aca="false">M508*Assumptions!$D$71/Assumptions!$D$69/4</f>
        <v>0</v>
      </c>
      <c r="N513" s="54" t="n">
        <f aca="false">N508*Assumptions!$D$71/Assumptions!$D$69/4</f>
        <v>0</v>
      </c>
      <c r="P513" s="55" t="n">
        <f aca="false">SUM(C513:F513)</f>
        <v>73903.5714285714</v>
      </c>
      <c r="Q513" s="55" t="n">
        <f aca="false">SUM(G513:J513)</f>
        <v>0</v>
      </c>
      <c r="R513" s="55" t="n">
        <f aca="false">SUM(K513:N513)</f>
        <v>0</v>
      </c>
      <c r="S513" s="56" t="n">
        <f aca="false">SUM(P513:R513)</f>
        <v>73903.5714285714</v>
      </c>
    </row>
    <row r="514" customFormat="false" ht="15" hidden="false" customHeight="false" outlineLevel="0" collapsed="false">
      <c r="A514" s="4" t="s">
        <v>558</v>
      </c>
      <c r="B514" s="36" t="s">
        <v>125</v>
      </c>
      <c r="C514" s="54" t="n">
        <f aca="false">(Assumptions!$D$103+Assumptions!$D$77*((C445=Assumptions!$D$13)+(C445=Assumptions!$D$14)+(C445=Assumptions!$D$15)))*C446</f>
        <v>65000</v>
      </c>
      <c r="D514" s="54" t="n">
        <f aca="false">(Assumptions!$D$103+Assumptions!$D$77*((D445=Assumptions!$D$13)+(D445=Assumptions!$D$14)+(D445=Assumptions!$D$15)))*D446</f>
        <v>25000</v>
      </c>
      <c r="E514" s="54" t="n">
        <f aca="false">(Assumptions!$D$103+Assumptions!$D$77*((E445=Assumptions!$D$13)+(E445=Assumptions!$D$14)+(E445=Assumptions!$D$15)))*E446</f>
        <v>25000</v>
      </c>
      <c r="F514" s="54" t="n">
        <f aca="false">(Assumptions!$D$103+Assumptions!$D$77*((F445=Assumptions!$D$13)+(F445=Assumptions!$D$14)+(F445=Assumptions!$D$15)))*F446</f>
        <v>25000</v>
      </c>
      <c r="G514" s="54" t="n">
        <f aca="false">(Assumptions!$D$103+Assumptions!$D$77*((G445=Assumptions!$D$13)+(G445=Assumptions!$D$14)+(G445=Assumptions!$D$15)))*G446</f>
        <v>0</v>
      </c>
      <c r="H514" s="54" t="n">
        <f aca="false">(Assumptions!$D$103+Assumptions!$D$77*((H445=Assumptions!$D$13)+(H445=Assumptions!$D$14)+(H445=Assumptions!$D$15)))*H446</f>
        <v>0</v>
      </c>
      <c r="I514" s="54" t="n">
        <f aca="false">(Assumptions!$D$103+Assumptions!$D$77*((I445=Assumptions!$D$13)+(I445=Assumptions!$D$14)+(I445=Assumptions!$D$15)))*I446</f>
        <v>0</v>
      </c>
      <c r="J514" s="54" t="n">
        <f aca="false">(Assumptions!$D$103+Assumptions!$D$77*((J445=Assumptions!$D$13)+(J445=Assumptions!$D$14)+(J445=Assumptions!$D$15)))*J446</f>
        <v>0</v>
      </c>
      <c r="K514" s="54" t="n">
        <f aca="false">(Assumptions!$D$103+Assumptions!$D$77*((K445=Assumptions!$D$13)+(K445=Assumptions!$D$14)+(K445=Assumptions!$D$15)))*K446</f>
        <v>0</v>
      </c>
      <c r="L514" s="54" t="n">
        <f aca="false">(Assumptions!$D$103+Assumptions!$D$77*((L445=Assumptions!$D$13)+(L445=Assumptions!$D$14)+(L445=Assumptions!$D$15)))*L446</f>
        <v>0</v>
      </c>
      <c r="M514" s="54" t="n">
        <f aca="false">(Assumptions!$D$103+Assumptions!$D$77*((M445=Assumptions!$D$13)+(M445=Assumptions!$D$14)+(M445=Assumptions!$D$15)))*M446</f>
        <v>0</v>
      </c>
      <c r="N514" s="54" t="n">
        <f aca="false">(Assumptions!$D$103+Assumptions!$D$77*((N445=Assumptions!$D$13)+(N445=Assumptions!$D$14)+(N445=Assumptions!$D$15)))*N446</f>
        <v>0</v>
      </c>
      <c r="P514" s="55" t="n">
        <f aca="false">SUM(C514:F514)</f>
        <v>140000</v>
      </c>
      <c r="Q514" s="55" t="n">
        <f aca="false">SUM(G514:J514)</f>
        <v>0</v>
      </c>
      <c r="R514" s="55" t="n">
        <f aca="false">SUM(K514:N514)</f>
        <v>0</v>
      </c>
      <c r="S514" s="56" t="n">
        <f aca="false">SUM(P514:R514)</f>
        <v>140000</v>
      </c>
    </row>
    <row r="515" customFormat="false" ht="15" hidden="false" customHeight="false" outlineLevel="0" collapsed="false">
      <c r="A515" s="4" t="s">
        <v>559</v>
      </c>
      <c r="B515" s="36" t="s">
        <v>125</v>
      </c>
      <c r="C515" s="54" t="n">
        <f aca="false">C500*C480*Assumptions!$D$79</f>
        <v>0</v>
      </c>
      <c r="D515" s="54" t="n">
        <f aca="false">D500*D480*Assumptions!$D$79</f>
        <v>173.524380914046</v>
      </c>
      <c r="E515" s="54" t="n">
        <f aca="false">E500*E480*Assumptions!$D$79</f>
        <v>402.613520708654</v>
      </c>
      <c r="F515" s="54" t="n">
        <f aca="false">F500*F480*Assumptions!$D$79</f>
        <v>657.021390171295</v>
      </c>
      <c r="G515" s="54" t="n">
        <f aca="false">G500*G480*Assumptions!$D$79</f>
        <v>61.7618264419111</v>
      </c>
      <c r="H515" s="54" t="n">
        <f aca="false">H500*H480*Assumptions!$D$79</f>
        <v>0</v>
      </c>
      <c r="I515" s="54" t="n">
        <f aca="false">I500*I480*Assumptions!$D$79</f>
        <v>0</v>
      </c>
      <c r="J515" s="54" t="n">
        <f aca="false">J500*J480*Assumptions!$D$79</f>
        <v>0</v>
      </c>
      <c r="K515" s="54" t="n">
        <f aca="false">K500*K480*Assumptions!$D$79</f>
        <v>0</v>
      </c>
      <c r="L515" s="54" t="n">
        <f aca="false">L500*L480*Assumptions!$D$79</f>
        <v>0</v>
      </c>
      <c r="M515" s="54" t="n">
        <f aca="false">M500*M480*Assumptions!$D$79</f>
        <v>0</v>
      </c>
      <c r="N515" s="54" t="n">
        <f aca="false">N500*N480*Assumptions!$D$79</f>
        <v>0</v>
      </c>
      <c r="P515" s="55" t="n">
        <f aca="false">SUM(C515:F515)</f>
        <v>1233.15929179399</v>
      </c>
      <c r="Q515" s="55" t="n">
        <f aca="false">SUM(G515:J515)</f>
        <v>61.7618264419111</v>
      </c>
      <c r="R515" s="55" t="n">
        <f aca="false">SUM(K515:N515)</f>
        <v>0</v>
      </c>
      <c r="S515" s="56" t="n">
        <f aca="false">SUM(P515:R515)</f>
        <v>1294.92111823591</v>
      </c>
    </row>
    <row r="516" customFormat="false" ht="15" hidden="false" customHeight="false" outlineLevel="0" collapsed="false">
      <c r="A516" s="4" t="s">
        <v>560</v>
      </c>
      <c r="B516" s="36" t="s">
        <v>125</v>
      </c>
      <c r="C516" s="54" t="n">
        <f aca="false">C465*Assumptions!$D$80</f>
        <v>2000</v>
      </c>
      <c r="D516" s="54" t="n">
        <f aca="false">D465*Assumptions!$D$80</f>
        <v>4000</v>
      </c>
      <c r="E516" s="54" t="n">
        <f aca="false">E465*Assumptions!$D$80</f>
        <v>6000</v>
      </c>
      <c r="F516" s="54" t="n">
        <f aca="false">F465*Assumptions!$D$80</f>
        <v>8000</v>
      </c>
      <c r="G516" s="54" t="n">
        <f aca="false">G465*Assumptions!$D$80</f>
        <v>0</v>
      </c>
      <c r="H516" s="54" t="n">
        <f aca="false">H465*Assumptions!$D$80</f>
        <v>0</v>
      </c>
      <c r="I516" s="54" t="n">
        <f aca="false">I465*Assumptions!$D$80</f>
        <v>0</v>
      </c>
      <c r="J516" s="54" t="n">
        <f aca="false">J465*Assumptions!$D$80</f>
        <v>0</v>
      </c>
      <c r="K516" s="54" t="n">
        <f aca="false">K465*Assumptions!$D$80</f>
        <v>0</v>
      </c>
      <c r="L516" s="54" t="n">
        <f aca="false">L465*Assumptions!$D$80</f>
        <v>0</v>
      </c>
      <c r="M516" s="54" t="n">
        <f aca="false">M465*Assumptions!$D$80</f>
        <v>0</v>
      </c>
      <c r="N516" s="54" t="n">
        <f aca="false">N465*Assumptions!$D$80</f>
        <v>0</v>
      </c>
      <c r="P516" s="55" t="n">
        <f aca="false">SUM(C516:F516)</f>
        <v>20000</v>
      </c>
      <c r="Q516" s="55" t="n">
        <f aca="false">SUM(G516:J516)</f>
        <v>0</v>
      </c>
      <c r="R516" s="55" t="n">
        <f aca="false">SUM(K516:N516)</f>
        <v>0</v>
      </c>
      <c r="S516" s="56" t="n">
        <f aca="false">SUM(P516:R516)</f>
        <v>20000</v>
      </c>
    </row>
    <row r="517" customFormat="false" ht="15" hidden="false" customHeight="false" outlineLevel="0" collapsed="false">
      <c r="A517" s="4" t="s">
        <v>561</v>
      </c>
      <c r="B517" s="36" t="s">
        <v>125</v>
      </c>
      <c r="C517" s="54" t="n">
        <f aca="false">(C488*$C$437+C489*$C$438)*Assumptions!$D$81</f>
        <v>0</v>
      </c>
      <c r="D517" s="54" t="n">
        <f aca="false">(D488*$C$437+D489*$C$438)*Assumptions!$D$81</f>
        <v>146.070703709179</v>
      </c>
      <c r="E517" s="54" t="n">
        <f aca="false">(E488*$C$437+E489*$C$438)*Assumptions!$D$81</f>
        <v>383.692697930868</v>
      </c>
      <c r="F517" s="54" t="n">
        <f aca="false">(F488*$C$437+F489*$C$438)*Assumptions!$D$81</f>
        <v>521.256703586425</v>
      </c>
      <c r="G517" s="54" t="n">
        <f aca="false">(G488*$C$437+G489*$C$438)*Assumptions!$D$81</f>
        <v>0</v>
      </c>
      <c r="H517" s="54" t="n">
        <f aca="false">(H488*$C$437+H489*$C$438)*Assumptions!$D$81</f>
        <v>0</v>
      </c>
      <c r="I517" s="54" t="n">
        <f aca="false">(I488*$C$437+I489*$C$438)*Assumptions!$D$81</f>
        <v>0</v>
      </c>
      <c r="J517" s="54" t="n">
        <f aca="false">(J488*$C$437+J489*$C$438)*Assumptions!$D$81</f>
        <v>0</v>
      </c>
      <c r="K517" s="54" t="n">
        <f aca="false">(K488*$C$437+K489*$C$438)*Assumptions!$D$81</f>
        <v>0</v>
      </c>
      <c r="L517" s="54" t="n">
        <f aca="false">(L488*$C$437+L489*$C$438)*Assumptions!$D$81</f>
        <v>0</v>
      </c>
      <c r="M517" s="54" t="n">
        <f aca="false">(M488*$C$437+M489*$C$438)*Assumptions!$D$81</f>
        <v>0</v>
      </c>
      <c r="N517" s="54" t="n">
        <f aca="false">(N488*$C$437+N489*$C$438)*Assumptions!$D$81</f>
        <v>0</v>
      </c>
      <c r="P517" s="55" t="n">
        <f aca="false">SUM(C517:F517)</f>
        <v>1051.02010522647</v>
      </c>
      <c r="Q517" s="55" t="n">
        <f aca="false">SUM(G517:J517)</f>
        <v>0</v>
      </c>
      <c r="R517" s="55" t="n">
        <f aca="false">SUM(K517:N517)</f>
        <v>0</v>
      </c>
      <c r="S517" s="56" t="n">
        <f aca="false">SUM(P517:R517)</f>
        <v>1051.02010522647</v>
      </c>
    </row>
    <row r="518" customFormat="false" ht="15" hidden="false" customHeight="false" outlineLevel="0" collapsed="false">
      <c r="A518" s="9" t="s">
        <v>562</v>
      </c>
      <c r="B518" s="36" t="s">
        <v>125</v>
      </c>
      <c r="C518" s="55" t="n">
        <f aca="false">C510+C511+C512+C513+C514+C515+C516+C517</f>
        <v>152229.464285714</v>
      </c>
      <c r="D518" s="55" t="n">
        <f aca="false">D510+D511+D512+D513+D514+D515+D516+D517</f>
        <v>115520.130737443</v>
      </c>
      <c r="E518" s="55" t="n">
        <f aca="false">E510+E511+E512+E513+E514+E515+E516+E517</f>
        <v>119167.814035732</v>
      </c>
      <c r="F518" s="55" t="n">
        <f aca="false">F510+F511+F512+F513+F514+F515+F516+F517</f>
        <v>122121.473092319</v>
      </c>
      <c r="G518" s="55" t="n">
        <f aca="false">G510+G511+G512+G513+G514+G515+G516+G517</f>
        <v>61.7618264419111</v>
      </c>
      <c r="H518" s="55" t="n">
        <f aca="false">H510+H511+H512+H513+H514+H515+H516+H517</f>
        <v>0</v>
      </c>
      <c r="I518" s="55" t="n">
        <f aca="false">I510+I511+I512+I513+I514+I515+I516+I517</f>
        <v>0</v>
      </c>
      <c r="J518" s="55" t="n">
        <f aca="false">J510+J511+J512+J513+J514+J515+J516+J517</f>
        <v>0</v>
      </c>
      <c r="K518" s="55" t="n">
        <f aca="false">K510+K511+K512+K513+K514+K515+K516+K517</f>
        <v>0</v>
      </c>
      <c r="L518" s="55" t="n">
        <f aca="false">L510+L511+L512+L513+L514+L515+L516+L517</f>
        <v>0</v>
      </c>
      <c r="M518" s="55" t="n">
        <f aca="false">M510+M511+M512+M513+M514+M515+M516+M517</f>
        <v>0</v>
      </c>
      <c r="N518" s="55" t="n">
        <f aca="false">N510+N511+N512+N513+N514+N515+N516+N517</f>
        <v>0</v>
      </c>
      <c r="P518" s="55" t="n">
        <f aca="false">SUM(C518:F518)</f>
        <v>509038.882151208</v>
      </c>
      <c r="Q518" s="55" t="n">
        <f aca="false">SUM(G518:J518)</f>
        <v>61.7618264419111</v>
      </c>
      <c r="R518" s="55" t="n">
        <f aca="false">SUM(K518:N518)</f>
        <v>0</v>
      </c>
      <c r="S518" s="56" t="n">
        <f aca="false">SUM(P518:R518)</f>
        <v>509100.64397765</v>
      </c>
    </row>
    <row r="519" customFormat="false" ht="15" hidden="false" customHeight="false" outlineLevel="0" collapsed="false">
      <c r="A519" s="4" t="s">
        <v>563</v>
      </c>
      <c r="B519" s="36" t="s">
        <v>125</v>
      </c>
      <c r="C519" s="54" t="n">
        <f aca="false">C507*Assumptions!$D$72/Assumptions!$D$69/4</f>
        <v>56535.7142857143</v>
      </c>
      <c r="D519" s="54" t="n">
        <f aca="false">D507*Assumptions!$D$72/Assumptions!$D$69/4</f>
        <v>56535.7142857143</v>
      </c>
      <c r="E519" s="54" t="n">
        <f aca="false">E507*Assumptions!$D$72/Assumptions!$D$69/4</f>
        <v>56535.7142857143</v>
      </c>
      <c r="F519" s="54" t="n">
        <f aca="false">F507*Assumptions!$D$72/Assumptions!$D$69/4</f>
        <v>56535.7142857143</v>
      </c>
      <c r="G519" s="54" t="n">
        <f aca="false">G507*Assumptions!$D$72/Assumptions!$D$69/4</f>
        <v>0</v>
      </c>
      <c r="H519" s="54" t="n">
        <f aca="false">H507*Assumptions!$D$72/Assumptions!$D$69/4</f>
        <v>0</v>
      </c>
      <c r="I519" s="54" t="n">
        <f aca="false">I507*Assumptions!$D$72/Assumptions!$D$69/4</f>
        <v>0</v>
      </c>
      <c r="J519" s="54" t="n">
        <f aca="false">J507*Assumptions!$D$72/Assumptions!$D$69/4</f>
        <v>0</v>
      </c>
      <c r="K519" s="54" t="n">
        <f aca="false">K507*Assumptions!$D$72/Assumptions!$D$69/4</f>
        <v>0</v>
      </c>
      <c r="L519" s="54" t="n">
        <f aca="false">L507*Assumptions!$D$72/Assumptions!$D$69/4</f>
        <v>0</v>
      </c>
      <c r="M519" s="54" t="n">
        <f aca="false">M507*Assumptions!$D$72/Assumptions!$D$69/4</f>
        <v>0</v>
      </c>
      <c r="N519" s="54" t="n">
        <f aca="false">N507*Assumptions!$D$72/Assumptions!$D$69/4</f>
        <v>0</v>
      </c>
      <c r="P519" s="55" t="n">
        <f aca="false">SUM(C519:F519)</f>
        <v>226142.857142857</v>
      </c>
      <c r="Q519" s="55" t="n">
        <f aca="false">SUM(G519:J519)</f>
        <v>0</v>
      </c>
      <c r="R519" s="55" t="n">
        <f aca="false">SUM(K519:N519)</f>
        <v>0</v>
      </c>
      <c r="S519" s="56" t="n">
        <f aca="false">SUM(P519:R519)</f>
        <v>226142.857142857</v>
      </c>
    </row>
    <row r="520" customFormat="false" ht="15" hidden="false" customHeight="false" outlineLevel="0" collapsed="false">
      <c r="A520" s="4" t="s">
        <v>564</v>
      </c>
      <c r="B520" s="36" t="s">
        <v>125</v>
      </c>
      <c r="C520" s="54" t="n">
        <f aca="false">IF(C445&lt;=Assumptions!$D$83,Assumptions!$D$82*Assumptions!$D$108/Assumptions!$D$83,0)</f>
        <v>62500</v>
      </c>
      <c r="D520" s="54" t="n">
        <f aca="false">IF(D445&lt;=Assumptions!$D$83,Assumptions!$D$82*Assumptions!$D$108/Assumptions!$D$83,0)</f>
        <v>62500</v>
      </c>
      <c r="E520" s="54" t="n">
        <f aca="false">IF(E445&lt;=Assumptions!$D$83,Assumptions!$D$82*Assumptions!$D$108/Assumptions!$D$83,0)</f>
        <v>62500</v>
      </c>
      <c r="F520" s="54" t="n">
        <f aca="false">IF(F445&lt;=Assumptions!$D$83,Assumptions!$D$82*Assumptions!$D$108/Assumptions!$D$83,0)</f>
        <v>62500</v>
      </c>
      <c r="G520" s="54" t="n">
        <f aca="false">IF(G445&lt;=Assumptions!$D$83,Assumptions!$D$82*Assumptions!$D$108/Assumptions!$D$83,0)</f>
        <v>0</v>
      </c>
      <c r="H520" s="54" t="n">
        <f aca="false">IF(H445&lt;=Assumptions!$D$83,Assumptions!$D$82*Assumptions!$D$108/Assumptions!$D$83,0)</f>
        <v>0</v>
      </c>
      <c r="I520" s="54" t="n">
        <f aca="false">IF(I445&lt;=Assumptions!$D$83,Assumptions!$D$82*Assumptions!$D$108/Assumptions!$D$83,0)</f>
        <v>0</v>
      </c>
      <c r="J520" s="54" t="n">
        <f aca="false">IF(J445&lt;=Assumptions!$D$83,Assumptions!$D$82*Assumptions!$D$108/Assumptions!$D$83,0)</f>
        <v>0</v>
      </c>
      <c r="K520" s="54" t="n">
        <f aca="false">IF(K445&lt;=Assumptions!$D$83,Assumptions!$D$82*Assumptions!$D$108/Assumptions!$D$83,0)</f>
        <v>0</v>
      </c>
      <c r="L520" s="54" t="n">
        <f aca="false">IF(L445&lt;=Assumptions!$D$83,Assumptions!$D$82*Assumptions!$D$108/Assumptions!$D$83,0)</f>
        <v>0</v>
      </c>
      <c r="M520" s="54" t="n">
        <f aca="false">IF(M445&lt;=Assumptions!$D$83,Assumptions!$D$82*Assumptions!$D$108/Assumptions!$D$83,0)</f>
        <v>0</v>
      </c>
      <c r="N520" s="54" t="n">
        <f aca="false">IF(N445&lt;=Assumptions!$D$83,Assumptions!$D$82*Assumptions!$D$108/Assumptions!$D$83,0)</f>
        <v>0</v>
      </c>
      <c r="P520" s="55" t="n">
        <f aca="false">SUM(C520:F520)</f>
        <v>250000</v>
      </c>
      <c r="Q520" s="55" t="n">
        <f aca="false">SUM(G520:J520)</f>
        <v>0</v>
      </c>
      <c r="R520" s="55" t="n">
        <f aca="false">SUM(K520:N520)</f>
        <v>0</v>
      </c>
      <c r="S520" s="56" t="n">
        <f aca="false">SUM(P520:R520)</f>
        <v>250000</v>
      </c>
    </row>
    <row r="521" customFormat="false" ht="15" hidden="false" customHeight="false" outlineLevel="0" collapsed="false">
      <c r="A521" s="4" t="s">
        <v>565</v>
      </c>
      <c r="B521" s="36" t="s">
        <v>125</v>
      </c>
      <c r="C521" s="54" t="n">
        <f aca="false">C509*Assumptions!$D$73/Assumptions!$D$69/4</f>
        <v>0</v>
      </c>
      <c r="D521" s="54" t="n">
        <f aca="false">D509*Assumptions!$D$73/Assumptions!$D$69/4</f>
        <v>132.145567088456</v>
      </c>
      <c r="E521" s="54" t="n">
        <f aca="false">E509*Assumptions!$D$73/Assumptions!$D$69/4</f>
        <v>387.993366436741</v>
      </c>
      <c r="F521" s="54" t="n">
        <f aca="false">F509*Assumptions!$D$73/Assumptions!$D$69/4</f>
        <v>682.368004463765</v>
      </c>
      <c r="G521" s="54" t="n">
        <f aca="false">G509*Assumptions!$D$73/Assumptions!$D$69/4</f>
        <v>668.702135783972</v>
      </c>
      <c r="H521" s="54" t="n">
        <f aca="false">H509*Assumptions!$D$73/Assumptions!$D$69/4</f>
        <v>643.681296189744</v>
      </c>
      <c r="I521" s="54" t="n">
        <f aca="false">I509*Assumptions!$D$73/Assumptions!$D$69/4</f>
        <v>619.598831591817</v>
      </c>
      <c r="J521" s="54" t="n">
        <f aca="false">J509*Assumptions!$D$73/Assumptions!$D$69/4</f>
        <v>596.41947310155</v>
      </c>
      <c r="K521" s="54" t="n">
        <f aca="false">K509*Assumptions!$D$73/Assumptions!$D$69/4</f>
        <v>574.109280121427</v>
      </c>
      <c r="L521" s="54" t="n">
        <f aca="false">L509*Assumptions!$D$73/Assumptions!$D$69/4</f>
        <v>552.635590222298</v>
      </c>
      <c r="M521" s="54" t="n">
        <f aca="false">M509*Assumptions!$D$73/Assumptions!$D$69/4</f>
        <v>531.966970915481</v>
      </c>
      <c r="N521" s="54" t="n">
        <f aca="false">N509*Assumptions!$D$73/Assumptions!$D$69/4</f>
        <v>512.073173247972</v>
      </c>
      <c r="P521" s="55" t="n">
        <f aca="false">SUM(C521:F521)</f>
        <v>1202.50693798896</v>
      </c>
      <c r="Q521" s="55" t="n">
        <f aca="false">SUM(G521:J521)</f>
        <v>2528.40173666708</v>
      </c>
      <c r="R521" s="55" t="n">
        <f aca="false">SUM(K521:N521)</f>
        <v>2170.78501450718</v>
      </c>
      <c r="S521" s="56" t="n">
        <f aca="false">SUM(P521:R521)</f>
        <v>5901.69368916322</v>
      </c>
    </row>
    <row r="522" customFormat="false" ht="15" hidden="false" customHeight="false" outlineLevel="0" collapsed="false">
      <c r="A522" s="9" t="s">
        <v>566</v>
      </c>
      <c r="B522" s="36" t="s">
        <v>125</v>
      </c>
      <c r="C522" s="55" t="n">
        <f aca="false">C518+C519+C520+C521</f>
        <v>271265.178571429</v>
      </c>
      <c r="D522" s="55" t="n">
        <f aca="false">D518+D519+D520+D521</f>
        <v>234687.990590245</v>
      </c>
      <c r="E522" s="55" t="n">
        <f aca="false">E518+E519+E520+E521</f>
        <v>238591.521687883</v>
      </c>
      <c r="F522" s="55" t="n">
        <f aca="false">F518+F519+F520+F521</f>
        <v>241839.555382497</v>
      </c>
      <c r="G522" s="55" t="n">
        <f aca="false">G518+G519+G520+G521</f>
        <v>730.463962225883</v>
      </c>
      <c r="H522" s="55" t="n">
        <f aca="false">H518+H519+H520+H521</f>
        <v>643.681296189744</v>
      </c>
      <c r="I522" s="55" t="n">
        <f aca="false">I518+I519+I520+I521</f>
        <v>619.598831591817</v>
      </c>
      <c r="J522" s="55" t="n">
        <f aca="false">J518+J519+J520+J521</f>
        <v>596.41947310155</v>
      </c>
      <c r="K522" s="55" t="n">
        <f aca="false">K518+K519+K520+K521</f>
        <v>574.109280121427</v>
      </c>
      <c r="L522" s="55" t="n">
        <f aca="false">L518+L519+L520+L521</f>
        <v>552.635590222298</v>
      </c>
      <c r="M522" s="55" t="n">
        <f aca="false">M518+M519+M520+M521</f>
        <v>531.966970915481</v>
      </c>
      <c r="N522" s="55" t="n">
        <f aca="false">N518+N519+N520+N521</f>
        <v>512.073173247972</v>
      </c>
      <c r="P522" s="55" t="n">
        <f aca="false">SUM(C522:F522)</f>
        <v>986384.246232054</v>
      </c>
      <c r="Q522" s="55" t="n">
        <f aca="false">SUM(G522:J522)</f>
        <v>2590.16356310899</v>
      </c>
      <c r="R522" s="55" t="n">
        <f aca="false">SUM(K522:N522)</f>
        <v>2170.78501450718</v>
      </c>
      <c r="S522" s="56" t="n">
        <f aca="false">SUM(P522:R522)</f>
        <v>991145.19480967</v>
      </c>
    </row>
    <row r="523" customFormat="false" ht="15" hidden="false" customHeight="false" outlineLevel="0" collapsed="false">
      <c r="A523" s="35" t="s">
        <v>567</v>
      </c>
      <c r="B523" s="35" t="s">
        <v>444</v>
      </c>
      <c r="C523" s="6" t="s">
        <v>354</v>
      </c>
      <c r="D523" s="6" t="s">
        <v>355</v>
      </c>
      <c r="E523" s="6" t="s">
        <v>356</v>
      </c>
      <c r="F523" s="6" t="s">
        <v>357</v>
      </c>
      <c r="G523" s="6" t="s">
        <v>358</v>
      </c>
      <c r="H523" s="6" t="s">
        <v>359</v>
      </c>
      <c r="I523" s="6" t="s">
        <v>360</v>
      </c>
      <c r="J523" s="6" t="s">
        <v>361</v>
      </c>
      <c r="K523" s="6" t="s">
        <v>362</v>
      </c>
      <c r="L523" s="6" t="s">
        <v>363</v>
      </c>
      <c r="M523" s="6" t="s">
        <v>364</v>
      </c>
      <c r="N523" s="6" t="s">
        <v>365</v>
      </c>
      <c r="P523" s="6" t="s">
        <v>445</v>
      </c>
      <c r="Q523" s="6" t="s">
        <v>446</v>
      </c>
      <c r="R523" s="6" t="s">
        <v>447</v>
      </c>
      <c r="S523" s="6" t="s">
        <v>448</v>
      </c>
    </row>
    <row r="524" customFormat="false" ht="15" hidden="false" customHeight="false" outlineLevel="0" collapsed="false">
      <c r="A524" s="9" t="s">
        <v>568</v>
      </c>
      <c r="B524" s="36" t="s">
        <v>125</v>
      </c>
      <c r="C524" s="55" t="n">
        <f aca="false">C502-C522</f>
        <v>-271265.178571429</v>
      </c>
      <c r="D524" s="55" t="n">
        <f aca="false">D502-D522</f>
        <v>-234564.556411069</v>
      </c>
      <c r="E524" s="55" t="n">
        <f aca="false">E502-E522</f>
        <v>-238076.506059631</v>
      </c>
      <c r="F524" s="55" t="n">
        <f aca="false">F502-F522</f>
        <v>-240722.90241226</v>
      </c>
      <c r="G524" s="55" t="n">
        <f aca="false">G502-G522</f>
        <v>739.316913028771</v>
      </c>
      <c r="H524" s="55" t="n">
        <f aca="false">H502-H522</f>
        <v>837.891088733083</v>
      </c>
      <c r="I524" s="55" t="n">
        <f aca="false">I502-I522</f>
        <v>846.467123767991</v>
      </c>
      <c r="J524" s="55" t="n">
        <f aca="false">J502-J522</f>
        <v>854.50928592896</v>
      </c>
      <c r="K524" s="55" t="n">
        <f aca="false">K502-K522</f>
        <v>862.045186594369</v>
      </c>
      <c r="L524" s="55" t="n">
        <f aca="false">L502-L522</f>
        <v>869.101301911595</v>
      </c>
      <c r="M524" s="55" t="n">
        <f aca="false">M502-M522</f>
        <v>875.703018245273</v>
      </c>
      <c r="N524" s="55" t="n">
        <f aca="false">N502-N522</f>
        <v>881.874675861761</v>
      </c>
      <c r="P524" s="55" t="n">
        <f aca="false">SUM(C524:F524)</f>
        <v>-984629.143454388</v>
      </c>
      <c r="Q524" s="55" t="n">
        <f aca="false">SUM(G524:J524)</f>
        <v>3278.18441145881</v>
      </c>
      <c r="R524" s="55" t="n">
        <f aca="false">SUM(K524:N524)</f>
        <v>3488.724182613</v>
      </c>
      <c r="S524" s="56" t="n">
        <f aca="false">SUM(P524:R524)</f>
        <v>-977862.234860317</v>
      </c>
    </row>
    <row r="525" customFormat="false" ht="15" hidden="false" customHeight="false" outlineLevel="0" collapsed="false">
      <c r="A525" s="9" t="s">
        <v>569</v>
      </c>
      <c r="B525" s="36" t="s">
        <v>125</v>
      </c>
      <c r="C525" s="55" t="n">
        <f aca="false">0+C524</f>
        <v>-271265.178571429</v>
      </c>
      <c r="D525" s="55" t="n">
        <f aca="false">C525+D524</f>
        <v>-505829.734982497</v>
      </c>
      <c r="E525" s="55" t="n">
        <f aca="false">D525+E524</f>
        <v>-743906.241042128</v>
      </c>
      <c r="F525" s="55" t="n">
        <f aca="false">E525+F524</f>
        <v>-984629.143454388</v>
      </c>
      <c r="G525" s="55" t="n">
        <f aca="false">F525+G524</f>
        <v>-983889.82654136</v>
      </c>
      <c r="H525" s="55" t="n">
        <f aca="false">G525+H524</f>
        <v>-983051.935452627</v>
      </c>
      <c r="I525" s="55" t="n">
        <f aca="false">H525+I524</f>
        <v>-982205.468328859</v>
      </c>
      <c r="J525" s="55" t="n">
        <f aca="false">I525+J524</f>
        <v>-981350.95904293</v>
      </c>
      <c r="K525" s="55" t="n">
        <f aca="false">J525+K524</f>
        <v>-980488.913856335</v>
      </c>
      <c r="L525" s="55" t="n">
        <f aca="false">K525+L524</f>
        <v>-979619.812554424</v>
      </c>
      <c r="M525" s="55" t="n">
        <f aca="false">L525+M524</f>
        <v>-978744.109536178</v>
      </c>
      <c r="N525" s="55" t="n">
        <f aca="false">M525+N524</f>
        <v>-977862.234860317</v>
      </c>
      <c r="P525" s="55" t="n">
        <f aca="false">F525</f>
        <v>-984629.143454388</v>
      </c>
      <c r="Q525" s="55" t="n">
        <f aca="false">J525</f>
        <v>-981350.95904293</v>
      </c>
      <c r="R525" s="55" t="n">
        <f aca="false">N525</f>
        <v>-977862.234860317</v>
      </c>
      <c r="S525" s="56" t="n">
        <f aca="false">R525</f>
        <v>-977862.234860317</v>
      </c>
    </row>
    <row r="526" customFormat="false" ht="15" hidden="false" customHeight="false" outlineLevel="0" collapsed="false">
      <c r="A526" s="4" t="s">
        <v>570</v>
      </c>
      <c r="B526" s="36" t="s">
        <v>107</v>
      </c>
      <c r="C526" s="57" t="n">
        <f aca="false">1/(1+Assumptions!$D$87)^(C445/4)</f>
        <v>0.972065420906982</v>
      </c>
      <c r="D526" s="57" t="n">
        <f aca="false">1/(1+Assumptions!$D$87)^(D445/4)</f>
        <v>0.944911182523068</v>
      </c>
      <c r="E526" s="57" t="n">
        <f aca="false">1/(1+Assumptions!$D$87)^(E445/4)</f>
        <v>0.918515486359</v>
      </c>
      <c r="F526" s="57" t="n">
        <f aca="false">1/(1+Assumptions!$D$87)^(F445/4)</f>
        <v>0.892857142857143</v>
      </c>
      <c r="G526" s="57" t="n">
        <f aca="false">1/(1+Assumptions!$D$87)^(G445/4)</f>
        <v>0.867915554381234</v>
      </c>
      <c r="H526" s="57" t="n">
        <f aca="false">1/(1+Assumptions!$D$87)^(H445/4)</f>
        <v>0.843670698681311</v>
      </c>
      <c r="I526" s="57" t="n">
        <f aca="false">1/(1+Assumptions!$D$87)^(I445/4)</f>
        <v>0.820103112820536</v>
      </c>
      <c r="J526" s="57" t="n">
        <f aca="false">1/(1+Assumptions!$D$87)^(J445/4)</f>
        <v>0.79719387755102</v>
      </c>
      <c r="K526" s="57" t="n">
        <f aca="false">1/(1+Assumptions!$D$87)^(K445/4)</f>
        <v>0.774924602126102</v>
      </c>
      <c r="L526" s="57" t="n">
        <f aca="false">1/(1+Assumptions!$D$87)^(L445/4)</f>
        <v>0.753277409536885</v>
      </c>
      <c r="M526" s="57" t="n">
        <f aca="false">1/(1+Assumptions!$D$87)^(M445/4)</f>
        <v>0.732234922161193</v>
      </c>
      <c r="N526" s="57" t="n">
        <f aca="false">1/(1+Assumptions!$D$87)^(N445/4)</f>
        <v>0.711780247813411</v>
      </c>
      <c r="P526" s="58"/>
      <c r="Q526" s="58"/>
      <c r="R526" s="58"/>
      <c r="S526" s="59"/>
    </row>
    <row r="527" customFormat="false" ht="15" hidden="false" customHeight="false" outlineLevel="0" collapsed="false">
      <c r="A527" s="4" t="s">
        <v>571</v>
      </c>
      <c r="B527" s="36" t="s">
        <v>125</v>
      </c>
      <c r="C527" s="54" t="n">
        <f aca="false">(C502*(1-Assumptions!$D$88)-C522)*C526</f>
        <v>-263687.499985443</v>
      </c>
      <c r="D527" s="54" t="n">
        <f aca="false">(D502*(1-Assumptions!$D$88)-D522)*D526</f>
        <v>-221677.662677245</v>
      </c>
      <c r="E527" s="54" t="n">
        <f aca="false">(E502*(1-Assumptions!$D$88)-E522)*E526</f>
        <v>-218818.872703093</v>
      </c>
      <c r="F527" s="54" t="n">
        <f aca="false">(F502*(1-Assumptions!$D$88)-F522)*F526</f>
        <v>-215230.26634226</v>
      </c>
      <c r="G527" s="54" t="n">
        <f aca="false">(G502*(1-Assumptions!$D$88)-G522)*G526</f>
        <v>258.970943485115</v>
      </c>
      <c r="H527" s="54" t="n">
        <f aca="false">(H502*(1-Assumptions!$D$88)-H522)*H526</f>
        <v>331.916397509851</v>
      </c>
      <c r="I527" s="54" t="n">
        <f aca="false">(I502*(1-Assumptions!$D$88)-I522)*I526</f>
        <v>333.492747025138</v>
      </c>
      <c r="J527" s="54" t="n">
        <f aca="false">(J502*(1-Assumptions!$D$88)-J522)*J526</f>
        <v>334.208114014515</v>
      </c>
      <c r="K527" s="54" t="n">
        <f aca="false">(K502*(1-Assumptions!$D$88)-K522)*K526</f>
        <v>334.146594622954</v>
      </c>
      <c r="L527" s="54" t="n">
        <f aca="false">(L502*(1-Assumptions!$D$88)-L522)*L526</f>
        <v>333.385692384208</v>
      </c>
      <c r="M527" s="54" t="n">
        <f aca="false">(M502*(1-Assumptions!$D$88)-M522)*M526</f>
        <v>331.996793918617</v>
      </c>
      <c r="N527" s="54" t="n">
        <f aca="false">(N502*(1-Assumptions!$D$88)-N522)*N526</f>
        <v>330.045611681766</v>
      </c>
      <c r="P527" s="55" t="n">
        <f aca="false">SUM(C527:F527)</f>
        <v>-919414.301708042</v>
      </c>
      <c r="Q527" s="55" t="n">
        <f aca="false">SUM(G527:J527)</f>
        <v>1258.58820203462</v>
      </c>
      <c r="R527" s="55" t="n">
        <f aca="false">SUM(K527:N527)</f>
        <v>1329.57469260755</v>
      </c>
      <c r="S527" s="56" t="n">
        <f aca="false">SUM(P527:R527)</f>
        <v>-916826.138813399</v>
      </c>
    </row>
    <row r="528" customFormat="false" ht="15" hidden="false" customHeight="false" outlineLevel="0" collapsed="false">
      <c r="A528" s="4" t="s">
        <v>572</v>
      </c>
      <c r="B528" s="36" t="s">
        <v>125</v>
      </c>
      <c r="C528" s="54" t="n">
        <f aca="false">(C522-C521)*12/(Assumptions!$D$89*Assumptions!$D$76)*Assumptions!$D$90</f>
        <v>221944.237012987</v>
      </c>
      <c r="D528" s="54" t="n">
        <f aca="false">(D522-D521)*12/(Assumptions!$D$89*Assumptions!$D$76)*Assumptions!$D$90</f>
        <v>191909.327746219</v>
      </c>
      <c r="E528" s="54" t="n">
        <f aca="false">(E522-E521)*12/(Assumptions!$D$89*Assumptions!$D$76)*Assumptions!$D$90</f>
        <v>194893.795899365</v>
      </c>
      <c r="F528" s="54" t="n">
        <f aca="false">(F522-F521)*12/(Assumptions!$D$89*Assumptions!$D$76)*Assumptions!$D$90</f>
        <v>197310.426036572</v>
      </c>
      <c r="G528" s="54" t="n">
        <f aca="false">(G522-G521)*12/(Assumptions!$D$89*Assumptions!$D$76)*Assumptions!$D$90</f>
        <v>50.5324034524727</v>
      </c>
      <c r="H528" s="54" t="n">
        <f aca="false">(H522-H521)*12/(Assumptions!$D$89*Assumptions!$D$76)*Assumptions!$D$90</f>
        <v>0</v>
      </c>
      <c r="I528" s="54" t="n">
        <f aca="false">(I522-I521)*12/(Assumptions!$D$89*Assumptions!$D$76)*Assumptions!$D$90</f>
        <v>0</v>
      </c>
      <c r="J528" s="54" t="n">
        <f aca="false">(J522-J521)*12/(Assumptions!$D$89*Assumptions!$D$76)*Assumptions!$D$90</f>
        <v>0</v>
      </c>
      <c r="K528" s="54" t="n">
        <f aca="false">(K522-K521)*12/(Assumptions!$D$89*Assumptions!$D$76)*Assumptions!$D$90</f>
        <v>0</v>
      </c>
      <c r="L528" s="54" t="n">
        <f aca="false">(L522-L521)*12/(Assumptions!$D$89*Assumptions!$D$76)*Assumptions!$D$90</f>
        <v>0</v>
      </c>
      <c r="M528" s="54" t="n">
        <f aca="false">(M522-M521)*12/(Assumptions!$D$89*Assumptions!$D$76)*Assumptions!$D$90</f>
        <v>0</v>
      </c>
      <c r="N528" s="54" t="n">
        <f aca="false">(N522-N521)*12/(Assumptions!$D$89*Assumptions!$D$76)*Assumptions!$D$90</f>
        <v>0</v>
      </c>
      <c r="P528" s="55" t="n">
        <f aca="false">SUM(C528:F528)</f>
        <v>806057.786695144</v>
      </c>
      <c r="Q528" s="55" t="n">
        <f aca="false">SUM(G528:J528)</f>
        <v>50.5324034524727</v>
      </c>
      <c r="R528" s="55" t="n">
        <f aca="false">SUM(K528:N528)</f>
        <v>0</v>
      </c>
      <c r="S528" s="56" t="n">
        <f aca="false">SUM(P528:R528)</f>
        <v>806108.319098596</v>
      </c>
    </row>
    <row r="529" customFormat="false" ht="15" hidden="false" customHeight="false" outlineLevel="0" collapsed="false">
      <c r="A529" s="4" t="s">
        <v>573</v>
      </c>
      <c r="B529" s="36" t="s">
        <v>125</v>
      </c>
      <c r="C529" s="54" t="n">
        <f aca="false">0*Assumptions!$D$92^(1/4)+C528</f>
        <v>221944.237012987</v>
      </c>
      <c r="D529" s="54" t="n">
        <f aca="false">C529*Assumptions!$D$92^(1/4)+D528</f>
        <v>414406.356679267</v>
      </c>
      <c r="E529" s="54" t="n">
        <f aca="false">D529*Assumptions!$D$92^(1/4)+E528</f>
        <v>610332.305918937</v>
      </c>
      <c r="F529" s="54" t="n">
        <f aca="false">E529*Assumptions!$D$92^(1/4)+F528</f>
        <v>809162.874004723</v>
      </c>
      <c r="G529" s="54" t="n">
        <f aca="false">F529*Assumptions!$D$92^(1/4)+G528</f>
        <v>811228.771640376</v>
      </c>
      <c r="H529" s="54" t="n">
        <f aca="false">G529*Assumptions!$D$92^(1/4)+H528</f>
        <v>813249.282361083</v>
      </c>
      <c r="I529" s="54" t="n">
        <f aca="false">H529*Assumptions!$D$92^(1/4)+I528</f>
        <v>815274.825526046</v>
      </c>
      <c r="J529" s="54" t="n">
        <f aca="false">I529*Assumptions!$D$92^(1/4)+J528</f>
        <v>817305.413669471</v>
      </c>
      <c r="K529" s="54" t="n">
        <f aca="false">J529*Assumptions!$D$92^(1/4)+K528</f>
        <v>819341.05935678</v>
      </c>
      <c r="L529" s="54" t="n">
        <f aca="false">K529*Assumptions!$D$92^(1/4)+L528</f>
        <v>821381.775184694</v>
      </c>
      <c r="M529" s="54" t="n">
        <f aca="false">L529*Assumptions!$D$92^(1/4)+M528</f>
        <v>823427.573781307</v>
      </c>
      <c r="N529" s="54" t="n">
        <f aca="false">M529*Assumptions!$D$92^(1/4)+N528</f>
        <v>825478.467806165</v>
      </c>
      <c r="P529" s="55" t="n">
        <f aca="false">F529</f>
        <v>809162.874004723</v>
      </c>
      <c r="Q529" s="55" t="n">
        <f aca="false">J529</f>
        <v>817305.413669471</v>
      </c>
      <c r="R529" s="55" t="n">
        <f aca="false">N529</f>
        <v>825478.467806165</v>
      </c>
      <c r="S529" s="56" t="n">
        <f aca="false">R529</f>
        <v>825478.467806165</v>
      </c>
    </row>
    <row r="530" customFormat="false" ht="15" hidden="false" customHeight="false" outlineLevel="0" collapsed="false">
      <c r="A530" s="4" t="s">
        <v>574</v>
      </c>
      <c r="B530" s="36" t="s">
        <v>125</v>
      </c>
      <c r="C530" s="54" t="n">
        <f aca="false">(0+C529)/8*Assumptions!$D$76-(C522-C521)-C529*Assumptions!$D$93/4</f>
        <v>-258780.815239448</v>
      </c>
      <c r="D530" s="54" t="n">
        <f aca="false">(C529+D529)/8*Assumptions!$D$76-(D522-D521)-D529*Assumptions!$D$93/4</f>
        <v>-195986.821165305</v>
      </c>
      <c r="E530" s="54" t="n">
        <f aca="false">(D529+E529)/8*Assumptions!$D$76-(E522-E521)-E529*Assumptions!$D$93/4</f>
        <v>-175381.899091807</v>
      </c>
      <c r="F530" s="54" t="n">
        <f aca="false">(E529+F529)/8*Assumptions!$D$76-(F522-F521)-F529*Assumptions!$D$93/4</f>
        <v>-153681.42968334</v>
      </c>
      <c r="G530" s="54" t="n">
        <f aca="false">(F529+G529)/8*Assumptions!$D$76-(G522-G521)-G529*Assumptions!$D$93/4</f>
        <v>101199.804166154</v>
      </c>
      <c r="H530" s="54" t="n">
        <f aca="false">(G529+H529)/8*Assumptions!$D$76-(H522-H521)-H529*Assumptions!$D$93/4</f>
        <v>101517.250183087</v>
      </c>
      <c r="I530" s="54" t="n">
        <f aca="false">(H529+I529)/8*Assumptions!$D$76-(I522-I521)-I529*Assumptions!$D$93/4</f>
        <v>101770.097098165</v>
      </c>
      <c r="J530" s="54" t="n">
        <f aca="false">(I529+J529)/8*Assumptions!$D$76-(J522-J521)-J529*Assumptions!$D$93/4</f>
        <v>102023.573773823</v>
      </c>
      <c r="K530" s="54" t="n">
        <f aca="false">(J529+K529)/8*Assumptions!$D$76-(K522-K521)-K529*Assumptions!$D$93/4</f>
        <v>102277.681778595</v>
      </c>
      <c r="L530" s="54" t="n">
        <f aca="false">(K529+L529)/8*Assumptions!$D$76-(L522-L521)-L529*Assumptions!$D$93/4</f>
        <v>102532.422684918</v>
      </c>
      <c r="M530" s="54" t="n">
        <f aca="false">(L529+M529)/8*Assumptions!$D$76-(M522-M521)-M529*Assumptions!$D$93/4</f>
        <v>102787.798069146</v>
      </c>
      <c r="N530" s="54" t="n">
        <f aca="false">(M529+N529)/8*Assumptions!$D$76-(N522-N521)-N529*Assumptions!$D$93/4</f>
        <v>103043.809511562</v>
      </c>
      <c r="P530" s="55" t="n">
        <f aca="false">SUM(C530:F530)</f>
        <v>-783830.9651799</v>
      </c>
      <c r="Q530" s="55" t="n">
        <f aca="false">SUM(G530:J530)</f>
        <v>406510.725221229</v>
      </c>
      <c r="R530" s="55" t="n">
        <f aca="false">SUM(K530:N530)</f>
        <v>410641.71204422</v>
      </c>
      <c r="S530" s="56" t="n">
        <f aca="false">SUM(P530:R530)</f>
        <v>33321.4720855488</v>
      </c>
    </row>
    <row r="531" customFormat="false" ht="15" hidden="false" customHeight="false" outlineLevel="0" collapsed="false">
      <c r="A531" s="4" t="s">
        <v>575</v>
      </c>
      <c r="B531" s="36" t="s">
        <v>125</v>
      </c>
      <c r="C531" s="54" t="n">
        <f aca="false">C530*C526</f>
        <v>-251551.882088386</v>
      </c>
      <c r="D531" s="54" t="n">
        <f aca="false">D530*D526</f>
        <v>-185190.138946246</v>
      </c>
      <c r="E531" s="54" t="n">
        <f aca="false">E530*E526</f>
        <v>-161090.990342876</v>
      </c>
      <c r="F531" s="54" t="n">
        <f aca="false">F530*F526</f>
        <v>-137215.562217268</v>
      </c>
      <c r="G531" s="54" t="n">
        <f aca="false">G530*G526</f>
        <v>87832.8841361398</v>
      </c>
      <c r="H531" s="54" t="n">
        <f aca="false">H530*H526</f>
        <v>85647.1293901702</v>
      </c>
      <c r="I531" s="54" t="n">
        <f aca="false">I530*I526</f>
        <v>83461.9734222529</v>
      </c>
      <c r="J531" s="54" t="n">
        <f aca="false">J530*J526</f>
        <v>81332.5683783669</v>
      </c>
      <c r="K531" s="54" t="n">
        <f aca="false">K530*K526</f>
        <v>79257.4918586577</v>
      </c>
      <c r="L531" s="54" t="n">
        <f aca="false">L530*L526</f>
        <v>77235.3577536357</v>
      </c>
      <c r="M531" s="54" t="n">
        <f aca="false">M530*M526</f>
        <v>75264.8153182817</v>
      </c>
      <c r="N531" s="54" t="n">
        <f aca="false">N530*N526</f>
        <v>73344.5482697772</v>
      </c>
      <c r="P531" s="55" t="n">
        <f aca="false">SUM(C531:F531)</f>
        <v>-735048.573594776</v>
      </c>
      <c r="Q531" s="55" t="n">
        <f aca="false">SUM(G531:J531)</f>
        <v>338274.55532693</v>
      </c>
      <c r="R531" s="55" t="n">
        <f aca="false">SUM(K531:N531)</f>
        <v>305102.213200352</v>
      </c>
      <c r="S531" s="56" t="n">
        <f aca="false">SUM(P531:R531)</f>
        <v>-91671.8050674936</v>
      </c>
    </row>
    <row r="532" customFormat="false" ht="15" hidden="false" customHeight="false" outlineLevel="0" collapsed="false">
      <c r="A532" s="4" t="s">
        <v>576</v>
      </c>
      <c r="B532" s="36"/>
      <c r="C532" s="37" t="n">
        <f aca="false">IFERROR((S487*$C$436*Assumptions!$D$59+S488*$C$437*Assumptions!$D$60+S489*$C$438*Assumptions!$D$61)/(S487*$C$436+S488*$C$437+S489*$C$438),0.9)</f>
        <v>0.857596415293434</v>
      </c>
    </row>
    <row r="533" customFormat="false" ht="15" hidden="false" customHeight="false" outlineLevel="0" collapsed="false">
      <c r="A533" s="4" t="s">
        <v>577</v>
      </c>
      <c r="B533" s="36"/>
      <c r="C533" s="37" t="n">
        <f aca="false">IFERROR(N521*4/N499,0)</f>
        <v>0.203031921501151</v>
      </c>
    </row>
    <row r="534" customFormat="false" ht="15" hidden="false" customHeight="false" outlineLevel="0" collapsed="false">
      <c r="A534" s="4" t="s">
        <v>578</v>
      </c>
      <c r="B534" s="36"/>
      <c r="C534" s="60" t="n">
        <f aca="false">$C$532/(1+Assumptions!$D$87)</f>
        <v>0.765711085083423</v>
      </c>
    </row>
    <row r="535" customFormat="false" ht="15" hidden="false" customHeight="false" outlineLevel="0" collapsed="false">
      <c r="A535" s="4" t="s">
        <v>579</v>
      </c>
      <c r="B535" s="36"/>
      <c r="C535" s="60" t="n">
        <f aca="false">Assumptions!$D$91/(1+Assumptions!$D$87)</f>
        <v>0.803571428571429</v>
      </c>
    </row>
    <row r="536" customFormat="false" ht="15" hidden="false" customHeight="false" outlineLevel="0" collapsed="false">
      <c r="A536" s="35" t="s">
        <v>580</v>
      </c>
      <c r="B536" s="35" t="s">
        <v>444</v>
      </c>
      <c r="C536" s="6" t="s">
        <v>354</v>
      </c>
      <c r="D536" s="6" t="s">
        <v>355</v>
      </c>
      <c r="E536" s="6" t="s">
        <v>356</v>
      </c>
      <c r="F536" s="6" t="s">
        <v>357</v>
      </c>
      <c r="G536" s="6" t="s">
        <v>358</v>
      </c>
      <c r="H536" s="6" t="s">
        <v>359</v>
      </c>
      <c r="I536" s="6" t="s">
        <v>360</v>
      </c>
      <c r="J536" s="6" t="s">
        <v>361</v>
      </c>
      <c r="K536" s="6" t="s">
        <v>362</v>
      </c>
      <c r="L536" s="6" t="s">
        <v>363</v>
      </c>
      <c r="M536" s="6" t="s">
        <v>364</v>
      </c>
      <c r="N536" s="6" t="s">
        <v>365</v>
      </c>
      <c r="P536" s="6" t="s">
        <v>445</v>
      </c>
      <c r="Q536" s="6" t="s">
        <v>446</v>
      </c>
      <c r="R536" s="6" t="s">
        <v>447</v>
      </c>
      <c r="S536" s="6" t="s">
        <v>448</v>
      </c>
    </row>
    <row r="537" customFormat="false" ht="15" hidden="false" customHeight="false" outlineLevel="0" collapsed="false">
      <c r="A537" s="9" t="s">
        <v>581</v>
      </c>
      <c r="C537" s="61" t="n">
        <f aca="false">N499</f>
        <v>10088.5253798885</v>
      </c>
      <c r="D537" s="61"/>
    </row>
    <row r="538" customFormat="false" ht="15" hidden="false" customHeight="false" outlineLevel="0" collapsed="false">
      <c r="A538" s="9" t="s">
        <v>582</v>
      </c>
      <c r="C538" s="62" t="n">
        <f aca="false">N495</f>
        <v>1.14833974929675</v>
      </c>
      <c r="D538" s="62"/>
    </row>
    <row r="539" customFormat="false" ht="15" hidden="false" customHeight="false" outlineLevel="0" collapsed="false">
      <c r="A539" s="9" t="s">
        <v>583</v>
      </c>
      <c r="C539" s="63" t="n">
        <f aca="false">S490</f>
        <v>1.6173834699186</v>
      </c>
      <c r="D539" s="63"/>
    </row>
    <row r="540" customFormat="false" ht="15" hidden="false" customHeight="false" outlineLevel="0" collapsed="false">
      <c r="A540" s="9" t="s">
        <v>584</v>
      </c>
      <c r="C540" s="61" t="n">
        <f aca="false">S501</f>
        <v>24150.8362715518</v>
      </c>
      <c r="D540" s="61"/>
    </row>
    <row r="541" customFormat="false" ht="15" hidden="false" customHeight="false" outlineLevel="0" collapsed="false">
      <c r="A541" s="9" t="s">
        <v>22</v>
      </c>
      <c r="C541" s="61" t="n">
        <f aca="false">IFERROR(S500/S490,0)</f>
        <v>6821.66450352204</v>
      </c>
      <c r="D541" s="61"/>
    </row>
    <row r="542" customFormat="false" ht="15" hidden="false" customHeight="false" outlineLevel="0" collapsed="false">
      <c r="A542" s="9" t="s">
        <v>585</v>
      </c>
      <c r="C542" s="61" t="n">
        <f aca="false">IFERROR(S518/S490,0)</f>
        <v>314768.051885229</v>
      </c>
      <c r="D542" s="61"/>
    </row>
    <row r="543" customFormat="false" ht="23.85" hidden="false" customHeight="false" outlineLevel="0" collapsed="false">
      <c r="A543" s="9" t="s">
        <v>586</v>
      </c>
      <c r="C543" s="61" t="n">
        <f aca="false">IFERROR((S512+S514+S515+S516+S517)/S490,0)</f>
        <v>103984.484794603</v>
      </c>
      <c r="D543" s="61"/>
    </row>
    <row r="544" customFormat="false" ht="15" hidden="false" customHeight="false" outlineLevel="0" collapsed="false">
      <c r="A544" s="9" t="s">
        <v>587</v>
      </c>
      <c r="C544" s="64" t="n">
        <f aca="false">IFERROR('Engine Runs'!$C$542/('Engine Runs'!$C$541*Assumptions!$D$76/12),0)</f>
        <v>1006.74352763039</v>
      </c>
      <c r="D544" s="64"/>
    </row>
    <row r="545" customFormat="false" ht="15" hidden="false" customHeight="false" outlineLevel="0" collapsed="false">
      <c r="A545" s="9" t="s">
        <v>588</v>
      </c>
      <c r="C545" s="64" t="n">
        <f aca="false">IFERROR((R518/R490)/((R500/R490)*Assumptions!$D$76/12),0)</f>
        <v>0</v>
      </c>
      <c r="D545" s="64"/>
    </row>
    <row r="546" customFormat="false" ht="15" hidden="false" customHeight="false" outlineLevel="0" collapsed="false">
      <c r="A546" s="9" t="s">
        <v>589</v>
      </c>
      <c r="C546" s="61" t="n">
        <f aca="false">S522</f>
        <v>991145.19480967</v>
      </c>
      <c r="D546" s="61"/>
    </row>
    <row r="547" customFormat="false" ht="15" hidden="false" customHeight="false" outlineLevel="0" collapsed="false">
      <c r="A547" s="9" t="s">
        <v>590</v>
      </c>
      <c r="C547" s="61" t="n">
        <f aca="false">N525</f>
        <v>-977862.234860317</v>
      </c>
      <c r="D547" s="61"/>
    </row>
    <row r="548" customFormat="false" ht="15" hidden="false" customHeight="false" outlineLevel="0" collapsed="false">
      <c r="A548" s="9" t="s">
        <v>591</v>
      </c>
      <c r="C548" s="61" t="n">
        <f aca="false">MIN($C$525:$N$525)</f>
        <v>-984629.143454388</v>
      </c>
      <c r="D548" s="61"/>
    </row>
    <row r="549" customFormat="false" ht="15" hidden="false" customHeight="false" outlineLevel="0" collapsed="false">
      <c r="A549" s="9" t="s">
        <v>592</v>
      </c>
      <c r="C549" s="61" t="n">
        <f aca="false">N499*(Assumptions!$D$76-$C$533)*$C$532*(1-$C$532^Assumptions!$D$85)/(1-$C$532)</f>
        <v>11301.4287220523</v>
      </c>
      <c r="D549" s="61"/>
    </row>
    <row r="550" customFormat="false" ht="15" hidden="false" customHeight="false" outlineLevel="0" collapsed="false">
      <c r="A550" s="9" t="s">
        <v>593</v>
      </c>
      <c r="C550" s="61" t="n">
        <f aca="false">N499*(Assumptions!$D$76-$C$533)*(1-Assumptions!$D$88)/(1+Assumptions!$D$87)^2.5*$C$534*(1-$C$534^Assumptions!$D$85)/(1-$C$534)</f>
        <v>4444.46151023111</v>
      </c>
      <c r="D550" s="61"/>
    </row>
    <row r="551" customFormat="false" ht="15" hidden="false" customHeight="false" outlineLevel="0" collapsed="false">
      <c r="A551" s="9" t="s">
        <v>594</v>
      </c>
      <c r="C551" s="61" t="n">
        <f aca="false">SUM($C$527:$N$527)+'Engine Runs'!$C$550</f>
        <v>-912381.677303168</v>
      </c>
      <c r="D551" s="61"/>
    </row>
    <row r="552" customFormat="false" ht="15" hidden="false" customHeight="false" outlineLevel="0" collapsed="false">
      <c r="A552" s="9" t="s">
        <v>595</v>
      </c>
      <c r="C552" s="61" t="n">
        <f aca="false">SUM($C$531:$N$531)+N529*(Assumptions!$D$76-Assumptions!$D$93)/(1+Assumptions!$D$87)^2.5*$C$535*(1-$C$535^Assumptions!$D$85)/(1-$C$535)</f>
        <v>754060.773612699</v>
      </c>
      <c r="D552" s="61"/>
    </row>
    <row r="553" customFormat="false" ht="15" hidden="false" customHeight="false" outlineLevel="0" collapsed="false">
      <c r="A553" s="9" t="s">
        <v>596</v>
      </c>
      <c r="C553" s="61" t="n">
        <f aca="false">'Engine Runs'!$C$551-'Engine Runs'!$C$552</f>
        <v>-1666442.45091587</v>
      </c>
      <c r="D553" s="61"/>
    </row>
    <row r="554" customFormat="false" ht="15" hidden="false" customHeight="false" outlineLevel="0" collapsed="false">
      <c r="A554" s="9" t="s">
        <v>597</v>
      </c>
      <c r="C554" s="61" t="n">
        <f aca="false">S486</f>
        <v>6549.03456085475</v>
      </c>
      <c r="D554" s="61"/>
    </row>
    <row r="555" customFormat="false" ht="15" hidden="false" customHeight="false" outlineLevel="0" collapsed="false">
      <c r="A555" s="9" t="s">
        <v>598</v>
      </c>
      <c r="C555" s="63" t="n">
        <f aca="false">P470</f>
        <v>15.5670341760124</v>
      </c>
      <c r="D555" s="63"/>
    </row>
    <row r="556" customFormat="false" ht="15" hidden="false" customHeight="false" outlineLevel="0" collapsed="false">
      <c r="A556" s="9" t="s">
        <v>599</v>
      </c>
      <c r="C556" s="63" t="n">
        <f aca="false">P490</f>
        <v>1.54372468444785</v>
      </c>
      <c r="D556" s="63"/>
    </row>
    <row r="557" customFormat="false" ht="15" hidden="false" customHeight="false" outlineLevel="0" collapsed="false">
      <c r="A557" s="9" t="s">
        <v>600</v>
      </c>
      <c r="C557" s="63" t="n">
        <f aca="false">P466</f>
        <v>20</v>
      </c>
      <c r="D557" s="63"/>
    </row>
    <row r="558" customFormat="false" ht="15" hidden="false" customHeight="false" outlineLevel="0" collapsed="false">
      <c r="A558" s="9" t="s">
        <v>601</v>
      </c>
      <c r="C558" s="61" t="n">
        <f aca="false">IFERROR(P500/P490,0)</f>
        <v>6891.78950927565</v>
      </c>
      <c r="D558" s="61"/>
    </row>
    <row r="561" customFormat="false" ht="15" hidden="false" customHeight="true" outlineLevel="0" collapsed="false">
      <c r="A561" s="78" t="s">
        <v>770</v>
      </c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</row>
    <row r="562" customFormat="false" ht="15" hidden="false" customHeight="true" outlineLevel="0" collapsed="false">
      <c r="A562" s="79" t="s">
        <v>771</v>
      </c>
      <c r="B562" s="79"/>
      <c r="C562" s="79"/>
      <c r="D562" s="79"/>
      <c r="E562" s="79"/>
      <c r="F562" s="79"/>
      <c r="G562" s="79"/>
      <c r="H562" s="79"/>
      <c r="I562" s="79"/>
      <c r="J562" s="79"/>
      <c r="K562" s="79"/>
      <c r="L562" s="79"/>
      <c r="M562" s="79"/>
      <c r="N562" s="79"/>
    </row>
    <row r="563" customFormat="false" ht="23.85" hidden="false" customHeight="false" outlineLevel="0" collapsed="false">
      <c r="A563" s="35" t="s">
        <v>772</v>
      </c>
      <c r="B563" s="35" t="s">
        <v>444</v>
      </c>
      <c r="C563" s="6" t="s">
        <v>354</v>
      </c>
      <c r="D563" s="6" t="s">
        <v>355</v>
      </c>
      <c r="E563" s="6" t="s">
        <v>356</v>
      </c>
      <c r="F563" s="6" t="s">
        <v>357</v>
      </c>
      <c r="G563" s="6" t="s">
        <v>358</v>
      </c>
      <c r="H563" s="6" t="s">
        <v>359</v>
      </c>
      <c r="I563" s="6" t="s">
        <v>360</v>
      </c>
      <c r="J563" s="6" t="s">
        <v>361</v>
      </c>
      <c r="K563" s="6" t="s">
        <v>362</v>
      </c>
      <c r="L563" s="6" t="s">
        <v>363</v>
      </c>
      <c r="M563" s="6" t="s">
        <v>364</v>
      </c>
      <c r="N563" s="6" t="s">
        <v>365</v>
      </c>
      <c r="P563" s="6" t="s">
        <v>445</v>
      </c>
      <c r="Q563" s="6" t="s">
        <v>446</v>
      </c>
      <c r="R563" s="6" t="s">
        <v>447</v>
      </c>
      <c r="S563" s="6" t="s">
        <v>448</v>
      </c>
    </row>
    <row r="564" customFormat="false" ht="15" hidden="false" customHeight="false" outlineLevel="0" collapsed="false">
      <c r="A564" s="4" t="s">
        <v>449</v>
      </c>
      <c r="B564" s="36" t="s">
        <v>450</v>
      </c>
      <c r="C564" s="34" t="n">
        <f aca="false">'Market Sizing'!$C$17*Assumptions!$F$10*Assumptions!$F$11*(1-Assumptions!$F$12)</f>
        <v>843.03944704</v>
      </c>
    </row>
    <row r="565" customFormat="false" ht="15" hidden="false" customHeight="false" outlineLevel="0" collapsed="false">
      <c r="A565" s="4" t="s">
        <v>451</v>
      </c>
      <c r="B565" s="36" t="s">
        <v>450</v>
      </c>
      <c r="C565" s="34" t="n">
        <f aca="false">'Market Sizing'!$D$17*Assumptions!$F$10*Assumptions!$F$11*(1-Assumptions!$F$12)</f>
        <v>211.19616</v>
      </c>
    </row>
    <row r="566" customFormat="false" ht="15" hidden="false" customHeight="false" outlineLevel="0" collapsed="false">
      <c r="A566" s="4" t="s">
        <v>452</v>
      </c>
      <c r="B566" s="36" t="s">
        <v>450</v>
      </c>
      <c r="C566" s="34" t="n">
        <f aca="false">'Market Sizing'!$E$17*Assumptions!$F$10*Assumptions!$F$11*(1-Assumptions!$F$12)</f>
        <v>49.53984</v>
      </c>
    </row>
    <row r="567" customFormat="false" ht="15" hidden="false" customHeight="false" outlineLevel="0" collapsed="false">
      <c r="A567" s="4" t="s">
        <v>453</v>
      </c>
      <c r="B567" s="36"/>
      <c r="C567" s="34" t="n">
        <f aca="false">$C$564+$C$565+$C$566</f>
        <v>1103.77544704</v>
      </c>
    </row>
    <row r="568" customFormat="false" ht="15" hidden="false" customHeight="false" outlineLevel="0" collapsed="false">
      <c r="A568" s="4" t="s">
        <v>454</v>
      </c>
      <c r="B568" s="36" t="s">
        <v>450</v>
      </c>
      <c r="C568" s="34" t="n">
        <f aca="false">'Market Sizing'!$C$18*Assumptions!$F$10*Assumptions!$F$11*(1-Assumptions!$F$12)</f>
        <v>612.57706944</v>
      </c>
    </row>
    <row r="569" customFormat="false" ht="15" hidden="false" customHeight="false" outlineLevel="0" collapsed="false">
      <c r="A569" s="4" t="s">
        <v>455</v>
      </c>
      <c r="B569" s="36" t="s">
        <v>450</v>
      </c>
      <c r="C569" s="34" t="n">
        <f aca="false">'Market Sizing'!$D$18*Assumptions!$F$10*Assumptions!$F$11*(1-Assumptions!$F$12)</f>
        <v>142.10112</v>
      </c>
    </row>
    <row r="570" customFormat="false" ht="15" hidden="false" customHeight="false" outlineLevel="0" collapsed="false">
      <c r="A570" s="4" t="s">
        <v>456</v>
      </c>
      <c r="B570" s="36" t="s">
        <v>450</v>
      </c>
      <c r="C570" s="34" t="n">
        <f aca="false">'Market Sizing'!$E$18*Assumptions!$F$10*Assumptions!$F$11*(1-Assumptions!$F$12)</f>
        <v>24.76992</v>
      </c>
    </row>
    <row r="571" customFormat="false" ht="15" hidden="false" customHeight="false" outlineLevel="0" collapsed="false">
      <c r="A571" s="4" t="s">
        <v>457</v>
      </c>
      <c r="B571" s="36"/>
      <c r="C571" s="34" t="n">
        <f aca="false">$C$568+$C$569+$C$570</f>
        <v>779.44810944</v>
      </c>
    </row>
    <row r="572" customFormat="false" ht="15" hidden="false" customHeight="false" outlineLevel="0" collapsed="false">
      <c r="A572" s="4" t="s">
        <v>458</v>
      </c>
      <c r="B572" s="36" t="s">
        <v>450</v>
      </c>
      <c r="C572" s="34" t="n">
        <f aca="false">'Market Sizing'!$C$19*Assumptions!$F$10*Assumptions!$F$11*(1-Assumptions!$F$12)</f>
        <v>2060.77303936</v>
      </c>
    </row>
    <row r="573" customFormat="false" ht="15" hidden="false" customHeight="false" outlineLevel="0" collapsed="false">
      <c r="A573" s="4" t="s">
        <v>459</v>
      </c>
      <c r="B573" s="36" t="s">
        <v>450</v>
      </c>
      <c r="C573" s="34" t="n">
        <f aca="false">'Market Sizing'!$D$19*Assumptions!$F$10*Assumptions!$F$11*(1-Assumptions!$F$12)</f>
        <v>428.47616</v>
      </c>
    </row>
    <row r="574" customFormat="false" ht="15" hidden="false" customHeight="false" outlineLevel="0" collapsed="false">
      <c r="A574" s="4" t="s">
        <v>460</v>
      </c>
      <c r="B574" s="36" t="s">
        <v>450</v>
      </c>
      <c r="C574" s="34" t="n">
        <f aca="false">'Market Sizing'!$E$19*Assumptions!$F$10*Assumptions!$F$11*(1-Assumptions!$F$12)</f>
        <v>79.52448</v>
      </c>
    </row>
    <row r="575" customFormat="false" ht="15" hidden="false" customHeight="false" outlineLevel="0" collapsed="false">
      <c r="A575" s="4" t="s">
        <v>461</v>
      </c>
      <c r="B575" s="36"/>
      <c r="C575" s="34" t="n">
        <f aca="false">$C$572+$C$573+$C$574</f>
        <v>2568.77367936</v>
      </c>
    </row>
    <row r="576" customFormat="false" ht="15" hidden="false" customHeight="false" outlineLevel="0" collapsed="false">
      <c r="A576" s="4" t="s">
        <v>462</v>
      </c>
      <c r="B576" s="36" t="s">
        <v>463</v>
      </c>
      <c r="C576" s="33" t="n">
        <f aca="false">MAX((Assumptions!$F$51+Assumptions!$F$53)*12,(((('Market Sizing'!$E$25*Assumptions!$F$41*Assumptions!$F$42*Assumptions!$F$43)*Assumptions!$F$44)*Assumptions!$F$45*Assumptions!$F$46+('Market Sizing'!$E$25*Assumptions!$F$41*Assumptions!$F$42*Assumptions!$F$43)*Assumptions!$F$47+('Market Sizing'!$E$25*Assumptions!$F$41*Assumptions!$F$42*Assumptions!$F$43)*Assumptions!$F$48*Assumptions!$F$49)*(Assumptions!$F$51*12/Assumptions!$F$52)+((('Market Sizing'!$E$25*Assumptions!$F$41*Assumptions!$F$42*Assumptions!$F$43)*Assumptions!$F$44)*Assumptions!$F$45+('Market Sizing'!$E$25*Assumptions!$F$41*Assumptions!$F$42*Assumptions!$F$43)+('Market Sizing'!$E$25*Assumptions!$F$41*Assumptions!$F$42*Assumptions!$F$43)*Assumptions!$F$48)*Assumptions!$F$50*(Assumptions!$F$53*12/Assumptions!$F$54)))</f>
        <v>5352</v>
      </c>
    </row>
    <row r="577" customFormat="false" ht="15" hidden="false" customHeight="false" outlineLevel="0" collapsed="false">
      <c r="A577" s="4" t="s">
        <v>464</v>
      </c>
      <c r="B577" s="36" t="s">
        <v>463</v>
      </c>
      <c r="C577" s="33" t="n">
        <f aca="false">MAX((Assumptions!$F$51+Assumptions!$F$53)*12,(((('Market Sizing'!$E$26*Assumptions!$F$41*Assumptions!$F$42*Assumptions!$F$43)*Assumptions!$F$44)*Assumptions!$F$45*Assumptions!$F$46+('Market Sizing'!$E$26*Assumptions!$F$41*Assumptions!$F$42*Assumptions!$F$43)*Assumptions!$F$47+('Market Sizing'!$E$26*Assumptions!$F$41*Assumptions!$F$42*Assumptions!$F$43)*Assumptions!$F$48*Assumptions!$F$49)*(Assumptions!$F$51*12/Assumptions!$F$52)+((('Market Sizing'!$E$26*Assumptions!$F$41*Assumptions!$F$42*Assumptions!$F$43)*Assumptions!$F$44)*Assumptions!$F$45+('Market Sizing'!$E$26*Assumptions!$F$41*Assumptions!$F$42*Assumptions!$F$43)+('Market Sizing'!$E$26*Assumptions!$F$41*Assumptions!$F$42*Assumptions!$F$43)*Assumptions!$F$48)*Assumptions!$F$50*(Assumptions!$F$53*12/Assumptions!$F$54)))</f>
        <v>14650.0801931281</v>
      </c>
    </row>
    <row r="578" customFormat="false" ht="15" hidden="false" customHeight="false" outlineLevel="0" collapsed="false">
      <c r="A578" s="4" t="s">
        <v>465</v>
      </c>
      <c r="B578" s="36" t="s">
        <v>463</v>
      </c>
      <c r="C578" s="33" t="n">
        <f aca="false">MAX(Assumptions!$F$55*(Assumptions!$F$51*12/Assumptions!$F$52)+Assumptions!$F$56*(Assumptions!$F$53*12/Assumptions!$F$54),(((('Market Sizing'!$E$27*Assumptions!$F$41*Assumptions!$F$42*Assumptions!$F$43)*Assumptions!$F$44)*Assumptions!$F$45*Assumptions!$F$46+('Market Sizing'!$E$27*Assumptions!$F$41*Assumptions!$F$42*Assumptions!$F$43)*Assumptions!$F$47+('Market Sizing'!$E$27*Assumptions!$F$41*Assumptions!$F$42*Assumptions!$F$43)*Assumptions!$F$48*Assumptions!$F$49)*(Assumptions!$F$51*12/Assumptions!$F$52)+((('Market Sizing'!$E$27*Assumptions!$F$41*Assumptions!$F$42*Assumptions!$F$43)*Assumptions!$F$44)*Assumptions!$F$45+('Market Sizing'!$E$27*Assumptions!$F$41*Assumptions!$F$42*Assumptions!$F$43)+('Market Sizing'!$E$27*Assumptions!$F$41*Assumptions!$F$42*Assumptions!$F$43)*Assumptions!$F$48)*Assumptions!$F$50*(Assumptions!$F$53*12/Assumptions!$F$54)))*(1-Assumptions!$F$57)</f>
        <v>92667.3843291578</v>
      </c>
    </row>
    <row r="579" customFormat="false" ht="23.85" hidden="false" customHeight="false" outlineLevel="0" collapsed="false">
      <c r="A579" s="4" t="s">
        <v>466</v>
      </c>
      <c r="B579" s="36" t="s">
        <v>467</v>
      </c>
      <c r="C579" s="37" t="n">
        <f aca="false">Assumptions!$F$17*Assumptions!$D$106</f>
        <v>0.5</v>
      </c>
    </row>
    <row r="580" customFormat="false" ht="23.85" hidden="false" customHeight="false" outlineLevel="0" collapsed="false">
      <c r="A580" s="4" t="s">
        <v>468</v>
      </c>
      <c r="B580" s="36" t="s">
        <v>469</v>
      </c>
      <c r="C580" s="33" t="n">
        <f aca="false">Assumptions!$F$68/Assumptions!$F$69</f>
        <v>285714.285714286</v>
      </c>
    </row>
    <row r="581" customFormat="false" ht="23.85" hidden="false" customHeight="false" outlineLevel="0" collapsed="false">
      <c r="A581" s="4" t="s">
        <v>470</v>
      </c>
      <c r="B581" s="36" t="s">
        <v>471</v>
      </c>
      <c r="C581" s="33" t="n">
        <f aca="false">Assumptions!$F$66*Assumptions!$F$67/4</f>
        <v>185937.5</v>
      </c>
    </row>
    <row r="582" customFormat="false" ht="15" hidden="false" customHeight="false" outlineLevel="0" collapsed="false">
      <c r="A582" s="4" t="s">
        <v>472</v>
      </c>
      <c r="B582" s="36"/>
      <c r="C582" s="38" t="n">
        <f aca="false">$C$580/Assumptions!$F$66/Assumptions!$F$67</f>
        <v>0.384153661464586</v>
      </c>
    </row>
    <row r="583" customFormat="false" ht="15" hidden="false" customHeight="false" outlineLevel="0" collapsed="false">
      <c r="A583" s="4" t="s">
        <v>473</v>
      </c>
      <c r="B583" s="36"/>
      <c r="C583" s="33" t="n">
        <f aca="false">MAX(0,Assumptions!$D$103-Assumptions!$F$78)</f>
        <v>0</v>
      </c>
    </row>
    <row r="584" customFormat="false" ht="15" hidden="false" customHeight="false" outlineLevel="0" collapsed="false">
      <c r="A584" s="35" t="s">
        <v>474</v>
      </c>
      <c r="B584" s="35" t="s">
        <v>444</v>
      </c>
      <c r="C584" s="6" t="s">
        <v>354</v>
      </c>
      <c r="D584" s="6" t="s">
        <v>355</v>
      </c>
      <c r="E584" s="6" t="s">
        <v>356</v>
      </c>
      <c r="F584" s="6" t="s">
        <v>357</v>
      </c>
      <c r="G584" s="6" t="s">
        <v>358</v>
      </c>
      <c r="H584" s="6" t="s">
        <v>359</v>
      </c>
      <c r="I584" s="6" t="s">
        <v>360</v>
      </c>
      <c r="J584" s="6" t="s">
        <v>361</v>
      </c>
      <c r="K584" s="6" t="s">
        <v>362</v>
      </c>
      <c r="L584" s="6" t="s">
        <v>363</v>
      </c>
      <c r="M584" s="6" t="s">
        <v>364</v>
      </c>
      <c r="N584" s="6" t="s">
        <v>365</v>
      </c>
      <c r="P584" s="6" t="s">
        <v>445</v>
      </c>
      <c r="Q584" s="6" t="s">
        <v>446</v>
      </c>
      <c r="R584" s="6" t="s">
        <v>447</v>
      </c>
      <c r="S584" s="6" t="s">
        <v>448</v>
      </c>
    </row>
    <row r="585" customFormat="false" ht="15" hidden="false" customHeight="false" outlineLevel="0" collapsed="false">
      <c r="A585" s="4" t="s">
        <v>475</v>
      </c>
      <c r="B585" s="36" t="s">
        <v>133</v>
      </c>
      <c r="C585" s="39" t="n">
        <v>1</v>
      </c>
      <c r="D585" s="39" t="n">
        <v>2</v>
      </c>
      <c r="E585" s="39" t="n">
        <v>3</v>
      </c>
      <c r="F585" s="39" t="n">
        <v>4</v>
      </c>
      <c r="G585" s="39" t="n">
        <v>5</v>
      </c>
      <c r="H585" s="39" t="n">
        <v>6</v>
      </c>
      <c r="I585" s="39" t="n">
        <v>7</v>
      </c>
      <c r="J585" s="39" t="n">
        <v>8</v>
      </c>
      <c r="K585" s="39" t="n">
        <v>9</v>
      </c>
      <c r="L585" s="39" t="n">
        <v>10</v>
      </c>
      <c r="M585" s="39" t="n">
        <v>11</v>
      </c>
      <c r="N585" s="39" t="n">
        <v>12</v>
      </c>
      <c r="P585" s="40"/>
      <c r="Q585" s="40"/>
      <c r="R585" s="40"/>
      <c r="S585" s="41"/>
    </row>
    <row r="586" customFormat="false" ht="15" hidden="false" customHeight="false" outlineLevel="0" collapsed="false">
      <c r="A586" s="4" t="s">
        <v>476</v>
      </c>
      <c r="B586" s="36" t="s">
        <v>343</v>
      </c>
      <c r="C586" s="39" t="n">
        <f aca="false">IF(C585&lt;=Assumptions!$F$84,1,0)</f>
        <v>1</v>
      </c>
      <c r="D586" s="39" t="n">
        <f aca="false">IF(D585&lt;=Assumptions!$F$84,1,0)</f>
        <v>1</v>
      </c>
      <c r="E586" s="39" t="n">
        <f aca="false">IF(E585&lt;=Assumptions!$F$84,1,0)</f>
        <v>1</v>
      </c>
      <c r="F586" s="39" t="n">
        <f aca="false">IF(F585&lt;=Assumptions!$F$84,1,0)</f>
        <v>1</v>
      </c>
      <c r="G586" s="39" t="n">
        <f aca="false">IF(G585&lt;=Assumptions!$F$84,1,0)</f>
        <v>1</v>
      </c>
      <c r="H586" s="39" t="n">
        <f aca="false">IF(H585&lt;=Assumptions!$F$84,1,0)</f>
        <v>1</v>
      </c>
      <c r="I586" s="39" t="n">
        <f aca="false">IF(I585&lt;=Assumptions!$F$84,1,0)</f>
        <v>1</v>
      </c>
      <c r="J586" s="39" t="n">
        <f aca="false">IF(J585&lt;=Assumptions!$F$84,1,0)</f>
        <v>1</v>
      </c>
      <c r="K586" s="39" t="n">
        <f aca="false">IF(K585&lt;=Assumptions!$F$84,1,0)</f>
        <v>1</v>
      </c>
      <c r="L586" s="39" t="n">
        <f aca="false">IF(L585&lt;=Assumptions!$F$84,1,0)</f>
        <v>1</v>
      </c>
      <c r="M586" s="39" t="n">
        <f aca="false">IF(M585&lt;=Assumptions!$F$84,1,0)</f>
        <v>1</v>
      </c>
      <c r="N586" s="39" t="n">
        <f aca="false">IF(N585&lt;=Assumptions!$F$84,1,0)</f>
        <v>1</v>
      </c>
      <c r="P586" s="40"/>
      <c r="Q586" s="40"/>
      <c r="R586" s="40"/>
      <c r="S586" s="41"/>
    </row>
    <row r="587" customFormat="false" ht="15" hidden="false" customHeight="false" outlineLevel="0" collapsed="false">
      <c r="A587" s="4" t="s">
        <v>477</v>
      </c>
      <c r="B587" s="36" t="s">
        <v>478</v>
      </c>
      <c r="C587" s="42" t="n">
        <f aca="false">IF(C585=Assumptions!$F$13,0.5,IF(C585&gt;Assumptions!$F$13,1,0))</f>
        <v>0.5</v>
      </c>
      <c r="D587" s="42" t="n">
        <f aca="false">IF(D585=Assumptions!$F$13,0.5,IF(D585&gt;Assumptions!$F$13,1,0))</f>
        <v>1</v>
      </c>
      <c r="E587" s="42" t="n">
        <f aca="false">IF(E585=Assumptions!$F$13,0.5,IF(E585&gt;Assumptions!$F$13,1,0))</f>
        <v>1</v>
      </c>
      <c r="F587" s="42" t="n">
        <f aca="false">IF(F585=Assumptions!$F$13,0.5,IF(F585&gt;Assumptions!$F$13,1,0))</f>
        <v>1</v>
      </c>
      <c r="G587" s="42" t="n">
        <f aca="false">IF(G585=Assumptions!$F$13,0.5,IF(G585&gt;Assumptions!$F$13,1,0))</f>
        <v>1</v>
      </c>
      <c r="H587" s="42" t="n">
        <f aca="false">IF(H585=Assumptions!$F$13,0.5,IF(H585&gt;Assumptions!$F$13,1,0))</f>
        <v>1</v>
      </c>
      <c r="I587" s="42" t="n">
        <f aca="false">IF(I585=Assumptions!$F$13,0.5,IF(I585&gt;Assumptions!$F$13,1,0))</f>
        <v>1</v>
      </c>
      <c r="J587" s="42" t="n">
        <f aca="false">IF(J585=Assumptions!$F$13,0.5,IF(J585&gt;Assumptions!$F$13,1,0))</f>
        <v>1</v>
      </c>
      <c r="K587" s="42" t="n">
        <f aca="false">IF(K585=Assumptions!$F$13,0.5,IF(K585&gt;Assumptions!$F$13,1,0))</f>
        <v>1</v>
      </c>
      <c r="L587" s="42" t="n">
        <f aca="false">IF(L585=Assumptions!$F$13,0.5,IF(L585&gt;Assumptions!$F$13,1,0))</f>
        <v>1</v>
      </c>
      <c r="M587" s="42" t="n">
        <f aca="false">IF(M585=Assumptions!$F$13,0.5,IF(M585&gt;Assumptions!$F$13,1,0))</f>
        <v>1</v>
      </c>
      <c r="N587" s="42" t="n">
        <f aca="false">IF(N585=Assumptions!$F$13,0.5,IF(N585&gt;Assumptions!$F$13,1,0))</f>
        <v>1</v>
      </c>
      <c r="P587" s="43"/>
      <c r="Q587" s="43"/>
      <c r="R587" s="43"/>
      <c r="S587" s="44"/>
    </row>
    <row r="588" customFormat="false" ht="15" hidden="false" customHeight="false" outlineLevel="0" collapsed="false">
      <c r="A588" s="4" t="s">
        <v>479</v>
      </c>
      <c r="B588" s="36" t="s">
        <v>478</v>
      </c>
      <c r="C588" s="42" t="n">
        <f aca="false">IF(C585=Assumptions!$F$14,0.5,IF(C585&gt;Assumptions!$F$14,1,0))</f>
        <v>0</v>
      </c>
      <c r="D588" s="42" t="n">
        <f aca="false">IF(D585=Assumptions!$F$14,0.5,IF(D585&gt;Assumptions!$F$14,1,0))</f>
        <v>0</v>
      </c>
      <c r="E588" s="42" t="n">
        <f aca="false">IF(E585=Assumptions!$F$14,0.5,IF(E585&gt;Assumptions!$F$14,1,0))</f>
        <v>0</v>
      </c>
      <c r="F588" s="42" t="n">
        <f aca="false">IF(F585=Assumptions!$F$14,0.5,IF(F585&gt;Assumptions!$F$14,1,0))</f>
        <v>0.5</v>
      </c>
      <c r="G588" s="42" t="n">
        <f aca="false">IF(G585=Assumptions!$F$14,0.5,IF(G585&gt;Assumptions!$F$14,1,0))</f>
        <v>1</v>
      </c>
      <c r="H588" s="42" t="n">
        <f aca="false">IF(H585=Assumptions!$F$14,0.5,IF(H585&gt;Assumptions!$F$14,1,0))</f>
        <v>1</v>
      </c>
      <c r="I588" s="42" t="n">
        <f aca="false">IF(I585=Assumptions!$F$14,0.5,IF(I585&gt;Assumptions!$F$14,1,0))</f>
        <v>1</v>
      </c>
      <c r="J588" s="42" t="n">
        <f aca="false">IF(J585=Assumptions!$F$14,0.5,IF(J585&gt;Assumptions!$F$14,1,0))</f>
        <v>1</v>
      </c>
      <c r="K588" s="42" t="n">
        <f aca="false">IF(K585=Assumptions!$F$14,0.5,IF(K585&gt;Assumptions!$F$14,1,0))</f>
        <v>1</v>
      </c>
      <c r="L588" s="42" t="n">
        <f aca="false">IF(L585=Assumptions!$F$14,0.5,IF(L585&gt;Assumptions!$F$14,1,0))</f>
        <v>1</v>
      </c>
      <c r="M588" s="42" t="n">
        <f aca="false">IF(M585=Assumptions!$F$14,0.5,IF(M585&gt;Assumptions!$F$14,1,0))</f>
        <v>1</v>
      </c>
      <c r="N588" s="42" t="n">
        <f aca="false">IF(N585=Assumptions!$F$14,0.5,IF(N585&gt;Assumptions!$F$14,1,0))</f>
        <v>1</v>
      </c>
      <c r="P588" s="43"/>
      <c r="Q588" s="43"/>
      <c r="R588" s="43"/>
      <c r="S588" s="44"/>
    </row>
    <row r="589" customFormat="false" ht="15" hidden="false" customHeight="false" outlineLevel="0" collapsed="false">
      <c r="A589" s="4" t="s">
        <v>480</v>
      </c>
      <c r="B589" s="36" t="s">
        <v>478</v>
      </c>
      <c r="C589" s="42" t="n">
        <f aca="false">IF(C585=Assumptions!$F$15,0.5,IF(C585&gt;Assumptions!$F$15,1,0))</f>
        <v>0</v>
      </c>
      <c r="D589" s="42" t="n">
        <f aca="false">IF(D585=Assumptions!$F$15,0.5,IF(D585&gt;Assumptions!$F$15,1,0))</f>
        <v>0</v>
      </c>
      <c r="E589" s="42" t="n">
        <f aca="false">IF(E585=Assumptions!$F$15,0.5,IF(E585&gt;Assumptions!$F$15,1,0))</f>
        <v>0</v>
      </c>
      <c r="F589" s="42" t="n">
        <f aca="false">IF(F585=Assumptions!$F$15,0.5,IF(F585&gt;Assumptions!$F$15,1,0))</f>
        <v>0</v>
      </c>
      <c r="G589" s="42" t="n">
        <f aca="false">IF(G585=Assumptions!$F$15,0.5,IF(G585&gt;Assumptions!$F$15,1,0))</f>
        <v>0</v>
      </c>
      <c r="H589" s="42" t="n">
        <f aca="false">IF(H585=Assumptions!$F$15,0.5,IF(H585&gt;Assumptions!$F$15,1,0))</f>
        <v>0.5</v>
      </c>
      <c r="I589" s="42" t="n">
        <f aca="false">IF(I585=Assumptions!$F$15,0.5,IF(I585&gt;Assumptions!$F$15,1,0))</f>
        <v>1</v>
      </c>
      <c r="J589" s="42" t="n">
        <f aca="false">IF(J585=Assumptions!$F$15,0.5,IF(J585&gt;Assumptions!$F$15,1,0))</f>
        <v>1</v>
      </c>
      <c r="K589" s="42" t="n">
        <f aca="false">IF(K585=Assumptions!$F$15,0.5,IF(K585&gt;Assumptions!$F$15,1,0))</f>
        <v>1</v>
      </c>
      <c r="L589" s="42" t="n">
        <f aca="false">IF(L585=Assumptions!$F$15,0.5,IF(L585&gt;Assumptions!$F$15,1,0))</f>
        <v>1</v>
      </c>
      <c r="M589" s="42" t="n">
        <f aca="false">IF(M585=Assumptions!$F$15,0.5,IF(M585&gt;Assumptions!$F$15,1,0))</f>
        <v>1</v>
      </c>
      <c r="N589" s="42" t="n">
        <f aca="false">IF(N585=Assumptions!$F$15,0.5,IF(N585&gt;Assumptions!$F$15,1,0))</f>
        <v>1</v>
      </c>
      <c r="P589" s="43"/>
      <c r="Q589" s="43"/>
      <c r="R589" s="43"/>
      <c r="S589" s="44"/>
    </row>
    <row r="590" customFormat="false" ht="15" hidden="false" customHeight="false" outlineLevel="0" collapsed="false">
      <c r="A590" s="4" t="s">
        <v>481</v>
      </c>
      <c r="B590" s="36" t="s">
        <v>478</v>
      </c>
      <c r="C590" s="45" t="n">
        <f aca="false">Assumptions!$F$21^(MAX(0,C585-Assumptions!$F$13)/4)</f>
        <v>1</v>
      </c>
      <c r="D590" s="45" t="n">
        <f aca="false">Assumptions!$F$21^(MAX(0,D585-Assumptions!$F$13)/4)</f>
        <v>0.960184589404188</v>
      </c>
      <c r="E590" s="45" t="n">
        <f aca="false">Assumptions!$F$21^(MAX(0,E585-Assumptions!$F$13)/4)</f>
        <v>0.921954445729289</v>
      </c>
      <c r="F590" s="45" t="n">
        <f aca="false">Assumptions!$F$21^(MAX(0,F585-Assumptions!$F$13)/4)</f>
        <v>0.885246450921943</v>
      </c>
      <c r="G590" s="45" t="n">
        <f aca="false">Assumptions!$F$21^(MAX(0,G585-Assumptions!$F$13)/4)</f>
        <v>0.85</v>
      </c>
      <c r="H590" s="45" t="n">
        <f aca="false">Assumptions!$F$21^(MAX(0,H585-Assumptions!$F$13)/4)</f>
        <v>0.81615690099356</v>
      </c>
      <c r="I590" s="45" t="n">
        <f aca="false">Assumptions!$F$21^(MAX(0,I585-Assumptions!$F$13)/4)</f>
        <v>0.783661278869895</v>
      </c>
      <c r="J590" s="45" t="n">
        <f aca="false">Assumptions!$F$21^(MAX(0,J585-Assumptions!$F$13)/4)</f>
        <v>0.752459483283651</v>
      </c>
      <c r="K590" s="45" t="n">
        <f aca="false">Assumptions!$F$21^(MAX(0,K585-Assumptions!$F$13)/4)</f>
        <v>0.7225</v>
      </c>
      <c r="L590" s="45" t="n">
        <f aca="false">Assumptions!$F$21^(MAX(0,L585-Assumptions!$F$13)/4)</f>
        <v>0.693733365844526</v>
      </c>
      <c r="M590" s="45" t="n">
        <f aca="false">Assumptions!$F$21^(MAX(0,M585-Assumptions!$F$13)/4)</f>
        <v>0.666112087039411</v>
      </c>
      <c r="N590" s="45" t="n">
        <f aca="false">Assumptions!$F$21^(MAX(0,N585-Assumptions!$F$13)/4)</f>
        <v>0.639590560791104</v>
      </c>
      <c r="P590" s="46"/>
      <c r="Q590" s="46"/>
      <c r="R590" s="46"/>
      <c r="S590" s="47"/>
    </row>
    <row r="591" customFormat="false" ht="15" hidden="false" customHeight="false" outlineLevel="0" collapsed="false">
      <c r="A591" s="4" t="s">
        <v>482</v>
      </c>
      <c r="B591" s="36" t="s">
        <v>478</v>
      </c>
      <c r="C591" s="45" t="n">
        <f aca="false">Assumptions!$F$21^(MAX(0,C585-Assumptions!$F$14)/4)</f>
        <v>1</v>
      </c>
      <c r="D591" s="45" t="n">
        <f aca="false">Assumptions!$F$21^(MAX(0,D585-Assumptions!$F$14)/4)</f>
        <v>1</v>
      </c>
      <c r="E591" s="45" t="n">
        <f aca="false">Assumptions!$F$21^(MAX(0,E585-Assumptions!$F$14)/4)</f>
        <v>1</v>
      </c>
      <c r="F591" s="45" t="n">
        <f aca="false">Assumptions!$F$21^(MAX(0,F585-Assumptions!$F$14)/4)</f>
        <v>1</v>
      </c>
      <c r="G591" s="45" t="n">
        <f aca="false">Assumptions!$F$21^(MAX(0,G585-Assumptions!$F$14)/4)</f>
        <v>0.960184589404188</v>
      </c>
      <c r="H591" s="45" t="n">
        <f aca="false">Assumptions!$F$21^(MAX(0,H585-Assumptions!$F$14)/4)</f>
        <v>0.921954445729289</v>
      </c>
      <c r="I591" s="45" t="n">
        <f aca="false">Assumptions!$F$21^(MAX(0,I585-Assumptions!$F$14)/4)</f>
        <v>0.885246450921943</v>
      </c>
      <c r="J591" s="45" t="n">
        <f aca="false">Assumptions!$F$21^(MAX(0,J585-Assumptions!$F$14)/4)</f>
        <v>0.85</v>
      </c>
      <c r="K591" s="45" t="n">
        <f aca="false">Assumptions!$F$21^(MAX(0,K585-Assumptions!$F$14)/4)</f>
        <v>0.81615690099356</v>
      </c>
      <c r="L591" s="45" t="n">
        <f aca="false">Assumptions!$F$21^(MAX(0,L585-Assumptions!$F$14)/4)</f>
        <v>0.783661278869895</v>
      </c>
      <c r="M591" s="45" t="n">
        <f aca="false">Assumptions!$F$21^(MAX(0,M585-Assumptions!$F$14)/4)</f>
        <v>0.752459483283651</v>
      </c>
      <c r="N591" s="45" t="n">
        <f aca="false">Assumptions!$F$21^(MAX(0,N585-Assumptions!$F$14)/4)</f>
        <v>0.7225</v>
      </c>
      <c r="P591" s="46"/>
      <c r="Q591" s="46"/>
      <c r="R591" s="46"/>
      <c r="S591" s="47"/>
    </row>
    <row r="592" customFormat="false" ht="15" hidden="false" customHeight="false" outlineLevel="0" collapsed="false">
      <c r="A592" s="4" t="s">
        <v>483</v>
      </c>
      <c r="B592" s="36" t="s">
        <v>478</v>
      </c>
      <c r="C592" s="45" t="n">
        <f aca="false">Assumptions!$F$21^(MAX(0,C585-Assumptions!$F$15)/4)</f>
        <v>1</v>
      </c>
      <c r="D592" s="45" t="n">
        <f aca="false">Assumptions!$F$21^(MAX(0,D585-Assumptions!$F$15)/4)</f>
        <v>1</v>
      </c>
      <c r="E592" s="45" t="n">
        <f aca="false">Assumptions!$F$21^(MAX(0,E585-Assumptions!$F$15)/4)</f>
        <v>1</v>
      </c>
      <c r="F592" s="45" t="n">
        <f aca="false">Assumptions!$F$21^(MAX(0,F585-Assumptions!$F$15)/4)</f>
        <v>1</v>
      </c>
      <c r="G592" s="45" t="n">
        <f aca="false">Assumptions!$F$21^(MAX(0,G585-Assumptions!$F$15)/4)</f>
        <v>1</v>
      </c>
      <c r="H592" s="45" t="n">
        <f aca="false">Assumptions!$F$21^(MAX(0,H585-Assumptions!$F$15)/4)</f>
        <v>1</v>
      </c>
      <c r="I592" s="45" t="n">
        <f aca="false">Assumptions!$F$21^(MAX(0,I585-Assumptions!$F$15)/4)</f>
        <v>0.960184589404188</v>
      </c>
      <c r="J592" s="45" t="n">
        <f aca="false">Assumptions!$F$21^(MAX(0,J585-Assumptions!$F$15)/4)</f>
        <v>0.921954445729289</v>
      </c>
      <c r="K592" s="45" t="n">
        <f aca="false">Assumptions!$F$21^(MAX(0,K585-Assumptions!$F$15)/4)</f>
        <v>0.885246450921943</v>
      </c>
      <c r="L592" s="45" t="n">
        <f aca="false">Assumptions!$F$21^(MAX(0,L585-Assumptions!$F$15)/4)</f>
        <v>0.85</v>
      </c>
      <c r="M592" s="45" t="n">
        <f aca="false">Assumptions!$F$21^(MAX(0,M585-Assumptions!$F$15)/4)</f>
        <v>0.81615690099356</v>
      </c>
      <c r="N592" s="45" t="n">
        <f aca="false">Assumptions!$F$21^(MAX(0,N585-Assumptions!$F$15)/4)</f>
        <v>0.783661278869895</v>
      </c>
      <c r="P592" s="46"/>
      <c r="Q592" s="46"/>
      <c r="R592" s="46"/>
      <c r="S592" s="47"/>
    </row>
    <row r="593" customFormat="false" ht="15" hidden="false" customHeight="false" outlineLevel="0" collapsed="false">
      <c r="A593" s="4" t="s">
        <v>484</v>
      </c>
      <c r="B593" s="36" t="s">
        <v>485</v>
      </c>
      <c r="C593" s="39" t="n">
        <f aca="false">$C$564*C587+$C$568*C588+$C$572*C589</f>
        <v>421.51972352</v>
      </c>
      <c r="D593" s="39" t="n">
        <f aca="false">$C$564*D587+$C$568*D588+$C$572*D589</f>
        <v>843.03944704</v>
      </c>
      <c r="E593" s="39" t="n">
        <f aca="false">$C$564*E587+$C$568*E588+$C$572*E589</f>
        <v>843.03944704</v>
      </c>
      <c r="F593" s="39" t="n">
        <f aca="false">$C$564*F587+$C$568*F588+$C$572*F589</f>
        <v>1149.32798176</v>
      </c>
      <c r="G593" s="39" t="n">
        <f aca="false">$C$564*G587+$C$568*G588+$C$572*G589</f>
        <v>1455.61651648</v>
      </c>
      <c r="H593" s="39" t="n">
        <f aca="false">$C$564*H587+$C$568*H588+$C$572*H589</f>
        <v>2486.00303616</v>
      </c>
      <c r="I593" s="39" t="n">
        <f aca="false">$C$564*I587+$C$568*I588+$C$572*I589</f>
        <v>3516.38955584</v>
      </c>
      <c r="J593" s="39" t="n">
        <f aca="false">$C$564*J587+$C$568*J588+$C$572*J589</f>
        <v>3516.38955584</v>
      </c>
      <c r="K593" s="39" t="n">
        <f aca="false">$C$564*K587+$C$568*K588+$C$572*K589</f>
        <v>3516.38955584</v>
      </c>
      <c r="L593" s="39" t="n">
        <f aca="false">$C$564*L587+$C$568*L588+$C$572*L589</f>
        <v>3516.38955584</v>
      </c>
      <c r="M593" s="39" t="n">
        <f aca="false">$C$564*M587+$C$568*M588+$C$572*M589</f>
        <v>3516.38955584</v>
      </c>
      <c r="N593" s="39" t="n">
        <f aca="false">$C$564*N587+$C$568*N588+$C$572*N589</f>
        <v>3516.38955584</v>
      </c>
      <c r="P593" s="40" t="n">
        <f aca="false">F593</f>
        <v>1149.32798176</v>
      </c>
      <c r="Q593" s="40" t="n">
        <f aca="false">J593</f>
        <v>3516.38955584</v>
      </c>
      <c r="R593" s="40" t="n">
        <f aca="false">N593</f>
        <v>3516.38955584</v>
      </c>
      <c r="S593" s="41" t="n">
        <f aca="false">R593</f>
        <v>3516.38955584</v>
      </c>
    </row>
    <row r="594" customFormat="false" ht="15" hidden="false" customHeight="false" outlineLevel="0" collapsed="false">
      <c r="A594" s="4" t="s">
        <v>486</v>
      </c>
      <c r="B594" s="36" t="s">
        <v>485</v>
      </c>
      <c r="C594" s="39" t="n">
        <f aca="false">$C$565*C587+$C$569*C588+$C$573*C589</f>
        <v>105.59808</v>
      </c>
      <c r="D594" s="39" t="n">
        <f aca="false">$C$565*D587+$C$569*D588+$C$573*D589</f>
        <v>211.19616</v>
      </c>
      <c r="E594" s="39" t="n">
        <f aca="false">$C$565*E587+$C$569*E588+$C$573*E589</f>
        <v>211.19616</v>
      </c>
      <c r="F594" s="39" t="n">
        <f aca="false">$C$565*F587+$C$569*F588+$C$573*F589</f>
        <v>282.24672</v>
      </c>
      <c r="G594" s="39" t="n">
        <f aca="false">$C$565*G587+$C$569*G588+$C$573*G589</f>
        <v>353.29728</v>
      </c>
      <c r="H594" s="39" t="n">
        <f aca="false">$C$565*H587+$C$569*H588+$C$573*H589</f>
        <v>567.53536</v>
      </c>
      <c r="I594" s="39" t="n">
        <f aca="false">$C$565*I587+$C$569*I588+$C$573*I589</f>
        <v>781.77344</v>
      </c>
      <c r="J594" s="39" t="n">
        <f aca="false">$C$565*J587+$C$569*J588+$C$573*J589</f>
        <v>781.77344</v>
      </c>
      <c r="K594" s="39" t="n">
        <f aca="false">$C$565*K587+$C$569*K588+$C$573*K589</f>
        <v>781.77344</v>
      </c>
      <c r="L594" s="39" t="n">
        <f aca="false">$C$565*L587+$C$569*L588+$C$573*L589</f>
        <v>781.77344</v>
      </c>
      <c r="M594" s="39" t="n">
        <f aca="false">$C$565*M587+$C$569*M588+$C$573*M589</f>
        <v>781.77344</v>
      </c>
      <c r="N594" s="39" t="n">
        <f aca="false">$C$565*N587+$C$569*N588+$C$573*N589</f>
        <v>781.77344</v>
      </c>
      <c r="P594" s="40" t="n">
        <f aca="false">F594</f>
        <v>282.24672</v>
      </c>
      <c r="Q594" s="40" t="n">
        <f aca="false">J594</f>
        <v>781.77344</v>
      </c>
      <c r="R594" s="40" t="n">
        <f aca="false">N594</f>
        <v>781.77344</v>
      </c>
      <c r="S594" s="41" t="n">
        <f aca="false">R594</f>
        <v>781.77344</v>
      </c>
    </row>
    <row r="595" customFormat="false" ht="15" hidden="false" customHeight="false" outlineLevel="0" collapsed="false">
      <c r="A595" s="4" t="s">
        <v>487</v>
      </c>
      <c r="B595" s="36" t="s">
        <v>485</v>
      </c>
      <c r="C595" s="39" t="n">
        <f aca="false">$C$566*C587+$C$570*C588+$C$574*C589</f>
        <v>24.76992</v>
      </c>
      <c r="D595" s="39" t="n">
        <f aca="false">$C$566*D587+$C$570*D588+$C$574*D589</f>
        <v>49.53984</v>
      </c>
      <c r="E595" s="39" t="n">
        <f aca="false">$C$566*E587+$C$570*E588+$C$574*E589</f>
        <v>49.53984</v>
      </c>
      <c r="F595" s="39" t="n">
        <f aca="false">$C$566*F587+$C$570*F588+$C$574*F589</f>
        <v>61.9248</v>
      </c>
      <c r="G595" s="39" t="n">
        <f aca="false">$C$566*G587+$C$570*G588+$C$574*G589</f>
        <v>74.30976</v>
      </c>
      <c r="H595" s="39" t="n">
        <f aca="false">$C$566*H587+$C$570*H588+$C$574*H589</f>
        <v>114.072</v>
      </c>
      <c r="I595" s="39" t="n">
        <f aca="false">$C$566*I587+$C$570*I588+$C$574*I589</f>
        <v>153.83424</v>
      </c>
      <c r="J595" s="39" t="n">
        <f aca="false">$C$566*J587+$C$570*J588+$C$574*J589</f>
        <v>153.83424</v>
      </c>
      <c r="K595" s="39" t="n">
        <f aca="false">$C$566*K587+$C$570*K588+$C$574*K589</f>
        <v>153.83424</v>
      </c>
      <c r="L595" s="39" t="n">
        <f aca="false">$C$566*L587+$C$570*L588+$C$574*L589</f>
        <v>153.83424</v>
      </c>
      <c r="M595" s="39" t="n">
        <f aca="false">$C$566*M587+$C$570*M588+$C$574*M589</f>
        <v>153.83424</v>
      </c>
      <c r="N595" s="39" t="n">
        <f aca="false">$C$566*N587+$C$570*N588+$C$574*N589</f>
        <v>153.83424</v>
      </c>
      <c r="P595" s="40" t="n">
        <f aca="false">F595</f>
        <v>61.9248</v>
      </c>
      <c r="Q595" s="40" t="n">
        <f aca="false">J595</f>
        <v>153.83424</v>
      </c>
      <c r="R595" s="40" t="n">
        <f aca="false">N595</f>
        <v>153.83424</v>
      </c>
      <c r="S595" s="41" t="n">
        <f aca="false">R595</f>
        <v>153.83424</v>
      </c>
    </row>
    <row r="596" customFormat="false" ht="15" hidden="false" customHeight="false" outlineLevel="0" collapsed="false">
      <c r="A596" s="4" t="s">
        <v>488</v>
      </c>
      <c r="B596" s="36" t="s">
        <v>485</v>
      </c>
      <c r="C596" s="39" t="n">
        <f aca="false">C593+C594+C595</f>
        <v>551.88772352</v>
      </c>
      <c r="D596" s="39" t="n">
        <f aca="false">D593+D594+D595</f>
        <v>1103.77544704</v>
      </c>
      <c r="E596" s="39" t="n">
        <f aca="false">E593+E594+E595</f>
        <v>1103.77544704</v>
      </c>
      <c r="F596" s="39" t="n">
        <f aca="false">F593+F594+F595</f>
        <v>1493.49950176</v>
      </c>
      <c r="G596" s="39" t="n">
        <f aca="false">G593+G594+G595</f>
        <v>1883.22355648</v>
      </c>
      <c r="H596" s="39" t="n">
        <f aca="false">H593+H594+H595</f>
        <v>3167.61039616</v>
      </c>
      <c r="I596" s="39" t="n">
        <f aca="false">I593+I594+I595</f>
        <v>4451.99723584</v>
      </c>
      <c r="J596" s="39" t="n">
        <f aca="false">J593+J594+J595</f>
        <v>4451.99723584</v>
      </c>
      <c r="K596" s="39" t="n">
        <f aca="false">K593+K594+K595</f>
        <v>4451.99723584</v>
      </c>
      <c r="L596" s="39" t="n">
        <f aca="false">L593+L594+L595</f>
        <v>4451.99723584</v>
      </c>
      <c r="M596" s="39" t="n">
        <f aca="false">M593+M594+M595</f>
        <v>4451.99723584</v>
      </c>
      <c r="N596" s="39" t="n">
        <f aca="false">N593+N594+N595</f>
        <v>4451.99723584</v>
      </c>
      <c r="P596" s="40" t="n">
        <f aca="false">F596</f>
        <v>1493.49950176</v>
      </c>
      <c r="Q596" s="40" t="n">
        <f aca="false">J596</f>
        <v>4451.99723584</v>
      </c>
      <c r="R596" s="40" t="n">
        <f aca="false">N596</f>
        <v>4451.99723584</v>
      </c>
      <c r="S596" s="41" t="n">
        <f aca="false">R596</f>
        <v>4451.99723584</v>
      </c>
    </row>
    <row r="597" customFormat="false" ht="15" hidden="false" customHeight="false" outlineLevel="0" collapsed="false">
      <c r="A597" s="4" t="s">
        <v>489</v>
      </c>
      <c r="B597" s="36" t="s">
        <v>485</v>
      </c>
      <c r="C597" s="39" t="n">
        <f aca="false">$C$567*C587*C590+$C$571*C588*C591+$C$575*C589*C592</f>
        <v>551.88772352</v>
      </c>
      <c r="D597" s="39" t="n">
        <f aca="false">$C$567*D587*D590+$C$571*D588*D591+$C$575*D589*D592</f>
        <v>1059.82817441053</v>
      </c>
      <c r="E597" s="39" t="n">
        <f aca="false">$C$567*E587*E590+$C$571*E588*E591+$C$575*E589*E592</f>
        <v>1017.63068048536</v>
      </c>
      <c r="F597" s="39" t="n">
        <f aca="false">$C$567*F587*F590+$C$571*F588*F591+$C$575*F589*F592</f>
        <v>1366.83735182694</v>
      </c>
      <c r="G597" s="39" t="n">
        <f aca="false">$C$567*G587*G590+$C$571*G588*G591+$C$575*G589*G592</f>
        <v>1686.62319290852</v>
      </c>
      <c r="H597" s="39" t="n">
        <f aca="false">$C$567*H587*H590+$C$571*H588*H591+$C$575*H589*H592</f>
        <v>2903.85643764244</v>
      </c>
      <c r="I597" s="39" t="n">
        <f aca="false">$C$567*I587*I590+$C$571*I588*I591+$C$575*I589*I592</f>
        <v>4021.4866515607</v>
      </c>
      <c r="J597" s="39" t="n">
        <f aca="false">$C$567*J587*J590+$C$571*J588*J591+$C$575*J589*J592</f>
        <v>3861.36950932324</v>
      </c>
      <c r="K597" s="39" t="n">
        <f aca="false">$C$567*K587*K590+$C$571*K588*K591+$C$575*K589*K592</f>
        <v>3707.62749684738</v>
      </c>
      <c r="L597" s="39" t="n">
        <f aca="false">$C$567*L587*L590+$C$571*L588*L591+$C$575*L589*L592</f>
        <v>3560.00678572408</v>
      </c>
      <c r="M597" s="39" t="n">
        <f aca="false">$C$567*M587*M590+$C$571*M588*M591+$C$575*M589*M592</f>
        <v>3418.2636538266</v>
      </c>
      <c r="N597" s="39" t="n">
        <f aca="false">$C$567*N587*N590+$C$571*N588*N591+$C$575*N589*N592</f>
        <v>3282.16408292475</v>
      </c>
      <c r="P597" s="40"/>
      <c r="Q597" s="40"/>
      <c r="R597" s="40"/>
      <c r="S597" s="41"/>
    </row>
    <row r="598" customFormat="false" ht="15" hidden="false" customHeight="false" outlineLevel="0" collapsed="false">
      <c r="A598" s="4" t="s">
        <v>490</v>
      </c>
      <c r="B598" s="36" t="s">
        <v>491</v>
      </c>
      <c r="C598" s="48" t="n">
        <f aca="false">$C$579*Assumptions!$F$20*C586*C597</f>
        <v>12.4174737792</v>
      </c>
      <c r="D598" s="48" t="n">
        <f aca="false">$C$579*Assumptions!$F$20*D586*D597</f>
        <v>23.8461339242368</v>
      </c>
      <c r="E598" s="48" t="n">
        <f aca="false">$C$579*Assumptions!$F$20*E586*E597</f>
        <v>22.8966903109206</v>
      </c>
      <c r="F598" s="48" t="n">
        <f aca="false">$C$579*Assumptions!$F$20*F586*F597</f>
        <v>30.7538404161062</v>
      </c>
      <c r="G598" s="48" t="n">
        <f aca="false">$C$579*Assumptions!$F$20*G586*G597</f>
        <v>37.9490218404416</v>
      </c>
      <c r="H598" s="48" t="n">
        <f aca="false">$C$579*Assumptions!$F$20*H586*H597</f>
        <v>65.336769846955</v>
      </c>
      <c r="I598" s="48" t="n">
        <f aca="false">$C$579*Assumptions!$F$20*I586*I597</f>
        <v>90.4834496601158</v>
      </c>
      <c r="J598" s="48" t="n">
        <f aca="false">$C$579*Assumptions!$F$20*J586*J597</f>
        <v>86.8808139597728</v>
      </c>
      <c r="K598" s="48" t="n">
        <f aca="false">$C$579*Assumptions!$F$20*K586*K597</f>
        <v>83.421618679066</v>
      </c>
      <c r="L598" s="48" t="n">
        <f aca="false">$C$579*Assumptions!$F$20*L586*L597</f>
        <v>80.1001526787918</v>
      </c>
      <c r="M598" s="48" t="n">
        <f aca="false">$C$579*Assumptions!$F$20*M586*M597</f>
        <v>76.9109322110984</v>
      </c>
      <c r="N598" s="48" t="n">
        <f aca="false">$C$579*Assumptions!$F$20*N586*N597</f>
        <v>73.8486918658069</v>
      </c>
      <c r="P598" s="49" t="n">
        <f aca="false">SUM(C598:F598)</f>
        <v>89.9141384304636</v>
      </c>
      <c r="Q598" s="49" t="n">
        <f aca="false">SUM(G598:J598)</f>
        <v>280.650055307285</v>
      </c>
      <c r="R598" s="49" t="n">
        <f aca="false">SUM(K598:N598)</f>
        <v>314.281395434763</v>
      </c>
      <c r="S598" s="50" t="n">
        <f aca="false">SUM(P598:R598)</f>
        <v>684.845589172512</v>
      </c>
    </row>
    <row r="599" customFormat="false" ht="15" hidden="false" customHeight="false" outlineLevel="0" collapsed="false">
      <c r="A599" s="4" t="s">
        <v>492</v>
      </c>
      <c r="B599" s="36" t="s">
        <v>321</v>
      </c>
      <c r="C599" s="48" t="n">
        <f aca="false">Assumptions!$D$114</f>
        <v>0</v>
      </c>
      <c r="D599" s="48" t="n">
        <f aca="false">Assumptions!$E$114</f>
        <v>0</v>
      </c>
      <c r="E599" s="48" t="n">
        <f aca="false">Assumptions!$F$114</f>
        <v>0</v>
      </c>
      <c r="F599" s="48" t="n">
        <f aca="false">Assumptions!$G$114</f>
        <v>0</v>
      </c>
      <c r="G599" s="48" t="n">
        <f aca="false">Assumptions!$H$114</f>
        <v>1</v>
      </c>
      <c r="H599" s="48" t="n">
        <f aca="false">Assumptions!$I$114</f>
        <v>2</v>
      </c>
      <c r="I599" s="48" t="n">
        <f aca="false">Assumptions!$J$114</f>
        <v>2</v>
      </c>
      <c r="J599" s="48" t="n">
        <f aca="false">Assumptions!$K$114</f>
        <v>2</v>
      </c>
      <c r="K599" s="48" t="n">
        <f aca="false">Assumptions!$L$114</f>
        <v>2</v>
      </c>
      <c r="L599" s="48" t="n">
        <f aca="false">Assumptions!$M$114</f>
        <v>2</v>
      </c>
      <c r="M599" s="48" t="n">
        <f aca="false">Assumptions!$N$114</f>
        <v>2</v>
      </c>
      <c r="N599" s="48" t="n">
        <f aca="false">Assumptions!$O$114</f>
        <v>2</v>
      </c>
      <c r="P599" s="49" t="n">
        <f aca="false">F599</f>
        <v>0</v>
      </c>
      <c r="Q599" s="49" t="n">
        <f aca="false">J599</f>
        <v>2</v>
      </c>
      <c r="R599" s="49" t="n">
        <f aca="false">N599</f>
        <v>2</v>
      </c>
      <c r="S599" s="50" t="n">
        <f aca="false">R599</f>
        <v>2</v>
      </c>
    </row>
    <row r="600" customFormat="false" ht="15" hidden="false" customHeight="false" outlineLevel="0" collapsed="false">
      <c r="A600" s="4" t="s">
        <v>493</v>
      </c>
      <c r="B600" s="36" t="s">
        <v>321</v>
      </c>
      <c r="C600" s="48" t="n">
        <f aca="false">0</f>
        <v>0</v>
      </c>
      <c r="D600" s="48" t="n">
        <f aca="false">0.5*C599</f>
        <v>0</v>
      </c>
      <c r="E600" s="48" t="n">
        <f aca="false">C599+0.5*(D599-C599)</f>
        <v>0</v>
      </c>
      <c r="F600" s="48" t="n">
        <f aca="false">D599+0.5*(E599-D599)</f>
        <v>0</v>
      </c>
      <c r="G600" s="48" t="n">
        <f aca="false">E599+0.5*(F599-E599)</f>
        <v>0</v>
      </c>
      <c r="H600" s="48" t="n">
        <f aca="false">F599+0.5*(G599-F599)</f>
        <v>0.5</v>
      </c>
      <c r="I600" s="48" t="n">
        <f aca="false">G599+0.5*(H599-G599)</f>
        <v>1.5</v>
      </c>
      <c r="J600" s="48" t="n">
        <f aca="false">H599+0.5*(I599-H599)</f>
        <v>2</v>
      </c>
      <c r="K600" s="48" t="n">
        <f aca="false">I599+0.5*(J599-I599)</f>
        <v>2</v>
      </c>
      <c r="L600" s="48" t="n">
        <f aca="false">J599+0.5*(K599-J599)</f>
        <v>2</v>
      </c>
      <c r="M600" s="48" t="n">
        <f aca="false">K599+0.5*(L599-K599)</f>
        <v>2</v>
      </c>
      <c r="N600" s="48" t="n">
        <f aca="false">L599+0.5*(M599-L599)</f>
        <v>2</v>
      </c>
      <c r="P600" s="49" t="n">
        <f aca="false">F600</f>
        <v>0</v>
      </c>
      <c r="Q600" s="49" t="n">
        <f aca="false">J600</f>
        <v>2</v>
      </c>
      <c r="R600" s="49" t="n">
        <f aca="false">N600</f>
        <v>2</v>
      </c>
      <c r="S600" s="50" t="n">
        <f aca="false">R600</f>
        <v>2</v>
      </c>
    </row>
    <row r="601" customFormat="false" ht="15" hidden="false" customHeight="false" outlineLevel="0" collapsed="false">
      <c r="A601" s="4" t="s">
        <v>494</v>
      </c>
      <c r="B601" s="36" t="s">
        <v>485</v>
      </c>
      <c r="C601" s="39" t="n">
        <f aca="false">MIN(C600*Assumptions!$F$38,C596*(1-$C$579))</f>
        <v>0</v>
      </c>
      <c r="D601" s="39" t="n">
        <f aca="false">MIN(D600*Assumptions!$F$38,D596*(1-$C$579))</f>
        <v>0</v>
      </c>
      <c r="E601" s="39" t="n">
        <f aca="false">MIN(E600*Assumptions!$F$38,E596*(1-$C$579))</f>
        <v>0</v>
      </c>
      <c r="F601" s="39" t="n">
        <f aca="false">MIN(F600*Assumptions!$F$38,F596*(1-$C$579))</f>
        <v>0</v>
      </c>
      <c r="G601" s="39" t="n">
        <f aca="false">MIN(G600*Assumptions!$F$38,G596*(1-$C$579))</f>
        <v>0</v>
      </c>
      <c r="H601" s="39" t="n">
        <f aca="false">MIN(H600*Assumptions!$F$38,H596*(1-$C$579))</f>
        <v>100</v>
      </c>
      <c r="I601" s="39" t="n">
        <f aca="false">MIN(I600*Assumptions!$F$38,I596*(1-$C$579))</f>
        <v>300</v>
      </c>
      <c r="J601" s="39" t="n">
        <f aca="false">MIN(J600*Assumptions!$F$38,J596*(1-$C$579))</f>
        <v>400</v>
      </c>
      <c r="K601" s="39" t="n">
        <f aca="false">MIN(K600*Assumptions!$F$38,K596*(1-$C$579))</f>
        <v>400</v>
      </c>
      <c r="L601" s="39" t="n">
        <f aca="false">MIN(L600*Assumptions!$F$38,L596*(1-$C$579))</f>
        <v>400</v>
      </c>
      <c r="M601" s="39" t="n">
        <f aca="false">MIN(M600*Assumptions!$F$38,M596*(1-$C$579))</f>
        <v>400</v>
      </c>
      <c r="N601" s="39" t="n">
        <f aca="false">MIN(N600*Assumptions!$F$38,N596*(1-$C$579))</f>
        <v>400</v>
      </c>
      <c r="P601" s="40" t="n">
        <f aca="false">SUM(C601:F601)</f>
        <v>0</v>
      </c>
      <c r="Q601" s="40" t="n">
        <f aca="false">SUM(G601:J601)</f>
        <v>800</v>
      </c>
      <c r="R601" s="40" t="n">
        <f aca="false">SUM(K601:N601)</f>
        <v>1600</v>
      </c>
      <c r="S601" s="41" t="n">
        <f aca="false">SUM(P601:R601)</f>
        <v>2400</v>
      </c>
    </row>
    <row r="602" customFormat="false" ht="15" hidden="false" customHeight="false" outlineLevel="0" collapsed="false">
      <c r="A602" s="4" t="s">
        <v>495</v>
      </c>
      <c r="B602" s="36" t="s">
        <v>491</v>
      </c>
      <c r="C602" s="48" t="n">
        <f aca="false">C601*Assumptions!$F$20*Assumptions!$F$39*IF(C596&gt;0,C597/C596,0)*C586</f>
        <v>0</v>
      </c>
      <c r="D602" s="48" t="n">
        <f aca="false">D601*Assumptions!$F$20*Assumptions!$F$39*IF(D596&gt;0,D597/D596,0)*D586</f>
        <v>0</v>
      </c>
      <c r="E602" s="48" t="n">
        <f aca="false">E601*Assumptions!$F$20*Assumptions!$F$39*IF(E596&gt;0,E597/E596,0)*E586</f>
        <v>0</v>
      </c>
      <c r="F602" s="48" t="n">
        <f aca="false">F601*Assumptions!$F$20*Assumptions!$F$39*IF(F596&gt;0,F597/F596,0)*F586</f>
        <v>0</v>
      </c>
      <c r="G602" s="48" t="n">
        <f aca="false">G601*Assumptions!$F$20*Assumptions!$F$39*IF(G596&gt;0,G597/G596,0)*G586</f>
        <v>0</v>
      </c>
      <c r="H602" s="48" t="n">
        <f aca="false">H601*Assumptions!$F$20*Assumptions!$F$39*IF(H596&gt;0,H597/H596,0)*H586</f>
        <v>7.21928096780977</v>
      </c>
      <c r="I602" s="48" t="n">
        <f aca="false">I601*Assumptions!$F$20*Assumptions!$F$39*IF(I596&gt;0,I597/I596,0)*I586</f>
        <v>21.3404494904624</v>
      </c>
      <c r="J602" s="48" t="n">
        <f aca="false">J601*Assumptions!$F$20*Assumptions!$F$39*IF(J596&gt;0,J597/J596,0)*J586</f>
        <v>27.3210276422672</v>
      </c>
      <c r="K602" s="48" t="n">
        <f aca="false">K601*Assumptions!$F$20*Assumptions!$F$39*IF(K596&gt;0,K597/K596,0)*K586</f>
        <v>26.2332297087908</v>
      </c>
      <c r="L602" s="48" t="n">
        <f aca="false">L601*Assumptions!$F$20*Assumptions!$F$39*IF(L596&gt;0,L597/L596,0)*L586</f>
        <v>25.188742896681</v>
      </c>
      <c r="M602" s="48" t="n">
        <f aca="false">M601*Assumptions!$F$20*Assumptions!$F$39*IF(M596&gt;0,M597/M596,0)*M586</f>
        <v>24.1858427558573</v>
      </c>
      <c r="N602" s="48" t="n">
        <f aca="false">N601*Assumptions!$F$20*Assumptions!$F$39*IF(N596&gt;0,N597/N596,0)*N586</f>
        <v>23.2228734959271</v>
      </c>
      <c r="P602" s="49" t="n">
        <f aca="false">SUM(C602:F602)</f>
        <v>0</v>
      </c>
      <c r="Q602" s="49" t="n">
        <f aca="false">SUM(G602:J602)</f>
        <v>55.8807581005393</v>
      </c>
      <c r="R602" s="49" t="n">
        <f aca="false">SUM(K602:N602)</f>
        <v>98.8306888572563</v>
      </c>
      <c r="S602" s="50" t="n">
        <f aca="false">SUM(P602:R602)</f>
        <v>154.711446957796</v>
      </c>
    </row>
    <row r="603" customFormat="false" ht="15" hidden="false" customHeight="false" outlineLevel="0" collapsed="false">
      <c r="A603" s="4" t="s">
        <v>496</v>
      </c>
      <c r="B603" s="36" t="s">
        <v>497</v>
      </c>
      <c r="C603" s="48" t="n">
        <f aca="false">IF(AND(C596&gt;0,$C$583&gt;0),C596*Assumptions!$F$24*(1-EXP(-$C$583/(Assumptions!$F$23*C596*Assumptions!$F$24))),0)</f>
        <v>0</v>
      </c>
      <c r="D603" s="48" t="n">
        <f aca="false">IF(AND(D596&gt;0,$C$583&gt;0),D596*Assumptions!$F$24*(1-EXP(-$C$583/(Assumptions!$F$23*D596*Assumptions!$F$24))),0)</f>
        <v>0</v>
      </c>
      <c r="E603" s="48" t="n">
        <f aca="false">IF(AND(E596&gt;0,$C$583&gt;0),E596*Assumptions!$F$24*(1-EXP(-$C$583/(Assumptions!$F$23*E596*Assumptions!$F$24))),0)</f>
        <v>0</v>
      </c>
      <c r="F603" s="48" t="n">
        <f aca="false">IF(AND(F596&gt;0,$C$583&gt;0),F596*Assumptions!$F$24*(1-EXP(-$C$583/(Assumptions!$F$23*F596*Assumptions!$F$24))),0)</f>
        <v>0</v>
      </c>
      <c r="G603" s="48" t="n">
        <f aca="false">IF(AND(G596&gt;0,$C$583&gt;0),G596*Assumptions!$F$24*(1-EXP(-$C$583/(Assumptions!$F$23*G596*Assumptions!$F$24))),0)</f>
        <v>0</v>
      </c>
      <c r="H603" s="48" t="n">
        <f aca="false">IF(AND(H596&gt;0,$C$583&gt;0),H596*Assumptions!$F$24*(1-EXP(-$C$583/(Assumptions!$F$23*H596*Assumptions!$F$24))),0)</f>
        <v>0</v>
      </c>
      <c r="I603" s="48" t="n">
        <f aca="false">IF(AND(I596&gt;0,$C$583&gt;0),I596*Assumptions!$F$24*(1-EXP(-$C$583/(Assumptions!$F$23*I596*Assumptions!$F$24))),0)</f>
        <v>0</v>
      </c>
      <c r="J603" s="48" t="n">
        <f aca="false">IF(AND(J596&gt;0,$C$583&gt;0),J596*Assumptions!$F$24*(1-EXP(-$C$583/(Assumptions!$F$23*J596*Assumptions!$F$24))),0)</f>
        <v>0</v>
      </c>
      <c r="K603" s="48" t="n">
        <f aca="false">IF(AND(K596&gt;0,$C$583&gt;0),K596*Assumptions!$F$24*(1-EXP(-$C$583/(Assumptions!$F$23*K596*Assumptions!$F$24))),0)</f>
        <v>0</v>
      </c>
      <c r="L603" s="48" t="n">
        <f aca="false">IF(AND(L596&gt;0,$C$583&gt;0),L596*Assumptions!$F$24*(1-EXP(-$C$583/(Assumptions!$F$23*L596*Assumptions!$F$24))),0)</f>
        <v>0</v>
      </c>
      <c r="M603" s="48" t="n">
        <f aca="false">IF(AND(M596&gt;0,$C$583&gt;0),M596*Assumptions!$F$24*(1-EXP(-$C$583/(Assumptions!$F$23*M596*Assumptions!$F$24))),0)</f>
        <v>0</v>
      </c>
      <c r="N603" s="48" t="n">
        <f aca="false">IF(AND(N596&gt;0,$C$583&gt;0),N596*Assumptions!$F$24*(1-EXP(-$C$583/(Assumptions!$F$23*N596*Assumptions!$F$24))),0)</f>
        <v>0</v>
      </c>
      <c r="P603" s="49" t="n">
        <f aca="false">SUM(C603:F603)</f>
        <v>0</v>
      </c>
      <c r="Q603" s="49" t="n">
        <f aca="false">SUM(G603:J603)</f>
        <v>0</v>
      </c>
      <c r="R603" s="49" t="n">
        <f aca="false">SUM(K603:N603)</f>
        <v>0</v>
      </c>
      <c r="S603" s="50" t="n">
        <f aca="false">SUM(P603:R603)</f>
        <v>0</v>
      </c>
    </row>
    <row r="604" customFormat="false" ht="15" hidden="false" customHeight="false" outlineLevel="0" collapsed="false">
      <c r="A604" s="4" t="s">
        <v>498</v>
      </c>
      <c r="B604" s="36" t="s">
        <v>497</v>
      </c>
      <c r="C604" s="48" t="n">
        <f aca="false">(C596*Assumptions!$F$22*MIN(1,Assumptions!$D$103/Assumptions!$F$78)+C603)*C586</f>
        <v>8.2783158528</v>
      </c>
      <c r="D604" s="48" t="n">
        <f aca="false">(D596*Assumptions!$F$22*MIN(1,Assumptions!$D$103/Assumptions!$F$78)+D603)*D586</f>
        <v>16.5566317056</v>
      </c>
      <c r="E604" s="48" t="n">
        <f aca="false">(E596*Assumptions!$F$22*MIN(1,Assumptions!$D$103/Assumptions!$F$78)+E603)*E586</f>
        <v>16.5566317056</v>
      </c>
      <c r="F604" s="48" t="n">
        <f aca="false">(F596*Assumptions!$F$22*MIN(1,Assumptions!$D$103/Assumptions!$F$78)+F603)*F586</f>
        <v>22.4024925264</v>
      </c>
      <c r="G604" s="48" t="n">
        <f aca="false">(G596*Assumptions!$F$22*MIN(1,Assumptions!$D$103/Assumptions!$F$78)+G603)*G586</f>
        <v>28.2483533472</v>
      </c>
      <c r="H604" s="48" t="n">
        <f aca="false">(H596*Assumptions!$F$22*MIN(1,Assumptions!$D$103/Assumptions!$F$78)+H603)*H586</f>
        <v>47.5141559424</v>
      </c>
      <c r="I604" s="48" t="n">
        <f aca="false">(I596*Assumptions!$F$22*MIN(1,Assumptions!$D$103/Assumptions!$F$78)+I603)*I586</f>
        <v>66.7799585376</v>
      </c>
      <c r="J604" s="48" t="n">
        <f aca="false">(J596*Assumptions!$F$22*MIN(1,Assumptions!$D$103/Assumptions!$F$78)+J603)*J586</f>
        <v>66.7799585376</v>
      </c>
      <c r="K604" s="48" t="n">
        <f aca="false">(K596*Assumptions!$F$22*MIN(1,Assumptions!$D$103/Assumptions!$F$78)+K603)*K586</f>
        <v>66.7799585376</v>
      </c>
      <c r="L604" s="48" t="n">
        <f aca="false">(L596*Assumptions!$F$22*MIN(1,Assumptions!$D$103/Assumptions!$F$78)+L603)*L586</f>
        <v>66.7799585376</v>
      </c>
      <c r="M604" s="48" t="n">
        <f aca="false">(M596*Assumptions!$F$22*MIN(1,Assumptions!$D$103/Assumptions!$F$78)+M603)*M586</f>
        <v>66.7799585376</v>
      </c>
      <c r="N604" s="48" t="n">
        <f aca="false">(N596*Assumptions!$F$22*MIN(1,Assumptions!$D$103/Assumptions!$F$78)+N603)*N586</f>
        <v>66.7799585376</v>
      </c>
      <c r="P604" s="49" t="n">
        <f aca="false">SUM(C604:F604)</f>
        <v>63.7940717904</v>
      </c>
      <c r="Q604" s="49" t="n">
        <f aca="false">SUM(G604:J604)</f>
        <v>209.3224263648</v>
      </c>
      <c r="R604" s="49" t="n">
        <f aca="false">SUM(K604:N604)</f>
        <v>267.1198341504</v>
      </c>
      <c r="S604" s="50" t="n">
        <f aca="false">SUM(P604:R604)</f>
        <v>540.2363323056</v>
      </c>
    </row>
    <row r="605" customFormat="false" ht="15" hidden="false" customHeight="false" outlineLevel="0" collapsed="false">
      <c r="A605" s="4" t="s">
        <v>499</v>
      </c>
      <c r="B605" s="36" t="s">
        <v>500</v>
      </c>
      <c r="C605" s="48" t="n">
        <f aca="false">C586*MIN(Assumptions!$F$27,Assumptions!$F$25+Assumptions!$F$26*(C585-1))*Assumptions!$D$107</f>
        <v>3</v>
      </c>
      <c r="D605" s="48" t="n">
        <f aca="false">D586*MIN(Assumptions!$F$27,Assumptions!$F$25+Assumptions!$F$26*(D585-1))*Assumptions!$D$107</f>
        <v>5</v>
      </c>
      <c r="E605" s="48" t="n">
        <f aca="false">E586*MIN(Assumptions!$F$27,Assumptions!$F$25+Assumptions!$F$26*(E585-1))*Assumptions!$D$107</f>
        <v>7</v>
      </c>
      <c r="F605" s="48" t="n">
        <f aca="false">F586*MIN(Assumptions!$F$27,Assumptions!$F$25+Assumptions!$F$26*(F585-1))*Assumptions!$D$107</f>
        <v>9</v>
      </c>
      <c r="G605" s="48" t="n">
        <f aca="false">G586*MIN(Assumptions!$F$27,Assumptions!$F$25+Assumptions!$F$26*(G585-1))*Assumptions!$D$107</f>
        <v>11</v>
      </c>
      <c r="H605" s="48" t="n">
        <f aca="false">H586*MIN(Assumptions!$F$27,Assumptions!$F$25+Assumptions!$F$26*(H585-1))*Assumptions!$D$107</f>
        <v>13</v>
      </c>
      <c r="I605" s="48" t="n">
        <f aca="false">I586*MIN(Assumptions!$F$27,Assumptions!$F$25+Assumptions!$F$26*(I585-1))*Assumptions!$D$107</f>
        <v>15</v>
      </c>
      <c r="J605" s="48" t="n">
        <f aca="false">J586*MIN(Assumptions!$F$27,Assumptions!$F$25+Assumptions!$F$26*(J585-1))*Assumptions!$D$107</f>
        <v>15</v>
      </c>
      <c r="K605" s="48" t="n">
        <f aca="false">K586*MIN(Assumptions!$F$27,Assumptions!$F$25+Assumptions!$F$26*(K585-1))*Assumptions!$D$107</f>
        <v>15</v>
      </c>
      <c r="L605" s="48" t="n">
        <f aca="false">L586*MIN(Assumptions!$F$27,Assumptions!$F$25+Assumptions!$F$26*(L585-1))*Assumptions!$D$107</f>
        <v>15</v>
      </c>
      <c r="M605" s="48" t="n">
        <f aca="false">M586*MIN(Assumptions!$F$27,Assumptions!$F$25+Assumptions!$F$26*(M585-1))*Assumptions!$D$107</f>
        <v>15</v>
      </c>
      <c r="N605" s="48" t="n">
        <f aca="false">N586*MIN(Assumptions!$F$27,Assumptions!$F$25+Assumptions!$F$26*(N585-1))*Assumptions!$D$107</f>
        <v>15</v>
      </c>
      <c r="P605" s="49" t="n">
        <f aca="false">F605</f>
        <v>9</v>
      </c>
      <c r="Q605" s="49" t="n">
        <f aca="false">J605</f>
        <v>15</v>
      </c>
      <c r="R605" s="49" t="n">
        <f aca="false">N605</f>
        <v>15</v>
      </c>
      <c r="S605" s="50" t="n">
        <f aca="false">R605</f>
        <v>15</v>
      </c>
    </row>
    <row r="606" customFormat="false" ht="15" hidden="false" customHeight="false" outlineLevel="0" collapsed="false">
      <c r="A606" s="4" t="s">
        <v>501</v>
      </c>
      <c r="B606" s="36" t="s">
        <v>502</v>
      </c>
      <c r="C606" s="48" t="n">
        <f aca="false">C605*Assumptions!$F$28</f>
        <v>12</v>
      </c>
      <c r="D606" s="48" t="n">
        <f aca="false">D605*Assumptions!$F$28</f>
        <v>20</v>
      </c>
      <c r="E606" s="48" t="n">
        <f aca="false">E605*Assumptions!$F$28</f>
        <v>28</v>
      </c>
      <c r="F606" s="48" t="n">
        <f aca="false">F605*Assumptions!$F$28</f>
        <v>36</v>
      </c>
      <c r="G606" s="48" t="n">
        <f aca="false">G605*Assumptions!$F$28</f>
        <v>44</v>
      </c>
      <c r="H606" s="48" t="n">
        <f aca="false">H605*Assumptions!$F$28</f>
        <v>52</v>
      </c>
      <c r="I606" s="48" t="n">
        <f aca="false">I605*Assumptions!$F$28</f>
        <v>60</v>
      </c>
      <c r="J606" s="48" t="n">
        <f aca="false">J605*Assumptions!$F$28</f>
        <v>60</v>
      </c>
      <c r="K606" s="48" t="n">
        <f aca="false">K605*Assumptions!$F$28</f>
        <v>60</v>
      </c>
      <c r="L606" s="48" t="n">
        <f aca="false">L605*Assumptions!$F$28</f>
        <v>60</v>
      </c>
      <c r="M606" s="48" t="n">
        <f aca="false">M605*Assumptions!$F$28</f>
        <v>60</v>
      </c>
      <c r="N606" s="48" t="n">
        <f aca="false">N605*Assumptions!$F$28</f>
        <v>60</v>
      </c>
      <c r="P606" s="49" t="n">
        <f aca="false">SUM(C606:F606)</f>
        <v>96</v>
      </c>
      <c r="Q606" s="49" t="n">
        <f aca="false">SUM(G606:J606)</f>
        <v>216</v>
      </c>
      <c r="R606" s="49" t="n">
        <f aca="false">SUM(K606:N606)</f>
        <v>240</v>
      </c>
      <c r="S606" s="50" t="n">
        <f aca="false">SUM(P606:R606)</f>
        <v>552</v>
      </c>
    </row>
    <row r="607" customFormat="false" ht="15" hidden="false" customHeight="false" outlineLevel="0" collapsed="false">
      <c r="A607" s="4" t="s">
        <v>503</v>
      </c>
      <c r="B607" s="36" t="s">
        <v>504</v>
      </c>
      <c r="C607" s="48" t="n">
        <f aca="false">(C598+C602)*Assumptions!$F$29</f>
        <v>6.2087368896</v>
      </c>
      <c r="D607" s="48" t="n">
        <f aca="false">(D598+D602)*Assumptions!$F$29</f>
        <v>11.9230669621184</v>
      </c>
      <c r="E607" s="48" t="n">
        <f aca="false">(E598+E602)*Assumptions!$F$29</f>
        <v>11.4483451554603</v>
      </c>
      <c r="F607" s="48" t="n">
        <f aca="false">(F598+F602)*Assumptions!$F$29</f>
        <v>15.3769202080531</v>
      </c>
      <c r="G607" s="48" t="n">
        <f aca="false">(G598+G602)*Assumptions!$F$29</f>
        <v>18.9745109202208</v>
      </c>
      <c r="H607" s="48" t="n">
        <f aca="false">(H598+H602)*Assumptions!$F$29</f>
        <v>36.2780254073824</v>
      </c>
      <c r="I607" s="48" t="n">
        <f aca="false">(I598+I602)*Assumptions!$F$29</f>
        <v>55.9119495752891</v>
      </c>
      <c r="J607" s="48" t="n">
        <f aca="false">(J598+J602)*Assumptions!$F$29</f>
        <v>57.10092080102</v>
      </c>
      <c r="K607" s="48" t="n">
        <f aca="false">(K598+K602)*Assumptions!$F$29</f>
        <v>54.8274241939284</v>
      </c>
      <c r="L607" s="48" t="n">
        <f aca="false">(L598+L602)*Assumptions!$F$29</f>
        <v>52.6444477877364</v>
      </c>
      <c r="M607" s="48" t="n">
        <f aca="false">(M598+M602)*Assumptions!$F$29</f>
        <v>50.5483874834779</v>
      </c>
      <c r="N607" s="48" t="n">
        <f aca="false">(N598+N602)*Assumptions!$F$29</f>
        <v>48.535782680867</v>
      </c>
      <c r="P607" s="49" t="n">
        <f aca="false">SUM(C607:F607)</f>
        <v>44.9570692152318</v>
      </c>
      <c r="Q607" s="49" t="n">
        <f aca="false">SUM(G607:J607)</f>
        <v>168.265406703912</v>
      </c>
      <c r="R607" s="49" t="n">
        <f aca="false">SUM(K607:N607)</f>
        <v>206.55604214601</v>
      </c>
      <c r="S607" s="50" t="n">
        <f aca="false">SUM(P607:R607)</f>
        <v>419.778518065154</v>
      </c>
    </row>
    <row r="608" customFormat="false" ht="15" hidden="false" customHeight="false" outlineLevel="0" collapsed="false">
      <c r="A608" s="4" t="s">
        <v>505</v>
      </c>
      <c r="B608" s="36" t="s">
        <v>504</v>
      </c>
      <c r="C608" s="48" t="n">
        <f aca="false">C604*Assumptions!$F$31</f>
        <v>1.821229487616</v>
      </c>
      <c r="D608" s="48" t="n">
        <f aca="false">D604*Assumptions!$F$31</f>
        <v>3.642458975232</v>
      </c>
      <c r="E608" s="48" t="n">
        <f aca="false">E604*Assumptions!$F$31</f>
        <v>3.642458975232</v>
      </c>
      <c r="F608" s="48" t="n">
        <f aca="false">F604*Assumptions!$F$31</f>
        <v>4.928548355808</v>
      </c>
      <c r="G608" s="48" t="n">
        <f aca="false">G604*Assumptions!$F$31</f>
        <v>6.214637736384</v>
      </c>
      <c r="H608" s="48" t="n">
        <f aca="false">H604*Assumptions!$F$31</f>
        <v>10.453114307328</v>
      </c>
      <c r="I608" s="48" t="n">
        <f aca="false">I604*Assumptions!$F$31</f>
        <v>14.691590878272</v>
      </c>
      <c r="J608" s="48" t="n">
        <f aca="false">J604*Assumptions!$F$31</f>
        <v>14.691590878272</v>
      </c>
      <c r="K608" s="48" t="n">
        <f aca="false">K604*Assumptions!$F$31</f>
        <v>14.691590878272</v>
      </c>
      <c r="L608" s="48" t="n">
        <f aca="false">L604*Assumptions!$F$31</f>
        <v>14.691590878272</v>
      </c>
      <c r="M608" s="48" t="n">
        <f aca="false">M604*Assumptions!$F$31</f>
        <v>14.691590878272</v>
      </c>
      <c r="N608" s="48" t="n">
        <f aca="false">N604*Assumptions!$F$31</f>
        <v>14.691590878272</v>
      </c>
      <c r="P608" s="49" t="n">
        <f aca="false">SUM(C608:F608)</f>
        <v>14.034695793888</v>
      </c>
      <c r="Q608" s="49" t="n">
        <f aca="false">SUM(G608:J608)</f>
        <v>46.050933800256</v>
      </c>
      <c r="R608" s="49" t="n">
        <f aca="false">SUM(K608:N608)</f>
        <v>58.766363513088</v>
      </c>
      <c r="S608" s="50" t="n">
        <f aca="false">SUM(P608:R608)</f>
        <v>118.851993107232</v>
      </c>
    </row>
    <row r="609" customFormat="false" ht="15" hidden="false" customHeight="false" outlineLevel="0" collapsed="false">
      <c r="A609" s="4" t="s">
        <v>506</v>
      </c>
      <c r="B609" s="36" t="s">
        <v>504</v>
      </c>
      <c r="C609" s="48" t="n">
        <f aca="false">C606*Assumptions!$F$30</f>
        <v>7.2</v>
      </c>
      <c r="D609" s="48" t="n">
        <f aca="false">D606*Assumptions!$F$30</f>
        <v>12</v>
      </c>
      <c r="E609" s="48" t="n">
        <f aca="false">E606*Assumptions!$F$30</f>
        <v>16.8</v>
      </c>
      <c r="F609" s="48" t="n">
        <f aca="false">F606*Assumptions!$F$30</f>
        <v>21.6</v>
      </c>
      <c r="G609" s="48" t="n">
        <f aca="false">G606*Assumptions!$F$30</f>
        <v>26.4</v>
      </c>
      <c r="H609" s="48" t="n">
        <f aca="false">H606*Assumptions!$F$30</f>
        <v>31.2</v>
      </c>
      <c r="I609" s="48" t="n">
        <f aca="false">I606*Assumptions!$F$30</f>
        <v>36</v>
      </c>
      <c r="J609" s="48" t="n">
        <f aca="false">J606*Assumptions!$F$30</f>
        <v>36</v>
      </c>
      <c r="K609" s="48" t="n">
        <f aca="false">K606*Assumptions!$F$30</f>
        <v>36</v>
      </c>
      <c r="L609" s="48" t="n">
        <f aca="false">L606*Assumptions!$F$30</f>
        <v>36</v>
      </c>
      <c r="M609" s="48" t="n">
        <f aca="false">M606*Assumptions!$F$30</f>
        <v>36</v>
      </c>
      <c r="N609" s="48" t="n">
        <f aca="false">N606*Assumptions!$F$30</f>
        <v>36</v>
      </c>
      <c r="P609" s="49" t="n">
        <f aca="false">SUM(C609:F609)</f>
        <v>57.6</v>
      </c>
      <c r="Q609" s="49" t="n">
        <f aca="false">SUM(G609:J609)</f>
        <v>129.6</v>
      </c>
      <c r="R609" s="49" t="n">
        <f aca="false">SUM(K609:N609)</f>
        <v>144</v>
      </c>
      <c r="S609" s="50" t="n">
        <f aca="false">SUM(P609:R609)</f>
        <v>331.2</v>
      </c>
    </row>
    <row r="610" customFormat="false" ht="15" hidden="false" customHeight="false" outlineLevel="0" collapsed="false">
      <c r="A610" s="9" t="s">
        <v>507</v>
      </c>
      <c r="B610" s="36" t="s">
        <v>504</v>
      </c>
      <c r="C610" s="49" t="n">
        <f aca="false">C607+C608+C609</f>
        <v>15.229966377216</v>
      </c>
      <c r="D610" s="49" t="n">
        <f aca="false">D607+D608+D609</f>
        <v>27.5655259373504</v>
      </c>
      <c r="E610" s="49" t="n">
        <f aca="false">E607+E608+E609</f>
        <v>31.8908041306923</v>
      </c>
      <c r="F610" s="49" t="n">
        <f aca="false">F607+F608+F609</f>
        <v>41.9054685638611</v>
      </c>
      <c r="G610" s="49" t="n">
        <f aca="false">G607+G608+G609</f>
        <v>51.5891486566048</v>
      </c>
      <c r="H610" s="49" t="n">
        <f aca="false">H607+H608+H609</f>
        <v>77.9311397147104</v>
      </c>
      <c r="I610" s="49" t="n">
        <f aca="false">I607+I608+I609</f>
        <v>106.603540453561</v>
      </c>
      <c r="J610" s="49" t="n">
        <f aca="false">J607+J608+J609</f>
        <v>107.792511679292</v>
      </c>
      <c r="K610" s="49" t="n">
        <f aca="false">K607+K608+K609</f>
        <v>105.5190150722</v>
      </c>
      <c r="L610" s="49" t="n">
        <f aca="false">L607+L608+L609</f>
        <v>103.336038666008</v>
      </c>
      <c r="M610" s="49" t="n">
        <f aca="false">M607+M608+M609</f>
        <v>101.23997836175</v>
      </c>
      <c r="N610" s="49" t="n">
        <f aca="false">N607+N608+N609</f>
        <v>99.227373559139</v>
      </c>
      <c r="P610" s="49" t="n">
        <f aca="false">SUM(C610:F610)</f>
        <v>116.59176500912</v>
      </c>
      <c r="Q610" s="49" t="n">
        <f aca="false">SUM(G610:J610)</f>
        <v>343.916340504168</v>
      </c>
      <c r="R610" s="49" t="n">
        <f aca="false">SUM(K610:N610)</f>
        <v>409.322405659098</v>
      </c>
      <c r="S610" s="50" t="n">
        <f aca="false">SUM(P610:R610)</f>
        <v>869.830511172386</v>
      </c>
    </row>
    <row r="611" customFormat="false" ht="15" hidden="false" customHeight="false" outlineLevel="0" collapsed="false">
      <c r="A611" s="4" t="s">
        <v>508</v>
      </c>
      <c r="B611" s="36" t="s">
        <v>509</v>
      </c>
      <c r="C611" s="48" t="n">
        <f aca="false">C593</f>
        <v>421.51972352</v>
      </c>
      <c r="D611" s="48" t="n">
        <f aca="false">D593</f>
        <v>843.03944704</v>
      </c>
      <c r="E611" s="48" t="n">
        <f aca="false">E593</f>
        <v>843.03944704</v>
      </c>
      <c r="F611" s="48" t="n">
        <f aca="false">F593</f>
        <v>1149.32798176</v>
      </c>
      <c r="G611" s="48" t="n">
        <f aca="false">G593</f>
        <v>1455.61651648</v>
      </c>
      <c r="H611" s="48" t="n">
        <f aca="false">H593</f>
        <v>2486.00303616</v>
      </c>
      <c r="I611" s="48" t="n">
        <f aca="false">I593</f>
        <v>3516.38955584</v>
      </c>
      <c r="J611" s="48" t="n">
        <f aca="false">J593</f>
        <v>3516.38955584</v>
      </c>
      <c r="K611" s="48" t="n">
        <f aca="false">K593</f>
        <v>3516.38955584</v>
      </c>
      <c r="L611" s="48" t="n">
        <f aca="false">L593</f>
        <v>3516.38955584</v>
      </c>
      <c r="M611" s="48" t="n">
        <f aca="false">M593</f>
        <v>3516.38955584</v>
      </c>
      <c r="N611" s="48" t="n">
        <f aca="false">N593</f>
        <v>3516.38955584</v>
      </c>
      <c r="P611" s="49"/>
      <c r="Q611" s="49"/>
      <c r="R611" s="49"/>
      <c r="S611" s="50"/>
    </row>
    <row r="612" customFormat="false" ht="15" hidden="false" customHeight="false" outlineLevel="0" collapsed="false">
      <c r="A612" s="4" t="s">
        <v>510</v>
      </c>
      <c r="B612" s="36" t="s">
        <v>509</v>
      </c>
      <c r="C612" s="48" t="n">
        <f aca="false">C594*Assumptions!$F$18*Assumptions!$F$33</f>
        <v>211.19616</v>
      </c>
      <c r="D612" s="48" t="n">
        <f aca="false">D594*Assumptions!$F$18*Assumptions!$F$33</f>
        <v>422.39232</v>
      </c>
      <c r="E612" s="48" t="n">
        <f aca="false">E594*Assumptions!$F$18*Assumptions!$F$33</f>
        <v>422.39232</v>
      </c>
      <c r="F612" s="48" t="n">
        <f aca="false">F594*Assumptions!$F$18*Assumptions!$F$33</f>
        <v>564.49344</v>
      </c>
      <c r="G612" s="48" t="n">
        <f aca="false">G594*Assumptions!$F$18*Assumptions!$F$33</f>
        <v>706.59456</v>
      </c>
      <c r="H612" s="48" t="n">
        <f aca="false">H594*Assumptions!$F$18*Assumptions!$F$33</f>
        <v>1135.07072</v>
      </c>
      <c r="I612" s="48" t="n">
        <f aca="false">I594*Assumptions!$F$18*Assumptions!$F$33</f>
        <v>1563.54688</v>
      </c>
      <c r="J612" s="48" t="n">
        <f aca="false">J594*Assumptions!$F$18*Assumptions!$F$33</f>
        <v>1563.54688</v>
      </c>
      <c r="K612" s="48" t="n">
        <f aca="false">K594*Assumptions!$F$18*Assumptions!$F$33</f>
        <v>1563.54688</v>
      </c>
      <c r="L612" s="48" t="n">
        <f aca="false">L594*Assumptions!$F$18*Assumptions!$F$33</f>
        <v>1563.54688</v>
      </c>
      <c r="M612" s="48" t="n">
        <f aca="false">M594*Assumptions!$F$18*Assumptions!$F$33</f>
        <v>1563.54688</v>
      </c>
      <c r="N612" s="48" t="n">
        <f aca="false">N594*Assumptions!$F$18*Assumptions!$F$33</f>
        <v>1563.54688</v>
      </c>
      <c r="P612" s="49"/>
      <c r="Q612" s="49"/>
      <c r="R612" s="49"/>
      <c r="S612" s="50"/>
    </row>
    <row r="613" customFormat="false" ht="15" hidden="false" customHeight="false" outlineLevel="0" collapsed="false">
      <c r="A613" s="4" t="s">
        <v>511</v>
      </c>
      <c r="B613" s="36" t="s">
        <v>509</v>
      </c>
      <c r="C613" s="48" t="n">
        <f aca="false">C595*Assumptions!$F$19*Assumptions!$F$34</f>
        <v>44.585856</v>
      </c>
      <c r="D613" s="48" t="n">
        <f aca="false">D595*Assumptions!$F$19*Assumptions!$F$34</f>
        <v>89.171712</v>
      </c>
      <c r="E613" s="48" t="n">
        <f aca="false">E595*Assumptions!$F$19*Assumptions!$F$34</f>
        <v>89.171712</v>
      </c>
      <c r="F613" s="48" t="n">
        <f aca="false">F595*Assumptions!$F$19*Assumptions!$F$34</f>
        <v>111.46464</v>
      </c>
      <c r="G613" s="48" t="n">
        <f aca="false">G595*Assumptions!$F$19*Assumptions!$F$34</f>
        <v>133.757568</v>
      </c>
      <c r="H613" s="48" t="n">
        <f aca="false">H595*Assumptions!$F$19*Assumptions!$F$34</f>
        <v>205.3296</v>
      </c>
      <c r="I613" s="48" t="n">
        <f aca="false">I595*Assumptions!$F$19*Assumptions!$F$34</f>
        <v>276.901632</v>
      </c>
      <c r="J613" s="48" t="n">
        <f aca="false">J595*Assumptions!$F$19*Assumptions!$F$34</f>
        <v>276.901632</v>
      </c>
      <c r="K613" s="48" t="n">
        <f aca="false">K595*Assumptions!$F$19*Assumptions!$F$34</f>
        <v>276.901632</v>
      </c>
      <c r="L613" s="48" t="n">
        <f aca="false">L595*Assumptions!$F$19*Assumptions!$F$34</f>
        <v>276.901632</v>
      </c>
      <c r="M613" s="48" t="n">
        <f aca="false">M595*Assumptions!$F$19*Assumptions!$F$34</f>
        <v>276.901632</v>
      </c>
      <c r="N613" s="48" t="n">
        <f aca="false">N595*Assumptions!$F$19*Assumptions!$F$34</f>
        <v>276.901632</v>
      </c>
      <c r="P613" s="49"/>
      <c r="Q613" s="49"/>
      <c r="R613" s="49"/>
      <c r="S613" s="50"/>
    </row>
    <row r="614" customFormat="false" ht="15" hidden="false" customHeight="false" outlineLevel="0" collapsed="false">
      <c r="A614" s="4" t="s">
        <v>512</v>
      </c>
      <c r="B614" s="36" t="s">
        <v>77</v>
      </c>
      <c r="C614" s="51" t="n">
        <f aca="false">IFERROR(C611/(C611+C612+C613),0)</f>
        <v>0.622351455672813</v>
      </c>
      <c r="D614" s="51" t="n">
        <f aca="false">IFERROR(D611/(D611+D612+D613),0)</f>
        <v>0.622351455672813</v>
      </c>
      <c r="E614" s="51" t="n">
        <f aca="false">IFERROR(E611/(E611+E612+E613),0)</f>
        <v>0.622351455672813</v>
      </c>
      <c r="F614" s="51" t="n">
        <f aca="false">IFERROR(F611/(F611+F612+F613),0)</f>
        <v>0.629670058758779</v>
      </c>
      <c r="G614" s="51" t="n">
        <f aca="false">IFERROR(G611/(G611+G612+G613),0)</f>
        <v>0.633987977135321</v>
      </c>
      <c r="H614" s="51" t="n">
        <f aca="false">IFERROR(H611/(H611+H612+H613),0)</f>
        <v>0.649697066609004</v>
      </c>
      <c r="I614" s="51" t="n">
        <f aca="false">IFERROR(I611/(I611+I612+I613),0)</f>
        <v>0.656430064024297</v>
      </c>
      <c r="J614" s="51" t="n">
        <f aca="false">IFERROR(J611/(J611+J612+J613),0)</f>
        <v>0.656430064024297</v>
      </c>
      <c r="K614" s="51" t="n">
        <f aca="false">IFERROR(K611/(K611+K612+K613),0)</f>
        <v>0.656430064024297</v>
      </c>
      <c r="L614" s="51" t="n">
        <f aca="false">IFERROR(L611/(L611+L612+L613),0)</f>
        <v>0.656430064024297</v>
      </c>
      <c r="M614" s="51" t="n">
        <f aca="false">IFERROR(M611/(M611+M612+M613),0)</f>
        <v>0.656430064024297</v>
      </c>
      <c r="N614" s="51" t="n">
        <f aca="false">IFERROR(N611/(N611+N612+N613),0)</f>
        <v>0.656430064024297</v>
      </c>
      <c r="P614" s="52"/>
      <c r="Q614" s="52"/>
      <c r="R614" s="52"/>
      <c r="S614" s="53"/>
    </row>
    <row r="615" customFormat="false" ht="15" hidden="false" customHeight="false" outlineLevel="0" collapsed="false">
      <c r="A615" s="4" t="s">
        <v>513</v>
      </c>
      <c r="B615" s="36" t="s">
        <v>77</v>
      </c>
      <c r="C615" s="51" t="n">
        <f aca="false">IFERROR(C612/(C611+C612+C613),0)</f>
        <v>0.311819898985751</v>
      </c>
      <c r="D615" s="51" t="n">
        <f aca="false">IFERROR(D612/(D611+D612+D613),0)</f>
        <v>0.311819898985751</v>
      </c>
      <c r="E615" s="51" t="n">
        <f aca="false">IFERROR(E612/(E611+E612+E613),0)</f>
        <v>0.311819898985751</v>
      </c>
      <c r="F615" s="51" t="n">
        <f aca="false">IFERROR(F612/(F611+F612+F613),0)</f>
        <v>0.309262998182157</v>
      </c>
      <c r="G615" s="51" t="n">
        <f aca="false">IFERROR(G612/(G611+G612+G613),0)</f>
        <v>0.307754446777313</v>
      </c>
      <c r="H615" s="51" t="n">
        <f aca="false">IFERROR(H612/(H611+H612+H613),0)</f>
        <v>0.296641680018571</v>
      </c>
      <c r="I615" s="51" t="n">
        <f aca="false">IFERROR(I612/(I611+I612+I613),0)</f>
        <v>0.291878690413813</v>
      </c>
      <c r="J615" s="51" t="n">
        <f aca="false">IFERROR(J612/(J611+J612+J613),0)</f>
        <v>0.291878690413813</v>
      </c>
      <c r="K615" s="51" t="n">
        <f aca="false">IFERROR(K612/(K611+K612+K613),0)</f>
        <v>0.291878690413813</v>
      </c>
      <c r="L615" s="51" t="n">
        <f aca="false">IFERROR(L612/(L611+L612+L613),0)</f>
        <v>0.291878690413813</v>
      </c>
      <c r="M615" s="51" t="n">
        <f aca="false">IFERROR(M612/(M611+M612+M613),0)</f>
        <v>0.291878690413813</v>
      </c>
      <c r="N615" s="51" t="n">
        <f aca="false">IFERROR(N612/(N611+N612+N613),0)</f>
        <v>0.291878690413813</v>
      </c>
      <c r="P615" s="52"/>
      <c r="Q615" s="52"/>
      <c r="R615" s="52"/>
      <c r="S615" s="53"/>
    </row>
    <row r="616" customFormat="false" ht="15" hidden="false" customHeight="false" outlineLevel="0" collapsed="false">
      <c r="A616" s="4" t="s">
        <v>514</v>
      </c>
      <c r="B616" s="36" t="s">
        <v>77</v>
      </c>
      <c r="C616" s="51" t="n">
        <f aca="false">IFERROR(C613/(C611+C612+C613),0)</f>
        <v>0.0658286453414364</v>
      </c>
      <c r="D616" s="51" t="n">
        <f aca="false">IFERROR(D613/(D611+D612+D613),0)</f>
        <v>0.0658286453414364</v>
      </c>
      <c r="E616" s="51" t="n">
        <f aca="false">IFERROR(E613/(E611+E612+E613),0)</f>
        <v>0.0658286453414364</v>
      </c>
      <c r="F616" s="51" t="n">
        <f aca="false">IFERROR(F613/(F611+F612+F613),0)</f>
        <v>0.0610669430590634</v>
      </c>
      <c r="G616" s="51" t="n">
        <f aca="false">IFERROR(G613/(G611+G612+G613),0)</f>
        <v>0.0582575760873659</v>
      </c>
      <c r="H616" s="51" t="n">
        <f aca="false">IFERROR(H613/(H611+H612+H613),0)</f>
        <v>0.0536612533724252</v>
      </c>
      <c r="I616" s="51" t="n">
        <f aca="false">IFERROR(I613/(I611+I612+I613),0)</f>
        <v>0.0516912455618904</v>
      </c>
      <c r="J616" s="51" t="n">
        <f aca="false">IFERROR(J613/(J611+J612+J613),0)</f>
        <v>0.0516912455618904</v>
      </c>
      <c r="K616" s="51" t="n">
        <f aca="false">IFERROR(K613/(K611+K612+K613),0)</f>
        <v>0.0516912455618904</v>
      </c>
      <c r="L616" s="51" t="n">
        <f aca="false">IFERROR(L613/(L611+L612+L613),0)</f>
        <v>0.0516912455618904</v>
      </c>
      <c r="M616" s="51" t="n">
        <f aca="false">IFERROR(M613/(M611+M612+M613),0)</f>
        <v>0.0516912455618904</v>
      </c>
      <c r="N616" s="51" t="n">
        <f aca="false">IFERROR(N613/(N611+N612+N613),0)</f>
        <v>0.0516912455618904</v>
      </c>
      <c r="P616" s="52"/>
      <c r="Q616" s="52"/>
      <c r="R616" s="52"/>
      <c r="S616" s="53"/>
    </row>
    <row r="617" customFormat="false" ht="15" hidden="false" customHeight="false" outlineLevel="0" collapsed="false">
      <c r="A617" s="4" t="s">
        <v>515</v>
      </c>
      <c r="B617" s="36" t="s">
        <v>516</v>
      </c>
      <c r="C617" s="48" t="n">
        <f aca="false">IF(C585-Assumptions!$F$35&lt;1,0,INDEX($C$610:$N$610,1,C585-Assumptions!$F$35)*INDEX($C$614:$N$614,1,C585-Assumptions!$F$35)*Assumptions!$F$32)</f>
        <v>0</v>
      </c>
      <c r="D617" s="48" t="n">
        <f aca="false">IF(D585-Assumptions!$F$35&lt;1,0,INDEX($C$610:$N$610,1,D585-Assumptions!$F$35)*INDEX($C$614:$N$614,1,D585-Assumptions!$F$35)*Assumptions!$F$32)</f>
        <v>2.84351752341251</v>
      </c>
      <c r="E617" s="48" t="n">
        <f aca="false">IF(E585-Assumptions!$F$35&lt;1,0,INDEX($C$610:$N$610,1,E585-Assumptions!$F$35)*INDEX($C$614:$N$614,1,E585-Assumptions!$F$35)*Assumptions!$F$32)</f>
        <v>5.14663355804901</v>
      </c>
      <c r="F617" s="48" t="n">
        <f aca="false">IF(F585-Assumptions!$F$35&lt;1,0,INDEX($C$610:$N$610,1,F585-Assumptions!$F$35)*INDEX($C$614:$N$614,1,F585-Assumptions!$F$35)*Assumptions!$F$32)</f>
        <v>5.95418651199387</v>
      </c>
      <c r="G617" s="48" t="n">
        <f aca="false">IF(G585-Assumptions!$F$35&lt;1,0,INDEX($C$610:$N$610,1,G585-Assumptions!$F$35)*INDEX($C$614:$N$614,1,G585-Assumptions!$F$35)*Assumptions!$F$32)</f>
        <v>7.91598565587617</v>
      </c>
      <c r="H617" s="48" t="n">
        <f aca="false">IF(H585-Assumptions!$F$35&lt;1,0,INDEX($C$610:$N$610,1,H585-Assumptions!$F$35)*INDEX($C$614:$N$614,1,H585-Assumptions!$F$35)*Assumptions!$F$32)</f>
        <v>9.81206999968027</v>
      </c>
      <c r="I617" s="48" t="n">
        <f aca="false">IF(I585-Assumptions!$F$35&lt;1,0,INDEX($C$610:$N$610,1,I585-Assumptions!$F$35)*INDEX($C$614:$N$614,1,I585-Assumptions!$F$35)*Assumptions!$F$32)</f>
        <v>15.1894898610431</v>
      </c>
      <c r="J617" s="48" t="n">
        <f aca="false">IF(J585-Assumptions!$F$35&lt;1,0,INDEX($C$610:$N$610,1,J585-Assumptions!$F$35)*INDEX($C$614:$N$614,1,J585-Assumptions!$F$35)*Assumptions!$F$32)</f>
        <v>20.9933306655443</v>
      </c>
      <c r="K617" s="48" t="n">
        <f aca="false">IF(K585-Assumptions!$F$35&lt;1,0,INDEX($C$610:$N$610,1,K585-Assumptions!$F$35)*INDEX($C$614:$N$614,1,K585-Assumptions!$F$35)*Assumptions!$F$32)</f>
        <v>21.2274736028932</v>
      </c>
      <c r="L617" s="48" t="n">
        <f aca="false">IF(L585-Assumptions!$F$35&lt;1,0,INDEX($C$610:$N$610,1,L585-Assumptions!$F$35)*INDEX($C$614:$N$614,1,L585-Assumptions!$F$35)*Assumptions!$F$32)</f>
        <v>20.7797561458876</v>
      </c>
      <c r="M617" s="48" t="n">
        <f aca="false">IF(M585-Assumptions!$F$35&lt;1,0,INDEX($C$610:$N$610,1,M585-Assumptions!$F$35)*INDEX($C$614:$N$614,1,M585-Assumptions!$F$35)*Assumptions!$F$32)</f>
        <v>20.3498647432635</v>
      </c>
      <c r="N617" s="48" t="n">
        <f aca="false">IF(N585-Assumptions!$F$35&lt;1,0,INDEX($C$610:$N$610,1,N585-Assumptions!$F$35)*INDEX($C$614:$N$614,1,N585-Assumptions!$F$35)*Assumptions!$F$32)</f>
        <v>19.9370896433466</v>
      </c>
      <c r="P617" s="49" t="n">
        <f aca="false">SUM(C617:F617)</f>
        <v>13.9443375934554</v>
      </c>
      <c r="Q617" s="49" t="n">
        <f aca="false">SUM(G617:J617)</f>
        <v>53.9108761821439</v>
      </c>
      <c r="R617" s="49" t="n">
        <f aca="false">SUM(K617:N617)</f>
        <v>82.2941841353909</v>
      </c>
      <c r="S617" s="50" t="n">
        <f aca="false">SUM(P617:R617)</f>
        <v>150.14939791099</v>
      </c>
    </row>
    <row r="618" customFormat="false" ht="15" hidden="false" customHeight="false" outlineLevel="0" collapsed="false">
      <c r="A618" s="4" t="s">
        <v>517</v>
      </c>
      <c r="B618" s="36" t="s">
        <v>516</v>
      </c>
      <c r="C618" s="48" t="n">
        <f aca="false">IF(C585-Assumptions!$F$35&lt;1,0,INDEX($C$610:$N$610,1,C585-Assumptions!$F$35)*INDEX($C$615:$N$615,1,C585-Assumptions!$F$35)*Assumptions!$F$32)</f>
        <v>0</v>
      </c>
      <c r="D618" s="48" t="n">
        <f aca="false">IF(D585-Assumptions!$F$35&lt;1,0,INDEX($C$610:$N$610,1,D585-Assumptions!$F$35)*INDEX($C$615:$N$615,1,D585-Assumptions!$F$35)*Assumptions!$F$32)</f>
        <v>1.42470197318996</v>
      </c>
      <c r="E618" s="48" t="n">
        <f aca="false">IF(E585-Assumptions!$F$35&lt;1,0,INDEX($C$610:$N$610,1,E585-Assumptions!$F$35)*INDEX($C$615:$N$615,1,E585-Assumptions!$F$35)*Assumptions!$F$32)</f>
        <v>2.57864385398211</v>
      </c>
      <c r="F618" s="48" t="n">
        <f aca="false">IF(F585-Assumptions!$F$35&lt;1,0,INDEX($C$610:$N$610,1,F585-Assumptions!$F$35)*INDEX($C$615:$N$615,1,F585-Assumptions!$F$35)*Assumptions!$F$32)</f>
        <v>2.98325619678206</v>
      </c>
      <c r="G618" s="48" t="n">
        <f aca="false">IF(G585-Assumptions!$F$35&lt;1,0,INDEX($C$610:$N$610,1,G585-Assumptions!$F$35)*INDEX($C$615:$N$615,1,G585-Assumptions!$F$35)*Assumptions!$F$32)</f>
        <v>3.88794325448635</v>
      </c>
      <c r="H618" s="48" t="n">
        <f aca="false">IF(H585-Assumptions!$F$35&lt;1,0,INDEX($C$610:$N$610,1,H585-Assumptions!$F$35)*INDEX($C$615:$N$615,1,H585-Assumptions!$F$35)*Assumptions!$F$32)</f>
        <v>4.7630369713578</v>
      </c>
      <c r="I618" s="48" t="n">
        <f aca="false">IF(I585-Assumptions!$F$35&lt;1,0,INDEX($C$610:$N$610,1,I585-Assumptions!$F$35)*INDEX($C$615:$N$615,1,I585-Assumptions!$F$35)*Assumptions!$F$32)</f>
        <v>6.9352872632201</v>
      </c>
      <c r="J618" s="48" t="n">
        <f aca="false">IF(J585-Assumptions!$F$35&lt;1,0,INDEX($C$610:$N$610,1,J585-Assumptions!$F$35)*INDEX($C$615:$N$615,1,J585-Assumptions!$F$35)*Assumptions!$F$32)</f>
        <v>9.3345905343184</v>
      </c>
      <c r="K618" s="48" t="n">
        <f aca="false">IF(K585-Assumptions!$F$35&lt;1,0,INDEX($C$610:$N$610,1,K585-Assumptions!$F$35)*INDEX($C$615:$N$615,1,K585-Assumptions!$F$35)*Assumptions!$F$32)</f>
        <v>9.43870114361022</v>
      </c>
      <c r="L618" s="48" t="n">
        <f aca="false">IF(L585-Assumptions!$F$35&lt;1,0,INDEX($C$610:$N$610,1,L585-Assumptions!$F$35)*INDEX($C$615:$N$615,1,L585-Assumptions!$F$35)*Assumptions!$F$32)</f>
        <v>9.23962557990878</v>
      </c>
      <c r="M618" s="48" t="n">
        <f aca="false">IF(M585-Assumptions!$F$35&lt;1,0,INDEX($C$610:$N$610,1,M585-Assumptions!$F$35)*INDEX($C$615:$N$615,1,M585-Assumptions!$F$35)*Assumptions!$F$32)</f>
        <v>9.0484762915157</v>
      </c>
      <c r="N618" s="48" t="n">
        <f aca="false">IF(N585-Assumptions!$F$35&lt;1,0,INDEX($C$610:$N$610,1,N585-Assumptions!$F$35)*INDEX($C$615:$N$615,1,N585-Assumptions!$F$35)*Assumptions!$F$32)</f>
        <v>8.8649376905251</v>
      </c>
      <c r="P618" s="49" t="n">
        <f aca="false">SUM(C618:F618)</f>
        <v>6.98660202395414</v>
      </c>
      <c r="Q618" s="49" t="n">
        <f aca="false">SUM(G618:J618)</f>
        <v>24.9208580233826</v>
      </c>
      <c r="R618" s="49" t="n">
        <f aca="false">SUM(K618:N618)</f>
        <v>36.5917407055598</v>
      </c>
      <c r="S618" s="50" t="n">
        <f aca="false">SUM(P618:R618)</f>
        <v>68.4992007528966</v>
      </c>
    </row>
    <row r="619" customFormat="false" ht="15" hidden="false" customHeight="false" outlineLevel="0" collapsed="false">
      <c r="A619" s="4" t="s">
        <v>518</v>
      </c>
      <c r="B619" s="36" t="s">
        <v>516</v>
      </c>
      <c r="C619" s="48" t="n">
        <f aca="false">IF(C585-Assumptions!$F$36&lt;1,0,INDEX($C$610:$N$610,1,C585-Assumptions!$F$36)*INDEX($C$616:$N$616,1,C585-Assumptions!$F$36)*Assumptions!$F$32)</f>
        <v>0</v>
      </c>
      <c r="D619" s="48" t="n">
        <f aca="false">IF(D585-Assumptions!$F$36&lt;1,0,INDEX($C$610:$N$610,1,D585-Assumptions!$F$36)*INDEX($C$616:$N$616,1,D585-Assumptions!$F$36)*Assumptions!$F$32)</f>
        <v>0</v>
      </c>
      <c r="E619" s="48" t="n">
        <f aca="false">IF(E585-Assumptions!$F$36&lt;1,0,INDEX($C$610:$N$610,1,E585-Assumptions!$F$36)*INDEX($C$616:$N$616,1,E585-Assumptions!$F$36)*Assumptions!$F$32)</f>
        <v>0.300770416562326</v>
      </c>
      <c r="F619" s="48" t="n">
        <f aca="false">IF(F585-Assumptions!$F$36&lt;1,0,INDEX($C$610:$N$610,1,F585-Assumptions!$F$36)*INDEX($C$616:$N$616,1,F585-Assumptions!$F$36)*Assumptions!$F$32)</f>
        <v>0.544380369174002</v>
      </c>
      <c r="G619" s="48" t="n">
        <f aca="false">IF(G585-Assumptions!$F$36&lt;1,0,INDEX($C$610:$N$610,1,G585-Assumptions!$F$36)*INDEX($C$616:$N$616,1,G585-Assumptions!$F$36)*Assumptions!$F$32)</f>
        <v>0.629798530431768</v>
      </c>
      <c r="H619" s="48" t="n">
        <f aca="false">IF(H585-Assumptions!$F$36&lt;1,0,INDEX($C$610:$N$610,1,H585-Assumptions!$F$36)*INDEX($C$616:$N$616,1,H585-Assumptions!$F$36)*Assumptions!$F$32)</f>
        <v>0.767711658795803</v>
      </c>
      <c r="I619" s="48" t="n">
        <f aca="false">IF(I585-Assumptions!$F$36&lt;1,0,INDEX($C$610:$N$610,1,I585-Assumptions!$F$36)*INDEX($C$616:$N$616,1,I585-Assumptions!$F$36)*Assumptions!$F$32)</f>
        <v>0.901637625943376</v>
      </c>
      <c r="J619" s="48" t="n">
        <f aca="false">IF(J585-Assumptions!$F$36&lt;1,0,INDEX($C$610:$N$610,1,J585-Assumptions!$F$36)*INDEX($C$616:$N$616,1,J585-Assumptions!$F$36)*Assumptions!$F$32)</f>
        <v>1.25456479014988</v>
      </c>
      <c r="K619" s="48" t="n">
        <f aca="false">IF(K585-Assumptions!$F$36&lt;1,0,INDEX($C$610:$N$610,1,K585-Assumptions!$F$36)*INDEX($C$616:$N$616,1,K585-Assumptions!$F$36)*Assumptions!$F$32)</f>
        <v>1.65314093620558</v>
      </c>
      <c r="L619" s="48" t="n">
        <f aca="false">IF(L585-Assumptions!$F$36&lt;1,0,INDEX($C$610:$N$610,1,L585-Assumptions!$F$36)*INDEX($C$616:$N$616,1,L585-Assumptions!$F$36)*Assumptions!$F$32)</f>
        <v>1.67157875728417</v>
      </c>
      <c r="M619" s="48" t="n">
        <f aca="false">IF(M585-Assumptions!$F$36&lt;1,0,INDEX($C$610:$N$610,1,M585-Assumptions!$F$36)*INDEX($C$616:$N$616,1,M585-Assumptions!$F$36)*Assumptions!$F$32)</f>
        <v>1.63632279586378</v>
      </c>
      <c r="N619" s="48" t="n">
        <f aca="false">IF(N585-Assumptions!$F$36&lt;1,0,INDEX($C$610:$N$610,1,N585-Assumptions!$F$36)*INDEX($C$616:$N$616,1,N585-Assumptions!$F$36)*Assumptions!$F$32)</f>
        <v>1.60247056502329</v>
      </c>
      <c r="P619" s="49" t="n">
        <f aca="false">SUM(C619:F619)</f>
        <v>0.845150785736328</v>
      </c>
      <c r="Q619" s="49" t="n">
        <f aca="false">SUM(G619:J619)</f>
        <v>3.55371260532083</v>
      </c>
      <c r="R619" s="49" t="n">
        <f aca="false">SUM(K619:N619)</f>
        <v>6.56351305437682</v>
      </c>
      <c r="S619" s="50" t="n">
        <f aca="false">SUM(P619:R619)</f>
        <v>10.962376445434</v>
      </c>
    </row>
    <row r="620" customFormat="false" ht="15" hidden="false" customHeight="false" outlineLevel="0" collapsed="false">
      <c r="A620" s="4" t="s">
        <v>519</v>
      </c>
      <c r="B620" s="36" t="s">
        <v>77</v>
      </c>
      <c r="C620" s="51" t="n">
        <f aca="false">IF(C585-Assumptions!$F$35&lt;1,0,IFERROR(INDEX($C$609:$N$609,1,C585-Assumptions!$F$35)/INDEX($C$610:$N$610,1,C585-Assumptions!$F$35),0))</f>
        <v>0</v>
      </c>
      <c r="D620" s="51" t="n">
        <f aca="false">IF(D585-Assumptions!$F$35&lt;1,0,IFERROR(INDEX($C$609:$N$609,1,D585-Assumptions!$F$35)/INDEX($C$610:$N$610,1,D585-Assumptions!$F$35),0))</f>
        <v>0.472752192727831</v>
      </c>
      <c r="E620" s="51" t="n">
        <f aca="false">IF(E585-Assumptions!$F$35&lt;1,0,IFERROR(INDEX($C$609:$N$609,1,E585-Assumptions!$F$35)/INDEX($C$610:$N$610,1,E585-Assumptions!$F$35),0))</f>
        <v>0.435326357540684</v>
      </c>
      <c r="F620" s="51" t="n">
        <f aca="false">IF(F585-Assumptions!$F$35&lt;1,0,IFERROR(INDEX($C$609:$N$609,1,F585-Assumptions!$F$35)/INDEX($C$610:$N$610,1,F585-Assumptions!$F$35),0))</f>
        <v>0.526797628907431</v>
      </c>
      <c r="G620" s="51" t="n">
        <f aca="false">IF(G585-Assumptions!$F$35&lt;1,0,IFERROR(INDEX($C$609:$N$609,1,G585-Assumptions!$F$35)/INDEX($C$610:$N$610,1,G585-Assumptions!$F$35),0))</f>
        <v>0.515445853256194</v>
      </c>
      <c r="H620" s="51" t="n">
        <f aca="false">IF(H585-Assumptions!$F$35&lt;1,0,IFERROR(INDEX($C$609:$N$609,1,H585-Assumptions!$F$35)/INDEX($C$610:$N$610,1,H585-Assumptions!$F$35),0))</f>
        <v>0.511735523602599</v>
      </c>
      <c r="I620" s="51" t="n">
        <f aca="false">IF(I585-Assumptions!$F$35&lt;1,0,IFERROR(INDEX($C$609:$N$609,1,I585-Assumptions!$F$35)/INDEX($C$610:$N$610,1,I585-Assumptions!$F$35),0))</f>
        <v>0.400353441695023</v>
      </c>
      <c r="J620" s="51" t="n">
        <f aca="false">IF(J585-Assumptions!$F$35&lt;1,0,IFERROR(INDEX($C$609:$N$609,1,J585-Assumptions!$F$35)/INDEX($C$610:$N$610,1,J585-Assumptions!$F$35),0))</f>
        <v>0.337699853558639</v>
      </c>
      <c r="K620" s="51" t="n">
        <f aca="false">IF(K585-Assumptions!$F$35&lt;1,0,IFERROR(INDEX($C$609:$N$609,1,K585-Assumptions!$F$35)/INDEX($C$610:$N$610,1,K585-Assumptions!$F$35),0))</f>
        <v>0.333974962074438</v>
      </c>
      <c r="L620" s="51" t="n">
        <f aca="false">IF(L585-Assumptions!$F$35&lt;1,0,IFERROR(INDEX($C$609:$N$609,1,L585-Assumptions!$F$35)/INDEX($C$610:$N$610,1,L585-Assumptions!$F$35),0))</f>
        <v>0.341170735676099</v>
      </c>
      <c r="M620" s="51" t="n">
        <f aca="false">IF(M585-Assumptions!$F$35&lt;1,0,IFERROR(INDEX($C$609:$N$609,1,M585-Assumptions!$F$35)/INDEX($C$610:$N$610,1,M585-Assumptions!$F$35),0))</f>
        <v>0.348377976016241</v>
      </c>
      <c r="N620" s="51" t="n">
        <f aca="false">IF(N585-Assumptions!$F$35&lt;1,0,IFERROR(INDEX($C$609:$N$609,1,N585-Assumptions!$F$35)/INDEX($C$610:$N$610,1,N585-Assumptions!$F$35),0))</f>
        <v>0.355590751623485</v>
      </c>
      <c r="P620" s="52"/>
      <c r="Q620" s="52"/>
      <c r="R620" s="52"/>
      <c r="S620" s="53"/>
    </row>
    <row r="621" customFormat="false" ht="15" hidden="false" customHeight="false" outlineLevel="0" collapsed="false">
      <c r="A621" s="4" t="s">
        <v>520</v>
      </c>
      <c r="B621" s="36" t="s">
        <v>516</v>
      </c>
      <c r="C621" s="48" t="n">
        <f aca="false">C617*Assumptions!$F$37</f>
        <v>0</v>
      </c>
      <c r="D621" s="48" t="n">
        <f aca="false">D617*Assumptions!$F$37</f>
        <v>1.137407009365</v>
      </c>
      <c r="E621" s="48" t="n">
        <f aca="false">E617*Assumptions!$F$37</f>
        <v>2.0586534232196</v>
      </c>
      <c r="F621" s="48" t="n">
        <f aca="false">F617*Assumptions!$F$37</f>
        <v>2.38167460479755</v>
      </c>
      <c r="G621" s="48" t="n">
        <f aca="false">G617*Assumptions!$F$37</f>
        <v>3.16639426235047</v>
      </c>
      <c r="H621" s="48" t="n">
        <f aca="false">H617*Assumptions!$F$37</f>
        <v>3.92482799987211</v>
      </c>
      <c r="I621" s="48" t="n">
        <f aca="false">I617*Assumptions!$F$37</f>
        <v>6.07579594441725</v>
      </c>
      <c r="J621" s="48" t="n">
        <f aca="false">J617*Assumptions!$F$37</f>
        <v>8.39733226621773</v>
      </c>
      <c r="K621" s="48" t="n">
        <f aca="false">K617*Assumptions!$F$37</f>
        <v>8.49098944115729</v>
      </c>
      <c r="L621" s="48" t="n">
        <f aca="false">L617*Assumptions!$F$37</f>
        <v>8.31190245835503</v>
      </c>
      <c r="M621" s="48" t="n">
        <f aca="false">M617*Assumptions!$F$37</f>
        <v>8.13994589730541</v>
      </c>
      <c r="N621" s="48" t="n">
        <f aca="false">N617*Assumptions!$F$37</f>
        <v>7.97483585733863</v>
      </c>
      <c r="P621" s="49" t="n">
        <f aca="false">SUM(C621:F621)</f>
        <v>5.57773503738216</v>
      </c>
      <c r="Q621" s="49" t="n">
        <f aca="false">SUM(G621:J621)</f>
        <v>21.5643504728576</v>
      </c>
      <c r="R621" s="49" t="n">
        <f aca="false">SUM(K621:N621)</f>
        <v>32.9176736541563</v>
      </c>
      <c r="S621" s="50" t="n">
        <f aca="false">SUM(P621:R621)</f>
        <v>60.0597591643961</v>
      </c>
    </row>
    <row r="622" customFormat="false" ht="15" hidden="false" customHeight="false" outlineLevel="0" collapsed="false">
      <c r="A622" s="4" t="s">
        <v>521</v>
      </c>
      <c r="B622" s="36" t="s">
        <v>516</v>
      </c>
      <c r="C622" s="48" t="n">
        <f aca="false">C617*(1-Assumptions!$F$37)</f>
        <v>0</v>
      </c>
      <c r="D622" s="48" t="n">
        <f aca="false">D617*(1-Assumptions!$F$37)</f>
        <v>1.70611051404751</v>
      </c>
      <c r="E622" s="48" t="n">
        <f aca="false">E617*(1-Assumptions!$F$37)</f>
        <v>3.08798013482941</v>
      </c>
      <c r="F622" s="48" t="n">
        <f aca="false">F617*(1-Assumptions!$F$37)</f>
        <v>3.57251190719632</v>
      </c>
      <c r="G622" s="48" t="n">
        <f aca="false">G617*(1-Assumptions!$F$37)</f>
        <v>4.7495913935257</v>
      </c>
      <c r="H622" s="48" t="n">
        <f aca="false">H617*(1-Assumptions!$F$37)</f>
        <v>5.88724199980816</v>
      </c>
      <c r="I622" s="48" t="n">
        <f aca="false">I617*(1-Assumptions!$F$37)</f>
        <v>9.11369391662588</v>
      </c>
      <c r="J622" s="48" t="n">
        <f aca="false">J617*(1-Assumptions!$F$37)</f>
        <v>12.5959983993266</v>
      </c>
      <c r="K622" s="48" t="n">
        <f aca="false">K617*(1-Assumptions!$F$37)</f>
        <v>12.7364841617359</v>
      </c>
      <c r="L622" s="48" t="n">
        <f aca="false">L617*(1-Assumptions!$F$37)</f>
        <v>12.4678536875325</v>
      </c>
      <c r="M622" s="48" t="n">
        <f aca="false">M617*(1-Assumptions!$F$37)</f>
        <v>12.2099188459581</v>
      </c>
      <c r="N622" s="48" t="n">
        <f aca="false">N617*(1-Assumptions!$F$37)</f>
        <v>11.9622537860079</v>
      </c>
      <c r="P622" s="49" t="n">
        <f aca="false">SUM(C622:F622)</f>
        <v>8.36660255607324</v>
      </c>
      <c r="Q622" s="49" t="n">
        <f aca="false">SUM(G622:J622)</f>
        <v>32.3465257092864</v>
      </c>
      <c r="R622" s="49" t="n">
        <f aca="false">SUM(K622:N622)</f>
        <v>49.3765104812345</v>
      </c>
      <c r="S622" s="50" t="n">
        <f aca="false">SUM(P622:R622)</f>
        <v>90.0896387465941</v>
      </c>
    </row>
    <row r="623" customFormat="false" ht="15" hidden="false" customHeight="false" outlineLevel="0" collapsed="false">
      <c r="A623" s="4" t="s">
        <v>522</v>
      </c>
      <c r="B623" s="36" t="s">
        <v>125</v>
      </c>
      <c r="C623" s="54" t="n">
        <f aca="false">C622*$C$576+C618*$C$577+C619*$C$578</f>
        <v>0</v>
      </c>
      <c r="D623" s="54" t="n">
        <f aca="false">D622*$C$576+D618*$C$577+D619*$C$578</f>
        <v>30003.1016297231</v>
      </c>
      <c r="E623" s="54" t="n">
        <f aca="false">E622*$C$576+E618*$C$577+E619*$C$578</f>
        <v>82175.8167183839</v>
      </c>
      <c r="F623" s="54" t="n">
        <f aca="false">F622*$C$576+F618*$C$577+F619*$C$578</f>
        <v>113271.331138314</v>
      </c>
      <c r="G623" s="54" t="n">
        <f aca="false">G622*$C$576+G618*$C$577+G619*$C$578</f>
        <v>140740.276072165</v>
      </c>
      <c r="H623" s="54" t="n">
        <f aca="false">H622*$C$576+H618*$C$577+H619*$C$578</f>
        <v>172429.224115805</v>
      </c>
      <c r="I623" s="54" t="n">
        <f aca="false">I622*$C$576+I618*$C$577+I619*$C$578</f>
        <v>233931.40481926</v>
      </c>
      <c r="J623" s="54" t="n">
        <f aca="false">J622*$C$576+J618*$C$577+J619*$C$578</f>
        <v>320423.520905624</v>
      </c>
      <c r="K623" s="54" t="n">
        <f aca="false">K622*$C$576+K618*$C$577+K619*$C$578</f>
        <v>359635.638392097</v>
      </c>
      <c r="L623" s="54" t="n">
        <f aca="false">L622*$C$576+L618*$C$577+L619*$C$578</f>
        <v>356990.039773524</v>
      </c>
      <c r="M623" s="54" t="n">
        <f aca="false">M622*$C$576+M618*$C$577+M619*$C$578</f>
        <v>349542.142370762</v>
      </c>
      <c r="N623" s="54" t="n">
        <f aca="false">N622*$C$576+N618*$C$577+N619*$C$578</f>
        <v>342390.786061167</v>
      </c>
      <c r="P623" s="55" t="n">
        <f aca="false">SUM(C623:F623)</f>
        <v>225450.249486421</v>
      </c>
      <c r="Q623" s="55" t="n">
        <f aca="false">SUM(G623:J623)</f>
        <v>867524.425912855</v>
      </c>
      <c r="R623" s="55" t="n">
        <f aca="false">SUM(K623:N623)</f>
        <v>1408558.60659755</v>
      </c>
      <c r="S623" s="56" t="n">
        <f aca="false">SUM(P623:R623)</f>
        <v>2501533.28199683</v>
      </c>
    </row>
    <row r="624" customFormat="false" ht="15" hidden="false" customHeight="false" outlineLevel="0" collapsed="false">
      <c r="A624" s="4" t="s">
        <v>523</v>
      </c>
      <c r="B624" s="36" t="s">
        <v>125</v>
      </c>
      <c r="C624" s="54" t="n">
        <f aca="false">(C600+Assumptions!$D$104*C586)*$C$581</f>
        <v>371875</v>
      </c>
      <c r="D624" s="54" t="n">
        <f aca="false">(D600+Assumptions!$D$104*D586)*$C$581</f>
        <v>371875</v>
      </c>
      <c r="E624" s="54" t="n">
        <f aca="false">(E600+Assumptions!$D$104*E586)*$C$581</f>
        <v>371875</v>
      </c>
      <c r="F624" s="54" t="n">
        <f aca="false">(F600+Assumptions!$D$104*F586)*$C$581</f>
        <v>371875</v>
      </c>
      <c r="G624" s="54" t="n">
        <f aca="false">(G600+Assumptions!$D$104*G586)*$C$581</f>
        <v>371875</v>
      </c>
      <c r="H624" s="54" t="n">
        <f aca="false">(H600+Assumptions!$D$104*H586)*$C$581</f>
        <v>464843.75</v>
      </c>
      <c r="I624" s="54" t="n">
        <f aca="false">(I600+Assumptions!$D$104*I586)*$C$581</f>
        <v>650781.25</v>
      </c>
      <c r="J624" s="54" t="n">
        <f aca="false">(J600+Assumptions!$D$104*J586)*$C$581</f>
        <v>743750</v>
      </c>
      <c r="K624" s="54" t="n">
        <f aca="false">(K600+Assumptions!$D$104*K586)*$C$581</f>
        <v>743750</v>
      </c>
      <c r="L624" s="54" t="n">
        <f aca="false">(L600+Assumptions!$D$104*L586)*$C$581</f>
        <v>743750</v>
      </c>
      <c r="M624" s="54" t="n">
        <f aca="false">(M600+Assumptions!$D$104*M586)*$C$581</f>
        <v>743750</v>
      </c>
      <c r="N624" s="54" t="n">
        <f aca="false">(N600+Assumptions!$D$104*N586)*$C$581</f>
        <v>743750</v>
      </c>
      <c r="P624" s="55" t="n">
        <f aca="false">SUM(C624:F624)</f>
        <v>1487500</v>
      </c>
      <c r="Q624" s="55" t="n">
        <f aca="false">SUM(G624:J624)</f>
        <v>2231250</v>
      </c>
      <c r="R624" s="55" t="n">
        <f aca="false">SUM(K624:N624)</f>
        <v>2975000</v>
      </c>
      <c r="S624" s="56" t="n">
        <f aca="false">SUM(P624:R624)</f>
        <v>6693750</v>
      </c>
    </row>
    <row r="625" customFormat="false" ht="15" hidden="false" customHeight="false" outlineLevel="0" collapsed="false">
      <c r="A625" s="4" t="s">
        <v>524</v>
      </c>
      <c r="B625" s="36" t="s">
        <v>77</v>
      </c>
      <c r="C625" s="51" t="n">
        <f aca="false">IF(C623&gt;0,MIN(1,C624/C623),1)</f>
        <v>1</v>
      </c>
      <c r="D625" s="51" t="n">
        <f aca="false">IF(D623&gt;0,MIN(1,D624/D623),1)</f>
        <v>1</v>
      </c>
      <c r="E625" s="51" t="n">
        <f aca="false">IF(E623&gt;0,MIN(1,E624/E623),1)</f>
        <v>1</v>
      </c>
      <c r="F625" s="51" t="n">
        <f aca="false">IF(F623&gt;0,MIN(1,F624/F623),1)</f>
        <v>1</v>
      </c>
      <c r="G625" s="51" t="n">
        <f aca="false">IF(G623&gt;0,MIN(1,G624/G623),1)</f>
        <v>1</v>
      </c>
      <c r="H625" s="51" t="n">
        <f aca="false">IF(H623&gt;0,MIN(1,H624/H623),1)</f>
        <v>1</v>
      </c>
      <c r="I625" s="51" t="n">
        <f aca="false">IF(I623&gt;0,MIN(1,I624/I623),1)</f>
        <v>1</v>
      </c>
      <c r="J625" s="51" t="n">
        <f aca="false">IF(J623&gt;0,MIN(1,J624/J623),1)</f>
        <v>1</v>
      </c>
      <c r="K625" s="51" t="n">
        <f aca="false">IF(K623&gt;0,MIN(1,K624/K623),1)</f>
        <v>1</v>
      </c>
      <c r="L625" s="51" t="n">
        <f aca="false">IF(L623&gt;0,MIN(1,L624/L623),1)</f>
        <v>1</v>
      </c>
      <c r="M625" s="51" t="n">
        <f aca="false">IF(M623&gt;0,MIN(1,M624/M623),1)</f>
        <v>1</v>
      </c>
      <c r="N625" s="51" t="n">
        <f aca="false">IF(N623&gt;0,MIN(1,N624/N623),1)</f>
        <v>1</v>
      </c>
      <c r="P625" s="52"/>
      <c r="Q625" s="52"/>
      <c r="R625" s="52"/>
      <c r="S625" s="53"/>
    </row>
    <row r="626" customFormat="false" ht="15" hidden="false" customHeight="false" outlineLevel="0" collapsed="false">
      <c r="A626" s="4" t="s">
        <v>525</v>
      </c>
      <c r="B626" s="36" t="s">
        <v>125</v>
      </c>
      <c r="C626" s="54" t="n">
        <f aca="false">C623*(1-C625)</f>
        <v>0</v>
      </c>
      <c r="D626" s="54" t="n">
        <f aca="false">D623*(1-D625)</f>
        <v>0</v>
      </c>
      <c r="E626" s="54" t="n">
        <f aca="false">E623*(1-E625)</f>
        <v>0</v>
      </c>
      <c r="F626" s="54" t="n">
        <f aca="false">F623*(1-F625)</f>
        <v>0</v>
      </c>
      <c r="G626" s="54" t="n">
        <f aca="false">G623*(1-G625)</f>
        <v>0</v>
      </c>
      <c r="H626" s="54" t="n">
        <f aca="false">H623*(1-H625)</f>
        <v>0</v>
      </c>
      <c r="I626" s="54" t="n">
        <f aca="false">I623*(1-I625)</f>
        <v>0</v>
      </c>
      <c r="J626" s="54" t="n">
        <f aca="false">J623*(1-J625)</f>
        <v>0</v>
      </c>
      <c r="K626" s="54" t="n">
        <f aca="false">K623*(1-K625)</f>
        <v>0</v>
      </c>
      <c r="L626" s="54" t="n">
        <f aca="false">L623*(1-L625)</f>
        <v>0</v>
      </c>
      <c r="M626" s="54" t="n">
        <f aca="false">M623*(1-M625)</f>
        <v>0</v>
      </c>
      <c r="N626" s="54" t="n">
        <f aca="false">N623*(1-N625)</f>
        <v>0</v>
      </c>
      <c r="P626" s="55" t="n">
        <f aca="false">SUM(C626:F626)</f>
        <v>0</v>
      </c>
      <c r="Q626" s="55" t="n">
        <f aca="false">SUM(G626:J626)</f>
        <v>0</v>
      </c>
      <c r="R626" s="55" t="n">
        <f aca="false">SUM(K626:N626)</f>
        <v>0</v>
      </c>
      <c r="S626" s="56" t="n">
        <f aca="false">SUM(P626:R626)</f>
        <v>0</v>
      </c>
    </row>
    <row r="627" customFormat="false" ht="15" hidden="false" customHeight="false" outlineLevel="0" collapsed="false">
      <c r="A627" s="4" t="s">
        <v>526</v>
      </c>
      <c r="B627" s="36" t="s">
        <v>527</v>
      </c>
      <c r="C627" s="48" t="n">
        <f aca="false">C621+C622*C625</f>
        <v>0</v>
      </c>
      <c r="D627" s="48" t="n">
        <f aca="false">D621+D622*D625</f>
        <v>2.84351752341251</v>
      </c>
      <c r="E627" s="48" t="n">
        <f aca="false">E621+E622*E625</f>
        <v>5.14663355804901</v>
      </c>
      <c r="F627" s="48" t="n">
        <f aca="false">F621+F622*F625</f>
        <v>5.95418651199387</v>
      </c>
      <c r="G627" s="48" t="n">
        <f aca="false">G621+G622*G625</f>
        <v>7.91598565587617</v>
      </c>
      <c r="H627" s="48" t="n">
        <f aca="false">H621+H622*H625</f>
        <v>9.81206999968027</v>
      </c>
      <c r="I627" s="48" t="n">
        <f aca="false">I621+I622*I625</f>
        <v>15.1894898610431</v>
      </c>
      <c r="J627" s="48" t="n">
        <f aca="false">J621+J622*J625</f>
        <v>20.9933306655443</v>
      </c>
      <c r="K627" s="48" t="n">
        <f aca="false">K621+K622*K625</f>
        <v>21.2274736028932</v>
      </c>
      <c r="L627" s="48" t="n">
        <f aca="false">L621+L622*L625</f>
        <v>20.7797561458876</v>
      </c>
      <c r="M627" s="48" t="n">
        <f aca="false">M621+M622*M625</f>
        <v>20.3498647432635</v>
      </c>
      <c r="N627" s="48" t="n">
        <f aca="false">N621+N622*N625</f>
        <v>19.9370896433466</v>
      </c>
      <c r="P627" s="49" t="n">
        <f aca="false">SUM(C627:F627)</f>
        <v>13.9443375934554</v>
      </c>
      <c r="Q627" s="49" t="n">
        <f aca="false">SUM(G627:J627)</f>
        <v>53.9108761821439</v>
      </c>
      <c r="R627" s="49" t="n">
        <f aca="false">SUM(K627:N627)</f>
        <v>82.2941841353909</v>
      </c>
      <c r="S627" s="50" t="n">
        <f aca="false">SUM(P627:R627)</f>
        <v>150.14939791099</v>
      </c>
    </row>
    <row r="628" customFormat="false" ht="15" hidden="false" customHeight="false" outlineLevel="0" collapsed="false">
      <c r="A628" s="4" t="s">
        <v>528</v>
      </c>
      <c r="B628" s="36" t="s">
        <v>527</v>
      </c>
      <c r="C628" s="48" t="n">
        <f aca="false">C618*C625</f>
        <v>0</v>
      </c>
      <c r="D628" s="48" t="n">
        <f aca="false">D618*D625</f>
        <v>1.42470197318996</v>
      </c>
      <c r="E628" s="48" t="n">
        <f aca="false">E618*E625</f>
        <v>2.57864385398211</v>
      </c>
      <c r="F628" s="48" t="n">
        <f aca="false">F618*F625</f>
        <v>2.98325619678206</v>
      </c>
      <c r="G628" s="48" t="n">
        <f aca="false">G618*G625</f>
        <v>3.88794325448635</v>
      </c>
      <c r="H628" s="48" t="n">
        <f aca="false">H618*H625</f>
        <v>4.7630369713578</v>
      </c>
      <c r="I628" s="48" t="n">
        <f aca="false">I618*I625</f>
        <v>6.9352872632201</v>
      </c>
      <c r="J628" s="48" t="n">
        <f aca="false">J618*J625</f>
        <v>9.3345905343184</v>
      </c>
      <c r="K628" s="48" t="n">
        <f aca="false">K618*K625</f>
        <v>9.43870114361022</v>
      </c>
      <c r="L628" s="48" t="n">
        <f aca="false">L618*L625</f>
        <v>9.23962557990878</v>
      </c>
      <c r="M628" s="48" t="n">
        <f aca="false">M618*M625</f>
        <v>9.0484762915157</v>
      </c>
      <c r="N628" s="48" t="n">
        <f aca="false">N618*N625</f>
        <v>8.8649376905251</v>
      </c>
      <c r="P628" s="49" t="n">
        <f aca="false">SUM(C628:F628)</f>
        <v>6.98660202395414</v>
      </c>
      <c r="Q628" s="49" t="n">
        <f aca="false">SUM(G628:J628)</f>
        <v>24.9208580233826</v>
      </c>
      <c r="R628" s="49" t="n">
        <f aca="false">SUM(K628:N628)</f>
        <v>36.5917407055598</v>
      </c>
      <c r="S628" s="50" t="n">
        <f aca="false">SUM(P628:R628)</f>
        <v>68.4992007528966</v>
      </c>
    </row>
    <row r="629" customFormat="false" ht="15" hidden="false" customHeight="false" outlineLevel="0" collapsed="false">
      <c r="A629" s="4" t="s">
        <v>529</v>
      </c>
      <c r="B629" s="36" t="s">
        <v>527</v>
      </c>
      <c r="C629" s="48" t="n">
        <f aca="false">C619*C625</f>
        <v>0</v>
      </c>
      <c r="D629" s="48" t="n">
        <f aca="false">D619*D625</f>
        <v>0</v>
      </c>
      <c r="E629" s="48" t="n">
        <f aca="false">E619*E625</f>
        <v>0.300770416562326</v>
      </c>
      <c r="F629" s="48" t="n">
        <f aca="false">F619*F625</f>
        <v>0.544380369174002</v>
      </c>
      <c r="G629" s="48" t="n">
        <f aca="false">G619*G625</f>
        <v>0.629798530431768</v>
      </c>
      <c r="H629" s="48" t="n">
        <f aca="false">H619*H625</f>
        <v>0.767711658795803</v>
      </c>
      <c r="I629" s="48" t="n">
        <f aca="false">I619*I625</f>
        <v>0.901637625943376</v>
      </c>
      <c r="J629" s="48" t="n">
        <f aca="false">J619*J625</f>
        <v>1.25456479014988</v>
      </c>
      <c r="K629" s="48" t="n">
        <f aca="false">K619*K625</f>
        <v>1.65314093620558</v>
      </c>
      <c r="L629" s="48" t="n">
        <f aca="false">L619*L625</f>
        <v>1.67157875728417</v>
      </c>
      <c r="M629" s="48" t="n">
        <f aca="false">M619*M625</f>
        <v>1.63632279586378</v>
      </c>
      <c r="N629" s="48" t="n">
        <f aca="false">N619*N625</f>
        <v>1.60247056502329</v>
      </c>
      <c r="P629" s="49" t="n">
        <f aca="false">SUM(C629:F629)</f>
        <v>0.845150785736328</v>
      </c>
      <c r="Q629" s="49" t="n">
        <f aca="false">SUM(G629:J629)</f>
        <v>3.55371260532083</v>
      </c>
      <c r="R629" s="49" t="n">
        <f aca="false">SUM(K629:N629)</f>
        <v>6.56351305437682</v>
      </c>
      <c r="S629" s="50" t="n">
        <f aca="false">SUM(P629:R629)</f>
        <v>10.962376445434</v>
      </c>
    </row>
    <row r="630" customFormat="false" ht="15" hidden="false" customHeight="false" outlineLevel="0" collapsed="false">
      <c r="A630" s="9" t="s">
        <v>530</v>
      </c>
      <c r="B630" s="36" t="s">
        <v>527</v>
      </c>
      <c r="C630" s="49" t="n">
        <f aca="false">C627+C628+C629</f>
        <v>0</v>
      </c>
      <c r="D630" s="49" t="n">
        <f aca="false">D627+D628+D629</f>
        <v>4.26821949660248</v>
      </c>
      <c r="E630" s="49" t="n">
        <f aca="false">E627+E628+E629</f>
        <v>8.02604782859345</v>
      </c>
      <c r="F630" s="49" t="n">
        <f aca="false">F627+F628+F629</f>
        <v>9.48182307794993</v>
      </c>
      <c r="G630" s="49" t="n">
        <f aca="false">G627+G628+G629</f>
        <v>12.4337274407943</v>
      </c>
      <c r="H630" s="49" t="n">
        <f aca="false">H627+H628+H629</f>
        <v>15.3428186298339</v>
      </c>
      <c r="I630" s="49" t="n">
        <f aca="false">I627+I628+I629</f>
        <v>23.0264147502066</v>
      </c>
      <c r="J630" s="49" t="n">
        <f aca="false">J627+J628+J629</f>
        <v>31.5824859900126</v>
      </c>
      <c r="K630" s="49" t="n">
        <f aca="false">K627+K628+K629</f>
        <v>32.319315682709</v>
      </c>
      <c r="L630" s="49" t="n">
        <f aca="false">L627+L628+L629</f>
        <v>31.6909604830805</v>
      </c>
      <c r="M630" s="49" t="n">
        <f aca="false">M627+M628+M629</f>
        <v>31.034663830643</v>
      </c>
      <c r="N630" s="49" t="n">
        <f aca="false">N627+N628+N629</f>
        <v>30.404497898895</v>
      </c>
      <c r="P630" s="49" t="n">
        <f aca="false">SUM(C630:F630)</f>
        <v>21.7760904031459</v>
      </c>
      <c r="Q630" s="49" t="n">
        <f aca="false">SUM(G630:J630)</f>
        <v>82.3854468108474</v>
      </c>
      <c r="R630" s="49" t="n">
        <f aca="false">SUM(K630:N630)</f>
        <v>125.449437895327</v>
      </c>
      <c r="S630" s="50" t="n">
        <f aca="false">SUM(P630:R630)</f>
        <v>229.610975109321</v>
      </c>
    </row>
    <row r="631" customFormat="false" ht="15" hidden="false" customHeight="false" outlineLevel="0" collapsed="false">
      <c r="A631" s="35" t="s">
        <v>533</v>
      </c>
      <c r="B631" s="35" t="s">
        <v>444</v>
      </c>
      <c r="C631" s="6" t="s">
        <v>354</v>
      </c>
      <c r="D631" s="6" t="s">
        <v>355</v>
      </c>
      <c r="E631" s="6" t="s">
        <v>356</v>
      </c>
      <c r="F631" s="6" t="s">
        <v>357</v>
      </c>
      <c r="G631" s="6" t="s">
        <v>358</v>
      </c>
      <c r="H631" s="6" t="s">
        <v>359</v>
      </c>
      <c r="I631" s="6" t="s">
        <v>360</v>
      </c>
      <c r="J631" s="6" t="s">
        <v>361</v>
      </c>
      <c r="K631" s="6" t="s">
        <v>362</v>
      </c>
      <c r="L631" s="6" t="s">
        <v>363</v>
      </c>
      <c r="M631" s="6" t="s">
        <v>364</v>
      </c>
      <c r="N631" s="6" t="s">
        <v>365</v>
      </c>
      <c r="P631" s="6" t="s">
        <v>445</v>
      </c>
      <c r="Q631" s="6" t="s">
        <v>446</v>
      </c>
      <c r="R631" s="6" t="s">
        <v>447</v>
      </c>
      <c r="S631" s="6" t="s">
        <v>448</v>
      </c>
    </row>
    <row r="632" customFormat="false" ht="15" hidden="false" customHeight="false" outlineLevel="0" collapsed="false">
      <c r="A632" s="4" t="s">
        <v>534</v>
      </c>
      <c r="B632" s="36" t="s">
        <v>527</v>
      </c>
      <c r="C632" s="48" t="n">
        <f aca="false">0*Assumptions!$F$59^(1/4)+C627</f>
        <v>0</v>
      </c>
      <c r="D632" s="48" t="n">
        <f aca="false">C632*Assumptions!$F$59^(1/4)+D627</f>
        <v>2.84351752341251</v>
      </c>
      <c r="E632" s="48" t="n">
        <f aca="false">D632*Assumptions!$F$59^(1/4)+E627</f>
        <v>7.92389175377895</v>
      </c>
      <c r="F632" s="48" t="n">
        <f aca="false">E632*Assumptions!$F$59^(1/4)+F627</f>
        <v>13.6934366253004</v>
      </c>
      <c r="G632" s="48" t="n">
        <f aca="false">F632*Assumptions!$F$59^(1/4)+G627</f>
        <v>21.2903393506211</v>
      </c>
      <c r="H632" s="48" t="n">
        <f aca="false">G632*Assumptions!$F$59^(1/4)+H627</f>
        <v>30.6063042410868</v>
      </c>
      <c r="I632" s="48" t="n">
        <f aca="false">H632*Assumptions!$F$59^(1/4)+I627</f>
        <v>45.0826094197198</v>
      </c>
      <c r="J632" s="48" t="n">
        <f aca="false">I632*Assumptions!$F$59^(1/4)+J627</f>
        <v>65.0254301567225</v>
      </c>
      <c r="K632" s="48" t="n">
        <f aca="false">J632*Assumptions!$F$59^(1/4)+K627</f>
        <v>84.7376884500635</v>
      </c>
      <c r="L632" s="48" t="n">
        <f aca="false">K632*Assumptions!$F$59^(1/4)+L627</f>
        <v>103.542896445694</v>
      </c>
      <c r="M632" s="48" t="n">
        <f aca="false">L632*Assumptions!$F$59^(1/4)+M627</f>
        <v>121.480016182708</v>
      </c>
      <c r="N632" s="48" t="n">
        <f aca="false">M632*Assumptions!$F$59^(1/4)+N627</f>
        <v>138.586392059439</v>
      </c>
      <c r="P632" s="49" t="n">
        <f aca="false">F632</f>
        <v>13.6934366253004</v>
      </c>
      <c r="Q632" s="49" t="n">
        <f aca="false">J632</f>
        <v>65.0254301567225</v>
      </c>
      <c r="R632" s="49" t="n">
        <f aca="false">N632</f>
        <v>138.586392059439</v>
      </c>
      <c r="S632" s="50" t="n">
        <f aca="false">R632</f>
        <v>138.586392059439</v>
      </c>
    </row>
    <row r="633" customFormat="false" ht="15" hidden="false" customHeight="false" outlineLevel="0" collapsed="false">
      <c r="A633" s="4" t="s">
        <v>535</v>
      </c>
      <c r="B633" s="36" t="s">
        <v>527</v>
      </c>
      <c r="C633" s="48" t="n">
        <f aca="false">0*Assumptions!$F$60^(1/4)+C628</f>
        <v>0</v>
      </c>
      <c r="D633" s="48" t="n">
        <f aca="false">C633*Assumptions!$F$60^(1/4)+D628</f>
        <v>1.42470197318996</v>
      </c>
      <c r="E633" s="48" t="n">
        <f aca="false">D633*Assumptions!$F$60^(1/4)+E628</f>
        <v>3.97773098828223</v>
      </c>
      <c r="F633" s="48" t="n">
        <f aca="false">E633*Assumptions!$F$60^(1/4)+F628</f>
        <v>6.8894712186872</v>
      </c>
      <c r="G633" s="48" t="n">
        <f aca="false">F633*Assumptions!$F$60^(1/4)+G628</f>
        <v>10.6535480796233</v>
      </c>
      <c r="H633" s="48" t="n">
        <f aca="false">G633*Assumptions!$F$60^(1/4)+H628</f>
        <v>15.225043996922</v>
      </c>
      <c r="I633" s="48" t="n">
        <f aca="false">H633*Assumptions!$F$60^(1/4)+I628</f>
        <v>21.8865988891545</v>
      </c>
      <c r="J633" s="48" t="n">
        <f aca="false">I633*Assumptions!$F$60^(1/4)+J628</f>
        <v>30.8276883861035</v>
      </c>
      <c r="K633" s="48" t="n">
        <f aca="false">J633*Assumptions!$F$60^(1/4)+K628</f>
        <v>39.7121358779211</v>
      </c>
      <c r="L633" s="48" t="n">
        <f aca="false">K633*Assumptions!$F$60^(1/4)+L628</f>
        <v>48.2377735630794</v>
      </c>
      <c r="M633" s="48" t="n">
        <f aca="false">L633*Assumptions!$F$60^(1/4)+M628</f>
        <v>56.4189787891547</v>
      </c>
      <c r="N633" s="48" t="n">
        <f aca="false">M633*Assumptions!$F$60^(1/4)+N628</f>
        <v>64.2695548242534</v>
      </c>
      <c r="P633" s="49" t="n">
        <f aca="false">F633</f>
        <v>6.8894712186872</v>
      </c>
      <c r="Q633" s="49" t="n">
        <f aca="false">J633</f>
        <v>30.8276883861035</v>
      </c>
      <c r="R633" s="49" t="n">
        <f aca="false">N633</f>
        <v>64.2695548242534</v>
      </c>
      <c r="S633" s="50" t="n">
        <f aca="false">R633</f>
        <v>64.2695548242534</v>
      </c>
    </row>
    <row r="634" customFormat="false" ht="15" hidden="false" customHeight="false" outlineLevel="0" collapsed="false">
      <c r="A634" s="4" t="s">
        <v>536</v>
      </c>
      <c r="B634" s="36" t="s">
        <v>527</v>
      </c>
      <c r="C634" s="48" t="n">
        <f aca="false">0*Assumptions!$F$61^(1/4)+C629</f>
        <v>0</v>
      </c>
      <c r="D634" s="48" t="n">
        <f aca="false">C634*Assumptions!$F$61^(1/4)+D629</f>
        <v>0</v>
      </c>
      <c r="E634" s="48" t="n">
        <f aca="false">D634*Assumptions!$F$61^(1/4)+E629</f>
        <v>0.300770416562326</v>
      </c>
      <c r="F634" s="48" t="n">
        <f aca="false">E634*Assumptions!$F$61^(1/4)+F629</f>
        <v>0.841318532978722</v>
      </c>
      <c r="G634" s="48" t="n">
        <f aca="false">F634*Assumptions!$F$61^(1/4)+G629</f>
        <v>1.46039744109895</v>
      </c>
      <c r="H634" s="48" t="n">
        <f aca="false">G634*Assumptions!$F$61^(1/4)+H629</f>
        <v>2.20950151147293</v>
      </c>
      <c r="I634" s="48" t="n">
        <f aca="false">H634*Assumptions!$F$61^(1/4)+I629</f>
        <v>3.08298687311766</v>
      </c>
      <c r="J634" s="48" t="n">
        <f aca="false">I634*Assumptions!$F$61^(1/4)+J629</f>
        <v>4.29826992445424</v>
      </c>
      <c r="K634" s="48" t="n">
        <f aca="false">J634*Assumptions!$F$61^(1/4)+K629</f>
        <v>5.89664464741588</v>
      </c>
      <c r="L634" s="48" t="n">
        <f aca="false">K634*Assumptions!$F$61^(1/4)+L629</f>
        <v>7.49309157169279</v>
      </c>
      <c r="M634" s="48" t="n">
        <f aca="false">L634*Assumptions!$F$61^(1/4)+M629</f>
        <v>9.0339414777464</v>
      </c>
      <c r="N634" s="48" t="n">
        <f aca="false">M634*Assumptions!$F$61^(1/4)+N629</f>
        <v>10.5213064830679</v>
      </c>
      <c r="P634" s="49" t="n">
        <f aca="false">F634</f>
        <v>0.841318532978722</v>
      </c>
      <c r="Q634" s="49" t="n">
        <f aca="false">J634</f>
        <v>4.29826992445424</v>
      </c>
      <c r="R634" s="49" t="n">
        <f aca="false">N634</f>
        <v>10.5213064830679</v>
      </c>
      <c r="S634" s="50" t="n">
        <f aca="false">R634</f>
        <v>10.5213064830679</v>
      </c>
    </row>
    <row r="635" customFormat="false" ht="15" hidden="false" customHeight="false" outlineLevel="0" collapsed="false">
      <c r="A635" s="9" t="s">
        <v>537</v>
      </c>
      <c r="B635" s="36" t="s">
        <v>527</v>
      </c>
      <c r="C635" s="49" t="n">
        <f aca="false">C632+C633+C634</f>
        <v>0</v>
      </c>
      <c r="D635" s="49" t="n">
        <f aca="false">D632+D633+D634</f>
        <v>4.26821949660248</v>
      </c>
      <c r="E635" s="49" t="n">
        <f aca="false">E632+E633+E634</f>
        <v>12.2023931586235</v>
      </c>
      <c r="F635" s="49" t="n">
        <f aca="false">F632+F633+F634</f>
        <v>21.4242263769663</v>
      </c>
      <c r="G635" s="49" t="n">
        <f aca="false">G632+G633+G634</f>
        <v>33.4042848713434</v>
      </c>
      <c r="H635" s="49" t="n">
        <f aca="false">H632+H633+H634</f>
        <v>48.0408497494818</v>
      </c>
      <c r="I635" s="49" t="n">
        <f aca="false">I632+I633+I634</f>
        <v>70.0521951819919</v>
      </c>
      <c r="J635" s="49" t="n">
        <f aca="false">J632+J633+J634</f>
        <v>100.15138846728</v>
      </c>
      <c r="K635" s="49" t="n">
        <f aca="false">K632+K633+K634</f>
        <v>130.346468975401</v>
      </c>
      <c r="L635" s="49" t="n">
        <f aca="false">L632+L633+L634</f>
        <v>159.273761580467</v>
      </c>
      <c r="M635" s="49" t="n">
        <f aca="false">M632+M633+M634</f>
        <v>186.932936449609</v>
      </c>
      <c r="N635" s="49" t="n">
        <f aca="false">N632+N633+N634</f>
        <v>213.377253366761</v>
      </c>
      <c r="P635" s="49" t="n">
        <f aca="false">F635</f>
        <v>21.4242263769663</v>
      </c>
      <c r="Q635" s="49" t="n">
        <f aca="false">J635</f>
        <v>100.15138846728</v>
      </c>
      <c r="R635" s="49" t="n">
        <f aca="false">N635</f>
        <v>213.377253366761</v>
      </c>
      <c r="S635" s="50" t="n">
        <f aca="false">R635</f>
        <v>213.377253366761</v>
      </c>
    </row>
    <row r="636" customFormat="false" ht="15" hidden="false" customHeight="false" outlineLevel="0" collapsed="false">
      <c r="A636" s="4" t="s">
        <v>538</v>
      </c>
      <c r="B636" s="36" t="s">
        <v>125</v>
      </c>
      <c r="C636" s="54" t="n">
        <f aca="false">0*Assumptions!$F$62^(1/4)+C627*$C$576</f>
        <v>0</v>
      </c>
      <c r="D636" s="54" t="n">
        <f aca="false">C636*Assumptions!$F$62^(1/4)+D627*$C$576</f>
        <v>15218.5057853038</v>
      </c>
      <c r="E636" s="54" t="n">
        <f aca="false">D636*Assumptions!$F$62^(1/4)+E627*$C$576</f>
        <v>42986.6026007925</v>
      </c>
      <c r="F636" s="54" t="n">
        <f aca="false">E636*Assumptions!$F$62^(1/4)+F627*$C$576</f>
        <v>75484.187606861</v>
      </c>
      <c r="G636" s="54" t="n">
        <f aca="false">F636*Assumptions!$F$62^(1/4)+G627*$C$576</f>
        <v>118958.18619422</v>
      </c>
      <c r="H636" s="54" t="n">
        <f aca="false">G636*Assumptions!$F$62^(1/4)+H627*$C$576</f>
        <v>173217.958957225</v>
      </c>
      <c r="I636" s="54" t="n">
        <f aca="false">H636*Assumptions!$F$62^(1/4)+I627*$C$576</f>
        <v>257053.882376915</v>
      </c>
      <c r="J636" s="54" t="n">
        <f aca="false">I636*Assumptions!$F$62^(1/4)+J627*$C$576</f>
        <v>373182.157225964</v>
      </c>
      <c r="K636" s="54" t="n">
        <f aca="false">J636*Assumptions!$F$62^(1/4)+K627*$C$576</f>
        <v>492267.613516671</v>
      </c>
      <c r="L636" s="54" t="n">
        <f aca="false">K636*Assumptions!$F$62^(1/4)+L627*$C$576</f>
        <v>610704.327644018</v>
      </c>
      <c r="M636" s="54" t="n">
        <f aca="false">L636*Assumptions!$F$62^(1/4)+M627*$C$576</f>
        <v>728578.185108347</v>
      </c>
      <c r="N636" s="54" t="n">
        <f aca="false">M636*Assumptions!$F$62^(1/4)+N627*$C$576</f>
        <v>845972.533089659</v>
      </c>
      <c r="P636" s="55" t="n">
        <f aca="false">F636</f>
        <v>75484.187606861</v>
      </c>
      <c r="Q636" s="55" t="n">
        <f aca="false">J636</f>
        <v>373182.157225964</v>
      </c>
      <c r="R636" s="55" t="n">
        <f aca="false">N636</f>
        <v>845972.533089659</v>
      </c>
      <c r="S636" s="56" t="n">
        <f aca="false">R636</f>
        <v>845972.533089659</v>
      </c>
    </row>
    <row r="637" customFormat="false" ht="15" hidden="false" customHeight="false" outlineLevel="0" collapsed="false">
      <c r="A637" s="4" t="s">
        <v>539</v>
      </c>
      <c r="B637" s="36" t="s">
        <v>125</v>
      </c>
      <c r="C637" s="54" t="n">
        <f aca="false">0*Assumptions!$F$63^(1/4)+C628*$C$577</f>
        <v>0</v>
      </c>
      <c r="D637" s="54" t="n">
        <f aca="false">C637*Assumptions!$F$63^(1/4)+D628*$C$577</f>
        <v>20871.9981585408</v>
      </c>
      <c r="E637" s="54" t="n">
        <f aca="false">D637*Assumptions!$F$63^(1/4)+E628*$C$577</f>
        <v>59391.5055128194</v>
      </c>
      <c r="F637" s="54" t="n">
        <f aca="false">E637*Assumptions!$F$63^(1/4)+F628*$C$577</f>
        <v>105208.295719392</v>
      </c>
      <c r="G637" s="54" t="n">
        <f aca="false">F637*Assumptions!$F$63^(1/4)+G628*$C$577</f>
        <v>165907.98079491</v>
      </c>
      <c r="H637" s="54" t="n">
        <f aca="false">G637*Assumptions!$F$63^(1/4)+H628*$C$577</f>
        <v>241586.223034926</v>
      </c>
      <c r="I637" s="54" t="n">
        <f aca="false">H637*Assumptions!$F$63^(1/4)+I628*$C$577</f>
        <v>351779.07896524</v>
      </c>
      <c r="J637" s="54" t="n">
        <f aca="false">I637*Assumptions!$F$63^(1/4)+J628*$C$577</f>
        <v>501040.166208251</v>
      </c>
      <c r="K637" s="54" t="n">
        <f aca="false">J637*Assumptions!$F$63^(1/4)+K628*$C$577</f>
        <v>657133.919361363</v>
      </c>
      <c r="L637" s="54" t="n">
        <f aca="false">K637*Assumptions!$F$63^(1/4)+L628*$C$577</f>
        <v>815861.593132825</v>
      </c>
      <c r="M637" s="54" t="n">
        <f aca="false">L637*Assumptions!$F$63^(1/4)+M628*$C$577</f>
        <v>977432.965241963</v>
      </c>
      <c r="N637" s="54" t="n">
        <f aca="false">M637*Assumptions!$F$63^(1/4)+N628*$C$577</f>
        <v>1142060.64931213</v>
      </c>
      <c r="P637" s="55" t="n">
        <f aca="false">F637</f>
        <v>105208.295719392</v>
      </c>
      <c r="Q637" s="55" t="n">
        <f aca="false">J637</f>
        <v>501040.166208251</v>
      </c>
      <c r="R637" s="55" t="n">
        <f aca="false">N637</f>
        <v>1142060.64931213</v>
      </c>
      <c r="S637" s="56" t="n">
        <f aca="false">R637</f>
        <v>1142060.64931213</v>
      </c>
    </row>
    <row r="638" customFormat="false" ht="15" hidden="false" customHeight="false" outlineLevel="0" collapsed="false">
      <c r="A638" s="4" t="s">
        <v>540</v>
      </c>
      <c r="B638" s="36" t="s">
        <v>125</v>
      </c>
      <c r="C638" s="54" t="n">
        <f aca="false">0*Assumptions!$F$64^(1/4)+C629*$C$578</f>
        <v>0</v>
      </c>
      <c r="D638" s="54" t="n">
        <f aca="false">C638*Assumptions!$F$64^(1/4)+D629*$C$578</f>
        <v>0</v>
      </c>
      <c r="E638" s="54" t="n">
        <f aca="false">D638*Assumptions!$F$64^(1/4)+E629*$C$578</f>
        <v>27871.6077864219</v>
      </c>
      <c r="F638" s="54" t="n">
        <f aca="false">E638*Assumptions!$F$64^(1/4)+F629*$C$578</f>
        <v>80207.328199735</v>
      </c>
      <c r="G638" s="54" t="n">
        <f aca="false">F638*Assumptions!$F$64^(1/4)+G629*$C$578</f>
        <v>144006.363231922</v>
      </c>
      <c r="H638" s="54" t="n">
        <f aca="false">G638*Assumptions!$F$64^(1/4)+H629*$C$578</f>
        <v>224910.381956475</v>
      </c>
      <c r="I638" s="54" t="n">
        <f aca="false">H638*Assumptions!$F$64^(1/4)+I629*$C$578</f>
        <v>323709.450944504</v>
      </c>
      <c r="J638" s="54" t="n">
        <f aca="false">I638*Assumptions!$F$64^(1/4)+J629*$C$578</f>
        <v>461910.943255379</v>
      </c>
      <c r="K638" s="54" t="n">
        <f aca="false">J638*Assumptions!$F$64^(1/4)+K629*$C$578</f>
        <v>646416.119822815</v>
      </c>
      <c r="L638" s="54" t="n">
        <f aca="false">K638*Assumptions!$F$64^(1/4)+L629*$C$578</f>
        <v>845137.481864412</v>
      </c>
      <c r="M638" s="54" t="n">
        <f aca="false">L638*Assumptions!$F$64^(1/4)+M629*$C$578</f>
        <v>1054063.08182179</v>
      </c>
      <c r="N638" s="54" t="n">
        <f aca="false">M638*Assumptions!$F$64^(1/4)+N629*$C$578</f>
        <v>1274014.74474247</v>
      </c>
      <c r="P638" s="55" t="n">
        <f aca="false">F638</f>
        <v>80207.328199735</v>
      </c>
      <c r="Q638" s="55" t="n">
        <f aca="false">J638</f>
        <v>461910.943255379</v>
      </c>
      <c r="R638" s="55" t="n">
        <f aca="false">N638</f>
        <v>1274014.74474247</v>
      </c>
      <c r="S638" s="56" t="n">
        <f aca="false">R638</f>
        <v>1274014.74474247</v>
      </c>
    </row>
    <row r="639" customFormat="false" ht="15" hidden="false" customHeight="false" outlineLevel="0" collapsed="false">
      <c r="A639" s="9" t="s">
        <v>541</v>
      </c>
      <c r="B639" s="36" t="s">
        <v>125</v>
      </c>
      <c r="C639" s="55" t="n">
        <f aca="false">C636+C637+C638</f>
        <v>0</v>
      </c>
      <c r="D639" s="55" t="n">
        <f aca="false">D636+D637+D638</f>
        <v>36090.5039438446</v>
      </c>
      <c r="E639" s="55" t="n">
        <f aca="false">E636+E637+E638</f>
        <v>130249.715900034</v>
      </c>
      <c r="F639" s="55" t="n">
        <f aca="false">F636+F637+F638</f>
        <v>260899.811525988</v>
      </c>
      <c r="G639" s="55" t="n">
        <f aca="false">G636+G637+G638</f>
        <v>428872.530221052</v>
      </c>
      <c r="H639" s="55" t="n">
        <f aca="false">H636+H637+H638</f>
        <v>639714.563948626</v>
      </c>
      <c r="I639" s="55" t="n">
        <f aca="false">I636+I637+I638</f>
        <v>932542.41228666</v>
      </c>
      <c r="J639" s="55" t="n">
        <f aca="false">J636+J637+J638</f>
        <v>1336133.26668959</v>
      </c>
      <c r="K639" s="55" t="n">
        <f aca="false">K636+K637+K638</f>
        <v>1795817.65270085</v>
      </c>
      <c r="L639" s="55" t="n">
        <f aca="false">L636+L637+L638</f>
        <v>2271703.40264126</v>
      </c>
      <c r="M639" s="55" t="n">
        <f aca="false">M636+M637+M638</f>
        <v>2760074.2321721</v>
      </c>
      <c r="N639" s="55" t="n">
        <f aca="false">N636+N637+N638</f>
        <v>3262047.92714426</v>
      </c>
      <c r="P639" s="55" t="n">
        <f aca="false">F639</f>
        <v>260899.811525988</v>
      </c>
      <c r="Q639" s="55" t="n">
        <f aca="false">J639</f>
        <v>1336133.26668959</v>
      </c>
      <c r="R639" s="55" t="n">
        <f aca="false">N639</f>
        <v>3262047.92714426</v>
      </c>
      <c r="S639" s="56" t="n">
        <f aca="false">R639</f>
        <v>3262047.92714426</v>
      </c>
    </row>
    <row r="640" customFormat="false" ht="15" hidden="false" customHeight="false" outlineLevel="0" collapsed="false">
      <c r="A640" s="4" t="s">
        <v>542</v>
      </c>
      <c r="B640" s="36" t="s">
        <v>125</v>
      </c>
      <c r="C640" s="54" t="n">
        <f aca="false">C627*$C$576+C628*$C$577+C629*$C$578</f>
        <v>0</v>
      </c>
      <c r="D640" s="54" t="n">
        <f aca="false">D627*$C$576+D628*$C$577+D629*$C$578</f>
        <v>36090.5039438446</v>
      </c>
      <c r="E640" s="54" t="n">
        <f aca="false">E627*$C$576+E628*$C$577+E629*$C$578</f>
        <v>93193.7298394552</v>
      </c>
      <c r="F640" s="54" t="n">
        <f aca="false">F627*$C$576+F628*$C$577+F629*$C$578</f>
        <v>126018.053623191</v>
      </c>
      <c r="G640" s="54" t="n">
        <f aca="false">G627*$C$576+G628*$C$577+G629*$C$578</f>
        <v>157686.818164265</v>
      </c>
      <c r="H640" s="54" t="n">
        <f aca="false">H627*$C$576+H628*$C$577+H629*$C$578</f>
        <v>193434.903571121</v>
      </c>
      <c r="I640" s="54" t="n">
        <f aca="false">I627*$C$576+I628*$C$577+I629*$C$578</f>
        <v>266449.064713782</v>
      </c>
      <c r="J640" s="54" t="n">
        <f aca="false">J627*$C$576+J628*$C$577+J629*$C$578</f>
        <v>365366.043194421</v>
      </c>
      <c r="K640" s="54" t="n">
        <f aca="false">K627*$C$576+K628*$C$577+K629*$C$578</f>
        <v>405079.413881171</v>
      </c>
      <c r="L640" s="54" t="n">
        <f aca="false">L627*$C$576+L628*$C$577+L629*$C$578</f>
        <v>401475.34173064</v>
      </c>
      <c r="M640" s="54" t="n">
        <f aca="false">M627*$C$576+M628*$C$577+M629*$C$578</f>
        <v>393107.132813141</v>
      </c>
      <c r="N640" s="54" t="n">
        <f aca="false">N627*$C$576+N628*$C$577+N629*$C$578</f>
        <v>385072.107569644</v>
      </c>
      <c r="P640" s="55" t="n">
        <f aca="false">SUM(C640:F640)</f>
        <v>255302.287406491</v>
      </c>
      <c r="Q640" s="55" t="n">
        <f aca="false">SUM(G640:J640)</f>
        <v>982936.829643588</v>
      </c>
      <c r="R640" s="55" t="n">
        <f aca="false">SUM(K640:N640)</f>
        <v>1584733.99599459</v>
      </c>
      <c r="S640" s="56" t="n">
        <f aca="false">SUM(P640:R640)</f>
        <v>2822973.11304467</v>
      </c>
    </row>
    <row r="641" customFormat="false" ht="15" hidden="false" customHeight="false" outlineLevel="0" collapsed="false">
      <c r="A641" s="9" t="s">
        <v>543</v>
      </c>
      <c r="B641" s="36" t="s">
        <v>125</v>
      </c>
      <c r="C641" s="55" t="n">
        <f aca="false">(0+C639)/8</f>
        <v>0</v>
      </c>
      <c r="D641" s="55" t="n">
        <f aca="false">(C639+D639)/8</f>
        <v>4511.31299298058</v>
      </c>
      <c r="E641" s="55" t="n">
        <f aca="false">(D639+E639)/8</f>
        <v>20792.5274804848</v>
      </c>
      <c r="F641" s="55" t="n">
        <f aca="false">(E639+F639)/8</f>
        <v>48893.6909282527</v>
      </c>
      <c r="G641" s="55" t="n">
        <f aca="false">(F639+G639)/8</f>
        <v>86221.5427183799</v>
      </c>
      <c r="H641" s="55" t="n">
        <f aca="false">(G639+H639)/8</f>
        <v>133573.38677121</v>
      </c>
      <c r="I641" s="55" t="n">
        <f aca="false">(H639+I639)/8</f>
        <v>196532.122029411</v>
      </c>
      <c r="J641" s="55" t="n">
        <f aca="false">(I639+J639)/8</f>
        <v>283584.459872032</v>
      </c>
      <c r="K641" s="55" t="n">
        <f aca="false">(J639+K639)/8</f>
        <v>391493.864923805</v>
      </c>
      <c r="L641" s="55" t="n">
        <f aca="false">(K639+L639)/8</f>
        <v>508440.131917763</v>
      </c>
      <c r="M641" s="55" t="n">
        <f aca="false">(L639+M639)/8</f>
        <v>628972.204351669</v>
      </c>
      <c r="N641" s="55" t="n">
        <f aca="false">(M639+N639)/8</f>
        <v>752765.269914545</v>
      </c>
      <c r="P641" s="55" t="n">
        <f aca="false">SUM(C641:F641)</f>
        <v>74197.5314017181</v>
      </c>
      <c r="Q641" s="55" t="n">
        <f aca="false">SUM(G641:J641)</f>
        <v>699911.511391032</v>
      </c>
      <c r="R641" s="55" t="n">
        <f aca="false">SUM(K641:N641)</f>
        <v>2281671.47110778</v>
      </c>
      <c r="S641" s="56" t="n">
        <f aca="false">SUM(P641:R641)</f>
        <v>3055780.51390053</v>
      </c>
    </row>
    <row r="642" customFormat="false" ht="15" hidden="false" customHeight="false" outlineLevel="0" collapsed="false">
      <c r="A642" s="4" t="s">
        <v>544</v>
      </c>
      <c r="B642" s="36" t="s">
        <v>125</v>
      </c>
      <c r="C642" s="54" t="n">
        <f aca="false">C641*Assumptions!$F$76</f>
        <v>0</v>
      </c>
      <c r="D642" s="54" t="n">
        <f aca="false">D641*Assumptions!$F$76</f>
        <v>3248.14535494601</v>
      </c>
      <c r="E642" s="54" t="n">
        <f aca="false">E641*Assumptions!$F$76</f>
        <v>14970.6197859491</v>
      </c>
      <c r="F642" s="54" t="n">
        <f aca="false">F641*Assumptions!$F$76</f>
        <v>35203.4574683419</v>
      </c>
      <c r="G642" s="54" t="n">
        <f aca="false">G641*Assumptions!$F$76</f>
        <v>62079.5107572335</v>
      </c>
      <c r="H642" s="54" t="n">
        <f aca="false">H641*Assumptions!$F$76</f>
        <v>96172.838475271</v>
      </c>
      <c r="I642" s="54" t="n">
        <f aca="false">I641*Assumptions!$F$76</f>
        <v>141503.127861176</v>
      </c>
      <c r="J642" s="54" t="n">
        <f aca="false">J641*Assumptions!$F$76</f>
        <v>204180.811107863</v>
      </c>
      <c r="K642" s="54" t="n">
        <f aca="false">K641*Assumptions!$F$76</f>
        <v>281875.58274514</v>
      </c>
      <c r="L642" s="54" t="n">
        <f aca="false">L641*Assumptions!$F$76</f>
        <v>366076.894980789</v>
      </c>
      <c r="M642" s="54" t="n">
        <f aca="false">M641*Assumptions!$F$76</f>
        <v>452859.987133202</v>
      </c>
      <c r="N642" s="54" t="n">
        <f aca="false">N641*Assumptions!$F$76</f>
        <v>541990.994338472</v>
      </c>
      <c r="P642" s="55" t="n">
        <f aca="false">SUM(C642:F642)</f>
        <v>53422.222609237</v>
      </c>
      <c r="Q642" s="55" t="n">
        <f aca="false">SUM(G642:J642)</f>
        <v>503936.288201543</v>
      </c>
      <c r="R642" s="55" t="n">
        <f aca="false">SUM(K642:N642)</f>
        <v>1642803.4591976</v>
      </c>
      <c r="S642" s="56" t="n">
        <f aca="false">SUM(P642:R642)</f>
        <v>2200161.97000838</v>
      </c>
    </row>
    <row r="643" customFormat="false" ht="15" hidden="false" customHeight="false" outlineLevel="0" collapsed="false">
      <c r="A643" s="35" t="s">
        <v>547</v>
      </c>
      <c r="B643" s="35" t="s">
        <v>444</v>
      </c>
      <c r="C643" s="6" t="s">
        <v>354</v>
      </c>
      <c r="D643" s="6" t="s">
        <v>355</v>
      </c>
      <c r="E643" s="6" t="s">
        <v>356</v>
      </c>
      <c r="F643" s="6" t="s">
        <v>357</v>
      </c>
      <c r="G643" s="6" t="s">
        <v>358</v>
      </c>
      <c r="H643" s="6" t="s">
        <v>359</v>
      </c>
      <c r="I643" s="6" t="s">
        <v>360</v>
      </c>
      <c r="J643" s="6" t="s">
        <v>361</v>
      </c>
      <c r="K643" s="6" t="s">
        <v>362</v>
      </c>
      <c r="L643" s="6" t="s">
        <v>363</v>
      </c>
      <c r="M643" s="6" t="s">
        <v>364</v>
      </c>
      <c r="N643" s="6" t="s">
        <v>365</v>
      </c>
      <c r="P643" s="6" t="s">
        <v>445</v>
      </c>
      <c r="Q643" s="6" t="s">
        <v>446</v>
      </c>
      <c r="R643" s="6" t="s">
        <v>447</v>
      </c>
      <c r="S643" s="6" t="s">
        <v>448</v>
      </c>
    </row>
    <row r="644" customFormat="false" ht="15" hidden="false" customHeight="false" outlineLevel="0" collapsed="false">
      <c r="A644" s="4" t="s">
        <v>548</v>
      </c>
      <c r="B644" s="36" t="s">
        <v>321</v>
      </c>
      <c r="C644" s="48" t="n">
        <f aca="false">Assumptions!$D$97*C586</f>
        <v>1</v>
      </c>
      <c r="D644" s="48" t="n">
        <f aca="false">Assumptions!$D$97*D586</f>
        <v>1</v>
      </c>
      <c r="E644" s="48" t="n">
        <f aca="false">Assumptions!$D$97*E586</f>
        <v>1</v>
      </c>
      <c r="F644" s="48" t="n">
        <f aca="false">Assumptions!$D$97*F586</f>
        <v>1</v>
      </c>
      <c r="G644" s="48" t="n">
        <f aca="false">Assumptions!$D$97*G586</f>
        <v>1</v>
      </c>
      <c r="H644" s="48" t="n">
        <f aca="false">Assumptions!$D$97*H586</f>
        <v>1</v>
      </c>
      <c r="I644" s="48" t="n">
        <f aca="false">Assumptions!$D$97*I586</f>
        <v>1</v>
      </c>
      <c r="J644" s="48" t="n">
        <f aca="false">Assumptions!$D$97*J586</f>
        <v>1</v>
      </c>
      <c r="K644" s="48" t="n">
        <f aca="false">Assumptions!$D$97*K586</f>
        <v>1</v>
      </c>
      <c r="L644" s="48" t="n">
        <f aca="false">Assumptions!$D$97*L586</f>
        <v>1</v>
      </c>
      <c r="M644" s="48" t="n">
        <f aca="false">Assumptions!$D$97*M586</f>
        <v>1</v>
      </c>
      <c r="N644" s="48" t="n">
        <f aca="false">Assumptions!$D$97*N586</f>
        <v>1</v>
      </c>
      <c r="P644" s="49" t="n">
        <f aca="false">AVERAGE(C644:F644)</f>
        <v>1</v>
      </c>
      <c r="Q644" s="49" t="n">
        <f aca="false">AVERAGE(G644:J644)</f>
        <v>1</v>
      </c>
      <c r="R644" s="49" t="n">
        <f aca="false">AVERAGE(K644:N644)</f>
        <v>1</v>
      </c>
      <c r="S644" s="50"/>
    </row>
    <row r="645" customFormat="false" ht="15" hidden="false" customHeight="false" outlineLevel="0" collapsed="false">
      <c r="A645" s="4" t="s">
        <v>549</v>
      </c>
      <c r="B645" s="36" t="s">
        <v>321</v>
      </c>
      <c r="C645" s="48" t="n">
        <f aca="false">C599*C586</f>
        <v>0</v>
      </c>
      <c r="D645" s="48" t="n">
        <f aca="false">D599*D586</f>
        <v>0</v>
      </c>
      <c r="E645" s="48" t="n">
        <f aca="false">E599*E586</f>
        <v>0</v>
      </c>
      <c r="F645" s="48" t="n">
        <f aca="false">F599*F586</f>
        <v>0</v>
      </c>
      <c r="G645" s="48" t="n">
        <f aca="false">G599*G586</f>
        <v>1</v>
      </c>
      <c r="H645" s="48" t="n">
        <f aca="false">H599*H586</f>
        <v>2</v>
      </c>
      <c r="I645" s="48" t="n">
        <f aca="false">I599*I586</f>
        <v>2</v>
      </c>
      <c r="J645" s="48" t="n">
        <f aca="false">J599*J586</f>
        <v>2</v>
      </c>
      <c r="K645" s="48" t="n">
        <f aca="false">K599*K586</f>
        <v>2</v>
      </c>
      <c r="L645" s="48" t="n">
        <f aca="false">L599*L586</f>
        <v>2</v>
      </c>
      <c r="M645" s="48" t="n">
        <f aca="false">M599*M586</f>
        <v>2</v>
      </c>
      <c r="N645" s="48" t="n">
        <f aca="false">N599*N586</f>
        <v>2</v>
      </c>
      <c r="P645" s="49" t="n">
        <f aca="false">AVERAGE(C645:F645)</f>
        <v>0</v>
      </c>
      <c r="Q645" s="49" t="n">
        <f aca="false">AVERAGE(G645:J645)</f>
        <v>1.75</v>
      </c>
      <c r="R645" s="49" t="n">
        <f aca="false">AVERAGE(K645:N645)</f>
        <v>2</v>
      </c>
      <c r="S645" s="50"/>
    </row>
    <row r="646" customFormat="false" ht="15" hidden="false" customHeight="false" outlineLevel="0" collapsed="false">
      <c r="A646" s="4" t="s">
        <v>550</v>
      </c>
      <c r="B646" s="36" t="s">
        <v>321</v>
      </c>
      <c r="C646" s="48" t="n">
        <f aca="false">IF(C585&lt;=4,Assumptions!$D$98,Assumptions!$D$99)*C586</f>
        <v>0</v>
      </c>
      <c r="D646" s="48" t="n">
        <f aca="false">IF(D585&lt;=4,Assumptions!$D$98,Assumptions!$D$99)*D586</f>
        <v>0</v>
      </c>
      <c r="E646" s="48" t="n">
        <f aca="false">IF(E585&lt;=4,Assumptions!$D$98,Assumptions!$D$99)*E586</f>
        <v>0</v>
      </c>
      <c r="F646" s="48" t="n">
        <f aca="false">IF(F585&lt;=4,Assumptions!$D$98,Assumptions!$D$99)*F586</f>
        <v>0</v>
      </c>
      <c r="G646" s="48" t="n">
        <f aca="false">IF(G585&lt;=4,Assumptions!$D$98,Assumptions!$D$99)*G586</f>
        <v>0.5</v>
      </c>
      <c r="H646" s="48" t="n">
        <f aca="false">IF(H585&lt;=4,Assumptions!$D$98,Assumptions!$D$99)*H586</f>
        <v>0.5</v>
      </c>
      <c r="I646" s="48" t="n">
        <f aca="false">IF(I585&lt;=4,Assumptions!$D$98,Assumptions!$D$99)*I586</f>
        <v>0.5</v>
      </c>
      <c r="J646" s="48" t="n">
        <f aca="false">IF(J585&lt;=4,Assumptions!$D$98,Assumptions!$D$99)*J586</f>
        <v>0.5</v>
      </c>
      <c r="K646" s="48" t="n">
        <f aca="false">IF(K585&lt;=4,Assumptions!$D$98,Assumptions!$D$99)*K586</f>
        <v>0.5</v>
      </c>
      <c r="L646" s="48" t="n">
        <f aca="false">IF(L585&lt;=4,Assumptions!$D$98,Assumptions!$D$99)*L586</f>
        <v>0.5</v>
      </c>
      <c r="M646" s="48" t="n">
        <f aca="false">IF(M585&lt;=4,Assumptions!$D$98,Assumptions!$D$99)*M586</f>
        <v>0.5</v>
      </c>
      <c r="N646" s="48" t="n">
        <f aca="false">IF(N585&lt;=4,Assumptions!$D$98,Assumptions!$D$99)*N586</f>
        <v>0.5</v>
      </c>
      <c r="P646" s="49" t="n">
        <f aca="false">AVERAGE(C646:F646)</f>
        <v>0</v>
      </c>
      <c r="Q646" s="49" t="n">
        <f aca="false">AVERAGE(G646:J646)</f>
        <v>0.5</v>
      </c>
      <c r="R646" s="49" t="n">
        <f aca="false">AVERAGE(K646:N646)</f>
        <v>0.5</v>
      </c>
      <c r="S646" s="50"/>
    </row>
    <row r="647" customFormat="false" ht="15" hidden="false" customHeight="false" outlineLevel="0" collapsed="false">
      <c r="A647" s="4" t="s">
        <v>551</v>
      </c>
      <c r="B647" s="36" t="s">
        <v>321</v>
      </c>
      <c r="C647" s="48" t="n">
        <f aca="false">IF(C585&lt;=4,Assumptions!$D$100,Assumptions!$D$101)*C586</f>
        <v>1</v>
      </c>
      <c r="D647" s="48" t="n">
        <f aca="false">IF(D585&lt;=4,Assumptions!$D$100,Assumptions!$D$101)*D586</f>
        <v>1</v>
      </c>
      <c r="E647" s="48" t="n">
        <f aca="false">IF(E585&lt;=4,Assumptions!$D$100,Assumptions!$D$101)*E586</f>
        <v>1</v>
      </c>
      <c r="F647" s="48" t="n">
        <f aca="false">IF(F585&lt;=4,Assumptions!$D$100,Assumptions!$D$101)*F586</f>
        <v>1</v>
      </c>
      <c r="G647" s="48" t="n">
        <f aca="false">IF(G585&lt;=4,Assumptions!$D$100,Assumptions!$D$101)*G586</f>
        <v>0.5</v>
      </c>
      <c r="H647" s="48" t="n">
        <f aca="false">IF(H585&lt;=4,Assumptions!$D$100,Assumptions!$D$101)*H586</f>
        <v>0.5</v>
      </c>
      <c r="I647" s="48" t="n">
        <f aca="false">IF(I585&lt;=4,Assumptions!$D$100,Assumptions!$D$101)*I586</f>
        <v>0.5</v>
      </c>
      <c r="J647" s="48" t="n">
        <f aca="false">IF(J585&lt;=4,Assumptions!$D$100,Assumptions!$D$101)*J586</f>
        <v>0.5</v>
      </c>
      <c r="K647" s="48" t="n">
        <f aca="false">IF(K585&lt;=4,Assumptions!$D$100,Assumptions!$D$101)*K586</f>
        <v>0.5</v>
      </c>
      <c r="L647" s="48" t="n">
        <f aca="false">IF(L585&lt;=4,Assumptions!$D$100,Assumptions!$D$101)*L586</f>
        <v>0.5</v>
      </c>
      <c r="M647" s="48" t="n">
        <f aca="false">IF(M585&lt;=4,Assumptions!$D$100,Assumptions!$D$101)*M586</f>
        <v>0.5</v>
      </c>
      <c r="N647" s="48" t="n">
        <f aca="false">IF(N585&lt;=4,Assumptions!$D$100,Assumptions!$D$101)*N586</f>
        <v>0.5</v>
      </c>
      <c r="P647" s="49" t="n">
        <f aca="false">AVERAGE(C647:F647)</f>
        <v>1</v>
      </c>
      <c r="Q647" s="49" t="n">
        <f aca="false">AVERAGE(G647:J647)</f>
        <v>0.5</v>
      </c>
      <c r="R647" s="49" t="n">
        <f aca="false">AVERAGE(K647:N647)</f>
        <v>0.5</v>
      </c>
      <c r="S647" s="50"/>
    </row>
    <row r="648" customFormat="false" ht="15" hidden="false" customHeight="false" outlineLevel="0" collapsed="false">
      <c r="A648" s="4" t="s">
        <v>552</v>
      </c>
      <c r="B648" s="36" t="s">
        <v>321</v>
      </c>
      <c r="C648" s="48" t="n">
        <f aca="false">Assumptions!$D$102*C586</f>
        <v>0.25</v>
      </c>
      <c r="D648" s="48" t="n">
        <f aca="false">Assumptions!$D$102*D586</f>
        <v>0.25</v>
      </c>
      <c r="E648" s="48" t="n">
        <f aca="false">Assumptions!$D$102*E586</f>
        <v>0.25</v>
      </c>
      <c r="F648" s="48" t="n">
        <f aca="false">Assumptions!$D$102*F586</f>
        <v>0.25</v>
      </c>
      <c r="G648" s="48" t="n">
        <f aca="false">Assumptions!$D$102*G586</f>
        <v>0.25</v>
      </c>
      <c r="H648" s="48" t="n">
        <f aca="false">Assumptions!$D$102*H586</f>
        <v>0.25</v>
      </c>
      <c r="I648" s="48" t="n">
        <f aca="false">Assumptions!$D$102*I586</f>
        <v>0.25</v>
      </c>
      <c r="J648" s="48" t="n">
        <f aca="false">Assumptions!$D$102*J586</f>
        <v>0.25</v>
      </c>
      <c r="K648" s="48" t="n">
        <f aca="false">Assumptions!$D$102*K586</f>
        <v>0.25</v>
      </c>
      <c r="L648" s="48" t="n">
        <f aca="false">Assumptions!$D$102*L586</f>
        <v>0.25</v>
      </c>
      <c r="M648" s="48" t="n">
        <f aca="false">Assumptions!$D$102*M586</f>
        <v>0.25</v>
      </c>
      <c r="N648" s="48" t="n">
        <f aca="false">Assumptions!$D$102*N586</f>
        <v>0.25</v>
      </c>
      <c r="P648" s="49" t="n">
        <f aca="false">AVERAGE(C648:F648)</f>
        <v>0.25</v>
      </c>
      <c r="Q648" s="49" t="n">
        <f aca="false">AVERAGE(G648:J648)</f>
        <v>0.25</v>
      </c>
      <c r="R648" s="49" t="n">
        <f aca="false">AVERAGE(K648:N648)</f>
        <v>0.25</v>
      </c>
      <c r="S648" s="50"/>
    </row>
    <row r="649" customFormat="false" ht="15" hidden="false" customHeight="false" outlineLevel="0" collapsed="false">
      <c r="A649" s="4" t="s">
        <v>553</v>
      </c>
      <c r="B649" s="36" t="s">
        <v>321</v>
      </c>
      <c r="C649" s="48" t="n">
        <f aca="false">(C633+C634)/Assumptions!$F$74+C632/Assumptions!$F$75</f>
        <v>0</v>
      </c>
      <c r="D649" s="48" t="n">
        <f aca="false">(D633+D634)/Assumptions!$F$74+D632/Assumptions!$F$75</f>
        <v>0.0469916194233992</v>
      </c>
      <c r="E649" s="48" t="n">
        <f aca="false">(E633+E634)/Assumptions!$F$74+E632/Assumptions!$F$75</f>
        <v>0.13865810213623</v>
      </c>
      <c r="F649" s="48" t="n">
        <f aca="false">(F633+F634)/Assumptions!$F$74+F632/Assumptions!$F$75</f>
        <v>0.24804349029285</v>
      </c>
      <c r="G649" s="48" t="n">
        <f aca="false">(G633+G634)/Assumptions!$F$74+G632/Assumptions!$F$75</f>
        <v>0.388009995420541</v>
      </c>
      <c r="H649" s="48" t="n">
        <f aca="false">(H633+H634)/Assumptions!$F$74+H632/Assumptions!$F$75</f>
        <v>0.558288854674221</v>
      </c>
      <c r="I649" s="48" t="n">
        <f aca="false">(I633+I634)/Assumptions!$F$74+I632/Assumptions!$F$75</f>
        <v>0.804570081735683</v>
      </c>
      <c r="J649" s="48" t="n">
        <f aca="false">(J633+J634)/Assumptions!$F$74+J632/Assumptions!$F$75</f>
        <v>1.13825067839083</v>
      </c>
      <c r="K649" s="48" t="n">
        <f aca="false">(K633+K634)/Assumptions!$F$74+K632/Assumptions!$F$75</f>
        <v>1.47917026693368</v>
      </c>
      <c r="L649" s="48" t="n">
        <f aca="false">(L633+L634)/Assumptions!$F$74+L632/Assumptions!$F$75</f>
        <v>1.80744321415208</v>
      </c>
      <c r="M649" s="48" t="n">
        <f aca="false">(M633+M634)/Assumptions!$F$74+M632/Assumptions!$F$75</f>
        <v>2.12224307140336</v>
      </c>
      <c r="N649" s="48" t="n">
        <f aca="false">(N633+N634)/Assumptions!$F$74+N632/Assumptions!$F$75</f>
        <v>2.42411710092079</v>
      </c>
      <c r="P649" s="49" t="n">
        <f aca="false">AVERAGE(C649:F649)</f>
        <v>0.10842330296312</v>
      </c>
      <c r="Q649" s="49" t="n">
        <f aca="false">AVERAGE(G649:J649)</f>
        <v>0.72227990255532</v>
      </c>
      <c r="R649" s="49" t="n">
        <f aca="false">AVERAGE(K649:N649)</f>
        <v>1.95824341335248</v>
      </c>
      <c r="S649" s="50"/>
    </row>
    <row r="650" customFormat="false" ht="15" hidden="false" customHeight="false" outlineLevel="0" collapsed="false">
      <c r="A650" s="4" t="s">
        <v>554</v>
      </c>
      <c r="B650" s="36" t="s">
        <v>125</v>
      </c>
      <c r="C650" s="54" t="n">
        <f aca="false">(C644+C646)*Assumptions!$F$70/Assumptions!$F$69/4</f>
        <v>66753.5714285714</v>
      </c>
      <c r="D650" s="54" t="n">
        <f aca="false">(D644+D646)*Assumptions!$F$70/Assumptions!$F$69/4</f>
        <v>66753.5714285714</v>
      </c>
      <c r="E650" s="54" t="n">
        <f aca="false">(E644+E646)*Assumptions!$F$70/Assumptions!$F$69/4</f>
        <v>66753.5714285714</v>
      </c>
      <c r="F650" s="54" t="n">
        <f aca="false">(F644+F646)*Assumptions!$F$70/Assumptions!$F$69/4</f>
        <v>66753.5714285714</v>
      </c>
      <c r="G650" s="54" t="n">
        <f aca="false">(G644+G646)*Assumptions!$F$70/Assumptions!$F$69/4</f>
        <v>100130.357142857</v>
      </c>
      <c r="H650" s="54" t="n">
        <f aca="false">(H644+H646)*Assumptions!$F$70/Assumptions!$F$69/4</f>
        <v>100130.357142857</v>
      </c>
      <c r="I650" s="54" t="n">
        <f aca="false">(I644+I646)*Assumptions!$F$70/Assumptions!$F$69/4</f>
        <v>100130.357142857</v>
      </c>
      <c r="J650" s="54" t="n">
        <f aca="false">(J644+J646)*Assumptions!$F$70/Assumptions!$F$69/4</f>
        <v>100130.357142857</v>
      </c>
      <c r="K650" s="54" t="n">
        <f aca="false">(K644+K646)*Assumptions!$F$70/Assumptions!$F$69/4</f>
        <v>100130.357142857</v>
      </c>
      <c r="L650" s="54" t="n">
        <f aca="false">(L644+L646)*Assumptions!$F$70/Assumptions!$F$69/4</f>
        <v>100130.357142857</v>
      </c>
      <c r="M650" s="54" t="n">
        <f aca="false">(M644+M646)*Assumptions!$F$70/Assumptions!$F$69/4</f>
        <v>100130.357142857</v>
      </c>
      <c r="N650" s="54" t="n">
        <f aca="false">(N644+N646)*Assumptions!$F$70/Assumptions!$F$69/4</f>
        <v>100130.357142857</v>
      </c>
      <c r="P650" s="55" t="n">
        <f aca="false">SUM(C650:F650)</f>
        <v>267014.285714286</v>
      </c>
      <c r="Q650" s="55" t="n">
        <f aca="false">SUM(G650:J650)</f>
        <v>400521.428571429</v>
      </c>
      <c r="R650" s="55" t="n">
        <f aca="false">SUM(K650:N650)</f>
        <v>400521.428571429</v>
      </c>
      <c r="S650" s="56" t="n">
        <f aca="false">SUM(P650:R650)</f>
        <v>1068057.14285714</v>
      </c>
    </row>
    <row r="651" customFormat="false" ht="15" hidden="false" customHeight="false" outlineLevel="0" collapsed="false">
      <c r="A651" s="4" t="s">
        <v>555</v>
      </c>
      <c r="B651" s="36" t="s">
        <v>125</v>
      </c>
      <c r="C651" s="54" t="n">
        <f aca="false">C645*$C$580/4</f>
        <v>0</v>
      </c>
      <c r="D651" s="54" t="n">
        <f aca="false">D645*$C$580/4</f>
        <v>0</v>
      </c>
      <c r="E651" s="54" t="n">
        <f aca="false">E645*$C$580/4</f>
        <v>0</v>
      </c>
      <c r="F651" s="54" t="n">
        <f aca="false">F645*$C$580/4</f>
        <v>0</v>
      </c>
      <c r="G651" s="54" t="n">
        <f aca="false">G645*$C$580/4</f>
        <v>71428.5714285714</v>
      </c>
      <c r="H651" s="54" t="n">
        <f aca="false">H645*$C$580/4</f>
        <v>142857.142857143</v>
      </c>
      <c r="I651" s="54" t="n">
        <f aca="false">I645*$C$580/4</f>
        <v>142857.142857143</v>
      </c>
      <c r="J651" s="54" t="n">
        <f aca="false">J645*$C$580/4</f>
        <v>142857.142857143</v>
      </c>
      <c r="K651" s="54" t="n">
        <f aca="false">K645*$C$580/4</f>
        <v>142857.142857143</v>
      </c>
      <c r="L651" s="54" t="n">
        <f aca="false">L645*$C$580/4</f>
        <v>142857.142857143</v>
      </c>
      <c r="M651" s="54" t="n">
        <f aca="false">M645*$C$580/4</f>
        <v>142857.142857143</v>
      </c>
      <c r="N651" s="54" t="n">
        <f aca="false">N645*$C$580/4</f>
        <v>142857.142857143</v>
      </c>
      <c r="P651" s="55" t="n">
        <f aca="false">SUM(C651:F651)</f>
        <v>0</v>
      </c>
      <c r="Q651" s="55" t="n">
        <f aca="false">SUM(G651:J651)</f>
        <v>500000</v>
      </c>
      <c r="R651" s="55" t="n">
        <f aca="false">SUM(K651:N651)</f>
        <v>571428.571428572</v>
      </c>
      <c r="S651" s="56" t="n">
        <f aca="false">SUM(P651:R651)</f>
        <v>1071428.57142857</v>
      </c>
    </row>
    <row r="652" customFormat="false" ht="15" hidden="false" customHeight="false" outlineLevel="0" collapsed="false">
      <c r="A652" s="4" t="s">
        <v>556</v>
      </c>
      <c r="B652" s="36" t="s">
        <v>125</v>
      </c>
      <c r="C652" s="54" t="n">
        <f aca="false">MAX(0,(C640-C621*$C$576)-C600*$C$581)*$C$582*Assumptions!$D$105</f>
        <v>0</v>
      </c>
      <c r="D652" s="54" t="n">
        <f aca="false">MAX(0,(D640-D621*$C$576)-D600*$C$581)*$C$582*Assumptions!$D$105</f>
        <v>11525.8013463522</v>
      </c>
      <c r="E652" s="54" t="n">
        <f aca="false">MAX(0,(E640-E621*$C$576)-E600*$C$581)*$C$582*Assumptions!$D$105</f>
        <v>31568.1408762099</v>
      </c>
      <c r="F652" s="54" t="n">
        <f aca="false">MAX(0,(F640-F621*$C$576)-F600*$C$581)*$C$582*Assumptions!$D$105</f>
        <v>43513.596595751</v>
      </c>
      <c r="G652" s="54" t="n">
        <f aca="false">MAX(0,(G640-G621*$C$576)-G600*$C$581)*$C$582*Assumptions!$D$105</f>
        <v>54065.892368659</v>
      </c>
      <c r="H652" s="54" t="n">
        <f aca="false">MAX(0,(H640-H621*$C$576)-H600*$C$581)*$C$582*Assumptions!$D$105</f>
        <v>30525.0320732984</v>
      </c>
      <c r="I652" s="54" t="n">
        <f aca="false">MAX(0,(I640-I621*$C$576)-I600*$C$581)*$C$582*Assumptions!$D$105</f>
        <v>0</v>
      </c>
      <c r="J652" s="54" t="n">
        <f aca="false">MAX(0,(J640-J621*$C$576)-J600*$C$581)*$C$582*Assumptions!$D$105</f>
        <v>0</v>
      </c>
      <c r="K652" s="54" t="n">
        <f aca="false">MAX(0,(K640-K621*$C$576)-K600*$C$581)*$C$582*Assumptions!$D$105</f>
        <v>0</v>
      </c>
      <c r="L652" s="54" t="n">
        <f aca="false">MAX(0,(L640-L621*$C$576)-L600*$C$581)*$C$582*Assumptions!$D$105</f>
        <v>0</v>
      </c>
      <c r="M652" s="54" t="n">
        <f aca="false">MAX(0,(M640-M621*$C$576)-M600*$C$581)*$C$582*Assumptions!$D$105</f>
        <v>0</v>
      </c>
      <c r="N652" s="54" t="n">
        <f aca="false">MAX(0,(N640-N621*$C$576)-N600*$C$581)*$C$582*Assumptions!$D$105</f>
        <v>0</v>
      </c>
      <c r="P652" s="55" t="n">
        <f aca="false">SUM(C652:F652)</f>
        <v>86607.5388183131</v>
      </c>
      <c r="Q652" s="55" t="n">
        <f aca="false">SUM(G652:J652)</f>
        <v>84590.9244419575</v>
      </c>
      <c r="R652" s="55" t="n">
        <f aca="false">SUM(K652:N652)</f>
        <v>0</v>
      </c>
      <c r="S652" s="56" t="n">
        <f aca="false">SUM(P652:R652)</f>
        <v>171198.463260271</v>
      </c>
    </row>
    <row r="653" customFormat="false" ht="15" hidden="false" customHeight="false" outlineLevel="0" collapsed="false">
      <c r="A653" s="4" t="s">
        <v>557</v>
      </c>
      <c r="B653" s="36" t="s">
        <v>125</v>
      </c>
      <c r="C653" s="54" t="n">
        <f aca="false">C648*Assumptions!$F$71/Assumptions!$F$69/4</f>
        <v>18475.8928571429</v>
      </c>
      <c r="D653" s="54" t="n">
        <f aca="false">D648*Assumptions!$F$71/Assumptions!$F$69/4</f>
        <v>18475.8928571429</v>
      </c>
      <c r="E653" s="54" t="n">
        <f aca="false">E648*Assumptions!$F$71/Assumptions!$F$69/4</f>
        <v>18475.8928571429</v>
      </c>
      <c r="F653" s="54" t="n">
        <f aca="false">F648*Assumptions!$F$71/Assumptions!$F$69/4</f>
        <v>18475.8928571429</v>
      </c>
      <c r="G653" s="54" t="n">
        <f aca="false">G648*Assumptions!$F$71/Assumptions!$F$69/4</f>
        <v>18475.8928571429</v>
      </c>
      <c r="H653" s="54" t="n">
        <f aca="false">H648*Assumptions!$F$71/Assumptions!$F$69/4</f>
        <v>18475.8928571429</v>
      </c>
      <c r="I653" s="54" t="n">
        <f aca="false">I648*Assumptions!$F$71/Assumptions!$F$69/4</f>
        <v>18475.8928571429</v>
      </c>
      <c r="J653" s="54" t="n">
        <f aca="false">J648*Assumptions!$F$71/Assumptions!$F$69/4</f>
        <v>18475.8928571429</v>
      </c>
      <c r="K653" s="54" t="n">
        <f aca="false">K648*Assumptions!$F$71/Assumptions!$F$69/4</f>
        <v>18475.8928571429</v>
      </c>
      <c r="L653" s="54" t="n">
        <f aca="false">L648*Assumptions!$F$71/Assumptions!$F$69/4</f>
        <v>18475.8928571429</v>
      </c>
      <c r="M653" s="54" t="n">
        <f aca="false">M648*Assumptions!$F$71/Assumptions!$F$69/4</f>
        <v>18475.8928571429</v>
      </c>
      <c r="N653" s="54" t="n">
        <f aca="false">N648*Assumptions!$F$71/Assumptions!$F$69/4</f>
        <v>18475.8928571429</v>
      </c>
      <c r="P653" s="55" t="n">
        <f aca="false">SUM(C653:F653)</f>
        <v>73903.5714285714</v>
      </c>
      <c r="Q653" s="55" t="n">
        <f aca="false">SUM(G653:J653)</f>
        <v>73903.5714285714</v>
      </c>
      <c r="R653" s="55" t="n">
        <f aca="false">SUM(K653:N653)</f>
        <v>73903.5714285714</v>
      </c>
      <c r="S653" s="56" t="n">
        <f aca="false">SUM(P653:R653)</f>
        <v>221710.714285714</v>
      </c>
    </row>
    <row r="654" customFormat="false" ht="15" hidden="false" customHeight="false" outlineLevel="0" collapsed="false">
      <c r="A654" s="4" t="s">
        <v>558</v>
      </c>
      <c r="B654" s="36" t="s">
        <v>125</v>
      </c>
      <c r="C654" s="54" t="n">
        <f aca="false">(Assumptions!$D$103+Assumptions!$F$77*((C585=Assumptions!$F$13)+(C585=Assumptions!$F$14)+(C585=Assumptions!$F$15)))*C586</f>
        <v>65000</v>
      </c>
      <c r="D654" s="54" t="n">
        <f aca="false">(Assumptions!$D$103+Assumptions!$F$77*((D585=Assumptions!$F$13)+(D585=Assumptions!$F$14)+(D585=Assumptions!$F$15)))*D586</f>
        <v>25000</v>
      </c>
      <c r="E654" s="54" t="n">
        <f aca="false">(Assumptions!$D$103+Assumptions!$F$77*((E585=Assumptions!$F$13)+(E585=Assumptions!$F$14)+(E585=Assumptions!$F$15)))*E586</f>
        <v>25000</v>
      </c>
      <c r="F654" s="54" t="n">
        <f aca="false">(Assumptions!$D$103+Assumptions!$F$77*((F585=Assumptions!$F$13)+(F585=Assumptions!$F$14)+(F585=Assumptions!$F$15)))*F586</f>
        <v>65000</v>
      </c>
      <c r="G654" s="54" t="n">
        <f aca="false">(Assumptions!$D$103+Assumptions!$F$77*((G585=Assumptions!$F$13)+(G585=Assumptions!$F$14)+(G585=Assumptions!$F$15)))*G586</f>
        <v>25000</v>
      </c>
      <c r="H654" s="54" t="n">
        <f aca="false">(Assumptions!$D$103+Assumptions!$F$77*((H585=Assumptions!$F$13)+(H585=Assumptions!$F$14)+(H585=Assumptions!$F$15)))*H586</f>
        <v>65000</v>
      </c>
      <c r="I654" s="54" t="n">
        <f aca="false">(Assumptions!$D$103+Assumptions!$F$77*((I585=Assumptions!$F$13)+(I585=Assumptions!$F$14)+(I585=Assumptions!$F$15)))*I586</f>
        <v>25000</v>
      </c>
      <c r="J654" s="54" t="n">
        <f aca="false">(Assumptions!$D$103+Assumptions!$F$77*((J585=Assumptions!$F$13)+(J585=Assumptions!$F$14)+(J585=Assumptions!$F$15)))*J586</f>
        <v>25000</v>
      </c>
      <c r="K654" s="54" t="n">
        <f aca="false">(Assumptions!$D$103+Assumptions!$F$77*((K585=Assumptions!$F$13)+(K585=Assumptions!$F$14)+(K585=Assumptions!$F$15)))*K586</f>
        <v>25000</v>
      </c>
      <c r="L654" s="54" t="n">
        <f aca="false">(Assumptions!$D$103+Assumptions!$F$77*((L585=Assumptions!$F$13)+(L585=Assumptions!$F$14)+(L585=Assumptions!$F$15)))*L586</f>
        <v>25000</v>
      </c>
      <c r="M654" s="54" t="n">
        <f aca="false">(Assumptions!$D$103+Assumptions!$F$77*((M585=Assumptions!$F$13)+(M585=Assumptions!$F$14)+(M585=Assumptions!$F$15)))*M586</f>
        <v>25000</v>
      </c>
      <c r="N654" s="54" t="n">
        <f aca="false">(Assumptions!$D$103+Assumptions!$F$77*((N585=Assumptions!$F$13)+(N585=Assumptions!$F$14)+(N585=Assumptions!$F$15)))*N586</f>
        <v>25000</v>
      </c>
      <c r="P654" s="55" t="n">
        <f aca="false">SUM(C654:F654)</f>
        <v>180000</v>
      </c>
      <c r="Q654" s="55" t="n">
        <f aca="false">SUM(G654:J654)</f>
        <v>140000</v>
      </c>
      <c r="R654" s="55" t="n">
        <f aca="false">SUM(K654:N654)</f>
        <v>100000</v>
      </c>
      <c r="S654" s="56" t="n">
        <f aca="false">SUM(P654:R654)</f>
        <v>420000</v>
      </c>
    </row>
    <row r="655" customFormat="false" ht="15" hidden="false" customHeight="false" outlineLevel="0" collapsed="false">
      <c r="A655" s="4" t="s">
        <v>559</v>
      </c>
      <c r="B655" s="36" t="s">
        <v>125</v>
      </c>
      <c r="C655" s="54" t="n">
        <f aca="false">C640*C620*Assumptions!$F$79</f>
        <v>0</v>
      </c>
      <c r="D655" s="54" t="n">
        <f aca="false">D640*D620*Assumptions!$F$79</f>
        <v>2559.27973141574</v>
      </c>
      <c r="E655" s="54" t="n">
        <f aca="false">E640*E620*Assumptions!$F$79</f>
        <v>6085.45304349608</v>
      </c>
      <c r="F655" s="54" t="n">
        <f aca="false">F640*F620*Assumptions!$F$79</f>
        <v>9957.90177723395</v>
      </c>
      <c r="G655" s="54" t="n">
        <f aca="false">G640*G620*Assumptions!$F$79</f>
        <v>12191.8524803901</v>
      </c>
      <c r="H655" s="54" t="n">
        <f aca="false">H640*H620*Assumptions!$F$79</f>
        <v>14848.1267492979</v>
      </c>
      <c r="I655" s="54" t="n">
        <f aca="false">I640*I620*Assumptions!$F$79</f>
        <v>16001.0700141874</v>
      </c>
      <c r="J655" s="54" t="n">
        <f aca="false">J640*J620*Assumptions!$F$79</f>
        <v>18507.6088923083</v>
      </c>
      <c r="K655" s="54" t="n">
        <f aca="false">K640*K620*Assumptions!$F$79</f>
        <v>20292.957283215</v>
      </c>
      <c r="L655" s="54" t="n">
        <f aca="false">L640*L620*Assumptions!$F$79</f>
        <v>20545.7456541083</v>
      </c>
      <c r="M655" s="54" t="n">
        <f aca="false">M640*M620*Assumptions!$F$79</f>
        <v>20542.4800930484</v>
      </c>
      <c r="N655" s="54" t="n">
        <f aca="false">N640*N620*Assumptions!$F$79</f>
        <v>20539.2120239894</v>
      </c>
      <c r="P655" s="55" t="n">
        <f aca="false">SUM(C655:F655)</f>
        <v>18602.6345521458</v>
      </c>
      <c r="Q655" s="55" t="n">
        <f aca="false">SUM(G655:J655)</f>
        <v>61548.6581361836</v>
      </c>
      <c r="R655" s="55" t="n">
        <f aca="false">SUM(K655:N655)</f>
        <v>81920.3950543611</v>
      </c>
      <c r="S655" s="56" t="n">
        <f aca="false">SUM(P655:R655)</f>
        <v>162071.68774269</v>
      </c>
    </row>
    <row r="656" customFormat="false" ht="15" hidden="false" customHeight="false" outlineLevel="0" collapsed="false">
      <c r="A656" s="4" t="s">
        <v>560</v>
      </c>
      <c r="B656" s="36" t="s">
        <v>125</v>
      </c>
      <c r="C656" s="54" t="n">
        <f aca="false">C605*Assumptions!$F$80</f>
        <v>6000</v>
      </c>
      <c r="D656" s="54" t="n">
        <f aca="false">D605*Assumptions!$F$80</f>
        <v>10000</v>
      </c>
      <c r="E656" s="54" t="n">
        <f aca="false">E605*Assumptions!$F$80</f>
        <v>14000</v>
      </c>
      <c r="F656" s="54" t="n">
        <f aca="false">F605*Assumptions!$F$80</f>
        <v>18000</v>
      </c>
      <c r="G656" s="54" t="n">
        <f aca="false">G605*Assumptions!$F$80</f>
        <v>22000</v>
      </c>
      <c r="H656" s="54" t="n">
        <f aca="false">H605*Assumptions!$F$80</f>
        <v>26000</v>
      </c>
      <c r="I656" s="54" t="n">
        <f aca="false">I605*Assumptions!$F$80</f>
        <v>30000</v>
      </c>
      <c r="J656" s="54" t="n">
        <f aca="false">J605*Assumptions!$F$80</f>
        <v>30000</v>
      </c>
      <c r="K656" s="54" t="n">
        <f aca="false">K605*Assumptions!$F$80</f>
        <v>30000</v>
      </c>
      <c r="L656" s="54" t="n">
        <f aca="false">L605*Assumptions!$F$80</f>
        <v>30000</v>
      </c>
      <c r="M656" s="54" t="n">
        <f aca="false">M605*Assumptions!$F$80</f>
        <v>30000</v>
      </c>
      <c r="N656" s="54" t="n">
        <f aca="false">N605*Assumptions!$F$80</f>
        <v>30000</v>
      </c>
      <c r="P656" s="55" t="n">
        <f aca="false">SUM(C656:F656)</f>
        <v>48000</v>
      </c>
      <c r="Q656" s="55" t="n">
        <f aca="false">SUM(G656:J656)</f>
        <v>108000</v>
      </c>
      <c r="R656" s="55" t="n">
        <f aca="false">SUM(K656:N656)</f>
        <v>120000</v>
      </c>
      <c r="S656" s="56" t="n">
        <f aca="false">SUM(P656:R656)</f>
        <v>276000</v>
      </c>
    </row>
    <row r="657" customFormat="false" ht="15" hidden="false" customHeight="false" outlineLevel="0" collapsed="false">
      <c r="A657" s="4" t="s">
        <v>561</v>
      </c>
      <c r="B657" s="36" t="s">
        <v>125</v>
      </c>
      <c r="C657" s="54" t="n">
        <f aca="false">(C628*$C$577+C629*$C$578)*Assumptions!$F$81</f>
        <v>0</v>
      </c>
      <c r="D657" s="54" t="n">
        <f aca="false">(D628*$C$577+D629*$C$578)*Assumptions!$F$81</f>
        <v>2087.19981585408</v>
      </c>
      <c r="E657" s="54" t="n">
        <f aca="false">(E628*$C$577+E629*$C$578)*Assumptions!$F$81</f>
        <v>6564.89470367769</v>
      </c>
      <c r="F657" s="54" t="n">
        <f aca="false">(F628*$C$577+F629*$C$578)*Assumptions!$F$81</f>
        <v>9415.12474109996</v>
      </c>
      <c r="G657" s="54" t="n">
        <f aca="false">(G628*$C$577+G629*$C$578)*Assumptions!$F$81</f>
        <v>11532.0462934016</v>
      </c>
      <c r="H657" s="54" t="n">
        <f aca="false">(H628*$C$577+H629*$C$578)*Assumptions!$F$81</f>
        <v>14092.0704932832</v>
      </c>
      <c r="I657" s="54" t="n">
        <f aca="false">(I628*$C$577+I629*$C$578)*Assumptions!$F$81</f>
        <v>18515.4914977479</v>
      </c>
      <c r="J657" s="54" t="n">
        <f aca="false">(J628*$C$577+J629*$C$578)*Assumptions!$F$81</f>
        <v>25300.9737472428</v>
      </c>
      <c r="K657" s="54" t="n">
        <f aca="false">(K628*$C$577+K629*$C$578)*Assumptions!$F$81</f>
        <v>29146.9975158486</v>
      </c>
      <c r="L657" s="54" t="n">
        <f aca="false">(L628*$C$577+L629*$C$578)*Assumptions!$F$81</f>
        <v>29026.2086837849</v>
      </c>
      <c r="M657" s="54" t="n">
        <f aca="false">(M628*$C$577+M629*$C$578)*Assumptions!$F$81</f>
        <v>28419.4656707194</v>
      </c>
      <c r="N657" s="54" t="n">
        <f aca="false">(N628*$C$577+N629*$C$578)*Assumptions!$F$81</f>
        <v>27836.8803798453</v>
      </c>
      <c r="P657" s="55" t="n">
        <f aca="false">SUM(C657:F657)</f>
        <v>18067.2192606317</v>
      </c>
      <c r="Q657" s="55" t="n">
        <f aca="false">SUM(G657:J657)</f>
        <v>69440.5820316754</v>
      </c>
      <c r="R657" s="55" t="n">
        <f aca="false">SUM(K657:N657)</f>
        <v>114429.552250198</v>
      </c>
      <c r="S657" s="56" t="n">
        <f aca="false">SUM(P657:R657)</f>
        <v>201937.353542505</v>
      </c>
    </row>
    <row r="658" customFormat="false" ht="15" hidden="false" customHeight="false" outlineLevel="0" collapsed="false">
      <c r="A658" s="9" t="s">
        <v>562</v>
      </c>
      <c r="B658" s="36" t="s">
        <v>125</v>
      </c>
      <c r="C658" s="55" t="n">
        <f aca="false">C650+C651+C652+C653+C654+C655+C656+C657</f>
        <v>156229.464285714</v>
      </c>
      <c r="D658" s="55" t="n">
        <f aca="false">D650+D651+D652+D653+D654+D655+D656+D657</f>
        <v>136401.745179336</v>
      </c>
      <c r="E658" s="55" t="n">
        <f aca="false">E650+E651+E652+E653+E654+E655+E656+E657</f>
        <v>168447.952909098</v>
      </c>
      <c r="F658" s="55" t="n">
        <f aca="false">F650+F651+F652+F653+F654+F655+F656+F657</f>
        <v>231116.087399799</v>
      </c>
      <c r="G658" s="55" t="n">
        <f aca="false">G650+G651+G652+G653+G654+G655+G656+G657</f>
        <v>314824.612571022</v>
      </c>
      <c r="H658" s="55" t="n">
        <f aca="false">H650+H651+H652+H653+H654+H655+H656+H657</f>
        <v>411928.622173022</v>
      </c>
      <c r="I658" s="55" t="n">
        <f aca="false">I650+I651+I652+I653+I654+I655+I656+I657</f>
        <v>350979.954369078</v>
      </c>
      <c r="J658" s="55" t="n">
        <f aca="false">J650+J651+J652+J653+J654+J655+J656+J657</f>
        <v>360271.975496694</v>
      </c>
      <c r="K658" s="55" t="n">
        <f aca="false">K650+K651+K652+K653+K654+K655+K656+K657</f>
        <v>365903.347656206</v>
      </c>
      <c r="L658" s="55" t="n">
        <f aca="false">L650+L651+L652+L653+L654+L655+L656+L657</f>
        <v>366035.347195036</v>
      </c>
      <c r="M658" s="55" t="n">
        <f aca="false">M650+M651+M652+M653+M654+M655+M656+M657</f>
        <v>365425.338620911</v>
      </c>
      <c r="N658" s="55" t="n">
        <f aca="false">N650+N651+N652+N653+N654+N655+N656+N657</f>
        <v>364839.485260977</v>
      </c>
      <c r="P658" s="55" t="n">
        <f aca="false">SUM(C658:F658)</f>
        <v>692195.249773948</v>
      </c>
      <c r="Q658" s="55" t="n">
        <f aca="false">SUM(G658:J658)</f>
        <v>1438005.16460982</v>
      </c>
      <c r="R658" s="55" t="n">
        <f aca="false">SUM(K658:N658)</f>
        <v>1462203.51873313</v>
      </c>
      <c r="S658" s="56" t="n">
        <f aca="false">SUM(P658:R658)</f>
        <v>3592403.9331169</v>
      </c>
    </row>
    <row r="659" customFormat="false" ht="15" hidden="false" customHeight="false" outlineLevel="0" collapsed="false">
      <c r="A659" s="4" t="s">
        <v>563</v>
      </c>
      <c r="B659" s="36" t="s">
        <v>125</v>
      </c>
      <c r="C659" s="54" t="n">
        <f aca="false">C647*Assumptions!$F$72/Assumptions!$F$69/4</f>
        <v>56535.7142857143</v>
      </c>
      <c r="D659" s="54" t="n">
        <f aca="false">D647*Assumptions!$F$72/Assumptions!$F$69/4</f>
        <v>56535.7142857143</v>
      </c>
      <c r="E659" s="54" t="n">
        <f aca="false">E647*Assumptions!$F$72/Assumptions!$F$69/4</f>
        <v>56535.7142857143</v>
      </c>
      <c r="F659" s="54" t="n">
        <f aca="false">F647*Assumptions!$F$72/Assumptions!$F$69/4</f>
        <v>56535.7142857143</v>
      </c>
      <c r="G659" s="54" t="n">
        <f aca="false">G647*Assumptions!$F$72/Assumptions!$F$69/4</f>
        <v>28267.8571428571</v>
      </c>
      <c r="H659" s="54" t="n">
        <f aca="false">H647*Assumptions!$F$72/Assumptions!$F$69/4</f>
        <v>28267.8571428571</v>
      </c>
      <c r="I659" s="54" t="n">
        <f aca="false">I647*Assumptions!$F$72/Assumptions!$F$69/4</f>
        <v>28267.8571428571</v>
      </c>
      <c r="J659" s="54" t="n">
        <f aca="false">J647*Assumptions!$F$72/Assumptions!$F$69/4</f>
        <v>28267.8571428571</v>
      </c>
      <c r="K659" s="54" t="n">
        <f aca="false">K647*Assumptions!$F$72/Assumptions!$F$69/4</f>
        <v>28267.8571428571</v>
      </c>
      <c r="L659" s="54" t="n">
        <f aca="false">L647*Assumptions!$F$72/Assumptions!$F$69/4</f>
        <v>28267.8571428571</v>
      </c>
      <c r="M659" s="54" t="n">
        <f aca="false">M647*Assumptions!$F$72/Assumptions!$F$69/4</f>
        <v>28267.8571428571</v>
      </c>
      <c r="N659" s="54" t="n">
        <f aca="false">N647*Assumptions!$F$72/Assumptions!$F$69/4</f>
        <v>28267.8571428571</v>
      </c>
      <c r="P659" s="55" t="n">
        <f aca="false">SUM(C659:F659)</f>
        <v>226142.857142857</v>
      </c>
      <c r="Q659" s="55" t="n">
        <f aca="false">SUM(G659:J659)</f>
        <v>113071.428571429</v>
      </c>
      <c r="R659" s="55" t="n">
        <f aca="false">SUM(K659:N659)</f>
        <v>113071.428571429</v>
      </c>
      <c r="S659" s="56" t="n">
        <f aca="false">SUM(P659:R659)</f>
        <v>452285.714285714</v>
      </c>
    </row>
    <row r="660" customFormat="false" ht="15" hidden="false" customHeight="false" outlineLevel="0" collapsed="false">
      <c r="A660" s="4" t="s">
        <v>564</v>
      </c>
      <c r="B660" s="36" t="s">
        <v>125</v>
      </c>
      <c r="C660" s="54" t="n">
        <f aca="false">IF(C585&lt;=Assumptions!$F$83,Assumptions!$F$82*Assumptions!$D$108/Assumptions!$F$83,0)</f>
        <v>62500</v>
      </c>
      <c r="D660" s="54" t="n">
        <f aca="false">IF(D585&lt;=Assumptions!$F$83,Assumptions!$F$82*Assumptions!$D$108/Assumptions!$F$83,0)</f>
        <v>62500</v>
      </c>
      <c r="E660" s="54" t="n">
        <f aca="false">IF(E585&lt;=Assumptions!$F$83,Assumptions!$F$82*Assumptions!$D$108/Assumptions!$F$83,0)</f>
        <v>62500</v>
      </c>
      <c r="F660" s="54" t="n">
        <f aca="false">IF(F585&lt;=Assumptions!$F$83,Assumptions!$F$82*Assumptions!$D$108/Assumptions!$F$83,0)</f>
        <v>62500</v>
      </c>
      <c r="G660" s="54" t="n">
        <f aca="false">IF(G585&lt;=Assumptions!$F$83,Assumptions!$F$82*Assumptions!$D$108/Assumptions!$F$83,0)</f>
        <v>0</v>
      </c>
      <c r="H660" s="54" t="n">
        <f aca="false">IF(H585&lt;=Assumptions!$F$83,Assumptions!$F$82*Assumptions!$D$108/Assumptions!$F$83,0)</f>
        <v>0</v>
      </c>
      <c r="I660" s="54" t="n">
        <f aca="false">IF(I585&lt;=Assumptions!$F$83,Assumptions!$F$82*Assumptions!$D$108/Assumptions!$F$83,0)</f>
        <v>0</v>
      </c>
      <c r="J660" s="54" t="n">
        <f aca="false">IF(J585&lt;=Assumptions!$F$83,Assumptions!$F$82*Assumptions!$D$108/Assumptions!$F$83,0)</f>
        <v>0</v>
      </c>
      <c r="K660" s="54" t="n">
        <f aca="false">IF(K585&lt;=Assumptions!$F$83,Assumptions!$F$82*Assumptions!$D$108/Assumptions!$F$83,0)</f>
        <v>0</v>
      </c>
      <c r="L660" s="54" t="n">
        <f aca="false">IF(L585&lt;=Assumptions!$F$83,Assumptions!$F$82*Assumptions!$D$108/Assumptions!$F$83,0)</f>
        <v>0</v>
      </c>
      <c r="M660" s="54" t="n">
        <f aca="false">IF(M585&lt;=Assumptions!$F$83,Assumptions!$F$82*Assumptions!$D$108/Assumptions!$F$83,0)</f>
        <v>0</v>
      </c>
      <c r="N660" s="54" t="n">
        <f aca="false">IF(N585&lt;=Assumptions!$F$83,Assumptions!$F$82*Assumptions!$D$108/Assumptions!$F$83,0)</f>
        <v>0</v>
      </c>
      <c r="P660" s="55" t="n">
        <f aca="false">SUM(C660:F660)</f>
        <v>250000</v>
      </c>
      <c r="Q660" s="55" t="n">
        <f aca="false">SUM(G660:J660)</f>
        <v>0</v>
      </c>
      <c r="R660" s="55" t="n">
        <f aca="false">SUM(K660:N660)</f>
        <v>0</v>
      </c>
      <c r="S660" s="56" t="n">
        <f aca="false">SUM(P660:R660)</f>
        <v>250000</v>
      </c>
    </row>
    <row r="661" customFormat="false" ht="15" hidden="false" customHeight="false" outlineLevel="0" collapsed="false">
      <c r="A661" s="4" t="s">
        <v>565</v>
      </c>
      <c r="B661" s="36" t="s">
        <v>125</v>
      </c>
      <c r="C661" s="54" t="n">
        <f aca="false">C649*Assumptions!$F$73/Assumptions!$F$69/4</f>
        <v>0</v>
      </c>
      <c r="D661" s="54" t="n">
        <f aca="false">D649*Assumptions!$F$73/Assumptions!$F$69/4</f>
        <v>1888.22396475951</v>
      </c>
      <c r="E661" s="54" t="n">
        <f aca="false">E649*Assumptions!$F$73/Assumptions!$F$69/4</f>
        <v>5571.57966833828</v>
      </c>
      <c r="F661" s="54" t="n">
        <f aca="false">F649*Assumptions!$F$73/Assumptions!$F$69/4</f>
        <v>9966.91896173162</v>
      </c>
      <c r="G661" s="54" t="n">
        <f aca="false">G649*Assumptions!$F$73/Assumptions!$F$69/4</f>
        <v>15591.0730659875</v>
      </c>
      <c r="H661" s="54" t="n">
        <f aca="false">H649*Assumptions!$F$73/Assumptions!$F$69/4</f>
        <v>22433.2425140702</v>
      </c>
      <c r="I661" s="54" t="n">
        <f aca="false">I649*Assumptions!$F$73/Assumptions!$F$69/4</f>
        <v>32329.3499628863</v>
      </c>
      <c r="J661" s="54" t="n">
        <f aca="false">J649*Assumptions!$F$73/Assumptions!$F$69/4</f>
        <v>45737.3513663402</v>
      </c>
      <c r="K661" s="54" t="n">
        <f aca="false">K649*Assumptions!$F$73/Assumptions!$F$69/4</f>
        <v>59436.2309759672</v>
      </c>
      <c r="L661" s="54" t="n">
        <f aca="false">L649*Assumptions!$F$73/Assumptions!$F$69/4</f>
        <v>72626.9414372324</v>
      </c>
      <c r="M661" s="54" t="n">
        <f aca="false">M649*Assumptions!$F$73/Assumptions!$F$69/4</f>
        <v>85276.2742727114</v>
      </c>
      <c r="N661" s="54" t="n">
        <f aca="false">N649*Assumptions!$F$73/Assumptions!$F$69/4</f>
        <v>97406.2196516422</v>
      </c>
      <c r="P661" s="55" t="n">
        <f aca="false">SUM(C661:F661)</f>
        <v>17426.7225948294</v>
      </c>
      <c r="Q661" s="55" t="n">
        <f aca="false">SUM(G661:J661)</f>
        <v>116091.016909284</v>
      </c>
      <c r="R661" s="55" t="n">
        <f aca="false">SUM(K661:N661)</f>
        <v>314745.666337553</v>
      </c>
      <c r="S661" s="56" t="n">
        <f aca="false">SUM(P661:R661)</f>
        <v>448263.405841667</v>
      </c>
    </row>
    <row r="662" customFormat="false" ht="15" hidden="false" customHeight="false" outlineLevel="0" collapsed="false">
      <c r="A662" s="9" t="s">
        <v>566</v>
      </c>
      <c r="B662" s="36" t="s">
        <v>125</v>
      </c>
      <c r="C662" s="55" t="n">
        <f aca="false">C658+C659+C660+C661</f>
        <v>275265.178571429</v>
      </c>
      <c r="D662" s="55" t="n">
        <f aca="false">D658+D659+D660+D661</f>
        <v>257325.68342981</v>
      </c>
      <c r="E662" s="55" t="n">
        <f aca="false">E658+E659+E660+E661</f>
        <v>293055.246863151</v>
      </c>
      <c r="F662" s="55" t="n">
        <f aca="false">F658+F659+F660+F661</f>
        <v>360118.720647245</v>
      </c>
      <c r="G662" s="55" t="n">
        <f aca="false">G658+G659+G660+G661</f>
        <v>358683.542779867</v>
      </c>
      <c r="H662" s="55" t="n">
        <f aca="false">H658+H659+H660+H661</f>
        <v>462629.72182995</v>
      </c>
      <c r="I662" s="55" t="n">
        <f aca="false">I658+I659+I660+I661</f>
        <v>411577.161474822</v>
      </c>
      <c r="J662" s="55" t="n">
        <f aca="false">J658+J659+J660+J661</f>
        <v>434277.184005891</v>
      </c>
      <c r="K662" s="55" t="n">
        <f aca="false">K658+K659+K660+K661</f>
        <v>453607.435775031</v>
      </c>
      <c r="L662" s="55" t="n">
        <f aca="false">L658+L659+L660+L661</f>
        <v>466930.145775126</v>
      </c>
      <c r="M662" s="55" t="n">
        <f aca="false">M658+M659+M660+M661</f>
        <v>478969.470036479</v>
      </c>
      <c r="N662" s="55" t="n">
        <f aca="false">N658+N659+N660+N661</f>
        <v>490513.562055477</v>
      </c>
      <c r="P662" s="55" t="n">
        <f aca="false">SUM(C662:F662)</f>
        <v>1185764.82951163</v>
      </c>
      <c r="Q662" s="55" t="n">
        <f aca="false">SUM(G662:J662)</f>
        <v>1667167.61009053</v>
      </c>
      <c r="R662" s="55" t="n">
        <f aca="false">SUM(K662:N662)</f>
        <v>1890020.61364211</v>
      </c>
      <c r="S662" s="56" t="n">
        <f aca="false">SUM(P662:R662)</f>
        <v>4742953.05324428</v>
      </c>
    </row>
    <row r="663" customFormat="false" ht="15" hidden="false" customHeight="false" outlineLevel="0" collapsed="false">
      <c r="A663" s="35" t="s">
        <v>567</v>
      </c>
      <c r="B663" s="35" t="s">
        <v>444</v>
      </c>
      <c r="C663" s="6" t="s">
        <v>354</v>
      </c>
      <c r="D663" s="6" t="s">
        <v>355</v>
      </c>
      <c r="E663" s="6" t="s">
        <v>356</v>
      </c>
      <c r="F663" s="6" t="s">
        <v>357</v>
      </c>
      <c r="G663" s="6" t="s">
        <v>358</v>
      </c>
      <c r="H663" s="6" t="s">
        <v>359</v>
      </c>
      <c r="I663" s="6" t="s">
        <v>360</v>
      </c>
      <c r="J663" s="6" t="s">
        <v>361</v>
      </c>
      <c r="K663" s="6" t="s">
        <v>362</v>
      </c>
      <c r="L663" s="6" t="s">
        <v>363</v>
      </c>
      <c r="M663" s="6" t="s">
        <v>364</v>
      </c>
      <c r="N663" s="6" t="s">
        <v>365</v>
      </c>
      <c r="P663" s="6" t="s">
        <v>445</v>
      </c>
      <c r="Q663" s="6" t="s">
        <v>446</v>
      </c>
      <c r="R663" s="6" t="s">
        <v>447</v>
      </c>
      <c r="S663" s="6" t="s">
        <v>448</v>
      </c>
    </row>
    <row r="664" customFormat="false" ht="15" hidden="false" customHeight="false" outlineLevel="0" collapsed="false">
      <c r="A664" s="9" t="s">
        <v>568</v>
      </c>
      <c r="B664" s="36" t="s">
        <v>125</v>
      </c>
      <c r="C664" s="55" t="n">
        <f aca="false">C642-C662</f>
        <v>-275265.178571429</v>
      </c>
      <c r="D664" s="55" t="n">
        <f aca="false">D642-D662</f>
        <v>-254077.538074864</v>
      </c>
      <c r="E664" s="55" t="n">
        <f aca="false">E642-E662</f>
        <v>-278084.627077201</v>
      </c>
      <c r="F664" s="55" t="n">
        <f aca="false">F642-F662</f>
        <v>-324915.263178903</v>
      </c>
      <c r="G664" s="55" t="n">
        <f aca="false">G642-G662</f>
        <v>-296604.032022633</v>
      </c>
      <c r="H664" s="55" t="n">
        <f aca="false">H642-H662</f>
        <v>-366456.883354679</v>
      </c>
      <c r="I664" s="55" t="n">
        <f aca="false">I642-I662</f>
        <v>-270074.033613646</v>
      </c>
      <c r="J664" s="55" t="n">
        <f aca="false">J642-J662</f>
        <v>-230096.372898029</v>
      </c>
      <c r="K664" s="55" t="n">
        <f aca="false">K642-K662</f>
        <v>-171731.853029891</v>
      </c>
      <c r="L664" s="55" t="n">
        <f aca="false">L642-L662</f>
        <v>-100853.250794336</v>
      </c>
      <c r="M664" s="55" t="n">
        <f aca="false">M642-M662</f>
        <v>-26109.4829032777</v>
      </c>
      <c r="N664" s="55" t="n">
        <f aca="false">N642-N662</f>
        <v>51477.4322829953</v>
      </c>
      <c r="P664" s="55" t="n">
        <f aca="false">SUM(C664:F664)</f>
        <v>-1132342.6069024</v>
      </c>
      <c r="Q664" s="55" t="n">
        <f aca="false">SUM(G664:J664)</f>
        <v>-1163231.32188899</v>
      </c>
      <c r="R664" s="55" t="n">
        <f aca="false">SUM(K664:N664)</f>
        <v>-247217.15444451</v>
      </c>
      <c r="S664" s="56" t="n">
        <f aca="false">SUM(P664:R664)</f>
        <v>-2542791.08323589</v>
      </c>
    </row>
    <row r="665" customFormat="false" ht="15" hidden="false" customHeight="false" outlineLevel="0" collapsed="false">
      <c r="A665" s="9" t="s">
        <v>569</v>
      </c>
      <c r="B665" s="36" t="s">
        <v>125</v>
      </c>
      <c r="C665" s="55" t="n">
        <f aca="false">0+C664</f>
        <v>-275265.178571429</v>
      </c>
      <c r="D665" s="55" t="n">
        <f aca="false">C665+D664</f>
        <v>-529342.716646293</v>
      </c>
      <c r="E665" s="55" t="n">
        <f aca="false">D665+E664</f>
        <v>-807427.343723494</v>
      </c>
      <c r="F665" s="55" t="n">
        <f aca="false">E665+F664</f>
        <v>-1132342.6069024</v>
      </c>
      <c r="G665" s="55" t="n">
        <f aca="false">F665+G664</f>
        <v>-1428946.63892503</v>
      </c>
      <c r="H665" s="55" t="n">
        <f aca="false">G665+H664</f>
        <v>-1795403.52227971</v>
      </c>
      <c r="I665" s="55" t="n">
        <f aca="false">H665+I664</f>
        <v>-2065477.55589336</v>
      </c>
      <c r="J665" s="55" t="n">
        <f aca="false">I665+J664</f>
        <v>-2295573.92879138</v>
      </c>
      <c r="K665" s="55" t="n">
        <f aca="false">J665+K664</f>
        <v>-2467305.78182127</v>
      </c>
      <c r="L665" s="55" t="n">
        <f aca="false">K665+L664</f>
        <v>-2568159.03261561</v>
      </c>
      <c r="M665" s="55" t="n">
        <f aca="false">L665+M664</f>
        <v>-2594268.51551889</v>
      </c>
      <c r="N665" s="55" t="n">
        <f aca="false">M665+N664</f>
        <v>-2542791.08323589</v>
      </c>
      <c r="P665" s="55" t="n">
        <f aca="false">F665</f>
        <v>-1132342.6069024</v>
      </c>
      <c r="Q665" s="55" t="n">
        <f aca="false">J665</f>
        <v>-2295573.92879138</v>
      </c>
      <c r="R665" s="55" t="n">
        <f aca="false">N665</f>
        <v>-2542791.08323589</v>
      </c>
      <c r="S665" s="56" t="n">
        <f aca="false">R665</f>
        <v>-2542791.08323589</v>
      </c>
    </row>
    <row r="666" customFormat="false" ht="15" hidden="false" customHeight="false" outlineLevel="0" collapsed="false">
      <c r="A666" s="4" t="s">
        <v>570</v>
      </c>
      <c r="B666" s="36" t="s">
        <v>107</v>
      </c>
      <c r="C666" s="57" t="n">
        <f aca="false">1/(1+Assumptions!$F$87)^(C585/4)</f>
        <v>0.972065420906982</v>
      </c>
      <c r="D666" s="57" t="n">
        <f aca="false">1/(1+Assumptions!$F$87)^(D585/4)</f>
        <v>0.944911182523068</v>
      </c>
      <c r="E666" s="57" t="n">
        <f aca="false">1/(1+Assumptions!$F$87)^(E585/4)</f>
        <v>0.918515486359</v>
      </c>
      <c r="F666" s="57" t="n">
        <f aca="false">1/(1+Assumptions!$F$87)^(F585/4)</f>
        <v>0.892857142857143</v>
      </c>
      <c r="G666" s="57" t="n">
        <f aca="false">1/(1+Assumptions!$F$87)^(G585/4)</f>
        <v>0.867915554381234</v>
      </c>
      <c r="H666" s="57" t="n">
        <f aca="false">1/(1+Assumptions!$F$87)^(H585/4)</f>
        <v>0.843670698681311</v>
      </c>
      <c r="I666" s="57" t="n">
        <f aca="false">1/(1+Assumptions!$F$87)^(I585/4)</f>
        <v>0.820103112820536</v>
      </c>
      <c r="J666" s="57" t="n">
        <f aca="false">1/(1+Assumptions!$F$87)^(J585/4)</f>
        <v>0.79719387755102</v>
      </c>
      <c r="K666" s="57" t="n">
        <f aca="false">1/(1+Assumptions!$F$87)^(K585/4)</f>
        <v>0.774924602126102</v>
      </c>
      <c r="L666" s="57" t="n">
        <f aca="false">1/(1+Assumptions!$F$87)^(L585/4)</f>
        <v>0.753277409536885</v>
      </c>
      <c r="M666" s="57" t="n">
        <f aca="false">1/(1+Assumptions!$F$87)^(M585/4)</f>
        <v>0.732234922161193</v>
      </c>
      <c r="N666" s="57" t="n">
        <f aca="false">1/(1+Assumptions!$F$87)^(N585/4)</f>
        <v>0.711780247813411</v>
      </c>
      <c r="P666" s="58"/>
      <c r="Q666" s="58"/>
      <c r="R666" s="58"/>
      <c r="S666" s="59"/>
    </row>
    <row r="667" customFormat="false" ht="15" hidden="false" customHeight="false" outlineLevel="0" collapsed="false">
      <c r="A667" s="4" t="s">
        <v>571</v>
      </c>
      <c r="B667" s="36" t="s">
        <v>125</v>
      </c>
      <c r="C667" s="54" t="n">
        <f aca="false">(C642*(1-Assumptions!$F$88)-C662)*C666</f>
        <v>-267575.761669071</v>
      </c>
      <c r="D667" s="54" t="n">
        <f aca="false">(D642*(1-Assumptions!$F$88)-D662)*D666</f>
        <v>-240387.627841705</v>
      </c>
      <c r="E667" s="54" t="n">
        <f aca="false">(E642*(1-Assumptions!$F$88)-E662)*E666</f>
        <v>-256800.111100156</v>
      </c>
      <c r="F667" s="54" t="n">
        <f aca="false">(F642*(1-Assumptions!$F$88)-F662)*F666</f>
        <v>-293246.07939798</v>
      </c>
      <c r="G667" s="54" t="n">
        <f aca="false">(G642*(1-Assumptions!$F$88)-G662)*G666</f>
        <v>-262815.230184091</v>
      </c>
      <c r="H667" s="54" t="n">
        <f aca="false">(H642*(1-Assumptions!$F$88)-H662)*H666</f>
        <v>-317282.755399477</v>
      </c>
      <c r="I667" s="54" t="n">
        <f aca="false">(I642*(1-Assumptions!$F$88)-I662)*I666</f>
        <v>-233093.271221828</v>
      </c>
      <c r="J667" s="54" t="n">
        <f aca="false">(J642*(1-Assumptions!$F$88)-J662)*J666</f>
        <v>-199708.588973864</v>
      </c>
      <c r="K667" s="54" t="n">
        <f aca="false">(K642*(1-Assumptions!$F$88)-K662)*K666</f>
        <v>-154922.470262351</v>
      </c>
      <c r="L667" s="54" t="n">
        <f aca="false">(L642*(1-Assumptions!$F$88)-L662)*L666</f>
        <v>-103546.221015975</v>
      </c>
      <c r="M667" s="54" t="n">
        <f aca="false">(M642*(1-Assumptions!$F$88)-M662)*M666</f>
        <v>-52278.2649241904</v>
      </c>
      <c r="N667" s="54" t="n">
        <f aca="false">(N642*(1-Assumptions!$F$88)-N662)*N666</f>
        <v>-1937.228919099</v>
      </c>
      <c r="P667" s="55" t="n">
        <f aca="false">SUM(C667:F667)</f>
        <v>-1058009.58000891</v>
      </c>
      <c r="Q667" s="55" t="n">
        <f aca="false">SUM(G667:J667)</f>
        <v>-1012899.84577926</v>
      </c>
      <c r="R667" s="55" t="n">
        <f aca="false">SUM(K667:N667)</f>
        <v>-312684.185121615</v>
      </c>
      <c r="S667" s="56" t="n">
        <f aca="false">SUM(P667:R667)</f>
        <v>-2383593.61090979</v>
      </c>
    </row>
    <row r="668" customFormat="false" ht="15" hidden="false" customHeight="false" outlineLevel="0" collapsed="false">
      <c r="A668" s="4" t="s">
        <v>572</v>
      </c>
      <c r="B668" s="36" t="s">
        <v>125</v>
      </c>
      <c r="C668" s="54" t="n">
        <f aca="false">(C662-C661)*12/(Assumptions!$F$89*Assumptions!$F$76)*Assumptions!$F$90</f>
        <v>172040.736607143</v>
      </c>
      <c r="D668" s="54" t="n">
        <f aca="false">(D662-D661)*12/(Assumptions!$F$89*Assumptions!$F$76)*Assumptions!$F$90</f>
        <v>159648.412165657</v>
      </c>
      <c r="E668" s="54" t="n">
        <f aca="false">(E662-E661)*12/(Assumptions!$F$89*Assumptions!$F$76)*Assumptions!$F$90</f>
        <v>179677.291996758</v>
      </c>
      <c r="F668" s="54" t="n">
        <f aca="false">(F662-F661)*12/(Assumptions!$F$89*Assumptions!$F$76)*Assumptions!$F$90</f>
        <v>218844.876053446</v>
      </c>
      <c r="G668" s="54" t="n">
        <f aca="false">(G662-G661)*12/(Assumptions!$F$89*Assumptions!$F$76)*Assumptions!$F$90</f>
        <v>214432.793571175</v>
      </c>
      <c r="H668" s="54" t="n">
        <f aca="false">(H662-H661)*12/(Assumptions!$F$89*Assumptions!$F$76)*Assumptions!$F$90</f>
        <v>275122.799572425</v>
      </c>
      <c r="I668" s="54" t="n">
        <f aca="false">(I662-I661)*12/(Assumptions!$F$89*Assumptions!$F$76)*Assumptions!$F$90</f>
        <v>237029.88219496</v>
      </c>
      <c r="J668" s="54" t="n">
        <f aca="false">(J662-J661)*12/(Assumptions!$F$89*Assumptions!$F$76)*Assumptions!$F$90</f>
        <v>242837.395399719</v>
      </c>
      <c r="K668" s="54" t="n">
        <f aca="false">(K662-K661)*12/(Assumptions!$F$89*Assumptions!$F$76)*Assumptions!$F$90</f>
        <v>246357.002999415</v>
      </c>
      <c r="L668" s="54" t="n">
        <f aca="false">(L662-L661)*12/(Assumptions!$F$89*Assumptions!$F$76)*Assumptions!$F$90</f>
        <v>246439.502711183</v>
      </c>
      <c r="M668" s="54" t="n">
        <f aca="false">(M662-M661)*12/(Assumptions!$F$89*Assumptions!$F$76)*Assumptions!$F$90</f>
        <v>246058.247352355</v>
      </c>
      <c r="N668" s="54" t="n">
        <f aca="false">(N662-N661)*12/(Assumptions!$F$89*Assumptions!$F$76)*Assumptions!$F$90</f>
        <v>245692.089002397</v>
      </c>
      <c r="P668" s="55" t="n">
        <f aca="false">SUM(C668:F668)</f>
        <v>730211.316823003</v>
      </c>
      <c r="Q668" s="55" t="n">
        <f aca="false">SUM(G668:J668)</f>
        <v>969422.870738278</v>
      </c>
      <c r="R668" s="55" t="n">
        <f aca="false">SUM(K668:N668)</f>
        <v>984546.84206535</v>
      </c>
      <c r="S668" s="56" t="n">
        <f aca="false">SUM(P668:R668)</f>
        <v>2684181.02962663</v>
      </c>
    </row>
    <row r="669" customFormat="false" ht="15" hidden="false" customHeight="false" outlineLevel="0" collapsed="false">
      <c r="A669" s="4" t="s">
        <v>573</v>
      </c>
      <c r="B669" s="36" t="s">
        <v>125</v>
      </c>
      <c r="C669" s="54" t="n">
        <f aca="false">0*Assumptions!$F$92^(1/4)+C668</f>
        <v>172040.736607143</v>
      </c>
      <c r="D669" s="54" t="n">
        <f aca="false">C669*Assumptions!$F$92^(1/4)+D668</f>
        <v>332117.647076688</v>
      </c>
      <c r="E669" s="54" t="n">
        <f aca="false">D669*Assumptions!$F$92^(1/4)+E668</f>
        <v>512622.13762694</v>
      </c>
      <c r="F669" s="54" t="n">
        <f aca="false">E669*Assumptions!$F$92^(1/4)+F668</f>
        <v>732743.791034636</v>
      </c>
      <c r="G669" s="54" t="n">
        <f aca="false">F669*Assumptions!$F$92^(1/4)+G668</f>
        <v>949001.614408838</v>
      </c>
      <c r="H669" s="54" t="n">
        <f aca="false">G669*Assumptions!$F$92^(1/4)+H668</f>
        <v>1226488.07267153</v>
      </c>
      <c r="I669" s="54" t="n">
        <f aca="false">H669*Assumptions!$F$92^(1/4)+I668</f>
        <v>1466572.74333835</v>
      </c>
      <c r="J669" s="54" t="n">
        <f aca="false">I669*Assumptions!$F$92^(1/4)+J668</f>
        <v>1713062.90113285</v>
      </c>
      <c r="K669" s="54" t="n">
        <f aca="false">J669*Assumptions!$F$92^(1/4)+K668</f>
        <v>1963686.59446425</v>
      </c>
      <c r="L669" s="54" t="n">
        <f aca="false">K669*Assumptions!$F$92^(1/4)+L668</f>
        <v>2215017.01075607</v>
      </c>
      <c r="M669" s="54" t="n">
        <f aca="false">L669*Assumptions!$F$92^(1/4)+M668</f>
        <v>2466592.15515799</v>
      </c>
      <c r="N669" s="54" t="n">
        <f aca="false">M669*Assumptions!$F$92^(1/4)+N668</f>
        <v>2718427.7342181</v>
      </c>
      <c r="P669" s="55" t="n">
        <f aca="false">F669</f>
        <v>732743.791034636</v>
      </c>
      <c r="Q669" s="55" t="n">
        <f aca="false">J669</f>
        <v>1713062.90113285</v>
      </c>
      <c r="R669" s="55" t="n">
        <f aca="false">N669</f>
        <v>2718427.7342181</v>
      </c>
      <c r="S669" s="56" t="n">
        <f aca="false">R669</f>
        <v>2718427.7342181</v>
      </c>
    </row>
    <row r="670" customFormat="false" ht="15" hidden="false" customHeight="false" outlineLevel="0" collapsed="false">
      <c r="A670" s="4" t="s">
        <v>574</v>
      </c>
      <c r="B670" s="36" t="s">
        <v>125</v>
      </c>
      <c r="C670" s="54" t="n">
        <f aca="false">(0+C669)/8*Assumptions!$F$76-(C662-C661)-C669*Assumptions!$F$93/4</f>
        <v>-261932.021484375</v>
      </c>
      <c r="D670" s="54" t="n">
        <f aca="false">(C669+D669)/8*Assumptions!$F$76-(D662-D661)-D669*Assumptions!$F$93/4</f>
        <v>-214214.675521965</v>
      </c>
      <c r="E670" s="54" t="n">
        <f aca="false">(D669+E669)/8*Assumptions!$F$76-(E662-E661)-E669*Assumptions!$F$93/4</f>
        <v>-217864.863291823</v>
      </c>
      <c r="F670" s="54" t="n">
        <f aca="false">(E669+F669)/8*Assumptions!$F$76-(F662-F661)-F669*Assumptions!$F$93/4</f>
        <v>-247228.165493905</v>
      </c>
      <c r="G670" s="54" t="n">
        <f aca="false">(F669+G669)/8*Assumptions!$F$76-(G662-G661)-G669*Assumptions!$F$93/4</f>
        <v>-203597.903404077</v>
      </c>
      <c r="H670" s="54" t="n">
        <f aca="false">(G669+H669)/8*Assumptions!$F$76-(H662-H661)-H669*Assumptions!$F$93/4</f>
        <v>-259733.508387041</v>
      </c>
      <c r="I670" s="54" t="n">
        <f aca="false">(H669+I669)/8*Assumptions!$F$76-(I662-I661)-I669*Assumptions!$F$93/4</f>
        <v>-155204.497362775</v>
      </c>
      <c r="J670" s="54" t="n">
        <f aca="false">(I669+J669)/8*Assumptions!$F$76-(J662-J661)-J669*Assumptions!$F$93/4</f>
        <v>-123785.910901303</v>
      </c>
      <c r="K670" s="54" t="n">
        <f aca="false">(J669+K669)/8*Assumptions!$F$76-(K662-K661)-K669*Assumptions!$F$93/4</f>
        <v>-87809.8326261276</v>
      </c>
      <c r="L670" s="54" t="n">
        <f aca="false">(K669+L669)/8*Assumptions!$F$76-(L662-L661)-L669*Assumptions!$F$93/4</f>
        <v>-45907.5925025151</v>
      </c>
      <c r="M670" s="54" t="n">
        <f aca="false">(L669+M669)/8*Assumptions!$F$76-(M662-M661)-M669*Assumptions!$F$93/4</f>
        <v>-3180.77277097706</v>
      </c>
      <c r="N670" s="54" t="n">
        <f aca="false">(M669+N669)/8*Assumptions!$F$76-(N662-N661)-N669*Assumptions!$F$93/4</f>
        <v>39564.1009622874</v>
      </c>
      <c r="P670" s="55" t="n">
        <f aca="false">SUM(C670:F670)</f>
        <v>-941239.725792067</v>
      </c>
      <c r="Q670" s="55" t="n">
        <f aca="false">SUM(G670:J670)</f>
        <v>-742321.820055196</v>
      </c>
      <c r="R670" s="55" t="n">
        <f aca="false">SUM(K670:N670)</f>
        <v>-97334.0969373323</v>
      </c>
      <c r="S670" s="56" t="n">
        <f aca="false">SUM(P670:R670)</f>
        <v>-1780895.6427846</v>
      </c>
    </row>
    <row r="671" customFormat="false" ht="15" hidden="false" customHeight="false" outlineLevel="0" collapsed="false">
      <c r="A671" s="4" t="s">
        <v>575</v>
      </c>
      <c r="B671" s="36" t="s">
        <v>125</v>
      </c>
      <c r="C671" s="54" t="n">
        <f aca="false">C670*C666</f>
        <v>-254615.060713226</v>
      </c>
      <c r="D671" s="54" t="n">
        <f aca="false">D670*D666</f>
        <v>-202413.842361255</v>
      </c>
      <c r="E671" s="54" t="n">
        <f aca="false">E670*E666</f>
        <v>-200112.250867025</v>
      </c>
      <c r="F671" s="54" t="n">
        <f aca="false">F670*F666</f>
        <v>-220739.4334767</v>
      </c>
      <c r="G671" s="54" t="n">
        <f aca="false">G670*G666</f>
        <v>-176705.787203806</v>
      </c>
      <c r="H671" s="54" t="n">
        <f aca="false">H670*H666</f>
        <v>-219129.550491843</v>
      </c>
      <c r="I671" s="54" t="n">
        <f aca="false">I670*I666</f>
        <v>-127283.691410959</v>
      </c>
      <c r="J671" s="54" t="n">
        <f aca="false">J670*J666</f>
        <v>-98681.3702975951</v>
      </c>
      <c r="K671" s="54" t="n">
        <f aca="false">K670*K666</f>
        <v>-68045.9996105615</v>
      </c>
      <c r="L671" s="54" t="n">
        <f aca="false">L670*L666</f>
        <v>-34581.1523583695</v>
      </c>
      <c r="M671" s="54" t="n">
        <f aca="false">M670*M666</f>
        <v>-2329.07290236883</v>
      </c>
      <c r="N671" s="54" t="n">
        <f aca="false">N670*N666</f>
        <v>28160.9455874517</v>
      </c>
      <c r="P671" s="55" t="n">
        <f aca="false">SUM(C671:F671)</f>
        <v>-877880.587418206</v>
      </c>
      <c r="Q671" s="55" t="n">
        <f aca="false">SUM(G671:J671)</f>
        <v>-621800.399404203</v>
      </c>
      <c r="R671" s="55" t="n">
        <f aca="false">SUM(K671:N671)</f>
        <v>-76795.279283848</v>
      </c>
      <c r="S671" s="56" t="n">
        <f aca="false">SUM(P671:R671)</f>
        <v>-1576476.26610626</v>
      </c>
    </row>
    <row r="672" customFormat="false" ht="15" hidden="false" customHeight="false" outlineLevel="0" collapsed="false">
      <c r="A672" s="4" t="s">
        <v>576</v>
      </c>
      <c r="B672" s="36"/>
      <c r="C672" s="37" t="n">
        <f aca="false">IFERROR((S627*$C$576*Assumptions!$F$59+S628*$C$577*Assumptions!$F$60+S629*$C$578*Assumptions!$F$61)/(S627*$C$576+S628*$C$577+S629*$C$578),0.9)</f>
        <v>0.93150377042296</v>
      </c>
    </row>
    <row r="673" customFormat="false" ht="15" hidden="false" customHeight="false" outlineLevel="0" collapsed="false">
      <c r="A673" s="4" t="s">
        <v>577</v>
      </c>
      <c r="B673" s="36"/>
      <c r="C673" s="37" t="n">
        <f aca="false">IFERROR(N661*4/N639,0)</f>
        <v>0.119441800767061</v>
      </c>
    </row>
    <row r="674" customFormat="false" ht="15" hidden="false" customHeight="false" outlineLevel="0" collapsed="false">
      <c r="A674" s="4" t="s">
        <v>578</v>
      </c>
      <c r="B674" s="36"/>
      <c r="C674" s="60" t="n">
        <f aca="false">$C$672/(1+Assumptions!$F$87)</f>
        <v>0.8316997950205</v>
      </c>
    </row>
    <row r="675" customFormat="false" ht="15" hidden="false" customHeight="false" outlineLevel="0" collapsed="false">
      <c r="A675" s="4" t="s">
        <v>579</v>
      </c>
      <c r="B675" s="36"/>
      <c r="C675" s="60" t="n">
        <f aca="false">Assumptions!$F$91/(1+Assumptions!$F$87)</f>
        <v>0.803571428571429</v>
      </c>
    </row>
    <row r="676" customFormat="false" ht="15" hidden="false" customHeight="false" outlineLevel="0" collapsed="false">
      <c r="A676" s="35" t="s">
        <v>580</v>
      </c>
      <c r="B676" s="35" t="s">
        <v>444</v>
      </c>
      <c r="C676" s="6" t="s">
        <v>354</v>
      </c>
      <c r="D676" s="6" t="s">
        <v>355</v>
      </c>
      <c r="E676" s="6" t="s">
        <v>356</v>
      </c>
      <c r="F676" s="6" t="s">
        <v>357</v>
      </c>
      <c r="G676" s="6" t="s">
        <v>358</v>
      </c>
      <c r="H676" s="6" t="s">
        <v>359</v>
      </c>
      <c r="I676" s="6" t="s">
        <v>360</v>
      </c>
      <c r="J676" s="6" t="s">
        <v>361</v>
      </c>
      <c r="K676" s="6" t="s">
        <v>362</v>
      </c>
      <c r="L676" s="6" t="s">
        <v>363</v>
      </c>
      <c r="M676" s="6" t="s">
        <v>364</v>
      </c>
      <c r="N676" s="6" t="s">
        <v>365</v>
      </c>
      <c r="P676" s="6" t="s">
        <v>445</v>
      </c>
      <c r="Q676" s="6" t="s">
        <v>446</v>
      </c>
      <c r="R676" s="6" t="s">
        <v>447</v>
      </c>
      <c r="S676" s="6" t="s">
        <v>448</v>
      </c>
    </row>
    <row r="677" customFormat="false" ht="15" hidden="false" customHeight="false" outlineLevel="0" collapsed="false">
      <c r="A677" s="9" t="s">
        <v>581</v>
      </c>
      <c r="C677" s="61" t="n">
        <f aca="false">N639</f>
        <v>3262047.92714426</v>
      </c>
      <c r="D677" s="61"/>
    </row>
    <row r="678" customFormat="false" ht="15" hidden="false" customHeight="false" outlineLevel="0" collapsed="false">
      <c r="A678" s="9" t="s">
        <v>582</v>
      </c>
      <c r="C678" s="62" t="n">
        <f aca="false">N635</f>
        <v>213.377253366761</v>
      </c>
      <c r="D678" s="62"/>
    </row>
    <row r="679" customFormat="false" ht="15" hidden="false" customHeight="false" outlineLevel="0" collapsed="false">
      <c r="A679" s="9" t="s">
        <v>583</v>
      </c>
      <c r="C679" s="63" t="n">
        <f aca="false">S630</f>
        <v>229.610975109321</v>
      </c>
      <c r="D679" s="63"/>
    </row>
    <row r="680" customFormat="false" ht="15" hidden="false" customHeight="false" outlineLevel="0" collapsed="false">
      <c r="A680" s="9" t="s">
        <v>584</v>
      </c>
      <c r="C680" s="61" t="n">
        <f aca="false">S641</f>
        <v>3055780.51390053</v>
      </c>
      <c r="D680" s="61"/>
    </row>
    <row r="681" customFormat="false" ht="15" hidden="false" customHeight="false" outlineLevel="0" collapsed="false">
      <c r="A681" s="9" t="s">
        <v>22</v>
      </c>
      <c r="C681" s="61" t="n">
        <f aca="false">IFERROR(S640/S630,0)</f>
        <v>12294.5913700363</v>
      </c>
      <c r="D681" s="61"/>
    </row>
    <row r="682" customFormat="false" ht="15" hidden="false" customHeight="false" outlineLevel="0" collapsed="false">
      <c r="A682" s="9" t="s">
        <v>585</v>
      </c>
      <c r="C682" s="61" t="n">
        <f aca="false">IFERROR(S658/S630,0)</f>
        <v>15645.6107178958</v>
      </c>
      <c r="D682" s="61"/>
    </row>
    <row r="683" customFormat="false" ht="23.85" hidden="false" customHeight="false" outlineLevel="0" collapsed="false">
      <c r="A683" s="9" t="s">
        <v>586</v>
      </c>
      <c r="C683" s="61" t="n">
        <f aca="false">IFERROR((S652+S654+S655+S656+S657)/S630,0)</f>
        <v>5362.14570736121</v>
      </c>
      <c r="D683" s="61"/>
    </row>
    <row r="684" customFormat="false" ht="15" hidden="false" customHeight="false" outlineLevel="0" collapsed="false">
      <c r="A684" s="9" t="s">
        <v>587</v>
      </c>
      <c r="C684" s="64" t="n">
        <f aca="false">IFERROR('Engine Runs'!$C$682/('Engine Runs'!$C$681*Assumptions!$F$76/12),0)</f>
        <v>21.2093408217785</v>
      </c>
      <c r="D684" s="64"/>
    </row>
    <row r="685" customFormat="false" ht="15" hidden="false" customHeight="false" outlineLevel="0" collapsed="false">
      <c r="A685" s="9" t="s">
        <v>588</v>
      </c>
      <c r="C685" s="64" t="n">
        <f aca="false">IFERROR((R658/R630)/((R640/R630)*Assumptions!$F$76/12),0)</f>
        <v>15.3780121503971</v>
      </c>
      <c r="D685" s="64"/>
    </row>
    <row r="686" customFormat="false" ht="15" hidden="false" customHeight="false" outlineLevel="0" collapsed="false">
      <c r="A686" s="9" t="s">
        <v>589</v>
      </c>
      <c r="C686" s="61" t="n">
        <f aca="false">S662</f>
        <v>4742953.05324428</v>
      </c>
      <c r="D686" s="61"/>
    </row>
    <row r="687" customFormat="false" ht="15" hidden="false" customHeight="false" outlineLevel="0" collapsed="false">
      <c r="A687" s="9" t="s">
        <v>590</v>
      </c>
      <c r="C687" s="61" t="n">
        <f aca="false">N665</f>
        <v>-2542791.08323589</v>
      </c>
      <c r="D687" s="61"/>
    </row>
    <row r="688" customFormat="false" ht="15" hidden="false" customHeight="false" outlineLevel="0" collapsed="false">
      <c r="A688" s="9" t="s">
        <v>591</v>
      </c>
      <c r="C688" s="61" t="n">
        <f aca="false">MIN($C$665:$N$665)</f>
        <v>-2594268.51551889</v>
      </c>
      <c r="D688" s="61"/>
    </row>
    <row r="689" customFormat="false" ht="15" hidden="false" customHeight="false" outlineLevel="0" collapsed="false">
      <c r="A689" s="9" t="s">
        <v>592</v>
      </c>
      <c r="C689" s="61" t="n">
        <f aca="false">N639*(Assumptions!$F$76-$C$673)*$C$672*(1-$C$672^Assumptions!$F$85)/(1-$C$672)</f>
        <v>7957074.42715446</v>
      </c>
      <c r="D689" s="61"/>
    </row>
    <row r="690" customFormat="false" ht="15" hidden="false" customHeight="false" outlineLevel="0" collapsed="false">
      <c r="A690" s="9" t="s">
        <v>593</v>
      </c>
      <c r="C690" s="61" t="n">
        <f aca="false">N639*(Assumptions!$F$76-$C$673)*(1-Assumptions!$F$88)/(1+Assumptions!$F$87)^2.5*$C$674*(1-$C$674^Assumptions!$F$85)/(1-$C$674)</f>
        <v>3951431.44008299</v>
      </c>
      <c r="D690" s="61"/>
    </row>
    <row r="691" customFormat="false" ht="15" hidden="false" customHeight="false" outlineLevel="0" collapsed="false">
      <c r="A691" s="9" t="s">
        <v>594</v>
      </c>
      <c r="C691" s="61" t="n">
        <f aca="false">SUM($C$667:$N$667)+'Engine Runs'!$C$690</f>
        <v>1567837.82917321</v>
      </c>
      <c r="D691" s="61"/>
    </row>
    <row r="692" customFormat="false" ht="15" hidden="false" customHeight="false" outlineLevel="0" collapsed="false">
      <c r="A692" s="9" t="s">
        <v>595</v>
      </c>
      <c r="C692" s="61" t="n">
        <f aca="false">SUM($C$671:$N$671)+N669*(Assumptions!$F$76-Assumptions!$F$93)/(1+Assumptions!$F$87)^2.5*$C$675*(1-$C$675^Assumptions!$F$85)/(1-$C$675)</f>
        <v>2155594.77263692</v>
      </c>
      <c r="D692" s="61"/>
    </row>
    <row r="693" customFormat="false" ht="15" hidden="false" customHeight="false" outlineLevel="0" collapsed="false">
      <c r="A693" s="9" t="s">
        <v>596</v>
      </c>
      <c r="C693" s="61" t="n">
        <f aca="false">'Engine Runs'!$C$691-'Engine Runs'!$C$692</f>
        <v>-587756.943463715</v>
      </c>
      <c r="D693" s="61"/>
    </row>
    <row r="694" customFormat="false" ht="15" hidden="false" customHeight="false" outlineLevel="0" collapsed="false">
      <c r="A694" s="9" t="s">
        <v>597</v>
      </c>
      <c r="C694" s="61" t="n">
        <f aca="false">S626</f>
        <v>0</v>
      </c>
      <c r="D694" s="61"/>
    </row>
    <row r="695" customFormat="false" ht="15" hidden="false" customHeight="false" outlineLevel="0" collapsed="false">
      <c r="A695" s="9" t="s">
        <v>598</v>
      </c>
      <c r="C695" s="63" t="n">
        <f aca="false">P610</f>
        <v>116.59176500912</v>
      </c>
      <c r="D695" s="63"/>
    </row>
    <row r="696" customFormat="false" ht="15" hidden="false" customHeight="false" outlineLevel="0" collapsed="false">
      <c r="A696" s="9" t="s">
        <v>599</v>
      </c>
      <c r="C696" s="63" t="n">
        <f aca="false">P630</f>
        <v>21.7760904031459</v>
      </c>
      <c r="D696" s="63"/>
    </row>
    <row r="697" customFormat="false" ht="15" hidden="false" customHeight="false" outlineLevel="0" collapsed="false">
      <c r="A697" s="9" t="s">
        <v>600</v>
      </c>
      <c r="C697" s="63" t="n">
        <f aca="false">P606</f>
        <v>96</v>
      </c>
      <c r="D697" s="63"/>
    </row>
    <row r="698" customFormat="false" ht="15" hidden="false" customHeight="false" outlineLevel="0" collapsed="false">
      <c r="A698" s="9" t="s">
        <v>601</v>
      </c>
      <c r="C698" s="61" t="n">
        <f aca="false">IFERROR(P640/P630,0)</f>
        <v>11723.9726084903</v>
      </c>
      <c r="D698" s="61"/>
    </row>
    <row r="701" customFormat="false" ht="15" hidden="false" customHeight="true" outlineLevel="0" collapsed="false">
      <c r="A701" s="77" t="s">
        <v>773</v>
      </c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</row>
    <row r="702" customFormat="false" ht="23.85" hidden="false" customHeight="false" outlineLevel="0" collapsed="false">
      <c r="A702" s="35" t="s">
        <v>774</v>
      </c>
      <c r="B702" s="35" t="s">
        <v>444</v>
      </c>
      <c r="C702" s="6" t="s">
        <v>354</v>
      </c>
      <c r="D702" s="6" t="s">
        <v>355</v>
      </c>
      <c r="E702" s="6" t="s">
        <v>356</v>
      </c>
      <c r="F702" s="6" t="s">
        <v>357</v>
      </c>
      <c r="G702" s="6" t="s">
        <v>358</v>
      </c>
      <c r="H702" s="6" t="s">
        <v>359</v>
      </c>
      <c r="I702" s="6" t="s">
        <v>360</v>
      </c>
      <c r="J702" s="6" t="s">
        <v>361</v>
      </c>
      <c r="K702" s="6" t="s">
        <v>362</v>
      </c>
      <c r="L702" s="6" t="s">
        <v>363</v>
      </c>
      <c r="M702" s="6" t="s">
        <v>364</v>
      </c>
      <c r="N702" s="6" t="s">
        <v>365</v>
      </c>
      <c r="P702" s="6" t="s">
        <v>445</v>
      </c>
      <c r="Q702" s="6" t="s">
        <v>446</v>
      </c>
      <c r="R702" s="6" t="s">
        <v>447</v>
      </c>
      <c r="S702" s="6" t="s">
        <v>448</v>
      </c>
    </row>
    <row r="703" customFormat="false" ht="15" hidden="false" customHeight="false" outlineLevel="0" collapsed="false">
      <c r="A703" s="4" t="s">
        <v>449</v>
      </c>
      <c r="B703" s="36" t="s">
        <v>450</v>
      </c>
      <c r="C703" s="34" t="n">
        <f aca="false">'Market Sizing'!$C$17*Assumptions!$D$10*Assumptions!$D$11*(1-Assumptions!$D$12)</f>
        <v>843.03944704</v>
      </c>
    </row>
    <row r="704" customFormat="false" ht="15" hidden="false" customHeight="false" outlineLevel="0" collapsed="false">
      <c r="A704" s="4" t="s">
        <v>451</v>
      </c>
      <c r="B704" s="36" t="s">
        <v>450</v>
      </c>
      <c r="C704" s="34" t="n">
        <f aca="false">'Market Sizing'!$D$17*Assumptions!$D$10*Assumptions!$D$11*(1-Assumptions!$D$12)</f>
        <v>211.19616</v>
      </c>
    </row>
    <row r="705" customFormat="false" ht="15" hidden="false" customHeight="false" outlineLevel="0" collapsed="false">
      <c r="A705" s="4" t="s">
        <v>452</v>
      </c>
      <c r="B705" s="36" t="s">
        <v>450</v>
      </c>
      <c r="C705" s="34" t="n">
        <f aca="false">'Market Sizing'!$E$17*Assumptions!$D$10*Assumptions!$D$11*(1-Assumptions!$D$12)</f>
        <v>49.53984</v>
      </c>
    </row>
    <row r="706" customFormat="false" ht="15" hidden="false" customHeight="false" outlineLevel="0" collapsed="false">
      <c r="A706" s="4" t="s">
        <v>453</v>
      </c>
      <c r="B706" s="36"/>
      <c r="C706" s="34" t="n">
        <f aca="false">$C$703+$C$704+$C$705</f>
        <v>1103.77544704</v>
      </c>
    </row>
    <row r="707" customFormat="false" ht="15" hidden="false" customHeight="false" outlineLevel="0" collapsed="false">
      <c r="A707" s="4" t="s">
        <v>454</v>
      </c>
      <c r="B707" s="36" t="s">
        <v>450</v>
      </c>
      <c r="C707" s="34" t="n">
        <f aca="false">'Market Sizing'!$C$18*Assumptions!$D$10*Assumptions!$D$11*(1-Assumptions!$D$12)</f>
        <v>612.57706944</v>
      </c>
    </row>
    <row r="708" customFormat="false" ht="15" hidden="false" customHeight="false" outlineLevel="0" collapsed="false">
      <c r="A708" s="4" t="s">
        <v>455</v>
      </c>
      <c r="B708" s="36" t="s">
        <v>450</v>
      </c>
      <c r="C708" s="34" t="n">
        <f aca="false">'Market Sizing'!$D$18*Assumptions!$D$10*Assumptions!$D$11*(1-Assumptions!$D$12)</f>
        <v>142.10112</v>
      </c>
    </row>
    <row r="709" customFormat="false" ht="15" hidden="false" customHeight="false" outlineLevel="0" collapsed="false">
      <c r="A709" s="4" t="s">
        <v>456</v>
      </c>
      <c r="B709" s="36" t="s">
        <v>450</v>
      </c>
      <c r="C709" s="34" t="n">
        <f aca="false">'Market Sizing'!$E$18*Assumptions!$D$10*Assumptions!$D$11*(1-Assumptions!$D$12)</f>
        <v>24.76992</v>
      </c>
    </row>
    <row r="710" customFormat="false" ht="15" hidden="false" customHeight="false" outlineLevel="0" collapsed="false">
      <c r="A710" s="4" t="s">
        <v>457</v>
      </c>
      <c r="B710" s="36"/>
      <c r="C710" s="34" t="n">
        <f aca="false">$C$707+$C$708+$C$709</f>
        <v>779.44810944</v>
      </c>
    </row>
    <row r="711" customFormat="false" ht="15" hidden="false" customHeight="false" outlineLevel="0" collapsed="false">
      <c r="A711" s="4" t="s">
        <v>458</v>
      </c>
      <c r="B711" s="36" t="s">
        <v>450</v>
      </c>
      <c r="C711" s="34" t="n">
        <f aca="false">'Market Sizing'!$C$19*Assumptions!$D$10*Assumptions!$D$11*(1-Assumptions!$D$12)</f>
        <v>2060.77303936</v>
      </c>
    </row>
    <row r="712" customFormat="false" ht="15" hidden="false" customHeight="false" outlineLevel="0" collapsed="false">
      <c r="A712" s="4" t="s">
        <v>459</v>
      </c>
      <c r="B712" s="36" t="s">
        <v>450</v>
      </c>
      <c r="C712" s="34" t="n">
        <f aca="false">'Market Sizing'!$D$19*Assumptions!$D$10*Assumptions!$D$11*(1-Assumptions!$D$12)</f>
        <v>428.47616</v>
      </c>
    </row>
    <row r="713" customFormat="false" ht="15" hidden="false" customHeight="false" outlineLevel="0" collapsed="false">
      <c r="A713" s="4" t="s">
        <v>460</v>
      </c>
      <c r="B713" s="36" t="s">
        <v>450</v>
      </c>
      <c r="C713" s="34" t="n">
        <f aca="false">'Market Sizing'!$E$19*Assumptions!$D$10*Assumptions!$D$11*(1-Assumptions!$D$12)</f>
        <v>79.52448</v>
      </c>
    </row>
    <row r="714" customFormat="false" ht="15" hidden="false" customHeight="false" outlineLevel="0" collapsed="false">
      <c r="A714" s="4" t="s">
        <v>461</v>
      </c>
      <c r="B714" s="36"/>
      <c r="C714" s="34" t="n">
        <f aca="false">$C$711+$C$712+$C$713</f>
        <v>2568.77367936</v>
      </c>
    </row>
    <row r="715" customFormat="false" ht="15" hidden="false" customHeight="false" outlineLevel="0" collapsed="false">
      <c r="A715" s="4" t="s">
        <v>462</v>
      </c>
      <c r="B715" s="36" t="s">
        <v>463</v>
      </c>
      <c r="C715" s="33" t="n">
        <f aca="false">MAX((Assumptions!$D$51+Assumptions!$D$53)*12,(((('Market Sizing'!$E$25*Assumptions!$D$41*Assumptions!$D$42*Assumptions!$D$43)*Assumptions!$D$44)*Assumptions!$D$45*Assumptions!$D$46+('Market Sizing'!$E$25*Assumptions!$D$41*Assumptions!$D$42*Assumptions!$D$43)*Assumptions!$D$47+('Market Sizing'!$E$25*Assumptions!$D$41*Assumptions!$D$42*Assumptions!$D$43)*Assumptions!$D$48*Assumptions!$D$49)*(Assumptions!$D$51*12/Assumptions!$D$52)+((('Market Sizing'!$E$25*Assumptions!$D$41*Assumptions!$D$42*Assumptions!$D$43)*Assumptions!$D$44)*Assumptions!$D$45+('Market Sizing'!$E$25*Assumptions!$D$41*Assumptions!$D$42*Assumptions!$D$43)+('Market Sizing'!$E$25*Assumptions!$D$41*Assumptions!$D$42*Assumptions!$D$43)*Assumptions!$D$48)*Assumptions!$D$50*(Assumptions!$D$53*12/Assumptions!$D$54)))</f>
        <v>5352</v>
      </c>
    </row>
    <row r="716" customFormat="false" ht="15" hidden="false" customHeight="false" outlineLevel="0" collapsed="false">
      <c r="A716" s="4" t="s">
        <v>464</v>
      </c>
      <c r="B716" s="36" t="s">
        <v>463</v>
      </c>
      <c r="C716" s="33" t="n">
        <f aca="false">MAX((Assumptions!$D$51+Assumptions!$D$53)*12,(((('Market Sizing'!$E$26*Assumptions!$D$41*Assumptions!$D$42*Assumptions!$D$43)*Assumptions!$D$44)*Assumptions!$D$45*Assumptions!$D$46+('Market Sizing'!$E$26*Assumptions!$D$41*Assumptions!$D$42*Assumptions!$D$43)*Assumptions!$D$47+('Market Sizing'!$E$26*Assumptions!$D$41*Assumptions!$D$42*Assumptions!$D$43)*Assumptions!$D$48*Assumptions!$D$49)*(Assumptions!$D$51*12/Assumptions!$D$52)+((('Market Sizing'!$E$26*Assumptions!$D$41*Assumptions!$D$42*Assumptions!$D$43)*Assumptions!$D$44)*Assumptions!$D$45+('Market Sizing'!$E$26*Assumptions!$D$41*Assumptions!$D$42*Assumptions!$D$43)+('Market Sizing'!$E$26*Assumptions!$D$41*Assumptions!$D$42*Assumptions!$D$43)*Assumptions!$D$48)*Assumptions!$D$50*(Assumptions!$D$53*12/Assumptions!$D$54)))</f>
        <v>7325.04009656406</v>
      </c>
    </row>
    <row r="717" customFormat="false" ht="15" hidden="false" customHeight="false" outlineLevel="0" collapsed="false">
      <c r="A717" s="4" t="s">
        <v>465</v>
      </c>
      <c r="B717" s="36" t="s">
        <v>463</v>
      </c>
      <c r="C717" s="33" t="n">
        <f aca="false">MAX(Assumptions!$D$55*(Assumptions!$D$51*12/Assumptions!$D$52)+Assumptions!$D$56*(Assumptions!$D$53*12/Assumptions!$D$54),(((('Market Sizing'!$E$27*Assumptions!$D$41*Assumptions!$D$42*Assumptions!$D$43)*Assumptions!$D$44)*Assumptions!$D$45*Assumptions!$D$46+('Market Sizing'!$E$27*Assumptions!$D$41*Assumptions!$D$42*Assumptions!$D$43)*Assumptions!$D$47+('Market Sizing'!$E$27*Assumptions!$D$41*Assumptions!$D$42*Assumptions!$D$43)*Assumptions!$D$48*Assumptions!$D$49)*(Assumptions!$D$51*12/Assumptions!$D$52)+((('Market Sizing'!$E$27*Assumptions!$D$41*Assumptions!$D$42*Assumptions!$D$43)*Assumptions!$D$44)*Assumptions!$D$45+('Market Sizing'!$E$27*Assumptions!$D$41*Assumptions!$D$42*Assumptions!$D$43)+('Market Sizing'!$E$27*Assumptions!$D$41*Assumptions!$D$42*Assumptions!$D$43)*Assumptions!$D$48)*Assumptions!$D$50*(Assumptions!$D$53*12/Assumptions!$D$54)))*(1-Assumptions!$D$57)</f>
        <v>46333.6921645789</v>
      </c>
    </row>
    <row r="718" customFormat="false" ht="23.85" hidden="false" customHeight="false" outlineLevel="0" collapsed="false">
      <c r="A718" s="4" t="s">
        <v>466</v>
      </c>
      <c r="B718" s="36" t="s">
        <v>467</v>
      </c>
      <c r="C718" s="37" t="n">
        <f aca="false">Assumptions!$D$17*Assumptions!$E$106</f>
        <v>0.3</v>
      </c>
    </row>
    <row r="719" customFormat="false" ht="23.85" hidden="false" customHeight="false" outlineLevel="0" collapsed="false">
      <c r="A719" s="4" t="s">
        <v>468</v>
      </c>
      <c r="B719" s="36" t="s">
        <v>469</v>
      </c>
      <c r="C719" s="33" t="n">
        <f aca="false">Assumptions!$D$68/Assumptions!$D$69</f>
        <v>285714.285714286</v>
      </c>
    </row>
    <row r="720" customFormat="false" ht="23.85" hidden="false" customHeight="false" outlineLevel="0" collapsed="false">
      <c r="A720" s="4" t="s">
        <v>470</v>
      </c>
      <c r="B720" s="36" t="s">
        <v>471</v>
      </c>
      <c r="C720" s="33" t="n">
        <f aca="false">Assumptions!$D$66*Assumptions!$D$67/4</f>
        <v>120312.5</v>
      </c>
    </row>
    <row r="721" customFormat="false" ht="15" hidden="false" customHeight="false" outlineLevel="0" collapsed="false">
      <c r="A721" s="4" t="s">
        <v>472</v>
      </c>
      <c r="B721" s="36"/>
      <c r="C721" s="38" t="n">
        <f aca="false">$C$719/Assumptions!$D$66/Assumptions!$D$67</f>
        <v>0.593692022263451</v>
      </c>
    </row>
    <row r="722" customFormat="false" ht="15" hidden="false" customHeight="false" outlineLevel="0" collapsed="false">
      <c r="A722" s="4" t="s">
        <v>473</v>
      </c>
      <c r="B722" s="36"/>
      <c r="C722" s="33" t="n">
        <f aca="false">MAX(0,Assumptions!$E$103-Assumptions!$D$78)</f>
        <v>35000</v>
      </c>
    </row>
    <row r="723" customFormat="false" ht="15" hidden="false" customHeight="false" outlineLevel="0" collapsed="false">
      <c r="A723" s="35" t="s">
        <v>474</v>
      </c>
      <c r="B723" s="35" t="s">
        <v>444</v>
      </c>
      <c r="C723" s="6" t="s">
        <v>354</v>
      </c>
      <c r="D723" s="6" t="s">
        <v>355</v>
      </c>
      <c r="E723" s="6" t="s">
        <v>356</v>
      </c>
      <c r="F723" s="6" t="s">
        <v>357</v>
      </c>
      <c r="G723" s="6" t="s">
        <v>358</v>
      </c>
      <c r="H723" s="6" t="s">
        <v>359</v>
      </c>
      <c r="I723" s="6" t="s">
        <v>360</v>
      </c>
      <c r="J723" s="6" t="s">
        <v>361</v>
      </c>
      <c r="K723" s="6" t="s">
        <v>362</v>
      </c>
      <c r="L723" s="6" t="s">
        <v>363</v>
      </c>
      <c r="M723" s="6" t="s">
        <v>364</v>
      </c>
      <c r="N723" s="6" t="s">
        <v>365</v>
      </c>
      <c r="P723" s="6" t="s">
        <v>445</v>
      </c>
      <c r="Q723" s="6" t="s">
        <v>446</v>
      </c>
      <c r="R723" s="6" t="s">
        <v>447</v>
      </c>
      <c r="S723" s="6" t="s">
        <v>448</v>
      </c>
    </row>
    <row r="724" customFormat="false" ht="15" hidden="false" customHeight="false" outlineLevel="0" collapsed="false">
      <c r="A724" s="4" t="s">
        <v>475</v>
      </c>
      <c r="B724" s="36" t="s">
        <v>133</v>
      </c>
      <c r="C724" s="39" t="n">
        <v>1</v>
      </c>
      <c r="D724" s="39" t="n">
        <v>2</v>
      </c>
      <c r="E724" s="39" t="n">
        <v>3</v>
      </c>
      <c r="F724" s="39" t="n">
        <v>4</v>
      </c>
      <c r="G724" s="39" t="n">
        <v>5</v>
      </c>
      <c r="H724" s="39" t="n">
        <v>6</v>
      </c>
      <c r="I724" s="39" t="n">
        <v>7</v>
      </c>
      <c r="J724" s="39" t="n">
        <v>8</v>
      </c>
      <c r="K724" s="39" t="n">
        <v>9</v>
      </c>
      <c r="L724" s="39" t="n">
        <v>10</v>
      </c>
      <c r="M724" s="39" t="n">
        <v>11</v>
      </c>
      <c r="N724" s="39" t="n">
        <v>12</v>
      </c>
      <c r="P724" s="40"/>
      <c r="Q724" s="40"/>
      <c r="R724" s="40"/>
      <c r="S724" s="41"/>
    </row>
    <row r="725" customFormat="false" ht="15" hidden="false" customHeight="false" outlineLevel="0" collapsed="false">
      <c r="A725" s="4" t="s">
        <v>476</v>
      </c>
      <c r="B725" s="36" t="s">
        <v>343</v>
      </c>
      <c r="C725" s="39" t="n">
        <f aca="false">IF(C724&lt;=Assumptions!$D$84,1,0)</f>
        <v>1</v>
      </c>
      <c r="D725" s="39" t="n">
        <f aca="false">IF(D724&lt;=Assumptions!$D$84,1,0)</f>
        <v>1</v>
      </c>
      <c r="E725" s="39" t="n">
        <f aca="false">IF(E724&lt;=Assumptions!$D$84,1,0)</f>
        <v>1</v>
      </c>
      <c r="F725" s="39" t="n">
        <f aca="false">IF(F724&lt;=Assumptions!$D$84,1,0)</f>
        <v>1</v>
      </c>
      <c r="G725" s="39" t="n">
        <f aca="false">IF(G724&lt;=Assumptions!$D$84,1,0)</f>
        <v>1</v>
      </c>
      <c r="H725" s="39" t="n">
        <f aca="false">IF(H724&lt;=Assumptions!$D$84,1,0)</f>
        <v>1</v>
      </c>
      <c r="I725" s="39" t="n">
        <f aca="false">IF(I724&lt;=Assumptions!$D$84,1,0)</f>
        <v>1</v>
      </c>
      <c r="J725" s="39" t="n">
        <f aca="false">IF(J724&lt;=Assumptions!$D$84,1,0)</f>
        <v>1</v>
      </c>
      <c r="K725" s="39" t="n">
        <f aca="false">IF(K724&lt;=Assumptions!$D$84,1,0)</f>
        <v>1</v>
      </c>
      <c r="L725" s="39" t="n">
        <f aca="false">IF(L724&lt;=Assumptions!$D$84,1,0)</f>
        <v>1</v>
      </c>
      <c r="M725" s="39" t="n">
        <f aca="false">IF(M724&lt;=Assumptions!$D$84,1,0)</f>
        <v>1</v>
      </c>
      <c r="N725" s="39" t="n">
        <f aca="false">IF(N724&lt;=Assumptions!$D$84,1,0)</f>
        <v>1</v>
      </c>
      <c r="P725" s="40"/>
      <c r="Q725" s="40"/>
      <c r="R725" s="40"/>
      <c r="S725" s="41"/>
    </row>
    <row r="726" customFormat="false" ht="15" hidden="false" customHeight="false" outlineLevel="0" collapsed="false">
      <c r="A726" s="4" t="s">
        <v>477</v>
      </c>
      <c r="B726" s="36" t="s">
        <v>478</v>
      </c>
      <c r="C726" s="42" t="n">
        <f aca="false">IF(C724=Assumptions!$D$13,0.5,IF(C724&gt;Assumptions!$D$13,1,0))</f>
        <v>0.5</v>
      </c>
      <c r="D726" s="42" t="n">
        <f aca="false">IF(D724=Assumptions!$D$13,0.5,IF(D724&gt;Assumptions!$D$13,1,0))</f>
        <v>1</v>
      </c>
      <c r="E726" s="42" t="n">
        <f aca="false">IF(E724=Assumptions!$D$13,0.5,IF(E724&gt;Assumptions!$D$13,1,0))</f>
        <v>1</v>
      </c>
      <c r="F726" s="42" t="n">
        <f aca="false">IF(F724=Assumptions!$D$13,0.5,IF(F724&gt;Assumptions!$D$13,1,0))</f>
        <v>1</v>
      </c>
      <c r="G726" s="42" t="n">
        <f aca="false">IF(G724=Assumptions!$D$13,0.5,IF(G724&gt;Assumptions!$D$13,1,0))</f>
        <v>1</v>
      </c>
      <c r="H726" s="42" t="n">
        <f aca="false">IF(H724=Assumptions!$D$13,0.5,IF(H724&gt;Assumptions!$D$13,1,0))</f>
        <v>1</v>
      </c>
      <c r="I726" s="42" t="n">
        <f aca="false">IF(I724=Assumptions!$D$13,0.5,IF(I724&gt;Assumptions!$D$13,1,0))</f>
        <v>1</v>
      </c>
      <c r="J726" s="42" t="n">
        <f aca="false">IF(J724=Assumptions!$D$13,0.5,IF(J724&gt;Assumptions!$D$13,1,0))</f>
        <v>1</v>
      </c>
      <c r="K726" s="42" t="n">
        <f aca="false">IF(K724=Assumptions!$D$13,0.5,IF(K724&gt;Assumptions!$D$13,1,0))</f>
        <v>1</v>
      </c>
      <c r="L726" s="42" t="n">
        <f aca="false">IF(L724=Assumptions!$D$13,0.5,IF(L724&gt;Assumptions!$D$13,1,0))</f>
        <v>1</v>
      </c>
      <c r="M726" s="42" t="n">
        <f aca="false">IF(M724=Assumptions!$D$13,0.5,IF(M724&gt;Assumptions!$D$13,1,0))</f>
        <v>1</v>
      </c>
      <c r="N726" s="42" t="n">
        <f aca="false">IF(N724=Assumptions!$D$13,0.5,IF(N724&gt;Assumptions!$D$13,1,0))</f>
        <v>1</v>
      </c>
      <c r="P726" s="43"/>
      <c r="Q726" s="43"/>
      <c r="R726" s="43"/>
      <c r="S726" s="44"/>
    </row>
    <row r="727" customFormat="false" ht="15" hidden="false" customHeight="false" outlineLevel="0" collapsed="false">
      <c r="A727" s="4" t="s">
        <v>479</v>
      </c>
      <c r="B727" s="36" t="s">
        <v>478</v>
      </c>
      <c r="C727" s="42" t="n">
        <f aca="false">IF(C724=Assumptions!$D$14,0.5,IF(C724&gt;Assumptions!$D$14,1,0))</f>
        <v>0</v>
      </c>
      <c r="D727" s="42" t="n">
        <f aca="false">IF(D724=Assumptions!$D$14,0.5,IF(D724&gt;Assumptions!$D$14,1,0))</f>
        <v>0</v>
      </c>
      <c r="E727" s="42" t="n">
        <f aca="false">IF(E724=Assumptions!$D$14,0.5,IF(E724&gt;Assumptions!$D$14,1,0))</f>
        <v>0</v>
      </c>
      <c r="F727" s="42" t="n">
        <f aca="false">IF(F724=Assumptions!$D$14,0.5,IF(F724&gt;Assumptions!$D$14,1,0))</f>
        <v>0</v>
      </c>
      <c r="G727" s="42" t="n">
        <f aca="false">IF(G724=Assumptions!$D$14,0.5,IF(G724&gt;Assumptions!$D$14,1,0))</f>
        <v>0</v>
      </c>
      <c r="H727" s="42" t="n">
        <f aca="false">IF(H724=Assumptions!$D$14,0.5,IF(H724&gt;Assumptions!$D$14,1,0))</f>
        <v>0</v>
      </c>
      <c r="I727" s="42" t="n">
        <f aca="false">IF(I724=Assumptions!$D$14,0.5,IF(I724&gt;Assumptions!$D$14,1,0))</f>
        <v>0.5</v>
      </c>
      <c r="J727" s="42" t="n">
        <f aca="false">IF(J724=Assumptions!$D$14,0.5,IF(J724&gt;Assumptions!$D$14,1,0))</f>
        <v>1</v>
      </c>
      <c r="K727" s="42" t="n">
        <f aca="false">IF(K724=Assumptions!$D$14,0.5,IF(K724&gt;Assumptions!$D$14,1,0))</f>
        <v>1</v>
      </c>
      <c r="L727" s="42" t="n">
        <f aca="false">IF(L724=Assumptions!$D$14,0.5,IF(L724&gt;Assumptions!$D$14,1,0))</f>
        <v>1</v>
      </c>
      <c r="M727" s="42" t="n">
        <f aca="false">IF(M724=Assumptions!$D$14,0.5,IF(M724&gt;Assumptions!$D$14,1,0))</f>
        <v>1</v>
      </c>
      <c r="N727" s="42" t="n">
        <f aca="false">IF(N724=Assumptions!$D$14,0.5,IF(N724&gt;Assumptions!$D$14,1,0))</f>
        <v>1</v>
      </c>
      <c r="P727" s="43"/>
      <c r="Q727" s="43"/>
      <c r="R727" s="43"/>
      <c r="S727" s="44"/>
    </row>
    <row r="728" customFormat="false" ht="15" hidden="false" customHeight="false" outlineLevel="0" collapsed="false">
      <c r="A728" s="4" t="s">
        <v>480</v>
      </c>
      <c r="B728" s="36" t="s">
        <v>478</v>
      </c>
      <c r="C728" s="42" t="n">
        <f aca="false">IF(C724=Assumptions!$D$15,0.5,IF(C724&gt;Assumptions!$D$15,1,0))</f>
        <v>0</v>
      </c>
      <c r="D728" s="42" t="n">
        <f aca="false">IF(D724=Assumptions!$D$15,0.5,IF(D724&gt;Assumptions!$D$15,1,0))</f>
        <v>0</v>
      </c>
      <c r="E728" s="42" t="n">
        <f aca="false">IF(E724=Assumptions!$D$15,0.5,IF(E724&gt;Assumptions!$D$15,1,0))</f>
        <v>0</v>
      </c>
      <c r="F728" s="42" t="n">
        <f aca="false">IF(F724=Assumptions!$D$15,0.5,IF(F724&gt;Assumptions!$D$15,1,0))</f>
        <v>0</v>
      </c>
      <c r="G728" s="42" t="n">
        <f aca="false">IF(G724=Assumptions!$D$15,0.5,IF(G724&gt;Assumptions!$D$15,1,0))</f>
        <v>0</v>
      </c>
      <c r="H728" s="42" t="n">
        <f aca="false">IF(H724=Assumptions!$D$15,0.5,IF(H724&gt;Assumptions!$D$15,1,0))</f>
        <v>0</v>
      </c>
      <c r="I728" s="42" t="n">
        <f aca="false">IF(I724=Assumptions!$D$15,0.5,IF(I724&gt;Assumptions!$D$15,1,0))</f>
        <v>0</v>
      </c>
      <c r="J728" s="42" t="n">
        <f aca="false">IF(J724=Assumptions!$D$15,0.5,IF(J724&gt;Assumptions!$D$15,1,0))</f>
        <v>0</v>
      </c>
      <c r="K728" s="42" t="n">
        <f aca="false">IF(K724=Assumptions!$D$15,0.5,IF(K724&gt;Assumptions!$D$15,1,0))</f>
        <v>0</v>
      </c>
      <c r="L728" s="42" t="n">
        <f aca="false">IF(L724=Assumptions!$D$15,0.5,IF(L724&gt;Assumptions!$D$15,1,0))</f>
        <v>0</v>
      </c>
      <c r="M728" s="42" t="n">
        <f aca="false">IF(M724=Assumptions!$D$15,0.5,IF(M724&gt;Assumptions!$D$15,1,0))</f>
        <v>0</v>
      </c>
      <c r="N728" s="42" t="n">
        <f aca="false">IF(N724=Assumptions!$D$15,0.5,IF(N724&gt;Assumptions!$D$15,1,0))</f>
        <v>0</v>
      </c>
      <c r="P728" s="43"/>
      <c r="Q728" s="43"/>
      <c r="R728" s="43"/>
      <c r="S728" s="44"/>
    </row>
    <row r="729" customFormat="false" ht="15" hidden="false" customHeight="false" outlineLevel="0" collapsed="false">
      <c r="A729" s="4" t="s">
        <v>481</v>
      </c>
      <c r="B729" s="36" t="s">
        <v>478</v>
      </c>
      <c r="C729" s="45" t="n">
        <f aca="false">Assumptions!$D$21^(MAX(0,C724-Assumptions!$D$13)/4)</f>
        <v>1</v>
      </c>
      <c r="D729" s="45" t="n">
        <f aca="false">Assumptions!$D$21^(MAX(0,D724-Assumptions!$D$13)/4)</f>
        <v>0.880111736793393</v>
      </c>
      <c r="E729" s="45" t="n">
        <f aca="false">Assumptions!$D$21^(MAX(0,E724-Assumptions!$D$13)/4)</f>
        <v>0.774596669241483</v>
      </c>
      <c r="F729" s="45" t="n">
        <f aca="false">Assumptions!$D$21^(MAX(0,F724-Assumptions!$D$13)/4)</f>
        <v>0.6817316198805</v>
      </c>
      <c r="G729" s="45" t="n">
        <f aca="false">Assumptions!$D$21^(MAX(0,G724-Assumptions!$D$13)/4)</f>
        <v>0.6</v>
      </c>
      <c r="H729" s="45" t="n">
        <f aca="false">Assumptions!$D$21^(MAX(0,H724-Assumptions!$D$13)/4)</f>
        <v>0.528067042076036</v>
      </c>
      <c r="I729" s="45" t="n">
        <f aca="false">Assumptions!$D$21^(MAX(0,I724-Assumptions!$D$13)/4)</f>
        <v>0.46475800154489</v>
      </c>
      <c r="J729" s="45" t="n">
        <f aca="false">Assumptions!$D$21^(MAX(0,J724-Assumptions!$D$13)/4)</f>
        <v>0.4090389719283</v>
      </c>
      <c r="K729" s="45" t="n">
        <f aca="false">Assumptions!$D$21^(MAX(0,K724-Assumptions!$D$13)/4)</f>
        <v>0.36</v>
      </c>
      <c r="L729" s="45" t="n">
        <f aca="false">Assumptions!$D$21^(MAX(0,L724-Assumptions!$D$13)/4)</f>
        <v>0.316840225245622</v>
      </c>
      <c r="M729" s="45" t="n">
        <f aca="false">Assumptions!$D$21^(MAX(0,M724-Assumptions!$D$13)/4)</f>
        <v>0.278854800926934</v>
      </c>
      <c r="N729" s="45" t="n">
        <f aca="false">Assumptions!$D$21^(MAX(0,N724-Assumptions!$D$13)/4)</f>
        <v>0.24542338315698</v>
      </c>
      <c r="P729" s="46"/>
      <c r="Q729" s="46"/>
      <c r="R729" s="46"/>
      <c r="S729" s="47"/>
    </row>
    <row r="730" customFormat="false" ht="15" hidden="false" customHeight="false" outlineLevel="0" collapsed="false">
      <c r="A730" s="4" t="s">
        <v>482</v>
      </c>
      <c r="B730" s="36" t="s">
        <v>478</v>
      </c>
      <c r="C730" s="45" t="n">
        <f aca="false">Assumptions!$D$21^(MAX(0,C724-Assumptions!$D$14)/4)</f>
        <v>1</v>
      </c>
      <c r="D730" s="45" t="n">
        <f aca="false">Assumptions!$D$21^(MAX(0,D724-Assumptions!$D$14)/4)</f>
        <v>1</v>
      </c>
      <c r="E730" s="45" t="n">
        <f aca="false">Assumptions!$D$21^(MAX(0,E724-Assumptions!$D$14)/4)</f>
        <v>1</v>
      </c>
      <c r="F730" s="45" t="n">
        <f aca="false">Assumptions!$D$21^(MAX(0,F724-Assumptions!$D$14)/4)</f>
        <v>1</v>
      </c>
      <c r="G730" s="45" t="n">
        <f aca="false">Assumptions!$D$21^(MAX(0,G724-Assumptions!$D$14)/4)</f>
        <v>1</v>
      </c>
      <c r="H730" s="45" t="n">
        <f aca="false">Assumptions!$D$21^(MAX(0,H724-Assumptions!$D$14)/4)</f>
        <v>1</v>
      </c>
      <c r="I730" s="45" t="n">
        <f aca="false">Assumptions!$D$21^(MAX(0,I724-Assumptions!$D$14)/4)</f>
        <v>1</v>
      </c>
      <c r="J730" s="45" t="n">
        <f aca="false">Assumptions!$D$21^(MAX(0,J724-Assumptions!$D$14)/4)</f>
        <v>0.880111736793393</v>
      </c>
      <c r="K730" s="45" t="n">
        <f aca="false">Assumptions!$D$21^(MAX(0,K724-Assumptions!$D$14)/4)</f>
        <v>0.774596669241483</v>
      </c>
      <c r="L730" s="45" t="n">
        <f aca="false">Assumptions!$D$21^(MAX(0,L724-Assumptions!$D$14)/4)</f>
        <v>0.6817316198805</v>
      </c>
      <c r="M730" s="45" t="n">
        <f aca="false">Assumptions!$D$21^(MAX(0,M724-Assumptions!$D$14)/4)</f>
        <v>0.6</v>
      </c>
      <c r="N730" s="45" t="n">
        <f aca="false">Assumptions!$D$21^(MAX(0,N724-Assumptions!$D$14)/4)</f>
        <v>0.528067042076036</v>
      </c>
      <c r="P730" s="46"/>
      <c r="Q730" s="46"/>
      <c r="R730" s="46"/>
      <c r="S730" s="47"/>
    </row>
    <row r="731" customFormat="false" ht="15" hidden="false" customHeight="false" outlineLevel="0" collapsed="false">
      <c r="A731" s="4" t="s">
        <v>483</v>
      </c>
      <c r="B731" s="36" t="s">
        <v>478</v>
      </c>
      <c r="C731" s="45" t="n">
        <f aca="false">Assumptions!$D$21^(MAX(0,C724-Assumptions!$D$15)/4)</f>
        <v>1</v>
      </c>
      <c r="D731" s="45" t="n">
        <f aca="false">Assumptions!$D$21^(MAX(0,D724-Assumptions!$D$15)/4)</f>
        <v>1</v>
      </c>
      <c r="E731" s="45" t="n">
        <f aca="false">Assumptions!$D$21^(MAX(0,E724-Assumptions!$D$15)/4)</f>
        <v>1</v>
      </c>
      <c r="F731" s="45" t="n">
        <f aca="false">Assumptions!$D$21^(MAX(0,F724-Assumptions!$D$15)/4)</f>
        <v>1</v>
      </c>
      <c r="G731" s="45" t="n">
        <f aca="false">Assumptions!$D$21^(MAX(0,G724-Assumptions!$D$15)/4)</f>
        <v>1</v>
      </c>
      <c r="H731" s="45" t="n">
        <f aca="false">Assumptions!$D$21^(MAX(0,H724-Assumptions!$D$15)/4)</f>
        <v>1</v>
      </c>
      <c r="I731" s="45" t="n">
        <f aca="false">Assumptions!$D$21^(MAX(0,I724-Assumptions!$D$15)/4)</f>
        <v>1</v>
      </c>
      <c r="J731" s="45" t="n">
        <f aca="false">Assumptions!$D$21^(MAX(0,J724-Assumptions!$D$15)/4)</f>
        <v>1</v>
      </c>
      <c r="K731" s="45" t="n">
        <f aca="false">Assumptions!$D$21^(MAX(0,K724-Assumptions!$D$15)/4)</f>
        <v>1</v>
      </c>
      <c r="L731" s="45" t="n">
        <f aca="false">Assumptions!$D$21^(MAX(0,L724-Assumptions!$D$15)/4)</f>
        <v>1</v>
      </c>
      <c r="M731" s="45" t="n">
        <f aca="false">Assumptions!$D$21^(MAX(0,M724-Assumptions!$D$15)/4)</f>
        <v>1</v>
      </c>
      <c r="N731" s="45" t="n">
        <f aca="false">Assumptions!$D$21^(MAX(0,N724-Assumptions!$D$15)/4)</f>
        <v>1</v>
      </c>
      <c r="P731" s="46"/>
      <c r="Q731" s="46"/>
      <c r="R731" s="46"/>
      <c r="S731" s="47"/>
    </row>
    <row r="732" customFormat="false" ht="15" hidden="false" customHeight="false" outlineLevel="0" collapsed="false">
      <c r="A732" s="4" t="s">
        <v>484</v>
      </c>
      <c r="B732" s="36" t="s">
        <v>485</v>
      </c>
      <c r="C732" s="39" t="n">
        <f aca="false">$C$703*C726+$C$707*C727+$C$711*C728</f>
        <v>421.51972352</v>
      </c>
      <c r="D732" s="39" t="n">
        <f aca="false">$C$703*D726+$C$707*D727+$C$711*D728</f>
        <v>843.03944704</v>
      </c>
      <c r="E732" s="39" t="n">
        <f aca="false">$C$703*E726+$C$707*E727+$C$711*E728</f>
        <v>843.03944704</v>
      </c>
      <c r="F732" s="39" t="n">
        <f aca="false">$C$703*F726+$C$707*F727+$C$711*F728</f>
        <v>843.03944704</v>
      </c>
      <c r="G732" s="39" t="n">
        <f aca="false">$C$703*G726+$C$707*G727+$C$711*G728</f>
        <v>843.03944704</v>
      </c>
      <c r="H732" s="39" t="n">
        <f aca="false">$C$703*H726+$C$707*H727+$C$711*H728</f>
        <v>843.03944704</v>
      </c>
      <c r="I732" s="39" t="n">
        <f aca="false">$C$703*I726+$C$707*I727+$C$711*I728</f>
        <v>1149.32798176</v>
      </c>
      <c r="J732" s="39" t="n">
        <f aca="false">$C$703*J726+$C$707*J727+$C$711*J728</f>
        <v>1455.61651648</v>
      </c>
      <c r="K732" s="39" t="n">
        <f aca="false">$C$703*K726+$C$707*K727+$C$711*K728</f>
        <v>1455.61651648</v>
      </c>
      <c r="L732" s="39" t="n">
        <f aca="false">$C$703*L726+$C$707*L727+$C$711*L728</f>
        <v>1455.61651648</v>
      </c>
      <c r="M732" s="39" t="n">
        <f aca="false">$C$703*M726+$C$707*M727+$C$711*M728</f>
        <v>1455.61651648</v>
      </c>
      <c r="N732" s="39" t="n">
        <f aca="false">$C$703*N726+$C$707*N727+$C$711*N728</f>
        <v>1455.61651648</v>
      </c>
      <c r="P732" s="40" t="n">
        <f aca="false">F732</f>
        <v>843.03944704</v>
      </c>
      <c r="Q732" s="40" t="n">
        <f aca="false">J732</f>
        <v>1455.61651648</v>
      </c>
      <c r="R732" s="40" t="n">
        <f aca="false">N732</f>
        <v>1455.61651648</v>
      </c>
      <c r="S732" s="41" t="n">
        <f aca="false">R732</f>
        <v>1455.61651648</v>
      </c>
    </row>
    <row r="733" customFormat="false" ht="15" hidden="false" customHeight="false" outlineLevel="0" collapsed="false">
      <c r="A733" s="4" t="s">
        <v>486</v>
      </c>
      <c r="B733" s="36" t="s">
        <v>485</v>
      </c>
      <c r="C733" s="39" t="n">
        <f aca="false">$C$704*C726+$C$708*C727+$C$712*C728</f>
        <v>105.59808</v>
      </c>
      <c r="D733" s="39" t="n">
        <f aca="false">$C$704*D726+$C$708*D727+$C$712*D728</f>
        <v>211.19616</v>
      </c>
      <c r="E733" s="39" t="n">
        <f aca="false">$C$704*E726+$C$708*E727+$C$712*E728</f>
        <v>211.19616</v>
      </c>
      <c r="F733" s="39" t="n">
        <f aca="false">$C$704*F726+$C$708*F727+$C$712*F728</f>
        <v>211.19616</v>
      </c>
      <c r="G733" s="39" t="n">
        <f aca="false">$C$704*G726+$C$708*G727+$C$712*G728</f>
        <v>211.19616</v>
      </c>
      <c r="H733" s="39" t="n">
        <f aca="false">$C$704*H726+$C$708*H727+$C$712*H728</f>
        <v>211.19616</v>
      </c>
      <c r="I733" s="39" t="n">
        <f aca="false">$C$704*I726+$C$708*I727+$C$712*I728</f>
        <v>282.24672</v>
      </c>
      <c r="J733" s="39" t="n">
        <f aca="false">$C$704*J726+$C$708*J727+$C$712*J728</f>
        <v>353.29728</v>
      </c>
      <c r="K733" s="39" t="n">
        <f aca="false">$C$704*K726+$C$708*K727+$C$712*K728</f>
        <v>353.29728</v>
      </c>
      <c r="L733" s="39" t="n">
        <f aca="false">$C$704*L726+$C$708*L727+$C$712*L728</f>
        <v>353.29728</v>
      </c>
      <c r="M733" s="39" t="n">
        <f aca="false">$C$704*M726+$C$708*M727+$C$712*M728</f>
        <v>353.29728</v>
      </c>
      <c r="N733" s="39" t="n">
        <f aca="false">$C$704*N726+$C$708*N727+$C$712*N728</f>
        <v>353.29728</v>
      </c>
      <c r="P733" s="40" t="n">
        <f aca="false">F733</f>
        <v>211.19616</v>
      </c>
      <c r="Q733" s="40" t="n">
        <f aca="false">J733</f>
        <v>353.29728</v>
      </c>
      <c r="R733" s="40" t="n">
        <f aca="false">N733</f>
        <v>353.29728</v>
      </c>
      <c r="S733" s="41" t="n">
        <f aca="false">R733</f>
        <v>353.29728</v>
      </c>
    </row>
    <row r="734" customFormat="false" ht="15" hidden="false" customHeight="false" outlineLevel="0" collapsed="false">
      <c r="A734" s="4" t="s">
        <v>487</v>
      </c>
      <c r="B734" s="36" t="s">
        <v>485</v>
      </c>
      <c r="C734" s="39" t="n">
        <f aca="false">$C$705*C726+$C$709*C727+$C$713*C728</f>
        <v>24.76992</v>
      </c>
      <c r="D734" s="39" t="n">
        <f aca="false">$C$705*D726+$C$709*D727+$C$713*D728</f>
        <v>49.53984</v>
      </c>
      <c r="E734" s="39" t="n">
        <f aca="false">$C$705*E726+$C$709*E727+$C$713*E728</f>
        <v>49.53984</v>
      </c>
      <c r="F734" s="39" t="n">
        <f aca="false">$C$705*F726+$C$709*F727+$C$713*F728</f>
        <v>49.53984</v>
      </c>
      <c r="G734" s="39" t="n">
        <f aca="false">$C$705*G726+$C$709*G727+$C$713*G728</f>
        <v>49.53984</v>
      </c>
      <c r="H734" s="39" t="n">
        <f aca="false">$C$705*H726+$C$709*H727+$C$713*H728</f>
        <v>49.53984</v>
      </c>
      <c r="I734" s="39" t="n">
        <f aca="false">$C$705*I726+$C$709*I727+$C$713*I728</f>
        <v>61.9248</v>
      </c>
      <c r="J734" s="39" t="n">
        <f aca="false">$C$705*J726+$C$709*J727+$C$713*J728</f>
        <v>74.30976</v>
      </c>
      <c r="K734" s="39" t="n">
        <f aca="false">$C$705*K726+$C$709*K727+$C$713*K728</f>
        <v>74.30976</v>
      </c>
      <c r="L734" s="39" t="n">
        <f aca="false">$C$705*L726+$C$709*L727+$C$713*L728</f>
        <v>74.30976</v>
      </c>
      <c r="M734" s="39" t="n">
        <f aca="false">$C$705*M726+$C$709*M727+$C$713*M728</f>
        <v>74.30976</v>
      </c>
      <c r="N734" s="39" t="n">
        <f aca="false">$C$705*N726+$C$709*N727+$C$713*N728</f>
        <v>74.30976</v>
      </c>
      <c r="P734" s="40" t="n">
        <f aca="false">F734</f>
        <v>49.53984</v>
      </c>
      <c r="Q734" s="40" t="n">
        <f aca="false">J734</f>
        <v>74.30976</v>
      </c>
      <c r="R734" s="40" t="n">
        <f aca="false">N734</f>
        <v>74.30976</v>
      </c>
      <c r="S734" s="41" t="n">
        <f aca="false">R734</f>
        <v>74.30976</v>
      </c>
    </row>
    <row r="735" customFormat="false" ht="15" hidden="false" customHeight="false" outlineLevel="0" collapsed="false">
      <c r="A735" s="4" t="s">
        <v>488</v>
      </c>
      <c r="B735" s="36" t="s">
        <v>485</v>
      </c>
      <c r="C735" s="39" t="n">
        <f aca="false">C732+C733+C734</f>
        <v>551.88772352</v>
      </c>
      <c r="D735" s="39" t="n">
        <f aca="false">D732+D733+D734</f>
        <v>1103.77544704</v>
      </c>
      <c r="E735" s="39" t="n">
        <f aca="false">E732+E733+E734</f>
        <v>1103.77544704</v>
      </c>
      <c r="F735" s="39" t="n">
        <f aca="false">F732+F733+F734</f>
        <v>1103.77544704</v>
      </c>
      <c r="G735" s="39" t="n">
        <f aca="false">G732+G733+G734</f>
        <v>1103.77544704</v>
      </c>
      <c r="H735" s="39" t="n">
        <f aca="false">H732+H733+H734</f>
        <v>1103.77544704</v>
      </c>
      <c r="I735" s="39" t="n">
        <f aca="false">I732+I733+I734</f>
        <v>1493.49950176</v>
      </c>
      <c r="J735" s="39" t="n">
        <f aca="false">J732+J733+J734</f>
        <v>1883.22355648</v>
      </c>
      <c r="K735" s="39" t="n">
        <f aca="false">K732+K733+K734</f>
        <v>1883.22355648</v>
      </c>
      <c r="L735" s="39" t="n">
        <f aca="false">L732+L733+L734</f>
        <v>1883.22355648</v>
      </c>
      <c r="M735" s="39" t="n">
        <f aca="false">M732+M733+M734</f>
        <v>1883.22355648</v>
      </c>
      <c r="N735" s="39" t="n">
        <f aca="false">N732+N733+N734</f>
        <v>1883.22355648</v>
      </c>
      <c r="P735" s="40" t="n">
        <f aca="false">F735</f>
        <v>1103.77544704</v>
      </c>
      <c r="Q735" s="40" t="n">
        <f aca="false">J735</f>
        <v>1883.22355648</v>
      </c>
      <c r="R735" s="40" t="n">
        <f aca="false">N735</f>
        <v>1883.22355648</v>
      </c>
      <c r="S735" s="41" t="n">
        <f aca="false">R735</f>
        <v>1883.22355648</v>
      </c>
    </row>
    <row r="736" customFormat="false" ht="15" hidden="false" customHeight="false" outlineLevel="0" collapsed="false">
      <c r="A736" s="4" t="s">
        <v>489</v>
      </c>
      <c r="B736" s="36" t="s">
        <v>485</v>
      </c>
      <c r="C736" s="39" t="n">
        <f aca="false">$C$706*C726*C729+$C$710*C727*C730+$C$714*C728*C731</f>
        <v>551.88772352</v>
      </c>
      <c r="D736" s="39" t="n">
        <f aca="false">$C$706*D726*D729+$C$710*D727*D730+$C$714*D728*D731</f>
        <v>971.445725724279</v>
      </c>
      <c r="E736" s="39" t="n">
        <f aca="false">$C$706*E726*E729+$C$710*E727*E730+$C$714*E728*E731</f>
        <v>854.980784867713</v>
      </c>
      <c r="F736" s="39" t="n">
        <f aca="false">$C$706*F726*F729+$C$710*F727*F730+$C$714*F728*F731</f>
        <v>752.478623494902</v>
      </c>
      <c r="G736" s="39" t="n">
        <f aca="false">$C$706*G726*G729+$C$710*G727*G730+$C$714*G728*G731</f>
        <v>662.265268224</v>
      </c>
      <c r="H736" s="39" t="n">
        <f aca="false">$C$706*H726*H729+$C$710*H727*H730+$C$714*H728*H731</f>
        <v>582.867435434567</v>
      </c>
      <c r="I736" s="39" t="n">
        <f aca="false">$C$706*I726*I729+$C$710*I727*I730+$C$714*I728*I731</f>
        <v>902.712525640628</v>
      </c>
      <c r="J736" s="39" t="n">
        <f aca="false">$C$706*J726*J729+$C$710*J727*J730+$C$714*J728*J731</f>
        <v>1137.48860343651</v>
      </c>
      <c r="K736" s="39" t="n">
        <f aca="false">$C$706*K726*K729+$C$710*K727*K730+$C$714*K728*K731</f>
        <v>1001.1170703532</v>
      </c>
      <c r="L736" s="39" t="n">
        <f aca="false">$C$706*L726*L729+$C$710*L727*L730+$C$714*L728*L731</f>
        <v>881.094883522065</v>
      </c>
      <c r="M736" s="39" t="n">
        <f aca="false">$C$706*M726*M729+$C$710*M727*M730+$C$714*M728*M731</f>
        <v>775.461948216377</v>
      </c>
      <c r="N736" s="39" t="n">
        <f aca="false">$C$706*N726*N729+$C$710*N727*N730+$C$714*N728*N731</f>
        <v>682.493162061904</v>
      </c>
      <c r="P736" s="40"/>
      <c r="Q736" s="40"/>
      <c r="R736" s="40"/>
      <c r="S736" s="41"/>
    </row>
    <row r="737" customFormat="false" ht="15" hidden="false" customHeight="false" outlineLevel="0" collapsed="false">
      <c r="A737" s="4" t="s">
        <v>490</v>
      </c>
      <c r="B737" s="36" t="s">
        <v>491</v>
      </c>
      <c r="C737" s="48" t="n">
        <f aca="false">$C$718*Assumptions!$D$20*C725*C736</f>
        <v>3.31132634112</v>
      </c>
      <c r="D737" s="48" t="n">
        <f aca="false">$C$718*Assumptions!$D$20*D725*D736</f>
        <v>5.82867435434567</v>
      </c>
      <c r="E737" s="48" t="n">
        <f aca="false">$C$718*Assumptions!$D$20*E725*E736</f>
        <v>5.12988470920628</v>
      </c>
      <c r="F737" s="48" t="n">
        <f aca="false">$C$718*Assumptions!$D$20*F725*F736</f>
        <v>4.51487174096941</v>
      </c>
      <c r="G737" s="48" t="n">
        <f aca="false">$C$718*Assumptions!$D$20*G725*G736</f>
        <v>3.973591609344</v>
      </c>
      <c r="H737" s="48" t="n">
        <f aca="false">$C$718*Assumptions!$D$20*H725*H736</f>
        <v>3.4972046126074</v>
      </c>
      <c r="I737" s="48" t="n">
        <f aca="false">$C$718*Assumptions!$D$20*I725*I736</f>
        <v>5.41627515384377</v>
      </c>
      <c r="J737" s="48" t="n">
        <f aca="false">$C$718*Assumptions!$D$20*J725*J736</f>
        <v>6.82493162061904</v>
      </c>
      <c r="K737" s="48" t="n">
        <f aca="false">$C$718*Assumptions!$D$20*K725*K736</f>
        <v>6.00670242211917</v>
      </c>
      <c r="L737" s="48" t="n">
        <f aca="false">$C$718*Assumptions!$D$20*L725*L736</f>
        <v>5.28656930113239</v>
      </c>
      <c r="M737" s="48" t="n">
        <f aca="false">$C$718*Assumptions!$D$20*M725*M736</f>
        <v>4.65277168929826</v>
      </c>
      <c r="N737" s="48" t="n">
        <f aca="false">$C$718*Assumptions!$D$20*N725*N736</f>
        <v>4.09495897237142</v>
      </c>
      <c r="P737" s="49" t="n">
        <f aca="false">SUM(C737:F737)</f>
        <v>18.7847571456414</v>
      </c>
      <c r="Q737" s="49" t="n">
        <f aca="false">SUM(G737:J737)</f>
        <v>19.7120029964142</v>
      </c>
      <c r="R737" s="49" t="n">
        <f aca="false">SUM(K737:N737)</f>
        <v>20.0410023849212</v>
      </c>
      <c r="S737" s="50" t="n">
        <f aca="false">SUM(P737:R737)</f>
        <v>58.5377625269768</v>
      </c>
    </row>
    <row r="738" customFormat="false" ht="15" hidden="false" customHeight="false" outlineLevel="0" collapsed="false">
      <c r="A738" s="4" t="s">
        <v>492</v>
      </c>
      <c r="B738" s="36" t="s">
        <v>321</v>
      </c>
      <c r="C738" s="48" t="n">
        <f aca="false">Assumptions!$D$112</f>
        <v>2</v>
      </c>
      <c r="D738" s="48" t="n">
        <f aca="false">Assumptions!$E$112</f>
        <v>2</v>
      </c>
      <c r="E738" s="48" t="n">
        <f aca="false">Assumptions!$F$112</f>
        <v>3</v>
      </c>
      <c r="F738" s="48" t="n">
        <f aca="false">Assumptions!$G$112</f>
        <v>3</v>
      </c>
      <c r="G738" s="48" t="n">
        <f aca="false">Assumptions!$H$112</f>
        <v>4</v>
      </c>
      <c r="H738" s="48" t="n">
        <f aca="false">Assumptions!$I$112</f>
        <v>4</v>
      </c>
      <c r="I738" s="48" t="n">
        <f aca="false">Assumptions!$J$112</f>
        <v>5</v>
      </c>
      <c r="J738" s="48" t="n">
        <f aca="false">Assumptions!$K$112</f>
        <v>5</v>
      </c>
      <c r="K738" s="48" t="n">
        <f aca="false">Assumptions!$L$112</f>
        <v>6</v>
      </c>
      <c r="L738" s="48" t="n">
        <f aca="false">Assumptions!$M$112</f>
        <v>6</v>
      </c>
      <c r="M738" s="48" t="n">
        <f aca="false">Assumptions!$N$112</f>
        <v>6</v>
      </c>
      <c r="N738" s="48" t="n">
        <f aca="false">Assumptions!$O$112</f>
        <v>6</v>
      </c>
      <c r="P738" s="49" t="n">
        <f aca="false">F738</f>
        <v>3</v>
      </c>
      <c r="Q738" s="49" t="n">
        <f aca="false">J738</f>
        <v>5</v>
      </c>
      <c r="R738" s="49" t="n">
        <f aca="false">N738</f>
        <v>6</v>
      </c>
      <c r="S738" s="50" t="n">
        <f aca="false">R738</f>
        <v>6</v>
      </c>
    </row>
    <row r="739" customFormat="false" ht="15" hidden="false" customHeight="false" outlineLevel="0" collapsed="false">
      <c r="A739" s="4" t="s">
        <v>493</v>
      </c>
      <c r="B739" s="36" t="s">
        <v>321</v>
      </c>
      <c r="C739" s="48" t="n">
        <f aca="false">0</f>
        <v>0</v>
      </c>
      <c r="D739" s="48" t="n">
        <f aca="false">0.5*C738</f>
        <v>1</v>
      </c>
      <c r="E739" s="48" t="n">
        <f aca="false">C738+0.5*(D738-C738)</f>
        <v>2</v>
      </c>
      <c r="F739" s="48" t="n">
        <f aca="false">D738+0.5*(E738-D738)</f>
        <v>2.5</v>
      </c>
      <c r="G739" s="48" t="n">
        <f aca="false">E738+0.5*(F738-E738)</f>
        <v>3</v>
      </c>
      <c r="H739" s="48" t="n">
        <f aca="false">F738+0.5*(G738-F738)</f>
        <v>3.5</v>
      </c>
      <c r="I739" s="48" t="n">
        <f aca="false">G738+0.5*(H738-G738)</f>
        <v>4</v>
      </c>
      <c r="J739" s="48" t="n">
        <f aca="false">H738+0.5*(I738-H738)</f>
        <v>4.5</v>
      </c>
      <c r="K739" s="48" t="n">
        <f aca="false">I738+0.5*(J738-I738)</f>
        <v>5</v>
      </c>
      <c r="L739" s="48" t="n">
        <f aca="false">J738+0.5*(K738-J738)</f>
        <v>5.5</v>
      </c>
      <c r="M739" s="48" t="n">
        <f aca="false">K738+0.5*(L738-K738)</f>
        <v>6</v>
      </c>
      <c r="N739" s="48" t="n">
        <f aca="false">L738+0.5*(M738-L738)</f>
        <v>6</v>
      </c>
      <c r="P739" s="49" t="n">
        <f aca="false">F739</f>
        <v>2.5</v>
      </c>
      <c r="Q739" s="49" t="n">
        <f aca="false">J739</f>
        <v>4.5</v>
      </c>
      <c r="R739" s="49" t="n">
        <f aca="false">N739</f>
        <v>6</v>
      </c>
      <c r="S739" s="50" t="n">
        <f aca="false">R739</f>
        <v>6</v>
      </c>
    </row>
    <row r="740" customFormat="false" ht="15" hidden="false" customHeight="false" outlineLevel="0" collapsed="false">
      <c r="A740" s="4" t="s">
        <v>494</v>
      </c>
      <c r="B740" s="36" t="s">
        <v>485</v>
      </c>
      <c r="C740" s="39" t="n">
        <f aca="false">MIN(C739*Assumptions!$D$38,C735*(1-$C$718))</f>
        <v>0</v>
      </c>
      <c r="D740" s="39" t="n">
        <f aca="false">MIN(D739*Assumptions!$D$38,D735*(1-$C$718))</f>
        <v>100</v>
      </c>
      <c r="E740" s="39" t="n">
        <f aca="false">MIN(E739*Assumptions!$D$38,E735*(1-$C$718))</f>
        <v>200</v>
      </c>
      <c r="F740" s="39" t="n">
        <f aca="false">MIN(F739*Assumptions!$D$38,F735*(1-$C$718))</f>
        <v>250</v>
      </c>
      <c r="G740" s="39" t="n">
        <f aca="false">MIN(G739*Assumptions!$D$38,G735*(1-$C$718))</f>
        <v>300</v>
      </c>
      <c r="H740" s="39" t="n">
        <f aca="false">MIN(H739*Assumptions!$D$38,H735*(1-$C$718))</f>
        <v>350</v>
      </c>
      <c r="I740" s="39" t="n">
        <f aca="false">MIN(I739*Assumptions!$D$38,I735*(1-$C$718))</f>
        <v>400</v>
      </c>
      <c r="J740" s="39" t="n">
        <f aca="false">MIN(J739*Assumptions!$D$38,J735*(1-$C$718))</f>
        <v>450</v>
      </c>
      <c r="K740" s="39" t="n">
        <f aca="false">MIN(K739*Assumptions!$D$38,K735*(1-$C$718))</f>
        <v>500</v>
      </c>
      <c r="L740" s="39" t="n">
        <f aca="false">MIN(L739*Assumptions!$D$38,L735*(1-$C$718))</f>
        <v>550</v>
      </c>
      <c r="M740" s="39" t="n">
        <f aca="false">MIN(M739*Assumptions!$D$38,M735*(1-$C$718))</f>
        <v>600</v>
      </c>
      <c r="N740" s="39" t="n">
        <f aca="false">MIN(N739*Assumptions!$D$38,N735*(1-$C$718))</f>
        <v>600</v>
      </c>
      <c r="P740" s="40" t="n">
        <f aca="false">SUM(C740:F740)</f>
        <v>550</v>
      </c>
      <c r="Q740" s="40" t="n">
        <f aca="false">SUM(G740:J740)</f>
        <v>1500</v>
      </c>
      <c r="R740" s="40" t="n">
        <f aca="false">SUM(K740:N740)</f>
        <v>2250</v>
      </c>
      <c r="S740" s="41" t="n">
        <f aca="false">SUM(P740:R740)</f>
        <v>4300</v>
      </c>
    </row>
    <row r="741" customFormat="false" ht="15" hidden="false" customHeight="false" outlineLevel="0" collapsed="false">
      <c r="A741" s="4" t="s">
        <v>495</v>
      </c>
      <c r="B741" s="36" t="s">
        <v>491</v>
      </c>
      <c r="C741" s="48" t="n">
        <f aca="false">C740*Assumptions!$D$20*Assumptions!$D$39*IF(C735&gt;0,C736/C735,0)*C725</f>
        <v>0</v>
      </c>
      <c r="D741" s="48" t="n">
        <f aca="false">D740*Assumptions!$D$20*Assumptions!$D$39*IF(D735&gt;0,D736/D735,0)*D725</f>
        <v>2.20027934198348</v>
      </c>
      <c r="E741" s="48" t="n">
        <f aca="false">E740*Assumptions!$D$20*Assumptions!$D$39*IF(E735&gt;0,E736/E735,0)*E725</f>
        <v>3.87298334620742</v>
      </c>
      <c r="F741" s="48" t="n">
        <f aca="false">F740*Assumptions!$D$20*Assumptions!$D$39*IF(F735&gt;0,F736/F735,0)*F725</f>
        <v>4.26082262425312</v>
      </c>
      <c r="G741" s="48" t="n">
        <f aca="false">G740*Assumptions!$D$20*Assumptions!$D$39*IF(G735&gt;0,G736/G735,0)*G725</f>
        <v>4.5</v>
      </c>
      <c r="H741" s="48" t="n">
        <f aca="false">H740*Assumptions!$D$20*Assumptions!$D$39*IF(H735&gt;0,H736/H735,0)*H725</f>
        <v>4.62058661816532</v>
      </c>
      <c r="I741" s="48" t="n">
        <f aca="false">I740*Assumptions!$D$20*Assumptions!$D$39*IF(I735&gt;0,I736/I735,0)*I725</f>
        <v>6.04427738058724</v>
      </c>
      <c r="J741" s="48" t="n">
        <f aca="false">J740*Assumptions!$D$20*Assumptions!$D$39*IF(J735&gt;0,J736/J735,0)*J725</f>
        <v>6.79512888665196</v>
      </c>
      <c r="K741" s="48" t="n">
        <f aca="false">K740*Assumptions!$D$20*Assumptions!$D$39*IF(K735&gt;0,K736/K735,0)*K725</f>
        <v>6.6449696512958</v>
      </c>
      <c r="L741" s="48" t="n">
        <f aca="false">L740*Assumptions!$D$20*Assumptions!$D$39*IF(L735&gt;0,L736/L735,0)*L725</f>
        <v>6.43314735881547</v>
      </c>
      <c r="M741" s="48" t="n">
        <f aca="false">M740*Assumptions!$D$20*Assumptions!$D$39*IF(M735&gt;0,M736/M735,0)*M725</f>
        <v>6.17660563092536</v>
      </c>
      <c r="N741" s="48" t="n">
        <f aca="false">N740*Assumptions!$D$20*Assumptions!$D$39*IF(N735&gt;0,N736/N735,0)*N725</f>
        <v>5.43610310932157</v>
      </c>
      <c r="P741" s="49" t="n">
        <f aca="false">SUM(C741:F741)</f>
        <v>10.334085312444</v>
      </c>
      <c r="Q741" s="49" t="n">
        <f aca="false">SUM(G741:J741)</f>
        <v>21.9599928854045</v>
      </c>
      <c r="R741" s="49" t="n">
        <f aca="false">SUM(K741:N741)</f>
        <v>24.6908257503582</v>
      </c>
      <c r="S741" s="50" t="n">
        <f aca="false">SUM(P741:R741)</f>
        <v>56.9849039482067</v>
      </c>
    </row>
    <row r="742" customFormat="false" ht="15" hidden="false" customHeight="false" outlineLevel="0" collapsed="false">
      <c r="A742" s="4" t="s">
        <v>496</v>
      </c>
      <c r="B742" s="36" t="s">
        <v>497</v>
      </c>
      <c r="C742" s="48" t="n">
        <f aca="false">IF(AND(C735&gt;0,$C$722&gt;0),C735*Assumptions!$D$24*(1-EXP(-$C$722/(Assumptions!$D$23*C735*Assumptions!$D$24))),0)</f>
        <v>16.068160221587</v>
      </c>
      <c r="D742" s="48" t="n">
        <f aca="false">IF(AND(D735&gt;0,$C$722&gt;0),D735*Assumptions!$D$24*(1-EXP(-$C$722/(Assumptions!$D$23*D735*Assumptions!$D$24))),0)</f>
        <v>27.425577604304</v>
      </c>
      <c r="E742" s="48" t="n">
        <f aca="false">IF(AND(E735&gt;0,$C$722&gt;0),E735*Assumptions!$D$24*(1-EXP(-$C$722/(Assumptions!$D$23*E735*Assumptions!$D$24))),0)</f>
        <v>27.425577604304</v>
      </c>
      <c r="F742" s="48" t="n">
        <f aca="false">IF(AND(F735&gt;0,$C$722&gt;0),F735*Assumptions!$D$24*(1-EXP(-$C$722/(Assumptions!$D$23*F735*Assumptions!$D$24))),0)</f>
        <v>27.425577604304</v>
      </c>
      <c r="G742" s="48" t="n">
        <f aca="false">IF(AND(G735&gt;0,$C$722&gt;0),G735*Assumptions!$D$24*(1-EXP(-$C$722/(Assumptions!$D$23*G735*Assumptions!$D$24))),0)</f>
        <v>27.425577604304</v>
      </c>
      <c r="H742" s="48" t="n">
        <f aca="false">IF(AND(H735&gt;0,$C$722&gt;0),H735*Assumptions!$D$24*(1-EXP(-$C$722/(Assumptions!$D$23*H735*Assumptions!$D$24))),0)</f>
        <v>27.425577604304</v>
      </c>
      <c r="I742" s="48" t="n">
        <f aca="false">IF(AND(I735&gt;0,$C$722&gt;0),I735*Assumptions!$D$24*(1-EXP(-$C$722/(Assumptions!$D$23*I735*Assumptions!$D$24))),0)</f>
        <v>32.6178493521727</v>
      </c>
      <c r="J742" s="48" t="n">
        <f aca="false">IF(AND(J735&gt;0,$C$722&gt;0),J735*Assumptions!$D$24*(1-EXP(-$C$722/(Assumptions!$D$23*J735*Assumptions!$D$24))),0)</f>
        <v>36.3775227133995</v>
      </c>
      <c r="K742" s="48" t="n">
        <f aca="false">IF(AND(K735&gt;0,$C$722&gt;0),K735*Assumptions!$D$24*(1-EXP(-$C$722/(Assumptions!$D$23*K735*Assumptions!$D$24))),0)</f>
        <v>36.3775227133995</v>
      </c>
      <c r="L742" s="48" t="n">
        <f aca="false">IF(AND(L735&gt;0,$C$722&gt;0),L735*Assumptions!$D$24*(1-EXP(-$C$722/(Assumptions!$D$23*L735*Assumptions!$D$24))),0)</f>
        <v>36.3775227133995</v>
      </c>
      <c r="M742" s="48" t="n">
        <f aca="false">IF(AND(M735&gt;0,$C$722&gt;0),M735*Assumptions!$D$24*(1-EXP(-$C$722/(Assumptions!$D$23*M735*Assumptions!$D$24))),0)</f>
        <v>36.3775227133995</v>
      </c>
      <c r="N742" s="48" t="n">
        <f aca="false">IF(AND(N735&gt;0,$C$722&gt;0),N735*Assumptions!$D$24*(1-EXP(-$C$722/(Assumptions!$D$23*N735*Assumptions!$D$24))),0)</f>
        <v>36.3775227133995</v>
      </c>
      <c r="P742" s="49" t="n">
        <f aca="false">SUM(C742:F742)</f>
        <v>98.3448930344988</v>
      </c>
      <c r="Q742" s="49" t="n">
        <f aca="false">SUM(G742:J742)</f>
        <v>123.84652727418</v>
      </c>
      <c r="R742" s="49" t="n">
        <f aca="false">SUM(K742:N742)</f>
        <v>145.510090853598</v>
      </c>
      <c r="S742" s="50" t="n">
        <f aca="false">SUM(P742:R742)</f>
        <v>367.701511162277</v>
      </c>
    </row>
    <row r="743" customFormat="false" ht="15" hidden="false" customHeight="false" outlineLevel="0" collapsed="false">
      <c r="A743" s="4" t="s">
        <v>498</v>
      </c>
      <c r="B743" s="36" t="s">
        <v>497</v>
      </c>
      <c r="C743" s="48" t="n">
        <f aca="false">(C735*Assumptions!$D$22*MIN(1,Assumptions!$E$103/Assumptions!$D$78)+C742)*C725</f>
        <v>18.827598839187</v>
      </c>
      <c r="D743" s="48" t="n">
        <f aca="false">(D735*Assumptions!$D$22*MIN(1,Assumptions!$E$103/Assumptions!$D$78)+D742)*D725</f>
        <v>32.944454839504</v>
      </c>
      <c r="E743" s="48" t="n">
        <f aca="false">(E735*Assumptions!$D$22*MIN(1,Assumptions!$E$103/Assumptions!$D$78)+E742)*E725</f>
        <v>32.944454839504</v>
      </c>
      <c r="F743" s="48" t="n">
        <f aca="false">(F735*Assumptions!$D$22*MIN(1,Assumptions!$E$103/Assumptions!$D$78)+F742)*F725</f>
        <v>32.944454839504</v>
      </c>
      <c r="G743" s="48" t="n">
        <f aca="false">(G735*Assumptions!$D$22*MIN(1,Assumptions!$E$103/Assumptions!$D$78)+G742)*G725</f>
        <v>32.944454839504</v>
      </c>
      <c r="H743" s="48" t="n">
        <f aca="false">(H735*Assumptions!$D$22*MIN(1,Assumptions!$E$103/Assumptions!$D$78)+H742)*H725</f>
        <v>32.944454839504</v>
      </c>
      <c r="I743" s="48" t="n">
        <f aca="false">(I735*Assumptions!$D$22*MIN(1,Assumptions!$E$103/Assumptions!$D$78)+I742)*I725</f>
        <v>40.0853468609727</v>
      </c>
      <c r="J743" s="48" t="n">
        <f aca="false">(J735*Assumptions!$D$22*MIN(1,Assumptions!$E$103/Assumptions!$D$78)+J742)*J725</f>
        <v>45.7936404957995</v>
      </c>
      <c r="K743" s="48" t="n">
        <f aca="false">(K735*Assumptions!$D$22*MIN(1,Assumptions!$E$103/Assumptions!$D$78)+K742)*K725</f>
        <v>45.7936404957995</v>
      </c>
      <c r="L743" s="48" t="n">
        <f aca="false">(L735*Assumptions!$D$22*MIN(1,Assumptions!$E$103/Assumptions!$D$78)+L742)*L725</f>
        <v>45.7936404957995</v>
      </c>
      <c r="M743" s="48" t="n">
        <f aca="false">(M735*Assumptions!$D$22*MIN(1,Assumptions!$E$103/Assumptions!$D$78)+M742)*M725</f>
        <v>45.7936404957995</v>
      </c>
      <c r="N743" s="48" t="n">
        <f aca="false">(N735*Assumptions!$D$22*MIN(1,Assumptions!$E$103/Assumptions!$D$78)+N742)*N725</f>
        <v>45.7936404957995</v>
      </c>
      <c r="P743" s="49" t="n">
        <f aca="false">SUM(C743:F743)</f>
        <v>117.660963357699</v>
      </c>
      <c r="Q743" s="49" t="n">
        <f aca="false">SUM(G743:J743)</f>
        <v>151.76789703578</v>
      </c>
      <c r="R743" s="49" t="n">
        <f aca="false">SUM(K743:N743)</f>
        <v>183.174561983198</v>
      </c>
      <c r="S743" s="50" t="n">
        <f aca="false">SUM(P743:R743)</f>
        <v>452.603422376677</v>
      </c>
    </row>
    <row r="744" customFormat="false" ht="15" hidden="false" customHeight="false" outlineLevel="0" collapsed="false">
      <c r="A744" s="4" t="s">
        <v>499</v>
      </c>
      <c r="B744" s="36" t="s">
        <v>500</v>
      </c>
      <c r="C744" s="48" t="n">
        <f aca="false">C725*MIN(Assumptions!$D$27,Assumptions!$D$25+Assumptions!$D$26*(C724-1))*Assumptions!$E$107</f>
        <v>1</v>
      </c>
      <c r="D744" s="48" t="n">
        <f aca="false">D725*MIN(Assumptions!$D$27,Assumptions!$D$25+Assumptions!$D$26*(D724-1))*Assumptions!$E$107</f>
        <v>2</v>
      </c>
      <c r="E744" s="48" t="n">
        <f aca="false">E725*MIN(Assumptions!$D$27,Assumptions!$D$25+Assumptions!$D$26*(E724-1))*Assumptions!$E$107</f>
        <v>3</v>
      </c>
      <c r="F744" s="48" t="n">
        <f aca="false">F725*MIN(Assumptions!$D$27,Assumptions!$D$25+Assumptions!$D$26*(F724-1))*Assumptions!$E$107</f>
        <v>4</v>
      </c>
      <c r="G744" s="48" t="n">
        <f aca="false">G725*MIN(Assumptions!$D$27,Assumptions!$D$25+Assumptions!$D$26*(G724-1))*Assumptions!$E$107</f>
        <v>5</v>
      </c>
      <c r="H744" s="48" t="n">
        <f aca="false">H725*MIN(Assumptions!$D$27,Assumptions!$D$25+Assumptions!$D$26*(H724-1))*Assumptions!$E$107</f>
        <v>5</v>
      </c>
      <c r="I744" s="48" t="n">
        <f aca="false">I725*MIN(Assumptions!$D$27,Assumptions!$D$25+Assumptions!$D$26*(I724-1))*Assumptions!$E$107</f>
        <v>5</v>
      </c>
      <c r="J744" s="48" t="n">
        <f aca="false">J725*MIN(Assumptions!$D$27,Assumptions!$D$25+Assumptions!$D$26*(J724-1))*Assumptions!$E$107</f>
        <v>5</v>
      </c>
      <c r="K744" s="48" t="n">
        <f aca="false">K725*MIN(Assumptions!$D$27,Assumptions!$D$25+Assumptions!$D$26*(K724-1))*Assumptions!$E$107</f>
        <v>5</v>
      </c>
      <c r="L744" s="48" t="n">
        <f aca="false">L725*MIN(Assumptions!$D$27,Assumptions!$D$25+Assumptions!$D$26*(L724-1))*Assumptions!$E$107</f>
        <v>5</v>
      </c>
      <c r="M744" s="48" t="n">
        <f aca="false">M725*MIN(Assumptions!$D$27,Assumptions!$D$25+Assumptions!$D$26*(M724-1))*Assumptions!$E$107</f>
        <v>5</v>
      </c>
      <c r="N744" s="48" t="n">
        <f aca="false">N725*MIN(Assumptions!$D$27,Assumptions!$D$25+Assumptions!$D$26*(N724-1))*Assumptions!$E$107</f>
        <v>5</v>
      </c>
      <c r="P744" s="49" t="n">
        <f aca="false">F744</f>
        <v>4</v>
      </c>
      <c r="Q744" s="49" t="n">
        <f aca="false">J744</f>
        <v>5</v>
      </c>
      <c r="R744" s="49" t="n">
        <f aca="false">N744</f>
        <v>5</v>
      </c>
      <c r="S744" s="50" t="n">
        <f aca="false">R744</f>
        <v>5</v>
      </c>
    </row>
    <row r="745" customFormat="false" ht="15" hidden="false" customHeight="false" outlineLevel="0" collapsed="false">
      <c r="A745" s="4" t="s">
        <v>501</v>
      </c>
      <c r="B745" s="36" t="s">
        <v>502</v>
      </c>
      <c r="C745" s="48" t="n">
        <f aca="false">C744*Assumptions!$D$28</f>
        <v>2</v>
      </c>
      <c r="D745" s="48" t="n">
        <f aca="false">D744*Assumptions!$D$28</f>
        <v>4</v>
      </c>
      <c r="E745" s="48" t="n">
        <f aca="false">E744*Assumptions!$D$28</f>
        <v>6</v>
      </c>
      <c r="F745" s="48" t="n">
        <f aca="false">F744*Assumptions!$D$28</f>
        <v>8</v>
      </c>
      <c r="G745" s="48" t="n">
        <f aca="false">G744*Assumptions!$D$28</f>
        <v>10</v>
      </c>
      <c r="H745" s="48" t="n">
        <f aca="false">H744*Assumptions!$D$28</f>
        <v>10</v>
      </c>
      <c r="I745" s="48" t="n">
        <f aca="false">I744*Assumptions!$D$28</f>
        <v>10</v>
      </c>
      <c r="J745" s="48" t="n">
        <f aca="false">J744*Assumptions!$D$28</f>
        <v>10</v>
      </c>
      <c r="K745" s="48" t="n">
        <f aca="false">K744*Assumptions!$D$28</f>
        <v>10</v>
      </c>
      <c r="L745" s="48" t="n">
        <f aca="false">L744*Assumptions!$D$28</f>
        <v>10</v>
      </c>
      <c r="M745" s="48" t="n">
        <f aca="false">M744*Assumptions!$D$28</f>
        <v>10</v>
      </c>
      <c r="N745" s="48" t="n">
        <f aca="false">N744*Assumptions!$D$28</f>
        <v>10</v>
      </c>
      <c r="P745" s="49" t="n">
        <f aca="false">SUM(C745:F745)</f>
        <v>20</v>
      </c>
      <c r="Q745" s="49" t="n">
        <f aca="false">SUM(G745:J745)</f>
        <v>40</v>
      </c>
      <c r="R745" s="49" t="n">
        <f aca="false">SUM(K745:N745)</f>
        <v>40</v>
      </c>
      <c r="S745" s="50" t="n">
        <f aca="false">SUM(P745:R745)</f>
        <v>100</v>
      </c>
    </row>
    <row r="746" customFormat="false" ht="15" hidden="false" customHeight="false" outlineLevel="0" collapsed="false">
      <c r="A746" s="4" t="s">
        <v>503</v>
      </c>
      <c r="B746" s="36" t="s">
        <v>504</v>
      </c>
      <c r="C746" s="48" t="n">
        <f aca="false">(C737+C741)*Assumptions!$D$29</f>
        <v>0.993397902336</v>
      </c>
      <c r="D746" s="48" t="n">
        <f aca="false">(D737+D741)*Assumptions!$D$29</f>
        <v>2.40868610889875</v>
      </c>
      <c r="E746" s="48" t="n">
        <f aca="false">(E737+E741)*Assumptions!$D$29</f>
        <v>2.70086041662411</v>
      </c>
      <c r="F746" s="48" t="n">
        <f aca="false">(F737+F741)*Assumptions!$D$29</f>
        <v>2.63270830956676</v>
      </c>
      <c r="G746" s="48" t="n">
        <f aca="false">(G737+G741)*Assumptions!$D$29</f>
        <v>2.5420774828032</v>
      </c>
      <c r="H746" s="48" t="n">
        <f aca="false">(H737+H741)*Assumptions!$D$29</f>
        <v>2.43533736923182</v>
      </c>
      <c r="I746" s="48" t="n">
        <f aca="false">(I737+I741)*Assumptions!$D$29</f>
        <v>3.4381657603293</v>
      </c>
      <c r="J746" s="48" t="n">
        <f aca="false">(J737+J741)*Assumptions!$D$29</f>
        <v>4.0860181521813</v>
      </c>
      <c r="K746" s="48" t="n">
        <f aca="false">(K737+K741)*Assumptions!$D$29</f>
        <v>3.79550162202449</v>
      </c>
      <c r="L746" s="48" t="n">
        <f aca="false">(L737+L741)*Assumptions!$D$29</f>
        <v>3.51591499798436</v>
      </c>
      <c r="M746" s="48" t="n">
        <f aca="false">(M737+M741)*Assumptions!$D$29</f>
        <v>3.24881319606709</v>
      </c>
      <c r="N746" s="48" t="n">
        <f aca="false">(N737+N741)*Assumptions!$D$29</f>
        <v>2.8593186245079</v>
      </c>
      <c r="P746" s="49" t="n">
        <f aca="false">SUM(C746:F746)</f>
        <v>8.73565273742562</v>
      </c>
      <c r="Q746" s="49" t="n">
        <f aca="false">SUM(G746:J746)</f>
        <v>12.5015987645456</v>
      </c>
      <c r="R746" s="49" t="n">
        <f aca="false">SUM(K746:N746)</f>
        <v>13.4195484405838</v>
      </c>
      <c r="S746" s="50" t="n">
        <f aca="false">SUM(P746:R746)</f>
        <v>34.6567999425551</v>
      </c>
    </row>
    <row r="747" customFormat="false" ht="15" hidden="false" customHeight="false" outlineLevel="0" collapsed="false">
      <c r="A747" s="4" t="s">
        <v>505</v>
      </c>
      <c r="B747" s="36" t="s">
        <v>504</v>
      </c>
      <c r="C747" s="48" t="n">
        <f aca="false">C743*Assumptions!$D$31</f>
        <v>1.8827598839187</v>
      </c>
      <c r="D747" s="48" t="n">
        <f aca="false">D743*Assumptions!$D$31</f>
        <v>3.2944454839504</v>
      </c>
      <c r="E747" s="48" t="n">
        <f aca="false">E743*Assumptions!$D$31</f>
        <v>3.2944454839504</v>
      </c>
      <c r="F747" s="48" t="n">
        <f aca="false">F743*Assumptions!$D$31</f>
        <v>3.2944454839504</v>
      </c>
      <c r="G747" s="48" t="n">
        <f aca="false">G743*Assumptions!$D$31</f>
        <v>3.2944454839504</v>
      </c>
      <c r="H747" s="48" t="n">
        <f aca="false">H743*Assumptions!$D$31</f>
        <v>3.2944454839504</v>
      </c>
      <c r="I747" s="48" t="n">
        <f aca="false">I743*Assumptions!$D$31</f>
        <v>4.00853468609727</v>
      </c>
      <c r="J747" s="48" t="n">
        <f aca="false">J743*Assumptions!$D$31</f>
        <v>4.57936404957995</v>
      </c>
      <c r="K747" s="48" t="n">
        <f aca="false">K743*Assumptions!$D$31</f>
        <v>4.57936404957995</v>
      </c>
      <c r="L747" s="48" t="n">
        <f aca="false">L743*Assumptions!$D$31</f>
        <v>4.57936404957995</v>
      </c>
      <c r="M747" s="48" t="n">
        <f aca="false">M743*Assumptions!$D$31</f>
        <v>4.57936404957995</v>
      </c>
      <c r="N747" s="48" t="n">
        <f aca="false">N743*Assumptions!$D$31</f>
        <v>4.57936404957995</v>
      </c>
      <c r="P747" s="49" t="n">
        <f aca="false">SUM(C747:F747)</f>
        <v>11.7660963357699</v>
      </c>
      <c r="Q747" s="49" t="n">
        <f aca="false">SUM(G747:J747)</f>
        <v>15.176789703578</v>
      </c>
      <c r="R747" s="49" t="n">
        <f aca="false">SUM(K747:N747)</f>
        <v>18.3174561983198</v>
      </c>
      <c r="S747" s="50" t="n">
        <f aca="false">SUM(P747:R747)</f>
        <v>45.2603422376677</v>
      </c>
    </row>
    <row r="748" customFormat="false" ht="15" hidden="false" customHeight="false" outlineLevel="0" collapsed="false">
      <c r="A748" s="4" t="s">
        <v>506</v>
      </c>
      <c r="B748" s="36" t="s">
        <v>504</v>
      </c>
      <c r="C748" s="48" t="n">
        <f aca="false">C745*Assumptions!$D$30</f>
        <v>0.8</v>
      </c>
      <c r="D748" s="48" t="n">
        <f aca="false">D745*Assumptions!$D$30</f>
        <v>1.6</v>
      </c>
      <c r="E748" s="48" t="n">
        <f aca="false">E745*Assumptions!$D$30</f>
        <v>2.4</v>
      </c>
      <c r="F748" s="48" t="n">
        <f aca="false">F745*Assumptions!$D$30</f>
        <v>3.2</v>
      </c>
      <c r="G748" s="48" t="n">
        <f aca="false">G745*Assumptions!$D$30</f>
        <v>4</v>
      </c>
      <c r="H748" s="48" t="n">
        <f aca="false">H745*Assumptions!$D$30</f>
        <v>4</v>
      </c>
      <c r="I748" s="48" t="n">
        <f aca="false">I745*Assumptions!$D$30</f>
        <v>4</v>
      </c>
      <c r="J748" s="48" t="n">
        <f aca="false">J745*Assumptions!$D$30</f>
        <v>4</v>
      </c>
      <c r="K748" s="48" t="n">
        <f aca="false">K745*Assumptions!$D$30</f>
        <v>4</v>
      </c>
      <c r="L748" s="48" t="n">
        <f aca="false">L745*Assumptions!$D$30</f>
        <v>4</v>
      </c>
      <c r="M748" s="48" t="n">
        <f aca="false">M745*Assumptions!$D$30</f>
        <v>4</v>
      </c>
      <c r="N748" s="48" t="n">
        <f aca="false">N745*Assumptions!$D$30</f>
        <v>4</v>
      </c>
      <c r="P748" s="49" t="n">
        <f aca="false">SUM(C748:F748)</f>
        <v>8</v>
      </c>
      <c r="Q748" s="49" t="n">
        <f aca="false">SUM(G748:J748)</f>
        <v>16</v>
      </c>
      <c r="R748" s="49" t="n">
        <f aca="false">SUM(K748:N748)</f>
        <v>16</v>
      </c>
      <c r="S748" s="50" t="n">
        <f aca="false">SUM(P748:R748)</f>
        <v>40</v>
      </c>
    </row>
    <row r="749" customFormat="false" ht="15" hidden="false" customHeight="false" outlineLevel="0" collapsed="false">
      <c r="A749" s="9" t="s">
        <v>507</v>
      </c>
      <c r="B749" s="36" t="s">
        <v>504</v>
      </c>
      <c r="C749" s="49" t="n">
        <f aca="false">C746+C747+C748</f>
        <v>3.6761577862547</v>
      </c>
      <c r="D749" s="49" t="n">
        <f aca="false">D746+D747+D748</f>
        <v>7.30313159284914</v>
      </c>
      <c r="E749" s="49" t="n">
        <f aca="false">E746+E747+E748</f>
        <v>8.39530590057451</v>
      </c>
      <c r="F749" s="49" t="n">
        <f aca="false">F746+F747+F748</f>
        <v>9.12715379351716</v>
      </c>
      <c r="G749" s="49" t="n">
        <f aca="false">G746+G747+G748</f>
        <v>9.8365229667536</v>
      </c>
      <c r="H749" s="49" t="n">
        <f aca="false">H746+H747+H748</f>
        <v>9.72978285318221</v>
      </c>
      <c r="I749" s="49" t="n">
        <f aca="false">I746+I747+I748</f>
        <v>11.4467004464266</v>
      </c>
      <c r="J749" s="49" t="n">
        <f aca="false">J746+J747+J748</f>
        <v>12.6653822017613</v>
      </c>
      <c r="K749" s="49" t="n">
        <f aca="false">K746+K747+K748</f>
        <v>12.3748656716044</v>
      </c>
      <c r="L749" s="49" t="n">
        <f aca="false">L746+L747+L748</f>
        <v>12.0952790475643</v>
      </c>
      <c r="M749" s="49" t="n">
        <f aca="false">M746+M747+M748</f>
        <v>11.828177245647</v>
      </c>
      <c r="N749" s="49" t="n">
        <f aca="false">N746+N747+N748</f>
        <v>11.4386826740878</v>
      </c>
      <c r="P749" s="49" t="n">
        <f aca="false">SUM(C749:F749)</f>
        <v>28.5017490731955</v>
      </c>
      <c r="Q749" s="49" t="n">
        <f aca="false">SUM(G749:J749)</f>
        <v>43.6783884681236</v>
      </c>
      <c r="R749" s="49" t="n">
        <f aca="false">SUM(K749:N749)</f>
        <v>47.7370046389036</v>
      </c>
      <c r="S749" s="50" t="n">
        <f aca="false">SUM(P749:R749)</f>
        <v>119.917142180223</v>
      </c>
    </row>
    <row r="750" customFormat="false" ht="15" hidden="false" customHeight="false" outlineLevel="0" collapsed="false">
      <c r="A750" s="4" t="s">
        <v>508</v>
      </c>
      <c r="B750" s="36" t="s">
        <v>509</v>
      </c>
      <c r="C750" s="48" t="n">
        <f aca="false">C732</f>
        <v>421.51972352</v>
      </c>
      <c r="D750" s="48" t="n">
        <f aca="false">D732</f>
        <v>843.03944704</v>
      </c>
      <c r="E750" s="48" t="n">
        <f aca="false">E732</f>
        <v>843.03944704</v>
      </c>
      <c r="F750" s="48" t="n">
        <f aca="false">F732</f>
        <v>843.03944704</v>
      </c>
      <c r="G750" s="48" t="n">
        <f aca="false">G732</f>
        <v>843.03944704</v>
      </c>
      <c r="H750" s="48" t="n">
        <f aca="false">H732</f>
        <v>843.03944704</v>
      </c>
      <c r="I750" s="48" t="n">
        <f aca="false">I732</f>
        <v>1149.32798176</v>
      </c>
      <c r="J750" s="48" t="n">
        <f aca="false">J732</f>
        <v>1455.61651648</v>
      </c>
      <c r="K750" s="48" t="n">
        <f aca="false">K732</f>
        <v>1455.61651648</v>
      </c>
      <c r="L750" s="48" t="n">
        <f aca="false">L732</f>
        <v>1455.61651648</v>
      </c>
      <c r="M750" s="48" t="n">
        <f aca="false">M732</f>
        <v>1455.61651648</v>
      </c>
      <c r="N750" s="48" t="n">
        <f aca="false">N732</f>
        <v>1455.61651648</v>
      </c>
      <c r="P750" s="49"/>
      <c r="Q750" s="49"/>
      <c r="R750" s="49"/>
      <c r="S750" s="50"/>
    </row>
    <row r="751" customFormat="false" ht="15" hidden="false" customHeight="false" outlineLevel="0" collapsed="false">
      <c r="A751" s="4" t="s">
        <v>510</v>
      </c>
      <c r="B751" s="36" t="s">
        <v>509</v>
      </c>
      <c r="C751" s="48" t="n">
        <f aca="false">C733*Assumptions!$D$18*Assumptions!$D$33</f>
        <v>211.19616</v>
      </c>
      <c r="D751" s="48" t="n">
        <f aca="false">D733*Assumptions!$D$18*Assumptions!$D$33</f>
        <v>422.39232</v>
      </c>
      <c r="E751" s="48" t="n">
        <f aca="false">E733*Assumptions!$D$18*Assumptions!$D$33</f>
        <v>422.39232</v>
      </c>
      <c r="F751" s="48" t="n">
        <f aca="false">F733*Assumptions!$D$18*Assumptions!$D$33</f>
        <v>422.39232</v>
      </c>
      <c r="G751" s="48" t="n">
        <f aca="false">G733*Assumptions!$D$18*Assumptions!$D$33</f>
        <v>422.39232</v>
      </c>
      <c r="H751" s="48" t="n">
        <f aca="false">H733*Assumptions!$D$18*Assumptions!$D$33</f>
        <v>422.39232</v>
      </c>
      <c r="I751" s="48" t="n">
        <f aca="false">I733*Assumptions!$D$18*Assumptions!$D$33</f>
        <v>564.49344</v>
      </c>
      <c r="J751" s="48" t="n">
        <f aca="false">J733*Assumptions!$D$18*Assumptions!$D$33</f>
        <v>706.59456</v>
      </c>
      <c r="K751" s="48" t="n">
        <f aca="false">K733*Assumptions!$D$18*Assumptions!$D$33</f>
        <v>706.59456</v>
      </c>
      <c r="L751" s="48" t="n">
        <f aca="false">L733*Assumptions!$D$18*Assumptions!$D$33</f>
        <v>706.59456</v>
      </c>
      <c r="M751" s="48" t="n">
        <f aca="false">M733*Assumptions!$D$18*Assumptions!$D$33</f>
        <v>706.59456</v>
      </c>
      <c r="N751" s="48" t="n">
        <f aca="false">N733*Assumptions!$D$18*Assumptions!$D$33</f>
        <v>706.59456</v>
      </c>
      <c r="P751" s="49"/>
      <c r="Q751" s="49"/>
      <c r="R751" s="49"/>
      <c r="S751" s="50"/>
    </row>
    <row r="752" customFormat="false" ht="15" hidden="false" customHeight="false" outlineLevel="0" collapsed="false">
      <c r="A752" s="4" t="s">
        <v>511</v>
      </c>
      <c r="B752" s="36" t="s">
        <v>509</v>
      </c>
      <c r="C752" s="48" t="n">
        <f aca="false">C734*Assumptions!$D$19*Assumptions!$D$34</f>
        <v>24.76992</v>
      </c>
      <c r="D752" s="48" t="n">
        <f aca="false">D734*Assumptions!$D$19*Assumptions!$D$34</f>
        <v>49.53984</v>
      </c>
      <c r="E752" s="48" t="n">
        <f aca="false">E734*Assumptions!$D$19*Assumptions!$D$34</f>
        <v>49.53984</v>
      </c>
      <c r="F752" s="48" t="n">
        <f aca="false">F734*Assumptions!$D$19*Assumptions!$D$34</f>
        <v>49.53984</v>
      </c>
      <c r="G752" s="48" t="n">
        <f aca="false">G734*Assumptions!$D$19*Assumptions!$D$34</f>
        <v>49.53984</v>
      </c>
      <c r="H752" s="48" t="n">
        <f aca="false">H734*Assumptions!$D$19*Assumptions!$D$34</f>
        <v>49.53984</v>
      </c>
      <c r="I752" s="48" t="n">
        <f aca="false">I734*Assumptions!$D$19*Assumptions!$D$34</f>
        <v>61.9248</v>
      </c>
      <c r="J752" s="48" t="n">
        <f aca="false">J734*Assumptions!$D$19*Assumptions!$D$34</f>
        <v>74.30976</v>
      </c>
      <c r="K752" s="48" t="n">
        <f aca="false">K734*Assumptions!$D$19*Assumptions!$D$34</f>
        <v>74.30976</v>
      </c>
      <c r="L752" s="48" t="n">
        <f aca="false">L734*Assumptions!$D$19*Assumptions!$D$34</f>
        <v>74.30976</v>
      </c>
      <c r="M752" s="48" t="n">
        <f aca="false">M734*Assumptions!$D$19*Assumptions!$D$34</f>
        <v>74.30976</v>
      </c>
      <c r="N752" s="48" t="n">
        <f aca="false">N734*Assumptions!$D$19*Assumptions!$D$34</f>
        <v>74.30976</v>
      </c>
      <c r="P752" s="49"/>
      <c r="Q752" s="49"/>
      <c r="R752" s="49"/>
      <c r="S752" s="50"/>
    </row>
    <row r="753" customFormat="false" ht="15" hidden="false" customHeight="false" outlineLevel="0" collapsed="false">
      <c r="A753" s="4" t="s">
        <v>512</v>
      </c>
      <c r="B753" s="36" t="s">
        <v>77</v>
      </c>
      <c r="C753" s="51" t="n">
        <f aca="false">IFERROR(C750/(C750+C751+C752),0)</f>
        <v>0.641108479093082</v>
      </c>
      <c r="D753" s="51" t="n">
        <f aca="false">IFERROR(D750/(D750+D751+D752),0)</f>
        <v>0.641108479093082</v>
      </c>
      <c r="E753" s="51" t="n">
        <f aca="false">IFERROR(E750/(E750+E751+E752),0)</f>
        <v>0.641108479093082</v>
      </c>
      <c r="F753" s="51" t="n">
        <f aca="false">IFERROR(F750/(F750+F751+F752),0)</f>
        <v>0.641108479093082</v>
      </c>
      <c r="G753" s="51" t="n">
        <f aca="false">IFERROR(G750/(G750+G751+G752),0)</f>
        <v>0.641108479093082</v>
      </c>
      <c r="H753" s="51" t="n">
        <f aca="false">IFERROR(H750/(H750+H751+H752),0)</f>
        <v>0.641108479093082</v>
      </c>
      <c r="I753" s="51" t="n">
        <f aca="false">IFERROR(I750/(I750+I751+I752),0)</f>
        <v>0.647236619555278</v>
      </c>
      <c r="J753" s="51" t="n">
        <f aca="false">IFERROR(J750/(J750+J751+J752),0)</f>
        <v>0.650839684896903</v>
      </c>
      <c r="K753" s="51" t="n">
        <f aca="false">IFERROR(K750/(K750+K751+K752),0)</f>
        <v>0.650839684896903</v>
      </c>
      <c r="L753" s="51" t="n">
        <f aca="false">IFERROR(L750/(L750+L751+L752),0)</f>
        <v>0.650839684896903</v>
      </c>
      <c r="M753" s="51" t="n">
        <f aca="false">IFERROR(M750/(M750+M751+M752),0)</f>
        <v>0.650839684896903</v>
      </c>
      <c r="N753" s="51" t="n">
        <f aca="false">IFERROR(N750/(N750+N751+N752),0)</f>
        <v>0.650839684896903</v>
      </c>
      <c r="P753" s="52"/>
      <c r="Q753" s="52"/>
      <c r="R753" s="52"/>
      <c r="S753" s="53"/>
    </row>
    <row r="754" customFormat="false" ht="15" hidden="false" customHeight="false" outlineLevel="0" collapsed="false">
      <c r="A754" s="4" t="s">
        <v>513</v>
      </c>
      <c r="B754" s="36" t="s">
        <v>77</v>
      </c>
      <c r="C754" s="51" t="n">
        <f aca="false">IFERROR(C751/(C750+C751+C752),0)</f>
        <v>0.321217825342104</v>
      </c>
      <c r="D754" s="51" t="n">
        <f aca="false">IFERROR(D751/(D750+D751+D752),0)</f>
        <v>0.321217825342104</v>
      </c>
      <c r="E754" s="51" t="n">
        <f aca="false">IFERROR(E751/(E750+E751+E752),0)</f>
        <v>0.321217825342104</v>
      </c>
      <c r="F754" s="51" t="n">
        <f aca="false">IFERROR(F751/(F750+F751+F752),0)</f>
        <v>0.321217825342104</v>
      </c>
      <c r="G754" s="51" t="n">
        <f aca="false">IFERROR(G751/(G750+G751+G752),0)</f>
        <v>0.321217825342104</v>
      </c>
      <c r="H754" s="51" t="n">
        <f aca="false">IFERROR(H751/(H750+H751+H752),0)</f>
        <v>0.321217825342104</v>
      </c>
      <c r="I754" s="51" t="n">
        <f aca="false">IFERROR(I751/(I750+I751+I752),0)</f>
        <v>0.317890829828438</v>
      </c>
      <c r="J754" s="51" t="n">
        <f aca="false">IFERROR(J751/(J750+J751+J752),0)</f>
        <v>0.315934709158395</v>
      </c>
      <c r="K754" s="51" t="n">
        <f aca="false">IFERROR(K751/(K750+K751+K752),0)</f>
        <v>0.315934709158395</v>
      </c>
      <c r="L754" s="51" t="n">
        <f aca="false">IFERROR(L751/(L750+L751+L752),0)</f>
        <v>0.315934709158395</v>
      </c>
      <c r="M754" s="51" t="n">
        <f aca="false">IFERROR(M751/(M750+M751+M752),0)</f>
        <v>0.315934709158395</v>
      </c>
      <c r="N754" s="51" t="n">
        <f aca="false">IFERROR(N751/(N750+N751+N752),0)</f>
        <v>0.315934709158395</v>
      </c>
      <c r="P754" s="52"/>
      <c r="Q754" s="52"/>
      <c r="R754" s="52"/>
      <c r="S754" s="53"/>
    </row>
    <row r="755" customFormat="false" ht="15" hidden="false" customHeight="false" outlineLevel="0" collapsed="false">
      <c r="A755" s="4" t="s">
        <v>514</v>
      </c>
      <c r="B755" s="36" t="s">
        <v>77</v>
      </c>
      <c r="C755" s="51" t="n">
        <f aca="false">IFERROR(C752/(C750+C751+C752),0)</f>
        <v>0.0376736955648146</v>
      </c>
      <c r="D755" s="51" t="n">
        <f aca="false">IFERROR(D752/(D750+D751+D752),0)</f>
        <v>0.0376736955648146</v>
      </c>
      <c r="E755" s="51" t="n">
        <f aca="false">IFERROR(E752/(E750+E751+E752),0)</f>
        <v>0.0376736955648146</v>
      </c>
      <c r="F755" s="51" t="n">
        <f aca="false">IFERROR(F752/(F750+F751+F752),0)</f>
        <v>0.0376736955648146</v>
      </c>
      <c r="G755" s="51" t="n">
        <f aca="false">IFERROR(G752/(G750+G751+G752),0)</f>
        <v>0.0376736955648146</v>
      </c>
      <c r="H755" s="51" t="n">
        <f aca="false">IFERROR(H752/(H750+H751+H752),0)</f>
        <v>0.0376736955648146</v>
      </c>
      <c r="I755" s="51" t="n">
        <f aca="false">IFERROR(I752/(I750+I751+I752),0)</f>
        <v>0.0348725506162836</v>
      </c>
      <c r="J755" s="51" t="n">
        <f aca="false">IFERROR(J752/(J750+J751+J752),0)</f>
        <v>0.0332256059447021</v>
      </c>
      <c r="K755" s="51" t="n">
        <f aca="false">IFERROR(K752/(K750+K751+K752),0)</f>
        <v>0.0332256059447021</v>
      </c>
      <c r="L755" s="51" t="n">
        <f aca="false">IFERROR(L752/(L750+L751+L752),0)</f>
        <v>0.0332256059447021</v>
      </c>
      <c r="M755" s="51" t="n">
        <f aca="false">IFERROR(M752/(M750+M751+M752),0)</f>
        <v>0.0332256059447021</v>
      </c>
      <c r="N755" s="51" t="n">
        <f aca="false">IFERROR(N752/(N750+N751+N752),0)</f>
        <v>0.0332256059447021</v>
      </c>
      <c r="P755" s="52"/>
      <c r="Q755" s="52"/>
      <c r="R755" s="52"/>
      <c r="S755" s="53"/>
    </row>
    <row r="756" customFormat="false" ht="15" hidden="false" customHeight="false" outlineLevel="0" collapsed="false">
      <c r="A756" s="4" t="s">
        <v>515</v>
      </c>
      <c r="B756" s="36" t="s">
        <v>516</v>
      </c>
      <c r="C756" s="48" t="n">
        <f aca="false">IF(C724-Assumptions!$D$35&lt;1,0,INDEX($C$749:$N$749,1,C724-Assumptions!$D$35)*INDEX($C$753:$N$753,1,C724-Assumptions!$D$35)*Assumptions!$D$32)</f>
        <v>0</v>
      </c>
      <c r="D756" s="48" t="n">
        <f aca="false">IF(D724-Assumptions!$D$35&lt;1,0,INDEX($C$749:$N$749,1,D724-Assumptions!$D$35)*INDEX($C$753:$N$753,1,D724-Assumptions!$D$35)*Assumptions!$D$32)</f>
        <v>0.353522389087791</v>
      </c>
      <c r="E756" s="48" t="n">
        <f aca="false">IF(E724-Assumptions!$D$35&lt;1,0,INDEX($C$749:$N$749,1,E724-Assumptions!$D$35)*INDEX($C$753:$N$753,1,E724-Assumptions!$D$35)*Assumptions!$D$32)</f>
        <v>0.702314938216223</v>
      </c>
      <c r="F756" s="48" t="n">
        <f aca="false">IF(F724-Assumptions!$D$35&lt;1,0,INDEX($C$749:$N$749,1,F724-Assumptions!$D$35)*INDEX($C$753:$N$753,1,F724-Assumptions!$D$35)*Assumptions!$D$32)</f>
        <v>0.807345269615775</v>
      </c>
      <c r="G756" s="48" t="n">
        <f aca="false">IF(G724-Assumptions!$D$35&lt;1,0,INDEX($C$749:$N$749,1,G724-Assumptions!$D$35)*INDEX($C$753:$N$753,1,G724-Assumptions!$D$35)*Assumptions!$D$32)</f>
        <v>0.877724353051566</v>
      </c>
      <c r="H756" s="48" t="n">
        <f aca="false">IF(H724-Assumptions!$D$35&lt;1,0,INDEX($C$749:$N$749,1,H724-Assumptions!$D$35)*INDEX($C$753:$N$753,1,H724-Assumptions!$D$35)*Assumptions!$D$32)</f>
        <v>0.945941741816935</v>
      </c>
      <c r="I756" s="48" t="n">
        <f aca="false">IF(I724-Assumptions!$D$35&lt;1,0,INDEX($C$749:$N$749,1,I724-Assumptions!$D$35)*INDEX($C$753:$N$753,1,I724-Assumptions!$D$35)*Assumptions!$D$32)</f>
        <v>0.935676943036439</v>
      </c>
      <c r="J756" s="48" t="n">
        <f aca="false">IF(J724-Assumptions!$D$35&lt;1,0,INDEX($C$749:$N$749,1,J724-Assumptions!$D$35)*INDEX($C$753:$N$753,1,J724-Assumptions!$D$35)*Assumptions!$D$32)</f>
        <v>1.11130855530105</v>
      </c>
      <c r="K756" s="48" t="n">
        <f aca="false">IF(K724-Assumptions!$D$35&lt;1,0,INDEX($C$749:$N$749,1,K724-Assumptions!$D$35)*INDEX($C$753:$N$753,1,K724-Assumptions!$D$35)*Assumptions!$D$32)</f>
        <v>1.23647000419397</v>
      </c>
      <c r="L756" s="48" t="n">
        <f aca="false">IF(L724-Assumptions!$D$35&lt;1,0,INDEX($C$749:$N$749,1,L724-Assumptions!$D$35)*INDEX($C$753:$N$753,1,L724-Assumptions!$D$35)*Assumptions!$D$32)</f>
        <v>1.20810805115228</v>
      </c>
      <c r="M756" s="48" t="n">
        <f aca="false">IF(M724-Assumptions!$D$35&lt;1,0,INDEX($C$749:$N$749,1,M724-Assumptions!$D$35)*INDEX($C$753:$N$753,1,M724-Assumptions!$D$35)*Assumptions!$D$32)</f>
        <v>1.18081314060853</v>
      </c>
      <c r="N756" s="48" t="n">
        <f aca="false">IF(N724-Assumptions!$D$35&lt;1,0,INDEX($C$749:$N$749,1,N724-Assumptions!$D$35)*INDEX($C$753:$N$753,1,N724-Assumptions!$D$35)*Assumptions!$D$32)</f>
        <v>1.15473707271924</v>
      </c>
      <c r="P756" s="49" t="n">
        <f aca="false">SUM(C756:F756)</f>
        <v>1.86318259691979</v>
      </c>
      <c r="Q756" s="49" t="n">
        <f aca="false">SUM(G756:J756)</f>
        <v>3.87065159320599</v>
      </c>
      <c r="R756" s="49" t="n">
        <f aca="false">SUM(K756:N756)</f>
        <v>4.78012826867402</v>
      </c>
      <c r="S756" s="50" t="n">
        <f aca="false">SUM(P756:R756)</f>
        <v>10.5139624587998</v>
      </c>
    </row>
    <row r="757" customFormat="false" ht="15" hidden="false" customHeight="false" outlineLevel="0" collapsed="false">
      <c r="A757" s="4" t="s">
        <v>517</v>
      </c>
      <c r="B757" s="36" t="s">
        <v>516</v>
      </c>
      <c r="C757" s="48" t="n">
        <f aca="false">IF(C724-Assumptions!$D$35&lt;1,0,INDEX($C$749:$N$749,1,C724-Assumptions!$D$35)*INDEX($C$754:$N$754,1,C724-Assumptions!$D$35)*Assumptions!$D$32)</f>
        <v>0</v>
      </c>
      <c r="D757" s="48" t="n">
        <f aca="false">IF(D724-Assumptions!$D$35&lt;1,0,INDEX($C$749:$N$749,1,D724-Assumptions!$D$35)*INDEX($C$754:$N$754,1,D724-Assumptions!$D$35)*Assumptions!$D$32)</f>
        <v>0.177127111457276</v>
      </c>
      <c r="E757" s="48" t="n">
        <f aca="false">IF(E724-Assumptions!$D$35&lt;1,0,INDEX($C$749:$N$749,1,E724-Assumptions!$D$35)*INDEX($C$754:$N$754,1,E724-Assumptions!$D$35)*Assumptions!$D$32)</f>
        <v>0.351884407266332</v>
      </c>
      <c r="F757" s="48" t="n">
        <f aca="false">IF(F724-Assumptions!$D$35&lt;1,0,INDEX($C$749:$N$749,1,F724-Assumptions!$D$35)*INDEX($C$754:$N$754,1,F724-Assumptions!$D$35)*Assumptions!$D$32)</f>
        <v>0.404508285669641</v>
      </c>
      <c r="G757" s="48" t="n">
        <f aca="false">IF(G724-Assumptions!$D$35&lt;1,0,INDEX($C$749:$N$749,1,G724-Assumptions!$D$35)*INDEX($C$754:$N$754,1,G724-Assumptions!$D$35)*Assumptions!$D$32)</f>
        <v>0.439770673967477</v>
      </c>
      <c r="H757" s="48" t="n">
        <f aca="false">IF(H724-Assumptions!$D$35&lt;1,0,INDEX($C$749:$N$749,1,H724-Assumptions!$D$35)*INDEX($C$754:$N$754,1,H724-Assumptions!$D$35)*Assumptions!$D$32)</f>
        <v>0.473949977446237</v>
      </c>
      <c r="I757" s="48" t="n">
        <f aca="false">IF(I724-Assumptions!$D$35&lt;1,0,INDEX($C$749:$N$749,1,I724-Assumptions!$D$35)*INDEX($C$754:$N$754,1,I724-Assumptions!$D$35)*Assumptions!$D$32)</f>
        <v>0.468806953372512</v>
      </c>
      <c r="J757" s="48" t="n">
        <f aca="false">IF(J724-Assumptions!$D$35&lt;1,0,INDEX($C$749:$N$749,1,J724-Assumptions!$D$35)*INDEX($C$754:$N$754,1,J724-Assumptions!$D$35)*Assumptions!$D$32)</f>
        <v>0.545820165556815</v>
      </c>
      <c r="K757" s="48" t="n">
        <f aca="false">IF(K724-Assumptions!$D$35&lt;1,0,INDEX($C$749:$N$749,1,K724-Assumptions!$D$35)*INDEX($C$754:$N$754,1,K724-Assumptions!$D$35)*Assumptions!$D$32)</f>
        <v>0.600215076344004</v>
      </c>
      <c r="L757" s="48" t="n">
        <f aca="false">IF(L724-Assumptions!$D$35&lt;1,0,INDEX($C$749:$N$749,1,L724-Assumptions!$D$35)*INDEX($C$754:$N$754,1,L724-Assumptions!$D$35)*Assumptions!$D$32)</f>
        <v>0.586447438024884</v>
      </c>
      <c r="M757" s="48" t="n">
        <f aca="false">IF(M724-Assumptions!$D$35&lt;1,0,INDEX($C$749:$N$749,1,M724-Assumptions!$D$35)*INDEX($C$754:$N$754,1,M724-Assumptions!$D$35)*Assumptions!$D$32)</f>
        <v>0.573197770212279</v>
      </c>
      <c r="N757" s="48" t="n">
        <f aca="false">IF(N724-Assumptions!$D$35&lt;1,0,INDEX($C$749:$N$749,1,N724-Assumptions!$D$35)*INDEX($C$754:$N$754,1,N724-Assumptions!$D$35)*Assumptions!$D$32)</f>
        <v>0.560539760696617</v>
      </c>
      <c r="P757" s="49" t="n">
        <f aca="false">SUM(C757:F757)</f>
        <v>0.93351980439325</v>
      </c>
      <c r="Q757" s="49" t="n">
        <f aca="false">SUM(G757:J757)</f>
        <v>1.92834777034304</v>
      </c>
      <c r="R757" s="49" t="n">
        <f aca="false">SUM(K757:N757)</f>
        <v>2.32040004527778</v>
      </c>
      <c r="S757" s="50" t="n">
        <f aca="false">SUM(P757:R757)</f>
        <v>5.18226762001407</v>
      </c>
    </row>
    <row r="758" customFormat="false" ht="15" hidden="false" customHeight="false" outlineLevel="0" collapsed="false">
      <c r="A758" s="4" t="s">
        <v>518</v>
      </c>
      <c r="B758" s="36" t="s">
        <v>516</v>
      </c>
      <c r="C758" s="48" t="n">
        <f aca="false">IF(C724-Assumptions!$D$36&lt;1,0,INDEX($C$749:$N$749,1,C724-Assumptions!$D$36)*INDEX($C$755:$N$755,1,C724-Assumptions!$D$36)*Assumptions!$D$32)</f>
        <v>0</v>
      </c>
      <c r="D758" s="48" t="n">
        <f aca="false">IF(D724-Assumptions!$D$36&lt;1,0,INDEX($C$749:$N$749,1,D724-Assumptions!$D$36)*INDEX($C$755:$N$755,1,D724-Assumptions!$D$36)*Assumptions!$D$32)</f>
        <v>0</v>
      </c>
      <c r="E758" s="48" t="n">
        <f aca="false">IF(E724-Assumptions!$D$36&lt;1,0,INDEX($C$749:$N$749,1,E724-Assumptions!$D$36)*INDEX($C$755:$N$755,1,E724-Assumptions!$D$36)*Assumptions!$D$32)</f>
        <v>0.0207741673931373</v>
      </c>
      <c r="F758" s="48" t="n">
        <f aca="false">IF(F724-Assumptions!$D$36&lt;1,0,INDEX($C$749:$N$749,1,F724-Assumptions!$D$36)*INDEX($C$755:$N$755,1,F724-Assumptions!$D$36)*Assumptions!$D$32)</f>
        <v>0.0412703934448167</v>
      </c>
      <c r="G758" s="48" t="n">
        <f aca="false">IF(G724-Assumptions!$D$36&lt;1,0,INDEX($C$749:$N$749,1,G724-Assumptions!$D$36)*INDEX($C$755:$N$755,1,G724-Assumptions!$D$36)*Assumptions!$D$32)</f>
        <v>0.0474423298007604</v>
      </c>
      <c r="H758" s="48" t="n">
        <f aca="false">IF(H724-Assumptions!$D$36&lt;1,0,INDEX($C$749:$N$749,1,H724-Assumptions!$D$36)*INDEX($C$755:$N$755,1,H724-Assumptions!$D$36)*Assumptions!$D$32)</f>
        <v>0.0515780420085312</v>
      </c>
      <c r="I758" s="48" t="n">
        <f aca="false">IF(I724-Assumptions!$D$36&lt;1,0,INDEX($C$749:$N$749,1,I724-Assumptions!$D$36)*INDEX($C$755:$N$755,1,I724-Assumptions!$D$36)*Assumptions!$D$32)</f>
        <v>0.0555867257498673</v>
      </c>
      <c r="J758" s="48" t="n">
        <f aca="false">IF(J724-Assumptions!$D$36&lt;1,0,INDEX($C$749:$N$749,1,J724-Assumptions!$D$36)*INDEX($C$755:$N$755,1,J724-Assumptions!$D$36)*Assumptions!$D$32)</f>
        <v>0.054983531568381</v>
      </c>
      <c r="K758" s="48" t="n">
        <f aca="false">IF(K724-Assumptions!$D$36&lt;1,0,INDEX($C$749:$N$749,1,K724-Assumptions!$D$36)*INDEX($C$755:$N$755,1,K724-Assumptions!$D$36)*Assumptions!$D$32)</f>
        <v>0.0598763461061171</v>
      </c>
      <c r="L758" s="48" t="n">
        <f aca="false">IF(L724-Assumptions!$D$36&lt;1,0,INDEX($C$749:$N$749,1,L724-Assumptions!$D$36)*INDEX($C$755:$N$755,1,L724-Assumptions!$D$36)*Assumptions!$D$32)</f>
        <v>0.0631222497262144</v>
      </c>
      <c r="M758" s="48" t="n">
        <f aca="false">IF(M724-Assumptions!$D$36&lt;1,0,INDEX($C$749:$N$749,1,M724-Assumptions!$D$36)*INDEX($C$755:$N$755,1,M724-Assumptions!$D$36)*Assumptions!$D$32)</f>
        <v>0.0616743615635026</v>
      </c>
      <c r="N758" s="48" t="n">
        <f aca="false">IF(N724-Assumptions!$D$36&lt;1,0,INDEX($C$749:$N$749,1,N724-Assumptions!$D$36)*INDEX($C$755:$N$755,1,N724-Assumptions!$D$36)*Assumptions!$D$32)</f>
        <v>0.0602809463138375</v>
      </c>
      <c r="P758" s="49" t="n">
        <f aca="false">SUM(C758:F758)</f>
        <v>0.0620445608379541</v>
      </c>
      <c r="Q758" s="49" t="n">
        <f aca="false">SUM(G758:J758)</f>
        <v>0.20959062912754</v>
      </c>
      <c r="R758" s="49" t="n">
        <f aca="false">SUM(K758:N758)</f>
        <v>0.244953903709672</v>
      </c>
      <c r="S758" s="50" t="n">
        <f aca="false">SUM(P758:R758)</f>
        <v>0.516589093675166</v>
      </c>
    </row>
    <row r="759" customFormat="false" ht="15" hidden="false" customHeight="false" outlineLevel="0" collapsed="false">
      <c r="A759" s="4" t="s">
        <v>519</v>
      </c>
      <c r="B759" s="36" t="s">
        <v>77</v>
      </c>
      <c r="C759" s="51" t="n">
        <f aca="false">IF(C724-Assumptions!$D$35&lt;1,0,IFERROR(INDEX($C$748:$N$748,1,C724-Assumptions!$D$35)/INDEX($C$749:$N$749,1,C724-Assumptions!$D$35),0))</f>
        <v>0</v>
      </c>
      <c r="D759" s="51" t="n">
        <f aca="false">IF(D724-Assumptions!$D$35&lt;1,0,IFERROR(INDEX($C$748:$N$748,1,D724-Assumptions!$D$35)/INDEX($C$749:$N$749,1,D724-Assumptions!$D$35),0))</f>
        <v>0.21761851544872</v>
      </c>
      <c r="E759" s="51" t="n">
        <f aca="false">IF(E724-Assumptions!$D$35&lt;1,0,IFERROR(INDEX($C$748:$N$748,1,E724-Assumptions!$D$35)/INDEX($C$749:$N$749,1,E724-Assumptions!$D$35),0))</f>
        <v>0.219084098329358</v>
      </c>
      <c r="F759" s="51" t="n">
        <f aca="false">IF(F724-Assumptions!$D$35&lt;1,0,IFERROR(INDEX($C$748:$N$748,1,F724-Assumptions!$D$35)/INDEX($C$749:$N$749,1,F724-Assumptions!$D$35),0))</f>
        <v>0.285874038233171</v>
      </c>
      <c r="G759" s="51" t="n">
        <f aca="false">IF(G724-Assumptions!$D$35&lt;1,0,IFERROR(INDEX($C$748:$N$748,1,G724-Assumptions!$D$35)/INDEX($C$749:$N$749,1,G724-Assumptions!$D$35),0))</f>
        <v>0.350602178115252</v>
      </c>
      <c r="H759" s="51" t="n">
        <f aca="false">IF(H724-Assumptions!$D$35&lt;1,0,IFERROR(INDEX($C$748:$N$748,1,H724-Assumptions!$D$35)/INDEX($C$749:$N$749,1,H724-Assumptions!$D$35),0))</f>
        <v>0.406647756887223</v>
      </c>
      <c r="I759" s="51" t="n">
        <f aca="false">IF(I724-Assumptions!$D$35&lt;1,0,IFERROR(INDEX($C$748:$N$748,1,I724-Assumptions!$D$35)/INDEX($C$749:$N$749,1,I724-Assumptions!$D$35),0))</f>
        <v>0.411108866493538</v>
      </c>
      <c r="J759" s="51" t="n">
        <f aca="false">IF(J724-Assumptions!$D$35&lt;1,0,IFERROR(INDEX($C$748:$N$748,1,J724-Assumptions!$D$35)/INDEX($C$749:$N$749,1,J724-Assumptions!$D$35),0))</f>
        <v>0.349445678142885</v>
      </c>
      <c r="K759" s="51" t="n">
        <f aca="false">IF(K724-Assumptions!$D$35&lt;1,0,IFERROR(INDEX($C$748:$N$748,1,K724-Assumptions!$D$35)/INDEX($C$749:$N$749,1,K724-Assumptions!$D$35),0))</f>
        <v>0.315821499602575</v>
      </c>
      <c r="L759" s="51" t="n">
        <f aca="false">IF(L724-Assumptions!$D$35&lt;1,0,IFERROR(INDEX($C$748:$N$748,1,L724-Assumptions!$D$35)/INDEX($C$749:$N$749,1,L724-Assumptions!$D$35),0))</f>
        <v>0.323235831899045</v>
      </c>
      <c r="M759" s="51" t="n">
        <f aca="false">IF(M724-Assumptions!$D$35&lt;1,0,IFERROR(INDEX($C$748:$N$748,1,M724-Assumptions!$D$35)/INDEX($C$749:$N$749,1,M724-Assumptions!$D$35),0))</f>
        <v>0.330707541700371</v>
      </c>
      <c r="N759" s="51" t="n">
        <f aca="false">IF(N724-Assumptions!$D$35&lt;1,0,IFERROR(INDEX($C$748:$N$748,1,N724-Assumptions!$D$35)/INDEX($C$749:$N$749,1,N724-Assumptions!$D$35),0))</f>
        <v>0.338175520786355</v>
      </c>
      <c r="P759" s="52"/>
      <c r="Q759" s="52"/>
      <c r="R759" s="52"/>
      <c r="S759" s="53"/>
    </row>
    <row r="760" customFormat="false" ht="15" hidden="false" customHeight="false" outlineLevel="0" collapsed="false">
      <c r="A760" s="4" t="s">
        <v>520</v>
      </c>
      <c r="B760" s="36" t="s">
        <v>516</v>
      </c>
      <c r="C760" s="48" t="n">
        <f aca="false">C756*Assumptions!$D$37</f>
        <v>0</v>
      </c>
      <c r="D760" s="48" t="n">
        <f aca="false">D756*Assumptions!$D$37</f>
        <v>0.0530283583631686</v>
      </c>
      <c r="E760" s="48" t="n">
        <f aca="false">E756*Assumptions!$D$37</f>
        <v>0.105347240732433</v>
      </c>
      <c r="F760" s="48" t="n">
        <f aca="false">F756*Assumptions!$D$37</f>
        <v>0.121101790442366</v>
      </c>
      <c r="G760" s="48" t="n">
        <f aca="false">G756*Assumptions!$D$37</f>
        <v>0.131658652957735</v>
      </c>
      <c r="H760" s="48" t="n">
        <f aca="false">H756*Assumptions!$D$37</f>
        <v>0.14189126127254</v>
      </c>
      <c r="I760" s="48" t="n">
        <f aca="false">I756*Assumptions!$D$37</f>
        <v>0.140351541455466</v>
      </c>
      <c r="J760" s="48" t="n">
        <f aca="false">J756*Assumptions!$D$37</f>
        <v>0.166696283295158</v>
      </c>
      <c r="K760" s="48" t="n">
        <f aca="false">K756*Assumptions!$D$37</f>
        <v>0.185470500629095</v>
      </c>
      <c r="L760" s="48" t="n">
        <f aca="false">L756*Assumptions!$D$37</f>
        <v>0.181216207672842</v>
      </c>
      <c r="M760" s="48" t="n">
        <f aca="false">M756*Assumptions!$D$37</f>
        <v>0.177121971091279</v>
      </c>
      <c r="N760" s="48" t="n">
        <f aca="false">N756*Assumptions!$D$37</f>
        <v>0.173210560907887</v>
      </c>
      <c r="P760" s="49" t="n">
        <f aca="false">SUM(C760:F760)</f>
        <v>0.279477389537968</v>
      </c>
      <c r="Q760" s="49" t="n">
        <f aca="false">SUM(G760:J760)</f>
        <v>0.580597738980899</v>
      </c>
      <c r="R760" s="49" t="n">
        <f aca="false">SUM(K760:N760)</f>
        <v>0.717019240301103</v>
      </c>
      <c r="S760" s="50" t="n">
        <f aca="false">SUM(P760:R760)</f>
        <v>1.57709436881997</v>
      </c>
    </row>
    <row r="761" customFormat="false" ht="15" hidden="false" customHeight="false" outlineLevel="0" collapsed="false">
      <c r="A761" s="4" t="s">
        <v>521</v>
      </c>
      <c r="B761" s="36" t="s">
        <v>516</v>
      </c>
      <c r="C761" s="48" t="n">
        <f aca="false">C756*(1-Assumptions!$D$37)</f>
        <v>0</v>
      </c>
      <c r="D761" s="48" t="n">
        <f aca="false">D756*(1-Assumptions!$D$37)</f>
        <v>0.300494030724622</v>
      </c>
      <c r="E761" s="48" t="n">
        <f aca="false">E756*(1-Assumptions!$D$37)</f>
        <v>0.596967697483789</v>
      </c>
      <c r="F761" s="48" t="n">
        <f aca="false">F756*(1-Assumptions!$D$37)</f>
        <v>0.686243479173408</v>
      </c>
      <c r="G761" s="48" t="n">
        <f aca="false">G756*(1-Assumptions!$D$37)</f>
        <v>0.746065700093831</v>
      </c>
      <c r="H761" s="48" t="n">
        <f aca="false">H756*(1-Assumptions!$D$37)</f>
        <v>0.804050480544395</v>
      </c>
      <c r="I761" s="48" t="n">
        <f aca="false">I756*(1-Assumptions!$D$37)</f>
        <v>0.795325401580973</v>
      </c>
      <c r="J761" s="48" t="n">
        <f aca="false">J756*(1-Assumptions!$D$37)</f>
        <v>0.944612272005897</v>
      </c>
      <c r="K761" s="48" t="n">
        <f aca="false">K756*(1-Assumptions!$D$37)</f>
        <v>1.05099950356487</v>
      </c>
      <c r="L761" s="48" t="n">
        <f aca="false">L756*(1-Assumptions!$D$37)</f>
        <v>1.02689184347944</v>
      </c>
      <c r="M761" s="48" t="n">
        <f aca="false">M756*(1-Assumptions!$D$37)</f>
        <v>1.00369116951725</v>
      </c>
      <c r="N761" s="48" t="n">
        <f aca="false">N756*(1-Assumptions!$D$37)</f>
        <v>0.981526511811358</v>
      </c>
      <c r="P761" s="49" t="n">
        <f aca="false">SUM(C761:F761)</f>
        <v>1.58370520738182</v>
      </c>
      <c r="Q761" s="49" t="n">
        <f aca="false">SUM(G761:J761)</f>
        <v>3.2900538542251</v>
      </c>
      <c r="R761" s="49" t="n">
        <f aca="false">SUM(K761:N761)</f>
        <v>4.06310902837292</v>
      </c>
      <c r="S761" s="50" t="n">
        <f aca="false">SUM(P761:R761)</f>
        <v>8.93686808997983</v>
      </c>
    </row>
    <row r="762" customFormat="false" ht="15" hidden="false" customHeight="false" outlineLevel="0" collapsed="false">
      <c r="A762" s="4" t="s">
        <v>522</v>
      </c>
      <c r="B762" s="36" t="s">
        <v>125</v>
      </c>
      <c r="C762" s="54" t="n">
        <f aca="false">C761*$C$715+C757*$C$716+C758*$C$717</f>
        <v>0</v>
      </c>
      <c r="D762" s="54" t="n">
        <f aca="false">D761*$C$715+D757*$C$716+D758*$C$717</f>
        <v>2905.7072460513</v>
      </c>
      <c r="E762" s="54" t="n">
        <f aca="false">E761*$C$715+E757*$C$716+E758*$C$717</f>
        <v>6735.08238648386</v>
      </c>
      <c r="F762" s="54" t="n">
        <f aca="false">F761*$C$715+F757*$C$716+F758*$C$717</f>
        <v>8548.02421784179</v>
      </c>
      <c r="G762" s="54" t="n">
        <f aca="false">G761*$C$715+G757*$C$716+G758*$C$717</f>
        <v>9412.45975156581</v>
      </c>
      <c r="H762" s="54" t="n">
        <f aca="false">H761*$C$715+H757*$C$716+H758*$C$717</f>
        <v>10164.7818813079</v>
      </c>
      <c r="I762" s="54" t="n">
        <f aca="false">I761*$C$715+I757*$C$716+I758*$C$717</f>
        <v>10266.1495195943</v>
      </c>
      <c r="J762" s="54" t="n">
        <f aca="false">J761*$C$715+J757*$C$716+J758*$C$717</f>
        <v>11601.3095038032</v>
      </c>
      <c r="K762" s="54" t="n">
        <f aca="false">K761*$C$715+K757*$C$716+K758*$C$717</f>
        <v>12795.8410322819</v>
      </c>
      <c r="L762" s="54" t="n">
        <f aca="false">L761*$C$715+L757*$C$716+L758*$C$717</f>
        <v>12716.3630319116</v>
      </c>
      <c r="M762" s="54" t="n">
        <f aca="false">M761*$C$715+M757*$C$716+M758*$C$717</f>
        <v>12428.0526724526</v>
      </c>
      <c r="N762" s="54" t="n">
        <f aca="false">N761*$C$715+N757*$C$716+N758*$C$717</f>
        <v>12152.1449239304</v>
      </c>
      <c r="P762" s="55" t="n">
        <f aca="false">SUM(C762:F762)</f>
        <v>18188.8138503769</v>
      </c>
      <c r="Q762" s="55" t="n">
        <f aca="false">SUM(G762:J762)</f>
        <v>41444.7006562713</v>
      </c>
      <c r="R762" s="55" t="n">
        <f aca="false">SUM(K762:N762)</f>
        <v>50092.4016605765</v>
      </c>
      <c r="S762" s="56" t="n">
        <f aca="false">SUM(P762:R762)</f>
        <v>109725.916167225</v>
      </c>
    </row>
    <row r="763" customFormat="false" ht="15" hidden="false" customHeight="false" outlineLevel="0" collapsed="false">
      <c r="A763" s="4" t="s">
        <v>523</v>
      </c>
      <c r="B763" s="36" t="s">
        <v>125</v>
      </c>
      <c r="C763" s="54" t="n">
        <f aca="false">(C739+Assumptions!$E$104*C725)*$C$720</f>
        <v>0</v>
      </c>
      <c r="D763" s="54" t="n">
        <f aca="false">(D739+Assumptions!$E$104*D725)*$C$720</f>
        <v>120312.5</v>
      </c>
      <c r="E763" s="54" t="n">
        <f aca="false">(E739+Assumptions!$E$104*E725)*$C$720</f>
        <v>240625</v>
      </c>
      <c r="F763" s="54" t="n">
        <f aca="false">(F739+Assumptions!$E$104*F725)*$C$720</f>
        <v>300781.25</v>
      </c>
      <c r="G763" s="54" t="n">
        <f aca="false">(G739+Assumptions!$E$104*G725)*$C$720</f>
        <v>360937.5</v>
      </c>
      <c r="H763" s="54" t="n">
        <f aca="false">(H739+Assumptions!$E$104*H725)*$C$720</f>
        <v>421093.75</v>
      </c>
      <c r="I763" s="54" t="n">
        <f aca="false">(I739+Assumptions!$E$104*I725)*$C$720</f>
        <v>481250</v>
      </c>
      <c r="J763" s="54" t="n">
        <f aca="false">(J739+Assumptions!$E$104*J725)*$C$720</f>
        <v>541406.25</v>
      </c>
      <c r="K763" s="54" t="n">
        <f aca="false">(K739+Assumptions!$E$104*K725)*$C$720</f>
        <v>601562.5</v>
      </c>
      <c r="L763" s="54" t="n">
        <f aca="false">(L739+Assumptions!$E$104*L725)*$C$720</f>
        <v>661718.75</v>
      </c>
      <c r="M763" s="54" t="n">
        <f aca="false">(M739+Assumptions!$E$104*M725)*$C$720</f>
        <v>721875</v>
      </c>
      <c r="N763" s="54" t="n">
        <f aca="false">(N739+Assumptions!$E$104*N725)*$C$720</f>
        <v>721875</v>
      </c>
      <c r="P763" s="55" t="n">
        <f aca="false">SUM(C763:F763)</f>
        <v>661718.75</v>
      </c>
      <c r="Q763" s="55" t="n">
        <f aca="false">SUM(G763:J763)</f>
        <v>1804687.5</v>
      </c>
      <c r="R763" s="55" t="n">
        <f aca="false">SUM(K763:N763)</f>
        <v>2707031.25</v>
      </c>
      <c r="S763" s="56" t="n">
        <f aca="false">SUM(P763:R763)</f>
        <v>5173437.5</v>
      </c>
    </row>
    <row r="764" customFormat="false" ht="15" hidden="false" customHeight="false" outlineLevel="0" collapsed="false">
      <c r="A764" s="4" t="s">
        <v>524</v>
      </c>
      <c r="B764" s="36" t="s">
        <v>77</v>
      </c>
      <c r="C764" s="51" t="n">
        <f aca="false">IF(C762&gt;0,MIN(1,C763/C762),1)</f>
        <v>1</v>
      </c>
      <c r="D764" s="51" t="n">
        <f aca="false">IF(D762&gt;0,MIN(1,D763/D762),1)</f>
        <v>1</v>
      </c>
      <c r="E764" s="51" t="n">
        <f aca="false">IF(E762&gt;0,MIN(1,E763/E762),1)</f>
        <v>1</v>
      </c>
      <c r="F764" s="51" t="n">
        <f aca="false">IF(F762&gt;0,MIN(1,F763/F762),1)</f>
        <v>1</v>
      </c>
      <c r="G764" s="51" t="n">
        <f aca="false">IF(G762&gt;0,MIN(1,G763/G762),1)</f>
        <v>1</v>
      </c>
      <c r="H764" s="51" t="n">
        <f aca="false">IF(H762&gt;0,MIN(1,H763/H762),1)</f>
        <v>1</v>
      </c>
      <c r="I764" s="51" t="n">
        <f aca="false">IF(I762&gt;0,MIN(1,I763/I762),1)</f>
        <v>1</v>
      </c>
      <c r="J764" s="51" t="n">
        <f aca="false">IF(J762&gt;0,MIN(1,J763/J762),1)</f>
        <v>1</v>
      </c>
      <c r="K764" s="51" t="n">
        <f aca="false">IF(K762&gt;0,MIN(1,K763/K762),1)</f>
        <v>1</v>
      </c>
      <c r="L764" s="51" t="n">
        <f aca="false">IF(L762&gt;0,MIN(1,L763/L762),1)</f>
        <v>1</v>
      </c>
      <c r="M764" s="51" t="n">
        <f aca="false">IF(M762&gt;0,MIN(1,M763/M762),1)</f>
        <v>1</v>
      </c>
      <c r="N764" s="51" t="n">
        <f aca="false">IF(N762&gt;0,MIN(1,N763/N762),1)</f>
        <v>1</v>
      </c>
      <c r="P764" s="52"/>
      <c r="Q764" s="52"/>
      <c r="R764" s="52"/>
      <c r="S764" s="53"/>
    </row>
    <row r="765" customFormat="false" ht="15" hidden="false" customHeight="false" outlineLevel="0" collapsed="false">
      <c r="A765" s="4" t="s">
        <v>525</v>
      </c>
      <c r="B765" s="36" t="s">
        <v>125</v>
      </c>
      <c r="C765" s="54" t="n">
        <f aca="false">C762*(1-C764)</f>
        <v>0</v>
      </c>
      <c r="D765" s="54" t="n">
        <f aca="false">D762*(1-D764)</f>
        <v>0</v>
      </c>
      <c r="E765" s="54" t="n">
        <f aca="false">E762*(1-E764)</f>
        <v>0</v>
      </c>
      <c r="F765" s="54" t="n">
        <f aca="false">F762*(1-F764)</f>
        <v>0</v>
      </c>
      <c r="G765" s="54" t="n">
        <f aca="false">G762*(1-G764)</f>
        <v>0</v>
      </c>
      <c r="H765" s="54" t="n">
        <f aca="false">H762*(1-H764)</f>
        <v>0</v>
      </c>
      <c r="I765" s="54" t="n">
        <f aca="false">I762*(1-I764)</f>
        <v>0</v>
      </c>
      <c r="J765" s="54" t="n">
        <f aca="false">J762*(1-J764)</f>
        <v>0</v>
      </c>
      <c r="K765" s="54" t="n">
        <f aca="false">K762*(1-K764)</f>
        <v>0</v>
      </c>
      <c r="L765" s="54" t="n">
        <f aca="false">L762*(1-L764)</f>
        <v>0</v>
      </c>
      <c r="M765" s="54" t="n">
        <f aca="false">M762*(1-M764)</f>
        <v>0</v>
      </c>
      <c r="N765" s="54" t="n">
        <f aca="false">N762*(1-N764)</f>
        <v>0</v>
      </c>
      <c r="P765" s="55" t="n">
        <f aca="false">SUM(C765:F765)</f>
        <v>0</v>
      </c>
      <c r="Q765" s="55" t="n">
        <f aca="false">SUM(G765:J765)</f>
        <v>0</v>
      </c>
      <c r="R765" s="55" t="n">
        <f aca="false">SUM(K765:N765)</f>
        <v>0</v>
      </c>
      <c r="S765" s="56" t="n">
        <f aca="false">SUM(P765:R765)</f>
        <v>0</v>
      </c>
    </row>
    <row r="766" customFormat="false" ht="15" hidden="false" customHeight="false" outlineLevel="0" collapsed="false">
      <c r="A766" s="4" t="s">
        <v>526</v>
      </c>
      <c r="B766" s="36" t="s">
        <v>527</v>
      </c>
      <c r="C766" s="48" t="n">
        <f aca="false">C760+C761*C764</f>
        <v>0</v>
      </c>
      <c r="D766" s="48" t="n">
        <f aca="false">D760+D761*D764</f>
        <v>0.353522389087791</v>
      </c>
      <c r="E766" s="48" t="n">
        <f aca="false">E760+E761*E764</f>
        <v>0.702314938216223</v>
      </c>
      <c r="F766" s="48" t="n">
        <f aca="false">F760+F761*F764</f>
        <v>0.807345269615775</v>
      </c>
      <c r="G766" s="48" t="n">
        <f aca="false">G760+G761*G764</f>
        <v>0.877724353051566</v>
      </c>
      <c r="H766" s="48" t="n">
        <f aca="false">H760+H761*H764</f>
        <v>0.945941741816935</v>
      </c>
      <c r="I766" s="48" t="n">
        <f aca="false">I760+I761*I764</f>
        <v>0.935676943036439</v>
      </c>
      <c r="J766" s="48" t="n">
        <f aca="false">J760+J761*J764</f>
        <v>1.11130855530105</v>
      </c>
      <c r="K766" s="48" t="n">
        <f aca="false">K760+K761*K764</f>
        <v>1.23647000419397</v>
      </c>
      <c r="L766" s="48" t="n">
        <f aca="false">L760+L761*L764</f>
        <v>1.20810805115228</v>
      </c>
      <c r="M766" s="48" t="n">
        <f aca="false">M760+M761*M764</f>
        <v>1.18081314060853</v>
      </c>
      <c r="N766" s="48" t="n">
        <f aca="false">N760+N761*N764</f>
        <v>1.15473707271924</v>
      </c>
      <c r="P766" s="49" t="n">
        <f aca="false">SUM(C766:F766)</f>
        <v>1.86318259691979</v>
      </c>
      <c r="Q766" s="49" t="n">
        <f aca="false">SUM(G766:J766)</f>
        <v>3.87065159320599</v>
      </c>
      <c r="R766" s="49" t="n">
        <f aca="false">SUM(K766:N766)</f>
        <v>4.78012826867402</v>
      </c>
      <c r="S766" s="50" t="n">
        <f aca="false">SUM(P766:R766)</f>
        <v>10.5139624587998</v>
      </c>
    </row>
    <row r="767" customFormat="false" ht="15" hidden="false" customHeight="false" outlineLevel="0" collapsed="false">
      <c r="A767" s="4" t="s">
        <v>528</v>
      </c>
      <c r="B767" s="36" t="s">
        <v>527</v>
      </c>
      <c r="C767" s="48" t="n">
        <f aca="false">C757*C764</f>
        <v>0</v>
      </c>
      <c r="D767" s="48" t="n">
        <f aca="false">D757*D764</f>
        <v>0.177127111457276</v>
      </c>
      <c r="E767" s="48" t="n">
        <f aca="false">E757*E764</f>
        <v>0.351884407266332</v>
      </c>
      <c r="F767" s="48" t="n">
        <f aca="false">F757*F764</f>
        <v>0.404508285669641</v>
      </c>
      <c r="G767" s="48" t="n">
        <f aca="false">G757*G764</f>
        <v>0.439770673967477</v>
      </c>
      <c r="H767" s="48" t="n">
        <f aca="false">H757*H764</f>
        <v>0.473949977446237</v>
      </c>
      <c r="I767" s="48" t="n">
        <f aca="false">I757*I764</f>
        <v>0.468806953372512</v>
      </c>
      <c r="J767" s="48" t="n">
        <f aca="false">J757*J764</f>
        <v>0.545820165556815</v>
      </c>
      <c r="K767" s="48" t="n">
        <f aca="false">K757*K764</f>
        <v>0.600215076344004</v>
      </c>
      <c r="L767" s="48" t="n">
        <f aca="false">L757*L764</f>
        <v>0.586447438024884</v>
      </c>
      <c r="M767" s="48" t="n">
        <f aca="false">M757*M764</f>
        <v>0.573197770212279</v>
      </c>
      <c r="N767" s="48" t="n">
        <f aca="false">N757*N764</f>
        <v>0.560539760696617</v>
      </c>
      <c r="P767" s="49" t="n">
        <f aca="false">SUM(C767:F767)</f>
        <v>0.93351980439325</v>
      </c>
      <c r="Q767" s="49" t="n">
        <f aca="false">SUM(G767:J767)</f>
        <v>1.92834777034304</v>
      </c>
      <c r="R767" s="49" t="n">
        <f aca="false">SUM(K767:N767)</f>
        <v>2.32040004527778</v>
      </c>
      <c r="S767" s="50" t="n">
        <f aca="false">SUM(P767:R767)</f>
        <v>5.18226762001407</v>
      </c>
    </row>
    <row r="768" customFormat="false" ht="15" hidden="false" customHeight="false" outlineLevel="0" collapsed="false">
      <c r="A768" s="4" t="s">
        <v>529</v>
      </c>
      <c r="B768" s="36" t="s">
        <v>527</v>
      </c>
      <c r="C768" s="48" t="n">
        <f aca="false">C758*C764</f>
        <v>0</v>
      </c>
      <c r="D768" s="48" t="n">
        <f aca="false">D758*D764</f>
        <v>0</v>
      </c>
      <c r="E768" s="48" t="n">
        <f aca="false">E758*E764</f>
        <v>0.0207741673931373</v>
      </c>
      <c r="F768" s="48" t="n">
        <f aca="false">F758*F764</f>
        <v>0.0412703934448167</v>
      </c>
      <c r="G768" s="48" t="n">
        <f aca="false">G758*G764</f>
        <v>0.0474423298007604</v>
      </c>
      <c r="H768" s="48" t="n">
        <f aca="false">H758*H764</f>
        <v>0.0515780420085312</v>
      </c>
      <c r="I768" s="48" t="n">
        <f aca="false">I758*I764</f>
        <v>0.0555867257498673</v>
      </c>
      <c r="J768" s="48" t="n">
        <f aca="false">J758*J764</f>
        <v>0.054983531568381</v>
      </c>
      <c r="K768" s="48" t="n">
        <f aca="false">K758*K764</f>
        <v>0.0598763461061171</v>
      </c>
      <c r="L768" s="48" t="n">
        <f aca="false">L758*L764</f>
        <v>0.0631222497262144</v>
      </c>
      <c r="M768" s="48" t="n">
        <f aca="false">M758*M764</f>
        <v>0.0616743615635026</v>
      </c>
      <c r="N768" s="48" t="n">
        <f aca="false">N758*N764</f>
        <v>0.0602809463138375</v>
      </c>
      <c r="P768" s="49" t="n">
        <f aca="false">SUM(C768:F768)</f>
        <v>0.0620445608379541</v>
      </c>
      <c r="Q768" s="49" t="n">
        <f aca="false">SUM(G768:J768)</f>
        <v>0.20959062912754</v>
      </c>
      <c r="R768" s="49" t="n">
        <f aca="false">SUM(K768:N768)</f>
        <v>0.244953903709672</v>
      </c>
      <c r="S768" s="50" t="n">
        <f aca="false">SUM(P768:R768)</f>
        <v>0.516589093675166</v>
      </c>
    </row>
    <row r="769" customFormat="false" ht="15" hidden="false" customHeight="false" outlineLevel="0" collapsed="false">
      <c r="A769" s="9" t="s">
        <v>530</v>
      </c>
      <c r="B769" s="36" t="s">
        <v>527</v>
      </c>
      <c r="C769" s="49" t="n">
        <f aca="false">C766+C767+C768</f>
        <v>0</v>
      </c>
      <c r="D769" s="49" t="n">
        <f aca="false">D766+D767+D768</f>
        <v>0.530649500545067</v>
      </c>
      <c r="E769" s="49" t="n">
        <f aca="false">E766+E767+E768</f>
        <v>1.07497351287569</v>
      </c>
      <c r="F769" s="49" t="n">
        <f aca="false">F766+F767+F768</f>
        <v>1.25312394873023</v>
      </c>
      <c r="G769" s="49" t="n">
        <f aca="false">G766+G767+G768</f>
        <v>1.3649373568198</v>
      </c>
      <c r="H769" s="49" t="n">
        <f aca="false">H766+H767+H768</f>
        <v>1.4714697612717</v>
      </c>
      <c r="I769" s="49" t="n">
        <f aca="false">I766+I767+I768</f>
        <v>1.46007062215882</v>
      </c>
      <c r="J769" s="49" t="n">
        <f aca="false">J766+J767+J768</f>
        <v>1.71211225242625</v>
      </c>
      <c r="K769" s="49" t="n">
        <f aca="false">K766+K767+K768</f>
        <v>1.89656142664409</v>
      </c>
      <c r="L769" s="49" t="n">
        <f aca="false">L766+L767+L768</f>
        <v>1.85767773890338</v>
      </c>
      <c r="M769" s="49" t="n">
        <f aca="false">M766+M767+M768</f>
        <v>1.81568527238431</v>
      </c>
      <c r="N769" s="49" t="n">
        <f aca="false">N766+N767+N768</f>
        <v>1.7755577797297</v>
      </c>
      <c r="P769" s="49" t="n">
        <f aca="false">SUM(C769:F769)</f>
        <v>2.85874696215099</v>
      </c>
      <c r="Q769" s="49" t="n">
        <f aca="false">SUM(G769:J769)</f>
        <v>6.00858999267657</v>
      </c>
      <c r="R769" s="49" t="n">
        <f aca="false">SUM(K769:N769)</f>
        <v>7.34548221766148</v>
      </c>
      <c r="S769" s="50" t="n">
        <f aca="false">SUM(P769:R769)</f>
        <v>16.212819172489</v>
      </c>
    </row>
    <row r="770" customFormat="false" ht="15" hidden="false" customHeight="false" outlineLevel="0" collapsed="false">
      <c r="A770" s="35" t="s">
        <v>533</v>
      </c>
      <c r="B770" s="35" t="s">
        <v>444</v>
      </c>
      <c r="C770" s="6" t="s">
        <v>354</v>
      </c>
      <c r="D770" s="6" t="s">
        <v>355</v>
      </c>
      <c r="E770" s="6" t="s">
        <v>356</v>
      </c>
      <c r="F770" s="6" t="s">
        <v>357</v>
      </c>
      <c r="G770" s="6" t="s">
        <v>358</v>
      </c>
      <c r="H770" s="6" t="s">
        <v>359</v>
      </c>
      <c r="I770" s="6" t="s">
        <v>360</v>
      </c>
      <c r="J770" s="6" t="s">
        <v>361</v>
      </c>
      <c r="K770" s="6" t="s">
        <v>362</v>
      </c>
      <c r="L770" s="6" t="s">
        <v>363</v>
      </c>
      <c r="M770" s="6" t="s">
        <v>364</v>
      </c>
      <c r="N770" s="6" t="s">
        <v>365</v>
      </c>
      <c r="P770" s="6" t="s">
        <v>445</v>
      </c>
      <c r="Q770" s="6" t="s">
        <v>446</v>
      </c>
      <c r="R770" s="6" t="s">
        <v>447</v>
      </c>
      <c r="S770" s="6" t="s">
        <v>448</v>
      </c>
    </row>
    <row r="771" customFormat="false" ht="15" hidden="false" customHeight="false" outlineLevel="0" collapsed="false">
      <c r="A771" s="4" t="s">
        <v>534</v>
      </c>
      <c r="B771" s="36" t="s">
        <v>527</v>
      </c>
      <c r="C771" s="48" t="n">
        <f aca="false">0*Assumptions!$D$59^(1/4)+C766</f>
        <v>0</v>
      </c>
      <c r="D771" s="48" t="n">
        <f aca="false">C771*Assumptions!$D$59^(1/4)+D766</f>
        <v>0.353522389087791</v>
      </c>
      <c r="E771" s="48" t="n">
        <f aca="false">D771*Assumptions!$D$59^(1/4)+E766</f>
        <v>1.04176168822767</v>
      </c>
      <c r="F771" s="48" t="n">
        <f aca="false">E771*Assumptions!$D$59^(1/4)+F766</f>
        <v>1.80762878848367</v>
      </c>
      <c r="G771" s="48" t="n">
        <f aca="false">F771*Assumptions!$D$59^(1/4)+G766</f>
        <v>2.61338165911695</v>
      </c>
      <c r="H771" s="48" t="n">
        <f aca="false">G771*Assumptions!$D$59^(1/4)+H766</f>
        <v>3.45527053713258</v>
      </c>
      <c r="I771" s="48" t="n">
        <f aca="false">H771*Assumptions!$D$59^(1/4)+I766</f>
        <v>4.25337446501347</v>
      </c>
      <c r="J771" s="48" t="n">
        <f aca="false">I771*Assumptions!$D$59^(1/4)+J766</f>
        <v>5.19533316957227</v>
      </c>
      <c r="K771" s="48" t="n">
        <f aca="false">J771*Assumptions!$D$59^(1/4)+K766</f>
        <v>6.22494885043768</v>
      </c>
      <c r="L771" s="48" t="n">
        <f aca="false">K771*Assumptions!$D$59^(1/4)+L766</f>
        <v>7.18520800717186</v>
      </c>
      <c r="M771" s="48" t="n">
        <f aca="false">L771*Assumptions!$D$59^(1/4)+M766</f>
        <v>8.07993914075852</v>
      </c>
      <c r="N771" s="48" t="n">
        <f aca="false">M771*Assumptions!$D$59^(1/4)+N766</f>
        <v>8.91297011899929</v>
      </c>
      <c r="P771" s="49" t="n">
        <f aca="false">F771</f>
        <v>1.80762878848367</v>
      </c>
      <c r="Q771" s="49" t="n">
        <f aca="false">J771</f>
        <v>5.19533316957227</v>
      </c>
      <c r="R771" s="49" t="n">
        <f aca="false">N771</f>
        <v>8.91297011899929</v>
      </c>
      <c r="S771" s="50" t="n">
        <f aca="false">R771</f>
        <v>8.91297011899929</v>
      </c>
    </row>
    <row r="772" customFormat="false" ht="15" hidden="false" customHeight="false" outlineLevel="0" collapsed="false">
      <c r="A772" s="4" t="s">
        <v>535</v>
      </c>
      <c r="B772" s="36" t="s">
        <v>527</v>
      </c>
      <c r="C772" s="48" t="n">
        <f aca="false">0*Assumptions!$D$60^(1/4)+C767</f>
        <v>0</v>
      </c>
      <c r="D772" s="48" t="n">
        <f aca="false">C772*Assumptions!$D$60^(1/4)+D767</f>
        <v>0.177127111457276</v>
      </c>
      <c r="E772" s="48" t="n">
        <f aca="false">D772*Assumptions!$D$60^(1/4)+E767</f>
        <v>0.522457157997887</v>
      </c>
      <c r="F772" s="48" t="n">
        <f aca="false">E772*Assumptions!$D$60^(1/4)+F767</f>
        <v>0.90763258914808</v>
      </c>
      <c r="G772" s="48" t="n">
        <f aca="false">F772*Assumptions!$D$60^(1/4)+G767</f>
        <v>1.31381748764192</v>
      </c>
      <c r="H772" s="48" t="n">
        <f aca="false">G772*Assumptions!$D$60^(1/4)+H767</f>
        <v>1.73915134036892</v>
      </c>
      <c r="I772" s="48" t="n">
        <f aca="false">H772*Assumptions!$D$60^(1/4)+I767</f>
        <v>2.14360323737757</v>
      </c>
      <c r="J772" s="48" t="n">
        <f aca="false">I772*Assumptions!$D$60^(1/4)+J767</f>
        <v>2.6101021248138</v>
      </c>
      <c r="K772" s="48" t="n">
        <f aca="false">J772*Assumptions!$D$60^(1/4)+K767</f>
        <v>3.11373373227914</v>
      </c>
      <c r="L772" s="48" t="n">
        <f aca="false">K772*Assumptions!$D$60^(1/4)+L767</f>
        <v>3.58496146216732</v>
      </c>
      <c r="M772" s="48" t="n">
        <f aca="false">L772*Assumptions!$D$60^(1/4)+M767</f>
        <v>4.02550234875779</v>
      </c>
      <c r="N772" s="48" t="n">
        <f aca="false">M772*Assumptions!$D$60^(1/4)+N767</f>
        <v>4.43708357747742</v>
      </c>
      <c r="P772" s="49" t="n">
        <f aca="false">F772</f>
        <v>0.90763258914808</v>
      </c>
      <c r="Q772" s="49" t="n">
        <f aca="false">J772</f>
        <v>2.6101021248138</v>
      </c>
      <c r="R772" s="49" t="n">
        <f aca="false">N772</f>
        <v>4.43708357747742</v>
      </c>
      <c r="S772" s="50" t="n">
        <f aca="false">R772</f>
        <v>4.43708357747742</v>
      </c>
    </row>
    <row r="773" customFormat="false" ht="15" hidden="false" customHeight="false" outlineLevel="0" collapsed="false">
      <c r="A773" s="4" t="s">
        <v>536</v>
      </c>
      <c r="B773" s="36" t="s">
        <v>527</v>
      </c>
      <c r="C773" s="48" t="n">
        <f aca="false">0*Assumptions!$D$61^(1/4)+C768</f>
        <v>0</v>
      </c>
      <c r="D773" s="48" t="n">
        <f aca="false">C773*Assumptions!$D$61^(1/4)+D768</f>
        <v>0</v>
      </c>
      <c r="E773" s="48" t="n">
        <f aca="false">D773*Assumptions!$D$61^(1/4)+E768</f>
        <v>0.0207741673931373</v>
      </c>
      <c r="F773" s="48" t="n">
        <f aca="false">E773*Assumptions!$D$61^(1/4)+F768</f>
        <v>0.0613911494576262</v>
      </c>
      <c r="G773" s="48" t="n">
        <f aca="false">F773*Assumptions!$D$61^(1/4)+G768</f>
        <v>0.10690253902151</v>
      </c>
      <c r="H773" s="48" t="n">
        <f aca="false">G773*Assumptions!$D$61^(1/4)+H768</f>
        <v>0.155118167785712</v>
      </c>
      <c r="I773" s="48" t="n">
        <f aca="false">H773*Assumptions!$D$61^(1/4)+I768</f>
        <v>0.205825950653841</v>
      </c>
      <c r="J773" s="48" t="n">
        <f aca="false">I773*Assumptions!$D$61^(1/4)+J768</f>
        <v>0.254335623800899</v>
      </c>
      <c r="K773" s="48" t="n">
        <f aca="false">J773*Assumptions!$D$61^(1/4)+K768</f>
        <v>0.306212333249174</v>
      </c>
      <c r="L773" s="48" t="n">
        <f aca="false">K773*Assumptions!$D$61^(1/4)+L768</f>
        <v>0.359703264446211</v>
      </c>
      <c r="M773" s="48" t="n">
        <f aca="false">L773*Assumptions!$D$61^(1/4)+M768</f>
        <v>0.410063853376501</v>
      </c>
      <c r="N773" s="48" t="n">
        <f aca="false">M773*Assumptions!$D$61^(1/4)+N768</f>
        <v>0.457447031833427</v>
      </c>
      <c r="P773" s="49" t="n">
        <f aca="false">F773</f>
        <v>0.0613911494576262</v>
      </c>
      <c r="Q773" s="49" t="n">
        <f aca="false">J773</f>
        <v>0.254335623800899</v>
      </c>
      <c r="R773" s="49" t="n">
        <f aca="false">N773</f>
        <v>0.457447031833427</v>
      </c>
      <c r="S773" s="50" t="n">
        <f aca="false">R773</f>
        <v>0.457447031833427</v>
      </c>
    </row>
    <row r="774" customFormat="false" ht="15" hidden="false" customHeight="false" outlineLevel="0" collapsed="false">
      <c r="A774" s="9" t="s">
        <v>537</v>
      </c>
      <c r="B774" s="36" t="s">
        <v>527</v>
      </c>
      <c r="C774" s="49" t="n">
        <f aca="false">C771+C772+C773</f>
        <v>0</v>
      </c>
      <c r="D774" s="49" t="n">
        <f aca="false">D771+D772+D773</f>
        <v>0.530649500545067</v>
      </c>
      <c r="E774" s="49" t="n">
        <f aca="false">E771+E772+E773</f>
        <v>1.5849930136187</v>
      </c>
      <c r="F774" s="49" t="n">
        <f aca="false">F771+F772+F773</f>
        <v>2.77665252708938</v>
      </c>
      <c r="G774" s="49" t="n">
        <f aca="false">G771+G772+G773</f>
        <v>4.03410168578039</v>
      </c>
      <c r="H774" s="49" t="n">
        <f aca="false">H771+H772+H773</f>
        <v>5.34954004528721</v>
      </c>
      <c r="I774" s="49" t="n">
        <f aca="false">I771+I772+I773</f>
        <v>6.60280365304488</v>
      </c>
      <c r="J774" s="49" t="n">
        <f aca="false">J771+J772+J773</f>
        <v>8.05977091818698</v>
      </c>
      <c r="K774" s="49" t="n">
        <f aca="false">K771+K772+K773</f>
        <v>9.644894915966</v>
      </c>
      <c r="L774" s="49" t="n">
        <f aca="false">L771+L772+L773</f>
        <v>11.1298727337854</v>
      </c>
      <c r="M774" s="49" t="n">
        <f aca="false">M771+M772+M773</f>
        <v>12.5155053428928</v>
      </c>
      <c r="N774" s="49" t="n">
        <f aca="false">N771+N772+N773</f>
        <v>13.8075007283101</v>
      </c>
      <c r="P774" s="49" t="n">
        <f aca="false">F774</f>
        <v>2.77665252708938</v>
      </c>
      <c r="Q774" s="49" t="n">
        <f aca="false">J774</f>
        <v>8.05977091818698</v>
      </c>
      <c r="R774" s="49" t="n">
        <f aca="false">N774</f>
        <v>13.8075007283101</v>
      </c>
      <c r="S774" s="50" t="n">
        <f aca="false">R774</f>
        <v>13.8075007283101</v>
      </c>
    </row>
    <row r="775" customFormat="false" ht="15" hidden="false" customHeight="false" outlineLevel="0" collapsed="false">
      <c r="A775" s="4" t="s">
        <v>538</v>
      </c>
      <c r="B775" s="36" t="s">
        <v>125</v>
      </c>
      <c r="C775" s="54" t="n">
        <f aca="false">0*Assumptions!$D$62^(1/4)+C766*$C$715</f>
        <v>0</v>
      </c>
      <c r="D775" s="54" t="n">
        <f aca="false">C775*Assumptions!$D$62^(1/4)+D766*$C$715</f>
        <v>1892.05182639786</v>
      </c>
      <c r="E775" s="54" t="n">
        <f aca="false">D775*Assumptions!$D$62^(1/4)+E766*$C$715</f>
        <v>5611.8090302181</v>
      </c>
      <c r="F775" s="54" t="n">
        <f aca="false">E775*Assumptions!$D$62^(1/4)+F766*$C$715</f>
        <v>9816.95132065448</v>
      </c>
      <c r="G775" s="54" t="n">
        <f aca="false">F775*Assumptions!$D$62^(1/4)+G766*$C$715</f>
        <v>14312.011899655</v>
      </c>
      <c r="H775" s="54" t="n">
        <f aca="false">G775*Assumptions!$D$62^(1/4)+H766*$C$715</f>
        <v>19079.4404678081</v>
      </c>
      <c r="I775" s="54" t="n">
        <f aca="false">H775*Assumptions!$D$62^(1/4)+I766*$C$715</f>
        <v>23693.5815041686</v>
      </c>
      <c r="J775" s="54" t="n">
        <f aca="false">I775*Assumptions!$D$62^(1/4)+J766*$C$715</f>
        <v>29152.5148670423</v>
      </c>
      <c r="K775" s="54" t="n">
        <f aca="false">J775*Assumptions!$D$62^(1/4)+K766*$C$715</f>
        <v>35168.6964816216</v>
      </c>
      <c r="L775" s="54" t="n">
        <f aca="false">K775*Assumptions!$D$62^(1/4)+L766*$C$715</f>
        <v>40908.9732706734</v>
      </c>
      <c r="M775" s="54" t="n">
        <f aca="false">L775*Assumptions!$D$62^(1/4)+M766*$C$715</f>
        <v>46384.747862503</v>
      </c>
      <c r="N775" s="54" t="n">
        <f aca="false">M775*Assumptions!$D$62^(1/4)+N766*$C$715</f>
        <v>51608.0000877518</v>
      </c>
      <c r="P775" s="55" t="n">
        <f aca="false">F775</f>
        <v>9816.95132065448</v>
      </c>
      <c r="Q775" s="55" t="n">
        <f aca="false">J775</f>
        <v>29152.5148670423</v>
      </c>
      <c r="R775" s="55" t="n">
        <f aca="false">N775</f>
        <v>51608.0000877518</v>
      </c>
      <c r="S775" s="56" t="n">
        <f aca="false">R775</f>
        <v>51608.0000877518</v>
      </c>
    </row>
    <row r="776" customFormat="false" ht="15" hidden="false" customHeight="false" outlineLevel="0" collapsed="false">
      <c r="A776" s="4" t="s">
        <v>539</v>
      </c>
      <c r="B776" s="36" t="s">
        <v>125</v>
      </c>
      <c r="C776" s="54" t="n">
        <f aca="false">0*Assumptions!$D$63^(1/4)+C767*$C$716</f>
        <v>0</v>
      </c>
      <c r="D776" s="54" t="n">
        <f aca="false">C776*Assumptions!$D$63^(1/4)+D767*$C$716</f>
        <v>1297.46319361312</v>
      </c>
      <c r="E776" s="54" t="n">
        <f aca="false">D776*Assumptions!$D$63^(1/4)+E767*$C$716</f>
        <v>3868.4940397927</v>
      </c>
      <c r="F776" s="54" t="n">
        <f aca="false">E776*Assumptions!$D$63^(1/4)+F767*$C$716</f>
        <v>6812.04419689751</v>
      </c>
      <c r="G776" s="54" t="n">
        <f aca="false">F776*Assumptions!$D$63^(1/4)+G767*$C$716</f>
        <v>9999.06332248779</v>
      </c>
      <c r="H776" s="54" t="n">
        <f aca="false">G776*Assumptions!$D$63^(1/4)+H767*$C$716</f>
        <v>13420.3911939025</v>
      </c>
      <c r="I776" s="54" t="n">
        <f aca="false">H776*Assumptions!$D$63^(1/4)+I767*$C$716</f>
        <v>16786.8097508812</v>
      </c>
      <c r="J776" s="54" t="n">
        <f aca="false">I776*Assumptions!$D$63^(1/4)+J767*$C$716</f>
        <v>20700.3933482265</v>
      </c>
      <c r="K776" s="54" t="n">
        <f aca="false">J776*Assumptions!$D$63^(1/4)+K767*$C$716</f>
        <v>24992.7054346711</v>
      </c>
      <c r="L776" s="54" t="n">
        <f aca="false">K776*Assumptions!$D$63^(1/4)+L767*$C$716</f>
        <v>29162.5445921566</v>
      </c>
      <c r="M776" s="54" t="n">
        <f aca="false">L776*Assumptions!$D$63^(1/4)+M767*$C$716</f>
        <v>33214.3219871216</v>
      </c>
      <c r="N776" s="54" t="n">
        <f aca="false">M776*Assumptions!$D$63^(1/4)+N767*$C$716</f>
        <v>37152.9663288165</v>
      </c>
      <c r="P776" s="55" t="n">
        <f aca="false">F776</f>
        <v>6812.04419689751</v>
      </c>
      <c r="Q776" s="55" t="n">
        <f aca="false">J776</f>
        <v>20700.3933482265</v>
      </c>
      <c r="R776" s="55" t="n">
        <f aca="false">N776</f>
        <v>37152.9663288165</v>
      </c>
      <c r="S776" s="56" t="n">
        <f aca="false">R776</f>
        <v>37152.9663288165</v>
      </c>
    </row>
    <row r="777" customFormat="false" ht="15" hidden="false" customHeight="false" outlineLevel="0" collapsed="false">
      <c r="A777" s="4" t="s">
        <v>540</v>
      </c>
      <c r="B777" s="36" t="s">
        <v>125</v>
      </c>
      <c r="C777" s="54" t="n">
        <f aca="false">0*Assumptions!$D$64^(1/4)+C768*$C$717</f>
        <v>0</v>
      </c>
      <c r="D777" s="54" t="n">
        <f aca="false">C777*Assumptions!$D$64^(1/4)+D768*$C$717</f>
        <v>0</v>
      </c>
      <c r="E777" s="54" t="n">
        <f aca="false">D777*Assumptions!$D$64^(1/4)+E768*$C$717</f>
        <v>962.543876969059</v>
      </c>
      <c r="F777" s="54" t="n">
        <f aca="false">E777*Assumptions!$D$64^(1/4)+F768*$C$717</f>
        <v>2886.56614645865</v>
      </c>
      <c r="G777" s="54" t="n">
        <f aca="false">F777*Assumptions!$D$64^(1/4)+G768*$C$717</f>
        <v>5120.16906746178</v>
      </c>
      <c r="H777" s="54" t="n">
        <f aca="false">G777*Assumptions!$D$64^(1/4)+H768*$C$717</f>
        <v>7572.806103449</v>
      </c>
      <c r="I777" s="54" t="n">
        <f aca="false">H777*Assumptions!$D$64^(1/4)+I768*$C$717</f>
        <v>10241.2795945674</v>
      </c>
      <c r="J777" s="54" t="n">
        <f aca="false">I777*Assumptions!$D$64^(1/4)+J768*$C$717</f>
        <v>12914.553004416</v>
      </c>
      <c r="K777" s="54" t="n">
        <f aca="false">J777*Assumptions!$D$64^(1/4)+K768*$C$717</f>
        <v>15847.3356148531</v>
      </c>
      <c r="L777" s="54" t="n">
        <f aca="false">K777*Assumptions!$D$64^(1/4)+L768*$C$717</f>
        <v>18966.5047201443</v>
      </c>
      <c r="M777" s="54" t="n">
        <f aca="false">L777*Assumptions!$D$64^(1/4)+M768*$C$717</f>
        <v>22056.8669954997</v>
      </c>
      <c r="N777" s="54" t="n">
        <f aca="false">M777*Assumptions!$D$64^(1/4)+N768*$C$717</f>
        <v>25120.5928479335</v>
      </c>
      <c r="P777" s="55" t="n">
        <f aca="false">F777</f>
        <v>2886.56614645865</v>
      </c>
      <c r="Q777" s="55" t="n">
        <f aca="false">J777</f>
        <v>12914.553004416</v>
      </c>
      <c r="R777" s="55" t="n">
        <f aca="false">N777</f>
        <v>25120.5928479335</v>
      </c>
      <c r="S777" s="56" t="n">
        <f aca="false">R777</f>
        <v>25120.5928479335</v>
      </c>
    </row>
    <row r="778" customFormat="false" ht="15" hidden="false" customHeight="false" outlineLevel="0" collapsed="false">
      <c r="A778" s="9" t="s">
        <v>541</v>
      </c>
      <c r="B778" s="36" t="s">
        <v>125</v>
      </c>
      <c r="C778" s="55" t="n">
        <f aca="false">C775+C776+C777</f>
        <v>0</v>
      </c>
      <c r="D778" s="55" t="n">
        <f aca="false">D775+D776+D777</f>
        <v>3189.51502001098</v>
      </c>
      <c r="E778" s="55" t="n">
        <f aca="false">E775+E776+E777</f>
        <v>10442.8469469799</v>
      </c>
      <c r="F778" s="55" t="n">
        <f aca="false">F775+F776+F777</f>
        <v>19515.5616640106</v>
      </c>
      <c r="G778" s="55" t="n">
        <f aca="false">G775+G776+G777</f>
        <v>29431.2442896045</v>
      </c>
      <c r="H778" s="55" t="n">
        <f aca="false">H775+H776+H777</f>
        <v>40072.6377651596</v>
      </c>
      <c r="I778" s="55" t="n">
        <f aca="false">I775+I776+I777</f>
        <v>50721.6708496172</v>
      </c>
      <c r="J778" s="55" t="n">
        <f aca="false">J775+J776+J777</f>
        <v>62767.4612196849</v>
      </c>
      <c r="K778" s="55" t="n">
        <f aca="false">K775+K776+K777</f>
        <v>76008.7375311458</v>
      </c>
      <c r="L778" s="55" t="n">
        <f aca="false">L775+L776+L777</f>
        <v>89038.0225829743</v>
      </c>
      <c r="M778" s="55" t="n">
        <f aca="false">M775+M776+M777</f>
        <v>101655.936845124</v>
      </c>
      <c r="N778" s="55" t="n">
        <f aca="false">N775+N776+N777</f>
        <v>113881.559264502</v>
      </c>
      <c r="P778" s="55" t="n">
        <f aca="false">F778</f>
        <v>19515.5616640106</v>
      </c>
      <c r="Q778" s="55" t="n">
        <f aca="false">J778</f>
        <v>62767.4612196849</v>
      </c>
      <c r="R778" s="55" t="n">
        <f aca="false">N778</f>
        <v>113881.559264502</v>
      </c>
      <c r="S778" s="56" t="n">
        <f aca="false">R778</f>
        <v>113881.559264502</v>
      </c>
    </row>
    <row r="779" customFormat="false" ht="15" hidden="false" customHeight="false" outlineLevel="0" collapsed="false">
      <c r="A779" s="4" t="s">
        <v>542</v>
      </c>
      <c r="B779" s="36" t="s">
        <v>125</v>
      </c>
      <c r="C779" s="54" t="n">
        <f aca="false">C766*$C$715+C767*$C$716+C768*$C$717</f>
        <v>0</v>
      </c>
      <c r="D779" s="54" t="n">
        <f aca="false">D766*$C$715+D767*$C$716+D768*$C$717</f>
        <v>3189.51502001098</v>
      </c>
      <c r="E779" s="54" t="n">
        <f aca="false">E766*$C$715+E767*$C$716+E768*$C$717</f>
        <v>7298.90081888384</v>
      </c>
      <c r="F779" s="54" t="n">
        <f aca="false">F766*$C$715+F767*$C$716+F768*$C$717</f>
        <v>9196.16100028933</v>
      </c>
      <c r="G779" s="54" t="n">
        <f aca="false">G766*$C$715+G767*$C$716+G768*$C$717</f>
        <v>10117.0968621956</v>
      </c>
      <c r="H779" s="54" t="n">
        <f aca="false">H766*$C$715+H767*$C$716+H768*$C$717</f>
        <v>10924.1839116386</v>
      </c>
      <c r="I779" s="54" t="n">
        <f aca="false">I766*$C$715+I767*$C$716+I768*$C$717</f>
        <v>11017.3109694639</v>
      </c>
      <c r="J779" s="54" t="n">
        <f aca="false">J766*$C$715+J767*$C$716+J768*$C$717</f>
        <v>12493.4680119989</v>
      </c>
      <c r="K779" s="54" t="n">
        <f aca="false">K766*$C$715+K767*$C$716+K768*$C$717</f>
        <v>13788.4791516488</v>
      </c>
      <c r="L779" s="54" t="n">
        <f aca="false">L766*$C$715+L767*$C$716+L768*$C$717</f>
        <v>13686.2321753766</v>
      </c>
      <c r="M779" s="54" t="n">
        <f aca="false">M766*$C$715+M767*$C$716+M768*$C$717</f>
        <v>13376.0094617332</v>
      </c>
      <c r="N779" s="54" t="n">
        <f aca="false">N766*$C$715+N767*$C$716+N768*$C$717</f>
        <v>13079.1678459094</v>
      </c>
      <c r="P779" s="55" t="n">
        <f aca="false">SUM(C779:F779)</f>
        <v>19684.5768391842</v>
      </c>
      <c r="Q779" s="55" t="n">
        <f aca="false">SUM(G779:J779)</f>
        <v>44552.059755297</v>
      </c>
      <c r="R779" s="55" t="n">
        <f aca="false">SUM(K779:N779)</f>
        <v>53929.888634668</v>
      </c>
      <c r="S779" s="56" t="n">
        <f aca="false">SUM(P779:R779)</f>
        <v>118166.525229149</v>
      </c>
    </row>
    <row r="780" customFormat="false" ht="15" hidden="false" customHeight="false" outlineLevel="0" collapsed="false">
      <c r="A780" s="9" t="s">
        <v>543</v>
      </c>
      <c r="B780" s="36" t="s">
        <v>125</v>
      </c>
      <c r="C780" s="55" t="n">
        <f aca="false">(0+C778)/8</f>
        <v>0</v>
      </c>
      <c r="D780" s="55" t="n">
        <f aca="false">(C778+D778)/8</f>
        <v>398.689377501372</v>
      </c>
      <c r="E780" s="55" t="n">
        <f aca="false">(D778+E778)/8</f>
        <v>1704.04524587385</v>
      </c>
      <c r="F780" s="55" t="n">
        <f aca="false">(E778+F778)/8</f>
        <v>3744.80107637381</v>
      </c>
      <c r="G780" s="55" t="n">
        <f aca="false">(F778+G778)/8</f>
        <v>6118.35074420189</v>
      </c>
      <c r="H780" s="55" t="n">
        <f aca="false">(G778+H778)/8</f>
        <v>8687.98525684552</v>
      </c>
      <c r="I780" s="55" t="n">
        <f aca="false">(H778+I778)/8</f>
        <v>11349.2885768471</v>
      </c>
      <c r="J780" s="55" t="n">
        <f aca="false">(I778+J778)/8</f>
        <v>14186.1415086628</v>
      </c>
      <c r="K780" s="55" t="n">
        <f aca="false">(J778+K778)/8</f>
        <v>17347.0248438538</v>
      </c>
      <c r="L780" s="55" t="n">
        <f aca="false">(K778+L778)/8</f>
        <v>20630.845014265</v>
      </c>
      <c r="M780" s="55" t="n">
        <f aca="false">(L778+M778)/8</f>
        <v>23836.7449285123</v>
      </c>
      <c r="N780" s="55" t="n">
        <f aca="false">(M778+N778)/8</f>
        <v>26942.1870137033</v>
      </c>
      <c r="P780" s="55" t="n">
        <f aca="false">SUM(C780:F780)</f>
        <v>5847.53569974904</v>
      </c>
      <c r="Q780" s="55" t="n">
        <f aca="false">SUM(G780:J780)</f>
        <v>40341.7660865573</v>
      </c>
      <c r="R780" s="55" t="n">
        <f aca="false">SUM(K780:N780)</f>
        <v>88756.8018003344</v>
      </c>
      <c r="S780" s="56" t="n">
        <f aca="false">SUM(P780:R780)</f>
        <v>134946.103586641</v>
      </c>
    </row>
    <row r="781" customFormat="false" ht="15" hidden="false" customHeight="false" outlineLevel="0" collapsed="false">
      <c r="A781" s="4" t="s">
        <v>544</v>
      </c>
      <c r="B781" s="36" t="s">
        <v>125</v>
      </c>
      <c r="C781" s="54" t="n">
        <f aca="false">C780*Assumptions!$D$76</f>
        <v>0</v>
      </c>
      <c r="D781" s="54" t="n">
        <f aca="false">D780*Assumptions!$D$76</f>
        <v>219.279157625755</v>
      </c>
      <c r="E781" s="54" t="n">
        <f aca="false">E780*Assumptions!$D$76</f>
        <v>937.22488523062</v>
      </c>
      <c r="F781" s="54" t="n">
        <f aca="false">F780*Assumptions!$D$76</f>
        <v>2059.6405920056</v>
      </c>
      <c r="G781" s="54" t="n">
        <f aca="false">G780*Assumptions!$D$76</f>
        <v>3365.09290931104</v>
      </c>
      <c r="H781" s="54" t="n">
        <f aca="false">H780*Assumptions!$D$76</f>
        <v>4778.39189126503</v>
      </c>
      <c r="I781" s="54" t="n">
        <f aca="false">I780*Assumptions!$D$76</f>
        <v>6242.1087172659</v>
      </c>
      <c r="J781" s="54" t="n">
        <f aca="false">J780*Assumptions!$D$76</f>
        <v>7802.37782976452</v>
      </c>
      <c r="K781" s="54" t="n">
        <f aca="false">K780*Assumptions!$D$76</f>
        <v>9540.86366411961</v>
      </c>
      <c r="L781" s="54" t="n">
        <f aca="false">L780*Assumptions!$D$76</f>
        <v>11346.9647578458</v>
      </c>
      <c r="M781" s="54" t="n">
        <f aca="false">M780*Assumptions!$D$76</f>
        <v>13110.2097106818</v>
      </c>
      <c r="N781" s="54" t="n">
        <f aca="false">N780*Assumptions!$D$76</f>
        <v>14818.2028575368</v>
      </c>
      <c r="P781" s="55" t="n">
        <f aca="false">SUM(C781:F781)</f>
        <v>3216.14463486197</v>
      </c>
      <c r="Q781" s="55" t="n">
        <f aca="false">SUM(G781:J781)</f>
        <v>22187.9713476065</v>
      </c>
      <c r="R781" s="55" t="n">
        <f aca="false">SUM(K781:N781)</f>
        <v>48816.2409901839</v>
      </c>
      <c r="S781" s="56" t="n">
        <f aca="false">SUM(P781:R781)</f>
        <v>74220.3569726524</v>
      </c>
    </row>
    <row r="782" customFormat="false" ht="15" hidden="false" customHeight="false" outlineLevel="0" collapsed="false">
      <c r="A782" s="35" t="s">
        <v>547</v>
      </c>
      <c r="B782" s="35" t="s">
        <v>444</v>
      </c>
      <c r="C782" s="6" t="s">
        <v>354</v>
      </c>
      <c r="D782" s="6" t="s">
        <v>355</v>
      </c>
      <c r="E782" s="6" t="s">
        <v>356</v>
      </c>
      <c r="F782" s="6" t="s">
        <v>357</v>
      </c>
      <c r="G782" s="6" t="s">
        <v>358</v>
      </c>
      <c r="H782" s="6" t="s">
        <v>359</v>
      </c>
      <c r="I782" s="6" t="s">
        <v>360</v>
      </c>
      <c r="J782" s="6" t="s">
        <v>361</v>
      </c>
      <c r="K782" s="6" t="s">
        <v>362</v>
      </c>
      <c r="L782" s="6" t="s">
        <v>363</v>
      </c>
      <c r="M782" s="6" t="s">
        <v>364</v>
      </c>
      <c r="N782" s="6" t="s">
        <v>365</v>
      </c>
      <c r="P782" s="6" t="s">
        <v>445</v>
      </c>
      <c r="Q782" s="6" t="s">
        <v>446</v>
      </c>
      <c r="R782" s="6" t="s">
        <v>447</v>
      </c>
      <c r="S782" s="6" t="s">
        <v>448</v>
      </c>
    </row>
    <row r="783" customFormat="false" ht="15" hidden="false" customHeight="false" outlineLevel="0" collapsed="false">
      <c r="A783" s="4" t="s">
        <v>548</v>
      </c>
      <c r="B783" s="36" t="s">
        <v>321</v>
      </c>
      <c r="C783" s="48" t="n">
        <f aca="false">Assumptions!$E$97*C725</f>
        <v>1</v>
      </c>
      <c r="D783" s="48" t="n">
        <f aca="false">Assumptions!$E$97*D725</f>
        <v>1</v>
      </c>
      <c r="E783" s="48" t="n">
        <f aca="false">Assumptions!$E$97*E725</f>
        <v>1</v>
      </c>
      <c r="F783" s="48" t="n">
        <f aca="false">Assumptions!$E$97*F725</f>
        <v>1</v>
      </c>
      <c r="G783" s="48" t="n">
        <f aca="false">Assumptions!$E$97*G725</f>
        <v>1</v>
      </c>
      <c r="H783" s="48" t="n">
        <f aca="false">Assumptions!$E$97*H725</f>
        <v>1</v>
      </c>
      <c r="I783" s="48" t="n">
        <f aca="false">Assumptions!$E$97*I725</f>
        <v>1</v>
      </c>
      <c r="J783" s="48" t="n">
        <f aca="false">Assumptions!$E$97*J725</f>
        <v>1</v>
      </c>
      <c r="K783" s="48" t="n">
        <f aca="false">Assumptions!$E$97*K725</f>
        <v>1</v>
      </c>
      <c r="L783" s="48" t="n">
        <f aca="false">Assumptions!$E$97*L725</f>
        <v>1</v>
      </c>
      <c r="M783" s="48" t="n">
        <f aca="false">Assumptions!$E$97*M725</f>
        <v>1</v>
      </c>
      <c r="N783" s="48" t="n">
        <f aca="false">Assumptions!$E$97*N725</f>
        <v>1</v>
      </c>
      <c r="P783" s="49" t="n">
        <f aca="false">AVERAGE(C783:F783)</f>
        <v>1</v>
      </c>
      <c r="Q783" s="49" t="n">
        <f aca="false">AVERAGE(G783:J783)</f>
        <v>1</v>
      </c>
      <c r="R783" s="49" t="n">
        <f aca="false">AVERAGE(K783:N783)</f>
        <v>1</v>
      </c>
      <c r="S783" s="50"/>
    </row>
    <row r="784" customFormat="false" ht="15" hidden="false" customHeight="false" outlineLevel="0" collapsed="false">
      <c r="A784" s="4" t="s">
        <v>549</v>
      </c>
      <c r="B784" s="36" t="s">
        <v>321</v>
      </c>
      <c r="C784" s="48" t="n">
        <f aca="false">C738*C725</f>
        <v>2</v>
      </c>
      <c r="D784" s="48" t="n">
        <f aca="false">D738*D725</f>
        <v>2</v>
      </c>
      <c r="E784" s="48" t="n">
        <f aca="false">E738*E725</f>
        <v>3</v>
      </c>
      <c r="F784" s="48" t="n">
        <f aca="false">F738*F725</f>
        <v>3</v>
      </c>
      <c r="G784" s="48" t="n">
        <f aca="false">G738*G725</f>
        <v>4</v>
      </c>
      <c r="H784" s="48" t="n">
        <f aca="false">H738*H725</f>
        <v>4</v>
      </c>
      <c r="I784" s="48" t="n">
        <f aca="false">I738*I725</f>
        <v>5</v>
      </c>
      <c r="J784" s="48" t="n">
        <f aca="false">J738*J725</f>
        <v>5</v>
      </c>
      <c r="K784" s="48" t="n">
        <f aca="false">K738*K725</f>
        <v>6</v>
      </c>
      <c r="L784" s="48" t="n">
        <f aca="false">L738*L725</f>
        <v>6</v>
      </c>
      <c r="M784" s="48" t="n">
        <f aca="false">M738*M725</f>
        <v>6</v>
      </c>
      <c r="N784" s="48" t="n">
        <f aca="false">N738*N725</f>
        <v>6</v>
      </c>
      <c r="P784" s="49" t="n">
        <f aca="false">AVERAGE(C784:F784)</f>
        <v>2.5</v>
      </c>
      <c r="Q784" s="49" t="n">
        <f aca="false">AVERAGE(G784:J784)</f>
        <v>4.5</v>
      </c>
      <c r="R784" s="49" t="n">
        <f aca="false">AVERAGE(K784:N784)</f>
        <v>6</v>
      </c>
      <c r="S784" s="50"/>
    </row>
    <row r="785" customFormat="false" ht="15" hidden="false" customHeight="false" outlineLevel="0" collapsed="false">
      <c r="A785" s="4" t="s">
        <v>550</v>
      </c>
      <c r="B785" s="36" t="s">
        <v>321</v>
      </c>
      <c r="C785" s="48" t="n">
        <f aca="false">IF(C724&lt;=4,Assumptions!$E$98,Assumptions!$E$99)*C725</f>
        <v>1</v>
      </c>
      <c r="D785" s="48" t="n">
        <f aca="false">IF(D724&lt;=4,Assumptions!$E$98,Assumptions!$E$99)*D725</f>
        <v>1</v>
      </c>
      <c r="E785" s="48" t="n">
        <f aca="false">IF(E724&lt;=4,Assumptions!$E$98,Assumptions!$E$99)*E725</f>
        <v>1</v>
      </c>
      <c r="F785" s="48" t="n">
        <f aca="false">IF(F724&lt;=4,Assumptions!$E$98,Assumptions!$E$99)*F725</f>
        <v>1</v>
      </c>
      <c r="G785" s="48" t="n">
        <f aca="false">IF(G724&lt;=4,Assumptions!$E$98,Assumptions!$E$99)*G725</f>
        <v>1</v>
      </c>
      <c r="H785" s="48" t="n">
        <f aca="false">IF(H724&lt;=4,Assumptions!$E$98,Assumptions!$E$99)*H725</f>
        <v>1</v>
      </c>
      <c r="I785" s="48" t="n">
        <f aca="false">IF(I724&lt;=4,Assumptions!$E$98,Assumptions!$E$99)*I725</f>
        <v>1</v>
      </c>
      <c r="J785" s="48" t="n">
        <f aca="false">IF(J724&lt;=4,Assumptions!$E$98,Assumptions!$E$99)*J725</f>
        <v>1</v>
      </c>
      <c r="K785" s="48" t="n">
        <f aca="false">IF(K724&lt;=4,Assumptions!$E$98,Assumptions!$E$99)*K725</f>
        <v>1</v>
      </c>
      <c r="L785" s="48" t="n">
        <f aca="false">IF(L724&lt;=4,Assumptions!$E$98,Assumptions!$E$99)*L725</f>
        <v>1</v>
      </c>
      <c r="M785" s="48" t="n">
        <f aca="false">IF(M724&lt;=4,Assumptions!$E$98,Assumptions!$E$99)*M725</f>
        <v>1</v>
      </c>
      <c r="N785" s="48" t="n">
        <f aca="false">IF(N724&lt;=4,Assumptions!$E$98,Assumptions!$E$99)*N725</f>
        <v>1</v>
      </c>
      <c r="P785" s="49" t="n">
        <f aca="false">AVERAGE(C785:F785)</f>
        <v>1</v>
      </c>
      <c r="Q785" s="49" t="n">
        <f aca="false">AVERAGE(G785:J785)</f>
        <v>1</v>
      </c>
      <c r="R785" s="49" t="n">
        <f aca="false">AVERAGE(K785:N785)</f>
        <v>1</v>
      </c>
      <c r="S785" s="50"/>
    </row>
    <row r="786" customFormat="false" ht="15" hidden="false" customHeight="false" outlineLevel="0" collapsed="false">
      <c r="A786" s="4" t="s">
        <v>551</v>
      </c>
      <c r="B786" s="36" t="s">
        <v>321</v>
      </c>
      <c r="C786" s="48" t="n">
        <f aca="false">IF(C724&lt;=4,Assumptions!$E$100,Assumptions!$E$101)*C725</f>
        <v>1</v>
      </c>
      <c r="D786" s="48" t="n">
        <f aca="false">IF(D724&lt;=4,Assumptions!$E$100,Assumptions!$E$101)*D725</f>
        <v>1</v>
      </c>
      <c r="E786" s="48" t="n">
        <f aca="false">IF(E724&lt;=4,Assumptions!$E$100,Assumptions!$E$101)*E725</f>
        <v>1</v>
      </c>
      <c r="F786" s="48" t="n">
        <f aca="false">IF(F724&lt;=4,Assumptions!$E$100,Assumptions!$E$101)*F725</f>
        <v>1</v>
      </c>
      <c r="G786" s="48" t="n">
        <f aca="false">IF(G724&lt;=4,Assumptions!$E$100,Assumptions!$E$101)*G725</f>
        <v>0.5</v>
      </c>
      <c r="H786" s="48" t="n">
        <f aca="false">IF(H724&lt;=4,Assumptions!$E$100,Assumptions!$E$101)*H725</f>
        <v>0.5</v>
      </c>
      <c r="I786" s="48" t="n">
        <f aca="false">IF(I724&lt;=4,Assumptions!$E$100,Assumptions!$E$101)*I725</f>
        <v>0.5</v>
      </c>
      <c r="J786" s="48" t="n">
        <f aca="false">IF(J724&lt;=4,Assumptions!$E$100,Assumptions!$E$101)*J725</f>
        <v>0.5</v>
      </c>
      <c r="K786" s="48" t="n">
        <f aca="false">IF(K724&lt;=4,Assumptions!$E$100,Assumptions!$E$101)*K725</f>
        <v>0.5</v>
      </c>
      <c r="L786" s="48" t="n">
        <f aca="false">IF(L724&lt;=4,Assumptions!$E$100,Assumptions!$E$101)*L725</f>
        <v>0.5</v>
      </c>
      <c r="M786" s="48" t="n">
        <f aca="false">IF(M724&lt;=4,Assumptions!$E$100,Assumptions!$E$101)*M725</f>
        <v>0.5</v>
      </c>
      <c r="N786" s="48" t="n">
        <f aca="false">IF(N724&lt;=4,Assumptions!$E$100,Assumptions!$E$101)*N725</f>
        <v>0.5</v>
      </c>
      <c r="P786" s="49" t="n">
        <f aca="false">AVERAGE(C786:F786)</f>
        <v>1</v>
      </c>
      <c r="Q786" s="49" t="n">
        <f aca="false">AVERAGE(G786:J786)</f>
        <v>0.5</v>
      </c>
      <c r="R786" s="49" t="n">
        <f aca="false">AVERAGE(K786:N786)</f>
        <v>0.5</v>
      </c>
      <c r="S786" s="50"/>
    </row>
    <row r="787" customFormat="false" ht="15" hidden="false" customHeight="false" outlineLevel="0" collapsed="false">
      <c r="A787" s="4" t="s">
        <v>552</v>
      </c>
      <c r="B787" s="36" t="s">
        <v>321</v>
      </c>
      <c r="C787" s="48" t="n">
        <f aca="false">Assumptions!$E$102*C725</f>
        <v>0.5</v>
      </c>
      <c r="D787" s="48" t="n">
        <f aca="false">Assumptions!$E$102*D725</f>
        <v>0.5</v>
      </c>
      <c r="E787" s="48" t="n">
        <f aca="false">Assumptions!$E$102*E725</f>
        <v>0.5</v>
      </c>
      <c r="F787" s="48" t="n">
        <f aca="false">Assumptions!$E$102*F725</f>
        <v>0.5</v>
      </c>
      <c r="G787" s="48" t="n">
        <f aca="false">Assumptions!$E$102*G725</f>
        <v>0.5</v>
      </c>
      <c r="H787" s="48" t="n">
        <f aca="false">Assumptions!$E$102*H725</f>
        <v>0.5</v>
      </c>
      <c r="I787" s="48" t="n">
        <f aca="false">Assumptions!$E$102*I725</f>
        <v>0.5</v>
      </c>
      <c r="J787" s="48" t="n">
        <f aca="false">Assumptions!$E$102*J725</f>
        <v>0.5</v>
      </c>
      <c r="K787" s="48" t="n">
        <f aca="false">Assumptions!$E$102*K725</f>
        <v>0.5</v>
      </c>
      <c r="L787" s="48" t="n">
        <f aca="false">Assumptions!$E$102*L725</f>
        <v>0.5</v>
      </c>
      <c r="M787" s="48" t="n">
        <f aca="false">Assumptions!$E$102*M725</f>
        <v>0.5</v>
      </c>
      <c r="N787" s="48" t="n">
        <f aca="false">Assumptions!$E$102*N725</f>
        <v>0.5</v>
      </c>
      <c r="P787" s="49" t="n">
        <f aca="false">AVERAGE(C787:F787)</f>
        <v>0.5</v>
      </c>
      <c r="Q787" s="49" t="n">
        <f aca="false">AVERAGE(G787:J787)</f>
        <v>0.5</v>
      </c>
      <c r="R787" s="49" t="n">
        <f aca="false">AVERAGE(K787:N787)</f>
        <v>0.5</v>
      </c>
      <c r="S787" s="50"/>
    </row>
    <row r="788" customFormat="false" ht="15" hidden="false" customHeight="false" outlineLevel="0" collapsed="false">
      <c r="A788" s="4" t="s">
        <v>553</v>
      </c>
      <c r="B788" s="36" t="s">
        <v>321</v>
      </c>
      <c r="C788" s="48" t="n">
        <f aca="false">(C772+C773)/Assumptions!$D$74+C771/Assumptions!$D$75</f>
        <v>0</v>
      </c>
      <c r="D788" s="48" t="n">
        <f aca="false">(D772+D773)/Assumptions!$D$74+D771/Assumptions!$D$75</f>
        <v>0.00584226734278307</v>
      </c>
      <c r="E788" s="48" t="n">
        <f aca="false">(E772+E773)/Assumptions!$D$74+E771/Assumptions!$D$75</f>
        <v>0.0177478298876863</v>
      </c>
      <c r="F788" s="48" t="n">
        <f aca="false">(F772+F773)/Assumptions!$D$74+F771/Assumptions!$D$75</f>
        <v>0.0314561086190774</v>
      </c>
      <c r="G788" s="48" t="n">
        <f aca="false">(G772+G773)/Assumptions!$D$74+G771/Assumptions!$D$75</f>
        <v>0.0459715273030536</v>
      </c>
      <c r="H788" s="48" t="n">
        <f aca="false">(H772+H773)/Assumptions!$D$74+H771/Assumptions!$D$75</f>
        <v>0.061177819852396</v>
      </c>
      <c r="I788" s="48" t="n">
        <f aca="false">(I772+I773)/Assumptions!$D$74+I771/Assumptions!$D$75</f>
        <v>0.0757492275608391</v>
      </c>
      <c r="J788" s="48" t="n">
        <f aca="false">(J772+J773)/Assumptions!$D$74+J771/Assumptions!$D$75</f>
        <v>0.0923922763936567</v>
      </c>
      <c r="K788" s="48" t="n">
        <f aca="false">(K772+K773)/Assumptions!$D$74+K771/Assumptions!$D$75</f>
        <v>0.110398447039959</v>
      </c>
      <c r="L788" s="48" t="n">
        <f aca="false">(L772+L773)/Assumptions!$D$74+L771/Assumptions!$D$75</f>
        <v>0.127357450194026</v>
      </c>
      <c r="M788" s="48" t="n">
        <f aca="false">(M772+M773)/Assumptions!$D$74+M771/Assumptions!$D$75</f>
        <v>0.143208911616391</v>
      </c>
      <c r="N788" s="48" t="n">
        <f aca="false">(N772+N773)/Assumptions!$D$74+N771/Assumptions!$D$75</f>
        <v>0.158015145708768</v>
      </c>
      <c r="P788" s="49" t="n">
        <f aca="false">AVERAGE(C788:F788)</f>
        <v>0.0137615514623867</v>
      </c>
      <c r="Q788" s="49" t="n">
        <f aca="false">AVERAGE(G788:J788)</f>
        <v>0.0688227127774864</v>
      </c>
      <c r="R788" s="49" t="n">
        <f aca="false">AVERAGE(K788:N788)</f>
        <v>0.134744988639786</v>
      </c>
      <c r="S788" s="50"/>
    </row>
    <row r="789" customFormat="false" ht="15" hidden="false" customHeight="false" outlineLevel="0" collapsed="false">
      <c r="A789" s="4" t="s">
        <v>554</v>
      </c>
      <c r="B789" s="36" t="s">
        <v>125</v>
      </c>
      <c r="C789" s="54" t="n">
        <f aca="false">(C783+C785)*Assumptions!$D$70/Assumptions!$D$69/4</f>
        <v>133507.142857143</v>
      </c>
      <c r="D789" s="54" t="n">
        <f aca="false">(D783+D785)*Assumptions!$D$70/Assumptions!$D$69/4</f>
        <v>133507.142857143</v>
      </c>
      <c r="E789" s="54" t="n">
        <f aca="false">(E783+E785)*Assumptions!$D$70/Assumptions!$D$69/4</f>
        <v>133507.142857143</v>
      </c>
      <c r="F789" s="54" t="n">
        <f aca="false">(F783+F785)*Assumptions!$D$70/Assumptions!$D$69/4</f>
        <v>133507.142857143</v>
      </c>
      <c r="G789" s="54" t="n">
        <f aca="false">(G783+G785)*Assumptions!$D$70/Assumptions!$D$69/4</f>
        <v>133507.142857143</v>
      </c>
      <c r="H789" s="54" t="n">
        <f aca="false">(H783+H785)*Assumptions!$D$70/Assumptions!$D$69/4</f>
        <v>133507.142857143</v>
      </c>
      <c r="I789" s="54" t="n">
        <f aca="false">(I783+I785)*Assumptions!$D$70/Assumptions!$D$69/4</f>
        <v>133507.142857143</v>
      </c>
      <c r="J789" s="54" t="n">
        <f aca="false">(J783+J785)*Assumptions!$D$70/Assumptions!$D$69/4</f>
        <v>133507.142857143</v>
      </c>
      <c r="K789" s="54" t="n">
        <f aca="false">(K783+K785)*Assumptions!$D$70/Assumptions!$D$69/4</f>
        <v>133507.142857143</v>
      </c>
      <c r="L789" s="54" t="n">
        <f aca="false">(L783+L785)*Assumptions!$D$70/Assumptions!$D$69/4</f>
        <v>133507.142857143</v>
      </c>
      <c r="M789" s="54" t="n">
        <f aca="false">(M783+M785)*Assumptions!$D$70/Assumptions!$D$69/4</f>
        <v>133507.142857143</v>
      </c>
      <c r="N789" s="54" t="n">
        <f aca="false">(N783+N785)*Assumptions!$D$70/Assumptions!$D$69/4</f>
        <v>133507.142857143</v>
      </c>
      <c r="P789" s="55" t="n">
        <f aca="false">SUM(C789:F789)</f>
        <v>534028.571428572</v>
      </c>
      <c r="Q789" s="55" t="n">
        <f aca="false">SUM(G789:J789)</f>
        <v>534028.571428572</v>
      </c>
      <c r="R789" s="55" t="n">
        <f aca="false">SUM(K789:N789)</f>
        <v>534028.571428572</v>
      </c>
      <c r="S789" s="56" t="n">
        <f aca="false">SUM(P789:R789)</f>
        <v>1602085.71428571</v>
      </c>
    </row>
    <row r="790" customFormat="false" ht="15" hidden="false" customHeight="false" outlineLevel="0" collapsed="false">
      <c r="A790" s="4" t="s">
        <v>555</v>
      </c>
      <c r="B790" s="36" t="s">
        <v>125</v>
      </c>
      <c r="C790" s="54" t="n">
        <f aca="false">C784*$C$719/4</f>
        <v>142857.142857143</v>
      </c>
      <c r="D790" s="54" t="n">
        <f aca="false">D784*$C$719/4</f>
        <v>142857.142857143</v>
      </c>
      <c r="E790" s="54" t="n">
        <f aca="false">E784*$C$719/4</f>
        <v>214285.714285714</v>
      </c>
      <c r="F790" s="54" t="n">
        <f aca="false">F784*$C$719/4</f>
        <v>214285.714285714</v>
      </c>
      <c r="G790" s="54" t="n">
        <f aca="false">G784*$C$719/4</f>
        <v>285714.285714286</v>
      </c>
      <c r="H790" s="54" t="n">
        <f aca="false">H784*$C$719/4</f>
        <v>285714.285714286</v>
      </c>
      <c r="I790" s="54" t="n">
        <f aca="false">I784*$C$719/4</f>
        <v>357142.857142857</v>
      </c>
      <c r="J790" s="54" t="n">
        <f aca="false">J784*$C$719/4</f>
        <v>357142.857142857</v>
      </c>
      <c r="K790" s="54" t="n">
        <f aca="false">K784*$C$719/4</f>
        <v>428571.428571429</v>
      </c>
      <c r="L790" s="54" t="n">
        <f aca="false">L784*$C$719/4</f>
        <v>428571.428571429</v>
      </c>
      <c r="M790" s="54" t="n">
        <f aca="false">M784*$C$719/4</f>
        <v>428571.428571429</v>
      </c>
      <c r="N790" s="54" t="n">
        <f aca="false">N784*$C$719/4</f>
        <v>428571.428571429</v>
      </c>
      <c r="P790" s="55" t="n">
        <f aca="false">SUM(C790:F790)</f>
        <v>714285.714285714</v>
      </c>
      <c r="Q790" s="55" t="n">
        <f aca="false">SUM(G790:J790)</f>
        <v>1285714.28571429</v>
      </c>
      <c r="R790" s="55" t="n">
        <f aca="false">SUM(K790:N790)</f>
        <v>1714285.71428571</v>
      </c>
      <c r="S790" s="56" t="n">
        <f aca="false">SUM(P790:R790)</f>
        <v>3714285.71428571</v>
      </c>
    </row>
    <row r="791" customFormat="false" ht="15" hidden="false" customHeight="false" outlineLevel="0" collapsed="false">
      <c r="A791" s="4" t="s">
        <v>556</v>
      </c>
      <c r="B791" s="36" t="s">
        <v>125</v>
      </c>
      <c r="C791" s="54" t="n">
        <f aca="false">MAX(0,(C779-C760*$C$715)-C739*$C$720)*$C$721*Assumptions!$E$105</f>
        <v>0</v>
      </c>
      <c r="D791" s="54" t="n">
        <f aca="false">MAX(0,(D779-D760*$C$715)-D739*$C$720)*$C$721*Assumptions!$E$105</f>
        <v>0</v>
      </c>
      <c r="E791" s="54" t="n">
        <f aca="false">MAX(0,(E779-E760*$C$715)-E739*$C$720)*$C$721*Assumptions!$E$105</f>
        <v>0</v>
      </c>
      <c r="F791" s="54" t="n">
        <f aca="false">MAX(0,(F779-F760*$C$715)-F739*$C$720)*$C$721*Assumptions!$E$105</f>
        <v>0</v>
      </c>
      <c r="G791" s="54" t="n">
        <f aca="false">MAX(0,(G779-G760*$C$715)-G739*$C$720)*$C$721*Assumptions!$E$105</f>
        <v>0</v>
      </c>
      <c r="H791" s="54" t="n">
        <f aca="false">MAX(0,(H779-H760*$C$715)-H739*$C$720)*$C$721*Assumptions!$E$105</f>
        <v>0</v>
      </c>
      <c r="I791" s="54" t="n">
        <f aca="false">MAX(0,(I779-I760*$C$715)-I739*$C$720)*$C$721*Assumptions!$E$105</f>
        <v>0</v>
      </c>
      <c r="J791" s="54" t="n">
        <f aca="false">MAX(0,(J779-J760*$C$715)-J739*$C$720)*$C$721*Assumptions!$E$105</f>
        <v>0</v>
      </c>
      <c r="K791" s="54" t="n">
        <f aca="false">MAX(0,(K779-K760*$C$715)-K739*$C$720)*$C$721*Assumptions!$E$105</f>
        <v>0</v>
      </c>
      <c r="L791" s="54" t="n">
        <f aca="false">MAX(0,(L779-L760*$C$715)-L739*$C$720)*$C$721*Assumptions!$E$105</f>
        <v>0</v>
      </c>
      <c r="M791" s="54" t="n">
        <f aca="false">MAX(0,(M779-M760*$C$715)-M739*$C$720)*$C$721*Assumptions!$E$105</f>
        <v>0</v>
      </c>
      <c r="N791" s="54" t="n">
        <f aca="false">MAX(0,(N779-N760*$C$715)-N739*$C$720)*$C$721*Assumptions!$E$105</f>
        <v>0</v>
      </c>
      <c r="P791" s="55" t="n">
        <f aca="false">SUM(C791:F791)</f>
        <v>0</v>
      </c>
      <c r="Q791" s="55" t="n">
        <f aca="false">SUM(G791:J791)</f>
        <v>0</v>
      </c>
      <c r="R791" s="55" t="n">
        <f aca="false">SUM(K791:N791)</f>
        <v>0</v>
      </c>
      <c r="S791" s="56" t="n">
        <f aca="false">SUM(P791:R791)</f>
        <v>0</v>
      </c>
    </row>
    <row r="792" customFormat="false" ht="15" hidden="false" customHeight="false" outlineLevel="0" collapsed="false">
      <c r="A792" s="4" t="s">
        <v>557</v>
      </c>
      <c r="B792" s="36" t="s">
        <v>125</v>
      </c>
      <c r="C792" s="54" t="n">
        <f aca="false">C787*Assumptions!$D$71/Assumptions!$D$69/4</f>
        <v>36951.7857142857</v>
      </c>
      <c r="D792" s="54" t="n">
        <f aca="false">D787*Assumptions!$D$71/Assumptions!$D$69/4</f>
        <v>36951.7857142857</v>
      </c>
      <c r="E792" s="54" t="n">
        <f aca="false">E787*Assumptions!$D$71/Assumptions!$D$69/4</f>
        <v>36951.7857142857</v>
      </c>
      <c r="F792" s="54" t="n">
        <f aca="false">F787*Assumptions!$D$71/Assumptions!$D$69/4</f>
        <v>36951.7857142857</v>
      </c>
      <c r="G792" s="54" t="n">
        <f aca="false">G787*Assumptions!$D$71/Assumptions!$D$69/4</f>
        <v>36951.7857142857</v>
      </c>
      <c r="H792" s="54" t="n">
        <f aca="false">H787*Assumptions!$D$71/Assumptions!$D$69/4</f>
        <v>36951.7857142857</v>
      </c>
      <c r="I792" s="54" t="n">
        <f aca="false">I787*Assumptions!$D$71/Assumptions!$D$69/4</f>
        <v>36951.7857142857</v>
      </c>
      <c r="J792" s="54" t="n">
        <f aca="false">J787*Assumptions!$D$71/Assumptions!$D$69/4</f>
        <v>36951.7857142857</v>
      </c>
      <c r="K792" s="54" t="n">
        <f aca="false">K787*Assumptions!$D$71/Assumptions!$D$69/4</f>
        <v>36951.7857142857</v>
      </c>
      <c r="L792" s="54" t="n">
        <f aca="false">L787*Assumptions!$D$71/Assumptions!$D$69/4</f>
        <v>36951.7857142857</v>
      </c>
      <c r="M792" s="54" t="n">
        <f aca="false">M787*Assumptions!$D$71/Assumptions!$D$69/4</f>
        <v>36951.7857142857</v>
      </c>
      <c r="N792" s="54" t="n">
        <f aca="false">N787*Assumptions!$D$71/Assumptions!$D$69/4</f>
        <v>36951.7857142857</v>
      </c>
      <c r="P792" s="55" t="n">
        <f aca="false">SUM(C792:F792)</f>
        <v>147807.142857143</v>
      </c>
      <c r="Q792" s="55" t="n">
        <f aca="false">SUM(G792:J792)</f>
        <v>147807.142857143</v>
      </c>
      <c r="R792" s="55" t="n">
        <f aca="false">SUM(K792:N792)</f>
        <v>147807.142857143</v>
      </c>
      <c r="S792" s="56" t="n">
        <f aca="false">SUM(P792:R792)</f>
        <v>443421.428571429</v>
      </c>
    </row>
    <row r="793" customFormat="false" ht="15" hidden="false" customHeight="false" outlineLevel="0" collapsed="false">
      <c r="A793" s="4" t="s">
        <v>558</v>
      </c>
      <c r="B793" s="36" t="s">
        <v>125</v>
      </c>
      <c r="C793" s="54" t="n">
        <f aca="false">(Assumptions!$E$103+Assumptions!$D$77*((C724=Assumptions!$D$13)+(C724=Assumptions!$D$14)+(C724=Assumptions!$D$15)))*C725</f>
        <v>100000</v>
      </c>
      <c r="D793" s="54" t="n">
        <f aca="false">(Assumptions!$E$103+Assumptions!$D$77*((D724=Assumptions!$D$13)+(D724=Assumptions!$D$14)+(D724=Assumptions!$D$15)))*D725</f>
        <v>60000</v>
      </c>
      <c r="E793" s="54" t="n">
        <f aca="false">(Assumptions!$E$103+Assumptions!$D$77*((E724=Assumptions!$D$13)+(E724=Assumptions!$D$14)+(E724=Assumptions!$D$15)))*E725</f>
        <v>60000</v>
      </c>
      <c r="F793" s="54" t="n">
        <f aca="false">(Assumptions!$E$103+Assumptions!$D$77*((F724=Assumptions!$D$13)+(F724=Assumptions!$D$14)+(F724=Assumptions!$D$15)))*F725</f>
        <v>60000</v>
      </c>
      <c r="G793" s="54" t="n">
        <f aca="false">(Assumptions!$E$103+Assumptions!$D$77*((G724=Assumptions!$D$13)+(G724=Assumptions!$D$14)+(G724=Assumptions!$D$15)))*G725</f>
        <v>60000</v>
      </c>
      <c r="H793" s="54" t="n">
        <f aca="false">(Assumptions!$E$103+Assumptions!$D$77*((H724=Assumptions!$D$13)+(H724=Assumptions!$D$14)+(H724=Assumptions!$D$15)))*H725</f>
        <v>60000</v>
      </c>
      <c r="I793" s="54" t="n">
        <f aca="false">(Assumptions!$E$103+Assumptions!$D$77*((I724=Assumptions!$D$13)+(I724=Assumptions!$D$14)+(I724=Assumptions!$D$15)))*I725</f>
        <v>100000</v>
      </c>
      <c r="J793" s="54" t="n">
        <f aca="false">(Assumptions!$E$103+Assumptions!$D$77*((J724=Assumptions!$D$13)+(J724=Assumptions!$D$14)+(J724=Assumptions!$D$15)))*J725</f>
        <v>60000</v>
      </c>
      <c r="K793" s="54" t="n">
        <f aca="false">(Assumptions!$E$103+Assumptions!$D$77*((K724=Assumptions!$D$13)+(K724=Assumptions!$D$14)+(K724=Assumptions!$D$15)))*K725</f>
        <v>60000</v>
      </c>
      <c r="L793" s="54" t="n">
        <f aca="false">(Assumptions!$E$103+Assumptions!$D$77*((L724=Assumptions!$D$13)+(L724=Assumptions!$D$14)+(L724=Assumptions!$D$15)))*L725</f>
        <v>60000</v>
      </c>
      <c r="M793" s="54" t="n">
        <f aca="false">(Assumptions!$E$103+Assumptions!$D$77*((M724=Assumptions!$D$13)+(M724=Assumptions!$D$14)+(M724=Assumptions!$D$15)))*M725</f>
        <v>60000</v>
      </c>
      <c r="N793" s="54" t="n">
        <f aca="false">(Assumptions!$E$103+Assumptions!$D$77*((N724=Assumptions!$D$13)+(N724=Assumptions!$D$14)+(N724=Assumptions!$D$15)))*N725</f>
        <v>60000</v>
      </c>
      <c r="P793" s="55" t="n">
        <f aca="false">SUM(C793:F793)</f>
        <v>280000</v>
      </c>
      <c r="Q793" s="55" t="n">
        <f aca="false">SUM(G793:J793)</f>
        <v>280000</v>
      </c>
      <c r="R793" s="55" t="n">
        <f aca="false">SUM(K793:N793)</f>
        <v>240000</v>
      </c>
      <c r="S793" s="56" t="n">
        <f aca="false">SUM(P793:R793)</f>
        <v>800000</v>
      </c>
    </row>
    <row r="794" customFormat="false" ht="15" hidden="false" customHeight="false" outlineLevel="0" collapsed="false">
      <c r="A794" s="4" t="s">
        <v>559</v>
      </c>
      <c r="B794" s="36" t="s">
        <v>125</v>
      </c>
      <c r="C794" s="54" t="n">
        <f aca="false">C779*C759*Assumptions!$D$79</f>
        <v>0</v>
      </c>
      <c r="D794" s="54" t="n">
        <f aca="false">D779*D759*Assumptions!$D$79</f>
        <v>173.524380914046</v>
      </c>
      <c r="E794" s="54" t="n">
        <f aca="false">E779*E759*Assumptions!$D$79</f>
        <v>399.768276175144</v>
      </c>
      <c r="F794" s="54" t="n">
        <f aca="false">F779*F759*Assumptions!$D$79</f>
        <v>657.235920348777</v>
      </c>
      <c r="G794" s="54" t="n">
        <f aca="false">G779*G759*Assumptions!$D$79</f>
        <v>886.76904902219</v>
      </c>
      <c r="H794" s="54" t="n">
        <f aca="false">H779*H759*Assumptions!$D$79</f>
        <v>1110.57372087283</v>
      </c>
      <c r="I794" s="54" t="n">
        <f aca="false">I779*I759*Assumptions!$D$79</f>
        <v>1132.32855611578</v>
      </c>
      <c r="J794" s="54" t="n">
        <f aca="false">J779*J759*Assumptions!$D$79</f>
        <v>1091.44710045235</v>
      </c>
      <c r="K794" s="54" t="n">
        <f aca="false">K779*K759*Assumptions!$D$79</f>
        <v>1088.67454072814</v>
      </c>
      <c r="L794" s="54" t="n">
        <f aca="false">L779*L759*Assumptions!$D$79</f>
        <v>1105.97016069284</v>
      </c>
      <c r="M794" s="54" t="n">
        <f aca="false">M779*M759*Assumptions!$D$79</f>
        <v>1105.88680171267</v>
      </c>
      <c r="N794" s="54" t="n">
        <f aca="false">N779*N759*Assumptions!$D$79</f>
        <v>1105.76359943564</v>
      </c>
      <c r="P794" s="55" t="n">
        <f aca="false">SUM(C794:F794)</f>
        <v>1230.52857743797</v>
      </c>
      <c r="Q794" s="55" t="n">
        <f aca="false">SUM(G794:J794)</f>
        <v>4221.11842646315</v>
      </c>
      <c r="R794" s="55" t="n">
        <f aca="false">SUM(K794:N794)</f>
        <v>4406.29510256929</v>
      </c>
      <c r="S794" s="56" t="n">
        <f aca="false">SUM(P794:R794)</f>
        <v>9857.94210647041</v>
      </c>
    </row>
    <row r="795" customFormat="false" ht="15" hidden="false" customHeight="false" outlineLevel="0" collapsed="false">
      <c r="A795" s="4" t="s">
        <v>560</v>
      </c>
      <c r="B795" s="36" t="s">
        <v>125</v>
      </c>
      <c r="C795" s="54" t="n">
        <f aca="false">C744*Assumptions!$D$80</f>
        <v>2000</v>
      </c>
      <c r="D795" s="54" t="n">
        <f aca="false">D744*Assumptions!$D$80</f>
        <v>4000</v>
      </c>
      <c r="E795" s="54" t="n">
        <f aca="false">E744*Assumptions!$D$80</f>
        <v>6000</v>
      </c>
      <c r="F795" s="54" t="n">
        <f aca="false">F744*Assumptions!$D$80</f>
        <v>8000</v>
      </c>
      <c r="G795" s="54" t="n">
        <f aca="false">G744*Assumptions!$D$80</f>
        <v>10000</v>
      </c>
      <c r="H795" s="54" t="n">
        <f aca="false">H744*Assumptions!$D$80</f>
        <v>10000</v>
      </c>
      <c r="I795" s="54" t="n">
        <f aca="false">I744*Assumptions!$D$80</f>
        <v>10000</v>
      </c>
      <c r="J795" s="54" t="n">
        <f aca="false">J744*Assumptions!$D$80</f>
        <v>10000</v>
      </c>
      <c r="K795" s="54" t="n">
        <f aca="false">K744*Assumptions!$D$80</f>
        <v>10000</v>
      </c>
      <c r="L795" s="54" t="n">
        <f aca="false">L744*Assumptions!$D$80</f>
        <v>10000</v>
      </c>
      <c r="M795" s="54" t="n">
        <f aca="false">M744*Assumptions!$D$80</f>
        <v>10000</v>
      </c>
      <c r="N795" s="54" t="n">
        <f aca="false">N744*Assumptions!$D$80</f>
        <v>10000</v>
      </c>
      <c r="P795" s="55" t="n">
        <f aca="false">SUM(C795:F795)</f>
        <v>20000</v>
      </c>
      <c r="Q795" s="55" t="n">
        <f aca="false">SUM(G795:J795)</f>
        <v>40000</v>
      </c>
      <c r="R795" s="55" t="n">
        <f aca="false">SUM(K795:N795)</f>
        <v>40000</v>
      </c>
      <c r="S795" s="56" t="n">
        <f aca="false">SUM(P795:R795)</f>
        <v>100000</v>
      </c>
    </row>
    <row r="796" customFormat="false" ht="15" hidden="false" customHeight="false" outlineLevel="0" collapsed="false">
      <c r="A796" s="4" t="s">
        <v>561</v>
      </c>
      <c r="B796" s="36" t="s">
        <v>125</v>
      </c>
      <c r="C796" s="54" t="n">
        <f aca="false">(C767*$C$716+C768*$C$717)*Assumptions!$D$81</f>
        <v>0</v>
      </c>
      <c r="D796" s="54" t="n">
        <f aca="false">(D767*$C$716+D768*$C$717)*Assumptions!$D$81</f>
        <v>259.492638722624</v>
      </c>
      <c r="E796" s="54" t="n">
        <f aca="false">(E767*$C$716+E768*$C$717)*Assumptions!$D$81</f>
        <v>708.022253910124</v>
      </c>
      <c r="F796" s="54" t="n">
        <f aca="false">(F767*$C$716+F768*$C$717)*Assumptions!$D$81</f>
        <v>975.049823461141</v>
      </c>
      <c r="G796" s="54" t="n">
        <f aca="false">(G767*$C$716+G768*$C$717)*Assumptions!$D$81</f>
        <v>1083.90322493273</v>
      </c>
      <c r="H796" s="54" t="n">
        <f aca="false">(H767*$C$716+H768*$C$717)*Assumptions!$D$81</f>
        <v>1172.30074188687</v>
      </c>
      <c r="I796" s="54" t="n">
        <f aca="false">(I767*$C$716+I768*$C$717)*Assumptions!$D$81</f>
        <v>1201.91359406658</v>
      </c>
      <c r="J796" s="54" t="n">
        <f aca="false">(J767*$C$716+J768*$C$717)*Assumptions!$D$81</f>
        <v>1309.14892480553</v>
      </c>
      <c r="K796" s="54" t="n">
        <f aca="false">(K767*$C$716+K768*$C$717)*Assumptions!$D$81</f>
        <v>1434.17833784054</v>
      </c>
      <c r="L796" s="54" t="n">
        <f aca="false">(L767*$C$716+L768*$C$717)*Assumptions!$D$81</f>
        <v>1444.08757712193</v>
      </c>
      <c r="M796" s="54" t="n">
        <f aca="false">(M767*$C$716+M768*$C$717)*Assumptions!$D$81</f>
        <v>1411.25950663926</v>
      </c>
      <c r="N796" s="54" t="n">
        <f aca="false">(N767*$C$716+N768*$C$717)*Assumptions!$D$81</f>
        <v>1379.8030065432</v>
      </c>
      <c r="P796" s="55" t="n">
        <f aca="false">SUM(C796:F796)</f>
        <v>1942.56471609389</v>
      </c>
      <c r="Q796" s="55" t="n">
        <f aca="false">SUM(G796:J796)</f>
        <v>4767.26648569171</v>
      </c>
      <c r="R796" s="55" t="n">
        <f aca="false">SUM(K796:N796)</f>
        <v>5669.32842814493</v>
      </c>
      <c r="S796" s="56" t="n">
        <f aca="false">SUM(P796:R796)</f>
        <v>12379.1596299305</v>
      </c>
    </row>
    <row r="797" customFormat="false" ht="15" hidden="false" customHeight="false" outlineLevel="0" collapsed="false">
      <c r="A797" s="9" t="s">
        <v>562</v>
      </c>
      <c r="B797" s="36" t="s">
        <v>125</v>
      </c>
      <c r="C797" s="55" t="n">
        <f aca="false">C789+C790+C791+C792+C793+C794+C795+C796</f>
        <v>415316.071428572</v>
      </c>
      <c r="D797" s="55" t="n">
        <f aca="false">D789+D790+D791+D792+D793+D794+D795+D796</f>
        <v>377749.088448208</v>
      </c>
      <c r="E797" s="55" t="n">
        <f aca="false">E789+E790+E791+E792+E793+E794+E795+E796</f>
        <v>451852.433387228</v>
      </c>
      <c r="F797" s="55" t="n">
        <f aca="false">F789+F790+F791+F792+F793+F794+F795+F796</f>
        <v>454376.928600953</v>
      </c>
      <c r="G797" s="55" t="n">
        <f aca="false">G789+G790+G791+G792+G793+G794+G795+G796</f>
        <v>528143.886559669</v>
      </c>
      <c r="H797" s="55" t="n">
        <f aca="false">H789+H790+H791+H792+H793+H794+H795+H796</f>
        <v>528456.088748474</v>
      </c>
      <c r="I797" s="55" t="n">
        <f aca="false">I789+I790+I791+I792+I793+I794+I795+I796</f>
        <v>639936.027864468</v>
      </c>
      <c r="J797" s="55" t="n">
        <f aca="false">J789+J790+J791+J792+J793+J794+J795+J796</f>
        <v>600002.381739544</v>
      </c>
      <c r="K797" s="55" t="n">
        <f aca="false">K789+K790+K791+K792+K793+K794+K795+K796</f>
        <v>671553.210021426</v>
      </c>
      <c r="L797" s="55" t="n">
        <f aca="false">L789+L790+L791+L792+L793+L794+L795+L796</f>
        <v>671580.414880672</v>
      </c>
      <c r="M797" s="55" t="n">
        <f aca="false">M789+M790+M791+M792+M793+M794+M795+M796</f>
        <v>671547.503451209</v>
      </c>
      <c r="N797" s="55" t="n">
        <f aca="false">N789+N790+N791+N792+N793+N794+N795+N796</f>
        <v>671515.923748836</v>
      </c>
      <c r="P797" s="55" t="n">
        <f aca="false">SUM(C797:F797)</f>
        <v>1699294.52186496</v>
      </c>
      <c r="Q797" s="55" t="n">
        <f aca="false">SUM(G797:J797)</f>
        <v>2296538.38491216</v>
      </c>
      <c r="R797" s="55" t="n">
        <f aca="false">SUM(K797:N797)</f>
        <v>2686197.05210214</v>
      </c>
      <c r="S797" s="56" t="n">
        <f aca="false">SUM(P797:R797)</f>
        <v>6682029.95887926</v>
      </c>
    </row>
    <row r="798" customFormat="false" ht="15" hidden="false" customHeight="false" outlineLevel="0" collapsed="false">
      <c r="A798" s="4" t="s">
        <v>563</v>
      </c>
      <c r="B798" s="36" t="s">
        <v>125</v>
      </c>
      <c r="C798" s="54" t="n">
        <f aca="false">C786*Assumptions!$D$72/Assumptions!$D$69/4</f>
        <v>56535.7142857143</v>
      </c>
      <c r="D798" s="54" t="n">
        <f aca="false">D786*Assumptions!$D$72/Assumptions!$D$69/4</f>
        <v>56535.7142857143</v>
      </c>
      <c r="E798" s="54" t="n">
        <f aca="false">E786*Assumptions!$D$72/Assumptions!$D$69/4</f>
        <v>56535.7142857143</v>
      </c>
      <c r="F798" s="54" t="n">
        <f aca="false">F786*Assumptions!$D$72/Assumptions!$D$69/4</f>
        <v>56535.7142857143</v>
      </c>
      <c r="G798" s="54" t="n">
        <f aca="false">G786*Assumptions!$D$72/Assumptions!$D$69/4</f>
        <v>28267.8571428571</v>
      </c>
      <c r="H798" s="54" t="n">
        <f aca="false">H786*Assumptions!$D$72/Assumptions!$D$69/4</f>
        <v>28267.8571428571</v>
      </c>
      <c r="I798" s="54" t="n">
        <f aca="false">I786*Assumptions!$D$72/Assumptions!$D$69/4</f>
        <v>28267.8571428571</v>
      </c>
      <c r="J798" s="54" t="n">
        <f aca="false">J786*Assumptions!$D$72/Assumptions!$D$69/4</f>
        <v>28267.8571428571</v>
      </c>
      <c r="K798" s="54" t="n">
        <f aca="false">K786*Assumptions!$D$72/Assumptions!$D$69/4</f>
        <v>28267.8571428571</v>
      </c>
      <c r="L798" s="54" t="n">
        <f aca="false">L786*Assumptions!$D$72/Assumptions!$D$69/4</f>
        <v>28267.8571428571</v>
      </c>
      <c r="M798" s="54" t="n">
        <f aca="false">M786*Assumptions!$D$72/Assumptions!$D$69/4</f>
        <v>28267.8571428571</v>
      </c>
      <c r="N798" s="54" t="n">
        <f aca="false">N786*Assumptions!$D$72/Assumptions!$D$69/4</f>
        <v>28267.8571428571</v>
      </c>
      <c r="P798" s="55" t="n">
        <f aca="false">SUM(C798:F798)</f>
        <v>226142.857142857</v>
      </c>
      <c r="Q798" s="55" t="n">
        <f aca="false">SUM(G798:J798)</f>
        <v>113071.428571429</v>
      </c>
      <c r="R798" s="55" t="n">
        <f aca="false">SUM(K798:N798)</f>
        <v>113071.428571429</v>
      </c>
      <c r="S798" s="56" t="n">
        <f aca="false">SUM(P798:R798)</f>
        <v>452285.714285714</v>
      </c>
    </row>
    <row r="799" customFormat="false" ht="15" hidden="false" customHeight="false" outlineLevel="0" collapsed="false">
      <c r="A799" s="4" t="s">
        <v>564</v>
      </c>
      <c r="B799" s="36" t="s">
        <v>125</v>
      </c>
      <c r="C799" s="54" t="n">
        <f aca="false">IF(C724&lt;=Assumptions!$D$83,Assumptions!$D$82*Assumptions!$E$108/Assumptions!$D$83,0)</f>
        <v>62500</v>
      </c>
      <c r="D799" s="54" t="n">
        <f aca="false">IF(D724&lt;=Assumptions!$D$83,Assumptions!$D$82*Assumptions!$E$108/Assumptions!$D$83,0)</f>
        <v>62500</v>
      </c>
      <c r="E799" s="54" t="n">
        <f aca="false">IF(E724&lt;=Assumptions!$D$83,Assumptions!$D$82*Assumptions!$E$108/Assumptions!$D$83,0)</f>
        <v>62500</v>
      </c>
      <c r="F799" s="54" t="n">
        <f aca="false">IF(F724&lt;=Assumptions!$D$83,Assumptions!$D$82*Assumptions!$E$108/Assumptions!$D$83,0)</f>
        <v>62500</v>
      </c>
      <c r="G799" s="54" t="n">
        <f aca="false">IF(G724&lt;=Assumptions!$D$83,Assumptions!$D$82*Assumptions!$E$108/Assumptions!$D$83,0)</f>
        <v>0</v>
      </c>
      <c r="H799" s="54" t="n">
        <f aca="false">IF(H724&lt;=Assumptions!$D$83,Assumptions!$D$82*Assumptions!$E$108/Assumptions!$D$83,0)</f>
        <v>0</v>
      </c>
      <c r="I799" s="54" t="n">
        <f aca="false">IF(I724&lt;=Assumptions!$D$83,Assumptions!$D$82*Assumptions!$E$108/Assumptions!$D$83,0)</f>
        <v>0</v>
      </c>
      <c r="J799" s="54" t="n">
        <f aca="false">IF(J724&lt;=Assumptions!$D$83,Assumptions!$D$82*Assumptions!$E$108/Assumptions!$D$83,0)</f>
        <v>0</v>
      </c>
      <c r="K799" s="54" t="n">
        <f aca="false">IF(K724&lt;=Assumptions!$D$83,Assumptions!$D$82*Assumptions!$E$108/Assumptions!$D$83,0)</f>
        <v>0</v>
      </c>
      <c r="L799" s="54" t="n">
        <f aca="false">IF(L724&lt;=Assumptions!$D$83,Assumptions!$D$82*Assumptions!$E$108/Assumptions!$D$83,0)</f>
        <v>0</v>
      </c>
      <c r="M799" s="54" t="n">
        <f aca="false">IF(M724&lt;=Assumptions!$D$83,Assumptions!$D$82*Assumptions!$E$108/Assumptions!$D$83,0)</f>
        <v>0</v>
      </c>
      <c r="N799" s="54" t="n">
        <f aca="false">IF(N724&lt;=Assumptions!$D$83,Assumptions!$D$82*Assumptions!$E$108/Assumptions!$D$83,0)</f>
        <v>0</v>
      </c>
      <c r="P799" s="55" t="n">
        <f aca="false">SUM(C799:F799)</f>
        <v>250000</v>
      </c>
      <c r="Q799" s="55" t="n">
        <f aca="false">SUM(G799:J799)</f>
        <v>0</v>
      </c>
      <c r="R799" s="55" t="n">
        <f aca="false">SUM(K799:N799)</f>
        <v>0</v>
      </c>
      <c r="S799" s="56" t="n">
        <f aca="false">SUM(P799:R799)</f>
        <v>250000</v>
      </c>
    </row>
    <row r="800" customFormat="false" ht="15" hidden="false" customHeight="false" outlineLevel="0" collapsed="false">
      <c r="A800" s="4" t="s">
        <v>565</v>
      </c>
      <c r="B800" s="36" t="s">
        <v>125</v>
      </c>
      <c r="C800" s="54" t="n">
        <f aca="false">C788*Assumptions!$D$73/Assumptions!$D$69/4</f>
        <v>0</v>
      </c>
      <c r="D800" s="54" t="n">
        <f aca="false">D788*Assumptions!$D$73/Assumptions!$D$69/4</f>
        <v>234.75482097733</v>
      </c>
      <c r="E800" s="54" t="n">
        <f aca="false">E788*Assumptions!$D$73/Assumptions!$D$69/4</f>
        <v>713.14583595128</v>
      </c>
      <c r="F800" s="54" t="n">
        <f aca="false">F788*Assumptions!$D$73/Assumptions!$D$69/4</f>
        <v>1263.97385026157</v>
      </c>
      <c r="G800" s="54" t="n">
        <f aca="false">G788*Assumptions!$D$73/Assumptions!$D$69/4</f>
        <v>1847.23447745235</v>
      </c>
      <c r="H800" s="54" t="n">
        <f aca="false">H788*Assumptions!$D$73/Assumptions!$D$69/4</f>
        <v>2458.25589699753</v>
      </c>
      <c r="I800" s="54" t="n">
        <f aca="false">I788*Assumptions!$D$73/Assumptions!$D$69/4</f>
        <v>3043.76628316786</v>
      </c>
      <c r="J800" s="54" t="n">
        <f aca="false">J788*Assumptions!$D$73/Assumptions!$D$69/4</f>
        <v>3712.51964894654</v>
      </c>
      <c r="K800" s="54" t="n">
        <f aca="false">K788*Assumptions!$D$73/Assumptions!$D$69/4</f>
        <v>4436.04617016633</v>
      </c>
      <c r="L800" s="54" t="n">
        <f aca="false">L788*Assumptions!$D$73/Assumptions!$D$69/4</f>
        <v>5117.49525761779</v>
      </c>
      <c r="M800" s="54" t="n">
        <f aca="false">M788*Assumptions!$D$73/Assumptions!$D$69/4</f>
        <v>5754.44094498578</v>
      </c>
      <c r="N800" s="54" t="n">
        <f aca="false">N788*Assumptions!$D$73/Assumptions!$D$69/4</f>
        <v>6349.38715846198</v>
      </c>
      <c r="P800" s="55" t="n">
        <f aca="false">SUM(C800:F800)</f>
        <v>2211.87450719018</v>
      </c>
      <c r="Q800" s="55" t="n">
        <f aca="false">SUM(G800:J800)</f>
        <v>11061.7763065643</v>
      </c>
      <c r="R800" s="55" t="n">
        <f aca="false">SUM(K800:N800)</f>
        <v>21657.3695312319</v>
      </c>
      <c r="S800" s="56" t="n">
        <f aca="false">SUM(P800:R800)</f>
        <v>34931.0203449863</v>
      </c>
    </row>
    <row r="801" customFormat="false" ht="15" hidden="false" customHeight="false" outlineLevel="0" collapsed="false">
      <c r="A801" s="9" t="s">
        <v>566</v>
      </c>
      <c r="B801" s="36" t="s">
        <v>125</v>
      </c>
      <c r="C801" s="55" t="n">
        <f aca="false">C797+C798+C799+C800</f>
        <v>534351.785714286</v>
      </c>
      <c r="D801" s="55" t="n">
        <f aca="false">D797+D798+D799+D800</f>
        <v>497019.5575549</v>
      </c>
      <c r="E801" s="55" t="n">
        <f aca="false">E797+E798+E799+E800</f>
        <v>571601.293508894</v>
      </c>
      <c r="F801" s="55" t="n">
        <f aca="false">F797+F798+F799+F800</f>
        <v>574676.616736929</v>
      </c>
      <c r="G801" s="55" t="n">
        <f aca="false">G797+G798+G799+G800</f>
        <v>558258.978179979</v>
      </c>
      <c r="H801" s="55" t="n">
        <f aca="false">H797+H798+H799+H800</f>
        <v>559182.201788329</v>
      </c>
      <c r="I801" s="55" t="n">
        <f aca="false">I797+I798+I799+I800</f>
        <v>671247.651290493</v>
      </c>
      <c r="J801" s="55" t="n">
        <f aca="false">J797+J798+J799+J800</f>
        <v>631982.758531347</v>
      </c>
      <c r="K801" s="55" t="n">
        <f aca="false">K797+K798+K799+K800</f>
        <v>704257.113334449</v>
      </c>
      <c r="L801" s="55" t="n">
        <f aca="false">L797+L798+L799+L800</f>
        <v>704965.767281147</v>
      </c>
      <c r="M801" s="55" t="n">
        <f aca="false">M797+M798+M799+M800</f>
        <v>705569.801539052</v>
      </c>
      <c r="N801" s="55" t="n">
        <f aca="false">N797+N798+N799+N800</f>
        <v>706133.168050155</v>
      </c>
      <c r="P801" s="55" t="n">
        <f aca="false">SUM(C801:F801)</f>
        <v>2177649.25351501</v>
      </c>
      <c r="Q801" s="55" t="n">
        <f aca="false">SUM(G801:J801)</f>
        <v>2420671.58979015</v>
      </c>
      <c r="R801" s="55" t="n">
        <f aca="false">SUM(K801:N801)</f>
        <v>2820925.8502048</v>
      </c>
      <c r="S801" s="56" t="n">
        <f aca="false">SUM(P801:R801)</f>
        <v>7419246.69350996</v>
      </c>
    </row>
    <row r="802" customFormat="false" ht="15" hidden="false" customHeight="false" outlineLevel="0" collapsed="false">
      <c r="A802" s="35" t="s">
        <v>567</v>
      </c>
      <c r="B802" s="35" t="s">
        <v>444</v>
      </c>
      <c r="C802" s="6" t="s">
        <v>354</v>
      </c>
      <c r="D802" s="6" t="s">
        <v>355</v>
      </c>
      <c r="E802" s="6" t="s">
        <v>356</v>
      </c>
      <c r="F802" s="6" t="s">
        <v>357</v>
      </c>
      <c r="G802" s="6" t="s">
        <v>358</v>
      </c>
      <c r="H802" s="6" t="s">
        <v>359</v>
      </c>
      <c r="I802" s="6" t="s">
        <v>360</v>
      </c>
      <c r="J802" s="6" t="s">
        <v>361</v>
      </c>
      <c r="K802" s="6" t="s">
        <v>362</v>
      </c>
      <c r="L802" s="6" t="s">
        <v>363</v>
      </c>
      <c r="M802" s="6" t="s">
        <v>364</v>
      </c>
      <c r="N802" s="6" t="s">
        <v>365</v>
      </c>
      <c r="P802" s="6" t="s">
        <v>445</v>
      </c>
      <c r="Q802" s="6" t="s">
        <v>446</v>
      </c>
      <c r="R802" s="6" t="s">
        <v>447</v>
      </c>
      <c r="S802" s="6" t="s">
        <v>448</v>
      </c>
    </row>
    <row r="803" customFormat="false" ht="15" hidden="false" customHeight="false" outlineLevel="0" collapsed="false">
      <c r="A803" s="9" t="s">
        <v>568</v>
      </c>
      <c r="B803" s="36" t="s">
        <v>125</v>
      </c>
      <c r="C803" s="55" t="n">
        <f aca="false">C781-C801</f>
        <v>-534351.785714286</v>
      </c>
      <c r="D803" s="55" t="n">
        <f aca="false">D781-D801</f>
        <v>-496800.278397274</v>
      </c>
      <c r="E803" s="55" t="n">
        <f aca="false">E781-E801</f>
        <v>-570664.068623663</v>
      </c>
      <c r="F803" s="55" t="n">
        <f aca="false">F781-F801</f>
        <v>-572616.976144923</v>
      </c>
      <c r="G803" s="55" t="n">
        <f aca="false">G781-G801</f>
        <v>-554893.885270668</v>
      </c>
      <c r="H803" s="55" t="n">
        <f aca="false">H781-H801</f>
        <v>-554403.809897064</v>
      </c>
      <c r="I803" s="55" t="n">
        <f aca="false">I781-I801</f>
        <v>-665005.542573227</v>
      </c>
      <c r="J803" s="55" t="n">
        <f aca="false">J781-J801</f>
        <v>-624180.380701583</v>
      </c>
      <c r="K803" s="55" t="n">
        <f aca="false">K781-K801</f>
        <v>-694716.24967033</v>
      </c>
      <c r="L803" s="55" t="n">
        <f aca="false">L781-L801</f>
        <v>-693618.802523301</v>
      </c>
      <c r="M803" s="55" t="n">
        <f aca="false">M781-M801</f>
        <v>-692459.59182837</v>
      </c>
      <c r="N803" s="55" t="n">
        <f aca="false">N781-N801</f>
        <v>-691314.965192618</v>
      </c>
      <c r="P803" s="55" t="n">
        <f aca="false">SUM(C803:F803)</f>
        <v>-2174433.10888015</v>
      </c>
      <c r="Q803" s="55" t="n">
        <f aca="false">SUM(G803:J803)</f>
        <v>-2398483.61844254</v>
      </c>
      <c r="R803" s="55" t="n">
        <f aca="false">SUM(K803:N803)</f>
        <v>-2772109.60921462</v>
      </c>
      <c r="S803" s="56" t="n">
        <f aca="false">SUM(P803:R803)</f>
        <v>-7345026.33653731</v>
      </c>
    </row>
    <row r="804" customFormat="false" ht="15" hidden="false" customHeight="false" outlineLevel="0" collapsed="false">
      <c r="A804" s="9" t="s">
        <v>569</v>
      </c>
      <c r="B804" s="36" t="s">
        <v>125</v>
      </c>
      <c r="C804" s="55" t="n">
        <f aca="false">0+C803</f>
        <v>-534351.785714286</v>
      </c>
      <c r="D804" s="55" t="n">
        <f aca="false">C804+D803</f>
        <v>-1031152.06411156</v>
      </c>
      <c r="E804" s="55" t="n">
        <f aca="false">D804+E803</f>
        <v>-1601816.13273522</v>
      </c>
      <c r="F804" s="55" t="n">
        <f aca="false">E804+F803</f>
        <v>-2174433.10888015</v>
      </c>
      <c r="G804" s="55" t="n">
        <f aca="false">F804+G803</f>
        <v>-2729326.99415081</v>
      </c>
      <c r="H804" s="55" t="n">
        <f aca="false">G804+H803</f>
        <v>-3283730.80404788</v>
      </c>
      <c r="I804" s="55" t="n">
        <f aca="false">H804+I803</f>
        <v>-3948736.34662111</v>
      </c>
      <c r="J804" s="55" t="n">
        <f aca="false">I804+J803</f>
        <v>-4572916.72732269</v>
      </c>
      <c r="K804" s="55" t="n">
        <f aca="false">J804+K803</f>
        <v>-5267632.97699302</v>
      </c>
      <c r="L804" s="55" t="n">
        <f aca="false">K804+L803</f>
        <v>-5961251.77951632</v>
      </c>
      <c r="M804" s="55" t="n">
        <f aca="false">L804+M803</f>
        <v>-6653711.37134469</v>
      </c>
      <c r="N804" s="55" t="n">
        <f aca="false">M804+N803</f>
        <v>-7345026.33653731</v>
      </c>
      <c r="P804" s="55" t="n">
        <f aca="false">F804</f>
        <v>-2174433.10888015</v>
      </c>
      <c r="Q804" s="55" t="n">
        <f aca="false">J804</f>
        <v>-4572916.72732269</v>
      </c>
      <c r="R804" s="55" t="n">
        <f aca="false">N804</f>
        <v>-7345026.33653731</v>
      </c>
      <c r="S804" s="56" t="n">
        <f aca="false">R804</f>
        <v>-7345026.33653731</v>
      </c>
    </row>
    <row r="805" customFormat="false" ht="15" hidden="false" customHeight="false" outlineLevel="0" collapsed="false">
      <c r="A805" s="4" t="s">
        <v>570</v>
      </c>
      <c r="B805" s="36" t="s">
        <v>107</v>
      </c>
      <c r="C805" s="57" t="n">
        <f aca="false">1/(1+Assumptions!$D$87)^(C724/4)</f>
        <v>0.972065420906982</v>
      </c>
      <c r="D805" s="57" t="n">
        <f aca="false">1/(1+Assumptions!$D$87)^(D724/4)</f>
        <v>0.944911182523068</v>
      </c>
      <c r="E805" s="57" t="n">
        <f aca="false">1/(1+Assumptions!$D$87)^(E724/4)</f>
        <v>0.918515486359</v>
      </c>
      <c r="F805" s="57" t="n">
        <f aca="false">1/(1+Assumptions!$D$87)^(F724/4)</f>
        <v>0.892857142857143</v>
      </c>
      <c r="G805" s="57" t="n">
        <f aca="false">1/(1+Assumptions!$D$87)^(G724/4)</f>
        <v>0.867915554381234</v>
      </c>
      <c r="H805" s="57" t="n">
        <f aca="false">1/(1+Assumptions!$D$87)^(H724/4)</f>
        <v>0.843670698681311</v>
      </c>
      <c r="I805" s="57" t="n">
        <f aca="false">1/(1+Assumptions!$D$87)^(I724/4)</f>
        <v>0.820103112820536</v>
      </c>
      <c r="J805" s="57" t="n">
        <f aca="false">1/(1+Assumptions!$D$87)^(J724/4)</f>
        <v>0.79719387755102</v>
      </c>
      <c r="K805" s="57" t="n">
        <f aca="false">1/(1+Assumptions!$D$87)^(K724/4)</f>
        <v>0.774924602126102</v>
      </c>
      <c r="L805" s="57" t="n">
        <f aca="false">1/(1+Assumptions!$D$87)^(L724/4)</f>
        <v>0.753277409536885</v>
      </c>
      <c r="M805" s="57" t="n">
        <f aca="false">1/(1+Assumptions!$D$87)^(M724/4)</f>
        <v>0.732234922161193</v>
      </c>
      <c r="N805" s="57" t="n">
        <f aca="false">1/(1+Assumptions!$D$87)^(N724/4)</f>
        <v>0.711780247813411</v>
      </c>
      <c r="P805" s="58"/>
      <c r="Q805" s="58"/>
      <c r="R805" s="58"/>
      <c r="S805" s="59"/>
    </row>
    <row r="806" customFormat="false" ht="15" hidden="false" customHeight="false" outlineLevel="0" collapsed="false">
      <c r="A806" s="4" t="s">
        <v>571</v>
      </c>
      <c r="B806" s="36" t="s">
        <v>125</v>
      </c>
      <c r="C806" s="54" t="n">
        <f aca="false">(C781*(1-Assumptions!$D$88)-C801)*C805</f>
        <v>-519424.893492755</v>
      </c>
      <c r="D806" s="54" t="n">
        <f aca="false">(D781*(1-Assumptions!$D$88)-D801)*D805</f>
        <v>-469494.298336598</v>
      </c>
      <c r="E806" s="54" t="n">
        <f aca="false">(E781*(1-Assumptions!$D$88)-E801)*E805</f>
        <v>-524422.041210856</v>
      </c>
      <c r="F806" s="54" t="n">
        <f aca="false">(F781*(1-Assumptions!$D$88)-F801)*F805</f>
        <v>-511816.84671654</v>
      </c>
      <c r="G806" s="54" t="n">
        <f aca="false">(G781*(1-Assumptions!$D$88)-G801)*G805</f>
        <v>-482477.219000827</v>
      </c>
      <c r="H806" s="54" t="n">
        <f aca="false">(H781*(1-Assumptions!$D$88)-H801)*H805</f>
        <v>-468943.666415079</v>
      </c>
      <c r="I806" s="54" t="n">
        <f aca="false">(I781*(1-Assumptions!$D$88)-I801)*I805</f>
        <v>-546908.867344091</v>
      </c>
      <c r="J806" s="54" t="n">
        <f aca="false">(J781*(1-Assumptions!$D$88)-J801)*J805</f>
        <v>-499458.780333635</v>
      </c>
      <c r="K806" s="54" t="n">
        <f aca="false">(K781*(1-Assumptions!$D$88)-K801)*K805</f>
        <v>-540570.748359975</v>
      </c>
      <c r="L806" s="54" t="n">
        <f aca="false">(L781*(1-Assumptions!$D$88)-L801)*L805</f>
        <v>-525051.598436497</v>
      </c>
      <c r="M806" s="54" t="n">
        <f aca="false">(M781*(1-Assumptions!$D$88)-M801)*M805</f>
        <v>-509923.021338323</v>
      </c>
      <c r="N806" s="54" t="n">
        <f aca="false">(N781*(1-Assumptions!$D$88)-N801)*N805</f>
        <v>-495228.528472548</v>
      </c>
      <c r="P806" s="55" t="n">
        <f aca="false">SUM(C806:F806)</f>
        <v>-2025158.07975675</v>
      </c>
      <c r="Q806" s="55" t="n">
        <f aca="false">SUM(G806:J806)</f>
        <v>-1997788.53309363</v>
      </c>
      <c r="R806" s="55" t="n">
        <f aca="false">SUM(K806:N806)</f>
        <v>-2070773.89660734</v>
      </c>
      <c r="S806" s="56" t="n">
        <f aca="false">SUM(P806:R806)</f>
        <v>-6093720.50945772</v>
      </c>
    </row>
    <row r="807" customFormat="false" ht="15" hidden="false" customHeight="false" outlineLevel="0" collapsed="false">
      <c r="A807" s="4" t="s">
        <v>572</v>
      </c>
      <c r="B807" s="36" t="s">
        <v>125</v>
      </c>
      <c r="C807" s="54" t="n">
        <f aca="false">(C801-C800)*12/(Assumptions!$D$89*Assumptions!$D$76)*Assumptions!$D$90</f>
        <v>437196.915584416</v>
      </c>
      <c r="D807" s="54" t="n">
        <f aca="false">(D801-D800)*12/(Assumptions!$D$89*Assumptions!$D$76)*Assumptions!$D$90</f>
        <v>406460.293145937</v>
      </c>
      <c r="E807" s="54" t="n">
        <f aca="false">(E801-E800)*12/(Assumptions!$D$89*Assumptions!$D$76)*Assumptions!$D$90</f>
        <v>467090.302641498</v>
      </c>
      <c r="F807" s="54" t="n">
        <f aca="false">(F801-F800)*12/(Assumptions!$D$89*Assumptions!$D$76)*Assumptions!$D$90</f>
        <v>469155.798725455</v>
      </c>
      <c r="G807" s="54" t="n">
        <f aca="false">(G801-G800)*12/(Assumptions!$D$89*Assumptions!$D$76)*Assumptions!$D$90</f>
        <v>455245.972120249</v>
      </c>
      <c r="H807" s="54" t="n">
        <f aca="false">(H801-H800)*12/(Assumptions!$D$89*Assumptions!$D$76)*Assumptions!$D$90</f>
        <v>455501.410274725</v>
      </c>
      <c r="I807" s="54" t="n">
        <f aca="false">(I801-I800)*12/(Assumptions!$D$89*Assumptions!$D$76)*Assumptions!$D$90</f>
        <v>546712.269551448</v>
      </c>
      <c r="J807" s="54" t="n">
        <f aca="false">(J801-J800)*12/(Assumptions!$D$89*Assumptions!$D$76)*Assumptions!$D$90</f>
        <v>514039.286358328</v>
      </c>
      <c r="K807" s="54" t="n">
        <f aca="false">(K801-K800)*12/(Assumptions!$D$89*Assumptions!$D$76)*Assumptions!$D$90</f>
        <v>572580.873134413</v>
      </c>
      <c r="L807" s="54" t="n">
        <f aca="false">(L801-L800)*12/(Assumptions!$D$89*Assumptions!$D$76)*Assumptions!$D$90</f>
        <v>572603.131655615</v>
      </c>
      <c r="M807" s="54" t="n">
        <f aca="false">(M801-M800)*12/(Assumptions!$D$89*Assumptions!$D$76)*Assumptions!$D$90</f>
        <v>572576.204122418</v>
      </c>
      <c r="N807" s="54" t="n">
        <f aca="false">(N801-N800)*12/(Assumptions!$D$89*Assumptions!$D$76)*Assumptions!$D$90</f>
        <v>572550.366184113</v>
      </c>
      <c r="P807" s="55" t="n">
        <f aca="false">SUM(C807:F807)</f>
        <v>1779903.31009731</v>
      </c>
      <c r="Q807" s="55" t="n">
        <f aca="false">SUM(G807:J807)</f>
        <v>1971498.93830475</v>
      </c>
      <c r="R807" s="55" t="n">
        <f aca="false">SUM(K807:N807)</f>
        <v>2290310.57509656</v>
      </c>
      <c r="S807" s="56" t="n">
        <f aca="false">SUM(P807:R807)</f>
        <v>6041712.82349861</v>
      </c>
    </row>
    <row r="808" customFormat="false" ht="15" hidden="false" customHeight="false" outlineLevel="0" collapsed="false">
      <c r="A808" s="4" t="s">
        <v>573</v>
      </c>
      <c r="B808" s="36" t="s">
        <v>125</v>
      </c>
      <c r="C808" s="54" t="n">
        <f aca="false">0*Assumptions!$D$92^(1/4)+C807</f>
        <v>437196.915584416</v>
      </c>
      <c r="D808" s="54" t="n">
        <f aca="false">C808*Assumptions!$D$92^(1/4)+D807</f>
        <v>844746.126044283</v>
      </c>
      <c r="E808" s="54" t="n">
        <f aca="false">D808*Assumptions!$D$92^(1/4)+E807</f>
        <v>1313940.42038777</v>
      </c>
      <c r="F808" s="54" t="n">
        <f aca="false">E808*Assumptions!$D$92^(1/4)+F807</f>
        <v>1786368.82333854</v>
      </c>
      <c r="G808" s="54" t="n">
        <f aca="false">F808*Assumptions!$D$92^(1/4)+G807</f>
        <v>2246064.06733482</v>
      </c>
      <c r="H808" s="54" t="n">
        <f aca="false">G808*Assumptions!$D$92^(1/4)+H807</f>
        <v>2707159.7029207</v>
      </c>
      <c r="I808" s="54" t="n">
        <f aca="false">H808*Assumptions!$D$92^(1/4)+I807</f>
        <v>3260614.63914478</v>
      </c>
      <c r="J808" s="54" t="n">
        <f aca="false">I808*Assumptions!$D$92^(1/4)+J807</f>
        <v>3782775.0709368</v>
      </c>
      <c r="K808" s="54" t="n">
        <f aca="false">J808*Assumptions!$D$92^(1/4)+K807</f>
        <v>4364777.62369112</v>
      </c>
      <c r="L808" s="54" t="n">
        <f aca="false">K808*Assumptions!$D$92^(1/4)+L807</f>
        <v>4948252.01668568</v>
      </c>
      <c r="M808" s="54" t="n">
        <f aca="false">L808*Assumptions!$D$92^(1/4)+M807</f>
        <v>5533152.7297481</v>
      </c>
      <c r="N808" s="54" t="n">
        <f aca="false">M808*Assumptions!$D$92^(1/4)+N807</f>
        <v>6119484.40497918</v>
      </c>
      <c r="P808" s="55" t="n">
        <f aca="false">F808</f>
        <v>1786368.82333854</v>
      </c>
      <c r="Q808" s="55" t="n">
        <f aca="false">J808</f>
        <v>3782775.0709368</v>
      </c>
      <c r="R808" s="55" t="n">
        <f aca="false">N808</f>
        <v>6119484.40497918</v>
      </c>
      <c r="S808" s="56" t="n">
        <f aca="false">R808</f>
        <v>6119484.40497918</v>
      </c>
    </row>
    <row r="809" customFormat="false" ht="15" hidden="false" customHeight="false" outlineLevel="0" collapsed="false">
      <c r="A809" s="4" t="s">
        <v>574</v>
      </c>
      <c r="B809" s="36" t="s">
        <v>125</v>
      </c>
      <c r="C809" s="54" t="n">
        <f aca="false">(0+C808)/8*Assumptions!$D$76-(C801-C800)-C808*Assumptions!$D$93/4</f>
        <v>-509759.459212662</v>
      </c>
      <c r="D809" s="54" t="n">
        <f aca="false">(C808+D808)/8*Assumptions!$D$76-(D801-D800)-D808*Assumptions!$D$93/4</f>
        <v>-419210.545197503</v>
      </c>
      <c r="E809" s="54" t="n">
        <f aca="false">(D808+E808)/8*Assumptions!$D$76-(E801-E800)-E808*Assumptions!$D$93/4</f>
        <v>-438902.702860586</v>
      </c>
      <c r="F809" s="54" t="n">
        <f aca="false">(E808+F808)/8*Assumptions!$D$76-(F801-F800)-F808*Assumptions!$D$93/4</f>
        <v>-382595.992672215</v>
      </c>
      <c r="G809" s="54" t="n">
        <f aca="false">(F808+G808)/8*Assumptions!$D$76-(G801-G800)-G808*Assumptions!$D$93/4</f>
        <v>-307257.783310418</v>
      </c>
      <c r="H809" s="54" t="n">
        <f aca="false">(G808+H808)/8*Assumptions!$D$76-(H801-H800)-H808*Assumptions!$D$93/4</f>
        <v>-250029.307972773</v>
      </c>
      <c r="I809" s="54" t="n">
        <f aca="false">(H808+I808)/8*Assumptions!$D$76-(I801-I800)-I808*Assumptions!$D$93/4</f>
        <v>-298677.081979633</v>
      </c>
      <c r="J809" s="54" t="n">
        <f aca="false">(I808+J808)/8*Assumptions!$D$76-(J801-J800)-J808*Assumptions!$D$93/4</f>
        <v>-191321.884701003</v>
      </c>
      <c r="K809" s="54" t="n">
        <f aca="false">(J808+K808)/8*Assumptions!$D$76-(K801-K800)-K808*Assumptions!$D$93/4</f>
        <v>-194236.539704753</v>
      </c>
      <c r="L809" s="54" t="n">
        <f aca="false">(K808+L808)/8*Assumptions!$D$76-(L801-L800)-L808*Assumptions!$D$93/4</f>
        <v>-121430.634456195</v>
      </c>
      <c r="M809" s="54" t="n">
        <f aca="false">(L808+M808)/8*Assumptions!$D$76-(M801-M800)-M808*Assumptions!$D$93/4</f>
        <v>-48383.1933985955</v>
      </c>
      <c r="N809" s="54" t="n">
        <f aca="false">(M808+N808)/8*Assumptions!$D$76-(N801-N800)-N808*Assumptions!$D$93/4</f>
        <v>24841.4670585672</v>
      </c>
      <c r="P809" s="55" t="n">
        <f aca="false">SUM(C809:F809)</f>
        <v>-1750468.69994297</v>
      </c>
      <c r="Q809" s="55" t="n">
        <f aca="false">SUM(G809:J809)</f>
        <v>-1047286.05796383</v>
      </c>
      <c r="R809" s="55" t="n">
        <f aca="false">SUM(K809:N809)</f>
        <v>-339208.900500976</v>
      </c>
      <c r="S809" s="56" t="n">
        <f aca="false">SUM(P809:R809)</f>
        <v>-3136963.65840777</v>
      </c>
    </row>
    <row r="810" customFormat="false" ht="15" hidden="false" customHeight="false" outlineLevel="0" collapsed="false">
      <c r="A810" s="4" t="s">
        <v>575</v>
      </c>
      <c r="B810" s="36" t="s">
        <v>125</v>
      </c>
      <c r="C810" s="54" t="n">
        <f aca="false">C809*C805</f>
        <v>-495519.543280872</v>
      </c>
      <c r="D810" s="54" t="n">
        <f aca="false">D809*D805</f>
        <v>-396116.731988713</v>
      </c>
      <c r="E810" s="54" t="n">
        <f aca="false">E809*E805</f>
        <v>-403138.929582271</v>
      </c>
      <c r="F810" s="54" t="n">
        <f aca="false">F809*F805</f>
        <v>-341603.564885906</v>
      </c>
      <c r="G810" s="54" t="n">
        <f aca="false">G809*G805</f>
        <v>-266673.80933981</v>
      </c>
      <c r="H810" s="54" t="n">
        <f aca="false">H809*H805</f>
        <v>-210942.400948194</v>
      </c>
      <c r="I810" s="54" t="n">
        <f aca="false">I809*I805</f>
        <v>-244946.004659652</v>
      </c>
      <c r="J810" s="54" t="n">
        <f aca="false">J809*J805</f>
        <v>-152520.635125161</v>
      </c>
      <c r="K810" s="54" t="n">
        <f aca="false">K809*K805</f>
        <v>-150518.673249056</v>
      </c>
      <c r="L810" s="54" t="n">
        <f aca="false">L809*L805</f>
        <v>-91470.9537615831</v>
      </c>
      <c r="M810" s="54" t="n">
        <f aca="false">M809*M805</f>
        <v>-35427.8638521305</v>
      </c>
      <c r="N810" s="54" t="n">
        <f aca="false">N809*N805</f>
        <v>17681.6655789956</v>
      </c>
      <c r="P810" s="55" t="n">
        <f aca="false">SUM(C810:F810)</f>
        <v>-1636378.76973776</v>
      </c>
      <c r="Q810" s="55" t="n">
        <f aca="false">SUM(G810:J810)</f>
        <v>-875082.850072817</v>
      </c>
      <c r="R810" s="55" t="n">
        <f aca="false">SUM(K810:N810)</f>
        <v>-259735.825283774</v>
      </c>
      <c r="S810" s="56" t="n">
        <f aca="false">SUM(P810:R810)</f>
        <v>-2771197.44509435</v>
      </c>
    </row>
    <row r="811" customFormat="false" ht="15" hidden="false" customHeight="false" outlineLevel="0" collapsed="false">
      <c r="A811" s="4" t="s">
        <v>576</v>
      </c>
      <c r="B811" s="36"/>
      <c r="C811" s="37" t="n">
        <f aca="false">IFERROR((S766*$C$715*Assumptions!$D$59+S767*$C$716*Assumptions!$D$60+S768*$C$717*Assumptions!$D$61)/(S766*$C$715+S767*$C$716+S768*$C$717),0.9)</f>
        <v>0.859289158500738</v>
      </c>
    </row>
    <row r="812" customFormat="false" ht="15" hidden="false" customHeight="false" outlineLevel="0" collapsed="false">
      <c r="A812" s="4" t="s">
        <v>577</v>
      </c>
      <c r="B812" s="36"/>
      <c r="C812" s="37" t="n">
        <f aca="false">IFERROR(N800*4/N778,0)</f>
        <v>0.223017218923561</v>
      </c>
    </row>
    <row r="813" customFormat="false" ht="15" hidden="false" customHeight="false" outlineLevel="0" collapsed="false">
      <c r="A813" s="4" t="s">
        <v>578</v>
      </c>
      <c r="B813" s="36"/>
      <c r="C813" s="60" t="n">
        <f aca="false">$C$811/(1+Assumptions!$D$87)</f>
        <v>0.767222462947087</v>
      </c>
    </row>
    <row r="814" customFormat="false" ht="15" hidden="false" customHeight="false" outlineLevel="0" collapsed="false">
      <c r="A814" s="4" t="s">
        <v>579</v>
      </c>
      <c r="B814" s="36"/>
      <c r="C814" s="60" t="n">
        <f aca="false">Assumptions!$D$91/(1+Assumptions!$D$87)</f>
        <v>0.803571428571429</v>
      </c>
    </row>
    <row r="815" customFormat="false" ht="15" hidden="false" customHeight="false" outlineLevel="0" collapsed="false">
      <c r="A815" s="35" t="s">
        <v>580</v>
      </c>
      <c r="B815" s="35" t="s">
        <v>444</v>
      </c>
      <c r="C815" s="6" t="s">
        <v>354</v>
      </c>
      <c r="D815" s="6" t="s">
        <v>355</v>
      </c>
      <c r="E815" s="6" t="s">
        <v>356</v>
      </c>
      <c r="F815" s="6" t="s">
        <v>357</v>
      </c>
      <c r="G815" s="6" t="s">
        <v>358</v>
      </c>
      <c r="H815" s="6" t="s">
        <v>359</v>
      </c>
      <c r="I815" s="6" t="s">
        <v>360</v>
      </c>
      <c r="J815" s="6" t="s">
        <v>361</v>
      </c>
      <c r="K815" s="6" t="s">
        <v>362</v>
      </c>
      <c r="L815" s="6" t="s">
        <v>363</v>
      </c>
      <c r="M815" s="6" t="s">
        <v>364</v>
      </c>
      <c r="N815" s="6" t="s">
        <v>365</v>
      </c>
      <c r="P815" s="6" t="s">
        <v>445</v>
      </c>
      <c r="Q815" s="6" t="s">
        <v>446</v>
      </c>
      <c r="R815" s="6" t="s">
        <v>447</v>
      </c>
      <c r="S815" s="6" t="s">
        <v>448</v>
      </c>
    </row>
    <row r="816" customFormat="false" ht="15" hidden="false" customHeight="false" outlineLevel="0" collapsed="false">
      <c r="A816" s="9" t="s">
        <v>581</v>
      </c>
      <c r="C816" s="61" t="n">
        <f aca="false">N778</f>
        <v>113881.559264502</v>
      </c>
      <c r="D816" s="61"/>
    </row>
    <row r="817" customFormat="false" ht="15" hidden="false" customHeight="false" outlineLevel="0" collapsed="false">
      <c r="A817" s="9" t="s">
        <v>582</v>
      </c>
      <c r="C817" s="62" t="n">
        <f aca="false">N774</f>
        <v>13.8075007283101</v>
      </c>
      <c r="D817" s="62"/>
    </row>
    <row r="818" customFormat="false" ht="15" hidden="false" customHeight="false" outlineLevel="0" collapsed="false">
      <c r="A818" s="9" t="s">
        <v>583</v>
      </c>
      <c r="C818" s="63" t="n">
        <f aca="false">S769</f>
        <v>16.212819172489</v>
      </c>
      <c r="D818" s="63"/>
    </row>
    <row r="819" customFormat="false" ht="15" hidden="false" customHeight="false" outlineLevel="0" collapsed="false">
      <c r="A819" s="9" t="s">
        <v>584</v>
      </c>
      <c r="C819" s="61" t="n">
        <f aca="false">S780</f>
        <v>134946.103586641</v>
      </c>
      <c r="D819" s="61"/>
    </row>
    <row r="820" customFormat="false" ht="15" hidden="false" customHeight="false" outlineLevel="0" collapsed="false">
      <c r="A820" s="9" t="s">
        <v>22</v>
      </c>
      <c r="C820" s="61" t="n">
        <f aca="false">IFERROR(S779/S769,0)</f>
        <v>7288.46254139822</v>
      </c>
      <c r="D820" s="61"/>
    </row>
    <row r="821" customFormat="false" ht="15" hidden="false" customHeight="false" outlineLevel="0" collapsed="false">
      <c r="A821" s="9" t="s">
        <v>585</v>
      </c>
      <c r="C821" s="61" t="n">
        <f aca="false">IFERROR(S797/S769,0)</f>
        <v>412144.852032752</v>
      </c>
      <c r="D821" s="61"/>
    </row>
    <row r="822" customFormat="false" ht="23.85" hidden="false" customHeight="false" outlineLevel="0" collapsed="false">
      <c r="A822" s="9" t="s">
        <v>586</v>
      </c>
      <c r="C822" s="61" t="n">
        <f aca="false">IFERROR((S791+S793+S794+S795+S796)/S769,0)</f>
        <v>56883.204082194</v>
      </c>
      <c r="D822" s="61"/>
    </row>
    <row r="823" customFormat="false" ht="15" hidden="false" customHeight="false" outlineLevel="0" collapsed="false">
      <c r="A823" s="9" t="s">
        <v>587</v>
      </c>
      <c r="C823" s="64" t="n">
        <f aca="false">IFERROR('Engine Runs'!$C$821/('Engine Runs'!$C$820*Assumptions!$D$76/12),0)</f>
        <v>1233.76518243766</v>
      </c>
      <c r="D823" s="64"/>
    </row>
    <row r="824" customFormat="false" ht="15" hidden="false" customHeight="false" outlineLevel="0" collapsed="false">
      <c r="A824" s="9" t="s">
        <v>588</v>
      </c>
      <c r="C824" s="64" t="n">
        <f aca="false">IFERROR((R797/R769)/((R779/R769)*Assumptions!$D$76/12),0)</f>
        <v>1086.74312456402</v>
      </c>
      <c r="D824" s="64"/>
    </row>
    <row r="825" customFormat="false" ht="15" hidden="false" customHeight="false" outlineLevel="0" collapsed="false">
      <c r="A825" s="9" t="s">
        <v>589</v>
      </c>
      <c r="C825" s="61" t="n">
        <f aca="false">S801</f>
        <v>7419246.69350996</v>
      </c>
      <c r="D825" s="61"/>
    </row>
    <row r="826" customFormat="false" ht="15" hidden="false" customHeight="false" outlineLevel="0" collapsed="false">
      <c r="A826" s="9" t="s">
        <v>590</v>
      </c>
      <c r="C826" s="61" t="n">
        <f aca="false">N804</f>
        <v>-7345026.33653731</v>
      </c>
      <c r="D826" s="61"/>
    </row>
    <row r="827" customFormat="false" ht="15" hidden="false" customHeight="false" outlineLevel="0" collapsed="false">
      <c r="A827" s="9" t="s">
        <v>591</v>
      </c>
      <c r="C827" s="61" t="n">
        <f aca="false">MIN($C$804:$N$804)</f>
        <v>-7345026.33653731</v>
      </c>
      <c r="D827" s="61"/>
    </row>
    <row r="828" customFormat="false" ht="15" hidden="false" customHeight="false" outlineLevel="0" collapsed="false">
      <c r="A828" s="9" t="s">
        <v>592</v>
      </c>
      <c r="C828" s="61" t="n">
        <f aca="false">N778*(Assumptions!$D$76-$C$812)*$C$811*(1-$C$811^Assumptions!$D$85)/(1-$C$811)</f>
        <v>120866.161257379</v>
      </c>
      <c r="D828" s="61"/>
    </row>
    <row r="829" customFormat="false" ht="15" hidden="false" customHeight="false" outlineLevel="0" collapsed="false">
      <c r="A829" s="9" t="s">
        <v>593</v>
      </c>
      <c r="C829" s="61" t="n">
        <f aca="false">N778*(Assumptions!$D$76-$C$812)*(1-Assumptions!$D$88)/(1+Assumptions!$D$87)^2.5*$C$813*(1-$C$813^Assumptions!$D$85)/(1-$C$813)</f>
        <v>47512.4275849278</v>
      </c>
      <c r="D829" s="61"/>
    </row>
    <row r="830" customFormat="false" ht="15" hidden="false" customHeight="false" outlineLevel="0" collapsed="false">
      <c r="A830" s="9" t="s">
        <v>594</v>
      </c>
      <c r="C830" s="61" t="n">
        <f aca="false">SUM($C$806:$N$806)+'Engine Runs'!$C$829</f>
        <v>-6046208.0818728</v>
      </c>
      <c r="D830" s="61"/>
    </row>
    <row r="831" customFormat="false" ht="15" hidden="false" customHeight="false" outlineLevel="0" collapsed="false">
      <c r="A831" s="9" t="s">
        <v>595</v>
      </c>
      <c r="C831" s="61" t="n">
        <f aca="false">SUM($C$810:$N$810)+N808*(Assumptions!$D$76-Assumptions!$D$93)/(1+Assumptions!$D$87)^2.5*$C$814*(1-$C$814^Assumptions!$D$85)/(1-$C$814)</f>
        <v>3498435.89830563</v>
      </c>
      <c r="D831" s="61"/>
    </row>
    <row r="832" customFormat="false" ht="15" hidden="false" customHeight="false" outlineLevel="0" collapsed="false">
      <c r="A832" s="9" t="s">
        <v>596</v>
      </c>
      <c r="C832" s="61" t="n">
        <f aca="false">'Engine Runs'!$C$830-'Engine Runs'!$C$831</f>
        <v>-9544643.98017843</v>
      </c>
      <c r="D832" s="61"/>
    </row>
    <row r="833" customFormat="false" ht="15" hidden="false" customHeight="false" outlineLevel="0" collapsed="false">
      <c r="A833" s="9" t="s">
        <v>597</v>
      </c>
      <c r="C833" s="61" t="n">
        <f aca="false">S765</f>
        <v>0</v>
      </c>
      <c r="D833" s="61"/>
    </row>
    <row r="834" customFormat="false" ht="15" hidden="false" customHeight="false" outlineLevel="0" collapsed="false">
      <c r="A834" s="9" t="s">
        <v>598</v>
      </c>
      <c r="C834" s="63" t="n">
        <f aca="false">P749</f>
        <v>28.5017490731955</v>
      </c>
      <c r="D834" s="63"/>
    </row>
    <row r="835" customFormat="false" ht="15" hidden="false" customHeight="false" outlineLevel="0" collapsed="false">
      <c r="A835" s="9" t="s">
        <v>599</v>
      </c>
      <c r="C835" s="63" t="n">
        <f aca="false">P769</f>
        <v>2.85874696215099</v>
      </c>
      <c r="D835" s="63"/>
    </row>
    <row r="836" customFormat="false" ht="15" hidden="false" customHeight="false" outlineLevel="0" collapsed="false">
      <c r="A836" s="9" t="s">
        <v>600</v>
      </c>
      <c r="C836" s="63" t="n">
        <f aca="false">P745</f>
        <v>20</v>
      </c>
      <c r="D836" s="63"/>
    </row>
    <row r="837" customFormat="false" ht="15" hidden="false" customHeight="false" outlineLevel="0" collapsed="false">
      <c r="A837" s="9" t="s">
        <v>601</v>
      </c>
      <c r="C837" s="61" t="n">
        <f aca="false">IFERROR(P779/P769,0)</f>
        <v>6885.73598846013</v>
      </c>
      <c r="D837" s="61"/>
    </row>
    <row r="840" customFormat="false" ht="15" hidden="false" customHeight="true" outlineLevel="0" collapsed="false">
      <c r="A840" s="77" t="s">
        <v>775</v>
      </c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</row>
    <row r="841" customFormat="false" ht="23.85" hidden="false" customHeight="false" outlineLevel="0" collapsed="false">
      <c r="A841" s="35" t="s">
        <v>776</v>
      </c>
      <c r="B841" s="35" t="s">
        <v>444</v>
      </c>
      <c r="C841" s="6" t="s">
        <v>354</v>
      </c>
      <c r="D841" s="6" t="s">
        <v>355</v>
      </c>
      <c r="E841" s="6" t="s">
        <v>356</v>
      </c>
      <c r="F841" s="6" t="s">
        <v>357</v>
      </c>
      <c r="G841" s="6" t="s">
        <v>358</v>
      </c>
      <c r="H841" s="6" t="s">
        <v>359</v>
      </c>
      <c r="I841" s="6" t="s">
        <v>360</v>
      </c>
      <c r="J841" s="6" t="s">
        <v>361</v>
      </c>
      <c r="K841" s="6" t="s">
        <v>362</v>
      </c>
      <c r="L841" s="6" t="s">
        <v>363</v>
      </c>
      <c r="M841" s="6" t="s">
        <v>364</v>
      </c>
      <c r="N841" s="6" t="s">
        <v>365</v>
      </c>
      <c r="P841" s="6" t="s">
        <v>445</v>
      </c>
      <c r="Q841" s="6" t="s">
        <v>446</v>
      </c>
      <c r="R841" s="6" t="s">
        <v>447</v>
      </c>
      <c r="S841" s="6" t="s">
        <v>448</v>
      </c>
    </row>
    <row r="842" customFormat="false" ht="15" hidden="false" customHeight="false" outlineLevel="0" collapsed="false">
      <c r="A842" s="4" t="s">
        <v>449</v>
      </c>
      <c r="B842" s="36" t="s">
        <v>450</v>
      </c>
      <c r="C842" s="34" t="n">
        <f aca="false">'Market Sizing'!$C$17*Assumptions!$E$10*Assumptions!$E$11*(1-Assumptions!$E$12)</f>
        <v>843.03944704</v>
      </c>
    </row>
    <row r="843" customFormat="false" ht="15" hidden="false" customHeight="false" outlineLevel="0" collapsed="false">
      <c r="A843" s="4" t="s">
        <v>451</v>
      </c>
      <c r="B843" s="36" t="s">
        <v>450</v>
      </c>
      <c r="C843" s="34" t="n">
        <f aca="false">'Market Sizing'!$D$17*Assumptions!$E$10*Assumptions!$E$11*(1-Assumptions!$E$12)</f>
        <v>211.19616</v>
      </c>
    </row>
    <row r="844" customFormat="false" ht="15" hidden="false" customHeight="false" outlineLevel="0" collapsed="false">
      <c r="A844" s="4" t="s">
        <v>452</v>
      </c>
      <c r="B844" s="36" t="s">
        <v>450</v>
      </c>
      <c r="C844" s="34" t="n">
        <f aca="false">'Market Sizing'!$E$17*Assumptions!$E$10*Assumptions!$E$11*(1-Assumptions!$E$12)</f>
        <v>49.53984</v>
      </c>
    </row>
    <row r="845" customFormat="false" ht="15" hidden="false" customHeight="false" outlineLevel="0" collapsed="false">
      <c r="A845" s="4" t="s">
        <v>453</v>
      </c>
      <c r="B845" s="36"/>
      <c r="C845" s="34" t="n">
        <f aca="false">$C$842+$C$843+$C$844</f>
        <v>1103.77544704</v>
      </c>
    </row>
    <row r="846" customFormat="false" ht="15" hidden="false" customHeight="false" outlineLevel="0" collapsed="false">
      <c r="A846" s="4" t="s">
        <v>454</v>
      </c>
      <c r="B846" s="36" t="s">
        <v>450</v>
      </c>
      <c r="C846" s="34" t="n">
        <f aca="false">'Market Sizing'!$C$18*Assumptions!$E$10*Assumptions!$E$11*(1-Assumptions!$E$12)</f>
        <v>612.57706944</v>
      </c>
    </row>
    <row r="847" customFormat="false" ht="15" hidden="false" customHeight="false" outlineLevel="0" collapsed="false">
      <c r="A847" s="4" t="s">
        <v>455</v>
      </c>
      <c r="B847" s="36" t="s">
        <v>450</v>
      </c>
      <c r="C847" s="34" t="n">
        <f aca="false">'Market Sizing'!$D$18*Assumptions!$E$10*Assumptions!$E$11*(1-Assumptions!$E$12)</f>
        <v>142.10112</v>
      </c>
    </row>
    <row r="848" customFormat="false" ht="15" hidden="false" customHeight="false" outlineLevel="0" collapsed="false">
      <c r="A848" s="4" t="s">
        <v>456</v>
      </c>
      <c r="B848" s="36" t="s">
        <v>450</v>
      </c>
      <c r="C848" s="34" t="n">
        <f aca="false">'Market Sizing'!$E$18*Assumptions!$E$10*Assumptions!$E$11*(1-Assumptions!$E$12)</f>
        <v>24.76992</v>
      </c>
    </row>
    <row r="849" customFormat="false" ht="15" hidden="false" customHeight="false" outlineLevel="0" collapsed="false">
      <c r="A849" s="4" t="s">
        <v>457</v>
      </c>
      <c r="B849" s="36"/>
      <c r="C849" s="34" t="n">
        <f aca="false">$C$846+$C$847+$C$848</f>
        <v>779.44810944</v>
      </c>
    </row>
    <row r="850" customFormat="false" ht="15" hidden="false" customHeight="false" outlineLevel="0" collapsed="false">
      <c r="A850" s="4" t="s">
        <v>458</v>
      </c>
      <c r="B850" s="36" t="s">
        <v>450</v>
      </c>
      <c r="C850" s="34" t="n">
        <f aca="false">'Market Sizing'!$C$19*Assumptions!$E$10*Assumptions!$E$11*(1-Assumptions!$E$12)</f>
        <v>2060.77303936</v>
      </c>
    </row>
    <row r="851" customFormat="false" ht="15" hidden="false" customHeight="false" outlineLevel="0" collapsed="false">
      <c r="A851" s="4" t="s">
        <v>459</v>
      </c>
      <c r="B851" s="36" t="s">
        <v>450</v>
      </c>
      <c r="C851" s="34" t="n">
        <f aca="false">'Market Sizing'!$D$19*Assumptions!$E$10*Assumptions!$E$11*(1-Assumptions!$E$12)</f>
        <v>428.47616</v>
      </c>
    </row>
    <row r="852" customFormat="false" ht="15" hidden="false" customHeight="false" outlineLevel="0" collapsed="false">
      <c r="A852" s="4" t="s">
        <v>460</v>
      </c>
      <c r="B852" s="36" t="s">
        <v>450</v>
      </c>
      <c r="C852" s="34" t="n">
        <f aca="false">'Market Sizing'!$E$19*Assumptions!$E$10*Assumptions!$E$11*(1-Assumptions!$E$12)</f>
        <v>79.52448</v>
      </c>
    </row>
    <row r="853" customFormat="false" ht="15" hidden="false" customHeight="false" outlineLevel="0" collapsed="false">
      <c r="A853" s="4" t="s">
        <v>461</v>
      </c>
      <c r="B853" s="36"/>
      <c r="C853" s="34" t="n">
        <f aca="false">$C$850+$C$851+$C$852</f>
        <v>2568.77367936</v>
      </c>
    </row>
    <row r="854" customFormat="false" ht="15" hidden="false" customHeight="false" outlineLevel="0" collapsed="false">
      <c r="A854" s="4" t="s">
        <v>462</v>
      </c>
      <c r="B854" s="36" t="s">
        <v>463</v>
      </c>
      <c r="C854" s="33" t="n">
        <f aca="false">MAX((Assumptions!$E$51+Assumptions!$E$53)*12,(((('Market Sizing'!$E$25*Assumptions!$E$41*Assumptions!$E$42*Assumptions!$E$43)*Assumptions!$E$44)*Assumptions!$E$45*Assumptions!$E$46+('Market Sizing'!$E$25*Assumptions!$E$41*Assumptions!$E$42*Assumptions!$E$43)*Assumptions!$E$47+('Market Sizing'!$E$25*Assumptions!$E$41*Assumptions!$E$42*Assumptions!$E$43)*Assumptions!$E$48*Assumptions!$E$49)*(Assumptions!$E$51*12/Assumptions!$E$52)+((('Market Sizing'!$E$25*Assumptions!$E$41*Assumptions!$E$42*Assumptions!$E$43)*Assumptions!$E$44)*Assumptions!$E$45+('Market Sizing'!$E$25*Assumptions!$E$41*Assumptions!$E$42*Assumptions!$E$43)+('Market Sizing'!$E$25*Assumptions!$E$41*Assumptions!$E$42*Assumptions!$E$43)*Assumptions!$E$48)*Assumptions!$E$50*(Assumptions!$E$53*12/Assumptions!$E$54)))</f>
        <v>5352</v>
      </c>
    </row>
    <row r="855" customFormat="false" ht="15" hidden="false" customHeight="false" outlineLevel="0" collapsed="false">
      <c r="A855" s="4" t="s">
        <v>464</v>
      </c>
      <c r="B855" s="36" t="s">
        <v>463</v>
      </c>
      <c r="C855" s="33" t="n">
        <f aca="false">MAX((Assumptions!$E$51+Assumptions!$E$53)*12,(((('Market Sizing'!$E$26*Assumptions!$E$41*Assumptions!$E$42*Assumptions!$E$43)*Assumptions!$E$44)*Assumptions!$E$45*Assumptions!$E$46+('Market Sizing'!$E$26*Assumptions!$E$41*Assumptions!$E$42*Assumptions!$E$43)*Assumptions!$E$47+('Market Sizing'!$E$26*Assumptions!$E$41*Assumptions!$E$42*Assumptions!$E$43)*Assumptions!$E$48*Assumptions!$E$49)*(Assumptions!$E$51*12/Assumptions!$E$52)+((('Market Sizing'!$E$26*Assumptions!$E$41*Assumptions!$E$42*Assumptions!$E$43)*Assumptions!$E$44)*Assumptions!$E$45+('Market Sizing'!$E$26*Assumptions!$E$41*Assumptions!$E$42*Assumptions!$E$43)+('Market Sizing'!$E$26*Assumptions!$E$41*Assumptions!$E$42*Assumptions!$E$43)*Assumptions!$E$48)*Assumptions!$E$50*(Assumptions!$E$53*12/Assumptions!$E$54)))</f>
        <v>9766.72012875208</v>
      </c>
    </row>
    <row r="856" customFormat="false" ht="15" hidden="false" customHeight="false" outlineLevel="0" collapsed="false">
      <c r="A856" s="4" t="s">
        <v>465</v>
      </c>
      <c r="B856" s="36" t="s">
        <v>463</v>
      </c>
      <c r="C856" s="33" t="n">
        <f aca="false">MAX(Assumptions!$E$55*(Assumptions!$E$51*12/Assumptions!$E$52)+Assumptions!$E$56*(Assumptions!$E$53*12/Assumptions!$E$54),(((('Market Sizing'!$E$27*Assumptions!$E$41*Assumptions!$E$42*Assumptions!$E$43)*Assumptions!$E$44)*Assumptions!$E$45*Assumptions!$E$46+('Market Sizing'!$E$27*Assumptions!$E$41*Assumptions!$E$42*Assumptions!$E$43)*Assumptions!$E$47+('Market Sizing'!$E$27*Assumptions!$E$41*Assumptions!$E$42*Assumptions!$E$43)*Assumptions!$E$48*Assumptions!$E$49)*(Assumptions!$E$51*12/Assumptions!$E$52)+((('Market Sizing'!$E$27*Assumptions!$E$41*Assumptions!$E$42*Assumptions!$E$43)*Assumptions!$E$44)*Assumptions!$E$45+('Market Sizing'!$E$27*Assumptions!$E$41*Assumptions!$E$42*Assumptions!$E$43)+('Market Sizing'!$E$27*Assumptions!$E$41*Assumptions!$E$42*Assumptions!$E$43)*Assumptions!$E$48)*Assumptions!$E$50*(Assumptions!$E$53*12/Assumptions!$E$54)))*(1-Assumptions!$E$57)</f>
        <v>61778.2562194386</v>
      </c>
    </row>
    <row r="857" customFormat="false" ht="23.85" hidden="false" customHeight="false" outlineLevel="0" collapsed="false">
      <c r="A857" s="4" t="s">
        <v>466</v>
      </c>
      <c r="B857" s="36" t="s">
        <v>467</v>
      </c>
      <c r="C857" s="37" t="n">
        <f aca="false">Assumptions!$E$17*Assumptions!$E$106</f>
        <v>0.4</v>
      </c>
    </row>
    <row r="858" customFormat="false" ht="23.85" hidden="false" customHeight="false" outlineLevel="0" collapsed="false">
      <c r="A858" s="4" t="s">
        <v>468</v>
      </c>
      <c r="B858" s="36" t="s">
        <v>469</v>
      </c>
      <c r="C858" s="33" t="n">
        <f aca="false">Assumptions!$E$68/Assumptions!$E$69</f>
        <v>285714.285714286</v>
      </c>
    </row>
    <row r="859" customFormat="false" ht="23.85" hidden="false" customHeight="false" outlineLevel="0" collapsed="false">
      <c r="A859" s="4" t="s">
        <v>470</v>
      </c>
      <c r="B859" s="36" t="s">
        <v>471</v>
      </c>
      <c r="C859" s="33" t="n">
        <f aca="false">Assumptions!$E$66*Assumptions!$E$67/4</f>
        <v>153125</v>
      </c>
    </row>
    <row r="860" customFormat="false" ht="15" hidden="false" customHeight="false" outlineLevel="0" collapsed="false">
      <c r="A860" s="4" t="s">
        <v>472</v>
      </c>
      <c r="B860" s="36"/>
      <c r="C860" s="38" t="n">
        <f aca="false">$C$858/Assumptions!$E$66/Assumptions!$E$67</f>
        <v>0.466472303206997</v>
      </c>
    </row>
    <row r="861" customFormat="false" ht="15" hidden="false" customHeight="false" outlineLevel="0" collapsed="false">
      <c r="A861" s="4" t="s">
        <v>473</v>
      </c>
      <c r="B861" s="36"/>
      <c r="C861" s="33" t="n">
        <f aca="false">MAX(0,Assumptions!$E$103-Assumptions!$E$78)</f>
        <v>35000</v>
      </c>
    </row>
    <row r="862" customFormat="false" ht="15" hidden="false" customHeight="false" outlineLevel="0" collapsed="false">
      <c r="A862" s="35" t="s">
        <v>474</v>
      </c>
      <c r="B862" s="35" t="s">
        <v>444</v>
      </c>
      <c r="C862" s="6" t="s">
        <v>354</v>
      </c>
      <c r="D862" s="6" t="s">
        <v>355</v>
      </c>
      <c r="E862" s="6" t="s">
        <v>356</v>
      </c>
      <c r="F862" s="6" t="s">
        <v>357</v>
      </c>
      <c r="G862" s="6" t="s">
        <v>358</v>
      </c>
      <c r="H862" s="6" t="s">
        <v>359</v>
      </c>
      <c r="I862" s="6" t="s">
        <v>360</v>
      </c>
      <c r="J862" s="6" t="s">
        <v>361</v>
      </c>
      <c r="K862" s="6" t="s">
        <v>362</v>
      </c>
      <c r="L862" s="6" t="s">
        <v>363</v>
      </c>
      <c r="M862" s="6" t="s">
        <v>364</v>
      </c>
      <c r="N862" s="6" t="s">
        <v>365</v>
      </c>
      <c r="P862" s="6" t="s">
        <v>445</v>
      </c>
      <c r="Q862" s="6" t="s">
        <v>446</v>
      </c>
      <c r="R862" s="6" t="s">
        <v>447</v>
      </c>
      <c r="S862" s="6" t="s">
        <v>448</v>
      </c>
    </row>
    <row r="863" customFormat="false" ht="15" hidden="false" customHeight="false" outlineLevel="0" collapsed="false">
      <c r="A863" s="4" t="s">
        <v>475</v>
      </c>
      <c r="B863" s="36" t="s">
        <v>133</v>
      </c>
      <c r="C863" s="39" t="n">
        <v>1</v>
      </c>
      <c r="D863" s="39" t="n">
        <v>2</v>
      </c>
      <c r="E863" s="39" t="n">
        <v>3</v>
      </c>
      <c r="F863" s="39" t="n">
        <v>4</v>
      </c>
      <c r="G863" s="39" t="n">
        <v>5</v>
      </c>
      <c r="H863" s="39" t="n">
        <v>6</v>
      </c>
      <c r="I863" s="39" t="n">
        <v>7</v>
      </c>
      <c r="J863" s="39" t="n">
        <v>8</v>
      </c>
      <c r="K863" s="39" t="n">
        <v>9</v>
      </c>
      <c r="L863" s="39" t="n">
        <v>10</v>
      </c>
      <c r="M863" s="39" t="n">
        <v>11</v>
      </c>
      <c r="N863" s="39" t="n">
        <v>12</v>
      </c>
      <c r="P863" s="40"/>
      <c r="Q863" s="40"/>
      <c r="R863" s="40"/>
      <c r="S863" s="41"/>
    </row>
    <row r="864" customFormat="false" ht="15" hidden="false" customHeight="false" outlineLevel="0" collapsed="false">
      <c r="A864" s="4" t="s">
        <v>476</v>
      </c>
      <c r="B864" s="36" t="s">
        <v>343</v>
      </c>
      <c r="C864" s="39" t="n">
        <f aca="false">IF(C863&lt;=Assumptions!$E$84,1,0)</f>
        <v>1</v>
      </c>
      <c r="D864" s="39" t="n">
        <f aca="false">IF(D863&lt;=Assumptions!$E$84,1,0)</f>
        <v>1</v>
      </c>
      <c r="E864" s="39" t="n">
        <f aca="false">IF(E863&lt;=Assumptions!$E$84,1,0)</f>
        <v>1</v>
      </c>
      <c r="F864" s="39" t="n">
        <f aca="false">IF(F863&lt;=Assumptions!$E$84,1,0)</f>
        <v>1</v>
      </c>
      <c r="G864" s="39" t="n">
        <f aca="false">IF(G863&lt;=Assumptions!$E$84,1,0)</f>
        <v>1</v>
      </c>
      <c r="H864" s="39" t="n">
        <f aca="false">IF(H863&lt;=Assumptions!$E$84,1,0)</f>
        <v>1</v>
      </c>
      <c r="I864" s="39" t="n">
        <f aca="false">IF(I863&lt;=Assumptions!$E$84,1,0)</f>
        <v>1</v>
      </c>
      <c r="J864" s="39" t="n">
        <f aca="false">IF(J863&lt;=Assumptions!$E$84,1,0)</f>
        <v>1</v>
      </c>
      <c r="K864" s="39" t="n">
        <f aca="false">IF(K863&lt;=Assumptions!$E$84,1,0)</f>
        <v>1</v>
      </c>
      <c r="L864" s="39" t="n">
        <f aca="false">IF(L863&lt;=Assumptions!$E$84,1,0)</f>
        <v>1</v>
      </c>
      <c r="M864" s="39" t="n">
        <f aca="false">IF(M863&lt;=Assumptions!$E$84,1,0)</f>
        <v>1</v>
      </c>
      <c r="N864" s="39" t="n">
        <f aca="false">IF(N863&lt;=Assumptions!$E$84,1,0)</f>
        <v>1</v>
      </c>
      <c r="P864" s="40"/>
      <c r="Q864" s="40"/>
      <c r="R864" s="40"/>
      <c r="S864" s="41"/>
    </row>
    <row r="865" customFormat="false" ht="15" hidden="false" customHeight="false" outlineLevel="0" collapsed="false">
      <c r="A865" s="4" t="s">
        <v>477</v>
      </c>
      <c r="B865" s="36" t="s">
        <v>478</v>
      </c>
      <c r="C865" s="42" t="n">
        <f aca="false">IF(C863=Assumptions!$E$13,0.5,IF(C863&gt;Assumptions!$E$13,1,0))</f>
        <v>0.5</v>
      </c>
      <c r="D865" s="42" t="n">
        <f aca="false">IF(D863=Assumptions!$E$13,0.5,IF(D863&gt;Assumptions!$E$13,1,0))</f>
        <v>1</v>
      </c>
      <c r="E865" s="42" t="n">
        <f aca="false">IF(E863=Assumptions!$E$13,0.5,IF(E863&gt;Assumptions!$E$13,1,0))</f>
        <v>1</v>
      </c>
      <c r="F865" s="42" t="n">
        <f aca="false">IF(F863=Assumptions!$E$13,0.5,IF(F863&gt;Assumptions!$E$13,1,0))</f>
        <v>1</v>
      </c>
      <c r="G865" s="42" t="n">
        <f aca="false">IF(G863=Assumptions!$E$13,0.5,IF(G863&gt;Assumptions!$E$13,1,0))</f>
        <v>1</v>
      </c>
      <c r="H865" s="42" t="n">
        <f aca="false">IF(H863=Assumptions!$E$13,0.5,IF(H863&gt;Assumptions!$E$13,1,0))</f>
        <v>1</v>
      </c>
      <c r="I865" s="42" t="n">
        <f aca="false">IF(I863=Assumptions!$E$13,0.5,IF(I863&gt;Assumptions!$E$13,1,0))</f>
        <v>1</v>
      </c>
      <c r="J865" s="42" t="n">
        <f aca="false">IF(J863=Assumptions!$E$13,0.5,IF(J863&gt;Assumptions!$E$13,1,0))</f>
        <v>1</v>
      </c>
      <c r="K865" s="42" t="n">
        <f aca="false">IF(K863=Assumptions!$E$13,0.5,IF(K863&gt;Assumptions!$E$13,1,0))</f>
        <v>1</v>
      </c>
      <c r="L865" s="42" t="n">
        <f aca="false">IF(L863=Assumptions!$E$13,0.5,IF(L863&gt;Assumptions!$E$13,1,0))</f>
        <v>1</v>
      </c>
      <c r="M865" s="42" t="n">
        <f aca="false">IF(M863=Assumptions!$E$13,0.5,IF(M863&gt;Assumptions!$E$13,1,0))</f>
        <v>1</v>
      </c>
      <c r="N865" s="42" t="n">
        <f aca="false">IF(N863=Assumptions!$E$13,0.5,IF(N863&gt;Assumptions!$E$13,1,0))</f>
        <v>1</v>
      </c>
      <c r="P865" s="43"/>
      <c r="Q865" s="43"/>
      <c r="R865" s="43"/>
      <c r="S865" s="44"/>
    </row>
    <row r="866" customFormat="false" ht="15" hidden="false" customHeight="false" outlineLevel="0" collapsed="false">
      <c r="A866" s="4" t="s">
        <v>479</v>
      </c>
      <c r="B866" s="36" t="s">
        <v>478</v>
      </c>
      <c r="C866" s="42" t="n">
        <f aca="false">IF(C863=Assumptions!$E$14,0.5,IF(C863&gt;Assumptions!$E$14,1,0))</f>
        <v>0</v>
      </c>
      <c r="D866" s="42" t="n">
        <f aca="false">IF(D863=Assumptions!$E$14,0.5,IF(D863&gt;Assumptions!$E$14,1,0))</f>
        <v>0</v>
      </c>
      <c r="E866" s="42" t="n">
        <f aca="false">IF(E863=Assumptions!$E$14,0.5,IF(E863&gt;Assumptions!$E$14,1,0))</f>
        <v>0</v>
      </c>
      <c r="F866" s="42" t="n">
        <f aca="false">IF(F863=Assumptions!$E$14,0.5,IF(F863&gt;Assumptions!$E$14,1,0))</f>
        <v>0</v>
      </c>
      <c r="G866" s="42" t="n">
        <f aca="false">IF(G863=Assumptions!$E$14,0.5,IF(G863&gt;Assumptions!$E$14,1,0))</f>
        <v>0.5</v>
      </c>
      <c r="H866" s="42" t="n">
        <f aca="false">IF(H863=Assumptions!$E$14,0.5,IF(H863&gt;Assumptions!$E$14,1,0))</f>
        <v>1</v>
      </c>
      <c r="I866" s="42" t="n">
        <f aca="false">IF(I863=Assumptions!$E$14,0.5,IF(I863&gt;Assumptions!$E$14,1,0))</f>
        <v>1</v>
      </c>
      <c r="J866" s="42" t="n">
        <f aca="false">IF(J863=Assumptions!$E$14,0.5,IF(J863&gt;Assumptions!$E$14,1,0))</f>
        <v>1</v>
      </c>
      <c r="K866" s="42" t="n">
        <f aca="false">IF(K863=Assumptions!$E$14,0.5,IF(K863&gt;Assumptions!$E$14,1,0))</f>
        <v>1</v>
      </c>
      <c r="L866" s="42" t="n">
        <f aca="false">IF(L863=Assumptions!$E$14,0.5,IF(L863&gt;Assumptions!$E$14,1,0))</f>
        <v>1</v>
      </c>
      <c r="M866" s="42" t="n">
        <f aca="false">IF(M863=Assumptions!$E$14,0.5,IF(M863&gt;Assumptions!$E$14,1,0))</f>
        <v>1</v>
      </c>
      <c r="N866" s="42" t="n">
        <f aca="false">IF(N863=Assumptions!$E$14,0.5,IF(N863&gt;Assumptions!$E$14,1,0))</f>
        <v>1</v>
      </c>
      <c r="P866" s="43"/>
      <c r="Q866" s="43"/>
      <c r="R866" s="43"/>
      <c r="S866" s="44"/>
    </row>
    <row r="867" customFormat="false" ht="15" hidden="false" customHeight="false" outlineLevel="0" collapsed="false">
      <c r="A867" s="4" t="s">
        <v>480</v>
      </c>
      <c r="B867" s="36" t="s">
        <v>478</v>
      </c>
      <c r="C867" s="42" t="n">
        <f aca="false">IF(C863=Assumptions!$E$15,0.5,IF(C863&gt;Assumptions!$E$15,1,0))</f>
        <v>0</v>
      </c>
      <c r="D867" s="42" t="n">
        <f aca="false">IF(D863=Assumptions!$E$15,0.5,IF(D863&gt;Assumptions!$E$15,1,0))</f>
        <v>0</v>
      </c>
      <c r="E867" s="42" t="n">
        <f aca="false">IF(E863=Assumptions!$E$15,0.5,IF(E863&gt;Assumptions!$E$15,1,0))</f>
        <v>0</v>
      </c>
      <c r="F867" s="42" t="n">
        <f aca="false">IF(F863=Assumptions!$E$15,0.5,IF(F863&gt;Assumptions!$E$15,1,0))</f>
        <v>0</v>
      </c>
      <c r="G867" s="42" t="n">
        <f aca="false">IF(G863=Assumptions!$E$15,0.5,IF(G863&gt;Assumptions!$E$15,1,0))</f>
        <v>0</v>
      </c>
      <c r="H867" s="42" t="n">
        <f aca="false">IF(H863=Assumptions!$E$15,0.5,IF(H863&gt;Assumptions!$E$15,1,0))</f>
        <v>0</v>
      </c>
      <c r="I867" s="42" t="n">
        <f aca="false">IF(I863=Assumptions!$E$15,0.5,IF(I863&gt;Assumptions!$E$15,1,0))</f>
        <v>0.5</v>
      </c>
      <c r="J867" s="42" t="n">
        <f aca="false">IF(J863=Assumptions!$E$15,0.5,IF(J863&gt;Assumptions!$E$15,1,0))</f>
        <v>1</v>
      </c>
      <c r="K867" s="42" t="n">
        <f aca="false">IF(K863=Assumptions!$E$15,0.5,IF(K863&gt;Assumptions!$E$15,1,0))</f>
        <v>1</v>
      </c>
      <c r="L867" s="42" t="n">
        <f aca="false">IF(L863=Assumptions!$E$15,0.5,IF(L863&gt;Assumptions!$E$15,1,0))</f>
        <v>1</v>
      </c>
      <c r="M867" s="42" t="n">
        <f aca="false">IF(M863=Assumptions!$E$15,0.5,IF(M863&gt;Assumptions!$E$15,1,0))</f>
        <v>1</v>
      </c>
      <c r="N867" s="42" t="n">
        <f aca="false">IF(N863=Assumptions!$E$15,0.5,IF(N863&gt;Assumptions!$E$15,1,0))</f>
        <v>1</v>
      </c>
      <c r="P867" s="43"/>
      <c r="Q867" s="43"/>
      <c r="R867" s="43"/>
      <c r="S867" s="44"/>
    </row>
    <row r="868" customFormat="false" ht="15" hidden="false" customHeight="false" outlineLevel="0" collapsed="false">
      <c r="A868" s="4" t="s">
        <v>481</v>
      </c>
      <c r="B868" s="36" t="s">
        <v>478</v>
      </c>
      <c r="C868" s="45" t="n">
        <f aca="false">Assumptions!$E$21^(MAX(0,C863-Assumptions!$E$13)/4)</f>
        <v>1</v>
      </c>
      <c r="D868" s="45" t="n">
        <f aca="false">Assumptions!$E$21^(MAX(0,D863-Assumptions!$E$13)/4)</f>
        <v>0.9306048591021</v>
      </c>
      <c r="E868" s="45" t="n">
        <f aca="false">Assumptions!$E$21^(MAX(0,E863-Assumptions!$E$13)/4)</f>
        <v>0.866025403784439</v>
      </c>
      <c r="F868" s="45" t="n">
        <f aca="false">Assumptions!$E$21^(MAX(0,F863-Assumptions!$E$13)/4)</f>
        <v>0.805927448867656</v>
      </c>
      <c r="G868" s="45" t="n">
        <f aca="false">Assumptions!$E$21^(MAX(0,G863-Assumptions!$E$13)/4)</f>
        <v>0.75</v>
      </c>
      <c r="H868" s="45" t="n">
        <f aca="false">Assumptions!$E$21^(MAX(0,H863-Assumptions!$E$13)/4)</f>
        <v>0.697953644326575</v>
      </c>
      <c r="I868" s="45" t="n">
        <f aca="false">Assumptions!$E$21^(MAX(0,I863-Assumptions!$E$13)/4)</f>
        <v>0.649519052838329</v>
      </c>
      <c r="J868" s="45" t="n">
        <f aca="false">Assumptions!$E$21^(MAX(0,J863-Assumptions!$E$13)/4)</f>
        <v>0.604445586650742</v>
      </c>
      <c r="K868" s="45" t="n">
        <f aca="false">Assumptions!$E$21^(MAX(0,K863-Assumptions!$E$13)/4)</f>
        <v>0.5625</v>
      </c>
      <c r="L868" s="45" t="n">
        <f aca="false">Assumptions!$E$21^(MAX(0,L863-Assumptions!$E$13)/4)</f>
        <v>0.523465233244931</v>
      </c>
      <c r="M868" s="45" t="n">
        <f aca="false">Assumptions!$E$21^(MAX(0,M863-Assumptions!$E$13)/4)</f>
        <v>0.487139289628747</v>
      </c>
      <c r="N868" s="45" t="n">
        <f aca="false">Assumptions!$E$21^(MAX(0,N863-Assumptions!$E$13)/4)</f>
        <v>0.453334189988057</v>
      </c>
      <c r="P868" s="46"/>
      <c r="Q868" s="46"/>
      <c r="R868" s="46"/>
      <c r="S868" s="47"/>
    </row>
    <row r="869" customFormat="false" ht="15" hidden="false" customHeight="false" outlineLevel="0" collapsed="false">
      <c r="A869" s="4" t="s">
        <v>482</v>
      </c>
      <c r="B869" s="36" t="s">
        <v>478</v>
      </c>
      <c r="C869" s="45" t="n">
        <f aca="false">Assumptions!$E$21^(MAX(0,C863-Assumptions!$E$14)/4)</f>
        <v>1</v>
      </c>
      <c r="D869" s="45" t="n">
        <f aca="false">Assumptions!$E$21^(MAX(0,D863-Assumptions!$E$14)/4)</f>
        <v>1</v>
      </c>
      <c r="E869" s="45" t="n">
        <f aca="false">Assumptions!$E$21^(MAX(0,E863-Assumptions!$E$14)/4)</f>
        <v>1</v>
      </c>
      <c r="F869" s="45" t="n">
        <f aca="false">Assumptions!$E$21^(MAX(0,F863-Assumptions!$E$14)/4)</f>
        <v>1</v>
      </c>
      <c r="G869" s="45" t="n">
        <f aca="false">Assumptions!$E$21^(MAX(0,G863-Assumptions!$E$14)/4)</f>
        <v>1</v>
      </c>
      <c r="H869" s="45" t="n">
        <f aca="false">Assumptions!$E$21^(MAX(0,H863-Assumptions!$E$14)/4)</f>
        <v>0.9306048591021</v>
      </c>
      <c r="I869" s="45" t="n">
        <f aca="false">Assumptions!$E$21^(MAX(0,I863-Assumptions!$E$14)/4)</f>
        <v>0.866025403784439</v>
      </c>
      <c r="J869" s="45" t="n">
        <f aca="false">Assumptions!$E$21^(MAX(0,J863-Assumptions!$E$14)/4)</f>
        <v>0.805927448867656</v>
      </c>
      <c r="K869" s="45" t="n">
        <f aca="false">Assumptions!$E$21^(MAX(0,K863-Assumptions!$E$14)/4)</f>
        <v>0.75</v>
      </c>
      <c r="L869" s="45" t="n">
        <f aca="false">Assumptions!$E$21^(MAX(0,L863-Assumptions!$E$14)/4)</f>
        <v>0.697953644326575</v>
      </c>
      <c r="M869" s="45" t="n">
        <f aca="false">Assumptions!$E$21^(MAX(0,M863-Assumptions!$E$14)/4)</f>
        <v>0.649519052838329</v>
      </c>
      <c r="N869" s="45" t="n">
        <f aca="false">Assumptions!$E$21^(MAX(0,N863-Assumptions!$E$14)/4)</f>
        <v>0.604445586650742</v>
      </c>
      <c r="P869" s="46"/>
      <c r="Q869" s="46"/>
      <c r="R869" s="46"/>
      <c r="S869" s="47"/>
    </row>
    <row r="870" customFormat="false" ht="15" hidden="false" customHeight="false" outlineLevel="0" collapsed="false">
      <c r="A870" s="4" t="s">
        <v>483</v>
      </c>
      <c r="B870" s="36" t="s">
        <v>478</v>
      </c>
      <c r="C870" s="45" t="n">
        <f aca="false">Assumptions!$E$21^(MAX(0,C863-Assumptions!$E$15)/4)</f>
        <v>1</v>
      </c>
      <c r="D870" s="45" t="n">
        <f aca="false">Assumptions!$E$21^(MAX(0,D863-Assumptions!$E$15)/4)</f>
        <v>1</v>
      </c>
      <c r="E870" s="45" t="n">
        <f aca="false">Assumptions!$E$21^(MAX(0,E863-Assumptions!$E$15)/4)</f>
        <v>1</v>
      </c>
      <c r="F870" s="45" t="n">
        <f aca="false">Assumptions!$E$21^(MAX(0,F863-Assumptions!$E$15)/4)</f>
        <v>1</v>
      </c>
      <c r="G870" s="45" t="n">
        <f aca="false">Assumptions!$E$21^(MAX(0,G863-Assumptions!$E$15)/4)</f>
        <v>1</v>
      </c>
      <c r="H870" s="45" t="n">
        <f aca="false">Assumptions!$E$21^(MAX(0,H863-Assumptions!$E$15)/4)</f>
        <v>1</v>
      </c>
      <c r="I870" s="45" t="n">
        <f aca="false">Assumptions!$E$21^(MAX(0,I863-Assumptions!$E$15)/4)</f>
        <v>1</v>
      </c>
      <c r="J870" s="45" t="n">
        <f aca="false">Assumptions!$E$21^(MAX(0,J863-Assumptions!$E$15)/4)</f>
        <v>0.9306048591021</v>
      </c>
      <c r="K870" s="45" t="n">
        <f aca="false">Assumptions!$E$21^(MAX(0,K863-Assumptions!$E$15)/4)</f>
        <v>0.866025403784439</v>
      </c>
      <c r="L870" s="45" t="n">
        <f aca="false">Assumptions!$E$21^(MAX(0,L863-Assumptions!$E$15)/4)</f>
        <v>0.805927448867656</v>
      </c>
      <c r="M870" s="45" t="n">
        <f aca="false">Assumptions!$E$21^(MAX(0,M863-Assumptions!$E$15)/4)</f>
        <v>0.75</v>
      </c>
      <c r="N870" s="45" t="n">
        <f aca="false">Assumptions!$E$21^(MAX(0,N863-Assumptions!$E$15)/4)</f>
        <v>0.697953644326575</v>
      </c>
      <c r="P870" s="46"/>
      <c r="Q870" s="46"/>
      <c r="R870" s="46"/>
      <c r="S870" s="47"/>
    </row>
    <row r="871" customFormat="false" ht="15" hidden="false" customHeight="false" outlineLevel="0" collapsed="false">
      <c r="A871" s="4" t="s">
        <v>484</v>
      </c>
      <c r="B871" s="36" t="s">
        <v>485</v>
      </c>
      <c r="C871" s="39" t="n">
        <f aca="false">$C$842*C865+$C$846*C866+$C$850*C867</f>
        <v>421.51972352</v>
      </c>
      <c r="D871" s="39" t="n">
        <f aca="false">$C$842*D865+$C$846*D866+$C$850*D867</f>
        <v>843.03944704</v>
      </c>
      <c r="E871" s="39" t="n">
        <f aca="false">$C$842*E865+$C$846*E866+$C$850*E867</f>
        <v>843.03944704</v>
      </c>
      <c r="F871" s="39" t="n">
        <f aca="false">$C$842*F865+$C$846*F866+$C$850*F867</f>
        <v>843.03944704</v>
      </c>
      <c r="G871" s="39" t="n">
        <f aca="false">$C$842*G865+$C$846*G866+$C$850*G867</f>
        <v>1149.32798176</v>
      </c>
      <c r="H871" s="39" t="n">
        <f aca="false">$C$842*H865+$C$846*H866+$C$850*H867</f>
        <v>1455.61651648</v>
      </c>
      <c r="I871" s="39" t="n">
        <f aca="false">$C$842*I865+$C$846*I866+$C$850*I867</f>
        <v>2486.00303616</v>
      </c>
      <c r="J871" s="39" t="n">
        <f aca="false">$C$842*J865+$C$846*J866+$C$850*J867</f>
        <v>3516.38955584</v>
      </c>
      <c r="K871" s="39" t="n">
        <f aca="false">$C$842*K865+$C$846*K866+$C$850*K867</f>
        <v>3516.38955584</v>
      </c>
      <c r="L871" s="39" t="n">
        <f aca="false">$C$842*L865+$C$846*L866+$C$850*L867</f>
        <v>3516.38955584</v>
      </c>
      <c r="M871" s="39" t="n">
        <f aca="false">$C$842*M865+$C$846*M866+$C$850*M867</f>
        <v>3516.38955584</v>
      </c>
      <c r="N871" s="39" t="n">
        <f aca="false">$C$842*N865+$C$846*N866+$C$850*N867</f>
        <v>3516.38955584</v>
      </c>
      <c r="P871" s="40" t="n">
        <f aca="false">F871</f>
        <v>843.03944704</v>
      </c>
      <c r="Q871" s="40" t="n">
        <f aca="false">J871</f>
        <v>3516.38955584</v>
      </c>
      <c r="R871" s="40" t="n">
        <f aca="false">N871</f>
        <v>3516.38955584</v>
      </c>
      <c r="S871" s="41" t="n">
        <f aca="false">R871</f>
        <v>3516.38955584</v>
      </c>
    </row>
    <row r="872" customFormat="false" ht="15" hidden="false" customHeight="false" outlineLevel="0" collapsed="false">
      <c r="A872" s="4" t="s">
        <v>486</v>
      </c>
      <c r="B872" s="36" t="s">
        <v>485</v>
      </c>
      <c r="C872" s="39" t="n">
        <f aca="false">$C$843*C865+$C$847*C866+$C$851*C867</f>
        <v>105.59808</v>
      </c>
      <c r="D872" s="39" t="n">
        <f aca="false">$C$843*D865+$C$847*D866+$C$851*D867</f>
        <v>211.19616</v>
      </c>
      <c r="E872" s="39" t="n">
        <f aca="false">$C$843*E865+$C$847*E866+$C$851*E867</f>
        <v>211.19616</v>
      </c>
      <c r="F872" s="39" t="n">
        <f aca="false">$C$843*F865+$C$847*F866+$C$851*F867</f>
        <v>211.19616</v>
      </c>
      <c r="G872" s="39" t="n">
        <f aca="false">$C$843*G865+$C$847*G866+$C$851*G867</f>
        <v>282.24672</v>
      </c>
      <c r="H872" s="39" t="n">
        <f aca="false">$C$843*H865+$C$847*H866+$C$851*H867</f>
        <v>353.29728</v>
      </c>
      <c r="I872" s="39" t="n">
        <f aca="false">$C$843*I865+$C$847*I866+$C$851*I867</f>
        <v>567.53536</v>
      </c>
      <c r="J872" s="39" t="n">
        <f aca="false">$C$843*J865+$C$847*J866+$C$851*J867</f>
        <v>781.77344</v>
      </c>
      <c r="K872" s="39" t="n">
        <f aca="false">$C$843*K865+$C$847*K866+$C$851*K867</f>
        <v>781.77344</v>
      </c>
      <c r="L872" s="39" t="n">
        <f aca="false">$C$843*L865+$C$847*L866+$C$851*L867</f>
        <v>781.77344</v>
      </c>
      <c r="M872" s="39" t="n">
        <f aca="false">$C$843*M865+$C$847*M866+$C$851*M867</f>
        <v>781.77344</v>
      </c>
      <c r="N872" s="39" t="n">
        <f aca="false">$C$843*N865+$C$847*N866+$C$851*N867</f>
        <v>781.77344</v>
      </c>
      <c r="P872" s="40" t="n">
        <f aca="false">F872</f>
        <v>211.19616</v>
      </c>
      <c r="Q872" s="40" t="n">
        <f aca="false">J872</f>
        <v>781.77344</v>
      </c>
      <c r="R872" s="40" t="n">
        <f aca="false">N872</f>
        <v>781.77344</v>
      </c>
      <c r="S872" s="41" t="n">
        <f aca="false">R872</f>
        <v>781.77344</v>
      </c>
    </row>
    <row r="873" customFormat="false" ht="15" hidden="false" customHeight="false" outlineLevel="0" collapsed="false">
      <c r="A873" s="4" t="s">
        <v>487</v>
      </c>
      <c r="B873" s="36" t="s">
        <v>485</v>
      </c>
      <c r="C873" s="39" t="n">
        <f aca="false">$C$844*C865+$C$848*C866+$C$852*C867</f>
        <v>24.76992</v>
      </c>
      <c r="D873" s="39" t="n">
        <f aca="false">$C$844*D865+$C$848*D866+$C$852*D867</f>
        <v>49.53984</v>
      </c>
      <c r="E873" s="39" t="n">
        <f aca="false">$C$844*E865+$C$848*E866+$C$852*E867</f>
        <v>49.53984</v>
      </c>
      <c r="F873" s="39" t="n">
        <f aca="false">$C$844*F865+$C$848*F866+$C$852*F867</f>
        <v>49.53984</v>
      </c>
      <c r="G873" s="39" t="n">
        <f aca="false">$C$844*G865+$C$848*G866+$C$852*G867</f>
        <v>61.9248</v>
      </c>
      <c r="H873" s="39" t="n">
        <f aca="false">$C$844*H865+$C$848*H866+$C$852*H867</f>
        <v>74.30976</v>
      </c>
      <c r="I873" s="39" t="n">
        <f aca="false">$C$844*I865+$C$848*I866+$C$852*I867</f>
        <v>114.072</v>
      </c>
      <c r="J873" s="39" t="n">
        <f aca="false">$C$844*J865+$C$848*J866+$C$852*J867</f>
        <v>153.83424</v>
      </c>
      <c r="K873" s="39" t="n">
        <f aca="false">$C$844*K865+$C$848*K866+$C$852*K867</f>
        <v>153.83424</v>
      </c>
      <c r="L873" s="39" t="n">
        <f aca="false">$C$844*L865+$C$848*L866+$C$852*L867</f>
        <v>153.83424</v>
      </c>
      <c r="M873" s="39" t="n">
        <f aca="false">$C$844*M865+$C$848*M866+$C$852*M867</f>
        <v>153.83424</v>
      </c>
      <c r="N873" s="39" t="n">
        <f aca="false">$C$844*N865+$C$848*N866+$C$852*N867</f>
        <v>153.83424</v>
      </c>
      <c r="P873" s="40" t="n">
        <f aca="false">F873</f>
        <v>49.53984</v>
      </c>
      <c r="Q873" s="40" t="n">
        <f aca="false">J873</f>
        <v>153.83424</v>
      </c>
      <c r="R873" s="40" t="n">
        <f aca="false">N873</f>
        <v>153.83424</v>
      </c>
      <c r="S873" s="41" t="n">
        <f aca="false">R873</f>
        <v>153.83424</v>
      </c>
    </row>
    <row r="874" customFormat="false" ht="15" hidden="false" customHeight="false" outlineLevel="0" collapsed="false">
      <c r="A874" s="4" t="s">
        <v>488</v>
      </c>
      <c r="B874" s="36" t="s">
        <v>485</v>
      </c>
      <c r="C874" s="39" t="n">
        <f aca="false">C871+C872+C873</f>
        <v>551.88772352</v>
      </c>
      <c r="D874" s="39" t="n">
        <f aca="false">D871+D872+D873</f>
        <v>1103.77544704</v>
      </c>
      <c r="E874" s="39" t="n">
        <f aca="false">E871+E872+E873</f>
        <v>1103.77544704</v>
      </c>
      <c r="F874" s="39" t="n">
        <f aca="false">F871+F872+F873</f>
        <v>1103.77544704</v>
      </c>
      <c r="G874" s="39" t="n">
        <f aca="false">G871+G872+G873</f>
        <v>1493.49950176</v>
      </c>
      <c r="H874" s="39" t="n">
        <f aca="false">H871+H872+H873</f>
        <v>1883.22355648</v>
      </c>
      <c r="I874" s="39" t="n">
        <f aca="false">I871+I872+I873</f>
        <v>3167.61039616</v>
      </c>
      <c r="J874" s="39" t="n">
        <f aca="false">J871+J872+J873</f>
        <v>4451.99723584</v>
      </c>
      <c r="K874" s="39" t="n">
        <f aca="false">K871+K872+K873</f>
        <v>4451.99723584</v>
      </c>
      <c r="L874" s="39" t="n">
        <f aca="false">L871+L872+L873</f>
        <v>4451.99723584</v>
      </c>
      <c r="M874" s="39" t="n">
        <f aca="false">M871+M872+M873</f>
        <v>4451.99723584</v>
      </c>
      <c r="N874" s="39" t="n">
        <f aca="false">N871+N872+N873</f>
        <v>4451.99723584</v>
      </c>
      <c r="P874" s="40" t="n">
        <f aca="false">F874</f>
        <v>1103.77544704</v>
      </c>
      <c r="Q874" s="40" t="n">
        <f aca="false">J874</f>
        <v>4451.99723584</v>
      </c>
      <c r="R874" s="40" t="n">
        <f aca="false">N874</f>
        <v>4451.99723584</v>
      </c>
      <c r="S874" s="41" t="n">
        <f aca="false">R874</f>
        <v>4451.99723584</v>
      </c>
    </row>
    <row r="875" customFormat="false" ht="15" hidden="false" customHeight="false" outlineLevel="0" collapsed="false">
      <c r="A875" s="4" t="s">
        <v>489</v>
      </c>
      <c r="B875" s="36" t="s">
        <v>485</v>
      </c>
      <c r="C875" s="39" t="n">
        <f aca="false">$C$845*C865*C868+$C$849*C866*C869+$C$853*C867*C870</f>
        <v>551.88772352</v>
      </c>
      <c r="D875" s="39" t="n">
        <f aca="false">$C$845*D865*D868+$C$849*D866*D869+$C$853*D867*D870</f>
        <v>1027.17879437302</v>
      </c>
      <c r="E875" s="39" t="n">
        <f aca="false">$C$845*E865*E868+$C$849*E866*E869+$C$853*E867*E870</f>
        <v>955.897577210165</v>
      </c>
      <c r="F875" s="39" t="n">
        <f aca="false">$C$845*F865*F868+$C$849*F866*F869+$C$853*F867*F870</f>
        <v>889.562930155704</v>
      </c>
      <c r="G875" s="39" t="n">
        <f aca="false">$C$845*G865*G868+$C$849*G866*G869+$C$853*G867*G870</f>
        <v>1217.55564</v>
      </c>
      <c r="H875" s="39" t="n">
        <f aca="false">$C$845*H865*H868+$C$849*H866*H869+$C$853*H867*H870</f>
        <v>1495.74229384257</v>
      </c>
      <c r="I875" s="39" t="n">
        <f aca="false">$C$845*I865*I868+$C$849*I866*I869+$C$853*I867*I870</f>
        <v>2676.33188629442</v>
      </c>
      <c r="J875" s="39" t="n">
        <f aca="false">$C$845*J865*J868+$C$849*J866*J869+$C$853*J867*J870</f>
        <v>3685.86409192847</v>
      </c>
      <c r="K875" s="39" t="n">
        <f aca="false">$C$845*K865*K868+$C$849*K866*K869+$C$853*K867*K870</f>
        <v>3430.08303393858</v>
      </c>
      <c r="L875" s="39" t="n">
        <f aca="false">$C$845*L865*L868+$C$849*L866*L869+$C$853*L867*L870</f>
        <v>3192.05193850692</v>
      </c>
      <c r="M875" s="39" t="n">
        <f aca="false">$C$845*M865*M868+$C$849*M866*M869+$C$853*M867*M870</f>
        <v>2970.53904448081</v>
      </c>
      <c r="N875" s="39" t="n">
        <f aca="false">$C$845*N865*N868+$C$849*N866*N869+$C$853*N867*N870</f>
        <v>2764.39806894635</v>
      </c>
      <c r="P875" s="40"/>
      <c r="Q875" s="40"/>
      <c r="R875" s="40"/>
      <c r="S875" s="41"/>
    </row>
    <row r="876" customFormat="false" ht="15" hidden="false" customHeight="false" outlineLevel="0" collapsed="false">
      <c r="A876" s="4" t="s">
        <v>490</v>
      </c>
      <c r="B876" s="36" t="s">
        <v>491</v>
      </c>
      <c r="C876" s="48" t="n">
        <f aca="false">$C$857*Assumptions!$E$20*C864*C875</f>
        <v>6.62265268224</v>
      </c>
      <c r="D876" s="48" t="n">
        <f aca="false">$C$857*Assumptions!$E$20*D864*D875</f>
        <v>12.3261455324762</v>
      </c>
      <c r="E876" s="48" t="n">
        <f aca="false">$C$857*Assumptions!$E$20*E864*E875</f>
        <v>11.470770926522</v>
      </c>
      <c r="F876" s="48" t="n">
        <f aca="false">$C$857*Assumptions!$E$20*F864*F875</f>
        <v>10.6747551618685</v>
      </c>
      <c r="G876" s="48" t="n">
        <f aca="false">$C$857*Assumptions!$E$20*G864*G875</f>
        <v>14.61066768</v>
      </c>
      <c r="H876" s="48" t="n">
        <f aca="false">$C$857*Assumptions!$E$20*H864*H875</f>
        <v>17.9489075261109</v>
      </c>
      <c r="I876" s="48" t="n">
        <f aca="false">$C$857*Assumptions!$E$20*I864*I875</f>
        <v>32.115982635533</v>
      </c>
      <c r="J876" s="48" t="n">
        <f aca="false">$C$857*Assumptions!$E$20*J864*J875</f>
        <v>44.2303691031417</v>
      </c>
      <c r="K876" s="48" t="n">
        <f aca="false">$C$857*Assumptions!$E$20*K864*K875</f>
        <v>41.160996407263</v>
      </c>
      <c r="L876" s="48" t="n">
        <f aca="false">$C$857*Assumptions!$E$20*L864*L875</f>
        <v>38.304623262083</v>
      </c>
      <c r="M876" s="48" t="n">
        <f aca="false">$C$857*Assumptions!$E$20*M864*M875</f>
        <v>35.6464685337698</v>
      </c>
      <c r="N876" s="48" t="n">
        <f aca="false">$C$857*Assumptions!$E$20*N864*N875</f>
        <v>33.1727768273562</v>
      </c>
      <c r="P876" s="49" t="n">
        <f aca="false">SUM(C876:F876)</f>
        <v>41.0943243031066</v>
      </c>
      <c r="Q876" s="49" t="n">
        <f aca="false">SUM(G876:J876)</f>
        <v>108.905926944786</v>
      </c>
      <c r="R876" s="49" t="n">
        <f aca="false">SUM(K876:N876)</f>
        <v>148.284865030472</v>
      </c>
      <c r="S876" s="50" t="n">
        <f aca="false">SUM(P876:R876)</f>
        <v>298.285116278364</v>
      </c>
    </row>
    <row r="877" customFormat="false" ht="15" hidden="false" customHeight="false" outlineLevel="0" collapsed="false">
      <c r="A877" s="4" t="s">
        <v>492</v>
      </c>
      <c r="B877" s="36" t="s">
        <v>321</v>
      </c>
      <c r="C877" s="48" t="n">
        <f aca="false">Assumptions!$D$112</f>
        <v>2</v>
      </c>
      <c r="D877" s="48" t="n">
        <f aca="false">Assumptions!$E$112</f>
        <v>2</v>
      </c>
      <c r="E877" s="48" t="n">
        <f aca="false">Assumptions!$F$112</f>
        <v>3</v>
      </c>
      <c r="F877" s="48" t="n">
        <f aca="false">Assumptions!$G$112</f>
        <v>3</v>
      </c>
      <c r="G877" s="48" t="n">
        <f aca="false">Assumptions!$H$112</f>
        <v>4</v>
      </c>
      <c r="H877" s="48" t="n">
        <f aca="false">Assumptions!$I$112</f>
        <v>4</v>
      </c>
      <c r="I877" s="48" t="n">
        <f aca="false">Assumptions!$J$112</f>
        <v>5</v>
      </c>
      <c r="J877" s="48" t="n">
        <f aca="false">Assumptions!$K$112</f>
        <v>5</v>
      </c>
      <c r="K877" s="48" t="n">
        <f aca="false">Assumptions!$L$112</f>
        <v>6</v>
      </c>
      <c r="L877" s="48" t="n">
        <f aca="false">Assumptions!$M$112</f>
        <v>6</v>
      </c>
      <c r="M877" s="48" t="n">
        <f aca="false">Assumptions!$N$112</f>
        <v>6</v>
      </c>
      <c r="N877" s="48" t="n">
        <f aca="false">Assumptions!$O$112</f>
        <v>6</v>
      </c>
      <c r="P877" s="49" t="n">
        <f aca="false">F877</f>
        <v>3</v>
      </c>
      <c r="Q877" s="49" t="n">
        <f aca="false">J877</f>
        <v>5</v>
      </c>
      <c r="R877" s="49" t="n">
        <f aca="false">N877</f>
        <v>6</v>
      </c>
      <c r="S877" s="50" t="n">
        <f aca="false">R877</f>
        <v>6</v>
      </c>
    </row>
    <row r="878" customFormat="false" ht="15" hidden="false" customHeight="false" outlineLevel="0" collapsed="false">
      <c r="A878" s="4" t="s">
        <v>493</v>
      </c>
      <c r="B878" s="36" t="s">
        <v>321</v>
      </c>
      <c r="C878" s="48" t="n">
        <f aca="false">0</f>
        <v>0</v>
      </c>
      <c r="D878" s="48" t="n">
        <f aca="false">0.5*C877</f>
        <v>1</v>
      </c>
      <c r="E878" s="48" t="n">
        <f aca="false">C877+0.5*(D877-C877)</f>
        <v>2</v>
      </c>
      <c r="F878" s="48" t="n">
        <f aca="false">D877+0.5*(E877-D877)</f>
        <v>2.5</v>
      </c>
      <c r="G878" s="48" t="n">
        <f aca="false">E877+0.5*(F877-E877)</f>
        <v>3</v>
      </c>
      <c r="H878" s="48" t="n">
        <f aca="false">F877+0.5*(G877-F877)</f>
        <v>3.5</v>
      </c>
      <c r="I878" s="48" t="n">
        <f aca="false">G877+0.5*(H877-G877)</f>
        <v>4</v>
      </c>
      <c r="J878" s="48" t="n">
        <f aca="false">H877+0.5*(I877-H877)</f>
        <v>4.5</v>
      </c>
      <c r="K878" s="48" t="n">
        <f aca="false">I877+0.5*(J877-I877)</f>
        <v>5</v>
      </c>
      <c r="L878" s="48" t="n">
        <f aca="false">J877+0.5*(K877-J877)</f>
        <v>5.5</v>
      </c>
      <c r="M878" s="48" t="n">
        <f aca="false">K877+0.5*(L877-K877)</f>
        <v>6</v>
      </c>
      <c r="N878" s="48" t="n">
        <f aca="false">L877+0.5*(M877-L877)</f>
        <v>6</v>
      </c>
      <c r="P878" s="49" t="n">
        <f aca="false">F878</f>
        <v>2.5</v>
      </c>
      <c r="Q878" s="49" t="n">
        <f aca="false">J878</f>
        <v>4.5</v>
      </c>
      <c r="R878" s="49" t="n">
        <f aca="false">N878</f>
        <v>6</v>
      </c>
      <c r="S878" s="50" t="n">
        <f aca="false">R878</f>
        <v>6</v>
      </c>
    </row>
    <row r="879" customFormat="false" ht="15" hidden="false" customHeight="false" outlineLevel="0" collapsed="false">
      <c r="A879" s="4" t="s">
        <v>494</v>
      </c>
      <c r="B879" s="36" t="s">
        <v>485</v>
      </c>
      <c r="C879" s="39" t="n">
        <f aca="false">MIN(C878*Assumptions!$E$38,C874*(1-$C$857))</f>
        <v>0</v>
      </c>
      <c r="D879" s="39" t="n">
        <f aca="false">MIN(D878*Assumptions!$E$38,D874*(1-$C$857))</f>
        <v>150</v>
      </c>
      <c r="E879" s="39" t="n">
        <f aca="false">MIN(E878*Assumptions!$E$38,E874*(1-$C$857))</f>
        <v>300</v>
      </c>
      <c r="F879" s="39" t="n">
        <f aca="false">MIN(F878*Assumptions!$E$38,F874*(1-$C$857))</f>
        <v>375</v>
      </c>
      <c r="G879" s="39" t="n">
        <f aca="false">MIN(G878*Assumptions!$E$38,G874*(1-$C$857))</f>
        <v>450</v>
      </c>
      <c r="H879" s="39" t="n">
        <f aca="false">MIN(H878*Assumptions!$E$38,H874*(1-$C$857))</f>
        <v>525</v>
      </c>
      <c r="I879" s="39" t="n">
        <f aca="false">MIN(I878*Assumptions!$E$38,I874*(1-$C$857))</f>
        <v>600</v>
      </c>
      <c r="J879" s="39" t="n">
        <f aca="false">MIN(J878*Assumptions!$E$38,J874*(1-$C$857))</f>
        <v>675</v>
      </c>
      <c r="K879" s="39" t="n">
        <f aca="false">MIN(K878*Assumptions!$E$38,K874*(1-$C$857))</f>
        <v>750</v>
      </c>
      <c r="L879" s="39" t="n">
        <f aca="false">MIN(L878*Assumptions!$E$38,L874*(1-$C$857))</f>
        <v>825</v>
      </c>
      <c r="M879" s="39" t="n">
        <f aca="false">MIN(M878*Assumptions!$E$38,M874*(1-$C$857))</f>
        <v>900</v>
      </c>
      <c r="N879" s="39" t="n">
        <f aca="false">MIN(N878*Assumptions!$E$38,N874*(1-$C$857))</f>
        <v>900</v>
      </c>
      <c r="P879" s="40" t="n">
        <f aca="false">SUM(C879:F879)</f>
        <v>825</v>
      </c>
      <c r="Q879" s="40" t="n">
        <f aca="false">SUM(G879:J879)</f>
        <v>2250</v>
      </c>
      <c r="R879" s="40" t="n">
        <f aca="false">SUM(K879:N879)</f>
        <v>3375</v>
      </c>
      <c r="S879" s="41" t="n">
        <f aca="false">SUM(P879:R879)</f>
        <v>6450</v>
      </c>
    </row>
    <row r="880" customFormat="false" ht="15" hidden="false" customHeight="false" outlineLevel="0" collapsed="false">
      <c r="A880" s="4" t="s">
        <v>495</v>
      </c>
      <c r="B880" s="36" t="s">
        <v>491</v>
      </c>
      <c r="C880" s="48" t="n">
        <f aca="false">C879*Assumptions!$E$20*Assumptions!$E$39*IF(C874&gt;0,C875/C874,0)*C864</f>
        <v>0</v>
      </c>
      <c r="D880" s="48" t="n">
        <f aca="false">D879*Assumptions!$E$20*Assumptions!$E$39*IF(D874&gt;0,D875/D874,0)*D864</f>
        <v>6.28158279893917</v>
      </c>
      <c r="E880" s="48" t="n">
        <f aca="false">E879*Assumptions!$E$20*Assumptions!$E$39*IF(E874&gt;0,E875/E874,0)*E864</f>
        <v>11.6913429510899</v>
      </c>
      <c r="F880" s="48" t="n">
        <f aca="false">F879*Assumptions!$E$20*Assumptions!$E$39*IF(F874&gt;0,F875/F874,0)*F864</f>
        <v>13.6000256996417</v>
      </c>
      <c r="G880" s="48" t="n">
        <f aca="false">G879*Assumptions!$E$20*Assumptions!$E$39*IF(G874&gt;0,G875/G874,0)*G864</f>
        <v>16.5085436459436</v>
      </c>
      <c r="H880" s="48" t="n">
        <f aca="false">H879*Assumptions!$E$20*Assumptions!$E$39*IF(H874&gt;0,H875/H874,0)*H864</f>
        <v>18.7640556908072</v>
      </c>
      <c r="I880" s="48" t="n">
        <f aca="false">I879*Assumptions!$E$20*Assumptions!$E$39*IF(I874&gt;0,I875/I874,0)*I864</f>
        <v>22.8124522566125</v>
      </c>
      <c r="J880" s="48" t="n">
        <f aca="false">J879*Assumptions!$E$20*Assumptions!$E$39*IF(J874&gt;0,J875/J874,0)*J864</f>
        <v>25.1478417127101</v>
      </c>
      <c r="K880" s="48" t="n">
        <f aca="false">K879*Assumptions!$E$20*Assumptions!$E$39*IF(K874&gt;0,K875/K874,0)*K864</f>
        <v>26.0030041041983</v>
      </c>
      <c r="L880" s="48" t="n">
        <f aca="false">L879*Assumptions!$E$20*Assumptions!$E$39*IF(L874&gt;0,L875/L874,0)*L864</f>
        <v>26.6183741676807</v>
      </c>
      <c r="M880" s="48" t="n">
        <f aca="false">M879*Assumptions!$E$20*Assumptions!$E$39*IF(M874&gt;0,M875/M874,0)*M864</f>
        <v>27.0231145547361</v>
      </c>
      <c r="N880" s="48" t="n">
        <f aca="false">N879*Assumptions!$E$20*Assumptions!$E$39*IF(N874&gt;0,N875/N874,0)*N864</f>
        <v>25.1478417127101</v>
      </c>
      <c r="P880" s="49" t="n">
        <f aca="false">SUM(C880:F880)</f>
        <v>31.5729514496708</v>
      </c>
      <c r="Q880" s="49" t="n">
        <f aca="false">SUM(G880:J880)</f>
        <v>83.2328933060734</v>
      </c>
      <c r="R880" s="49" t="n">
        <f aca="false">SUM(K880:N880)</f>
        <v>104.792334539325</v>
      </c>
      <c r="S880" s="50" t="n">
        <f aca="false">SUM(P880:R880)</f>
        <v>219.598179295069</v>
      </c>
    </row>
    <row r="881" customFormat="false" ht="15" hidden="false" customHeight="false" outlineLevel="0" collapsed="false">
      <c r="A881" s="4" t="s">
        <v>496</v>
      </c>
      <c r="B881" s="36" t="s">
        <v>497</v>
      </c>
      <c r="C881" s="48" t="n">
        <f aca="false">IF(AND(C874&gt;0,$C$861&gt;0),C874*Assumptions!$E$24*(1-EXP(-$C$861/(Assumptions!$E$23*C874*Assumptions!$E$24))),0)</f>
        <v>16.472729605943</v>
      </c>
      <c r="D881" s="48" t="n">
        <f aca="false">IF(AND(D874&gt;0,$C$861&gt;0),D874*Assumptions!$E$24*(1-EXP(-$C$861/(Assumptions!$E$23*D874*Assumptions!$E$24))),0)</f>
        <v>30.7560309972474</v>
      </c>
      <c r="E881" s="48" t="n">
        <f aca="false">IF(AND(E874&gt;0,$C$861&gt;0),E874*Assumptions!$E$24*(1-EXP(-$C$861/(Assumptions!$E$23*E874*Assumptions!$E$24))),0)</f>
        <v>30.7560309972474</v>
      </c>
      <c r="F881" s="48" t="n">
        <f aca="false">IF(AND(F874&gt;0,$C$861&gt;0),F874*Assumptions!$E$24*(1-EXP(-$C$861/(Assumptions!$E$23*F874*Assumptions!$E$24))),0)</f>
        <v>30.7560309972474</v>
      </c>
      <c r="G881" s="48" t="n">
        <f aca="false">IF(AND(G874&gt;0,$C$861&gt;0),G874*Assumptions!$E$24*(1-EXP(-$C$861/(Assumptions!$E$23*G874*Assumptions!$E$24))),0)</f>
        <v>38.4489058252097</v>
      </c>
      <c r="H881" s="48" t="n">
        <f aca="false">IF(AND(H874&gt;0,$C$861&gt;0),H874*Assumptions!$E$24*(1-EXP(-$C$861/(Assumptions!$E$23*H874*Assumptions!$E$24))),0)</f>
        <v>44.4905508381239</v>
      </c>
      <c r="I881" s="48" t="n">
        <f aca="false">IF(AND(I874&gt;0,$C$861&gt;0),I874*Assumptions!$E$24*(1-EXP(-$C$861/(Assumptions!$E$23*I874*Assumptions!$E$24))),0)</f>
        <v>57.1871803967491</v>
      </c>
      <c r="J881" s="48" t="n">
        <f aca="false">IF(AND(J874&gt;0,$C$861&gt;0),J874*Assumptions!$E$24*(1-EXP(-$C$861/(Assumptions!$E$23*J874*Assumptions!$E$24))),0)</f>
        <v>64.192759682173</v>
      </c>
      <c r="K881" s="48" t="n">
        <f aca="false">IF(AND(K874&gt;0,$C$861&gt;0),K874*Assumptions!$E$24*(1-EXP(-$C$861/(Assumptions!$E$23*K874*Assumptions!$E$24))),0)</f>
        <v>64.192759682173</v>
      </c>
      <c r="L881" s="48" t="n">
        <f aca="false">IF(AND(L874&gt;0,$C$861&gt;0),L874*Assumptions!$E$24*(1-EXP(-$C$861/(Assumptions!$E$23*L874*Assumptions!$E$24))),0)</f>
        <v>64.192759682173</v>
      </c>
      <c r="M881" s="48" t="n">
        <f aca="false">IF(AND(M874&gt;0,$C$861&gt;0),M874*Assumptions!$E$24*(1-EXP(-$C$861/(Assumptions!$E$23*M874*Assumptions!$E$24))),0)</f>
        <v>64.192759682173</v>
      </c>
      <c r="N881" s="48" t="n">
        <f aca="false">IF(AND(N874&gt;0,$C$861&gt;0),N874*Assumptions!$E$24*(1-EXP(-$C$861/(Assumptions!$E$23*N874*Assumptions!$E$24))),0)</f>
        <v>64.192759682173</v>
      </c>
      <c r="P881" s="49" t="n">
        <f aca="false">SUM(C881:F881)</f>
        <v>108.740822597685</v>
      </c>
      <c r="Q881" s="49" t="n">
        <f aca="false">SUM(G881:J881)</f>
        <v>204.319396742256</v>
      </c>
      <c r="R881" s="49" t="n">
        <f aca="false">SUM(K881:N881)</f>
        <v>256.771038728692</v>
      </c>
      <c r="S881" s="50" t="n">
        <f aca="false">SUM(P881:R881)</f>
        <v>569.831258068633</v>
      </c>
    </row>
    <row r="882" customFormat="false" ht="15" hidden="false" customHeight="false" outlineLevel="0" collapsed="false">
      <c r="A882" s="4" t="s">
        <v>498</v>
      </c>
      <c r="B882" s="36" t="s">
        <v>497</v>
      </c>
      <c r="C882" s="48" t="n">
        <f aca="false">(C874*Assumptions!$E$22*MIN(1,Assumptions!$E$103/Assumptions!$E$78)+C881)*C864</f>
        <v>21.991606841143</v>
      </c>
      <c r="D882" s="48" t="n">
        <f aca="false">(D874*Assumptions!$E$22*MIN(1,Assumptions!$E$103/Assumptions!$E$78)+D881)*D864</f>
        <v>41.7937854676474</v>
      </c>
      <c r="E882" s="48" t="n">
        <f aca="false">(E874*Assumptions!$E$22*MIN(1,Assumptions!$E$103/Assumptions!$E$78)+E881)*E864</f>
        <v>41.7937854676474</v>
      </c>
      <c r="F882" s="48" t="n">
        <f aca="false">(F874*Assumptions!$E$22*MIN(1,Assumptions!$E$103/Assumptions!$E$78)+F881)*F864</f>
        <v>41.7937854676474</v>
      </c>
      <c r="G882" s="48" t="n">
        <f aca="false">(G874*Assumptions!$E$22*MIN(1,Assumptions!$E$103/Assumptions!$E$78)+G881)*G864</f>
        <v>53.3839008428097</v>
      </c>
      <c r="H882" s="48" t="n">
        <f aca="false">(H874*Assumptions!$E$22*MIN(1,Assumptions!$E$103/Assumptions!$E$78)+H881)*H864</f>
        <v>63.3227864029239</v>
      </c>
      <c r="I882" s="48" t="n">
        <f aca="false">(I874*Assumptions!$E$22*MIN(1,Assumptions!$E$103/Assumptions!$E$78)+I881)*I864</f>
        <v>88.8632843583491</v>
      </c>
      <c r="J882" s="48" t="n">
        <f aca="false">(J874*Assumptions!$E$22*MIN(1,Assumptions!$E$103/Assumptions!$E$78)+J881)*J864</f>
        <v>108.712732040573</v>
      </c>
      <c r="K882" s="48" t="n">
        <f aca="false">(K874*Assumptions!$E$22*MIN(1,Assumptions!$E$103/Assumptions!$E$78)+K881)*K864</f>
        <v>108.712732040573</v>
      </c>
      <c r="L882" s="48" t="n">
        <f aca="false">(L874*Assumptions!$E$22*MIN(1,Assumptions!$E$103/Assumptions!$E$78)+L881)*L864</f>
        <v>108.712732040573</v>
      </c>
      <c r="M882" s="48" t="n">
        <f aca="false">(M874*Assumptions!$E$22*MIN(1,Assumptions!$E$103/Assumptions!$E$78)+M881)*M864</f>
        <v>108.712732040573</v>
      </c>
      <c r="N882" s="48" t="n">
        <f aca="false">(N874*Assumptions!$E$22*MIN(1,Assumptions!$E$103/Assumptions!$E$78)+N881)*N864</f>
        <v>108.712732040573</v>
      </c>
      <c r="P882" s="49" t="n">
        <f aca="false">SUM(C882:F882)</f>
        <v>147.372963244085</v>
      </c>
      <c r="Q882" s="49" t="n">
        <f aca="false">SUM(G882:J882)</f>
        <v>314.282703644656</v>
      </c>
      <c r="R882" s="49" t="n">
        <f aca="false">SUM(K882:N882)</f>
        <v>434.850928162292</v>
      </c>
      <c r="S882" s="50" t="n">
        <f aca="false">SUM(P882:R882)</f>
        <v>896.506595051033</v>
      </c>
    </row>
    <row r="883" customFormat="false" ht="15" hidden="false" customHeight="false" outlineLevel="0" collapsed="false">
      <c r="A883" s="4" t="s">
        <v>499</v>
      </c>
      <c r="B883" s="36" t="s">
        <v>500</v>
      </c>
      <c r="C883" s="48" t="n">
        <f aca="false">C864*MIN(Assumptions!$E$27,Assumptions!$E$25+Assumptions!$E$26*(C863-1))*Assumptions!$E$107</f>
        <v>2</v>
      </c>
      <c r="D883" s="48" t="n">
        <f aca="false">D864*MIN(Assumptions!$E$27,Assumptions!$E$25+Assumptions!$E$26*(D863-1))*Assumptions!$E$107</f>
        <v>3</v>
      </c>
      <c r="E883" s="48" t="n">
        <f aca="false">E864*MIN(Assumptions!$E$27,Assumptions!$E$25+Assumptions!$E$26*(E863-1))*Assumptions!$E$107</f>
        <v>4</v>
      </c>
      <c r="F883" s="48" t="n">
        <f aca="false">F864*MIN(Assumptions!$E$27,Assumptions!$E$25+Assumptions!$E$26*(F863-1))*Assumptions!$E$107</f>
        <v>5</v>
      </c>
      <c r="G883" s="48" t="n">
        <f aca="false">G864*MIN(Assumptions!$E$27,Assumptions!$E$25+Assumptions!$E$26*(G863-1))*Assumptions!$E$107</f>
        <v>6</v>
      </c>
      <c r="H883" s="48" t="n">
        <f aca="false">H864*MIN(Assumptions!$E$27,Assumptions!$E$25+Assumptions!$E$26*(H863-1))*Assumptions!$E$107</f>
        <v>7</v>
      </c>
      <c r="I883" s="48" t="n">
        <f aca="false">I864*MIN(Assumptions!$E$27,Assumptions!$E$25+Assumptions!$E$26*(I863-1))*Assumptions!$E$107</f>
        <v>8</v>
      </c>
      <c r="J883" s="48" t="n">
        <f aca="false">J864*MIN(Assumptions!$E$27,Assumptions!$E$25+Assumptions!$E$26*(J863-1))*Assumptions!$E$107</f>
        <v>9</v>
      </c>
      <c r="K883" s="48" t="n">
        <f aca="false">K864*MIN(Assumptions!$E$27,Assumptions!$E$25+Assumptions!$E$26*(K863-1))*Assumptions!$E$107</f>
        <v>10</v>
      </c>
      <c r="L883" s="48" t="n">
        <f aca="false">L864*MIN(Assumptions!$E$27,Assumptions!$E$25+Assumptions!$E$26*(L863-1))*Assumptions!$E$107</f>
        <v>10</v>
      </c>
      <c r="M883" s="48" t="n">
        <f aca="false">M864*MIN(Assumptions!$E$27,Assumptions!$E$25+Assumptions!$E$26*(M863-1))*Assumptions!$E$107</f>
        <v>10</v>
      </c>
      <c r="N883" s="48" t="n">
        <f aca="false">N864*MIN(Assumptions!$E$27,Assumptions!$E$25+Assumptions!$E$26*(N863-1))*Assumptions!$E$107</f>
        <v>10</v>
      </c>
      <c r="P883" s="49" t="n">
        <f aca="false">F883</f>
        <v>5</v>
      </c>
      <c r="Q883" s="49" t="n">
        <f aca="false">J883</f>
        <v>9</v>
      </c>
      <c r="R883" s="49" t="n">
        <f aca="false">N883</f>
        <v>10</v>
      </c>
      <c r="S883" s="50" t="n">
        <f aca="false">R883</f>
        <v>10</v>
      </c>
    </row>
    <row r="884" customFormat="false" ht="15" hidden="false" customHeight="false" outlineLevel="0" collapsed="false">
      <c r="A884" s="4" t="s">
        <v>501</v>
      </c>
      <c r="B884" s="36" t="s">
        <v>502</v>
      </c>
      <c r="C884" s="48" t="n">
        <f aca="false">C883*Assumptions!$E$28</f>
        <v>6</v>
      </c>
      <c r="D884" s="48" t="n">
        <f aca="false">D883*Assumptions!$E$28</f>
        <v>9</v>
      </c>
      <c r="E884" s="48" t="n">
        <f aca="false">E883*Assumptions!$E$28</f>
        <v>12</v>
      </c>
      <c r="F884" s="48" t="n">
        <f aca="false">F883*Assumptions!$E$28</f>
        <v>15</v>
      </c>
      <c r="G884" s="48" t="n">
        <f aca="false">G883*Assumptions!$E$28</f>
        <v>18</v>
      </c>
      <c r="H884" s="48" t="n">
        <f aca="false">H883*Assumptions!$E$28</f>
        <v>21</v>
      </c>
      <c r="I884" s="48" t="n">
        <f aca="false">I883*Assumptions!$E$28</f>
        <v>24</v>
      </c>
      <c r="J884" s="48" t="n">
        <f aca="false">J883*Assumptions!$E$28</f>
        <v>27</v>
      </c>
      <c r="K884" s="48" t="n">
        <f aca="false">K883*Assumptions!$E$28</f>
        <v>30</v>
      </c>
      <c r="L884" s="48" t="n">
        <f aca="false">L883*Assumptions!$E$28</f>
        <v>30</v>
      </c>
      <c r="M884" s="48" t="n">
        <f aca="false">M883*Assumptions!$E$28</f>
        <v>30</v>
      </c>
      <c r="N884" s="48" t="n">
        <f aca="false">N883*Assumptions!$E$28</f>
        <v>30</v>
      </c>
      <c r="P884" s="49" t="n">
        <f aca="false">SUM(C884:F884)</f>
        <v>42</v>
      </c>
      <c r="Q884" s="49" t="n">
        <f aca="false">SUM(G884:J884)</f>
        <v>90</v>
      </c>
      <c r="R884" s="49" t="n">
        <f aca="false">SUM(K884:N884)</f>
        <v>120</v>
      </c>
      <c r="S884" s="50" t="n">
        <f aca="false">SUM(P884:R884)</f>
        <v>252</v>
      </c>
    </row>
    <row r="885" customFormat="false" ht="15" hidden="false" customHeight="false" outlineLevel="0" collapsed="false">
      <c r="A885" s="4" t="s">
        <v>503</v>
      </c>
      <c r="B885" s="36" t="s">
        <v>504</v>
      </c>
      <c r="C885" s="48" t="n">
        <f aca="false">(C876+C880)*Assumptions!$E$29</f>
        <v>2.649061072896</v>
      </c>
      <c r="D885" s="48" t="n">
        <f aca="false">(D876+D880)*Assumptions!$E$29</f>
        <v>7.44309133256615</v>
      </c>
      <c r="E885" s="48" t="n">
        <f aca="false">(E876+E880)*Assumptions!$E$29</f>
        <v>9.26484555104476</v>
      </c>
      <c r="F885" s="48" t="n">
        <f aca="false">(F876+F880)*Assumptions!$E$29</f>
        <v>9.70991234460406</v>
      </c>
      <c r="G885" s="48" t="n">
        <f aca="false">(G876+G880)*Assumptions!$E$29</f>
        <v>12.4476845303774</v>
      </c>
      <c r="H885" s="48" t="n">
        <f aca="false">(H876+H880)*Assumptions!$E$29</f>
        <v>14.6851852867672</v>
      </c>
      <c r="I885" s="48" t="n">
        <f aca="false">(I876+I880)*Assumptions!$E$29</f>
        <v>21.9713739568582</v>
      </c>
      <c r="J885" s="48" t="n">
        <f aca="false">(J876+J880)*Assumptions!$E$29</f>
        <v>27.7512843263407</v>
      </c>
      <c r="K885" s="48" t="n">
        <f aca="false">(K876+K880)*Assumptions!$E$29</f>
        <v>26.8656002045845</v>
      </c>
      <c r="L885" s="48" t="n">
        <f aca="false">(L876+L880)*Assumptions!$E$29</f>
        <v>25.9691989719055</v>
      </c>
      <c r="M885" s="48" t="n">
        <f aca="false">(M876+M880)*Assumptions!$E$29</f>
        <v>25.0678332354024</v>
      </c>
      <c r="N885" s="48" t="n">
        <f aca="false">(N876+N880)*Assumptions!$E$29</f>
        <v>23.3282474160265</v>
      </c>
      <c r="P885" s="49" t="n">
        <f aca="false">SUM(C885:F885)</f>
        <v>29.066910301111</v>
      </c>
      <c r="Q885" s="49" t="n">
        <f aca="false">SUM(G885:J885)</f>
        <v>76.8555281003436</v>
      </c>
      <c r="R885" s="49" t="n">
        <f aca="false">SUM(K885:N885)</f>
        <v>101.230879827919</v>
      </c>
      <c r="S885" s="50" t="n">
        <f aca="false">SUM(P885:R885)</f>
        <v>207.153318229373</v>
      </c>
    </row>
    <row r="886" customFormat="false" ht="15" hidden="false" customHeight="false" outlineLevel="0" collapsed="false">
      <c r="A886" s="4" t="s">
        <v>505</v>
      </c>
      <c r="B886" s="36" t="s">
        <v>504</v>
      </c>
      <c r="C886" s="48" t="n">
        <f aca="false">C882*Assumptions!$E$31</f>
        <v>3.51865709458288</v>
      </c>
      <c r="D886" s="48" t="n">
        <f aca="false">D882*Assumptions!$E$31</f>
        <v>6.68700567482359</v>
      </c>
      <c r="E886" s="48" t="n">
        <f aca="false">E882*Assumptions!$E$31</f>
        <v>6.68700567482359</v>
      </c>
      <c r="F886" s="48" t="n">
        <f aca="false">F882*Assumptions!$E$31</f>
        <v>6.68700567482359</v>
      </c>
      <c r="G886" s="48" t="n">
        <f aca="false">G882*Assumptions!$E$31</f>
        <v>8.54142413484956</v>
      </c>
      <c r="H886" s="48" t="n">
        <f aca="false">H882*Assumptions!$E$31</f>
        <v>10.1316458244678</v>
      </c>
      <c r="I886" s="48" t="n">
        <f aca="false">I882*Assumptions!$E$31</f>
        <v>14.2181254973359</v>
      </c>
      <c r="J886" s="48" t="n">
        <f aca="false">J882*Assumptions!$E$31</f>
        <v>17.3940371264917</v>
      </c>
      <c r="K886" s="48" t="n">
        <f aca="false">K882*Assumptions!$E$31</f>
        <v>17.3940371264917</v>
      </c>
      <c r="L886" s="48" t="n">
        <f aca="false">L882*Assumptions!$E$31</f>
        <v>17.3940371264917</v>
      </c>
      <c r="M886" s="48" t="n">
        <f aca="false">M882*Assumptions!$E$31</f>
        <v>17.3940371264917</v>
      </c>
      <c r="N886" s="48" t="n">
        <f aca="false">N882*Assumptions!$E$31</f>
        <v>17.3940371264917</v>
      </c>
      <c r="P886" s="49" t="n">
        <f aca="false">SUM(C886:F886)</f>
        <v>23.5796741190536</v>
      </c>
      <c r="Q886" s="49" t="n">
        <f aca="false">SUM(G886:J886)</f>
        <v>50.2852325831449</v>
      </c>
      <c r="R886" s="49" t="n">
        <f aca="false">SUM(K886:N886)</f>
        <v>69.5761485059667</v>
      </c>
      <c r="S886" s="50" t="n">
        <f aca="false">SUM(P886:R886)</f>
        <v>143.441055208165</v>
      </c>
    </row>
    <row r="887" customFormat="false" ht="15" hidden="false" customHeight="false" outlineLevel="0" collapsed="false">
      <c r="A887" s="4" t="s">
        <v>506</v>
      </c>
      <c r="B887" s="36" t="s">
        <v>504</v>
      </c>
      <c r="C887" s="48" t="n">
        <f aca="false">C884*Assumptions!$E$30</f>
        <v>3</v>
      </c>
      <c r="D887" s="48" t="n">
        <f aca="false">D884*Assumptions!$E$30</f>
        <v>4.5</v>
      </c>
      <c r="E887" s="48" t="n">
        <f aca="false">E884*Assumptions!$E$30</f>
        <v>6</v>
      </c>
      <c r="F887" s="48" t="n">
        <f aca="false">F884*Assumptions!$E$30</f>
        <v>7.5</v>
      </c>
      <c r="G887" s="48" t="n">
        <f aca="false">G884*Assumptions!$E$30</f>
        <v>9</v>
      </c>
      <c r="H887" s="48" t="n">
        <f aca="false">H884*Assumptions!$E$30</f>
        <v>10.5</v>
      </c>
      <c r="I887" s="48" t="n">
        <f aca="false">I884*Assumptions!$E$30</f>
        <v>12</v>
      </c>
      <c r="J887" s="48" t="n">
        <f aca="false">J884*Assumptions!$E$30</f>
        <v>13.5</v>
      </c>
      <c r="K887" s="48" t="n">
        <f aca="false">K884*Assumptions!$E$30</f>
        <v>15</v>
      </c>
      <c r="L887" s="48" t="n">
        <f aca="false">L884*Assumptions!$E$30</f>
        <v>15</v>
      </c>
      <c r="M887" s="48" t="n">
        <f aca="false">M884*Assumptions!$E$30</f>
        <v>15</v>
      </c>
      <c r="N887" s="48" t="n">
        <f aca="false">N884*Assumptions!$E$30</f>
        <v>15</v>
      </c>
      <c r="P887" s="49" t="n">
        <f aca="false">SUM(C887:F887)</f>
        <v>21</v>
      </c>
      <c r="Q887" s="49" t="n">
        <f aca="false">SUM(G887:J887)</f>
        <v>45</v>
      </c>
      <c r="R887" s="49" t="n">
        <f aca="false">SUM(K887:N887)</f>
        <v>60</v>
      </c>
      <c r="S887" s="50" t="n">
        <f aca="false">SUM(P887:R887)</f>
        <v>126</v>
      </c>
    </row>
    <row r="888" customFormat="false" ht="15" hidden="false" customHeight="false" outlineLevel="0" collapsed="false">
      <c r="A888" s="9" t="s">
        <v>507</v>
      </c>
      <c r="B888" s="36" t="s">
        <v>504</v>
      </c>
      <c r="C888" s="49" t="n">
        <f aca="false">C885+C886+C887</f>
        <v>9.16771816747888</v>
      </c>
      <c r="D888" s="49" t="n">
        <f aca="false">D885+D886+D887</f>
        <v>18.6300970073897</v>
      </c>
      <c r="E888" s="49" t="n">
        <f aca="false">E885+E886+E887</f>
        <v>21.9518512258683</v>
      </c>
      <c r="F888" s="49" t="n">
        <f aca="false">F885+F886+F887</f>
        <v>23.8969180194277</v>
      </c>
      <c r="G888" s="49" t="n">
        <f aca="false">G885+G886+G887</f>
        <v>29.989108665227</v>
      </c>
      <c r="H888" s="49" t="n">
        <f aca="false">H885+H886+H887</f>
        <v>35.3168311112351</v>
      </c>
      <c r="I888" s="49" t="n">
        <f aca="false">I885+I886+I887</f>
        <v>48.189499454194</v>
      </c>
      <c r="J888" s="49" t="n">
        <f aca="false">J885+J886+J887</f>
        <v>58.6453214528324</v>
      </c>
      <c r="K888" s="49" t="n">
        <f aca="false">K885+K886+K887</f>
        <v>59.2596373310762</v>
      </c>
      <c r="L888" s="49" t="n">
        <f aca="false">L885+L886+L887</f>
        <v>58.3632360983972</v>
      </c>
      <c r="M888" s="49" t="n">
        <f aca="false">M885+M886+M887</f>
        <v>57.461870361894</v>
      </c>
      <c r="N888" s="49" t="n">
        <f aca="false">N885+N886+N887</f>
        <v>55.7222845425182</v>
      </c>
      <c r="P888" s="49" t="n">
        <f aca="false">SUM(C888:F888)</f>
        <v>73.6465844201646</v>
      </c>
      <c r="Q888" s="49" t="n">
        <f aca="false">SUM(G888:J888)</f>
        <v>172.140760683488</v>
      </c>
      <c r="R888" s="49" t="n">
        <f aca="false">SUM(K888:N888)</f>
        <v>230.807028333886</v>
      </c>
      <c r="S888" s="50" t="n">
        <f aca="false">SUM(P888:R888)</f>
        <v>476.594373437539</v>
      </c>
    </row>
    <row r="889" customFormat="false" ht="15" hidden="false" customHeight="false" outlineLevel="0" collapsed="false">
      <c r="A889" s="4" t="s">
        <v>508</v>
      </c>
      <c r="B889" s="36" t="s">
        <v>509</v>
      </c>
      <c r="C889" s="48" t="n">
        <f aca="false">C871</f>
        <v>421.51972352</v>
      </c>
      <c r="D889" s="48" t="n">
        <f aca="false">D871</f>
        <v>843.03944704</v>
      </c>
      <c r="E889" s="48" t="n">
        <f aca="false">E871</f>
        <v>843.03944704</v>
      </c>
      <c r="F889" s="48" t="n">
        <f aca="false">F871</f>
        <v>843.03944704</v>
      </c>
      <c r="G889" s="48" t="n">
        <f aca="false">G871</f>
        <v>1149.32798176</v>
      </c>
      <c r="H889" s="48" t="n">
        <f aca="false">H871</f>
        <v>1455.61651648</v>
      </c>
      <c r="I889" s="48" t="n">
        <f aca="false">I871</f>
        <v>2486.00303616</v>
      </c>
      <c r="J889" s="48" t="n">
        <f aca="false">J871</f>
        <v>3516.38955584</v>
      </c>
      <c r="K889" s="48" t="n">
        <f aca="false">K871</f>
        <v>3516.38955584</v>
      </c>
      <c r="L889" s="48" t="n">
        <f aca="false">L871</f>
        <v>3516.38955584</v>
      </c>
      <c r="M889" s="48" t="n">
        <f aca="false">M871</f>
        <v>3516.38955584</v>
      </c>
      <c r="N889" s="48" t="n">
        <f aca="false">N871</f>
        <v>3516.38955584</v>
      </c>
      <c r="P889" s="49"/>
      <c r="Q889" s="49"/>
      <c r="R889" s="49"/>
      <c r="S889" s="50"/>
    </row>
    <row r="890" customFormat="false" ht="15" hidden="false" customHeight="false" outlineLevel="0" collapsed="false">
      <c r="A890" s="4" t="s">
        <v>510</v>
      </c>
      <c r="B890" s="36" t="s">
        <v>509</v>
      </c>
      <c r="C890" s="48" t="n">
        <f aca="false">C872*Assumptions!$E$18*Assumptions!$E$33</f>
        <v>211.19616</v>
      </c>
      <c r="D890" s="48" t="n">
        <f aca="false">D872*Assumptions!$E$18*Assumptions!$E$33</f>
        <v>422.39232</v>
      </c>
      <c r="E890" s="48" t="n">
        <f aca="false">E872*Assumptions!$E$18*Assumptions!$E$33</f>
        <v>422.39232</v>
      </c>
      <c r="F890" s="48" t="n">
        <f aca="false">F872*Assumptions!$E$18*Assumptions!$E$33</f>
        <v>422.39232</v>
      </c>
      <c r="G890" s="48" t="n">
        <f aca="false">G872*Assumptions!$E$18*Assumptions!$E$33</f>
        <v>564.49344</v>
      </c>
      <c r="H890" s="48" t="n">
        <f aca="false">H872*Assumptions!$E$18*Assumptions!$E$33</f>
        <v>706.59456</v>
      </c>
      <c r="I890" s="48" t="n">
        <f aca="false">I872*Assumptions!$E$18*Assumptions!$E$33</f>
        <v>1135.07072</v>
      </c>
      <c r="J890" s="48" t="n">
        <f aca="false">J872*Assumptions!$E$18*Assumptions!$E$33</f>
        <v>1563.54688</v>
      </c>
      <c r="K890" s="48" t="n">
        <f aca="false">K872*Assumptions!$E$18*Assumptions!$E$33</f>
        <v>1563.54688</v>
      </c>
      <c r="L890" s="48" t="n">
        <f aca="false">L872*Assumptions!$E$18*Assumptions!$E$33</f>
        <v>1563.54688</v>
      </c>
      <c r="M890" s="48" t="n">
        <f aca="false">M872*Assumptions!$E$18*Assumptions!$E$33</f>
        <v>1563.54688</v>
      </c>
      <c r="N890" s="48" t="n">
        <f aca="false">N872*Assumptions!$E$18*Assumptions!$E$33</f>
        <v>1563.54688</v>
      </c>
      <c r="P890" s="49"/>
      <c r="Q890" s="49"/>
      <c r="R890" s="49"/>
      <c r="S890" s="50"/>
    </row>
    <row r="891" customFormat="false" ht="15" hidden="false" customHeight="false" outlineLevel="0" collapsed="false">
      <c r="A891" s="4" t="s">
        <v>511</v>
      </c>
      <c r="B891" s="36" t="s">
        <v>509</v>
      </c>
      <c r="C891" s="48" t="n">
        <f aca="false">C873*Assumptions!$E$19*Assumptions!$E$34</f>
        <v>34.677888</v>
      </c>
      <c r="D891" s="48" t="n">
        <f aca="false">D873*Assumptions!$E$19*Assumptions!$E$34</f>
        <v>69.355776</v>
      </c>
      <c r="E891" s="48" t="n">
        <f aca="false">E873*Assumptions!$E$19*Assumptions!$E$34</f>
        <v>69.355776</v>
      </c>
      <c r="F891" s="48" t="n">
        <f aca="false">F873*Assumptions!$E$19*Assumptions!$E$34</f>
        <v>69.355776</v>
      </c>
      <c r="G891" s="48" t="n">
        <f aca="false">G873*Assumptions!$E$19*Assumptions!$E$34</f>
        <v>86.69472</v>
      </c>
      <c r="H891" s="48" t="n">
        <f aca="false">H873*Assumptions!$E$19*Assumptions!$E$34</f>
        <v>104.033664</v>
      </c>
      <c r="I891" s="48" t="n">
        <f aca="false">I873*Assumptions!$E$19*Assumptions!$E$34</f>
        <v>159.7008</v>
      </c>
      <c r="J891" s="48" t="n">
        <f aca="false">J873*Assumptions!$E$19*Assumptions!$E$34</f>
        <v>215.367936</v>
      </c>
      <c r="K891" s="48" t="n">
        <f aca="false">K873*Assumptions!$E$19*Assumptions!$E$34</f>
        <v>215.367936</v>
      </c>
      <c r="L891" s="48" t="n">
        <f aca="false">L873*Assumptions!$E$19*Assumptions!$E$34</f>
        <v>215.367936</v>
      </c>
      <c r="M891" s="48" t="n">
        <f aca="false">M873*Assumptions!$E$19*Assumptions!$E$34</f>
        <v>215.367936</v>
      </c>
      <c r="N891" s="48" t="n">
        <f aca="false">N873*Assumptions!$E$19*Assumptions!$E$34</f>
        <v>215.367936</v>
      </c>
      <c r="P891" s="49"/>
      <c r="Q891" s="49"/>
      <c r="R891" s="49"/>
      <c r="S891" s="50"/>
    </row>
    <row r="892" customFormat="false" ht="15" hidden="false" customHeight="false" outlineLevel="0" collapsed="false">
      <c r="A892" s="4" t="s">
        <v>512</v>
      </c>
      <c r="B892" s="36" t="s">
        <v>77</v>
      </c>
      <c r="C892" s="51" t="n">
        <f aca="false">IFERROR(C889/(C889+C890+C891),0)</f>
        <v>0.631590736245533</v>
      </c>
      <c r="D892" s="51" t="n">
        <f aca="false">IFERROR(D889/(D889+D890+D891),0)</f>
        <v>0.631590736245533</v>
      </c>
      <c r="E892" s="51" t="n">
        <f aca="false">IFERROR(E889/(E889+E890+E891),0)</f>
        <v>0.631590736245533</v>
      </c>
      <c r="F892" s="51" t="n">
        <f aca="false">IFERROR(F889/(F889+F890+F891),0)</f>
        <v>0.631590736245533</v>
      </c>
      <c r="G892" s="51" t="n">
        <f aca="false">IFERROR(G889/(G889+G890+G891),0)</f>
        <v>0.638332506498128</v>
      </c>
      <c r="H892" s="51" t="n">
        <f aca="false">IFERROR(H889/(H889+H890+H891),0)</f>
        <v>0.642303318118984</v>
      </c>
      <c r="I892" s="51" t="n">
        <f aca="false">IFERROR(I889/(I889+I890+I891),0)</f>
        <v>0.657538025405288</v>
      </c>
      <c r="J892" s="51" t="n">
        <f aca="false">IFERROR(J889/(J889+J890+J891),0)</f>
        <v>0.664058061428891</v>
      </c>
      <c r="K892" s="51" t="n">
        <f aca="false">IFERROR(K889/(K889+K890+K891),0)</f>
        <v>0.664058061428891</v>
      </c>
      <c r="L892" s="51" t="n">
        <f aca="false">IFERROR(L889/(L889+L890+L891),0)</f>
        <v>0.664058061428891</v>
      </c>
      <c r="M892" s="51" t="n">
        <f aca="false">IFERROR(M889/(M889+M890+M891),0)</f>
        <v>0.664058061428891</v>
      </c>
      <c r="N892" s="51" t="n">
        <f aca="false">IFERROR(N889/(N889+N890+N891),0)</f>
        <v>0.664058061428891</v>
      </c>
      <c r="P892" s="52"/>
      <c r="Q892" s="52"/>
      <c r="R892" s="52"/>
      <c r="S892" s="53"/>
    </row>
    <row r="893" customFormat="false" ht="15" hidden="false" customHeight="false" outlineLevel="0" collapsed="false">
      <c r="A893" s="4" t="s">
        <v>513</v>
      </c>
      <c r="B893" s="36" t="s">
        <v>77</v>
      </c>
      <c r="C893" s="51" t="n">
        <f aca="false">IFERROR(C890/(C889+C890+C891),0)</f>
        <v>0.316449102482628</v>
      </c>
      <c r="D893" s="51" t="n">
        <f aca="false">IFERROR(D890/(D889+D890+D891),0)</f>
        <v>0.316449102482628</v>
      </c>
      <c r="E893" s="51" t="n">
        <f aca="false">IFERROR(E890/(E889+E890+E891),0)</f>
        <v>0.316449102482628</v>
      </c>
      <c r="F893" s="51" t="n">
        <f aca="false">IFERROR(F890/(F889+F890+F891),0)</f>
        <v>0.316449102482628</v>
      </c>
      <c r="G893" s="51" t="n">
        <f aca="false">IFERROR(G890/(G889+G890+G891),0)</f>
        <v>0.313517566939561</v>
      </c>
      <c r="H893" s="51" t="n">
        <f aca="false">IFERROR(H890/(H889+H890+H891),0)</f>
        <v>0.311790932099567</v>
      </c>
      <c r="I893" s="51" t="n">
        <f aca="false">IFERROR(I890/(I889+I890+I891),0)</f>
        <v>0.300221741111391</v>
      </c>
      <c r="J893" s="51" t="n">
        <f aca="false">IFERROR(J890/(J889+J890+J891),0)</f>
        <v>0.295270445324128</v>
      </c>
      <c r="K893" s="51" t="n">
        <f aca="false">IFERROR(K890/(K889+K890+K891),0)</f>
        <v>0.295270445324128</v>
      </c>
      <c r="L893" s="51" t="n">
        <f aca="false">IFERROR(L890/(L889+L890+L891),0)</f>
        <v>0.295270445324128</v>
      </c>
      <c r="M893" s="51" t="n">
        <f aca="false">IFERROR(M890/(M889+M890+M891),0)</f>
        <v>0.295270445324128</v>
      </c>
      <c r="N893" s="51" t="n">
        <f aca="false">IFERROR(N890/(N889+N890+N891),0)</f>
        <v>0.295270445324128</v>
      </c>
      <c r="P893" s="52"/>
      <c r="Q893" s="52"/>
      <c r="R893" s="52"/>
      <c r="S893" s="53"/>
    </row>
    <row r="894" customFormat="false" ht="15" hidden="false" customHeight="false" outlineLevel="0" collapsed="false">
      <c r="A894" s="4" t="s">
        <v>514</v>
      </c>
      <c r="B894" s="36" t="s">
        <v>77</v>
      </c>
      <c r="C894" s="51" t="n">
        <f aca="false">IFERROR(C891/(C889+C890+C891),0)</f>
        <v>0.0519601612718389</v>
      </c>
      <c r="D894" s="51" t="n">
        <f aca="false">IFERROR(D891/(D889+D890+D891),0)</f>
        <v>0.0519601612718389</v>
      </c>
      <c r="E894" s="51" t="n">
        <f aca="false">IFERROR(E891/(E889+E890+E891),0)</f>
        <v>0.0519601612718389</v>
      </c>
      <c r="F894" s="51" t="n">
        <f aca="false">IFERROR(F891/(F889+F890+F891),0)</f>
        <v>0.0519601612718389</v>
      </c>
      <c r="G894" s="51" t="n">
        <f aca="false">IFERROR(G891/(G889+G890+G891),0)</f>
        <v>0.0481499265623113</v>
      </c>
      <c r="H894" s="51" t="n">
        <f aca="false">IFERROR(H891/(H889+H890+H891),0)</f>
        <v>0.0459057497814491</v>
      </c>
      <c r="I894" s="51" t="n">
        <f aca="false">IFERROR(I891/(I889+I890+I891),0)</f>
        <v>0.0422402334833216</v>
      </c>
      <c r="J894" s="51" t="n">
        <f aca="false">IFERROR(J891/(J889+J890+J891),0)</f>
        <v>0.0406714932469811</v>
      </c>
      <c r="K894" s="51" t="n">
        <f aca="false">IFERROR(K891/(K889+K890+K891),0)</f>
        <v>0.0406714932469811</v>
      </c>
      <c r="L894" s="51" t="n">
        <f aca="false">IFERROR(L891/(L889+L890+L891),0)</f>
        <v>0.0406714932469811</v>
      </c>
      <c r="M894" s="51" t="n">
        <f aca="false">IFERROR(M891/(M889+M890+M891),0)</f>
        <v>0.0406714932469811</v>
      </c>
      <c r="N894" s="51" t="n">
        <f aca="false">IFERROR(N891/(N889+N890+N891),0)</f>
        <v>0.0406714932469811</v>
      </c>
      <c r="P894" s="52"/>
      <c r="Q894" s="52"/>
      <c r="R894" s="52"/>
      <c r="S894" s="53"/>
    </row>
    <row r="895" customFormat="false" ht="15" hidden="false" customHeight="false" outlineLevel="0" collapsed="false">
      <c r="A895" s="4" t="s">
        <v>515</v>
      </c>
      <c r="B895" s="36" t="s">
        <v>516</v>
      </c>
      <c r="C895" s="48" t="n">
        <f aca="false">IF(C863-Assumptions!$E$35&lt;1,0,INDEX($C$888:$N$888,1,C863-Assumptions!$E$35)*INDEX($C$892:$N$892,1,C863-Assumptions!$E$35)*Assumptions!$E$32)</f>
        <v>0</v>
      </c>
      <c r="D895" s="48" t="n">
        <f aca="false">IF(D863-Assumptions!$E$35&lt;1,0,INDEX($C$888:$N$888,1,D863-Assumptions!$E$35)*INDEX($C$892:$N$892,1,D863-Assumptions!$E$35)*Assumptions!$E$32)</f>
        <v>1.2159516320888</v>
      </c>
      <c r="E895" s="48" t="n">
        <f aca="false">IF(E863-Assumptions!$E$35&lt;1,0,INDEX($C$888:$N$888,1,E863-Assumptions!$E$35)*INDEX($C$892:$N$892,1,E863-Assumptions!$E$35)*Assumptions!$E$32)</f>
        <v>2.47098530389683</v>
      </c>
      <c r="F895" s="48" t="n">
        <f aca="false">IF(F863-Assumptions!$E$35&lt;1,0,INDEX($C$888:$N$888,1,F863-Assumptions!$E$35)*INDEX($C$892:$N$892,1,F863-Assumptions!$E$35)*Assumptions!$E$32)</f>
        <v>2.91156303431671</v>
      </c>
      <c r="G895" s="48" t="n">
        <f aca="false">IF(G863-Assumptions!$E$35&lt;1,0,INDEX($C$888:$N$888,1,G863-Assumptions!$E$35)*INDEX($C$892:$N$892,1,G863-Assumptions!$E$35)*Assumptions!$E$32)</f>
        <v>3.16954512963679</v>
      </c>
      <c r="H895" s="48" t="n">
        <f aca="false">IF(H863-Assumptions!$E$35&lt;1,0,INDEX($C$888:$N$888,1,H863-Assumptions!$E$35)*INDEX($C$892:$N$892,1,H863-Assumptions!$E$35)*Assumptions!$E$32)</f>
        <v>4.02003480940301</v>
      </c>
      <c r="I895" s="48" t="n">
        <f aca="false">IF(I863-Assumptions!$E$35&lt;1,0,INDEX($C$888:$N$888,1,I863-Assumptions!$E$35)*INDEX($C$892:$N$892,1,I863-Assumptions!$E$35)*Assumptions!$E$32)</f>
        <v>4.76366473972075</v>
      </c>
      <c r="J895" s="48" t="n">
        <f aca="false">IF(J863-Assumptions!$E$35&lt;1,0,INDEX($C$888:$N$888,1,J863-Assumptions!$E$35)*INDEX($C$892:$N$892,1,J863-Assumptions!$E$35)*Assumptions!$E$32)</f>
        <v>6.65414994643979</v>
      </c>
      <c r="K895" s="48" t="n">
        <f aca="false">IF(K863-Assumptions!$E$35&lt;1,0,INDEX($C$888:$N$888,1,K863-Assumptions!$E$35)*INDEX($C$892:$N$892,1,K863-Assumptions!$E$35)*Assumptions!$E$32)</f>
        <v>8.17821867992682</v>
      </c>
      <c r="L895" s="48" t="n">
        <f aca="false">IF(L863-Assumptions!$E$35&lt;1,0,INDEX($C$888:$N$888,1,L863-Assumptions!$E$35)*INDEX($C$892:$N$892,1,L863-Assumptions!$E$35)*Assumptions!$E$32)</f>
        <v>8.26388637628125</v>
      </c>
      <c r="M895" s="48" t="n">
        <f aca="false">IF(M863-Assumptions!$E$35&lt;1,0,INDEX($C$888:$N$888,1,M863-Assumptions!$E$35)*INDEX($C$892:$N$892,1,M863-Assumptions!$E$35)*Assumptions!$E$32)</f>
        <v>8.13888125866584</v>
      </c>
      <c r="N895" s="48" t="n">
        <f aca="false">IF(N863-Assumptions!$E$35&lt;1,0,INDEX($C$888:$N$888,1,N863-Assumptions!$E$35)*INDEX($C$892:$N$892,1,N863-Assumptions!$E$35)*Assumptions!$E$32)</f>
        <v>8.01318383010549</v>
      </c>
      <c r="P895" s="49" t="n">
        <f aca="false">SUM(C895:F895)</f>
        <v>6.59849997030234</v>
      </c>
      <c r="Q895" s="49" t="n">
        <f aca="false">SUM(G895:J895)</f>
        <v>18.6073946252003</v>
      </c>
      <c r="R895" s="49" t="n">
        <f aca="false">SUM(K895:N895)</f>
        <v>32.5941701449794</v>
      </c>
      <c r="S895" s="50" t="n">
        <f aca="false">SUM(P895:R895)</f>
        <v>57.8000647404821</v>
      </c>
    </row>
    <row r="896" customFormat="false" ht="15" hidden="false" customHeight="false" outlineLevel="0" collapsed="false">
      <c r="A896" s="4" t="s">
        <v>517</v>
      </c>
      <c r="B896" s="36" t="s">
        <v>516</v>
      </c>
      <c r="C896" s="48" t="n">
        <f aca="false">IF(C863-Assumptions!$E$35&lt;1,0,INDEX($C$888:$N$888,1,C863-Assumptions!$E$35)*INDEX($C$893:$N$893,1,C863-Assumptions!$E$35)*Assumptions!$E$32)</f>
        <v>0</v>
      </c>
      <c r="D896" s="48" t="n">
        <f aca="false">IF(D863-Assumptions!$E$35&lt;1,0,INDEX($C$888:$N$888,1,D863-Assumptions!$E$35)*INDEX($C$893:$N$893,1,D863-Assumptions!$E$35)*Assumptions!$E$32)</f>
        <v>0.609234399041599</v>
      </c>
      <c r="E896" s="48" t="n">
        <f aca="false">IF(E863-Assumptions!$E$35&lt;1,0,INDEX($C$888:$N$888,1,E863-Assumptions!$E$35)*INDEX($C$893:$N$893,1,E863-Assumptions!$E$35)*Assumptions!$E$32)</f>
        <v>1.23805027020208</v>
      </c>
      <c r="F896" s="48" t="n">
        <f aca="false">IF(F863-Assumptions!$E$35&lt;1,0,INDEX($C$888:$N$888,1,F863-Assumptions!$E$35)*INDEX($C$893:$N$893,1,F863-Assumptions!$E$35)*Assumptions!$E$32)</f>
        <v>1.45879515983422</v>
      </c>
      <c r="G896" s="48" t="n">
        <f aca="false">IF(G863-Assumptions!$E$35&lt;1,0,INDEX($C$888:$N$888,1,G863-Assumptions!$E$35)*INDEX($C$893:$N$893,1,G863-Assumptions!$E$35)*Assumptions!$E$32)</f>
        <v>1.58805323446325</v>
      </c>
      <c r="H896" s="48" t="n">
        <f aca="false">IF(H863-Assumptions!$E$35&lt;1,0,INDEX($C$888:$N$888,1,H863-Assumptions!$E$35)*INDEX($C$893:$N$893,1,H863-Assumptions!$E$35)*Assumptions!$E$32)</f>
        <v>1.97444360051569</v>
      </c>
      <c r="I896" s="48" t="n">
        <f aca="false">IF(I863-Assumptions!$E$35&lt;1,0,INDEX($C$888:$N$888,1,I863-Assumptions!$E$35)*INDEX($C$893:$N$893,1,I863-Assumptions!$E$35)*Assumptions!$E$32)</f>
        <v>2.31240821510474</v>
      </c>
      <c r="J896" s="48" t="n">
        <f aca="false">IF(J863-Assumptions!$E$35&lt;1,0,INDEX($C$888:$N$888,1,J863-Assumptions!$E$35)*INDEX($C$893:$N$893,1,J863-Assumptions!$E$35)*Assumptions!$E$32)</f>
        <v>3.03818244017915</v>
      </c>
      <c r="K896" s="48" t="n">
        <f aca="false">IF(K863-Assumptions!$E$35&lt;1,0,INDEX($C$888:$N$888,1,K863-Assumptions!$E$35)*INDEX($C$893:$N$893,1,K863-Assumptions!$E$35)*Assumptions!$E$32)</f>
        <v>3.63640833812644</v>
      </c>
      <c r="L896" s="48" t="n">
        <f aca="false">IF(L863-Assumptions!$E$35&lt;1,0,INDEX($C$888:$N$888,1,L863-Assumptions!$E$35)*INDEX($C$893:$N$893,1,L863-Assumptions!$E$35)*Assumptions!$E$32)</f>
        <v>3.67450009594357</v>
      </c>
      <c r="M896" s="48" t="n">
        <f aca="false">IF(M863-Assumptions!$E$35&lt;1,0,INDEX($C$888:$N$888,1,M863-Assumptions!$E$35)*INDEX($C$893:$N$893,1,M863-Assumptions!$E$35)*Assumptions!$E$32)</f>
        <v>3.6189171297995</v>
      </c>
      <c r="N896" s="48" t="n">
        <f aca="false">IF(N863-Assumptions!$E$35&lt;1,0,INDEX($C$888:$N$888,1,N863-Assumptions!$E$35)*INDEX($C$893:$N$893,1,N863-Assumptions!$E$35)*Assumptions!$E$32)</f>
        <v>3.56302633069189</v>
      </c>
      <c r="P896" s="49" t="n">
        <f aca="false">SUM(C896:F896)</f>
        <v>3.30607982907791</v>
      </c>
      <c r="Q896" s="49" t="n">
        <f aca="false">SUM(G896:J896)</f>
        <v>8.91308749026284</v>
      </c>
      <c r="R896" s="49" t="n">
        <f aca="false">SUM(K896:N896)</f>
        <v>14.4928518945614</v>
      </c>
      <c r="S896" s="50" t="n">
        <f aca="false">SUM(P896:R896)</f>
        <v>26.7120192139021</v>
      </c>
    </row>
    <row r="897" customFormat="false" ht="15" hidden="false" customHeight="false" outlineLevel="0" collapsed="false">
      <c r="A897" s="4" t="s">
        <v>518</v>
      </c>
      <c r="B897" s="36" t="s">
        <v>516</v>
      </c>
      <c r="C897" s="48" t="n">
        <f aca="false">IF(C863-Assumptions!$E$36&lt;1,0,INDEX($C$888:$N$888,1,C863-Assumptions!$E$36)*INDEX($C$894:$N$894,1,C863-Assumptions!$E$36)*Assumptions!$E$32)</f>
        <v>0</v>
      </c>
      <c r="D897" s="48" t="n">
        <f aca="false">IF(D863-Assumptions!$E$36&lt;1,0,INDEX($C$888:$N$888,1,D863-Assumptions!$E$36)*INDEX($C$894:$N$894,1,D863-Assumptions!$E$36)*Assumptions!$E$32)</f>
        <v>0</v>
      </c>
      <c r="E897" s="48" t="n">
        <f aca="false">IF(E863-Assumptions!$E$36&lt;1,0,INDEX($C$888:$N$888,1,E863-Assumptions!$E$36)*INDEX($C$894:$N$894,1,E863-Assumptions!$E$36)*Assumptions!$E$32)</f>
        <v>0.100034784040164</v>
      </c>
      <c r="F897" s="48" t="n">
        <f aca="false">IF(F863-Assumptions!$E$36&lt;1,0,INDEX($C$888:$N$888,1,F863-Assumptions!$E$36)*INDEX($C$894:$N$894,1,F863-Assumptions!$E$36)*Assumptions!$E$32)</f>
        <v>0.203284797452934</v>
      </c>
      <c r="G897" s="48" t="n">
        <f aca="false">IF(G863-Assumptions!$E$36&lt;1,0,INDEX($C$888:$N$888,1,G863-Assumptions!$E$36)*INDEX($C$894:$N$894,1,G863-Assumptions!$E$36)*Assumptions!$E$32)</f>
        <v>0.239530563281422</v>
      </c>
      <c r="H897" s="48" t="n">
        <f aca="false">IF(H863-Assumptions!$E$36&lt;1,0,INDEX($C$888:$N$888,1,H863-Assumptions!$E$36)*INDEX($C$894:$N$894,1,H863-Assumptions!$E$36)*Assumptions!$E$32)</f>
        <v>0.260754419979768</v>
      </c>
      <c r="I897" s="48" t="n">
        <f aca="false">IF(I863-Assumptions!$E$36&lt;1,0,INDEX($C$888:$N$888,1,I863-Assumptions!$E$36)*INDEX($C$894:$N$894,1,I863-Assumptions!$E$36)*Assumptions!$E$32)</f>
        <v>0.303234409778969</v>
      </c>
      <c r="J897" s="48" t="n">
        <f aca="false">IF(J863-Assumptions!$E$36&lt;1,0,INDEX($C$888:$N$888,1,J863-Assumptions!$E$36)*INDEX($C$894:$N$894,1,J863-Assumptions!$E$36)*Assumptions!$E$32)</f>
        <v>0.340461578533871</v>
      </c>
      <c r="K897" s="48" t="n">
        <f aca="false">IF(K863-Assumptions!$E$36&lt;1,0,INDEX($C$888:$N$888,1,K863-Assumptions!$E$36)*INDEX($C$894:$N$894,1,K863-Assumptions!$E$36)*Assumptions!$E$32)</f>
        <v>0.427462498761807</v>
      </c>
      <c r="L897" s="48" t="n">
        <f aca="false">IF(L863-Assumptions!$E$36&lt;1,0,INDEX($C$888:$N$888,1,L863-Assumptions!$E$36)*INDEX($C$894:$N$894,1,L863-Assumptions!$E$36)*Assumptions!$E$32)</f>
        <v>0.500890487041541</v>
      </c>
      <c r="M897" s="48" t="n">
        <f aca="false">IF(M863-Assumptions!$E$36&lt;1,0,INDEX($C$888:$N$888,1,M863-Assumptions!$E$36)*INDEX($C$894:$N$894,1,M863-Assumptions!$E$36)*Assumptions!$E$32)</f>
        <v>0.506137367301177</v>
      </c>
      <c r="N897" s="48" t="n">
        <f aca="false">IF(N863-Assumptions!$E$36&lt;1,0,INDEX($C$888:$N$888,1,N863-Assumptions!$E$36)*INDEX($C$894:$N$894,1,N863-Assumptions!$E$36)*Assumptions!$E$32)</f>
        <v>0.498481192198064</v>
      </c>
      <c r="P897" s="49" t="n">
        <f aca="false">SUM(C897:F897)</f>
        <v>0.303319581493098</v>
      </c>
      <c r="Q897" s="49" t="n">
        <f aca="false">SUM(G897:J897)</f>
        <v>1.14398097157403</v>
      </c>
      <c r="R897" s="49" t="n">
        <f aca="false">SUM(K897:N897)</f>
        <v>1.93297154530259</v>
      </c>
      <c r="S897" s="50" t="n">
        <f aca="false">SUM(P897:R897)</f>
        <v>3.38027209836972</v>
      </c>
    </row>
    <row r="898" customFormat="false" ht="15" hidden="false" customHeight="false" outlineLevel="0" collapsed="false">
      <c r="A898" s="4" t="s">
        <v>519</v>
      </c>
      <c r="B898" s="36" t="s">
        <v>77</v>
      </c>
      <c r="C898" s="51" t="n">
        <f aca="false">IF(C863-Assumptions!$E$35&lt;1,0,IFERROR(INDEX($C$887:$N$887,1,C863-Assumptions!$E$35)/INDEX($C$888:$N$888,1,C863-Assumptions!$E$35),0))</f>
        <v>0</v>
      </c>
      <c r="D898" s="51" t="n">
        <f aca="false">IF(D863-Assumptions!$E$35&lt;1,0,IFERROR(INDEX($C$887:$N$887,1,D863-Assumptions!$E$35)/INDEX($C$888:$N$888,1,D863-Assumptions!$E$35),0))</f>
        <v>0.327235190392529</v>
      </c>
      <c r="E898" s="51" t="n">
        <f aca="false">IF(E863-Assumptions!$E$35&lt;1,0,IFERROR(INDEX($C$887:$N$887,1,E863-Assumptions!$E$35)/INDEX($C$888:$N$888,1,E863-Assumptions!$E$35),0))</f>
        <v>0.241544635984185</v>
      </c>
      <c r="F898" s="51" t="n">
        <f aca="false">IF(F863-Assumptions!$E$35&lt;1,0,IFERROR(INDEX($C$887:$N$887,1,F863-Assumptions!$E$35)/INDEX($C$888:$N$888,1,F863-Assumptions!$E$35),0))</f>
        <v>0.273325467554623</v>
      </c>
      <c r="G898" s="51" t="n">
        <f aca="false">IF(G863-Assumptions!$E$35&lt;1,0,IFERROR(INDEX($C$887:$N$887,1,G863-Assumptions!$E$35)/INDEX($C$888:$N$888,1,G863-Assumptions!$E$35),0))</f>
        <v>0.313848003073144</v>
      </c>
      <c r="H898" s="51" t="n">
        <f aca="false">IF(H863-Assumptions!$E$35&lt;1,0,IFERROR(INDEX($C$887:$N$887,1,H863-Assumptions!$E$35)/INDEX($C$888:$N$888,1,H863-Assumptions!$E$35),0))</f>
        <v>0.300108952902481</v>
      </c>
      <c r="I898" s="51" t="n">
        <f aca="false">IF(I863-Assumptions!$E$35&lt;1,0,IFERROR(INDEX($C$887:$N$887,1,I863-Assumptions!$E$35)/INDEX($C$888:$N$888,1,I863-Assumptions!$E$35),0))</f>
        <v>0.297308667556522</v>
      </c>
      <c r="J898" s="51" t="n">
        <f aca="false">IF(J863-Assumptions!$E$35&lt;1,0,IFERROR(INDEX($C$887:$N$887,1,J863-Assumptions!$E$35)/INDEX($C$888:$N$888,1,J863-Assumptions!$E$35),0))</f>
        <v>0.249016904842651</v>
      </c>
      <c r="K898" s="51" t="n">
        <f aca="false">IF(K863-Assumptions!$E$35&lt;1,0,IFERROR(INDEX($C$887:$N$887,1,K863-Assumptions!$E$35)/INDEX($C$888:$N$888,1,K863-Assumptions!$E$35),0))</f>
        <v>0.2301973911228</v>
      </c>
      <c r="L898" s="51" t="n">
        <f aca="false">IF(L863-Assumptions!$E$35&lt;1,0,IFERROR(INDEX($C$887:$N$887,1,L863-Assumptions!$E$35)/INDEX($C$888:$N$888,1,L863-Assumptions!$E$35),0))</f>
        <v>0.253123385082444</v>
      </c>
      <c r="M898" s="51" t="n">
        <f aca="false">IF(M863-Assumptions!$E$35&lt;1,0,IFERROR(INDEX($C$887:$N$887,1,M863-Assumptions!$E$35)/INDEX($C$888:$N$888,1,M863-Assumptions!$E$35),0))</f>
        <v>0.257011108409253</v>
      </c>
      <c r="N898" s="51" t="n">
        <f aca="false">IF(N863-Assumptions!$E$35&lt;1,0,IFERROR(INDEX($C$887:$N$887,1,N863-Assumptions!$E$35)/INDEX($C$888:$N$888,1,N863-Assumptions!$E$35),0))</f>
        <v>0.261042668912972</v>
      </c>
      <c r="P898" s="52"/>
      <c r="Q898" s="52"/>
      <c r="R898" s="52"/>
      <c r="S898" s="53"/>
    </row>
    <row r="899" customFormat="false" ht="15" hidden="false" customHeight="false" outlineLevel="0" collapsed="false">
      <c r="A899" s="4" t="s">
        <v>520</v>
      </c>
      <c r="B899" s="36" t="s">
        <v>516</v>
      </c>
      <c r="C899" s="48" t="n">
        <f aca="false">C895*Assumptions!$E$37</f>
        <v>0</v>
      </c>
      <c r="D899" s="48" t="n">
        <f aca="false">D895*Assumptions!$E$37</f>
        <v>0.364785489626641</v>
      </c>
      <c r="E899" s="48" t="n">
        <f aca="false">E895*Assumptions!$E$37</f>
        <v>0.741295591169048</v>
      </c>
      <c r="F899" s="48" t="n">
        <f aca="false">F895*Assumptions!$E$37</f>
        <v>0.873468910295012</v>
      </c>
      <c r="G899" s="48" t="n">
        <f aca="false">G895*Assumptions!$E$37</f>
        <v>0.950863538891036</v>
      </c>
      <c r="H899" s="48" t="n">
        <f aca="false">H895*Assumptions!$E$37</f>
        <v>1.2060104428209</v>
      </c>
      <c r="I899" s="48" t="n">
        <f aca="false">I895*Assumptions!$E$37</f>
        <v>1.42909942191622</v>
      </c>
      <c r="J899" s="48" t="n">
        <f aca="false">J895*Assumptions!$E$37</f>
        <v>1.99624498393194</v>
      </c>
      <c r="K899" s="48" t="n">
        <f aca="false">K895*Assumptions!$E$37</f>
        <v>2.45346560397805</v>
      </c>
      <c r="L899" s="48" t="n">
        <f aca="false">L895*Assumptions!$E$37</f>
        <v>2.47916591288438</v>
      </c>
      <c r="M899" s="48" t="n">
        <f aca="false">M895*Assumptions!$E$37</f>
        <v>2.44166437759975</v>
      </c>
      <c r="N899" s="48" t="n">
        <f aca="false">N895*Assumptions!$E$37</f>
        <v>2.40395514903165</v>
      </c>
      <c r="P899" s="49" t="n">
        <f aca="false">SUM(C899:F899)</f>
        <v>1.9795499910907</v>
      </c>
      <c r="Q899" s="49" t="n">
        <f aca="false">SUM(G899:J899)</f>
        <v>5.5822183875601</v>
      </c>
      <c r="R899" s="49" t="n">
        <f aca="false">SUM(K899:N899)</f>
        <v>9.77825104349382</v>
      </c>
      <c r="S899" s="50" t="n">
        <f aca="false">SUM(P899:R899)</f>
        <v>17.3400194221446</v>
      </c>
    </row>
    <row r="900" customFormat="false" ht="15" hidden="false" customHeight="false" outlineLevel="0" collapsed="false">
      <c r="A900" s="4" t="s">
        <v>521</v>
      </c>
      <c r="B900" s="36" t="s">
        <v>516</v>
      </c>
      <c r="C900" s="48" t="n">
        <f aca="false">C895*(1-Assumptions!$E$37)</f>
        <v>0</v>
      </c>
      <c r="D900" s="48" t="n">
        <f aca="false">D895*(1-Assumptions!$E$37)</f>
        <v>0.851166142462162</v>
      </c>
      <c r="E900" s="48" t="n">
        <f aca="false">E895*(1-Assumptions!$E$37)</f>
        <v>1.72968971272778</v>
      </c>
      <c r="F900" s="48" t="n">
        <f aca="false">F895*(1-Assumptions!$E$37)</f>
        <v>2.03809412402169</v>
      </c>
      <c r="G900" s="48" t="n">
        <f aca="false">G895*(1-Assumptions!$E$37)</f>
        <v>2.21868159074575</v>
      </c>
      <c r="H900" s="48" t="n">
        <f aca="false">H895*(1-Assumptions!$E$37)</f>
        <v>2.81402436658211</v>
      </c>
      <c r="I900" s="48" t="n">
        <f aca="false">I895*(1-Assumptions!$E$37)</f>
        <v>3.33456531780452</v>
      </c>
      <c r="J900" s="48" t="n">
        <f aca="false">J895*(1-Assumptions!$E$37)</f>
        <v>4.65790496250785</v>
      </c>
      <c r="K900" s="48" t="n">
        <f aca="false">K895*(1-Assumptions!$E$37)</f>
        <v>5.72475307594877</v>
      </c>
      <c r="L900" s="48" t="n">
        <f aca="false">L895*(1-Assumptions!$E$37)</f>
        <v>5.78472046339688</v>
      </c>
      <c r="M900" s="48" t="n">
        <f aca="false">M895*(1-Assumptions!$E$37)</f>
        <v>5.69721688106609</v>
      </c>
      <c r="N900" s="48" t="n">
        <f aca="false">N895*(1-Assumptions!$E$37)</f>
        <v>5.60922868107384</v>
      </c>
      <c r="P900" s="49" t="n">
        <f aca="false">SUM(C900:F900)</f>
        <v>4.61894997921164</v>
      </c>
      <c r="Q900" s="49" t="n">
        <f aca="false">SUM(G900:J900)</f>
        <v>13.0251762376402</v>
      </c>
      <c r="R900" s="49" t="n">
        <f aca="false">SUM(K900:N900)</f>
        <v>22.8159191014856</v>
      </c>
      <c r="S900" s="50" t="n">
        <f aca="false">SUM(P900:R900)</f>
        <v>40.4600453183375</v>
      </c>
    </row>
    <row r="901" customFormat="false" ht="15" hidden="false" customHeight="false" outlineLevel="0" collapsed="false">
      <c r="A901" s="4" t="s">
        <v>522</v>
      </c>
      <c r="B901" s="36" t="s">
        <v>125</v>
      </c>
      <c r="C901" s="54" t="n">
        <f aca="false">C900*$C$854+C896*$C$855+C897*$C$856</f>
        <v>0</v>
      </c>
      <c r="D901" s="54" t="n">
        <f aca="false">D900*$C$854+D896*$C$855+D897*$C$856</f>
        <v>10505.6630627053</v>
      </c>
      <c r="E901" s="54" t="n">
        <f aca="false">E900*$C$854+E896*$C$855+E897*$C$856</f>
        <v>27528.9643561981</v>
      </c>
      <c r="F901" s="54" t="n">
        <f aca="false">F900*$C$854+F896*$C$855+F897*$C$856</f>
        <v>37714.1041056072</v>
      </c>
      <c r="G901" s="54" t="n">
        <f aca="false">G900*$C$854+G896*$C$855+G897*$C$856</f>
        <v>42182.2358750195</v>
      </c>
      <c r="H901" s="54" t="n">
        <f aca="false">H900*$C$854+H896*$C$855+H897*$C$856</f>
        <v>50453.449834051</v>
      </c>
      <c r="I901" s="54" t="n">
        <f aca="false">I900*$C$854+I896*$C$855+I897*$C$856</f>
        <v>59164.5305031203</v>
      </c>
      <c r="J901" s="54" t="n">
        <f aca="false">J900*$C$854+J896*$C$855+J897*$C$856</f>
        <v>75635.3075842009</v>
      </c>
      <c r="K901" s="54" t="n">
        <f aca="false">K900*$C$854+K896*$C$855+K897*$C$856</f>
        <v>92562.5487475275</v>
      </c>
      <c r="L901" s="54" t="n">
        <f aca="false">L900*$C$854+L896*$C$855+L897*$C$856</f>
        <v>97791.7788165853</v>
      </c>
      <c r="M901" s="54" t="n">
        <f aca="false">M900*$C$854+M896*$C$855+M897*$C$856</f>
        <v>97104.7394827284</v>
      </c>
      <c r="N901" s="54" t="n">
        <f aca="false">N900*$C$854+N896*$C$855+N897*$C$856</f>
        <v>95614.9716965326</v>
      </c>
      <c r="P901" s="55" t="n">
        <f aca="false">SUM(C901:F901)</f>
        <v>75748.7315245106</v>
      </c>
      <c r="Q901" s="55" t="n">
        <f aca="false">SUM(G901:J901)</f>
        <v>227435.523796392</v>
      </c>
      <c r="R901" s="55" t="n">
        <f aca="false">SUM(K901:N901)</f>
        <v>383074.038743374</v>
      </c>
      <c r="S901" s="56" t="n">
        <f aca="false">SUM(P901:R901)</f>
        <v>686258.294064276</v>
      </c>
    </row>
    <row r="902" customFormat="false" ht="15" hidden="false" customHeight="false" outlineLevel="0" collapsed="false">
      <c r="A902" s="4" t="s">
        <v>523</v>
      </c>
      <c r="B902" s="36" t="s">
        <v>125</v>
      </c>
      <c r="C902" s="54" t="n">
        <f aca="false">(C878+Assumptions!$E$104*C864)*$C$859</f>
        <v>0</v>
      </c>
      <c r="D902" s="54" t="n">
        <f aca="false">(D878+Assumptions!$E$104*D864)*$C$859</f>
        <v>153125</v>
      </c>
      <c r="E902" s="54" t="n">
        <f aca="false">(E878+Assumptions!$E$104*E864)*$C$859</f>
        <v>306250</v>
      </c>
      <c r="F902" s="54" t="n">
        <f aca="false">(F878+Assumptions!$E$104*F864)*$C$859</f>
        <v>382812.5</v>
      </c>
      <c r="G902" s="54" t="n">
        <f aca="false">(G878+Assumptions!$E$104*G864)*$C$859</f>
        <v>459375</v>
      </c>
      <c r="H902" s="54" t="n">
        <f aca="false">(H878+Assumptions!$E$104*H864)*$C$859</f>
        <v>535937.5</v>
      </c>
      <c r="I902" s="54" t="n">
        <f aca="false">(I878+Assumptions!$E$104*I864)*$C$859</f>
        <v>612500</v>
      </c>
      <c r="J902" s="54" t="n">
        <f aca="false">(J878+Assumptions!$E$104*J864)*$C$859</f>
        <v>689062.5</v>
      </c>
      <c r="K902" s="54" t="n">
        <f aca="false">(K878+Assumptions!$E$104*K864)*$C$859</f>
        <v>765625</v>
      </c>
      <c r="L902" s="54" t="n">
        <f aca="false">(L878+Assumptions!$E$104*L864)*$C$859</f>
        <v>842187.5</v>
      </c>
      <c r="M902" s="54" t="n">
        <f aca="false">(M878+Assumptions!$E$104*M864)*$C$859</f>
        <v>918750</v>
      </c>
      <c r="N902" s="54" t="n">
        <f aca="false">(N878+Assumptions!$E$104*N864)*$C$859</f>
        <v>918750</v>
      </c>
      <c r="P902" s="55" t="n">
        <f aca="false">SUM(C902:F902)</f>
        <v>842187.5</v>
      </c>
      <c r="Q902" s="55" t="n">
        <f aca="false">SUM(G902:J902)</f>
        <v>2296875</v>
      </c>
      <c r="R902" s="55" t="n">
        <f aca="false">SUM(K902:N902)</f>
        <v>3445312.5</v>
      </c>
      <c r="S902" s="56" t="n">
        <f aca="false">SUM(P902:R902)</f>
        <v>6584375</v>
      </c>
    </row>
    <row r="903" customFormat="false" ht="15" hidden="false" customHeight="false" outlineLevel="0" collapsed="false">
      <c r="A903" s="4" t="s">
        <v>524</v>
      </c>
      <c r="B903" s="36" t="s">
        <v>77</v>
      </c>
      <c r="C903" s="51" t="n">
        <f aca="false">IF(C901&gt;0,MIN(1,C902/C901),1)</f>
        <v>1</v>
      </c>
      <c r="D903" s="51" t="n">
        <f aca="false">IF(D901&gt;0,MIN(1,D902/D901),1)</f>
        <v>1</v>
      </c>
      <c r="E903" s="51" t="n">
        <f aca="false">IF(E901&gt;0,MIN(1,E902/E901),1)</f>
        <v>1</v>
      </c>
      <c r="F903" s="51" t="n">
        <f aca="false">IF(F901&gt;0,MIN(1,F902/F901),1)</f>
        <v>1</v>
      </c>
      <c r="G903" s="51" t="n">
        <f aca="false">IF(G901&gt;0,MIN(1,G902/G901),1)</f>
        <v>1</v>
      </c>
      <c r="H903" s="51" t="n">
        <f aca="false">IF(H901&gt;0,MIN(1,H902/H901),1)</f>
        <v>1</v>
      </c>
      <c r="I903" s="51" t="n">
        <f aca="false">IF(I901&gt;0,MIN(1,I902/I901),1)</f>
        <v>1</v>
      </c>
      <c r="J903" s="51" t="n">
        <f aca="false">IF(J901&gt;0,MIN(1,J902/J901),1)</f>
        <v>1</v>
      </c>
      <c r="K903" s="51" t="n">
        <f aca="false">IF(K901&gt;0,MIN(1,K902/K901),1)</f>
        <v>1</v>
      </c>
      <c r="L903" s="51" t="n">
        <f aca="false">IF(L901&gt;0,MIN(1,L902/L901),1)</f>
        <v>1</v>
      </c>
      <c r="M903" s="51" t="n">
        <f aca="false">IF(M901&gt;0,MIN(1,M902/M901),1)</f>
        <v>1</v>
      </c>
      <c r="N903" s="51" t="n">
        <f aca="false">IF(N901&gt;0,MIN(1,N902/N901),1)</f>
        <v>1</v>
      </c>
      <c r="P903" s="52"/>
      <c r="Q903" s="52"/>
      <c r="R903" s="52"/>
      <c r="S903" s="53"/>
    </row>
    <row r="904" customFormat="false" ht="15" hidden="false" customHeight="false" outlineLevel="0" collapsed="false">
      <c r="A904" s="4" t="s">
        <v>525</v>
      </c>
      <c r="B904" s="36" t="s">
        <v>125</v>
      </c>
      <c r="C904" s="54" t="n">
        <f aca="false">C901*(1-C903)</f>
        <v>0</v>
      </c>
      <c r="D904" s="54" t="n">
        <f aca="false">D901*(1-D903)</f>
        <v>0</v>
      </c>
      <c r="E904" s="54" t="n">
        <f aca="false">E901*(1-E903)</f>
        <v>0</v>
      </c>
      <c r="F904" s="54" t="n">
        <f aca="false">F901*(1-F903)</f>
        <v>0</v>
      </c>
      <c r="G904" s="54" t="n">
        <f aca="false">G901*(1-G903)</f>
        <v>0</v>
      </c>
      <c r="H904" s="54" t="n">
        <f aca="false">H901*(1-H903)</f>
        <v>0</v>
      </c>
      <c r="I904" s="54" t="n">
        <f aca="false">I901*(1-I903)</f>
        <v>0</v>
      </c>
      <c r="J904" s="54" t="n">
        <f aca="false">J901*(1-J903)</f>
        <v>0</v>
      </c>
      <c r="K904" s="54" t="n">
        <f aca="false">K901*(1-K903)</f>
        <v>0</v>
      </c>
      <c r="L904" s="54" t="n">
        <f aca="false">L901*(1-L903)</f>
        <v>0</v>
      </c>
      <c r="M904" s="54" t="n">
        <f aca="false">M901*(1-M903)</f>
        <v>0</v>
      </c>
      <c r="N904" s="54" t="n">
        <f aca="false">N901*(1-N903)</f>
        <v>0</v>
      </c>
      <c r="P904" s="55" t="n">
        <f aca="false">SUM(C904:F904)</f>
        <v>0</v>
      </c>
      <c r="Q904" s="55" t="n">
        <f aca="false">SUM(G904:J904)</f>
        <v>0</v>
      </c>
      <c r="R904" s="55" t="n">
        <f aca="false">SUM(K904:N904)</f>
        <v>0</v>
      </c>
      <c r="S904" s="56" t="n">
        <f aca="false">SUM(P904:R904)</f>
        <v>0</v>
      </c>
    </row>
    <row r="905" customFormat="false" ht="15" hidden="false" customHeight="false" outlineLevel="0" collapsed="false">
      <c r="A905" s="4" t="s">
        <v>526</v>
      </c>
      <c r="B905" s="36" t="s">
        <v>527</v>
      </c>
      <c r="C905" s="48" t="n">
        <f aca="false">C899+C900*C903</f>
        <v>0</v>
      </c>
      <c r="D905" s="48" t="n">
        <f aca="false">D899+D900*D903</f>
        <v>1.2159516320888</v>
      </c>
      <c r="E905" s="48" t="n">
        <f aca="false">E899+E900*E903</f>
        <v>2.47098530389683</v>
      </c>
      <c r="F905" s="48" t="n">
        <f aca="false">F899+F900*F903</f>
        <v>2.91156303431671</v>
      </c>
      <c r="G905" s="48" t="n">
        <f aca="false">G899+G900*G903</f>
        <v>3.16954512963679</v>
      </c>
      <c r="H905" s="48" t="n">
        <f aca="false">H899+H900*H903</f>
        <v>4.02003480940301</v>
      </c>
      <c r="I905" s="48" t="n">
        <f aca="false">I899+I900*I903</f>
        <v>4.76366473972075</v>
      </c>
      <c r="J905" s="48" t="n">
        <f aca="false">J899+J900*J903</f>
        <v>6.65414994643979</v>
      </c>
      <c r="K905" s="48" t="n">
        <f aca="false">K899+K900*K903</f>
        <v>8.17821867992682</v>
      </c>
      <c r="L905" s="48" t="n">
        <f aca="false">L899+L900*L903</f>
        <v>8.26388637628125</v>
      </c>
      <c r="M905" s="48" t="n">
        <f aca="false">M899+M900*M903</f>
        <v>8.13888125866584</v>
      </c>
      <c r="N905" s="48" t="n">
        <f aca="false">N899+N900*N903</f>
        <v>8.01318383010549</v>
      </c>
      <c r="P905" s="49" t="n">
        <f aca="false">SUM(C905:F905)</f>
        <v>6.59849997030234</v>
      </c>
      <c r="Q905" s="49" t="n">
        <f aca="false">SUM(G905:J905)</f>
        <v>18.6073946252003</v>
      </c>
      <c r="R905" s="49" t="n">
        <f aca="false">SUM(K905:N905)</f>
        <v>32.5941701449794</v>
      </c>
      <c r="S905" s="50" t="n">
        <f aca="false">SUM(P905:R905)</f>
        <v>57.8000647404821</v>
      </c>
    </row>
    <row r="906" customFormat="false" ht="15" hidden="false" customHeight="false" outlineLevel="0" collapsed="false">
      <c r="A906" s="4" t="s">
        <v>528</v>
      </c>
      <c r="B906" s="36" t="s">
        <v>527</v>
      </c>
      <c r="C906" s="48" t="n">
        <f aca="false">C896*C903</f>
        <v>0</v>
      </c>
      <c r="D906" s="48" t="n">
        <f aca="false">D896*D903</f>
        <v>0.609234399041599</v>
      </c>
      <c r="E906" s="48" t="n">
        <f aca="false">E896*E903</f>
        <v>1.23805027020208</v>
      </c>
      <c r="F906" s="48" t="n">
        <f aca="false">F896*F903</f>
        <v>1.45879515983422</v>
      </c>
      <c r="G906" s="48" t="n">
        <f aca="false">G896*G903</f>
        <v>1.58805323446325</v>
      </c>
      <c r="H906" s="48" t="n">
        <f aca="false">H896*H903</f>
        <v>1.97444360051569</v>
      </c>
      <c r="I906" s="48" t="n">
        <f aca="false">I896*I903</f>
        <v>2.31240821510474</v>
      </c>
      <c r="J906" s="48" t="n">
        <f aca="false">J896*J903</f>
        <v>3.03818244017915</v>
      </c>
      <c r="K906" s="48" t="n">
        <f aca="false">K896*K903</f>
        <v>3.63640833812644</v>
      </c>
      <c r="L906" s="48" t="n">
        <f aca="false">L896*L903</f>
        <v>3.67450009594357</v>
      </c>
      <c r="M906" s="48" t="n">
        <f aca="false">M896*M903</f>
        <v>3.6189171297995</v>
      </c>
      <c r="N906" s="48" t="n">
        <f aca="false">N896*N903</f>
        <v>3.56302633069189</v>
      </c>
      <c r="P906" s="49" t="n">
        <f aca="false">SUM(C906:F906)</f>
        <v>3.30607982907791</v>
      </c>
      <c r="Q906" s="49" t="n">
        <f aca="false">SUM(G906:J906)</f>
        <v>8.91308749026284</v>
      </c>
      <c r="R906" s="49" t="n">
        <f aca="false">SUM(K906:N906)</f>
        <v>14.4928518945614</v>
      </c>
      <c r="S906" s="50" t="n">
        <f aca="false">SUM(P906:R906)</f>
        <v>26.7120192139021</v>
      </c>
    </row>
    <row r="907" customFormat="false" ht="15" hidden="false" customHeight="false" outlineLevel="0" collapsed="false">
      <c r="A907" s="4" t="s">
        <v>529</v>
      </c>
      <c r="B907" s="36" t="s">
        <v>527</v>
      </c>
      <c r="C907" s="48" t="n">
        <f aca="false">C897*C903</f>
        <v>0</v>
      </c>
      <c r="D907" s="48" t="n">
        <f aca="false">D897*D903</f>
        <v>0</v>
      </c>
      <c r="E907" s="48" t="n">
        <f aca="false">E897*E903</f>
        <v>0.100034784040164</v>
      </c>
      <c r="F907" s="48" t="n">
        <f aca="false">F897*F903</f>
        <v>0.203284797452934</v>
      </c>
      <c r="G907" s="48" t="n">
        <f aca="false">G897*G903</f>
        <v>0.239530563281422</v>
      </c>
      <c r="H907" s="48" t="n">
        <f aca="false">H897*H903</f>
        <v>0.260754419979768</v>
      </c>
      <c r="I907" s="48" t="n">
        <f aca="false">I897*I903</f>
        <v>0.303234409778969</v>
      </c>
      <c r="J907" s="48" t="n">
        <f aca="false">J897*J903</f>
        <v>0.340461578533871</v>
      </c>
      <c r="K907" s="48" t="n">
        <f aca="false">K897*K903</f>
        <v>0.427462498761807</v>
      </c>
      <c r="L907" s="48" t="n">
        <f aca="false">L897*L903</f>
        <v>0.500890487041541</v>
      </c>
      <c r="M907" s="48" t="n">
        <f aca="false">M897*M903</f>
        <v>0.506137367301177</v>
      </c>
      <c r="N907" s="48" t="n">
        <f aca="false">N897*N903</f>
        <v>0.498481192198064</v>
      </c>
      <c r="P907" s="49" t="n">
        <f aca="false">SUM(C907:F907)</f>
        <v>0.303319581493098</v>
      </c>
      <c r="Q907" s="49" t="n">
        <f aca="false">SUM(G907:J907)</f>
        <v>1.14398097157403</v>
      </c>
      <c r="R907" s="49" t="n">
        <f aca="false">SUM(K907:N907)</f>
        <v>1.93297154530259</v>
      </c>
      <c r="S907" s="50" t="n">
        <f aca="false">SUM(P907:R907)</f>
        <v>3.38027209836972</v>
      </c>
    </row>
    <row r="908" customFormat="false" ht="15" hidden="false" customHeight="false" outlineLevel="0" collapsed="false">
      <c r="A908" s="9" t="s">
        <v>530</v>
      </c>
      <c r="B908" s="36" t="s">
        <v>527</v>
      </c>
      <c r="C908" s="49" t="n">
        <f aca="false">C905+C906+C907</f>
        <v>0</v>
      </c>
      <c r="D908" s="49" t="n">
        <f aca="false">D905+D906+D907</f>
        <v>1.8251860311304</v>
      </c>
      <c r="E908" s="49" t="n">
        <f aca="false">E905+E906+E907</f>
        <v>3.80907035813907</v>
      </c>
      <c r="F908" s="49" t="n">
        <f aca="false">F905+F906+F907</f>
        <v>4.57364299160387</v>
      </c>
      <c r="G908" s="49" t="n">
        <f aca="false">G905+G906+G907</f>
        <v>4.99712892738146</v>
      </c>
      <c r="H908" s="49" t="n">
        <f aca="false">H905+H906+H907</f>
        <v>6.25523282989847</v>
      </c>
      <c r="I908" s="49" t="n">
        <f aca="false">I905+I906+I907</f>
        <v>7.37930736460446</v>
      </c>
      <c r="J908" s="49" t="n">
        <f aca="false">J905+J906+J907</f>
        <v>10.0327939651528</v>
      </c>
      <c r="K908" s="49" t="n">
        <f aca="false">K905+K906+K907</f>
        <v>12.2420895168151</v>
      </c>
      <c r="L908" s="49" t="n">
        <f aca="false">L905+L906+L907</f>
        <v>12.4392769592664</v>
      </c>
      <c r="M908" s="49" t="n">
        <f aca="false">M905+M906+M907</f>
        <v>12.2639357557665</v>
      </c>
      <c r="N908" s="49" t="n">
        <f aca="false">N905+N906+N907</f>
        <v>12.0746913529954</v>
      </c>
      <c r="P908" s="49" t="n">
        <f aca="false">SUM(C908:F908)</f>
        <v>10.2078993808733</v>
      </c>
      <c r="Q908" s="49" t="n">
        <f aca="false">SUM(G908:J908)</f>
        <v>28.6644630870372</v>
      </c>
      <c r="R908" s="49" t="n">
        <f aca="false">SUM(K908:N908)</f>
        <v>49.0199935848434</v>
      </c>
      <c r="S908" s="50" t="n">
        <f aca="false">SUM(P908:R908)</f>
        <v>87.8923560527539</v>
      </c>
    </row>
    <row r="909" customFormat="false" ht="15" hidden="false" customHeight="false" outlineLevel="0" collapsed="false">
      <c r="A909" s="35" t="s">
        <v>533</v>
      </c>
      <c r="B909" s="35" t="s">
        <v>444</v>
      </c>
      <c r="C909" s="6" t="s">
        <v>354</v>
      </c>
      <c r="D909" s="6" t="s">
        <v>355</v>
      </c>
      <c r="E909" s="6" t="s">
        <v>356</v>
      </c>
      <c r="F909" s="6" t="s">
        <v>357</v>
      </c>
      <c r="G909" s="6" t="s">
        <v>358</v>
      </c>
      <c r="H909" s="6" t="s">
        <v>359</v>
      </c>
      <c r="I909" s="6" t="s">
        <v>360</v>
      </c>
      <c r="J909" s="6" t="s">
        <v>361</v>
      </c>
      <c r="K909" s="6" t="s">
        <v>362</v>
      </c>
      <c r="L909" s="6" t="s">
        <v>363</v>
      </c>
      <c r="M909" s="6" t="s">
        <v>364</v>
      </c>
      <c r="N909" s="6" t="s">
        <v>365</v>
      </c>
      <c r="P909" s="6" t="s">
        <v>445</v>
      </c>
      <c r="Q909" s="6" t="s">
        <v>446</v>
      </c>
      <c r="R909" s="6" t="s">
        <v>447</v>
      </c>
      <c r="S909" s="6" t="s">
        <v>448</v>
      </c>
    </row>
    <row r="910" customFormat="false" ht="15" hidden="false" customHeight="false" outlineLevel="0" collapsed="false">
      <c r="A910" s="4" t="s">
        <v>534</v>
      </c>
      <c r="B910" s="36" t="s">
        <v>527</v>
      </c>
      <c r="C910" s="48" t="n">
        <f aca="false">0*Assumptions!$E$59^(1/4)+C905</f>
        <v>0</v>
      </c>
      <c r="D910" s="48" t="n">
        <f aca="false">C910*Assumptions!$E$59^(1/4)+D905</f>
        <v>1.2159516320888</v>
      </c>
      <c r="E910" s="48" t="n">
        <f aca="false">D910*Assumptions!$E$59^(1/4)+E905</f>
        <v>3.64869152189517</v>
      </c>
      <c r="F910" s="48" t="n">
        <f aca="false">E910*Assumptions!$E$59^(1/4)+F905</f>
        <v>6.44549199949445</v>
      </c>
      <c r="G910" s="48" t="n">
        <f aca="false">F910*Assumptions!$E$59^(1/4)+G905</f>
        <v>9.4123066059492</v>
      </c>
      <c r="H910" s="48" t="n">
        <f aca="false">G910*Assumptions!$E$59^(1/4)+H905</f>
        <v>13.1362954590895</v>
      </c>
      <c r="I910" s="48" t="n">
        <f aca="false">H910*Assumptions!$E$59^(1/4)+I905</f>
        <v>17.4867833534579</v>
      </c>
      <c r="J910" s="48" t="n">
        <f aca="false">I910*Assumptions!$E$59^(1/4)+J905</f>
        <v>23.5909202460772</v>
      </c>
      <c r="K910" s="48" t="n">
        <f aca="false">J910*Assumptions!$E$59^(1/4)+K905</f>
        <v>31.0271320157157</v>
      </c>
      <c r="L910" s="48" t="n">
        <f aca="false">K910*Assumptions!$E$59^(1/4)+L905</f>
        <v>38.3151197783803</v>
      </c>
      <c r="M910" s="48" t="n">
        <f aca="false">L910*Assumptions!$E$59^(1/4)+M905</f>
        <v>45.2488728204472</v>
      </c>
      <c r="N910" s="48" t="n">
        <f aca="false">M910*Assumptions!$E$59^(1/4)+N905</f>
        <v>51.8388406011019</v>
      </c>
      <c r="P910" s="49" t="n">
        <f aca="false">F910</f>
        <v>6.44549199949445</v>
      </c>
      <c r="Q910" s="49" t="n">
        <f aca="false">J910</f>
        <v>23.5909202460772</v>
      </c>
      <c r="R910" s="49" t="n">
        <f aca="false">N910</f>
        <v>51.8388406011019</v>
      </c>
      <c r="S910" s="50" t="n">
        <f aca="false">R910</f>
        <v>51.8388406011019</v>
      </c>
    </row>
    <row r="911" customFormat="false" ht="15" hidden="false" customHeight="false" outlineLevel="0" collapsed="false">
      <c r="A911" s="4" t="s">
        <v>535</v>
      </c>
      <c r="B911" s="36" t="s">
        <v>527</v>
      </c>
      <c r="C911" s="48" t="n">
        <f aca="false">0*Assumptions!$E$60^(1/4)+C906</f>
        <v>0</v>
      </c>
      <c r="D911" s="48" t="n">
        <f aca="false">C911*Assumptions!$E$60^(1/4)+D906</f>
        <v>0.609234399041599</v>
      </c>
      <c r="E911" s="48" t="n">
        <f aca="false">D911*Assumptions!$E$60^(1/4)+E906</f>
        <v>1.83144685731976</v>
      </c>
      <c r="F911" s="48" t="n">
        <f aca="false">E911*Assumptions!$E$60^(1/4)+F906</f>
        <v>3.24263126024251</v>
      </c>
      <c r="G911" s="48" t="n">
        <f aca="false">F911*Assumptions!$E$60^(1/4)+G906</f>
        <v>4.74638823021524</v>
      </c>
      <c r="H911" s="48" t="n">
        <f aca="false">G911*Assumptions!$E$60^(1/4)+H906</f>
        <v>6.59744351873427</v>
      </c>
      <c r="I911" s="48" t="n">
        <f aca="false">H911*Assumptions!$E$60^(1/4)+I906</f>
        <v>8.73834291918121</v>
      </c>
      <c r="J911" s="48" t="n">
        <f aca="false">I911*Assumptions!$E$60^(1/4)+J906</f>
        <v>11.5493611810106</v>
      </c>
      <c r="K911" s="48" t="n">
        <f aca="false">J911*Assumptions!$E$60^(1/4)+K906</f>
        <v>14.8855293972497</v>
      </c>
      <c r="L911" s="48" t="n">
        <f aca="false">K911*Assumptions!$E$60^(1/4)+L906</f>
        <v>18.1730614963886</v>
      </c>
      <c r="M911" s="48" t="n">
        <f aca="false">L911*Assumptions!$E$60^(1/4)+M906</f>
        <v>21.3195471112993</v>
      </c>
      <c r="N911" s="48" t="n">
        <f aca="false">M911*Assumptions!$E$60^(1/4)+N906</f>
        <v>24.3283450891881</v>
      </c>
      <c r="P911" s="49" t="n">
        <f aca="false">F911</f>
        <v>3.24263126024251</v>
      </c>
      <c r="Q911" s="49" t="n">
        <f aca="false">J911</f>
        <v>11.5493611810106</v>
      </c>
      <c r="R911" s="49" t="n">
        <f aca="false">N911</f>
        <v>24.3283450891881</v>
      </c>
      <c r="S911" s="50" t="n">
        <f aca="false">R911</f>
        <v>24.3283450891881</v>
      </c>
    </row>
    <row r="912" customFormat="false" ht="15" hidden="false" customHeight="false" outlineLevel="0" collapsed="false">
      <c r="A912" s="4" t="s">
        <v>536</v>
      </c>
      <c r="B912" s="36" t="s">
        <v>527</v>
      </c>
      <c r="C912" s="48" t="n">
        <f aca="false">0*Assumptions!$E$61^(1/4)+C907</f>
        <v>0</v>
      </c>
      <c r="D912" s="48" t="n">
        <f aca="false">C912*Assumptions!$E$61^(1/4)+D907</f>
        <v>0</v>
      </c>
      <c r="E912" s="48" t="n">
        <f aca="false">D912*Assumptions!$E$61^(1/4)+E907</f>
        <v>0.100034784040164</v>
      </c>
      <c r="F912" s="48" t="n">
        <f aca="false">E912*Assumptions!$E$61^(1/4)+F907</f>
        <v>0.301255900044474</v>
      </c>
      <c r="G912" s="48" t="n">
        <f aca="false">F912*Assumptions!$E$61^(1/4)+G907</f>
        <v>0.534571662962448</v>
      </c>
      <c r="H912" s="48" t="n">
        <f aca="false">G912*Assumptions!$E$61^(1/4)+H907</f>
        <v>0.784298062695052</v>
      </c>
      <c r="I912" s="48" t="n">
        <f aca="false">H912*Assumptions!$E$61^(1/4)+I907</f>
        <v>1.0713526868354</v>
      </c>
      <c r="J912" s="48" t="n">
        <f aca="false">I912*Assumptions!$E$61^(1/4)+J907</f>
        <v>1.38971264655768</v>
      </c>
      <c r="K912" s="48" t="n">
        <f aca="false">J912*Assumptions!$E$61^(1/4)+K907</f>
        <v>1.7885058755736</v>
      </c>
      <c r="L912" s="48" t="n">
        <f aca="false">K912*Assumptions!$E$61^(1/4)+L907</f>
        <v>2.25250013265283</v>
      </c>
      <c r="M912" s="48" t="n">
        <f aca="false">L912*Assumptions!$E$61^(1/4)+M907</f>
        <v>2.71216923612577</v>
      </c>
      <c r="N912" s="48" t="n">
        <f aca="false">M912*Assumptions!$E$61^(1/4)+N907</f>
        <v>3.15469935698575</v>
      </c>
      <c r="P912" s="49" t="n">
        <f aca="false">F912</f>
        <v>0.301255900044474</v>
      </c>
      <c r="Q912" s="49" t="n">
        <f aca="false">J912</f>
        <v>1.38971264655768</v>
      </c>
      <c r="R912" s="49" t="n">
        <f aca="false">N912</f>
        <v>3.15469935698575</v>
      </c>
      <c r="S912" s="50" t="n">
        <f aca="false">R912</f>
        <v>3.15469935698575</v>
      </c>
    </row>
    <row r="913" customFormat="false" ht="15" hidden="false" customHeight="false" outlineLevel="0" collapsed="false">
      <c r="A913" s="9" t="s">
        <v>537</v>
      </c>
      <c r="B913" s="36" t="s">
        <v>527</v>
      </c>
      <c r="C913" s="49" t="n">
        <f aca="false">C910+C911+C912</f>
        <v>0</v>
      </c>
      <c r="D913" s="49" t="n">
        <f aca="false">D910+D911+D912</f>
        <v>1.8251860311304</v>
      </c>
      <c r="E913" s="49" t="n">
        <f aca="false">E910+E911+E912</f>
        <v>5.5801731632551</v>
      </c>
      <c r="F913" s="49" t="n">
        <f aca="false">F910+F911+F912</f>
        <v>9.98937915978144</v>
      </c>
      <c r="G913" s="49" t="n">
        <f aca="false">G910+G911+G912</f>
        <v>14.6932664991269</v>
      </c>
      <c r="H913" s="49" t="n">
        <f aca="false">H910+H911+H912</f>
        <v>20.5180370405188</v>
      </c>
      <c r="I913" s="49" t="n">
        <f aca="false">I910+I911+I912</f>
        <v>27.2964789594745</v>
      </c>
      <c r="J913" s="49" t="n">
        <f aca="false">J910+J911+J912</f>
        <v>36.5299940736455</v>
      </c>
      <c r="K913" s="49" t="n">
        <f aca="false">K910+K911+K912</f>
        <v>47.701167288539</v>
      </c>
      <c r="L913" s="49" t="n">
        <f aca="false">L910+L911+L912</f>
        <v>58.7406814074217</v>
      </c>
      <c r="M913" s="49" t="n">
        <f aca="false">M910+M911+M912</f>
        <v>69.2805891678723</v>
      </c>
      <c r="N913" s="49" t="n">
        <f aca="false">N910+N911+N912</f>
        <v>79.3218850472757</v>
      </c>
      <c r="P913" s="49" t="n">
        <f aca="false">F913</f>
        <v>9.98937915978144</v>
      </c>
      <c r="Q913" s="49" t="n">
        <f aca="false">J913</f>
        <v>36.5299940736455</v>
      </c>
      <c r="R913" s="49" t="n">
        <f aca="false">N913</f>
        <v>79.3218850472757</v>
      </c>
      <c r="S913" s="50" t="n">
        <f aca="false">R913</f>
        <v>79.3218850472757</v>
      </c>
    </row>
    <row r="914" customFormat="false" ht="15" hidden="false" customHeight="false" outlineLevel="0" collapsed="false">
      <c r="A914" s="4" t="s">
        <v>538</v>
      </c>
      <c r="B914" s="36" t="s">
        <v>125</v>
      </c>
      <c r="C914" s="54" t="n">
        <f aca="false">0*Assumptions!$E$62^(1/4)+C905*$C$854</f>
        <v>0</v>
      </c>
      <c r="D914" s="54" t="n">
        <f aca="false">C914*Assumptions!$E$62^(1/4)+D905*$C$854</f>
        <v>6507.77313493928</v>
      </c>
      <c r="E914" s="54" t="n">
        <f aca="false">D914*Assumptions!$E$62^(1/4)+E905*$C$854</f>
        <v>19732.4864813951</v>
      </c>
      <c r="F914" s="54" t="n">
        <f aca="false">E914*Assumptions!$E$62^(1/4)+F905*$C$854</f>
        <v>35315.1718410581</v>
      </c>
      <c r="G914" s="54" t="n">
        <f aca="false">F914*Assumptions!$E$62^(1/4)+G905*$C$854</f>
        <v>52278.5773748742</v>
      </c>
      <c r="H914" s="54" t="n">
        <f aca="false">G914*Assumptions!$E$62^(1/4)+H905*$C$854</f>
        <v>73793.8036747991</v>
      </c>
      <c r="I914" s="54" t="n">
        <f aca="false">H914*Assumptions!$E$62^(1/4)+I905*$C$854</f>
        <v>99288.9373617845</v>
      </c>
      <c r="J914" s="54" t="n">
        <f aca="false">I914*Assumptions!$E$62^(1/4)+J905*$C$854</f>
        <v>134901.94787513</v>
      </c>
      <c r="K914" s="54" t="n">
        <f aca="false">J914*Assumptions!$E$62^(1/4)+K905*$C$854</f>
        <v>178671.774250099</v>
      </c>
      <c r="L914" s="54" t="n">
        <f aca="false">K914*Assumptions!$E$62^(1/4)+L905*$C$854</f>
        <v>222900.094135956</v>
      </c>
      <c r="M914" s="54" t="n">
        <f aca="false">L914*Assumptions!$E$62^(1/4)+M905*$C$854</f>
        <v>266459.386632335</v>
      </c>
      <c r="N914" s="54" t="n">
        <f aca="false">M914*Assumptions!$E$62^(1/4)+N905*$C$854</f>
        <v>309345.94649106</v>
      </c>
      <c r="P914" s="55" t="n">
        <f aca="false">F914</f>
        <v>35315.1718410581</v>
      </c>
      <c r="Q914" s="55" t="n">
        <f aca="false">J914</f>
        <v>134901.94787513</v>
      </c>
      <c r="R914" s="55" t="n">
        <f aca="false">N914</f>
        <v>309345.94649106</v>
      </c>
      <c r="S914" s="56" t="n">
        <f aca="false">R914</f>
        <v>309345.94649106</v>
      </c>
    </row>
    <row r="915" customFormat="false" ht="15" hidden="false" customHeight="false" outlineLevel="0" collapsed="false">
      <c r="A915" s="4" t="s">
        <v>539</v>
      </c>
      <c r="B915" s="36" t="s">
        <v>125</v>
      </c>
      <c r="C915" s="54" t="n">
        <f aca="false">0*Assumptions!$E$63^(1/4)+C906*$C$855</f>
        <v>0</v>
      </c>
      <c r="D915" s="54" t="n">
        <f aca="false">C915*Assumptions!$E$63^(1/4)+D906*$C$855</f>
        <v>5950.22186824776</v>
      </c>
      <c r="E915" s="54" t="n">
        <f aca="false">D915*Assumptions!$E$63^(1/4)+E906*$C$855</f>
        <v>18129.2250030014</v>
      </c>
      <c r="F915" s="54" t="n">
        <f aca="false">E915*Assumptions!$E$63^(1/4)+F906*$C$855</f>
        <v>32642.8945131315</v>
      </c>
      <c r="G915" s="54" t="n">
        <f aca="false">F915*Assumptions!$E$63^(1/4)+G906*$C$855</f>
        <v>48631.9628162791</v>
      </c>
      <c r="H915" s="54" t="n">
        <f aca="false">G915*Assumptions!$E$63^(1/4)+H906*$C$855</f>
        <v>68629.4188137675</v>
      </c>
      <c r="I915" s="54" t="n">
        <f aca="false">H915*Assumptions!$E$63^(1/4)+I906*$C$855</f>
        <v>92221.1202084404</v>
      </c>
      <c r="J915" s="54" t="n">
        <f aca="false">I915*Assumptions!$E$63^(1/4)+J906*$C$855</f>
        <v>123247.436333199</v>
      </c>
      <c r="K915" s="54" t="n">
        <f aca="false">J915*Assumptions!$E$63^(1/4)+K906*$C$855</f>
        <v>160571.732766976</v>
      </c>
      <c r="L915" s="54" t="n">
        <f aca="false">K915*Assumptions!$E$63^(1/4)+L906*$C$855</f>
        <v>198815.751722787</v>
      </c>
      <c r="M915" s="54" t="n">
        <f aca="false">L915*Assumptions!$E$63^(1/4)+M906*$C$855</f>
        <v>237078.094255372</v>
      </c>
      <c r="N915" s="54" t="n">
        <f aca="false">M915*Assumptions!$E$63^(1/4)+N906*$C$855</f>
        <v>275356.022723676</v>
      </c>
      <c r="P915" s="55" t="n">
        <f aca="false">F915</f>
        <v>32642.8945131315</v>
      </c>
      <c r="Q915" s="55" t="n">
        <f aca="false">J915</f>
        <v>123247.436333199</v>
      </c>
      <c r="R915" s="55" t="n">
        <f aca="false">N915</f>
        <v>275356.022723676</v>
      </c>
      <c r="S915" s="56" t="n">
        <f aca="false">R915</f>
        <v>275356.022723676</v>
      </c>
    </row>
    <row r="916" customFormat="false" ht="15" hidden="false" customHeight="false" outlineLevel="0" collapsed="false">
      <c r="A916" s="4" t="s">
        <v>540</v>
      </c>
      <c r="B916" s="36" t="s">
        <v>125</v>
      </c>
      <c r="C916" s="54" t="n">
        <f aca="false">0*Assumptions!$E$64^(1/4)+C907*$C$856</f>
        <v>0</v>
      </c>
      <c r="D916" s="54" t="n">
        <f aca="false">C916*Assumptions!$E$64^(1/4)+D907*$C$856</f>
        <v>0</v>
      </c>
      <c r="E916" s="54" t="n">
        <f aca="false">D916*Assumptions!$E$64^(1/4)+E907*$C$856</f>
        <v>6179.97451928944</v>
      </c>
      <c r="F916" s="54" t="n">
        <f aca="false">E916*Assumptions!$E$64^(1/4)+F907*$C$856</f>
        <v>18958.3028275997</v>
      </c>
      <c r="G916" s="54" t="n">
        <f aca="false">F916*Assumptions!$E$64^(1/4)+G907*$C$856</f>
        <v>34430.2041176372</v>
      </c>
      <c r="H916" s="54" t="n">
        <f aca="false">G916*Assumptions!$E$64^(1/4)+H907*$C$856</f>
        <v>51763.429311971</v>
      </c>
      <c r="I916" s="54" t="n">
        <f aca="false">H916*Assumptions!$E$64^(1/4)+I907*$C$856</f>
        <v>72337.3303450256</v>
      </c>
      <c r="J916" s="54" t="n">
        <f aca="false">I916*Assumptions!$E$64^(1/4)+J907*$C$856</f>
        <v>95942.6292913231</v>
      </c>
      <c r="K916" s="54" t="n">
        <f aca="false">J916*Assumptions!$E$64^(1/4)+K907*$C$856</f>
        <v>125762.052400788</v>
      </c>
      <c r="L916" s="54" t="n">
        <f aca="false">K916*Assumptions!$E$64^(1/4)+L907*$C$856</f>
        <v>161178.049907266</v>
      </c>
      <c r="M916" s="54" t="n">
        <f aca="false">L916*Assumptions!$E$64^(1/4)+M907*$C$856</f>
        <v>198177.515269827</v>
      </c>
      <c r="N916" s="54" t="n">
        <f aca="false">M916*Assumptions!$E$64^(1/4)+N907*$C$856</f>
        <v>236019.625299167</v>
      </c>
      <c r="P916" s="55" t="n">
        <f aca="false">F916</f>
        <v>18958.3028275997</v>
      </c>
      <c r="Q916" s="55" t="n">
        <f aca="false">J916</f>
        <v>95942.6292913231</v>
      </c>
      <c r="R916" s="55" t="n">
        <f aca="false">N916</f>
        <v>236019.625299167</v>
      </c>
      <c r="S916" s="56" t="n">
        <f aca="false">R916</f>
        <v>236019.625299167</v>
      </c>
    </row>
    <row r="917" customFormat="false" ht="15" hidden="false" customHeight="false" outlineLevel="0" collapsed="false">
      <c r="A917" s="9" t="s">
        <v>541</v>
      </c>
      <c r="B917" s="36" t="s">
        <v>125</v>
      </c>
      <c r="C917" s="55" t="n">
        <f aca="false">C914+C915+C916</f>
        <v>0</v>
      </c>
      <c r="D917" s="55" t="n">
        <f aca="false">D914+D915+D916</f>
        <v>12457.995003187</v>
      </c>
      <c r="E917" s="55" t="n">
        <f aca="false">E914+E915+E916</f>
        <v>44041.686003686</v>
      </c>
      <c r="F917" s="55" t="n">
        <f aca="false">F914+F915+F916</f>
        <v>86916.3691817893</v>
      </c>
      <c r="G917" s="55" t="n">
        <f aca="false">G914+G915+G916</f>
        <v>135340.74430879</v>
      </c>
      <c r="H917" s="55" t="n">
        <f aca="false">H914+H915+H916</f>
        <v>194186.651800538</v>
      </c>
      <c r="I917" s="55" t="n">
        <f aca="false">I914+I915+I916</f>
        <v>263847.38791525</v>
      </c>
      <c r="J917" s="55" t="n">
        <f aca="false">J914+J915+J916</f>
        <v>354092.013499653</v>
      </c>
      <c r="K917" s="55" t="n">
        <f aca="false">K914+K915+K916</f>
        <v>465005.559417863</v>
      </c>
      <c r="L917" s="55" t="n">
        <f aca="false">L914+L915+L916</f>
        <v>582893.895766009</v>
      </c>
      <c r="M917" s="55" t="n">
        <f aca="false">M914+M915+M916</f>
        <v>701714.996157534</v>
      </c>
      <c r="N917" s="55" t="n">
        <f aca="false">N914+N915+N916</f>
        <v>820721.594513904</v>
      </c>
      <c r="P917" s="55" t="n">
        <f aca="false">F917</f>
        <v>86916.3691817893</v>
      </c>
      <c r="Q917" s="55" t="n">
        <f aca="false">J917</f>
        <v>354092.013499653</v>
      </c>
      <c r="R917" s="55" t="n">
        <f aca="false">N917</f>
        <v>820721.594513904</v>
      </c>
      <c r="S917" s="56" t="n">
        <f aca="false">R917</f>
        <v>820721.594513904</v>
      </c>
    </row>
    <row r="918" customFormat="false" ht="15" hidden="false" customHeight="false" outlineLevel="0" collapsed="false">
      <c r="A918" s="4" t="s">
        <v>542</v>
      </c>
      <c r="B918" s="36" t="s">
        <v>125</v>
      </c>
      <c r="C918" s="54" t="n">
        <f aca="false">C905*$C$854+C906*$C$855+C907*$C$856</f>
        <v>0</v>
      </c>
      <c r="D918" s="54" t="n">
        <f aca="false">D905*$C$854+D906*$C$855+D907*$C$856</f>
        <v>12457.995003187</v>
      </c>
      <c r="E918" s="54" t="n">
        <f aca="false">E905*$C$854+E906*$C$855+E907*$C$856</f>
        <v>31496.3783601349</v>
      </c>
      <c r="F918" s="54" t="n">
        <f aca="false">F905*$C$854+F906*$C$855+F907*$C$856</f>
        <v>42388.9097135061</v>
      </c>
      <c r="G918" s="54" t="n">
        <f aca="false">G905*$C$854+G906*$C$855+G907*$C$856</f>
        <v>47271.2575351643</v>
      </c>
      <c r="H918" s="54" t="n">
        <f aca="false">H905*$C$854+H906*$C$855+H907*$C$856</f>
        <v>56908.0177240285</v>
      </c>
      <c r="I918" s="54" t="n">
        <f aca="false">I905*$C$854+I906*$C$855+I907*$C$856</f>
        <v>66813.070609216</v>
      </c>
      <c r="J918" s="54" t="n">
        <f aca="false">J905*$C$854+J906*$C$855+J907*$C$856</f>
        <v>86319.2107382046</v>
      </c>
      <c r="K918" s="54" t="n">
        <f aca="false">K905*$C$854+K906*$C$855+K907*$C$856</f>
        <v>105693.496660018</v>
      </c>
      <c r="L918" s="54" t="n">
        <f aca="false">L905*$C$854+L906*$C$855+L907*$C$856</f>
        <v>111060.274782342</v>
      </c>
      <c r="M918" s="54" t="n">
        <f aca="false">M905*$C$854+M906*$C$855+M907*$C$856</f>
        <v>110172.527231642</v>
      </c>
      <c r="N918" s="54" t="n">
        <f aca="false">N905*$C$854+N906*$C$855+N907*$C$856</f>
        <v>108480.93965415</v>
      </c>
      <c r="P918" s="55" t="n">
        <f aca="false">SUM(C918:F918)</f>
        <v>86343.283076828</v>
      </c>
      <c r="Q918" s="55" t="n">
        <f aca="false">SUM(G918:J918)</f>
        <v>257311.556606613</v>
      </c>
      <c r="R918" s="55" t="n">
        <f aca="false">SUM(K918:N918)</f>
        <v>435407.238328153</v>
      </c>
      <c r="S918" s="56" t="n">
        <f aca="false">SUM(P918:R918)</f>
        <v>779062.078011594</v>
      </c>
    </row>
    <row r="919" customFormat="false" ht="15" hidden="false" customHeight="false" outlineLevel="0" collapsed="false">
      <c r="A919" s="9" t="s">
        <v>543</v>
      </c>
      <c r="B919" s="36" t="s">
        <v>125</v>
      </c>
      <c r="C919" s="55" t="n">
        <f aca="false">(0+C917)/8</f>
        <v>0</v>
      </c>
      <c r="D919" s="55" t="n">
        <f aca="false">(C917+D917)/8</f>
        <v>1557.24937539838</v>
      </c>
      <c r="E919" s="55" t="n">
        <f aca="false">(D917+E917)/8</f>
        <v>7062.46012585913</v>
      </c>
      <c r="F919" s="55" t="n">
        <f aca="false">(E917+F917)/8</f>
        <v>16369.7568981844</v>
      </c>
      <c r="G919" s="55" t="n">
        <f aca="false">(F917+G917)/8</f>
        <v>27782.1391863225</v>
      </c>
      <c r="H919" s="55" t="n">
        <f aca="false">(G917+H917)/8</f>
        <v>41190.924513666</v>
      </c>
      <c r="I919" s="55" t="n">
        <f aca="false">(H917+I917)/8</f>
        <v>57254.2549644735</v>
      </c>
      <c r="J919" s="55" t="n">
        <f aca="false">(I917+J917)/8</f>
        <v>77242.4251768629</v>
      </c>
      <c r="K919" s="55" t="n">
        <f aca="false">(J917+K917)/8</f>
        <v>102387.196614689</v>
      </c>
      <c r="L919" s="55" t="n">
        <f aca="false">(K917+L917)/8</f>
        <v>130987.431897984</v>
      </c>
      <c r="M919" s="55" t="n">
        <f aca="false">(L917+M917)/8</f>
        <v>160576.111490443</v>
      </c>
      <c r="N919" s="55" t="n">
        <f aca="false">(M917+N917)/8</f>
        <v>190304.57383393</v>
      </c>
      <c r="P919" s="55" t="n">
        <f aca="false">SUM(C919:F919)</f>
        <v>24989.4663994419</v>
      </c>
      <c r="Q919" s="55" t="n">
        <f aca="false">SUM(G919:J919)</f>
        <v>203469.743841325</v>
      </c>
      <c r="R919" s="55" t="n">
        <f aca="false">SUM(K919:N919)</f>
        <v>584255.313837046</v>
      </c>
      <c r="S919" s="56" t="n">
        <f aca="false">SUM(P919:R919)</f>
        <v>812714.524077813</v>
      </c>
    </row>
    <row r="920" customFormat="false" ht="15" hidden="false" customHeight="false" outlineLevel="0" collapsed="false">
      <c r="A920" s="4" t="s">
        <v>544</v>
      </c>
      <c r="B920" s="36" t="s">
        <v>125</v>
      </c>
      <c r="C920" s="54" t="n">
        <f aca="false">C919*Assumptions!$E$76</f>
        <v>0</v>
      </c>
      <c r="D920" s="54" t="n">
        <f aca="false">D919*Assumptions!$E$76</f>
        <v>1012.21209400895</v>
      </c>
      <c r="E920" s="54" t="n">
        <f aca="false">E919*Assumptions!$E$76</f>
        <v>4590.59908180843</v>
      </c>
      <c r="F920" s="54" t="n">
        <f aca="false">F919*Assumptions!$E$76</f>
        <v>10640.3419838199</v>
      </c>
      <c r="G920" s="54" t="n">
        <f aca="false">G919*Assumptions!$E$76</f>
        <v>18058.3904711096</v>
      </c>
      <c r="H920" s="54" t="n">
        <f aca="false">H919*Assumptions!$E$76</f>
        <v>26774.1009338829</v>
      </c>
      <c r="I920" s="54" t="n">
        <f aca="false">I919*Assumptions!$E$76</f>
        <v>37215.2657269078</v>
      </c>
      <c r="J920" s="54" t="n">
        <f aca="false">J919*Assumptions!$E$76</f>
        <v>50207.5763649609</v>
      </c>
      <c r="K920" s="54" t="n">
        <f aca="false">K919*Assumptions!$E$76</f>
        <v>66551.6777995481</v>
      </c>
      <c r="L920" s="54" t="n">
        <f aca="false">L919*Assumptions!$E$76</f>
        <v>85141.8307336896</v>
      </c>
      <c r="M920" s="54" t="n">
        <f aca="false">M919*Assumptions!$E$76</f>
        <v>104374.472468788</v>
      </c>
      <c r="N920" s="54" t="n">
        <f aca="false">N919*Assumptions!$E$76</f>
        <v>123697.972992054</v>
      </c>
      <c r="P920" s="55" t="n">
        <f aca="false">SUM(C920:F920)</f>
        <v>16243.1531596372</v>
      </c>
      <c r="Q920" s="55" t="n">
        <f aca="false">SUM(G920:J920)</f>
        <v>132255.333496861</v>
      </c>
      <c r="R920" s="55" t="n">
        <f aca="false">SUM(K920:N920)</f>
        <v>379765.95399408</v>
      </c>
      <c r="S920" s="56" t="n">
        <f aca="false">SUM(P920:R920)</f>
        <v>528264.440650578</v>
      </c>
    </row>
    <row r="921" customFormat="false" ht="15" hidden="false" customHeight="false" outlineLevel="0" collapsed="false">
      <c r="A921" s="35" t="s">
        <v>547</v>
      </c>
      <c r="B921" s="35" t="s">
        <v>444</v>
      </c>
      <c r="C921" s="6" t="s">
        <v>354</v>
      </c>
      <c r="D921" s="6" t="s">
        <v>355</v>
      </c>
      <c r="E921" s="6" t="s">
        <v>356</v>
      </c>
      <c r="F921" s="6" t="s">
        <v>357</v>
      </c>
      <c r="G921" s="6" t="s">
        <v>358</v>
      </c>
      <c r="H921" s="6" t="s">
        <v>359</v>
      </c>
      <c r="I921" s="6" t="s">
        <v>360</v>
      </c>
      <c r="J921" s="6" t="s">
        <v>361</v>
      </c>
      <c r="K921" s="6" t="s">
        <v>362</v>
      </c>
      <c r="L921" s="6" t="s">
        <v>363</v>
      </c>
      <c r="M921" s="6" t="s">
        <v>364</v>
      </c>
      <c r="N921" s="6" t="s">
        <v>365</v>
      </c>
      <c r="P921" s="6" t="s">
        <v>445</v>
      </c>
      <c r="Q921" s="6" t="s">
        <v>446</v>
      </c>
      <c r="R921" s="6" t="s">
        <v>447</v>
      </c>
      <c r="S921" s="6" t="s">
        <v>448</v>
      </c>
    </row>
    <row r="922" customFormat="false" ht="15" hidden="false" customHeight="false" outlineLevel="0" collapsed="false">
      <c r="A922" s="4" t="s">
        <v>548</v>
      </c>
      <c r="B922" s="36" t="s">
        <v>321</v>
      </c>
      <c r="C922" s="48" t="n">
        <f aca="false">Assumptions!$E$97*C864</f>
        <v>1</v>
      </c>
      <c r="D922" s="48" t="n">
        <f aca="false">Assumptions!$E$97*D864</f>
        <v>1</v>
      </c>
      <c r="E922" s="48" t="n">
        <f aca="false">Assumptions!$E$97*E864</f>
        <v>1</v>
      </c>
      <c r="F922" s="48" t="n">
        <f aca="false">Assumptions!$E$97*F864</f>
        <v>1</v>
      </c>
      <c r="G922" s="48" t="n">
        <f aca="false">Assumptions!$E$97*G864</f>
        <v>1</v>
      </c>
      <c r="H922" s="48" t="n">
        <f aca="false">Assumptions!$E$97*H864</f>
        <v>1</v>
      </c>
      <c r="I922" s="48" t="n">
        <f aca="false">Assumptions!$E$97*I864</f>
        <v>1</v>
      </c>
      <c r="J922" s="48" t="n">
        <f aca="false">Assumptions!$E$97*J864</f>
        <v>1</v>
      </c>
      <c r="K922" s="48" t="n">
        <f aca="false">Assumptions!$E$97*K864</f>
        <v>1</v>
      </c>
      <c r="L922" s="48" t="n">
        <f aca="false">Assumptions!$E$97*L864</f>
        <v>1</v>
      </c>
      <c r="M922" s="48" t="n">
        <f aca="false">Assumptions!$E$97*M864</f>
        <v>1</v>
      </c>
      <c r="N922" s="48" t="n">
        <f aca="false">Assumptions!$E$97*N864</f>
        <v>1</v>
      </c>
      <c r="P922" s="49" t="n">
        <f aca="false">AVERAGE(C922:F922)</f>
        <v>1</v>
      </c>
      <c r="Q922" s="49" t="n">
        <f aca="false">AVERAGE(G922:J922)</f>
        <v>1</v>
      </c>
      <c r="R922" s="49" t="n">
        <f aca="false">AVERAGE(K922:N922)</f>
        <v>1</v>
      </c>
      <c r="S922" s="50"/>
    </row>
    <row r="923" customFormat="false" ht="15" hidden="false" customHeight="false" outlineLevel="0" collapsed="false">
      <c r="A923" s="4" t="s">
        <v>549</v>
      </c>
      <c r="B923" s="36" t="s">
        <v>321</v>
      </c>
      <c r="C923" s="48" t="n">
        <f aca="false">C877*C864</f>
        <v>2</v>
      </c>
      <c r="D923" s="48" t="n">
        <f aca="false">D877*D864</f>
        <v>2</v>
      </c>
      <c r="E923" s="48" t="n">
        <f aca="false">E877*E864</f>
        <v>3</v>
      </c>
      <c r="F923" s="48" t="n">
        <f aca="false">F877*F864</f>
        <v>3</v>
      </c>
      <c r="G923" s="48" t="n">
        <f aca="false">G877*G864</f>
        <v>4</v>
      </c>
      <c r="H923" s="48" t="n">
        <f aca="false">H877*H864</f>
        <v>4</v>
      </c>
      <c r="I923" s="48" t="n">
        <f aca="false">I877*I864</f>
        <v>5</v>
      </c>
      <c r="J923" s="48" t="n">
        <f aca="false">J877*J864</f>
        <v>5</v>
      </c>
      <c r="K923" s="48" t="n">
        <f aca="false">K877*K864</f>
        <v>6</v>
      </c>
      <c r="L923" s="48" t="n">
        <f aca="false">L877*L864</f>
        <v>6</v>
      </c>
      <c r="M923" s="48" t="n">
        <f aca="false">M877*M864</f>
        <v>6</v>
      </c>
      <c r="N923" s="48" t="n">
        <f aca="false">N877*N864</f>
        <v>6</v>
      </c>
      <c r="P923" s="49" t="n">
        <f aca="false">AVERAGE(C923:F923)</f>
        <v>2.5</v>
      </c>
      <c r="Q923" s="49" t="n">
        <f aca="false">AVERAGE(G923:J923)</f>
        <v>4.5</v>
      </c>
      <c r="R923" s="49" t="n">
        <f aca="false">AVERAGE(K923:N923)</f>
        <v>6</v>
      </c>
      <c r="S923" s="50"/>
    </row>
    <row r="924" customFormat="false" ht="15" hidden="false" customHeight="false" outlineLevel="0" collapsed="false">
      <c r="A924" s="4" t="s">
        <v>550</v>
      </c>
      <c r="B924" s="36" t="s">
        <v>321</v>
      </c>
      <c r="C924" s="48" t="n">
        <f aca="false">IF(C863&lt;=4,Assumptions!$E$98,Assumptions!$E$99)*C864</f>
        <v>1</v>
      </c>
      <c r="D924" s="48" t="n">
        <f aca="false">IF(D863&lt;=4,Assumptions!$E$98,Assumptions!$E$99)*D864</f>
        <v>1</v>
      </c>
      <c r="E924" s="48" t="n">
        <f aca="false">IF(E863&lt;=4,Assumptions!$E$98,Assumptions!$E$99)*E864</f>
        <v>1</v>
      </c>
      <c r="F924" s="48" t="n">
        <f aca="false">IF(F863&lt;=4,Assumptions!$E$98,Assumptions!$E$99)*F864</f>
        <v>1</v>
      </c>
      <c r="G924" s="48" t="n">
        <f aca="false">IF(G863&lt;=4,Assumptions!$E$98,Assumptions!$E$99)*G864</f>
        <v>1</v>
      </c>
      <c r="H924" s="48" t="n">
        <f aca="false">IF(H863&lt;=4,Assumptions!$E$98,Assumptions!$E$99)*H864</f>
        <v>1</v>
      </c>
      <c r="I924" s="48" t="n">
        <f aca="false">IF(I863&lt;=4,Assumptions!$E$98,Assumptions!$E$99)*I864</f>
        <v>1</v>
      </c>
      <c r="J924" s="48" t="n">
        <f aca="false">IF(J863&lt;=4,Assumptions!$E$98,Assumptions!$E$99)*J864</f>
        <v>1</v>
      </c>
      <c r="K924" s="48" t="n">
        <f aca="false">IF(K863&lt;=4,Assumptions!$E$98,Assumptions!$E$99)*K864</f>
        <v>1</v>
      </c>
      <c r="L924" s="48" t="n">
        <f aca="false">IF(L863&lt;=4,Assumptions!$E$98,Assumptions!$E$99)*L864</f>
        <v>1</v>
      </c>
      <c r="M924" s="48" t="n">
        <f aca="false">IF(M863&lt;=4,Assumptions!$E$98,Assumptions!$E$99)*M864</f>
        <v>1</v>
      </c>
      <c r="N924" s="48" t="n">
        <f aca="false">IF(N863&lt;=4,Assumptions!$E$98,Assumptions!$E$99)*N864</f>
        <v>1</v>
      </c>
      <c r="P924" s="49" t="n">
        <f aca="false">AVERAGE(C924:F924)</f>
        <v>1</v>
      </c>
      <c r="Q924" s="49" t="n">
        <f aca="false">AVERAGE(G924:J924)</f>
        <v>1</v>
      </c>
      <c r="R924" s="49" t="n">
        <f aca="false">AVERAGE(K924:N924)</f>
        <v>1</v>
      </c>
      <c r="S924" s="50"/>
    </row>
    <row r="925" customFormat="false" ht="15" hidden="false" customHeight="false" outlineLevel="0" collapsed="false">
      <c r="A925" s="4" t="s">
        <v>551</v>
      </c>
      <c r="B925" s="36" t="s">
        <v>321</v>
      </c>
      <c r="C925" s="48" t="n">
        <f aca="false">IF(C863&lt;=4,Assumptions!$E$100,Assumptions!$E$101)*C864</f>
        <v>1</v>
      </c>
      <c r="D925" s="48" t="n">
        <f aca="false">IF(D863&lt;=4,Assumptions!$E$100,Assumptions!$E$101)*D864</f>
        <v>1</v>
      </c>
      <c r="E925" s="48" t="n">
        <f aca="false">IF(E863&lt;=4,Assumptions!$E$100,Assumptions!$E$101)*E864</f>
        <v>1</v>
      </c>
      <c r="F925" s="48" t="n">
        <f aca="false">IF(F863&lt;=4,Assumptions!$E$100,Assumptions!$E$101)*F864</f>
        <v>1</v>
      </c>
      <c r="G925" s="48" t="n">
        <f aca="false">IF(G863&lt;=4,Assumptions!$E$100,Assumptions!$E$101)*G864</f>
        <v>0.5</v>
      </c>
      <c r="H925" s="48" t="n">
        <f aca="false">IF(H863&lt;=4,Assumptions!$E$100,Assumptions!$E$101)*H864</f>
        <v>0.5</v>
      </c>
      <c r="I925" s="48" t="n">
        <f aca="false">IF(I863&lt;=4,Assumptions!$E$100,Assumptions!$E$101)*I864</f>
        <v>0.5</v>
      </c>
      <c r="J925" s="48" t="n">
        <f aca="false">IF(J863&lt;=4,Assumptions!$E$100,Assumptions!$E$101)*J864</f>
        <v>0.5</v>
      </c>
      <c r="K925" s="48" t="n">
        <f aca="false">IF(K863&lt;=4,Assumptions!$E$100,Assumptions!$E$101)*K864</f>
        <v>0.5</v>
      </c>
      <c r="L925" s="48" t="n">
        <f aca="false">IF(L863&lt;=4,Assumptions!$E$100,Assumptions!$E$101)*L864</f>
        <v>0.5</v>
      </c>
      <c r="M925" s="48" t="n">
        <f aca="false">IF(M863&lt;=4,Assumptions!$E$100,Assumptions!$E$101)*M864</f>
        <v>0.5</v>
      </c>
      <c r="N925" s="48" t="n">
        <f aca="false">IF(N863&lt;=4,Assumptions!$E$100,Assumptions!$E$101)*N864</f>
        <v>0.5</v>
      </c>
      <c r="P925" s="49" t="n">
        <f aca="false">AVERAGE(C925:F925)</f>
        <v>1</v>
      </c>
      <c r="Q925" s="49" t="n">
        <f aca="false">AVERAGE(G925:J925)</f>
        <v>0.5</v>
      </c>
      <c r="R925" s="49" t="n">
        <f aca="false">AVERAGE(K925:N925)</f>
        <v>0.5</v>
      </c>
      <c r="S925" s="50"/>
    </row>
    <row r="926" customFormat="false" ht="15" hidden="false" customHeight="false" outlineLevel="0" collapsed="false">
      <c r="A926" s="4" t="s">
        <v>552</v>
      </c>
      <c r="B926" s="36" t="s">
        <v>321</v>
      </c>
      <c r="C926" s="48" t="n">
        <f aca="false">Assumptions!$E$102*C864</f>
        <v>0.5</v>
      </c>
      <c r="D926" s="48" t="n">
        <f aca="false">Assumptions!$E$102*D864</f>
        <v>0.5</v>
      </c>
      <c r="E926" s="48" t="n">
        <f aca="false">Assumptions!$E$102*E864</f>
        <v>0.5</v>
      </c>
      <c r="F926" s="48" t="n">
        <f aca="false">Assumptions!$E$102*F864</f>
        <v>0.5</v>
      </c>
      <c r="G926" s="48" t="n">
        <f aca="false">Assumptions!$E$102*G864</f>
        <v>0.5</v>
      </c>
      <c r="H926" s="48" t="n">
        <f aca="false">Assumptions!$E$102*H864</f>
        <v>0.5</v>
      </c>
      <c r="I926" s="48" t="n">
        <f aca="false">Assumptions!$E$102*I864</f>
        <v>0.5</v>
      </c>
      <c r="J926" s="48" t="n">
        <f aca="false">Assumptions!$E$102*J864</f>
        <v>0.5</v>
      </c>
      <c r="K926" s="48" t="n">
        <f aca="false">Assumptions!$E$102*K864</f>
        <v>0.5</v>
      </c>
      <c r="L926" s="48" t="n">
        <f aca="false">Assumptions!$E$102*L864</f>
        <v>0.5</v>
      </c>
      <c r="M926" s="48" t="n">
        <f aca="false">Assumptions!$E$102*M864</f>
        <v>0.5</v>
      </c>
      <c r="N926" s="48" t="n">
        <f aca="false">Assumptions!$E$102*N864</f>
        <v>0.5</v>
      </c>
      <c r="P926" s="49" t="n">
        <f aca="false">AVERAGE(C926:F926)</f>
        <v>0.5</v>
      </c>
      <c r="Q926" s="49" t="n">
        <f aca="false">AVERAGE(G926:J926)</f>
        <v>0.5</v>
      </c>
      <c r="R926" s="49" t="n">
        <f aca="false">AVERAGE(K926:N926)</f>
        <v>0.5</v>
      </c>
      <c r="S926" s="50"/>
    </row>
    <row r="927" customFormat="false" ht="15" hidden="false" customHeight="false" outlineLevel="0" collapsed="false">
      <c r="A927" s="4" t="s">
        <v>553</v>
      </c>
      <c r="B927" s="36" t="s">
        <v>321</v>
      </c>
      <c r="C927" s="48" t="n">
        <f aca="false">(C911+C912)/Assumptions!$E$74+C910/Assumptions!$E$75</f>
        <v>0</v>
      </c>
      <c r="D927" s="48" t="n">
        <f aca="false">(D911+D912)/Assumptions!$E$74+D910/Assumptions!$E$75</f>
        <v>0.0200946665043952</v>
      </c>
      <c r="E927" s="48" t="n">
        <f aca="false">(E911+E912)/Assumptions!$E$74+E910/Assumptions!$E$75</f>
        <v>0.0628818071215789</v>
      </c>
      <c r="F927" s="48" t="n">
        <f aca="false">(F911+F912)/Assumptions!$E$74+F910/Assumptions!$E$75</f>
        <v>0.114379147005152</v>
      </c>
      <c r="G927" s="48" t="n">
        <f aca="false">(G911+G912)/Assumptions!$E$74+G910/Assumptions!$E$75</f>
        <v>0.169673223753239</v>
      </c>
      <c r="H927" s="48" t="n">
        <f aca="false">(H911+H912)/Assumptions!$E$74+H910/Assumptions!$E$75</f>
        <v>0.237088721372091</v>
      </c>
      <c r="I927" s="48" t="n">
        <f aca="false">(I911+I912)/Assumptions!$E$74+I910/Assumptions!$E$75</f>
        <v>0.315189523564247</v>
      </c>
      <c r="J927" s="48" t="n">
        <f aca="false">(J911+J912)/Assumptions!$E$74+J910/Assumptions!$E$75</f>
        <v>0.417840526673516</v>
      </c>
      <c r="K927" s="48" t="n">
        <f aca="false">(K911+K912)/Assumptions!$E$74+K910/Assumptions!$E$75</f>
        <v>0.540959409883445</v>
      </c>
      <c r="L927" s="48" t="n">
        <f aca="false">(L911+L912)/Assumptions!$E$74+L910/Assumptions!$E$75</f>
        <v>0.663899519839558</v>
      </c>
      <c r="M927" s="48" t="n">
        <f aca="false">(M911+M912)/Assumptions!$E$74+M910/Assumptions!$E$75</f>
        <v>0.781788399967416</v>
      </c>
      <c r="N927" s="48" t="n">
        <f aca="false">(N911+N912)/Assumptions!$E$74+N910/Assumptions!$E$75</f>
        <v>0.894431473558753</v>
      </c>
      <c r="P927" s="49" t="n">
        <f aca="false">AVERAGE(C927:F927)</f>
        <v>0.0493389051577816</v>
      </c>
      <c r="Q927" s="49" t="n">
        <f aca="false">AVERAGE(G927:J927)</f>
        <v>0.284947998840773</v>
      </c>
      <c r="R927" s="49" t="n">
        <f aca="false">AVERAGE(K927:N927)</f>
        <v>0.720269700812293</v>
      </c>
      <c r="S927" s="50"/>
    </row>
    <row r="928" customFormat="false" ht="15" hidden="false" customHeight="false" outlineLevel="0" collapsed="false">
      <c r="A928" s="4" t="s">
        <v>554</v>
      </c>
      <c r="B928" s="36" t="s">
        <v>125</v>
      </c>
      <c r="C928" s="54" t="n">
        <f aca="false">(C922+C924)*Assumptions!$E$70/Assumptions!$E$69/4</f>
        <v>133507.142857143</v>
      </c>
      <c r="D928" s="54" t="n">
        <f aca="false">(D922+D924)*Assumptions!$E$70/Assumptions!$E$69/4</f>
        <v>133507.142857143</v>
      </c>
      <c r="E928" s="54" t="n">
        <f aca="false">(E922+E924)*Assumptions!$E$70/Assumptions!$E$69/4</f>
        <v>133507.142857143</v>
      </c>
      <c r="F928" s="54" t="n">
        <f aca="false">(F922+F924)*Assumptions!$E$70/Assumptions!$E$69/4</f>
        <v>133507.142857143</v>
      </c>
      <c r="G928" s="54" t="n">
        <f aca="false">(G922+G924)*Assumptions!$E$70/Assumptions!$E$69/4</f>
        <v>133507.142857143</v>
      </c>
      <c r="H928" s="54" t="n">
        <f aca="false">(H922+H924)*Assumptions!$E$70/Assumptions!$E$69/4</f>
        <v>133507.142857143</v>
      </c>
      <c r="I928" s="54" t="n">
        <f aca="false">(I922+I924)*Assumptions!$E$70/Assumptions!$E$69/4</f>
        <v>133507.142857143</v>
      </c>
      <c r="J928" s="54" t="n">
        <f aca="false">(J922+J924)*Assumptions!$E$70/Assumptions!$E$69/4</f>
        <v>133507.142857143</v>
      </c>
      <c r="K928" s="54" t="n">
        <f aca="false">(K922+K924)*Assumptions!$E$70/Assumptions!$E$69/4</f>
        <v>133507.142857143</v>
      </c>
      <c r="L928" s="54" t="n">
        <f aca="false">(L922+L924)*Assumptions!$E$70/Assumptions!$E$69/4</f>
        <v>133507.142857143</v>
      </c>
      <c r="M928" s="54" t="n">
        <f aca="false">(M922+M924)*Assumptions!$E$70/Assumptions!$E$69/4</f>
        <v>133507.142857143</v>
      </c>
      <c r="N928" s="54" t="n">
        <f aca="false">(N922+N924)*Assumptions!$E$70/Assumptions!$E$69/4</f>
        <v>133507.142857143</v>
      </c>
      <c r="P928" s="55" t="n">
        <f aca="false">SUM(C928:F928)</f>
        <v>534028.571428572</v>
      </c>
      <c r="Q928" s="55" t="n">
        <f aca="false">SUM(G928:J928)</f>
        <v>534028.571428572</v>
      </c>
      <c r="R928" s="55" t="n">
        <f aca="false">SUM(K928:N928)</f>
        <v>534028.571428572</v>
      </c>
      <c r="S928" s="56" t="n">
        <f aca="false">SUM(P928:R928)</f>
        <v>1602085.71428571</v>
      </c>
    </row>
    <row r="929" customFormat="false" ht="15" hidden="false" customHeight="false" outlineLevel="0" collapsed="false">
      <c r="A929" s="4" t="s">
        <v>555</v>
      </c>
      <c r="B929" s="36" t="s">
        <v>125</v>
      </c>
      <c r="C929" s="54" t="n">
        <f aca="false">C923*$C$858/4</f>
        <v>142857.142857143</v>
      </c>
      <c r="D929" s="54" t="n">
        <f aca="false">D923*$C$858/4</f>
        <v>142857.142857143</v>
      </c>
      <c r="E929" s="54" t="n">
        <f aca="false">E923*$C$858/4</f>
        <v>214285.714285714</v>
      </c>
      <c r="F929" s="54" t="n">
        <f aca="false">F923*$C$858/4</f>
        <v>214285.714285714</v>
      </c>
      <c r="G929" s="54" t="n">
        <f aca="false">G923*$C$858/4</f>
        <v>285714.285714286</v>
      </c>
      <c r="H929" s="54" t="n">
        <f aca="false">H923*$C$858/4</f>
        <v>285714.285714286</v>
      </c>
      <c r="I929" s="54" t="n">
        <f aca="false">I923*$C$858/4</f>
        <v>357142.857142857</v>
      </c>
      <c r="J929" s="54" t="n">
        <f aca="false">J923*$C$858/4</f>
        <v>357142.857142857</v>
      </c>
      <c r="K929" s="54" t="n">
        <f aca="false">K923*$C$858/4</f>
        <v>428571.428571429</v>
      </c>
      <c r="L929" s="54" t="n">
        <f aca="false">L923*$C$858/4</f>
        <v>428571.428571429</v>
      </c>
      <c r="M929" s="54" t="n">
        <f aca="false">M923*$C$858/4</f>
        <v>428571.428571429</v>
      </c>
      <c r="N929" s="54" t="n">
        <f aca="false">N923*$C$858/4</f>
        <v>428571.428571429</v>
      </c>
      <c r="P929" s="55" t="n">
        <f aca="false">SUM(C929:F929)</f>
        <v>714285.714285714</v>
      </c>
      <c r="Q929" s="55" t="n">
        <f aca="false">SUM(G929:J929)</f>
        <v>1285714.28571429</v>
      </c>
      <c r="R929" s="55" t="n">
        <f aca="false">SUM(K929:N929)</f>
        <v>1714285.71428571</v>
      </c>
      <c r="S929" s="56" t="n">
        <f aca="false">SUM(P929:R929)</f>
        <v>3714285.71428571</v>
      </c>
    </row>
    <row r="930" customFormat="false" ht="15" hidden="false" customHeight="false" outlineLevel="0" collapsed="false">
      <c r="A930" s="4" t="s">
        <v>556</v>
      </c>
      <c r="B930" s="36" t="s">
        <v>125</v>
      </c>
      <c r="C930" s="54" t="n">
        <f aca="false">MAX(0,(C918-C899*$C$854)-C878*$C$859)*$C$860*Assumptions!$E$105</f>
        <v>0</v>
      </c>
      <c r="D930" s="54" t="n">
        <f aca="false">MAX(0,(D918-D899*$C$854)-D878*$C$859)*$C$860*Assumptions!$E$105</f>
        <v>0</v>
      </c>
      <c r="E930" s="54" t="n">
        <f aca="false">MAX(0,(E918-E899*$C$854)-E878*$C$859)*$C$860*Assumptions!$E$105</f>
        <v>0</v>
      </c>
      <c r="F930" s="54" t="n">
        <f aca="false">MAX(0,(F918-F899*$C$854)-F878*$C$859)*$C$860*Assumptions!$E$105</f>
        <v>0</v>
      </c>
      <c r="G930" s="54" t="n">
        <f aca="false">MAX(0,(G918-G899*$C$854)-G878*$C$859)*$C$860*Assumptions!$E$105</f>
        <v>0</v>
      </c>
      <c r="H930" s="54" t="n">
        <f aca="false">MAX(0,(H918-H899*$C$854)-H878*$C$859)*$C$860*Assumptions!$E$105</f>
        <v>0</v>
      </c>
      <c r="I930" s="54" t="n">
        <f aca="false">MAX(0,(I918-I899*$C$854)-I878*$C$859)*$C$860*Assumptions!$E$105</f>
        <v>0</v>
      </c>
      <c r="J930" s="54" t="n">
        <f aca="false">MAX(0,(J918-J899*$C$854)-J878*$C$859)*$C$860*Assumptions!$E$105</f>
        <v>0</v>
      </c>
      <c r="K930" s="54" t="n">
        <f aca="false">MAX(0,(K918-K899*$C$854)-K878*$C$859)*$C$860*Assumptions!$E$105</f>
        <v>0</v>
      </c>
      <c r="L930" s="54" t="n">
        <f aca="false">MAX(0,(L918-L899*$C$854)-L878*$C$859)*$C$860*Assumptions!$E$105</f>
        <v>0</v>
      </c>
      <c r="M930" s="54" t="n">
        <f aca="false">MAX(0,(M918-M899*$C$854)-M878*$C$859)*$C$860*Assumptions!$E$105</f>
        <v>0</v>
      </c>
      <c r="N930" s="54" t="n">
        <f aca="false">MAX(0,(N918-N899*$C$854)-N878*$C$859)*$C$860*Assumptions!$E$105</f>
        <v>0</v>
      </c>
      <c r="P930" s="55" t="n">
        <f aca="false">SUM(C930:F930)</f>
        <v>0</v>
      </c>
      <c r="Q930" s="55" t="n">
        <f aca="false">SUM(G930:J930)</f>
        <v>0</v>
      </c>
      <c r="R930" s="55" t="n">
        <f aca="false">SUM(K930:N930)</f>
        <v>0</v>
      </c>
      <c r="S930" s="56" t="n">
        <f aca="false">SUM(P930:R930)</f>
        <v>0</v>
      </c>
    </row>
    <row r="931" customFormat="false" ht="15" hidden="false" customHeight="false" outlineLevel="0" collapsed="false">
      <c r="A931" s="4" t="s">
        <v>557</v>
      </c>
      <c r="B931" s="36" t="s">
        <v>125</v>
      </c>
      <c r="C931" s="54" t="n">
        <f aca="false">C926*Assumptions!$E$71/Assumptions!$E$69/4</f>
        <v>36951.7857142857</v>
      </c>
      <c r="D931" s="54" t="n">
        <f aca="false">D926*Assumptions!$E$71/Assumptions!$E$69/4</f>
        <v>36951.7857142857</v>
      </c>
      <c r="E931" s="54" t="n">
        <f aca="false">E926*Assumptions!$E$71/Assumptions!$E$69/4</f>
        <v>36951.7857142857</v>
      </c>
      <c r="F931" s="54" t="n">
        <f aca="false">F926*Assumptions!$E$71/Assumptions!$E$69/4</f>
        <v>36951.7857142857</v>
      </c>
      <c r="G931" s="54" t="n">
        <f aca="false">G926*Assumptions!$E$71/Assumptions!$E$69/4</f>
        <v>36951.7857142857</v>
      </c>
      <c r="H931" s="54" t="n">
        <f aca="false">H926*Assumptions!$E$71/Assumptions!$E$69/4</f>
        <v>36951.7857142857</v>
      </c>
      <c r="I931" s="54" t="n">
        <f aca="false">I926*Assumptions!$E$71/Assumptions!$E$69/4</f>
        <v>36951.7857142857</v>
      </c>
      <c r="J931" s="54" t="n">
        <f aca="false">J926*Assumptions!$E$71/Assumptions!$E$69/4</f>
        <v>36951.7857142857</v>
      </c>
      <c r="K931" s="54" t="n">
        <f aca="false">K926*Assumptions!$E$71/Assumptions!$E$69/4</f>
        <v>36951.7857142857</v>
      </c>
      <c r="L931" s="54" t="n">
        <f aca="false">L926*Assumptions!$E$71/Assumptions!$E$69/4</f>
        <v>36951.7857142857</v>
      </c>
      <c r="M931" s="54" t="n">
        <f aca="false">M926*Assumptions!$E$71/Assumptions!$E$69/4</f>
        <v>36951.7857142857</v>
      </c>
      <c r="N931" s="54" t="n">
        <f aca="false">N926*Assumptions!$E$71/Assumptions!$E$69/4</f>
        <v>36951.7857142857</v>
      </c>
      <c r="P931" s="55" t="n">
        <f aca="false">SUM(C931:F931)</f>
        <v>147807.142857143</v>
      </c>
      <c r="Q931" s="55" t="n">
        <f aca="false">SUM(G931:J931)</f>
        <v>147807.142857143</v>
      </c>
      <c r="R931" s="55" t="n">
        <f aca="false">SUM(K931:N931)</f>
        <v>147807.142857143</v>
      </c>
      <c r="S931" s="56" t="n">
        <f aca="false">SUM(P931:R931)</f>
        <v>443421.428571429</v>
      </c>
    </row>
    <row r="932" customFormat="false" ht="15" hidden="false" customHeight="false" outlineLevel="0" collapsed="false">
      <c r="A932" s="4" t="s">
        <v>558</v>
      </c>
      <c r="B932" s="36" t="s">
        <v>125</v>
      </c>
      <c r="C932" s="54" t="n">
        <f aca="false">(Assumptions!$E$103+Assumptions!$E$77*((C863=Assumptions!$E$13)+(C863=Assumptions!$E$14)+(C863=Assumptions!$E$15)))*C864</f>
        <v>100000</v>
      </c>
      <c r="D932" s="54" t="n">
        <f aca="false">(Assumptions!$E$103+Assumptions!$E$77*((D863=Assumptions!$E$13)+(D863=Assumptions!$E$14)+(D863=Assumptions!$E$15)))*D864</f>
        <v>60000</v>
      </c>
      <c r="E932" s="54" t="n">
        <f aca="false">(Assumptions!$E$103+Assumptions!$E$77*((E863=Assumptions!$E$13)+(E863=Assumptions!$E$14)+(E863=Assumptions!$E$15)))*E864</f>
        <v>60000</v>
      </c>
      <c r="F932" s="54" t="n">
        <f aca="false">(Assumptions!$E$103+Assumptions!$E$77*((F863=Assumptions!$E$13)+(F863=Assumptions!$E$14)+(F863=Assumptions!$E$15)))*F864</f>
        <v>60000</v>
      </c>
      <c r="G932" s="54" t="n">
        <f aca="false">(Assumptions!$E$103+Assumptions!$E$77*((G863=Assumptions!$E$13)+(G863=Assumptions!$E$14)+(G863=Assumptions!$E$15)))*G864</f>
        <v>100000</v>
      </c>
      <c r="H932" s="54" t="n">
        <f aca="false">(Assumptions!$E$103+Assumptions!$E$77*((H863=Assumptions!$E$13)+(H863=Assumptions!$E$14)+(H863=Assumptions!$E$15)))*H864</f>
        <v>60000</v>
      </c>
      <c r="I932" s="54" t="n">
        <f aca="false">(Assumptions!$E$103+Assumptions!$E$77*((I863=Assumptions!$E$13)+(I863=Assumptions!$E$14)+(I863=Assumptions!$E$15)))*I864</f>
        <v>100000</v>
      </c>
      <c r="J932" s="54" t="n">
        <f aca="false">(Assumptions!$E$103+Assumptions!$E$77*((J863=Assumptions!$E$13)+(J863=Assumptions!$E$14)+(J863=Assumptions!$E$15)))*J864</f>
        <v>60000</v>
      </c>
      <c r="K932" s="54" t="n">
        <f aca="false">(Assumptions!$E$103+Assumptions!$E$77*((K863=Assumptions!$E$13)+(K863=Assumptions!$E$14)+(K863=Assumptions!$E$15)))*K864</f>
        <v>60000</v>
      </c>
      <c r="L932" s="54" t="n">
        <f aca="false">(Assumptions!$E$103+Assumptions!$E$77*((L863=Assumptions!$E$13)+(L863=Assumptions!$E$14)+(L863=Assumptions!$E$15)))*L864</f>
        <v>60000</v>
      </c>
      <c r="M932" s="54" t="n">
        <f aca="false">(Assumptions!$E$103+Assumptions!$E$77*((M863=Assumptions!$E$13)+(M863=Assumptions!$E$14)+(M863=Assumptions!$E$15)))*M864</f>
        <v>60000</v>
      </c>
      <c r="N932" s="54" t="n">
        <f aca="false">(Assumptions!$E$103+Assumptions!$E$77*((N863=Assumptions!$E$13)+(N863=Assumptions!$E$14)+(N863=Assumptions!$E$15)))*N864</f>
        <v>60000</v>
      </c>
      <c r="P932" s="55" t="n">
        <f aca="false">SUM(C932:F932)</f>
        <v>280000</v>
      </c>
      <c r="Q932" s="55" t="n">
        <f aca="false">SUM(G932:J932)</f>
        <v>320000</v>
      </c>
      <c r="R932" s="55" t="n">
        <f aca="false">SUM(K932:N932)</f>
        <v>240000</v>
      </c>
      <c r="S932" s="56" t="n">
        <f aca="false">SUM(P932:R932)</f>
        <v>840000</v>
      </c>
    </row>
    <row r="933" customFormat="false" ht="15" hidden="false" customHeight="false" outlineLevel="0" collapsed="false">
      <c r="A933" s="4" t="s">
        <v>559</v>
      </c>
      <c r="B933" s="36" t="s">
        <v>125</v>
      </c>
      <c r="C933" s="54" t="n">
        <f aca="false">C918*C898*Assumptions!$E$79</f>
        <v>0</v>
      </c>
      <c r="D933" s="54" t="n">
        <f aca="false">D918*D898*Assumptions!$E$79</f>
        <v>815.338873355417</v>
      </c>
      <c r="E933" s="54" t="n">
        <f aca="false">E918*E898*Assumptions!$E$79</f>
        <v>1521.55624916379</v>
      </c>
      <c r="F933" s="54" t="n">
        <f aca="false">F918*F898*Assumptions!$E$79</f>
        <v>2317.19371331496</v>
      </c>
      <c r="G933" s="54" t="n">
        <f aca="false">G918*G898*Assumptions!$E$79</f>
        <v>2967.19795603353</v>
      </c>
      <c r="H933" s="54" t="n">
        <f aca="false">H918*H898*Assumptions!$E$79</f>
        <v>3415.7211221828</v>
      </c>
      <c r="I933" s="54" t="n">
        <f aca="false">I918*I898*Assumptions!$E$79</f>
        <v>3972.82099963716</v>
      </c>
      <c r="J933" s="54" t="n">
        <f aca="false">J918*J898*Assumptions!$E$79</f>
        <v>4298.98853729764</v>
      </c>
      <c r="K933" s="54" t="n">
        <f aca="false">K918*K898*Assumptions!$E$79</f>
        <v>4866.07343795651</v>
      </c>
      <c r="L933" s="54" t="n">
        <f aca="false">L918*L898*Assumptions!$E$79</f>
        <v>5622.39054021859</v>
      </c>
      <c r="M933" s="54" t="n">
        <f aca="false">M918*M898*Assumptions!$E$79</f>
        <v>5663.11266801061</v>
      </c>
      <c r="N933" s="54" t="n">
        <f aca="false">N918*N898*Assumptions!$E$79</f>
        <v>5663.63080270127</v>
      </c>
      <c r="P933" s="55" t="n">
        <f aca="false">SUM(C933:F933)</f>
        <v>4654.08883583416</v>
      </c>
      <c r="Q933" s="55" t="n">
        <f aca="false">SUM(G933:J933)</f>
        <v>14654.7286151511</v>
      </c>
      <c r="R933" s="55" t="n">
        <f aca="false">SUM(K933:N933)</f>
        <v>21815.207448887</v>
      </c>
      <c r="S933" s="56" t="n">
        <f aca="false">SUM(P933:R933)</f>
        <v>41124.0248998723</v>
      </c>
    </row>
    <row r="934" customFormat="false" ht="15" hidden="false" customHeight="false" outlineLevel="0" collapsed="false">
      <c r="A934" s="4" t="s">
        <v>560</v>
      </c>
      <c r="B934" s="36" t="s">
        <v>125</v>
      </c>
      <c r="C934" s="54" t="n">
        <f aca="false">C883*Assumptions!$E$80</f>
        <v>4000</v>
      </c>
      <c r="D934" s="54" t="n">
        <f aca="false">D883*Assumptions!$E$80</f>
        <v>6000</v>
      </c>
      <c r="E934" s="54" t="n">
        <f aca="false">E883*Assumptions!$E$80</f>
        <v>8000</v>
      </c>
      <c r="F934" s="54" t="n">
        <f aca="false">F883*Assumptions!$E$80</f>
        <v>10000</v>
      </c>
      <c r="G934" s="54" t="n">
        <f aca="false">G883*Assumptions!$E$80</f>
        <v>12000</v>
      </c>
      <c r="H934" s="54" t="n">
        <f aca="false">H883*Assumptions!$E$80</f>
        <v>14000</v>
      </c>
      <c r="I934" s="54" t="n">
        <f aca="false">I883*Assumptions!$E$80</f>
        <v>16000</v>
      </c>
      <c r="J934" s="54" t="n">
        <f aca="false">J883*Assumptions!$E$80</f>
        <v>18000</v>
      </c>
      <c r="K934" s="54" t="n">
        <f aca="false">K883*Assumptions!$E$80</f>
        <v>20000</v>
      </c>
      <c r="L934" s="54" t="n">
        <f aca="false">L883*Assumptions!$E$80</f>
        <v>20000</v>
      </c>
      <c r="M934" s="54" t="n">
        <f aca="false">M883*Assumptions!$E$80</f>
        <v>20000</v>
      </c>
      <c r="N934" s="54" t="n">
        <f aca="false">N883*Assumptions!$E$80</f>
        <v>20000</v>
      </c>
      <c r="P934" s="55" t="n">
        <f aca="false">SUM(C934:F934)</f>
        <v>28000</v>
      </c>
      <c r="Q934" s="55" t="n">
        <f aca="false">SUM(G934:J934)</f>
        <v>60000</v>
      </c>
      <c r="R934" s="55" t="n">
        <f aca="false">SUM(K934:N934)</f>
        <v>80000</v>
      </c>
      <c r="S934" s="56" t="n">
        <f aca="false">SUM(P934:R934)</f>
        <v>168000</v>
      </c>
    </row>
    <row r="935" customFormat="false" ht="15" hidden="false" customHeight="false" outlineLevel="0" collapsed="false">
      <c r="A935" s="4" t="s">
        <v>561</v>
      </c>
      <c r="B935" s="36" t="s">
        <v>125</v>
      </c>
      <c r="C935" s="54" t="n">
        <f aca="false">(C906*$C$855+C907*$C$856)*Assumptions!$E$81</f>
        <v>0</v>
      </c>
      <c r="D935" s="54" t="n">
        <f aca="false">(D906*$C$855+D907*$C$856)*Assumptions!$E$81</f>
        <v>892.533280237164</v>
      </c>
      <c r="E935" s="54" t="n">
        <f aca="false">(E906*$C$855+E907*$C$856)*Assumptions!$E$81</f>
        <v>2740.74975205186</v>
      </c>
      <c r="F935" s="54" t="n">
        <f aca="false">(F906*$C$855+F907*$C$856)*Assumptions!$E$81</f>
        <v>4020.93365307646</v>
      </c>
      <c r="G935" s="54" t="n">
        <f aca="false">(G906*$C$855+G907*$C$856)*Assumptions!$E$81</f>
        <v>4546.17780020223</v>
      </c>
      <c r="H935" s="54" t="n">
        <f aca="false">(H906*$C$855+H907*$C$856)*Assumptions!$E$81</f>
        <v>5308.91871361554</v>
      </c>
      <c r="I935" s="54" t="n">
        <f aca="false">(I906*$C$855+I907*$C$856)*Assumptions!$E$81</f>
        <v>6197.69053833458</v>
      </c>
      <c r="J935" s="54" t="n">
        <f aca="false">(J906*$C$855+J907*$C$856)*Assumptions!$E$81</f>
        <v>7605.93003372883</v>
      </c>
      <c r="K935" s="54" t="n">
        <f aca="false">(K906*$C$855+K907*$C$856)*Assumptions!$E$81</f>
        <v>9288.55054275746</v>
      </c>
      <c r="L935" s="54" t="n">
        <f aca="false">(L906*$C$855+L907*$C$856)*Assumptions!$E$81</f>
        <v>10024.7932344728</v>
      </c>
      <c r="M935" s="54" t="n">
        <f aca="false">(M906*$C$855+M907*$C$856)*Assumptions!$E$81</f>
        <v>9991.9852102894</v>
      </c>
      <c r="N935" s="54" t="n">
        <f aca="false">(N906*$C$855+N907*$C$856)*Assumptions!$E$81</f>
        <v>9839.1569693138</v>
      </c>
      <c r="P935" s="55" t="n">
        <f aca="false">SUM(C935:F935)</f>
        <v>7654.21668536549</v>
      </c>
      <c r="Q935" s="55" t="n">
        <f aca="false">SUM(G935:J935)</f>
        <v>23658.7170858812</v>
      </c>
      <c r="R935" s="55" t="n">
        <f aca="false">SUM(K935:N935)</f>
        <v>39144.4859568334</v>
      </c>
      <c r="S935" s="56" t="n">
        <f aca="false">SUM(P935:R935)</f>
        <v>70457.4197280801</v>
      </c>
    </row>
    <row r="936" customFormat="false" ht="15" hidden="false" customHeight="false" outlineLevel="0" collapsed="false">
      <c r="A936" s="9" t="s">
        <v>562</v>
      </c>
      <c r="B936" s="36" t="s">
        <v>125</v>
      </c>
      <c r="C936" s="55" t="n">
        <f aca="false">C928+C929+C930+C931+C932+C933+C934+C935</f>
        <v>417316.071428572</v>
      </c>
      <c r="D936" s="55" t="n">
        <f aca="false">D928+D929+D930+D931+D932+D933+D934+D935</f>
        <v>381023.943582164</v>
      </c>
      <c r="E936" s="55" t="n">
        <f aca="false">E928+E929+E930+E931+E932+E933+E934+E935</f>
        <v>457006.948858359</v>
      </c>
      <c r="F936" s="55" t="n">
        <f aca="false">F928+F929+F930+F931+F932+F933+F934+F935</f>
        <v>461082.770223534</v>
      </c>
      <c r="G936" s="55" t="n">
        <f aca="false">G928+G929+G930+G931+G932+G933+G934+G935</f>
        <v>575686.59004195</v>
      </c>
      <c r="H936" s="55" t="n">
        <f aca="false">H928+H929+H930+H931+H932+H933+H934+H935</f>
        <v>538897.854121513</v>
      </c>
      <c r="I936" s="55" t="n">
        <f aca="false">I928+I929+I930+I931+I932+I933+I934+I935</f>
        <v>653772.297252257</v>
      </c>
      <c r="J936" s="55" t="n">
        <f aca="false">J928+J929+J930+J931+J932+J933+J934+J935</f>
        <v>617506.704285312</v>
      </c>
      <c r="K936" s="55" t="n">
        <f aca="false">K928+K929+K930+K931+K932+K933+K934+K935</f>
        <v>693184.981123571</v>
      </c>
      <c r="L936" s="55" t="n">
        <f aca="false">L928+L929+L930+L931+L932+L933+L934+L935</f>
        <v>694677.540917549</v>
      </c>
      <c r="M936" s="55" t="n">
        <f aca="false">M928+M929+M930+M931+M932+M933+M934+M935</f>
        <v>694685.455021157</v>
      </c>
      <c r="N936" s="55" t="n">
        <f aca="false">N928+N929+N930+N931+N932+N933+N934+N935</f>
        <v>694533.144914872</v>
      </c>
      <c r="P936" s="55" t="n">
        <f aca="false">SUM(C936:F936)</f>
        <v>1716429.73409263</v>
      </c>
      <c r="Q936" s="55" t="n">
        <f aca="false">SUM(G936:J936)</f>
        <v>2385863.44570103</v>
      </c>
      <c r="R936" s="55" t="n">
        <f aca="false">SUM(K936:N936)</f>
        <v>2777081.12197715</v>
      </c>
      <c r="S936" s="56" t="n">
        <f aca="false">SUM(P936:R936)</f>
        <v>6879374.30177081</v>
      </c>
    </row>
    <row r="937" customFormat="false" ht="15" hidden="false" customHeight="false" outlineLevel="0" collapsed="false">
      <c r="A937" s="4" t="s">
        <v>563</v>
      </c>
      <c r="B937" s="36" t="s">
        <v>125</v>
      </c>
      <c r="C937" s="54" t="n">
        <f aca="false">C925*Assumptions!$E$72/Assumptions!$E$69/4</f>
        <v>56535.7142857143</v>
      </c>
      <c r="D937" s="54" t="n">
        <f aca="false">D925*Assumptions!$E$72/Assumptions!$E$69/4</f>
        <v>56535.7142857143</v>
      </c>
      <c r="E937" s="54" t="n">
        <f aca="false">E925*Assumptions!$E$72/Assumptions!$E$69/4</f>
        <v>56535.7142857143</v>
      </c>
      <c r="F937" s="54" t="n">
        <f aca="false">F925*Assumptions!$E$72/Assumptions!$E$69/4</f>
        <v>56535.7142857143</v>
      </c>
      <c r="G937" s="54" t="n">
        <f aca="false">G925*Assumptions!$E$72/Assumptions!$E$69/4</f>
        <v>28267.8571428571</v>
      </c>
      <c r="H937" s="54" t="n">
        <f aca="false">H925*Assumptions!$E$72/Assumptions!$E$69/4</f>
        <v>28267.8571428571</v>
      </c>
      <c r="I937" s="54" t="n">
        <f aca="false">I925*Assumptions!$E$72/Assumptions!$E$69/4</f>
        <v>28267.8571428571</v>
      </c>
      <c r="J937" s="54" t="n">
        <f aca="false">J925*Assumptions!$E$72/Assumptions!$E$69/4</f>
        <v>28267.8571428571</v>
      </c>
      <c r="K937" s="54" t="n">
        <f aca="false">K925*Assumptions!$E$72/Assumptions!$E$69/4</f>
        <v>28267.8571428571</v>
      </c>
      <c r="L937" s="54" t="n">
        <f aca="false">L925*Assumptions!$E$72/Assumptions!$E$69/4</f>
        <v>28267.8571428571</v>
      </c>
      <c r="M937" s="54" t="n">
        <f aca="false">M925*Assumptions!$E$72/Assumptions!$E$69/4</f>
        <v>28267.8571428571</v>
      </c>
      <c r="N937" s="54" t="n">
        <f aca="false">N925*Assumptions!$E$72/Assumptions!$E$69/4</f>
        <v>28267.8571428571</v>
      </c>
      <c r="P937" s="55" t="n">
        <f aca="false">SUM(C937:F937)</f>
        <v>226142.857142857</v>
      </c>
      <c r="Q937" s="55" t="n">
        <f aca="false">SUM(G937:J937)</f>
        <v>113071.428571429</v>
      </c>
      <c r="R937" s="55" t="n">
        <f aca="false">SUM(K937:N937)</f>
        <v>113071.428571429</v>
      </c>
      <c r="S937" s="56" t="n">
        <f aca="false">SUM(P937:R937)</f>
        <v>452285.714285714</v>
      </c>
    </row>
    <row r="938" customFormat="false" ht="15" hidden="false" customHeight="false" outlineLevel="0" collapsed="false">
      <c r="A938" s="4" t="s">
        <v>564</v>
      </c>
      <c r="B938" s="36" t="s">
        <v>125</v>
      </c>
      <c r="C938" s="54" t="n">
        <f aca="false">IF(C863&lt;=Assumptions!$E$83,Assumptions!$E$82*Assumptions!$E$108/Assumptions!$E$83,0)</f>
        <v>62500</v>
      </c>
      <c r="D938" s="54" t="n">
        <f aca="false">IF(D863&lt;=Assumptions!$E$83,Assumptions!$E$82*Assumptions!$E$108/Assumptions!$E$83,0)</f>
        <v>62500</v>
      </c>
      <c r="E938" s="54" t="n">
        <f aca="false">IF(E863&lt;=Assumptions!$E$83,Assumptions!$E$82*Assumptions!$E$108/Assumptions!$E$83,0)</f>
        <v>62500</v>
      </c>
      <c r="F938" s="54" t="n">
        <f aca="false">IF(F863&lt;=Assumptions!$E$83,Assumptions!$E$82*Assumptions!$E$108/Assumptions!$E$83,0)</f>
        <v>62500</v>
      </c>
      <c r="G938" s="54" t="n">
        <f aca="false">IF(G863&lt;=Assumptions!$E$83,Assumptions!$E$82*Assumptions!$E$108/Assumptions!$E$83,0)</f>
        <v>0</v>
      </c>
      <c r="H938" s="54" t="n">
        <f aca="false">IF(H863&lt;=Assumptions!$E$83,Assumptions!$E$82*Assumptions!$E$108/Assumptions!$E$83,0)</f>
        <v>0</v>
      </c>
      <c r="I938" s="54" t="n">
        <f aca="false">IF(I863&lt;=Assumptions!$E$83,Assumptions!$E$82*Assumptions!$E$108/Assumptions!$E$83,0)</f>
        <v>0</v>
      </c>
      <c r="J938" s="54" t="n">
        <f aca="false">IF(J863&lt;=Assumptions!$E$83,Assumptions!$E$82*Assumptions!$E$108/Assumptions!$E$83,0)</f>
        <v>0</v>
      </c>
      <c r="K938" s="54" t="n">
        <f aca="false">IF(K863&lt;=Assumptions!$E$83,Assumptions!$E$82*Assumptions!$E$108/Assumptions!$E$83,0)</f>
        <v>0</v>
      </c>
      <c r="L938" s="54" t="n">
        <f aca="false">IF(L863&lt;=Assumptions!$E$83,Assumptions!$E$82*Assumptions!$E$108/Assumptions!$E$83,0)</f>
        <v>0</v>
      </c>
      <c r="M938" s="54" t="n">
        <f aca="false">IF(M863&lt;=Assumptions!$E$83,Assumptions!$E$82*Assumptions!$E$108/Assumptions!$E$83,0)</f>
        <v>0</v>
      </c>
      <c r="N938" s="54" t="n">
        <f aca="false">IF(N863&lt;=Assumptions!$E$83,Assumptions!$E$82*Assumptions!$E$108/Assumptions!$E$83,0)</f>
        <v>0</v>
      </c>
      <c r="P938" s="55" t="n">
        <f aca="false">SUM(C938:F938)</f>
        <v>250000</v>
      </c>
      <c r="Q938" s="55" t="n">
        <f aca="false">SUM(G938:J938)</f>
        <v>0</v>
      </c>
      <c r="R938" s="55" t="n">
        <f aca="false">SUM(K938:N938)</f>
        <v>0</v>
      </c>
      <c r="S938" s="56" t="n">
        <f aca="false">SUM(P938:R938)</f>
        <v>250000</v>
      </c>
    </row>
    <row r="939" customFormat="false" ht="15" hidden="false" customHeight="false" outlineLevel="0" collapsed="false">
      <c r="A939" s="4" t="s">
        <v>565</v>
      </c>
      <c r="B939" s="36" t="s">
        <v>125</v>
      </c>
      <c r="C939" s="54" t="n">
        <f aca="false">C927*Assumptions!$E$73/Assumptions!$E$69/4</f>
        <v>0</v>
      </c>
      <c r="D939" s="54" t="n">
        <f aca="false">D927*Assumptions!$E$73/Assumptions!$E$69/4</f>
        <v>807.446760146251</v>
      </c>
      <c r="E939" s="54" t="n">
        <f aca="false">E927*Assumptions!$E$73/Assumptions!$E$69/4</f>
        <v>2526.72575687459</v>
      </c>
      <c r="F939" s="54" t="n">
        <f aca="false">F927*Assumptions!$E$73/Assumptions!$E$69/4</f>
        <v>4595.99922483918</v>
      </c>
      <c r="G939" s="54" t="n">
        <f aca="false">G927*Assumptions!$E$73/Assumptions!$E$69/4</f>
        <v>6817.83371588461</v>
      </c>
      <c r="H939" s="54" t="n">
        <f aca="false">H927*Assumptions!$E$73/Assumptions!$E$69/4</f>
        <v>9526.7328719907</v>
      </c>
      <c r="I939" s="54" t="n">
        <f aca="false">I927*Assumptions!$E$73/Assumptions!$E$69/4</f>
        <v>12664.9904629334</v>
      </c>
      <c r="J939" s="54" t="n">
        <f aca="false">J927*Assumptions!$E$73/Assumptions!$E$69/4</f>
        <v>16789.727734299</v>
      </c>
      <c r="K939" s="54" t="n">
        <f aca="false">K927*Assumptions!$E$73/Assumptions!$E$69/4</f>
        <v>21736.9082878523</v>
      </c>
      <c r="L939" s="54" t="n">
        <f aca="false">L927*Assumptions!$E$73/Assumptions!$E$69/4</f>
        <v>26676.9053489817</v>
      </c>
      <c r="M939" s="54" t="n">
        <f aca="false">M927*Assumptions!$E$73/Assumptions!$E$69/4</f>
        <v>31413.9331715479</v>
      </c>
      <c r="N939" s="54" t="n">
        <f aca="false">N927*Assumptions!$E$73/Assumptions!$E$69/4</f>
        <v>35940.1732464626</v>
      </c>
      <c r="P939" s="55" t="n">
        <f aca="false">SUM(C939:F939)</f>
        <v>7930.17174186002</v>
      </c>
      <c r="Q939" s="55" t="n">
        <f aca="false">SUM(G939:J939)</f>
        <v>45799.2847851077</v>
      </c>
      <c r="R939" s="55" t="n">
        <f aca="false">SUM(K939:N939)</f>
        <v>115767.920054844</v>
      </c>
      <c r="S939" s="56" t="n">
        <f aca="false">SUM(P939:R939)</f>
        <v>169497.376581812</v>
      </c>
    </row>
    <row r="940" customFormat="false" ht="15" hidden="false" customHeight="false" outlineLevel="0" collapsed="false">
      <c r="A940" s="9" t="s">
        <v>566</v>
      </c>
      <c r="B940" s="36" t="s">
        <v>125</v>
      </c>
      <c r="C940" s="55" t="n">
        <f aca="false">C936+C937+C938+C939</f>
        <v>536351.785714286</v>
      </c>
      <c r="D940" s="55" t="n">
        <f aca="false">D936+D937+D938+D939</f>
        <v>500867.104628025</v>
      </c>
      <c r="E940" s="55" t="n">
        <f aca="false">E936+E937+E938+E939</f>
        <v>578569.388900947</v>
      </c>
      <c r="F940" s="55" t="n">
        <f aca="false">F936+F937+F938+F939</f>
        <v>584714.483734088</v>
      </c>
      <c r="G940" s="55" t="n">
        <f aca="false">G936+G937+G938+G939</f>
        <v>610772.280900692</v>
      </c>
      <c r="H940" s="55" t="n">
        <f aca="false">H936+H937+H938+H939</f>
        <v>576692.444136361</v>
      </c>
      <c r="I940" s="55" t="n">
        <f aca="false">I936+I937+I938+I939</f>
        <v>694705.144858048</v>
      </c>
      <c r="J940" s="55" t="n">
        <f aca="false">J936+J937+J938+J939</f>
        <v>662564.289162468</v>
      </c>
      <c r="K940" s="55" t="n">
        <f aca="false">K936+K937+K938+K939</f>
        <v>743189.746554281</v>
      </c>
      <c r="L940" s="55" t="n">
        <f aca="false">L936+L937+L938+L939</f>
        <v>749622.303409387</v>
      </c>
      <c r="M940" s="55" t="n">
        <f aca="false">M936+M937+M938+M939</f>
        <v>754367.245335562</v>
      </c>
      <c r="N940" s="55" t="n">
        <f aca="false">N936+N937+N938+N939</f>
        <v>758741.175304192</v>
      </c>
      <c r="P940" s="55" t="n">
        <f aca="false">SUM(C940:F940)</f>
        <v>2200502.76297735</v>
      </c>
      <c r="Q940" s="55" t="n">
        <f aca="false">SUM(G940:J940)</f>
        <v>2544734.15905757</v>
      </c>
      <c r="R940" s="55" t="n">
        <f aca="false">SUM(K940:N940)</f>
        <v>3005920.47060342</v>
      </c>
      <c r="S940" s="56" t="n">
        <f aca="false">SUM(P940:R940)</f>
        <v>7751157.39263834</v>
      </c>
    </row>
    <row r="941" customFormat="false" ht="15" hidden="false" customHeight="false" outlineLevel="0" collapsed="false">
      <c r="A941" s="35" t="s">
        <v>567</v>
      </c>
      <c r="B941" s="35" t="s">
        <v>444</v>
      </c>
      <c r="C941" s="6" t="s">
        <v>354</v>
      </c>
      <c r="D941" s="6" t="s">
        <v>355</v>
      </c>
      <c r="E941" s="6" t="s">
        <v>356</v>
      </c>
      <c r="F941" s="6" t="s">
        <v>357</v>
      </c>
      <c r="G941" s="6" t="s">
        <v>358</v>
      </c>
      <c r="H941" s="6" t="s">
        <v>359</v>
      </c>
      <c r="I941" s="6" t="s">
        <v>360</v>
      </c>
      <c r="J941" s="6" t="s">
        <v>361</v>
      </c>
      <c r="K941" s="6" t="s">
        <v>362</v>
      </c>
      <c r="L941" s="6" t="s">
        <v>363</v>
      </c>
      <c r="M941" s="6" t="s">
        <v>364</v>
      </c>
      <c r="N941" s="6" t="s">
        <v>365</v>
      </c>
      <c r="P941" s="6" t="s">
        <v>445</v>
      </c>
      <c r="Q941" s="6" t="s">
        <v>446</v>
      </c>
      <c r="R941" s="6" t="s">
        <v>447</v>
      </c>
      <c r="S941" s="6" t="s">
        <v>448</v>
      </c>
    </row>
    <row r="942" customFormat="false" ht="15" hidden="false" customHeight="false" outlineLevel="0" collapsed="false">
      <c r="A942" s="9" t="s">
        <v>568</v>
      </c>
      <c r="B942" s="36" t="s">
        <v>125</v>
      </c>
      <c r="C942" s="55" t="n">
        <f aca="false">C920-C940</f>
        <v>-536351.785714286</v>
      </c>
      <c r="D942" s="55" t="n">
        <f aca="false">D920-D940</f>
        <v>-499854.892534016</v>
      </c>
      <c r="E942" s="55" t="n">
        <f aca="false">E920-E940</f>
        <v>-573978.789819139</v>
      </c>
      <c r="F942" s="55" t="n">
        <f aca="false">F920-F940</f>
        <v>-574074.141750268</v>
      </c>
      <c r="G942" s="55" t="n">
        <f aca="false">G920-G940</f>
        <v>-592713.890429582</v>
      </c>
      <c r="H942" s="55" t="n">
        <f aca="false">H920-H940</f>
        <v>-549918.343202478</v>
      </c>
      <c r="I942" s="55" t="n">
        <f aca="false">I920-I940</f>
        <v>-657489.87913114</v>
      </c>
      <c r="J942" s="55" t="n">
        <f aca="false">J920-J940</f>
        <v>-612356.712797507</v>
      </c>
      <c r="K942" s="55" t="n">
        <f aca="false">K920-K940</f>
        <v>-676638.068754733</v>
      </c>
      <c r="L942" s="55" t="n">
        <f aca="false">L920-L940</f>
        <v>-664480.472675698</v>
      </c>
      <c r="M942" s="55" t="n">
        <f aca="false">M920-M940</f>
        <v>-649992.772866774</v>
      </c>
      <c r="N942" s="55" t="n">
        <f aca="false">N920-N940</f>
        <v>-635043.202312138</v>
      </c>
      <c r="P942" s="55" t="n">
        <f aca="false">SUM(C942:F942)</f>
        <v>-2184259.60981771</v>
      </c>
      <c r="Q942" s="55" t="n">
        <f aca="false">SUM(G942:J942)</f>
        <v>-2412478.82556071</v>
      </c>
      <c r="R942" s="55" t="n">
        <f aca="false">SUM(K942:N942)</f>
        <v>-2626154.51660934</v>
      </c>
      <c r="S942" s="56" t="n">
        <f aca="false">SUM(P942:R942)</f>
        <v>-7222892.95198776</v>
      </c>
    </row>
    <row r="943" customFormat="false" ht="15" hidden="false" customHeight="false" outlineLevel="0" collapsed="false">
      <c r="A943" s="9" t="s">
        <v>569</v>
      </c>
      <c r="B943" s="36" t="s">
        <v>125</v>
      </c>
      <c r="C943" s="55" t="n">
        <f aca="false">0+C942</f>
        <v>-536351.785714286</v>
      </c>
      <c r="D943" s="55" t="n">
        <f aca="false">C943+D942</f>
        <v>-1036206.6782483</v>
      </c>
      <c r="E943" s="55" t="n">
        <f aca="false">D943+E942</f>
        <v>-1610185.46806744</v>
      </c>
      <c r="F943" s="55" t="n">
        <f aca="false">E943+F942</f>
        <v>-2184259.60981771</v>
      </c>
      <c r="G943" s="55" t="n">
        <f aca="false">F943+G942</f>
        <v>-2776973.50024729</v>
      </c>
      <c r="H943" s="55" t="n">
        <f aca="false">G943+H942</f>
        <v>-3326891.84344977</v>
      </c>
      <c r="I943" s="55" t="n">
        <f aca="false">H943+I942</f>
        <v>-3984381.72258091</v>
      </c>
      <c r="J943" s="55" t="n">
        <f aca="false">I943+J942</f>
        <v>-4596738.43537842</v>
      </c>
      <c r="K943" s="55" t="n">
        <f aca="false">J943+K942</f>
        <v>-5273376.50413315</v>
      </c>
      <c r="L943" s="55" t="n">
        <f aca="false">K943+L942</f>
        <v>-5937856.97680885</v>
      </c>
      <c r="M943" s="55" t="n">
        <f aca="false">L943+M942</f>
        <v>-6587849.74967562</v>
      </c>
      <c r="N943" s="55" t="n">
        <f aca="false">M943+N942</f>
        <v>-7222892.95198776</v>
      </c>
      <c r="P943" s="55" t="n">
        <f aca="false">F943</f>
        <v>-2184259.60981771</v>
      </c>
      <c r="Q943" s="55" t="n">
        <f aca="false">J943</f>
        <v>-4596738.43537842</v>
      </c>
      <c r="R943" s="55" t="n">
        <f aca="false">N943</f>
        <v>-7222892.95198776</v>
      </c>
      <c r="S943" s="56" t="n">
        <f aca="false">R943</f>
        <v>-7222892.95198776</v>
      </c>
    </row>
    <row r="944" customFormat="false" ht="15" hidden="false" customHeight="false" outlineLevel="0" collapsed="false">
      <c r="A944" s="4" t="s">
        <v>570</v>
      </c>
      <c r="B944" s="36" t="s">
        <v>107</v>
      </c>
      <c r="C944" s="57" t="n">
        <f aca="false">1/(1+Assumptions!$E$87)^(C863/4)</f>
        <v>0.972065420906982</v>
      </c>
      <c r="D944" s="57" t="n">
        <f aca="false">1/(1+Assumptions!$E$87)^(D863/4)</f>
        <v>0.944911182523068</v>
      </c>
      <c r="E944" s="57" t="n">
        <f aca="false">1/(1+Assumptions!$E$87)^(E863/4)</f>
        <v>0.918515486359</v>
      </c>
      <c r="F944" s="57" t="n">
        <f aca="false">1/(1+Assumptions!$E$87)^(F863/4)</f>
        <v>0.892857142857143</v>
      </c>
      <c r="G944" s="57" t="n">
        <f aca="false">1/(1+Assumptions!$E$87)^(G863/4)</f>
        <v>0.867915554381234</v>
      </c>
      <c r="H944" s="57" t="n">
        <f aca="false">1/(1+Assumptions!$E$87)^(H863/4)</f>
        <v>0.843670698681311</v>
      </c>
      <c r="I944" s="57" t="n">
        <f aca="false">1/(1+Assumptions!$E$87)^(I863/4)</f>
        <v>0.820103112820536</v>
      </c>
      <c r="J944" s="57" t="n">
        <f aca="false">1/(1+Assumptions!$E$87)^(J863/4)</f>
        <v>0.79719387755102</v>
      </c>
      <c r="K944" s="57" t="n">
        <f aca="false">1/(1+Assumptions!$E$87)^(K863/4)</f>
        <v>0.774924602126102</v>
      </c>
      <c r="L944" s="57" t="n">
        <f aca="false">1/(1+Assumptions!$E$87)^(L863/4)</f>
        <v>0.753277409536885</v>
      </c>
      <c r="M944" s="57" t="n">
        <f aca="false">1/(1+Assumptions!$E$87)^(M863/4)</f>
        <v>0.732234922161193</v>
      </c>
      <c r="N944" s="57" t="n">
        <f aca="false">1/(1+Assumptions!$E$87)^(N863/4)</f>
        <v>0.711780247813411</v>
      </c>
      <c r="P944" s="58"/>
      <c r="Q944" s="58"/>
      <c r="R944" s="58"/>
      <c r="S944" s="59"/>
    </row>
    <row r="945" customFormat="false" ht="15" hidden="false" customHeight="false" outlineLevel="0" collapsed="false">
      <c r="A945" s="4" t="s">
        <v>571</v>
      </c>
      <c r="B945" s="36" t="s">
        <v>125</v>
      </c>
      <c r="C945" s="54" t="n">
        <f aca="false">(C920*(1-Assumptions!$E$88)-C940)*C944</f>
        <v>-521369.024334569</v>
      </c>
      <c r="D945" s="54" t="n">
        <f aca="false">(D920*(1-Assumptions!$E$88)-D940)*D944</f>
        <v>-472509.767699601</v>
      </c>
      <c r="E945" s="54" t="n">
        <f aca="false">(E920*(1-Assumptions!$E$88)-E940)*E944</f>
        <v>-528051.714560138</v>
      </c>
      <c r="F945" s="54" t="n">
        <f aca="false">(F920*(1-Assumptions!$E$88)-F940)*F944</f>
        <v>-514466.25905985</v>
      </c>
      <c r="G945" s="54" t="n">
        <f aca="false">(G920*(1-Assumptions!$E$88)-G940)*G944</f>
        <v>-517560.236397042</v>
      </c>
      <c r="H945" s="54" t="n">
        <f aca="false">(H920*(1-Assumptions!$E$88)-H940)*H944</f>
        <v>-468467.697715594</v>
      </c>
      <c r="I945" s="54" t="n">
        <f aca="false">(I920*(1-Assumptions!$E$88)-I940)*I944</f>
        <v>-545313.567576862</v>
      </c>
      <c r="J945" s="54" t="n">
        <f aca="false">(J920*(1-Assumptions!$E$88)-J940)*J944</f>
        <v>-496172.056816406</v>
      </c>
      <c r="K945" s="54" t="n">
        <f aca="false">(K920*(1-Assumptions!$E$88)-K940)*K944</f>
        <v>-534657.992701063</v>
      </c>
      <c r="L945" s="54" t="n">
        <f aca="false">(L920*(1-Assumptions!$E$88)-L940)*L944</f>
        <v>-513365.212684654</v>
      </c>
      <c r="M945" s="54" t="n">
        <f aca="false">(M920*(1-Assumptions!$E$88)-M940)*M944</f>
        <v>-491232.7341902</v>
      </c>
      <c r="N945" s="54" t="n">
        <f aca="false">(N920*(1-Assumptions!$E$88)-N940)*N944</f>
        <v>-469620.362688016</v>
      </c>
      <c r="P945" s="55" t="n">
        <f aca="false">SUM(C945:F945)</f>
        <v>-2036396.76565416</v>
      </c>
      <c r="Q945" s="55" t="n">
        <f aca="false">SUM(G945:J945)</f>
        <v>-2027513.5585059</v>
      </c>
      <c r="R945" s="55" t="n">
        <f aca="false">SUM(K945:N945)</f>
        <v>-2008876.30226393</v>
      </c>
      <c r="S945" s="56" t="n">
        <f aca="false">SUM(P945:R945)</f>
        <v>-6072786.62642399</v>
      </c>
    </row>
    <row r="946" customFormat="false" ht="15" hidden="false" customHeight="false" outlineLevel="0" collapsed="false">
      <c r="A946" s="4" t="s">
        <v>572</v>
      </c>
      <c r="B946" s="36" t="s">
        <v>125</v>
      </c>
      <c r="C946" s="54" t="n">
        <f aca="false">(C940-C939)*12/(Assumptions!$E$89*Assumptions!$E$76)*Assumptions!$E$90</f>
        <v>371320.467032967</v>
      </c>
      <c r="D946" s="54" t="n">
        <f aca="false">(D940-D939)*12/(Assumptions!$E$89*Assumptions!$E$76)*Assumptions!$E$90</f>
        <v>346195.147754685</v>
      </c>
      <c r="E946" s="54" t="n">
        <f aca="false">(E940-E939)*12/(Assumptions!$E$89*Assumptions!$E$76)*Assumptions!$E$90</f>
        <v>398798.76679205</v>
      </c>
      <c r="F946" s="54" t="n">
        <f aca="false">(F940-F939)*12/(Assumptions!$E$89*Assumptions!$E$76)*Assumptions!$E$90</f>
        <v>401620.489275634</v>
      </c>
      <c r="G946" s="54" t="n">
        <f aca="false">(G940-G939)*12/(Assumptions!$E$89*Assumptions!$E$76)*Assumptions!$E$90</f>
        <v>418122.309589482</v>
      </c>
      <c r="H946" s="54" t="n">
        <f aca="false">(H940-H939)*12/(Assumptions!$E$89*Assumptions!$E$76)*Assumptions!$E$90</f>
        <v>392653.184721487</v>
      </c>
      <c r="I946" s="54" t="n">
        <f aca="false">(I940-I939)*12/(Assumptions!$E$89*Assumptions!$E$76)*Assumptions!$E$90</f>
        <v>472181.645350464</v>
      </c>
      <c r="J946" s="54" t="n">
        <f aca="false">(J940-J939)*12/(Assumptions!$E$89*Assumptions!$E$76)*Assumptions!$E$90</f>
        <v>447074.696373348</v>
      </c>
      <c r="K946" s="54" t="n">
        <f aca="false">(K940-K939)*12/(Assumptions!$E$89*Assumptions!$E$76)*Assumptions!$E$90</f>
        <v>499467.349569066</v>
      </c>
      <c r="L946" s="54" t="n">
        <f aca="false">(L940-L939)*12/(Assumptions!$E$89*Assumptions!$E$76)*Assumptions!$E$90</f>
        <v>500500.660195665</v>
      </c>
      <c r="M946" s="54" t="n">
        <f aca="false">(M940-M939)*12/(Assumptions!$E$89*Assumptions!$E$76)*Assumptions!$E$90</f>
        <v>500506.139190471</v>
      </c>
      <c r="N946" s="54" t="n">
        <f aca="false">(N940-N939)*12/(Assumptions!$E$89*Assumptions!$E$76)*Assumptions!$E$90</f>
        <v>500400.693732274</v>
      </c>
      <c r="P946" s="55" t="n">
        <f aca="false">SUM(C946:F946)</f>
        <v>1517934.87085534</v>
      </c>
      <c r="Q946" s="55" t="n">
        <f aca="false">SUM(G946:J946)</f>
        <v>1730031.83603478</v>
      </c>
      <c r="R946" s="55" t="n">
        <f aca="false">SUM(K946:N946)</f>
        <v>2000874.84268748</v>
      </c>
      <c r="S946" s="56" t="n">
        <f aca="false">SUM(P946:R946)</f>
        <v>5248841.54957759</v>
      </c>
    </row>
    <row r="947" customFormat="false" ht="15" hidden="false" customHeight="false" outlineLevel="0" collapsed="false">
      <c r="A947" s="4" t="s">
        <v>573</v>
      </c>
      <c r="B947" s="36" t="s">
        <v>125</v>
      </c>
      <c r="C947" s="54" t="n">
        <f aca="false">0*Assumptions!$E$92^(1/4)+C946</f>
        <v>371320.467032967</v>
      </c>
      <c r="D947" s="54" t="n">
        <f aca="false">C947*Assumptions!$E$92^(1/4)+D946</f>
        <v>718440.454993875</v>
      </c>
      <c r="E947" s="54" t="n">
        <f aca="false">D947*Assumptions!$E$92^(1/4)+E946</f>
        <v>1119028.62656575</v>
      </c>
      <c r="F947" s="54" t="n">
        <f aca="false">E947*Assumptions!$E$92^(1/4)+F946</f>
        <v>1523436.2572937</v>
      </c>
      <c r="G947" s="54" t="n">
        <f aca="false">F947*Assumptions!$E$92^(1/4)+G946</f>
        <v>1945352.95805591</v>
      </c>
      <c r="H947" s="54" t="n">
        <f aca="false">G947*Assumptions!$E$92^(1/4)+H946</f>
        <v>2342851.39314908</v>
      </c>
      <c r="I947" s="54" t="n">
        <f aca="false">H947*Assumptions!$E$92^(1/4)+I946</f>
        <v>2820868.33000099</v>
      </c>
      <c r="J947" s="54" t="n">
        <f aca="false">I947*Assumptions!$E$92^(1/4)+J946</f>
        <v>3274968.9047723</v>
      </c>
      <c r="K947" s="54" t="n">
        <f aca="false">J947*Assumptions!$E$92^(1/4)+K946</f>
        <v>3782593.15164753</v>
      </c>
      <c r="L947" s="54" t="n">
        <f aca="false">K947*Assumptions!$E$92^(1/4)+L946</f>
        <v>4292515.03836049</v>
      </c>
      <c r="M947" s="54" t="n">
        <f aca="false">L947*Assumptions!$E$92^(1/4)+M946</f>
        <v>4803712.45596342</v>
      </c>
      <c r="N947" s="54" t="n">
        <f aca="false">M947*Assumptions!$E$92^(1/4)+N946</f>
        <v>5316077.65694171</v>
      </c>
      <c r="P947" s="55" t="n">
        <f aca="false">F947</f>
        <v>1523436.2572937</v>
      </c>
      <c r="Q947" s="55" t="n">
        <f aca="false">J947</f>
        <v>3274968.9047723</v>
      </c>
      <c r="R947" s="55" t="n">
        <f aca="false">N947</f>
        <v>5316077.65694171</v>
      </c>
      <c r="S947" s="56" t="n">
        <f aca="false">R947</f>
        <v>5316077.65694171</v>
      </c>
    </row>
    <row r="948" customFormat="false" ht="15" hidden="false" customHeight="false" outlineLevel="0" collapsed="false">
      <c r="A948" s="4" t="s">
        <v>574</v>
      </c>
      <c r="B948" s="36" t="s">
        <v>125</v>
      </c>
      <c r="C948" s="54" t="n">
        <f aca="false">(0+C947)/8*Assumptions!$E$76-(C940-C939)-C947*Assumptions!$E$93/4</f>
        <v>-510823.503605769</v>
      </c>
      <c r="D948" s="54" t="n">
        <f aca="false">(C947+D947)/8*Assumptions!$E$76-(D940-D939)-D947*Assumptions!$E$93/4</f>
        <v>-420497.088640621</v>
      </c>
      <c r="E948" s="54" t="n">
        <f aca="false">(D947+E947)/8*Assumptions!$E$76-(E940-E939)-E947*Assumptions!$E$93/4</f>
        <v>-440736.158099425</v>
      </c>
      <c r="F948" s="54" t="n">
        <f aca="false">(E947+F947)/8*Assumptions!$E$76-(F940-F939)-F947*Assumptions!$E$93/4</f>
        <v>-384461.165911839</v>
      </c>
      <c r="G948" s="54" t="n">
        <f aca="false">(F947+G947)/8*Assumptions!$E$76-(G940-G939)-G947*Assumptions!$E$93/4</f>
        <v>-346432.23541335</v>
      </c>
      <c r="H948" s="54" t="n">
        <f aca="false">(G947+H947)/8*Assumptions!$E$76-(H940-H939)-H947*Assumptions!$E$93/4</f>
        <v>-248034.750143327</v>
      </c>
      <c r="I948" s="54" t="n">
        <f aca="false">(H947+I947)/8*Assumptions!$E$76-(I940-I939)-I947*Assumptions!$E$93/4</f>
        <v>-297748.781014183</v>
      </c>
      <c r="J948" s="54" t="n">
        <f aca="false">(I947+J947)/8*Assumptions!$E$76-(J940-J939)-J947*Assumptions!$E$93/4</f>
        <v>-191424.897412493</v>
      </c>
      <c r="K948" s="54" t="n">
        <f aca="false">(J947+K947)/8*Assumptions!$E$76-(K940-K939)-K947*Assumptions!$E$93/4</f>
        <v>-195308.335577912</v>
      </c>
      <c r="L948" s="54" t="n">
        <f aca="false">(K947+L947)/8*Assumptions!$E$76-(L940-L939)-L947*Assumptions!$E$93/4</f>
        <v>-120499.29560176</v>
      </c>
      <c r="M948" s="54" t="n">
        <f aca="false">(L947+M947)/8*Assumptions!$E$76-(M940-M939)-M947*Assumptions!$E$93/4</f>
        <v>-43931.2339497393</v>
      </c>
      <c r="N948" s="54" t="n">
        <f aca="false">(M947+N947)/8*Assumptions!$E$76-(N940-N939)-N947*Assumptions!$E$93/4</f>
        <v>32980.9739040409</v>
      </c>
      <c r="P948" s="55" t="n">
        <f aca="false">SUM(C948:F948)</f>
        <v>-1756517.91625765</v>
      </c>
      <c r="Q948" s="55" t="n">
        <f aca="false">SUM(G948:J948)</f>
        <v>-1083640.66398335</v>
      </c>
      <c r="R948" s="55" t="n">
        <f aca="false">SUM(K948:N948)</f>
        <v>-326757.891225371</v>
      </c>
      <c r="S948" s="56" t="n">
        <f aca="false">SUM(P948:R948)</f>
        <v>-3166916.47146638</v>
      </c>
    </row>
    <row r="949" customFormat="false" ht="15" hidden="false" customHeight="false" outlineLevel="0" collapsed="false">
      <c r="A949" s="4" t="s">
        <v>575</v>
      </c>
      <c r="B949" s="36" t="s">
        <v>125</v>
      </c>
      <c r="C949" s="54" t="n">
        <f aca="false">C948*C944</f>
        <v>-496553.864041721</v>
      </c>
      <c r="D949" s="54" t="n">
        <f aca="false">D948*D944</f>
        <v>-397332.401274916</v>
      </c>
      <c r="E949" s="54" t="n">
        <f aca="false">E948*E944</f>
        <v>-404822.986612691</v>
      </c>
      <c r="F949" s="54" t="n">
        <f aca="false">F948*F944</f>
        <v>-343268.898135571</v>
      </c>
      <c r="G949" s="54" t="n">
        <f aca="false">G948*G944</f>
        <v>-300673.925654308</v>
      </c>
      <c r="H949" s="54" t="n">
        <f aca="false">H948*H944</f>
        <v>-209259.650950665</v>
      </c>
      <c r="I949" s="54" t="n">
        <f aca="false">I948*I944</f>
        <v>-244184.702148252</v>
      </c>
      <c r="J949" s="54" t="n">
        <f aca="false">J948*J944</f>
        <v>-152602.756228072</v>
      </c>
      <c r="K949" s="54" t="n">
        <f aca="false">K948*K944</f>
        <v>-151349.234239624</v>
      </c>
      <c r="L949" s="54" t="n">
        <f aca="false">L948*L944</f>
        <v>-90769.3972419134</v>
      </c>
      <c r="M949" s="54" t="n">
        <f aca="false">M948*M944</f>
        <v>-32167.9836716325</v>
      </c>
      <c r="N949" s="54" t="n">
        <f aca="false">N948*N944</f>
        <v>23475.2057785459</v>
      </c>
      <c r="P949" s="55" t="n">
        <f aca="false">SUM(C949:F949)</f>
        <v>-1641978.1500649</v>
      </c>
      <c r="Q949" s="55" t="n">
        <f aca="false">SUM(G949:J949)</f>
        <v>-906721.034981296</v>
      </c>
      <c r="R949" s="55" t="n">
        <f aca="false">SUM(K949:N949)</f>
        <v>-250811.409374624</v>
      </c>
      <c r="S949" s="56" t="n">
        <f aca="false">SUM(P949:R949)</f>
        <v>-2799510.59442082</v>
      </c>
    </row>
    <row r="950" customFormat="false" ht="15" hidden="false" customHeight="false" outlineLevel="0" collapsed="false">
      <c r="A950" s="4" t="s">
        <v>576</v>
      </c>
      <c r="B950" s="36"/>
      <c r="C950" s="37" t="n">
        <f aca="false">IFERROR((S905*$C$854*Assumptions!$E$59+S906*$C$855*Assumptions!$E$60+S907*$C$856*Assumptions!$E$61)/(S905*$C$854+S906*$C$855+S907*$C$856),0.9)</f>
        <v>0.897419496249564</v>
      </c>
    </row>
    <row r="951" customFormat="false" ht="15" hidden="false" customHeight="false" outlineLevel="0" collapsed="false">
      <c r="A951" s="4" t="s">
        <v>577</v>
      </c>
      <c r="B951" s="36"/>
      <c r="C951" s="37" t="n">
        <f aca="false">IFERROR(N939*4/N917,0)</f>
        <v>0.17516377532505</v>
      </c>
    </row>
    <row r="952" customFormat="false" ht="15" hidden="false" customHeight="false" outlineLevel="0" collapsed="false">
      <c r="A952" s="4" t="s">
        <v>578</v>
      </c>
      <c r="B952" s="36"/>
      <c r="C952" s="60" t="n">
        <f aca="false">$C$950/(1+Assumptions!$E$87)</f>
        <v>0.801267407365682</v>
      </c>
    </row>
    <row r="953" customFormat="false" ht="15" hidden="false" customHeight="false" outlineLevel="0" collapsed="false">
      <c r="A953" s="4" t="s">
        <v>579</v>
      </c>
      <c r="B953" s="36"/>
      <c r="C953" s="60" t="n">
        <f aca="false">Assumptions!$E$91/(1+Assumptions!$E$87)</f>
        <v>0.803571428571429</v>
      </c>
    </row>
    <row r="954" customFormat="false" ht="15" hidden="false" customHeight="false" outlineLevel="0" collapsed="false">
      <c r="A954" s="35" t="s">
        <v>580</v>
      </c>
      <c r="B954" s="35" t="s">
        <v>444</v>
      </c>
      <c r="C954" s="6" t="s">
        <v>354</v>
      </c>
      <c r="D954" s="6" t="s">
        <v>355</v>
      </c>
      <c r="E954" s="6" t="s">
        <v>356</v>
      </c>
      <c r="F954" s="6" t="s">
        <v>357</v>
      </c>
      <c r="G954" s="6" t="s">
        <v>358</v>
      </c>
      <c r="H954" s="6" t="s">
        <v>359</v>
      </c>
      <c r="I954" s="6" t="s">
        <v>360</v>
      </c>
      <c r="J954" s="6" t="s">
        <v>361</v>
      </c>
      <c r="K954" s="6" t="s">
        <v>362</v>
      </c>
      <c r="L954" s="6" t="s">
        <v>363</v>
      </c>
      <c r="M954" s="6" t="s">
        <v>364</v>
      </c>
      <c r="N954" s="6" t="s">
        <v>365</v>
      </c>
      <c r="P954" s="6" t="s">
        <v>445</v>
      </c>
      <c r="Q954" s="6" t="s">
        <v>446</v>
      </c>
      <c r="R954" s="6" t="s">
        <v>447</v>
      </c>
      <c r="S954" s="6" t="s">
        <v>448</v>
      </c>
    </row>
    <row r="955" customFormat="false" ht="15" hidden="false" customHeight="false" outlineLevel="0" collapsed="false">
      <c r="A955" s="9" t="s">
        <v>581</v>
      </c>
      <c r="C955" s="61" t="n">
        <f aca="false">N917</f>
        <v>820721.594513904</v>
      </c>
      <c r="D955" s="61"/>
    </row>
    <row r="956" customFormat="false" ht="15" hidden="false" customHeight="false" outlineLevel="0" collapsed="false">
      <c r="A956" s="9" t="s">
        <v>582</v>
      </c>
      <c r="C956" s="62" t="n">
        <f aca="false">N913</f>
        <v>79.3218850472757</v>
      </c>
      <c r="D956" s="62"/>
    </row>
    <row r="957" customFormat="false" ht="15" hidden="false" customHeight="false" outlineLevel="0" collapsed="false">
      <c r="A957" s="9" t="s">
        <v>583</v>
      </c>
      <c r="C957" s="63" t="n">
        <f aca="false">S908</f>
        <v>87.8923560527539</v>
      </c>
      <c r="D957" s="63"/>
    </row>
    <row r="958" customFormat="false" ht="15" hidden="false" customHeight="false" outlineLevel="0" collapsed="false">
      <c r="A958" s="9" t="s">
        <v>584</v>
      </c>
      <c r="C958" s="61" t="n">
        <f aca="false">S919</f>
        <v>812714.524077813</v>
      </c>
      <c r="D958" s="61"/>
    </row>
    <row r="959" customFormat="false" ht="15" hidden="false" customHeight="false" outlineLevel="0" collapsed="false">
      <c r="A959" s="9" t="s">
        <v>22</v>
      </c>
      <c r="C959" s="61" t="n">
        <f aca="false">IFERROR(S918/S908,0)</f>
        <v>8863.82062103322</v>
      </c>
      <c r="D959" s="61"/>
    </row>
    <row r="960" customFormat="false" ht="15" hidden="false" customHeight="false" outlineLevel="0" collapsed="false">
      <c r="A960" s="9" t="s">
        <v>585</v>
      </c>
      <c r="C960" s="61" t="n">
        <f aca="false">IFERROR(S936/S908,0)</f>
        <v>78270.4504774196</v>
      </c>
      <c r="D960" s="61"/>
    </row>
    <row r="961" customFormat="false" ht="23.85" hidden="false" customHeight="false" outlineLevel="0" collapsed="false">
      <c r="A961" s="9" t="s">
        <v>586</v>
      </c>
      <c r="C961" s="61" t="n">
        <f aca="false">IFERROR((S930+S932+S933+S934+S935)/S908,0)</f>
        <v>12738.0979974637</v>
      </c>
      <c r="D961" s="61"/>
    </row>
    <row r="962" customFormat="false" ht="15" hidden="false" customHeight="false" outlineLevel="0" collapsed="false">
      <c r="A962" s="9" t="s">
        <v>587</v>
      </c>
      <c r="C962" s="64" t="n">
        <f aca="false">IFERROR('Engine Runs'!$C$960/('Engine Runs'!$C$959*Assumptions!$E$76/12),0)</f>
        <v>163.021454705656</v>
      </c>
      <c r="D962" s="64"/>
    </row>
    <row r="963" customFormat="false" ht="15" hidden="false" customHeight="false" outlineLevel="0" collapsed="false">
      <c r="A963" s="9" t="s">
        <v>588</v>
      </c>
      <c r="C963" s="64" t="n">
        <f aca="false">IFERROR((R936/R908)/((R918/R908)*Assumptions!$E$76/12),0)</f>
        <v>117.749971592235</v>
      </c>
      <c r="D963" s="64"/>
    </row>
    <row r="964" customFormat="false" ht="15" hidden="false" customHeight="false" outlineLevel="0" collapsed="false">
      <c r="A964" s="9" t="s">
        <v>589</v>
      </c>
      <c r="C964" s="61" t="n">
        <f aca="false">S940</f>
        <v>7751157.39263834</v>
      </c>
      <c r="D964" s="61"/>
    </row>
    <row r="965" customFormat="false" ht="15" hidden="false" customHeight="false" outlineLevel="0" collapsed="false">
      <c r="A965" s="9" t="s">
        <v>590</v>
      </c>
      <c r="C965" s="61" t="n">
        <f aca="false">N943</f>
        <v>-7222892.95198776</v>
      </c>
      <c r="D965" s="61"/>
    </row>
    <row r="966" customFormat="false" ht="15" hidden="false" customHeight="false" outlineLevel="0" collapsed="false">
      <c r="A966" s="9" t="s">
        <v>591</v>
      </c>
      <c r="C966" s="61" t="n">
        <f aca="false">MIN($C$943:$N$943)</f>
        <v>-7222892.95198776</v>
      </c>
      <c r="D966" s="61"/>
    </row>
    <row r="967" customFormat="false" ht="15" hidden="false" customHeight="false" outlineLevel="0" collapsed="false">
      <c r="A967" s="9" t="s">
        <v>592</v>
      </c>
      <c r="C967" s="61" t="n">
        <f aca="false">N917*(Assumptions!$E$76-$C$951)*$C$950*(1-$C$950^Assumptions!$E$85)/(1-$C$950)</f>
        <v>1424855.23104191</v>
      </c>
      <c r="D967" s="61"/>
    </row>
    <row r="968" customFormat="false" ht="15" hidden="false" customHeight="false" outlineLevel="0" collapsed="false">
      <c r="A968" s="9" t="s">
        <v>593</v>
      </c>
      <c r="C968" s="61" t="n">
        <f aca="false">N917*(Assumptions!$E$76-$C$951)*(1-Assumptions!$E$88)/(1+Assumptions!$E$87)^2.5*$C$952*(1-$C$952^Assumptions!$E$85)/(1-$C$952)</f>
        <v>634137.974333176</v>
      </c>
      <c r="D968" s="61"/>
    </row>
    <row r="969" customFormat="false" ht="15" hidden="false" customHeight="false" outlineLevel="0" collapsed="false">
      <c r="A969" s="9" t="s">
        <v>594</v>
      </c>
      <c r="C969" s="61" t="n">
        <f aca="false">SUM($C$945:$N$945)+'Engine Runs'!$C$968</f>
        <v>-5438648.65209082</v>
      </c>
      <c r="D969" s="61"/>
    </row>
    <row r="970" customFormat="false" ht="15" hidden="false" customHeight="false" outlineLevel="0" collapsed="false">
      <c r="A970" s="9" t="s">
        <v>595</v>
      </c>
      <c r="C970" s="61" t="n">
        <f aca="false">SUM($C$949:$N$949)+N947*(Assumptions!$E$76-Assumptions!$E$93)/(1+Assumptions!$E$87)^2.5*$C$953*(1-$C$953^Assumptions!$E$85)/(1-$C$953)</f>
        <v>3736306.25451755</v>
      </c>
      <c r="D970" s="61"/>
    </row>
    <row r="971" customFormat="false" ht="15" hidden="false" customHeight="false" outlineLevel="0" collapsed="false">
      <c r="A971" s="9" t="s">
        <v>596</v>
      </c>
      <c r="C971" s="61" t="n">
        <f aca="false">'Engine Runs'!$C$969-'Engine Runs'!$C$970</f>
        <v>-9174954.90660837</v>
      </c>
      <c r="D971" s="61"/>
    </row>
    <row r="972" customFormat="false" ht="15" hidden="false" customHeight="false" outlineLevel="0" collapsed="false">
      <c r="A972" s="9" t="s">
        <v>597</v>
      </c>
      <c r="C972" s="61" t="n">
        <f aca="false">S904</f>
        <v>0</v>
      </c>
      <c r="D972" s="61"/>
    </row>
    <row r="973" customFormat="false" ht="15" hidden="false" customHeight="false" outlineLevel="0" collapsed="false">
      <c r="A973" s="9" t="s">
        <v>598</v>
      </c>
      <c r="C973" s="63" t="n">
        <f aca="false">P888</f>
        <v>73.6465844201646</v>
      </c>
      <c r="D973" s="63"/>
    </row>
    <row r="974" customFormat="false" ht="15" hidden="false" customHeight="false" outlineLevel="0" collapsed="false">
      <c r="A974" s="9" t="s">
        <v>599</v>
      </c>
      <c r="C974" s="63" t="n">
        <f aca="false">P908</f>
        <v>10.2078993808733</v>
      </c>
      <c r="D974" s="63"/>
    </row>
    <row r="975" customFormat="false" ht="15" hidden="false" customHeight="false" outlineLevel="0" collapsed="false">
      <c r="A975" s="9" t="s">
        <v>600</v>
      </c>
      <c r="C975" s="63" t="n">
        <f aca="false">P884</f>
        <v>42</v>
      </c>
      <c r="D975" s="63"/>
    </row>
    <row r="976" customFormat="false" ht="15" hidden="false" customHeight="false" outlineLevel="0" collapsed="false">
      <c r="A976" s="9" t="s">
        <v>601</v>
      </c>
      <c r="C976" s="61" t="n">
        <f aca="false">IFERROR(P918/P908,0)</f>
        <v>8458.47709261422</v>
      </c>
      <c r="D976" s="61"/>
    </row>
    <row r="979" customFormat="false" ht="15" hidden="false" customHeight="true" outlineLevel="0" collapsed="false">
      <c r="A979" s="77" t="s">
        <v>777</v>
      </c>
      <c r="B979" s="77"/>
      <c r="C979" s="77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</row>
    <row r="980" customFormat="false" ht="23.85" hidden="false" customHeight="false" outlineLevel="0" collapsed="false">
      <c r="A980" s="35" t="s">
        <v>778</v>
      </c>
      <c r="B980" s="35" t="s">
        <v>444</v>
      </c>
      <c r="C980" s="6" t="s">
        <v>354</v>
      </c>
      <c r="D980" s="6" t="s">
        <v>355</v>
      </c>
      <c r="E980" s="6" t="s">
        <v>356</v>
      </c>
      <c r="F980" s="6" t="s">
        <v>357</v>
      </c>
      <c r="G980" s="6" t="s">
        <v>358</v>
      </c>
      <c r="H980" s="6" t="s">
        <v>359</v>
      </c>
      <c r="I980" s="6" t="s">
        <v>360</v>
      </c>
      <c r="J980" s="6" t="s">
        <v>361</v>
      </c>
      <c r="K980" s="6" t="s">
        <v>362</v>
      </c>
      <c r="L980" s="6" t="s">
        <v>363</v>
      </c>
      <c r="M980" s="6" t="s">
        <v>364</v>
      </c>
      <c r="N980" s="6" t="s">
        <v>365</v>
      </c>
      <c r="P980" s="6" t="s">
        <v>445</v>
      </c>
      <c r="Q980" s="6" t="s">
        <v>446</v>
      </c>
      <c r="R980" s="6" t="s">
        <v>447</v>
      </c>
      <c r="S980" s="6" t="s">
        <v>448</v>
      </c>
    </row>
    <row r="981" customFormat="false" ht="15" hidden="false" customHeight="false" outlineLevel="0" collapsed="false">
      <c r="A981" s="4" t="s">
        <v>449</v>
      </c>
      <c r="B981" s="36" t="s">
        <v>450</v>
      </c>
      <c r="C981" s="34" t="n">
        <f aca="false">'Market Sizing'!$C$17*Assumptions!$F$10*Assumptions!$F$11*(1-Assumptions!$F$12)</f>
        <v>843.03944704</v>
      </c>
    </row>
    <row r="982" customFormat="false" ht="15" hidden="false" customHeight="false" outlineLevel="0" collapsed="false">
      <c r="A982" s="4" t="s">
        <v>451</v>
      </c>
      <c r="B982" s="36" t="s">
        <v>450</v>
      </c>
      <c r="C982" s="34" t="n">
        <f aca="false">'Market Sizing'!$D$17*Assumptions!$F$10*Assumptions!$F$11*(1-Assumptions!$F$12)</f>
        <v>211.19616</v>
      </c>
    </row>
    <row r="983" customFormat="false" ht="15" hidden="false" customHeight="false" outlineLevel="0" collapsed="false">
      <c r="A983" s="4" t="s">
        <v>452</v>
      </c>
      <c r="B983" s="36" t="s">
        <v>450</v>
      </c>
      <c r="C983" s="34" t="n">
        <f aca="false">'Market Sizing'!$E$17*Assumptions!$F$10*Assumptions!$F$11*(1-Assumptions!$F$12)</f>
        <v>49.53984</v>
      </c>
    </row>
    <row r="984" customFormat="false" ht="15" hidden="false" customHeight="false" outlineLevel="0" collapsed="false">
      <c r="A984" s="4" t="s">
        <v>453</v>
      </c>
      <c r="B984" s="36"/>
      <c r="C984" s="34" t="n">
        <f aca="false">$C$981+$C$982+$C$983</f>
        <v>1103.77544704</v>
      </c>
    </row>
    <row r="985" customFormat="false" ht="15" hidden="false" customHeight="false" outlineLevel="0" collapsed="false">
      <c r="A985" s="4" t="s">
        <v>454</v>
      </c>
      <c r="B985" s="36" t="s">
        <v>450</v>
      </c>
      <c r="C985" s="34" t="n">
        <f aca="false">'Market Sizing'!$C$18*Assumptions!$F$10*Assumptions!$F$11*(1-Assumptions!$F$12)</f>
        <v>612.57706944</v>
      </c>
    </row>
    <row r="986" customFormat="false" ht="15" hidden="false" customHeight="false" outlineLevel="0" collapsed="false">
      <c r="A986" s="4" t="s">
        <v>455</v>
      </c>
      <c r="B986" s="36" t="s">
        <v>450</v>
      </c>
      <c r="C986" s="34" t="n">
        <f aca="false">'Market Sizing'!$D$18*Assumptions!$F$10*Assumptions!$F$11*(1-Assumptions!$F$12)</f>
        <v>142.10112</v>
      </c>
    </row>
    <row r="987" customFormat="false" ht="15" hidden="false" customHeight="false" outlineLevel="0" collapsed="false">
      <c r="A987" s="4" t="s">
        <v>456</v>
      </c>
      <c r="B987" s="36" t="s">
        <v>450</v>
      </c>
      <c r="C987" s="34" t="n">
        <f aca="false">'Market Sizing'!$E$18*Assumptions!$F$10*Assumptions!$F$11*(1-Assumptions!$F$12)</f>
        <v>24.76992</v>
      </c>
    </row>
    <row r="988" customFormat="false" ht="15" hidden="false" customHeight="false" outlineLevel="0" collapsed="false">
      <c r="A988" s="4" t="s">
        <v>457</v>
      </c>
      <c r="B988" s="36"/>
      <c r="C988" s="34" t="n">
        <f aca="false">$C$985+$C$986+$C$987</f>
        <v>779.44810944</v>
      </c>
    </row>
    <row r="989" customFormat="false" ht="15" hidden="false" customHeight="false" outlineLevel="0" collapsed="false">
      <c r="A989" s="4" t="s">
        <v>458</v>
      </c>
      <c r="B989" s="36" t="s">
        <v>450</v>
      </c>
      <c r="C989" s="34" t="n">
        <f aca="false">'Market Sizing'!$C$19*Assumptions!$F$10*Assumptions!$F$11*(1-Assumptions!$F$12)</f>
        <v>2060.77303936</v>
      </c>
    </row>
    <row r="990" customFormat="false" ht="15" hidden="false" customHeight="false" outlineLevel="0" collapsed="false">
      <c r="A990" s="4" t="s">
        <v>459</v>
      </c>
      <c r="B990" s="36" t="s">
        <v>450</v>
      </c>
      <c r="C990" s="34" t="n">
        <f aca="false">'Market Sizing'!$D$19*Assumptions!$F$10*Assumptions!$F$11*(1-Assumptions!$F$12)</f>
        <v>428.47616</v>
      </c>
    </row>
    <row r="991" customFormat="false" ht="15" hidden="false" customHeight="false" outlineLevel="0" collapsed="false">
      <c r="A991" s="4" t="s">
        <v>460</v>
      </c>
      <c r="B991" s="36" t="s">
        <v>450</v>
      </c>
      <c r="C991" s="34" t="n">
        <f aca="false">'Market Sizing'!$E$19*Assumptions!$F$10*Assumptions!$F$11*(1-Assumptions!$F$12)</f>
        <v>79.52448</v>
      </c>
    </row>
    <row r="992" customFormat="false" ht="15" hidden="false" customHeight="false" outlineLevel="0" collapsed="false">
      <c r="A992" s="4" t="s">
        <v>461</v>
      </c>
      <c r="B992" s="36"/>
      <c r="C992" s="34" t="n">
        <f aca="false">$C$989+$C$990+$C$991</f>
        <v>2568.77367936</v>
      </c>
    </row>
    <row r="993" customFormat="false" ht="15" hidden="false" customHeight="false" outlineLevel="0" collapsed="false">
      <c r="A993" s="4" t="s">
        <v>462</v>
      </c>
      <c r="B993" s="36" t="s">
        <v>463</v>
      </c>
      <c r="C993" s="33" t="n">
        <f aca="false">MAX((Assumptions!$F$51+Assumptions!$F$53)*12,(((('Market Sizing'!$E$25*Assumptions!$F$41*Assumptions!$F$42*Assumptions!$F$43)*Assumptions!$F$44)*Assumptions!$F$45*Assumptions!$F$46+('Market Sizing'!$E$25*Assumptions!$F$41*Assumptions!$F$42*Assumptions!$F$43)*Assumptions!$F$47+('Market Sizing'!$E$25*Assumptions!$F$41*Assumptions!$F$42*Assumptions!$F$43)*Assumptions!$F$48*Assumptions!$F$49)*(Assumptions!$F$51*12/Assumptions!$F$52)+((('Market Sizing'!$E$25*Assumptions!$F$41*Assumptions!$F$42*Assumptions!$F$43)*Assumptions!$F$44)*Assumptions!$F$45+('Market Sizing'!$E$25*Assumptions!$F$41*Assumptions!$F$42*Assumptions!$F$43)+('Market Sizing'!$E$25*Assumptions!$F$41*Assumptions!$F$42*Assumptions!$F$43)*Assumptions!$F$48)*Assumptions!$F$50*(Assumptions!$F$53*12/Assumptions!$F$54)))</f>
        <v>5352</v>
      </c>
    </row>
    <row r="994" customFormat="false" ht="15" hidden="false" customHeight="false" outlineLevel="0" collapsed="false">
      <c r="A994" s="4" t="s">
        <v>464</v>
      </c>
      <c r="B994" s="36" t="s">
        <v>463</v>
      </c>
      <c r="C994" s="33" t="n">
        <f aca="false">MAX((Assumptions!$F$51+Assumptions!$F$53)*12,(((('Market Sizing'!$E$26*Assumptions!$F$41*Assumptions!$F$42*Assumptions!$F$43)*Assumptions!$F$44)*Assumptions!$F$45*Assumptions!$F$46+('Market Sizing'!$E$26*Assumptions!$F$41*Assumptions!$F$42*Assumptions!$F$43)*Assumptions!$F$47+('Market Sizing'!$E$26*Assumptions!$F$41*Assumptions!$F$42*Assumptions!$F$43)*Assumptions!$F$48*Assumptions!$F$49)*(Assumptions!$F$51*12/Assumptions!$F$52)+((('Market Sizing'!$E$26*Assumptions!$F$41*Assumptions!$F$42*Assumptions!$F$43)*Assumptions!$F$44)*Assumptions!$F$45+('Market Sizing'!$E$26*Assumptions!$F$41*Assumptions!$F$42*Assumptions!$F$43)+('Market Sizing'!$E$26*Assumptions!$F$41*Assumptions!$F$42*Assumptions!$F$43)*Assumptions!$F$48)*Assumptions!$F$50*(Assumptions!$F$53*12/Assumptions!$F$54)))</f>
        <v>14650.0801931281</v>
      </c>
    </row>
    <row r="995" customFormat="false" ht="15" hidden="false" customHeight="false" outlineLevel="0" collapsed="false">
      <c r="A995" s="4" t="s">
        <v>465</v>
      </c>
      <c r="B995" s="36" t="s">
        <v>463</v>
      </c>
      <c r="C995" s="33" t="n">
        <f aca="false">MAX(Assumptions!$F$55*(Assumptions!$F$51*12/Assumptions!$F$52)+Assumptions!$F$56*(Assumptions!$F$53*12/Assumptions!$F$54),(((('Market Sizing'!$E$27*Assumptions!$F$41*Assumptions!$F$42*Assumptions!$F$43)*Assumptions!$F$44)*Assumptions!$F$45*Assumptions!$F$46+('Market Sizing'!$E$27*Assumptions!$F$41*Assumptions!$F$42*Assumptions!$F$43)*Assumptions!$F$47+('Market Sizing'!$E$27*Assumptions!$F$41*Assumptions!$F$42*Assumptions!$F$43)*Assumptions!$F$48*Assumptions!$F$49)*(Assumptions!$F$51*12/Assumptions!$F$52)+((('Market Sizing'!$E$27*Assumptions!$F$41*Assumptions!$F$42*Assumptions!$F$43)*Assumptions!$F$44)*Assumptions!$F$45+('Market Sizing'!$E$27*Assumptions!$F$41*Assumptions!$F$42*Assumptions!$F$43)+('Market Sizing'!$E$27*Assumptions!$F$41*Assumptions!$F$42*Assumptions!$F$43)*Assumptions!$F$48)*Assumptions!$F$50*(Assumptions!$F$53*12/Assumptions!$F$54)))*(1-Assumptions!$F$57)</f>
        <v>92667.3843291578</v>
      </c>
    </row>
    <row r="996" customFormat="false" ht="23.85" hidden="false" customHeight="false" outlineLevel="0" collapsed="false">
      <c r="A996" s="4" t="s">
        <v>466</v>
      </c>
      <c r="B996" s="36" t="s">
        <v>467</v>
      </c>
      <c r="C996" s="37" t="n">
        <f aca="false">Assumptions!$F$17*Assumptions!$E$106</f>
        <v>0.5</v>
      </c>
    </row>
    <row r="997" customFormat="false" ht="23.85" hidden="false" customHeight="false" outlineLevel="0" collapsed="false">
      <c r="A997" s="4" t="s">
        <v>468</v>
      </c>
      <c r="B997" s="36" t="s">
        <v>469</v>
      </c>
      <c r="C997" s="33" t="n">
        <f aca="false">Assumptions!$F$68/Assumptions!$F$69</f>
        <v>285714.285714286</v>
      </c>
    </row>
    <row r="998" customFormat="false" ht="23.85" hidden="false" customHeight="false" outlineLevel="0" collapsed="false">
      <c r="A998" s="4" t="s">
        <v>470</v>
      </c>
      <c r="B998" s="36" t="s">
        <v>471</v>
      </c>
      <c r="C998" s="33" t="n">
        <f aca="false">Assumptions!$F$66*Assumptions!$F$67/4</f>
        <v>185937.5</v>
      </c>
    </row>
    <row r="999" customFormat="false" ht="15" hidden="false" customHeight="false" outlineLevel="0" collapsed="false">
      <c r="A999" s="4" t="s">
        <v>472</v>
      </c>
      <c r="B999" s="36"/>
      <c r="C999" s="38" t="n">
        <f aca="false">$C$997/Assumptions!$F$66/Assumptions!$F$67</f>
        <v>0.384153661464586</v>
      </c>
    </row>
    <row r="1000" customFormat="false" ht="15" hidden="false" customHeight="false" outlineLevel="0" collapsed="false">
      <c r="A1000" s="4" t="s">
        <v>473</v>
      </c>
      <c r="B1000" s="36"/>
      <c r="C1000" s="33" t="n">
        <f aca="false">MAX(0,Assumptions!$E$103-Assumptions!$F$78)</f>
        <v>35000</v>
      </c>
    </row>
    <row r="1001" customFormat="false" ht="15" hidden="false" customHeight="false" outlineLevel="0" collapsed="false">
      <c r="A1001" s="35" t="s">
        <v>474</v>
      </c>
      <c r="B1001" s="35" t="s">
        <v>444</v>
      </c>
      <c r="C1001" s="6" t="s">
        <v>354</v>
      </c>
      <c r="D1001" s="6" t="s">
        <v>355</v>
      </c>
      <c r="E1001" s="6" t="s">
        <v>356</v>
      </c>
      <c r="F1001" s="6" t="s">
        <v>357</v>
      </c>
      <c r="G1001" s="6" t="s">
        <v>358</v>
      </c>
      <c r="H1001" s="6" t="s">
        <v>359</v>
      </c>
      <c r="I1001" s="6" t="s">
        <v>360</v>
      </c>
      <c r="J1001" s="6" t="s">
        <v>361</v>
      </c>
      <c r="K1001" s="6" t="s">
        <v>362</v>
      </c>
      <c r="L1001" s="6" t="s">
        <v>363</v>
      </c>
      <c r="M1001" s="6" t="s">
        <v>364</v>
      </c>
      <c r="N1001" s="6" t="s">
        <v>365</v>
      </c>
      <c r="P1001" s="6" t="s">
        <v>445</v>
      </c>
      <c r="Q1001" s="6" t="s">
        <v>446</v>
      </c>
      <c r="R1001" s="6" t="s">
        <v>447</v>
      </c>
      <c r="S1001" s="6" t="s">
        <v>448</v>
      </c>
    </row>
    <row r="1002" customFormat="false" ht="15" hidden="false" customHeight="false" outlineLevel="0" collapsed="false">
      <c r="A1002" s="4" t="s">
        <v>475</v>
      </c>
      <c r="B1002" s="36" t="s">
        <v>133</v>
      </c>
      <c r="C1002" s="39" t="n">
        <v>1</v>
      </c>
      <c r="D1002" s="39" t="n">
        <v>2</v>
      </c>
      <c r="E1002" s="39" t="n">
        <v>3</v>
      </c>
      <c r="F1002" s="39" t="n">
        <v>4</v>
      </c>
      <c r="G1002" s="39" t="n">
        <v>5</v>
      </c>
      <c r="H1002" s="39" t="n">
        <v>6</v>
      </c>
      <c r="I1002" s="39" t="n">
        <v>7</v>
      </c>
      <c r="J1002" s="39" t="n">
        <v>8</v>
      </c>
      <c r="K1002" s="39" t="n">
        <v>9</v>
      </c>
      <c r="L1002" s="39" t="n">
        <v>10</v>
      </c>
      <c r="M1002" s="39" t="n">
        <v>11</v>
      </c>
      <c r="N1002" s="39" t="n">
        <v>12</v>
      </c>
      <c r="P1002" s="40"/>
      <c r="Q1002" s="40"/>
      <c r="R1002" s="40"/>
      <c r="S1002" s="41"/>
    </row>
    <row r="1003" customFormat="false" ht="15" hidden="false" customHeight="false" outlineLevel="0" collapsed="false">
      <c r="A1003" s="4" t="s">
        <v>476</v>
      </c>
      <c r="B1003" s="36" t="s">
        <v>343</v>
      </c>
      <c r="C1003" s="39" t="n">
        <f aca="false">IF(C1002&lt;=Assumptions!$F$84,1,0)</f>
        <v>1</v>
      </c>
      <c r="D1003" s="39" t="n">
        <f aca="false">IF(D1002&lt;=Assumptions!$F$84,1,0)</f>
        <v>1</v>
      </c>
      <c r="E1003" s="39" t="n">
        <f aca="false">IF(E1002&lt;=Assumptions!$F$84,1,0)</f>
        <v>1</v>
      </c>
      <c r="F1003" s="39" t="n">
        <f aca="false">IF(F1002&lt;=Assumptions!$F$84,1,0)</f>
        <v>1</v>
      </c>
      <c r="G1003" s="39" t="n">
        <f aca="false">IF(G1002&lt;=Assumptions!$F$84,1,0)</f>
        <v>1</v>
      </c>
      <c r="H1003" s="39" t="n">
        <f aca="false">IF(H1002&lt;=Assumptions!$F$84,1,0)</f>
        <v>1</v>
      </c>
      <c r="I1003" s="39" t="n">
        <f aca="false">IF(I1002&lt;=Assumptions!$F$84,1,0)</f>
        <v>1</v>
      </c>
      <c r="J1003" s="39" t="n">
        <f aca="false">IF(J1002&lt;=Assumptions!$F$84,1,0)</f>
        <v>1</v>
      </c>
      <c r="K1003" s="39" t="n">
        <f aca="false">IF(K1002&lt;=Assumptions!$F$84,1,0)</f>
        <v>1</v>
      </c>
      <c r="L1003" s="39" t="n">
        <f aca="false">IF(L1002&lt;=Assumptions!$F$84,1,0)</f>
        <v>1</v>
      </c>
      <c r="M1003" s="39" t="n">
        <f aca="false">IF(M1002&lt;=Assumptions!$F$84,1,0)</f>
        <v>1</v>
      </c>
      <c r="N1003" s="39" t="n">
        <f aca="false">IF(N1002&lt;=Assumptions!$F$84,1,0)</f>
        <v>1</v>
      </c>
      <c r="P1003" s="40"/>
      <c r="Q1003" s="40"/>
      <c r="R1003" s="40"/>
      <c r="S1003" s="41"/>
    </row>
    <row r="1004" customFormat="false" ht="15" hidden="false" customHeight="false" outlineLevel="0" collapsed="false">
      <c r="A1004" s="4" t="s">
        <v>477</v>
      </c>
      <c r="B1004" s="36" t="s">
        <v>478</v>
      </c>
      <c r="C1004" s="42" t="n">
        <f aca="false">IF(C1002=Assumptions!$F$13,0.5,IF(C1002&gt;Assumptions!$F$13,1,0))</f>
        <v>0.5</v>
      </c>
      <c r="D1004" s="42" t="n">
        <f aca="false">IF(D1002=Assumptions!$F$13,0.5,IF(D1002&gt;Assumptions!$F$13,1,0))</f>
        <v>1</v>
      </c>
      <c r="E1004" s="42" t="n">
        <f aca="false">IF(E1002=Assumptions!$F$13,0.5,IF(E1002&gt;Assumptions!$F$13,1,0))</f>
        <v>1</v>
      </c>
      <c r="F1004" s="42" t="n">
        <f aca="false">IF(F1002=Assumptions!$F$13,0.5,IF(F1002&gt;Assumptions!$F$13,1,0))</f>
        <v>1</v>
      </c>
      <c r="G1004" s="42" t="n">
        <f aca="false">IF(G1002=Assumptions!$F$13,0.5,IF(G1002&gt;Assumptions!$F$13,1,0))</f>
        <v>1</v>
      </c>
      <c r="H1004" s="42" t="n">
        <f aca="false">IF(H1002=Assumptions!$F$13,0.5,IF(H1002&gt;Assumptions!$F$13,1,0))</f>
        <v>1</v>
      </c>
      <c r="I1004" s="42" t="n">
        <f aca="false">IF(I1002=Assumptions!$F$13,0.5,IF(I1002&gt;Assumptions!$F$13,1,0))</f>
        <v>1</v>
      </c>
      <c r="J1004" s="42" t="n">
        <f aca="false">IF(J1002=Assumptions!$F$13,0.5,IF(J1002&gt;Assumptions!$F$13,1,0))</f>
        <v>1</v>
      </c>
      <c r="K1004" s="42" t="n">
        <f aca="false">IF(K1002=Assumptions!$F$13,0.5,IF(K1002&gt;Assumptions!$F$13,1,0))</f>
        <v>1</v>
      </c>
      <c r="L1004" s="42" t="n">
        <f aca="false">IF(L1002=Assumptions!$F$13,0.5,IF(L1002&gt;Assumptions!$F$13,1,0))</f>
        <v>1</v>
      </c>
      <c r="M1004" s="42" t="n">
        <f aca="false">IF(M1002=Assumptions!$F$13,0.5,IF(M1002&gt;Assumptions!$F$13,1,0))</f>
        <v>1</v>
      </c>
      <c r="N1004" s="42" t="n">
        <f aca="false">IF(N1002=Assumptions!$F$13,0.5,IF(N1002&gt;Assumptions!$F$13,1,0))</f>
        <v>1</v>
      </c>
      <c r="P1004" s="43"/>
      <c r="Q1004" s="43"/>
      <c r="R1004" s="43"/>
      <c r="S1004" s="44"/>
    </row>
    <row r="1005" customFormat="false" ht="15" hidden="false" customHeight="false" outlineLevel="0" collapsed="false">
      <c r="A1005" s="4" t="s">
        <v>479</v>
      </c>
      <c r="B1005" s="36" t="s">
        <v>478</v>
      </c>
      <c r="C1005" s="42" t="n">
        <f aca="false">IF(C1002=Assumptions!$F$14,0.5,IF(C1002&gt;Assumptions!$F$14,1,0))</f>
        <v>0</v>
      </c>
      <c r="D1005" s="42" t="n">
        <f aca="false">IF(D1002=Assumptions!$F$14,0.5,IF(D1002&gt;Assumptions!$F$14,1,0))</f>
        <v>0</v>
      </c>
      <c r="E1005" s="42" t="n">
        <f aca="false">IF(E1002=Assumptions!$F$14,0.5,IF(E1002&gt;Assumptions!$F$14,1,0))</f>
        <v>0</v>
      </c>
      <c r="F1005" s="42" t="n">
        <f aca="false">IF(F1002=Assumptions!$F$14,0.5,IF(F1002&gt;Assumptions!$F$14,1,0))</f>
        <v>0.5</v>
      </c>
      <c r="G1005" s="42" t="n">
        <f aca="false">IF(G1002=Assumptions!$F$14,0.5,IF(G1002&gt;Assumptions!$F$14,1,0))</f>
        <v>1</v>
      </c>
      <c r="H1005" s="42" t="n">
        <f aca="false">IF(H1002=Assumptions!$F$14,0.5,IF(H1002&gt;Assumptions!$F$14,1,0))</f>
        <v>1</v>
      </c>
      <c r="I1005" s="42" t="n">
        <f aca="false">IF(I1002=Assumptions!$F$14,0.5,IF(I1002&gt;Assumptions!$F$14,1,0))</f>
        <v>1</v>
      </c>
      <c r="J1005" s="42" t="n">
        <f aca="false">IF(J1002=Assumptions!$F$14,0.5,IF(J1002&gt;Assumptions!$F$14,1,0))</f>
        <v>1</v>
      </c>
      <c r="K1005" s="42" t="n">
        <f aca="false">IF(K1002=Assumptions!$F$14,0.5,IF(K1002&gt;Assumptions!$F$14,1,0))</f>
        <v>1</v>
      </c>
      <c r="L1005" s="42" t="n">
        <f aca="false">IF(L1002=Assumptions!$F$14,0.5,IF(L1002&gt;Assumptions!$F$14,1,0))</f>
        <v>1</v>
      </c>
      <c r="M1005" s="42" t="n">
        <f aca="false">IF(M1002=Assumptions!$F$14,0.5,IF(M1002&gt;Assumptions!$F$14,1,0))</f>
        <v>1</v>
      </c>
      <c r="N1005" s="42" t="n">
        <f aca="false">IF(N1002=Assumptions!$F$14,0.5,IF(N1002&gt;Assumptions!$F$14,1,0))</f>
        <v>1</v>
      </c>
      <c r="P1005" s="43"/>
      <c r="Q1005" s="43"/>
      <c r="R1005" s="43"/>
      <c r="S1005" s="44"/>
    </row>
    <row r="1006" customFormat="false" ht="15" hidden="false" customHeight="false" outlineLevel="0" collapsed="false">
      <c r="A1006" s="4" t="s">
        <v>480</v>
      </c>
      <c r="B1006" s="36" t="s">
        <v>478</v>
      </c>
      <c r="C1006" s="42" t="n">
        <f aca="false">IF(C1002=Assumptions!$F$15,0.5,IF(C1002&gt;Assumptions!$F$15,1,0))</f>
        <v>0</v>
      </c>
      <c r="D1006" s="42" t="n">
        <f aca="false">IF(D1002=Assumptions!$F$15,0.5,IF(D1002&gt;Assumptions!$F$15,1,0))</f>
        <v>0</v>
      </c>
      <c r="E1006" s="42" t="n">
        <f aca="false">IF(E1002=Assumptions!$F$15,0.5,IF(E1002&gt;Assumptions!$F$15,1,0))</f>
        <v>0</v>
      </c>
      <c r="F1006" s="42" t="n">
        <f aca="false">IF(F1002=Assumptions!$F$15,0.5,IF(F1002&gt;Assumptions!$F$15,1,0))</f>
        <v>0</v>
      </c>
      <c r="G1006" s="42" t="n">
        <f aca="false">IF(G1002=Assumptions!$F$15,0.5,IF(G1002&gt;Assumptions!$F$15,1,0))</f>
        <v>0</v>
      </c>
      <c r="H1006" s="42" t="n">
        <f aca="false">IF(H1002=Assumptions!$F$15,0.5,IF(H1002&gt;Assumptions!$F$15,1,0))</f>
        <v>0.5</v>
      </c>
      <c r="I1006" s="42" t="n">
        <f aca="false">IF(I1002=Assumptions!$F$15,0.5,IF(I1002&gt;Assumptions!$F$15,1,0))</f>
        <v>1</v>
      </c>
      <c r="J1006" s="42" t="n">
        <f aca="false">IF(J1002=Assumptions!$F$15,0.5,IF(J1002&gt;Assumptions!$F$15,1,0))</f>
        <v>1</v>
      </c>
      <c r="K1006" s="42" t="n">
        <f aca="false">IF(K1002=Assumptions!$F$15,0.5,IF(K1002&gt;Assumptions!$F$15,1,0))</f>
        <v>1</v>
      </c>
      <c r="L1006" s="42" t="n">
        <f aca="false">IF(L1002=Assumptions!$F$15,0.5,IF(L1002&gt;Assumptions!$F$15,1,0))</f>
        <v>1</v>
      </c>
      <c r="M1006" s="42" t="n">
        <f aca="false">IF(M1002=Assumptions!$F$15,0.5,IF(M1002&gt;Assumptions!$F$15,1,0))</f>
        <v>1</v>
      </c>
      <c r="N1006" s="42" t="n">
        <f aca="false">IF(N1002=Assumptions!$F$15,0.5,IF(N1002&gt;Assumptions!$F$15,1,0))</f>
        <v>1</v>
      </c>
      <c r="P1006" s="43"/>
      <c r="Q1006" s="43"/>
      <c r="R1006" s="43"/>
      <c r="S1006" s="44"/>
    </row>
    <row r="1007" customFormat="false" ht="15" hidden="false" customHeight="false" outlineLevel="0" collapsed="false">
      <c r="A1007" s="4" t="s">
        <v>481</v>
      </c>
      <c r="B1007" s="36" t="s">
        <v>478</v>
      </c>
      <c r="C1007" s="45" t="n">
        <f aca="false">Assumptions!$F$21^(MAX(0,C1002-Assumptions!$F$13)/4)</f>
        <v>1</v>
      </c>
      <c r="D1007" s="45" t="n">
        <f aca="false">Assumptions!$F$21^(MAX(0,D1002-Assumptions!$F$13)/4)</f>
        <v>0.960184589404188</v>
      </c>
      <c r="E1007" s="45" t="n">
        <f aca="false">Assumptions!$F$21^(MAX(0,E1002-Assumptions!$F$13)/4)</f>
        <v>0.921954445729289</v>
      </c>
      <c r="F1007" s="45" t="n">
        <f aca="false">Assumptions!$F$21^(MAX(0,F1002-Assumptions!$F$13)/4)</f>
        <v>0.885246450921943</v>
      </c>
      <c r="G1007" s="45" t="n">
        <f aca="false">Assumptions!$F$21^(MAX(0,G1002-Assumptions!$F$13)/4)</f>
        <v>0.85</v>
      </c>
      <c r="H1007" s="45" t="n">
        <f aca="false">Assumptions!$F$21^(MAX(0,H1002-Assumptions!$F$13)/4)</f>
        <v>0.81615690099356</v>
      </c>
      <c r="I1007" s="45" t="n">
        <f aca="false">Assumptions!$F$21^(MAX(0,I1002-Assumptions!$F$13)/4)</f>
        <v>0.783661278869895</v>
      </c>
      <c r="J1007" s="45" t="n">
        <f aca="false">Assumptions!$F$21^(MAX(0,J1002-Assumptions!$F$13)/4)</f>
        <v>0.752459483283651</v>
      </c>
      <c r="K1007" s="45" t="n">
        <f aca="false">Assumptions!$F$21^(MAX(0,K1002-Assumptions!$F$13)/4)</f>
        <v>0.7225</v>
      </c>
      <c r="L1007" s="45" t="n">
        <f aca="false">Assumptions!$F$21^(MAX(0,L1002-Assumptions!$F$13)/4)</f>
        <v>0.693733365844526</v>
      </c>
      <c r="M1007" s="45" t="n">
        <f aca="false">Assumptions!$F$21^(MAX(0,M1002-Assumptions!$F$13)/4)</f>
        <v>0.666112087039411</v>
      </c>
      <c r="N1007" s="45" t="n">
        <f aca="false">Assumptions!$F$21^(MAX(0,N1002-Assumptions!$F$13)/4)</f>
        <v>0.639590560791104</v>
      </c>
      <c r="P1007" s="46"/>
      <c r="Q1007" s="46"/>
      <c r="R1007" s="46"/>
      <c r="S1007" s="47"/>
    </row>
    <row r="1008" customFormat="false" ht="15" hidden="false" customHeight="false" outlineLevel="0" collapsed="false">
      <c r="A1008" s="4" t="s">
        <v>482</v>
      </c>
      <c r="B1008" s="36" t="s">
        <v>478</v>
      </c>
      <c r="C1008" s="45" t="n">
        <f aca="false">Assumptions!$F$21^(MAX(0,C1002-Assumptions!$F$14)/4)</f>
        <v>1</v>
      </c>
      <c r="D1008" s="45" t="n">
        <f aca="false">Assumptions!$F$21^(MAX(0,D1002-Assumptions!$F$14)/4)</f>
        <v>1</v>
      </c>
      <c r="E1008" s="45" t="n">
        <f aca="false">Assumptions!$F$21^(MAX(0,E1002-Assumptions!$F$14)/4)</f>
        <v>1</v>
      </c>
      <c r="F1008" s="45" t="n">
        <f aca="false">Assumptions!$F$21^(MAX(0,F1002-Assumptions!$F$14)/4)</f>
        <v>1</v>
      </c>
      <c r="G1008" s="45" t="n">
        <f aca="false">Assumptions!$F$21^(MAX(0,G1002-Assumptions!$F$14)/4)</f>
        <v>0.960184589404188</v>
      </c>
      <c r="H1008" s="45" t="n">
        <f aca="false">Assumptions!$F$21^(MAX(0,H1002-Assumptions!$F$14)/4)</f>
        <v>0.921954445729289</v>
      </c>
      <c r="I1008" s="45" t="n">
        <f aca="false">Assumptions!$F$21^(MAX(0,I1002-Assumptions!$F$14)/4)</f>
        <v>0.885246450921943</v>
      </c>
      <c r="J1008" s="45" t="n">
        <f aca="false">Assumptions!$F$21^(MAX(0,J1002-Assumptions!$F$14)/4)</f>
        <v>0.85</v>
      </c>
      <c r="K1008" s="45" t="n">
        <f aca="false">Assumptions!$F$21^(MAX(0,K1002-Assumptions!$F$14)/4)</f>
        <v>0.81615690099356</v>
      </c>
      <c r="L1008" s="45" t="n">
        <f aca="false">Assumptions!$F$21^(MAX(0,L1002-Assumptions!$F$14)/4)</f>
        <v>0.783661278869895</v>
      </c>
      <c r="M1008" s="45" t="n">
        <f aca="false">Assumptions!$F$21^(MAX(0,M1002-Assumptions!$F$14)/4)</f>
        <v>0.752459483283651</v>
      </c>
      <c r="N1008" s="45" t="n">
        <f aca="false">Assumptions!$F$21^(MAX(0,N1002-Assumptions!$F$14)/4)</f>
        <v>0.7225</v>
      </c>
      <c r="P1008" s="46"/>
      <c r="Q1008" s="46"/>
      <c r="R1008" s="46"/>
      <c r="S1008" s="47"/>
    </row>
    <row r="1009" customFormat="false" ht="15" hidden="false" customHeight="false" outlineLevel="0" collapsed="false">
      <c r="A1009" s="4" t="s">
        <v>483</v>
      </c>
      <c r="B1009" s="36" t="s">
        <v>478</v>
      </c>
      <c r="C1009" s="45" t="n">
        <f aca="false">Assumptions!$F$21^(MAX(0,C1002-Assumptions!$F$15)/4)</f>
        <v>1</v>
      </c>
      <c r="D1009" s="45" t="n">
        <f aca="false">Assumptions!$F$21^(MAX(0,D1002-Assumptions!$F$15)/4)</f>
        <v>1</v>
      </c>
      <c r="E1009" s="45" t="n">
        <f aca="false">Assumptions!$F$21^(MAX(0,E1002-Assumptions!$F$15)/4)</f>
        <v>1</v>
      </c>
      <c r="F1009" s="45" t="n">
        <f aca="false">Assumptions!$F$21^(MAX(0,F1002-Assumptions!$F$15)/4)</f>
        <v>1</v>
      </c>
      <c r="G1009" s="45" t="n">
        <f aca="false">Assumptions!$F$21^(MAX(0,G1002-Assumptions!$F$15)/4)</f>
        <v>1</v>
      </c>
      <c r="H1009" s="45" t="n">
        <f aca="false">Assumptions!$F$21^(MAX(0,H1002-Assumptions!$F$15)/4)</f>
        <v>1</v>
      </c>
      <c r="I1009" s="45" t="n">
        <f aca="false">Assumptions!$F$21^(MAX(0,I1002-Assumptions!$F$15)/4)</f>
        <v>0.960184589404188</v>
      </c>
      <c r="J1009" s="45" t="n">
        <f aca="false">Assumptions!$F$21^(MAX(0,J1002-Assumptions!$F$15)/4)</f>
        <v>0.921954445729289</v>
      </c>
      <c r="K1009" s="45" t="n">
        <f aca="false">Assumptions!$F$21^(MAX(0,K1002-Assumptions!$F$15)/4)</f>
        <v>0.885246450921943</v>
      </c>
      <c r="L1009" s="45" t="n">
        <f aca="false">Assumptions!$F$21^(MAX(0,L1002-Assumptions!$F$15)/4)</f>
        <v>0.85</v>
      </c>
      <c r="M1009" s="45" t="n">
        <f aca="false">Assumptions!$F$21^(MAX(0,M1002-Assumptions!$F$15)/4)</f>
        <v>0.81615690099356</v>
      </c>
      <c r="N1009" s="45" t="n">
        <f aca="false">Assumptions!$F$21^(MAX(0,N1002-Assumptions!$F$15)/4)</f>
        <v>0.783661278869895</v>
      </c>
      <c r="P1009" s="46"/>
      <c r="Q1009" s="46"/>
      <c r="R1009" s="46"/>
      <c r="S1009" s="47"/>
    </row>
    <row r="1010" customFormat="false" ht="15" hidden="false" customHeight="false" outlineLevel="0" collapsed="false">
      <c r="A1010" s="4" t="s">
        <v>484</v>
      </c>
      <c r="B1010" s="36" t="s">
        <v>485</v>
      </c>
      <c r="C1010" s="39" t="n">
        <f aca="false">$C$981*C1004+$C$985*C1005+$C$989*C1006</f>
        <v>421.51972352</v>
      </c>
      <c r="D1010" s="39" t="n">
        <f aca="false">$C$981*D1004+$C$985*D1005+$C$989*D1006</f>
        <v>843.03944704</v>
      </c>
      <c r="E1010" s="39" t="n">
        <f aca="false">$C$981*E1004+$C$985*E1005+$C$989*E1006</f>
        <v>843.03944704</v>
      </c>
      <c r="F1010" s="39" t="n">
        <f aca="false">$C$981*F1004+$C$985*F1005+$C$989*F1006</f>
        <v>1149.32798176</v>
      </c>
      <c r="G1010" s="39" t="n">
        <f aca="false">$C$981*G1004+$C$985*G1005+$C$989*G1006</f>
        <v>1455.61651648</v>
      </c>
      <c r="H1010" s="39" t="n">
        <f aca="false">$C$981*H1004+$C$985*H1005+$C$989*H1006</f>
        <v>2486.00303616</v>
      </c>
      <c r="I1010" s="39" t="n">
        <f aca="false">$C$981*I1004+$C$985*I1005+$C$989*I1006</f>
        <v>3516.38955584</v>
      </c>
      <c r="J1010" s="39" t="n">
        <f aca="false">$C$981*J1004+$C$985*J1005+$C$989*J1006</f>
        <v>3516.38955584</v>
      </c>
      <c r="K1010" s="39" t="n">
        <f aca="false">$C$981*K1004+$C$985*K1005+$C$989*K1006</f>
        <v>3516.38955584</v>
      </c>
      <c r="L1010" s="39" t="n">
        <f aca="false">$C$981*L1004+$C$985*L1005+$C$989*L1006</f>
        <v>3516.38955584</v>
      </c>
      <c r="M1010" s="39" t="n">
        <f aca="false">$C$981*M1004+$C$985*M1005+$C$989*M1006</f>
        <v>3516.38955584</v>
      </c>
      <c r="N1010" s="39" t="n">
        <f aca="false">$C$981*N1004+$C$985*N1005+$C$989*N1006</f>
        <v>3516.38955584</v>
      </c>
      <c r="P1010" s="40" t="n">
        <f aca="false">F1010</f>
        <v>1149.32798176</v>
      </c>
      <c r="Q1010" s="40" t="n">
        <f aca="false">J1010</f>
        <v>3516.38955584</v>
      </c>
      <c r="R1010" s="40" t="n">
        <f aca="false">N1010</f>
        <v>3516.38955584</v>
      </c>
      <c r="S1010" s="41" t="n">
        <f aca="false">R1010</f>
        <v>3516.38955584</v>
      </c>
    </row>
    <row r="1011" customFormat="false" ht="15" hidden="false" customHeight="false" outlineLevel="0" collapsed="false">
      <c r="A1011" s="4" t="s">
        <v>486</v>
      </c>
      <c r="B1011" s="36" t="s">
        <v>485</v>
      </c>
      <c r="C1011" s="39" t="n">
        <f aca="false">$C$982*C1004+$C$986*C1005+$C$990*C1006</f>
        <v>105.59808</v>
      </c>
      <c r="D1011" s="39" t="n">
        <f aca="false">$C$982*D1004+$C$986*D1005+$C$990*D1006</f>
        <v>211.19616</v>
      </c>
      <c r="E1011" s="39" t="n">
        <f aca="false">$C$982*E1004+$C$986*E1005+$C$990*E1006</f>
        <v>211.19616</v>
      </c>
      <c r="F1011" s="39" t="n">
        <f aca="false">$C$982*F1004+$C$986*F1005+$C$990*F1006</f>
        <v>282.24672</v>
      </c>
      <c r="G1011" s="39" t="n">
        <f aca="false">$C$982*G1004+$C$986*G1005+$C$990*G1006</f>
        <v>353.29728</v>
      </c>
      <c r="H1011" s="39" t="n">
        <f aca="false">$C$982*H1004+$C$986*H1005+$C$990*H1006</f>
        <v>567.53536</v>
      </c>
      <c r="I1011" s="39" t="n">
        <f aca="false">$C$982*I1004+$C$986*I1005+$C$990*I1006</f>
        <v>781.77344</v>
      </c>
      <c r="J1011" s="39" t="n">
        <f aca="false">$C$982*J1004+$C$986*J1005+$C$990*J1006</f>
        <v>781.77344</v>
      </c>
      <c r="K1011" s="39" t="n">
        <f aca="false">$C$982*K1004+$C$986*K1005+$C$990*K1006</f>
        <v>781.77344</v>
      </c>
      <c r="L1011" s="39" t="n">
        <f aca="false">$C$982*L1004+$C$986*L1005+$C$990*L1006</f>
        <v>781.77344</v>
      </c>
      <c r="M1011" s="39" t="n">
        <f aca="false">$C$982*M1004+$C$986*M1005+$C$990*M1006</f>
        <v>781.77344</v>
      </c>
      <c r="N1011" s="39" t="n">
        <f aca="false">$C$982*N1004+$C$986*N1005+$C$990*N1006</f>
        <v>781.77344</v>
      </c>
      <c r="P1011" s="40" t="n">
        <f aca="false">F1011</f>
        <v>282.24672</v>
      </c>
      <c r="Q1011" s="40" t="n">
        <f aca="false">J1011</f>
        <v>781.77344</v>
      </c>
      <c r="R1011" s="40" t="n">
        <f aca="false">N1011</f>
        <v>781.77344</v>
      </c>
      <c r="S1011" s="41" t="n">
        <f aca="false">R1011</f>
        <v>781.77344</v>
      </c>
    </row>
    <row r="1012" customFormat="false" ht="15" hidden="false" customHeight="false" outlineLevel="0" collapsed="false">
      <c r="A1012" s="4" t="s">
        <v>487</v>
      </c>
      <c r="B1012" s="36" t="s">
        <v>485</v>
      </c>
      <c r="C1012" s="39" t="n">
        <f aca="false">$C$983*C1004+$C$987*C1005+$C$991*C1006</f>
        <v>24.76992</v>
      </c>
      <c r="D1012" s="39" t="n">
        <f aca="false">$C$983*D1004+$C$987*D1005+$C$991*D1006</f>
        <v>49.53984</v>
      </c>
      <c r="E1012" s="39" t="n">
        <f aca="false">$C$983*E1004+$C$987*E1005+$C$991*E1006</f>
        <v>49.53984</v>
      </c>
      <c r="F1012" s="39" t="n">
        <f aca="false">$C$983*F1004+$C$987*F1005+$C$991*F1006</f>
        <v>61.9248</v>
      </c>
      <c r="G1012" s="39" t="n">
        <f aca="false">$C$983*G1004+$C$987*G1005+$C$991*G1006</f>
        <v>74.30976</v>
      </c>
      <c r="H1012" s="39" t="n">
        <f aca="false">$C$983*H1004+$C$987*H1005+$C$991*H1006</f>
        <v>114.072</v>
      </c>
      <c r="I1012" s="39" t="n">
        <f aca="false">$C$983*I1004+$C$987*I1005+$C$991*I1006</f>
        <v>153.83424</v>
      </c>
      <c r="J1012" s="39" t="n">
        <f aca="false">$C$983*J1004+$C$987*J1005+$C$991*J1006</f>
        <v>153.83424</v>
      </c>
      <c r="K1012" s="39" t="n">
        <f aca="false">$C$983*K1004+$C$987*K1005+$C$991*K1006</f>
        <v>153.83424</v>
      </c>
      <c r="L1012" s="39" t="n">
        <f aca="false">$C$983*L1004+$C$987*L1005+$C$991*L1006</f>
        <v>153.83424</v>
      </c>
      <c r="M1012" s="39" t="n">
        <f aca="false">$C$983*M1004+$C$987*M1005+$C$991*M1006</f>
        <v>153.83424</v>
      </c>
      <c r="N1012" s="39" t="n">
        <f aca="false">$C$983*N1004+$C$987*N1005+$C$991*N1006</f>
        <v>153.83424</v>
      </c>
      <c r="P1012" s="40" t="n">
        <f aca="false">F1012</f>
        <v>61.9248</v>
      </c>
      <c r="Q1012" s="40" t="n">
        <f aca="false">J1012</f>
        <v>153.83424</v>
      </c>
      <c r="R1012" s="40" t="n">
        <f aca="false">N1012</f>
        <v>153.83424</v>
      </c>
      <c r="S1012" s="41" t="n">
        <f aca="false">R1012</f>
        <v>153.83424</v>
      </c>
    </row>
    <row r="1013" customFormat="false" ht="15" hidden="false" customHeight="false" outlineLevel="0" collapsed="false">
      <c r="A1013" s="4" t="s">
        <v>488</v>
      </c>
      <c r="B1013" s="36" t="s">
        <v>485</v>
      </c>
      <c r="C1013" s="39" t="n">
        <f aca="false">C1010+C1011+C1012</f>
        <v>551.88772352</v>
      </c>
      <c r="D1013" s="39" t="n">
        <f aca="false">D1010+D1011+D1012</f>
        <v>1103.77544704</v>
      </c>
      <c r="E1013" s="39" t="n">
        <f aca="false">E1010+E1011+E1012</f>
        <v>1103.77544704</v>
      </c>
      <c r="F1013" s="39" t="n">
        <f aca="false">F1010+F1011+F1012</f>
        <v>1493.49950176</v>
      </c>
      <c r="G1013" s="39" t="n">
        <f aca="false">G1010+G1011+G1012</f>
        <v>1883.22355648</v>
      </c>
      <c r="H1013" s="39" t="n">
        <f aca="false">H1010+H1011+H1012</f>
        <v>3167.61039616</v>
      </c>
      <c r="I1013" s="39" t="n">
        <f aca="false">I1010+I1011+I1012</f>
        <v>4451.99723584</v>
      </c>
      <c r="J1013" s="39" t="n">
        <f aca="false">J1010+J1011+J1012</f>
        <v>4451.99723584</v>
      </c>
      <c r="K1013" s="39" t="n">
        <f aca="false">K1010+K1011+K1012</f>
        <v>4451.99723584</v>
      </c>
      <c r="L1013" s="39" t="n">
        <f aca="false">L1010+L1011+L1012</f>
        <v>4451.99723584</v>
      </c>
      <c r="M1013" s="39" t="n">
        <f aca="false">M1010+M1011+M1012</f>
        <v>4451.99723584</v>
      </c>
      <c r="N1013" s="39" t="n">
        <f aca="false">N1010+N1011+N1012</f>
        <v>4451.99723584</v>
      </c>
      <c r="P1013" s="40" t="n">
        <f aca="false">F1013</f>
        <v>1493.49950176</v>
      </c>
      <c r="Q1013" s="40" t="n">
        <f aca="false">J1013</f>
        <v>4451.99723584</v>
      </c>
      <c r="R1013" s="40" t="n">
        <f aca="false">N1013</f>
        <v>4451.99723584</v>
      </c>
      <c r="S1013" s="41" t="n">
        <f aca="false">R1013</f>
        <v>4451.99723584</v>
      </c>
    </row>
    <row r="1014" customFormat="false" ht="15" hidden="false" customHeight="false" outlineLevel="0" collapsed="false">
      <c r="A1014" s="4" t="s">
        <v>489</v>
      </c>
      <c r="B1014" s="36" t="s">
        <v>485</v>
      </c>
      <c r="C1014" s="39" t="n">
        <f aca="false">$C$984*C1004*C1007+$C$988*C1005*C1008+$C$992*C1006*C1009</f>
        <v>551.88772352</v>
      </c>
      <c r="D1014" s="39" t="n">
        <f aca="false">$C$984*D1004*D1007+$C$988*D1005*D1008+$C$992*D1006*D1009</f>
        <v>1059.82817441053</v>
      </c>
      <c r="E1014" s="39" t="n">
        <f aca="false">$C$984*E1004*E1007+$C$988*E1005*E1008+$C$992*E1006*E1009</f>
        <v>1017.63068048536</v>
      </c>
      <c r="F1014" s="39" t="n">
        <f aca="false">$C$984*F1004*F1007+$C$988*F1005*F1008+$C$992*F1006*F1009</f>
        <v>1366.83735182694</v>
      </c>
      <c r="G1014" s="39" t="n">
        <f aca="false">$C$984*G1004*G1007+$C$988*G1005*G1008+$C$992*G1006*G1009</f>
        <v>1686.62319290852</v>
      </c>
      <c r="H1014" s="39" t="n">
        <f aca="false">$C$984*H1004*H1007+$C$988*H1005*H1008+$C$992*H1006*H1009</f>
        <v>2903.85643764244</v>
      </c>
      <c r="I1014" s="39" t="n">
        <f aca="false">$C$984*I1004*I1007+$C$988*I1005*I1008+$C$992*I1006*I1009</f>
        <v>4021.4866515607</v>
      </c>
      <c r="J1014" s="39" t="n">
        <f aca="false">$C$984*J1004*J1007+$C$988*J1005*J1008+$C$992*J1006*J1009</f>
        <v>3861.36950932324</v>
      </c>
      <c r="K1014" s="39" t="n">
        <f aca="false">$C$984*K1004*K1007+$C$988*K1005*K1008+$C$992*K1006*K1009</f>
        <v>3707.62749684738</v>
      </c>
      <c r="L1014" s="39" t="n">
        <f aca="false">$C$984*L1004*L1007+$C$988*L1005*L1008+$C$992*L1006*L1009</f>
        <v>3560.00678572408</v>
      </c>
      <c r="M1014" s="39" t="n">
        <f aca="false">$C$984*M1004*M1007+$C$988*M1005*M1008+$C$992*M1006*M1009</f>
        <v>3418.2636538266</v>
      </c>
      <c r="N1014" s="39" t="n">
        <f aca="false">$C$984*N1004*N1007+$C$988*N1005*N1008+$C$992*N1006*N1009</f>
        <v>3282.16408292475</v>
      </c>
      <c r="P1014" s="40"/>
      <c r="Q1014" s="40"/>
      <c r="R1014" s="40"/>
      <c r="S1014" s="41"/>
    </row>
    <row r="1015" customFormat="false" ht="15" hidden="false" customHeight="false" outlineLevel="0" collapsed="false">
      <c r="A1015" s="4" t="s">
        <v>490</v>
      </c>
      <c r="B1015" s="36" t="s">
        <v>491</v>
      </c>
      <c r="C1015" s="48" t="n">
        <f aca="false">$C$996*Assumptions!$F$20*C1003*C1014</f>
        <v>12.4174737792</v>
      </c>
      <c r="D1015" s="48" t="n">
        <f aca="false">$C$996*Assumptions!$F$20*D1003*D1014</f>
        <v>23.8461339242368</v>
      </c>
      <c r="E1015" s="48" t="n">
        <f aca="false">$C$996*Assumptions!$F$20*E1003*E1014</f>
        <v>22.8966903109206</v>
      </c>
      <c r="F1015" s="48" t="n">
        <f aca="false">$C$996*Assumptions!$F$20*F1003*F1014</f>
        <v>30.7538404161062</v>
      </c>
      <c r="G1015" s="48" t="n">
        <f aca="false">$C$996*Assumptions!$F$20*G1003*G1014</f>
        <v>37.9490218404416</v>
      </c>
      <c r="H1015" s="48" t="n">
        <f aca="false">$C$996*Assumptions!$F$20*H1003*H1014</f>
        <v>65.336769846955</v>
      </c>
      <c r="I1015" s="48" t="n">
        <f aca="false">$C$996*Assumptions!$F$20*I1003*I1014</f>
        <v>90.4834496601158</v>
      </c>
      <c r="J1015" s="48" t="n">
        <f aca="false">$C$996*Assumptions!$F$20*J1003*J1014</f>
        <v>86.8808139597728</v>
      </c>
      <c r="K1015" s="48" t="n">
        <f aca="false">$C$996*Assumptions!$F$20*K1003*K1014</f>
        <v>83.421618679066</v>
      </c>
      <c r="L1015" s="48" t="n">
        <f aca="false">$C$996*Assumptions!$F$20*L1003*L1014</f>
        <v>80.1001526787918</v>
      </c>
      <c r="M1015" s="48" t="n">
        <f aca="false">$C$996*Assumptions!$F$20*M1003*M1014</f>
        <v>76.9109322110984</v>
      </c>
      <c r="N1015" s="48" t="n">
        <f aca="false">$C$996*Assumptions!$F$20*N1003*N1014</f>
        <v>73.8486918658069</v>
      </c>
      <c r="P1015" s="49" t="n">
        <f aca="false">SUM(C1015:F1015)</f>
        <v>89.9141384304636</v>
      </c>
      <c r="Q1015" s="49" t="n">
        <f aca="false">SUM(G1015:J1015)</f>
        <v>280.650055307285</v>
      </c>
      <c r="R1015" s="49" t="n">
        <f aca="false">SUM(K1015:N1015)</f>
        <v>314.281395434763</v>
      </c>
      <c r="S1015" s="50" t="n">
        <f aca="false">SUM(P1015:R1015)</f>
        <v>684.845589172512</v>
      </c>
    </row>
    <row r="1016" customFormat="false" ht="15" hidden="false" customHeight="false" outlineLevel="0" collapsed="false">
      <c r="A1016" s="4" t="s">
        <v>492</v>
      </c>
      <c r="B1016" s="36" t="s">
        <v>321</v>
      </c>
      <c r="C1016" s="48" t="n">
        <f aca="false">Assumptions!$D$112</f>
        <v>2</v>
      </c>
      <c r="D1016" s="48" t="n">
        <f aca="false">Assumptions!$E$112</f>
        <v>2</v>
      </c>
      <c r="E1016" s="48" t="n">
        <f aca="false">Assumptions!$F$112</f>
        <v>3</v>
      </c>
      <c r="F1016" s="48" t="n">
        <f aca="false">Assumptions!$G$112</f>
        <v>3</v>
      </c>
      <c r="G1016" s="48" t="n">
        <f aca="false">Assumptions!$H$112</f>
        <v>4</v>
      </c>
      <c r="H1016" s="48" t="n">
        <f aca="false">Assumptions!$I$112</f>
        <v>4</v>
      </c>
      <c r="I1016" s="48" t="n">
        <f aca="false">Assumptions!$J$112</f>
        <v>5</v>
      </c>
      <c r="J1016" s="48" t="n">
        <f aca="false">Assumptions!$K$112</f>
        <v>5</v>
      </c>
      <c r="K1016" s="48" t="n">
        <f aca="false">Assumptions!$L$112</f>
        <v>6</v>
      </c>
      <c r="L1016" s="48" t="n">
        <f aca="false">Assumptions!$M$112</f>
        <v>6</v>
      </c>
      <c r="M1016" s="48" t="n">
        <f aca="false">Assumptions!$N$112</f>
        <v>6</v>
      </c>
      <c r="N1016" s="48" t="n">
        <f aca="false">Assumptions!$O$112</f>
        <v>6</v>
      </c>
      <c r="P1016" s="49" t="n">
        <f aca="false">F1016</f>
        <v>3</v>
      </c>
      <c r="Q1016" s="49" t="n">
        <f aca="false">J1016</f>
        <v>5</v>
      </c>
      <c r="R1016" s="49" t="n">
        <f aca="false">N1016</f>
        <v>6</v>
      </c>
      <c r="S1016" s="50" t="n">
        <f aca="false">R1016</f>
        <v>6</v>
      </c>
    </row>
    <row r="1017" customFormat="false" ht="15" hidden="false" customHeight="false" outlineLevel="0" collapsed="false">
      <c r="A1017" s="4" t="s">
        <v>493</v>
      </c>
      <c r="B1017" s="36" t="s">
        <v>321</v>
      </c>
      <c r="C1017" s="48" t="n">
        <f aca="false">0</f>
        <v>0</v>
      </c>
      <c r="D1017" s="48" t="n">
        <f aca="false">0.5*C1016</f>
        <v>1</v>
      </c>
      <c r="E1017" s="48" t="n">
        <f aca="false">C1016+0.5*(D1016-C1016)</f>
        <v>2</v>
      </c>
      <c r="F1017" s="48" t="n">
        <f aca="false">D1016+0.5*(E1016-D1016)</f>
        <v>2.5</v>
      </c>
      <c r="G1017" s="48" t="n">
        <f aca="false">E1016+0.5*(F1016-E1016)</f>
        <v>3</v>
      </c>
      <c r="H1017" s="48" t="n">
        <f aca="false">F1016+0.5*(G1016-F1016)</f>
        <v>3.5</v>
      </c>
      <c r="I1017" s="48" t="n">
        <f aca="false">G1016+0.5*(H1016-G1016)</f>
        <v>4</v>
      </c>
      <c r="J1017" s="48" t="n">
        <f aca="false">H1016+0.5*(I1016-H1016)</f>
        <v>4.5</v>
      </c>
      <c r="K1017" s="48" t="n">
        <f aca="false">I1016+0.5*(J1016-I1016)</f>
        <v>5</v>
      </c>
      <c r="L1017" s="48" t="n">
        <f aca="false">J1016+0.5*(K1016-J1016)</f>
        <v>5.5</v>
      </c>
      <c r="M1017" s="48" t="n">
        <f aca="false">K1016+0.5*(L1016-K1016)</f>
        <v>6</v>
      </c>
      <c r="N1017" s="48" t="n">
        <f aca="false">L1016+0.5*(M1016-L1016)</f>
        <v>6</v>
      </c>
      <c r="P1017" s="49" t="n">
        <f aca="false">F1017</f>
        <v>2.5</v>
      </c>
      <c r="Q1017" s="49" t="n">
        <f aca="false">J1017</f>
        <v>4.5</v>
      </c>
      <c r="R1017" s="49" t="n">
        <f aca="false">N1017</f>
        <v>6</v>
      </c>
      <c r="S1017" s="50" t="n">
        <f aca="false">R1017</f>
        <v>6</v>
      </c>
    </row>
    <row r="1018" customFormat="false" ht="15" hidden="false" customHeight="false" outlineLevel="0" collapsed="false">
      <c r="A1018" s="4" t="s">
        <v>494</v>
      </c>
      <c r="B1018" s="36" t="s">
        <v>485</v>
      </c>
      <c r="C1018" s="39" t="n">
        <f aca="false">MIN(C1017*Assumptions!$F$38,C1013*(1-$C$996))</f>
        <v>0</v>
      </c>
      <c r="D1018" s="39" t="n">
        <f aca="false">MIN(D1017*Assumptions!$F$38,D1013*(1-$C$996))</f>
        <v>200</v>
      </c>
      <c r="E1018" s="39" t="n">
        <f aca="false">MIN(E1017*Assumptions!$F$38,E1013*(1-$C$996))</f>
        <v>400</v>
      </c>
      <c r="F1018" s="39" t="n">
        <f aca="false">MIN(F1017*Assumptions!$F$38,F1013*(1-$C$996))</f>
        <v>500</v>
      </c>
      <c r="G1018" s="39" t="n">
        <f aca="false">MIN(G1017*Assumptions!$F$38,G1013*(1-$C$996))</f>
        <v>600</v>
      </c>
      <c r="H1018" s="39" t="n">
        <f aca="false">MIN(H1017*Assumptions!$F$38,H1013*(1-$C$996))</f>
        <v>700</v>
      </c>
      <c r="I1018" s="39" t="n">
        <f aca="false">MIN(I1017*Assumptions!$F$38,I1013*(1-$C$996))</f>
        <v>800</v>
      </c>
      <c r="J1018" s="39" t="n">
        <f aca="false">MIN(J1017*Assumptions!$F$38,J1013*(1-$C$996))</f>
        <v>900</v>
      </c>
      <c r="K1018" s="39" t="n">
        <f aca="false">MIN(K1017*Assumptions!$F$38,K1013*(1-$C$996))</f>
        <v>1000</v>
      </c>
      <c r="L1018" s="39" t="n">
        <f aca="false">MIN(L1017*Assumptions!$F$38,L1013*(1-$C$996))</f>
        <v>1100</v>
      </c>
      <c r="M1018" s="39" t="n">
        <f aca="false">MIN(M1017*Assumptions!$F$38,M1013*(1-$C$996))</f>
        <v>1200</v>
      </c>
      <c r="N1018" s="39" t="n">
        <f aca="false">MIN(N1017*Assumptions!$F$38,N1013*(1-$C$996))</f>
        <v>1200</v>
      </c>
      <c r="P1018" s="40" t="n">
        <f aca="false">SUM(C1018:F1018)</f>
        <v>1100</v>
      </c>
      <c r="Q1018" s="40" t="n">
        <f aca="false">SUM(G1018:J1018)</f>
        <v>3000</v>
      </c>
      <c r="R1018" s="40" t="n">
        <f aca="false">SUM(K1018:N1018)</f>
        <v>4500</v>
      </c>
      <c r="S1018" s="41" t="n">
        <f aca="false">SUM(P1018:R1018)</f>
        <v>8600</v>
      </c>
    </row>
    <row r="1019" customFormat="false" ht="15" hidden="false" customHeight="false" outlineLevel="0" collapsed="false">
      <c r="A1019" s="4" t="s">
        <v>495</v>
      </c>
      <c r="B1019" s="36" t="s">
        <v>491</v>
      </c>
      <c r="C1019" s="48" t="n">
        <f aca="false">C1018*Assumptions!$F$20*Assumptions!$F$39*IF(C1013&gt;0,C1014/C1013,0)*C1003</f>
        <v>0</v>
      </c>
      <c r="D1019" s="48" t="n">
        <f aca="false">D1018*Assumptions!$F$20*Assumptions!$F$39*IF(D1013&gt;0,D1014/D1013,0)*D1003</f>
        <v>15.122907283116</v>
      </c>
      <c r="E1019" s="48" t="n">
        <f aca="false">E1018*Assumptions!$F$20*Assumptions!$F$39*IF(E1013&gt;0,E1014/E1013,0)*E1003</f>
        <v>29.0415650404726</v>
      </c>
      <c r="F1019" s="48" t="n">
        <f aca="false">F1018*Assumptions!$F$20*Assumptions!$F$39*IF(F1013&gt;0,F1014/F1013,0)*F1003</f>
        <v>36.0356469250663</v>
      </c>
      <c r="G1019" s="48" t="n">
        <f aca="false">G1018*Assumptions!$F$20*Assumptions!$F$39*IF(G1013&gt;0,G1014/G1013,0)*G1003</f>
        <v>42.3173051285979</v>
      </c>
      <c r="H1019" s="48" t="n">
        <f aca="false">H1018*Assumptions!$F$20*Assumptions!$F$39*IF(H1013&gt;0,H1014/H1013,0)*H1003</f>
        <v>50.5349667746684</v>
      </c>
      <c r="I1019" s="48" t="n">
        <f aca="false">I1018*Assumptions!$F$20*Assumptions!$F$39*IF(I1013&gt;0,I1014/I1013,0)*I1003</f>
        <v>56.9078653078996</v>
      </c>
      <c r="J1019" s="48" t="n">
        <f aca="false">J1018*Assumptions!$F$20*Assumptions!$F$39*IF(J1013&gt;0,J1014/J1013,0)*J1003</f>
        <v>61.4723121951012</v>
      </c>
      <c r="K1019" s="48" t="n">
        <f aca="false">K1018*Assumptions!$F$20*Assumptions!$F$39*IF(K1013&gt;0,K1014/K1013,0)*K1003</f>
        <v>65.583074271977</v>
      </c>
      <c r="L1019" s="48" t="n">
        <f aca="false">L1018*Assumptions!$F$20*Assumptions!$F$39*IF(L1013&gt;0,L1014/L1013,0)*L1003</f>
        <v>69.2690429658729</v>
      </c>
      <c r="M1019" s="48" t="n">
        <f aca="false">M1018*Assumptions!$F$20*Assumptions!$F$39*IF(M1013&gt;0,M1014/M1013,0)*M1003</f>
        <v>72.557528267572</v>
      </c>
      <c r="N1019" s="48" t="n">
        <f aca="false">N1018*Assumptions!$F$20*Assumptions!$F$39*IF(N1013&gt;0,N1014/N1013,0)*N1003</f>
        <v>69.6686204877814</v>
      </c>
      <c r="P1019" s="49" t="n">
        <f aca="false">SUM(C1019:F1019)</f>
        <v>80.2001192486549</v>
      </c>
      <c r="Q1019" s="49" t="n">
        <f aca="false">SUM(G1019:J1019)</f>
        <v>211.232449406267</v>
      </c>
      <c r="R1019" s="49" t="n">
        <f aca="false">SUM(K1019:N1019)</f>
        <v>277.078265993203</v>
      </c>
      <c r="S1019" s="50" t="n">
        <f aca="false">SUM(P1019:R1019)</f>
        <v>568.510834648125</v>
      </c>
    </row>
    <row r="1020" customFormat="false" ht="15" hidden="false" customHeight="false" outlineLevel="0" collapsed="false">
      <c r="A1020" s="4" t="s">
        <v>496</v>
      </c>
      <c r="B1020" s="36" t="s">
        <v>497</v>
      </c>
      <c r="C1020" s="48" t="n">
        <f aca="false">IF(AND(C1013&gt;0,$C$1000&gt;0),C1013*Assumptions!$F$24*(1-EXP(-$C$1000/(Assumptions!$F$23*C1013*Assumptions!$F$24))),0)</f>
        <v>16.5531108084916</v>
      </c>
      <c r="D1020" s="48" t="n">
        <f aca="false">IF(AND(D1013&gt;0,$C$1000&gt;0),D1013*Assumptions!$F$24*(1-EXP(-$C$1000/(Assumptions!$F$23*D1013*Assumptions!$F$24))),0)</f>
        <v>32.630379587914</v>
      </c>
      <c r="E1020" s="48" t="n">
        <f aca="false">IF(AND(E1013&gt;0,$C$1000&gt;0),E1013*Assumptions!$F$24*(1-EXP(-$C$1000/(Assumptions!$F$23*E1013*Assumptions!$F$24))),0)</f>
        <v>32.630379587914</v>
      </c>
      <c r="F1020" s="48" t="n">
        <f aca="false">IF(AND(F1013&gt;0,$C$1000&gt;0),F1013*Assumptions!$F$24*(1-EXP(-$C$1000/(Assumptions!$F$23*F1013*Assumptions!$F$24))),0)</f>
        <v>42.8357068172392</v>
      </c>
      <c r="G1020" s="48" t="n">
        <f aca="false">IF(AND(G1013&gt;0,$C$1000&gt;0),G1013*Assumptions!$F$24*(1-EXP(-$C$1000/(Assumptions!$F$23*G1013*Assumptions!$F$24))),0)</f>
        <v>51.7561157425172</v>
      </c>
      <c r="H1020" s="48" t="n">
        <f aca="false">IF(AND(H1013&gt;0,$C$1000&gt;0),H1013*Assumptions!$F$24*(1-EXP(-$C$1000/(Assumptions!$F$23*H1013*Assumptions!$F$24))),0)</f>
        <v>73.2496710168562</v>
      </c>
      <c r="I1020" s="48" t="n">
        <f aca="false">IF(AND(I1013&gt;0,$C$1000&gt;0),I1013*Assumptions!$F$24*(1-EXP(-$C$1000/(Assumptions!$F$23*I1013*Assumptions!$F$24))),0)</f>
        <v>86.7389314119011</v>
      </c>
      <c r="J1020" s="48" t="n">
        <f aca="false">IF(AND(J1013&gt;0,$C$1000&gt;0),J1013*Assumptions!$F$24*(1-EXP(-$C$1000/(Assumptions!$F$23*J1013*Assumptions!$F$24))),0)</f>
        <v>86.7389314119011</v>
      </c>
      <c r="K1020" s="48" t="n">
        <f aca="false">IF(AND(K1013&gt;0,$C$1000&gt;0),K1013*Assumptions!$F$24*(1-EXP(-$C$1000/(Assumptions!$F$23*K1013*Assumptions!$F$24))),0)</f>
        <v>86.7389314119011</v>
      </c>
      <c r="L1020" s="48" t="n">
        <f aca="false">IF(AND(L1013&gt;0,$C$1000&gt;0),L1013*Assumptions!$F$24*(1-EXP(-$C$1000/(Assumptions!$F$23*L1013*Assumptions!$F$24))),0)</f>
        <v>86.7389314119011</v>
      </c>
      <c r="M1020" s="48" t="n">
        <f aca="false">IF(AND(M1013&gt;0,$C$1000&gt;0),M1013*Assumptions!$F$24*(1-EXP(-$C$1000/(Assumptions!$F$23*M1013*Assumptions!$F$24))),0)</f>
        <v>86.7389314119011</v>
      </c>
      <c r="N1020" s="48" t="n">
        <f aca="false">IF(AND(N1013&gt;0,$C$1000&gt;0),N1013*Assumptions!$F$24*(1-EXP(-$C$1000/(Assumptions!$F$23*N1013*Assumptions!$F$24))),0)</f>
        <v>86.7389314119011</v>
      </c>
      <c r="P1020" s="49" t="n">
        <f aca="false">SUM(C1020:F1020)</f>
        <v>124.649576801559</v>
      </c>
      <c r="Q1020" s="49" t="n">
        <f aca="false">SUM(G1020:J1020)</f>
        <v>298.483649583176</v>
      </c>
      <c r="R1020" s="49" t="n">
        <f aca="false">SUM(K1020:N1020)</f>
        <v>346.955725647604</v>
      </c>
      <c r="S1020" s="50" t="n">
        <f aca="false">SUM(P1020:R1020)</f>
        <v>770.088952032339</v>
      </c>
    </row>
    <row r="1021" customFormat="false" ht="15" hidden="false" customHeight="false" outlineLevel="0" collapsed="false">
      <c r="A1021" s="4" t="s">
        <v>498</v>
      </c>
      <c r="B1021" s="36" t="s">
        <v>497</v>
      </c>
      <c r="C1021" s="48" t="n">
        <f aca="false">(C1013*Assumptions!$F$22*MIN(1,Assumptions!$E$103/Assumptions!$F$78)+C1020)*C1003</f>
        <v>24.8314266612916</v>
      </c>
      <c r="D1021" s="48" t="n">
        <f aca="false">(D1013*Assumptions!$F$22*MIN(1,Assumptions!$E$103/Assumptions!$F$78)+D1020)*D1003</f>
        <v>49.187011293514</v>
      </c>
      <c r="E1021" s="48" t="n">
        <f aca="false">(E1013*Assumptions!$F$22*MIN(1,Assumptions!$E$103/Assumptions!$F$78)+E1020)*E1003</f>
        <v>49.187011293514</v>
      </c>
      <c r="F1021" s="48" t="n">
        <f aca="false">(F1013*Assumptions!$F$22*MIN(1,Assumptions!$E$103/Assumptions!$F$78)+F1020)*F1003</f>
        <v>65.2381993436392</v>
      </c>
      <c r="G1021" s="48" t="n">
        <f aca="false">(G1013*Assumptions!$F$22*MIN(1,Assumptions!$E$103/Assumptions!$F$78)+G1020)*G1003</f>
        <v>80.0044690897172</v>
      </c>
      <c r="H1021" s="48" t="n">
        <f aca="false">(H1013*Assumptions!$F$22*MIN(1,Assumptions!$E$103/Assumptions!$F$78)+H1020)*H1003</f>
        <v>120.763826959256</v>
      </c>
      <c r="I1021" s="48" t="n">
        <f aca="false">(I1013*Assumptions!$F$22*MIN(1,Assumptions!$E$103/Assumptions!$F$78)+I1020)*I1003</f>
        <v>153.518889949501</v>
      </c>
      <c r="J1021" s="48" t="n">
        <f aca="false">(J1013*Assumptions!$F$22*MIN(1,Assumptions!$E$103/Assumptions!$F$78)+J1020)*J1003</f>
        <v>153.518889949501</v>
      </c>
      <c r="K1021" s="48" t="n">
        <f aca="false">(K1013*Assumptions!$F$22*MIN(1,Assumptions!$E$103/Assumptions!$F$78)+K1020)*K1003</f>
        <v>153.518889949501</v>
      </c>
      <c r="L1021" s="48" t="n">
        <f aca="false">(L1013*Assumptions!$F$22*MIN(1,Assumptions!$E$103/Assumptions!$F$78)+L1020)*L1003</f>
        <v>153.518889949501</v>
      </c>
      <c r="M1021" s="48" t="n">
        <f aca="false">(M1013*Assumptions!$F$22*MIN(1,Assumptions!$E$103/Assumptions!$F$78)+M1020)*M1003</f>
        <v>153.518889949501</v>
      </c>
      <c r="N1021" s="48" t="n">
        <f aca="false">(N1013*Assumptions!$F$22*MIN(1,Assumptions!$E$103/Assumptions!$F$78)+N1020)*N1003</f>
        <v>153.518889949501</v>
      </c>
      <c r="P1021" s="49" t="n">
        <f aca="false">SUM(C1021:F1021)</f>
        <v>188.443648591959</v>
      </c>
      <c r="Q1021" s="49" t="n">
        <f aca="false">SUM(G1021:J1021)</f>
        <v>507.806075947976</v>
      </c>
      <c r="R1021" s="49" t="n">
        <f aca="false">SUM(K1021:N1021)</f>
        <v>614.075559798004</v>
      </c>
      <c r="S1021" s="50" t="n">
        <f aca="false">SUM(P1021:R1021)</f>
        <v>1310.32528433794</v>
      </c>
    </row>
    <row r="1022" customFormat="false" ht="15" hidden="false" customHeight="false" outlineLevel="0" collapsed="false">
      <c r="A1022" s="4" t="s">
        <v>499</v>
      </c>
      <c r="B1022" s="36" t="s">
        <v>500</v>
      </c>
      <c r="C1022" s="48" t="n">
        <f aca="false">C1003*MIN(Assumptions!$F$27,Assumptions!$F$25+Assumptions!$F$26*(C1002-1))*Assumptions!$E$107</f>
        <v>3</v>
      </c>
      <c r="D1022" s="48" t="n">
        <f aca="false">D1003*MIN(Assumptions!$F$27,Assumptions!$F$25+Assumptions!$F$26*(D1002-1))*Assumptions!$E$107</f>
        <v>5</v>
      </c>
      <c r="E1022" s="48" t="n">
        <f aca="false">E1003*MIN(Assumptions!$F$27,Assumptions!$F$25+Assumptions!$F$26*(E1002-1))*Assumptions!$E$107</f>
        <v>7</v>
      </c>
      <c r="F1022" s="48" t="n">
        <f aca="false">F1003*MIN(Assumptions!$F$27,Assumptions!$F$25+Assumptions!$F$26*(F1002-1))*Assumptions!$E$107</f>
        <v>9</v>
      </c>
      <c r="G1022" s="48" t="n">
        <f aca="false">G1003*MIN(Assumptions!$F$27,Assumptions!$F$25+Assumptions!$F$26*(G1002-1))*Assumptions!$E$107</f>
        <v>11</v>
      </c>
      <c r="H1022" s="48" t="n">
        <f aca="false">H1003*MIN(Assumptions!$F$27,Assumptions!$F$25+Assumptions!$F$26*(H1002-1))*Assumptions!$E$107</f>
        <v>13</v>
      </c>
      <c r="I1022" s="48" t="n">
        <f aca="false">I1003*MIN(Assumptions!$F$27,Assumptions!$F$25+Assumptions!$F$26*(I1002-1))*Assumptions!$E$107</f>
        <v>15</v>
      </c>
      <c r="J1022" s="48" t="n">
        <f aca="false">J1003*MIN(Assumptions!$F$27,Assumptions!$F$25+Assumptions!$F$26*(J1002-1))*Assumptions!$E$107</f>
        <v>15</v>
      </c>
      <c r="K1022" s="48" t="n">
        <f aca="false">K1003*MIN(Assumptions!$F$27,Assumptions!$F$25+Assumptions!$F$26*(K1002-1))*Assumptions!$E$107</f>
        <v>15</v>
      </c>
      <c r="L1022" s="48" t="n">
        <f aca="false">L1003*MIN(Assumptions!$F$27,Assumptions!$F$25+Assumptions!$F$26*(L1002-1))*Assumptions!$E$107</f>
        <v>15</v>
      </c>
      <c r="M1022" s="48" t="n">
        <f aca="false">M1003*MIN(Assumptions!$F$27,Assumptions!$F$25+Assumptions!$F$26*(M1002-1))*Assumptions!$E$107</f>
        <v>15</v>
      </c>
      <c r="N1022" s="48" t="n">
        <f aca="false">N1003*MIN(Assumptions!$F$27,Assumptions!$F$25+Assumptions!$F$26*(N1002-1))*Assumptions!$E$107</f>
        <v>15</v>
      </c>
      <c r="P1022" s="49" t="n">
        <f aca="false">F1022</f>
        <v>9</v>
      </c>
      <c r="Q1022" s="49" t="n">
        <f aca="false">J1022</f>
        <v>15</v>
      </c>
      <c r="R1022" s="49" t="n">
        <f aca="false">N1022</f>
        <v>15</v>
      </c>
      <c r="S1022" s="50" t="n">
        <f aca="false">R1022</f>
        <v>15</v>
      </c>
    </row>
    <row r="1023" customFormat="false" ht="15" hidden="false" customHeight="false" outlineLevel="0" collapsed="false">
      <c r="A1023" s="4" t="s">
        <v>501</v>
      </c>
      <c r="B1023" s="36" t="s">
        <v>502</v>
      </c>
      <c r="C1023" s="48" t="n">
        <f aca="false">C1022*Assumptions!$F$28</f>
        <v>12</v>
      </c>
      <c r="D1023" s="48" t="n">
        <f aca="false">D1022*Assumptions!$F$28</f>
        <v>20</v>
      </c>
      <c r="E1023" s="48" t="n">
        <f aca="false">E1022*Assumptions!$F$28</f>
        <v>28</v>
      </c>
      <c r="F1023" s="48" t="n">
        <f aca="false">F1022*Assumptions!$F$28</f>
        <v>36</v>
      </c>
      <c r="G1023" s="48" t="n">
        <f aca="false">G1022*Assumptions!$F$28</f>
        <v>44</v>
      </c>
      <c r="H1023" s="48" t="n">
        <f aca="false">H1022*Assumptions!$F$28</f>
        <v>52</v>
      </c>
      <c r="I1023" s="48" t="n">
        <f aca="false">I1022*Assumptions!$F$28</f>
        <v>60</v>
      </c>
      <c r="J1023" s="48" t="n">
        <f aca="false">J1022*Assumptions!$F$28</f>
        <v>60</v>
      </c>
      <c r="K1023" s="48" t="n">
        <f aca="false">K1022*Assumptions!$F$28</f>
        <v>60</v>
      </c>
      <c r="L1023" s="48" t="n">
        <f aca="false">L1022*Assumptions!$F$28</f>
        <v>60</v>
      </c>
      <c r="M1023" s="48" t="n">
        <f aca="false">M1022*Assumptions!$F$28</f>
        <v>60</v>
      </c>
      <c r="N1023" s="48" t="n">
        <f aca="false">N1022*Assumptions!$F$28</f>
        <v>60</v>
      </c>
      <c r="P1023" s="49" t="n">
        <f aca="false">SUM(C1023:F1023)</f>
        <v>96</v>
      </c>
      <c r="Q1023" s="49" t="n">
        <f aca="false">SUM(G1023:J1023)</f>
        <v>216</v>
      </c>
      <c r="R1023" s="49" t="n">
        <f aca="false">SUM(K1023:N1023)</f>
        <v>240</v>
      </c>
      <c r="S1023" s="50" t="n">
        <f aca="false">SUM(P1023:R1023)</f>
        <v>552</v>
      </c>
    </row>
    <row r="1024" customFormat="false" ht="15" hidden="false" customHeight="false" outlineLevel="0" collapsed="false">
      <c r="A1024" s="4" t="s">
        <v>503</v>
      </c>
      <c r="B1024" s="36" t="s">
        <v>504</v>
      </c>
      <c r="C1024" s="48" t="n">
        <f aca="false">(C1015+C1019)*Assumptions!$F$29</f>
        <v>6.2087368896</v>
      </c>
      <c r="D1024" s="48" t="n">
        <f aca="false">(D1015+D1019)*Assumptions!$F$29</f>
        <v>19.4845206036764</v>
      </c>
      <c r="E1024" s="48" t="n">
        <f aca="false">(E1015+E1019)*Assumptions!$F$29</f>
        <v>25.9691276756966</v>
      </c>
      <c r="F1024" s="48" t="n">
        <f aca="false">(F1015+F1019)*Assumptions!$F$29</f>
        <v>33.3947436705862</v>
      </c>
      <c r="G1024" s="48" t="n">
        <f aca="false">(G1015+G1019)*Assumptions!$F$29</f>
        <v>40.1331634845198</v>
      </c>
      <c r="H1024" s="48" t="n">
        <f aca="false">(H1015+H1019)*Assumptions!$F$29</f>
        <v>57.9358683108117</v>
      </c>
      <c r="I1024" s="48" t="n">
        <f aca="false">(I1015+I1019)*Assumptions!$F$29</f>
        <v>73.6956574840077</v>
      </c>
      <c r="J1024" s="48" t="n">
        <f aca="false">(J1015+J1019)*Assumptions!$F$29</f>
        <v>74.176563077437</v>
      </c>
      <c r="K1024" s="48" t="n">
        <f aca="false">(K1015+K1019)*Assumptions!$F$29</f>
        <v>74.5023464755215</v>
      </c>
      <c r="L1024" s="48" t="n">
        <f aca="false">(L1015+L1019)*Assumptions!$F$29</f>
        <v>74.6845978223323</v>
      </c>
      <c r="M1024" s="48" t="n">
        <f aca="false">(M1015+M1019)*Assumptions!$F$29</f>
        <v>74.7342302393352</v>
      </c>
      <c r="N1024" s="48" t="n">
        <f aca="false">(N1015+N1019)*Assumptions!$F$29</f>
        <v>71.7586561767941</v>
      </c>
      <c r="P1024" s="49" t="n">
        <f aca="false">SUM(C1024:F1024)</f>
        <v>85.0571288395592</v>
      </c>
      <c r="Q1024" s="49" t="n">
        <f aca="false">SUM(G1024:J1024)</f>
        <v>245.941252356776</v>
      </c>
      <c r="R1024" s="49" t="n">
        <f aca="false">SUM(K1024:N1024)</f>
        <v>295.679830713983</v>
      </c>
      <c r="S1024" s="50" t="n">
        <f aca="false">SUM(P1024:R1024)</f>
        <v>626.678211910319</v>
      </c>
    </row>
    <row r="1025" customFormat="false" ht="15" hidden="false" customHeight="false" outlineLevel="0" collapsed="false">
      <c r="A1025" s="4" t="s">
        <v>505</v>
      </c>
      <c r="B1025" s="36" t="s">
        <v>504</v>
      </c>
      <c r="C1025" s="48" t="n">
        <f aca="false">C1021*Assumptions!$F$31</f>
        <v>5.46291386548414</v>
      </c>
      <c r="D1025" s="48" t="n">
        <f aca="false">D1021*Assumptions!$F$31</f>
        <v>10.8211424845731</v>
      </c>
      <c r="E1025" s="48" t="n">
        <f aca="false">E1021*Assumptions!$F$31</f>
        <v>10.8211424845731</v>
      </c>
      <c r="F1025" s="48" t="n">
        <f aca="false">F1021*Assumptions!$F$31</f>
        <v>14.3524038556006</v>
      </c>
      <c r="G1025" s="48" t="n">
        <f aca="false">G1021*Assumptions!$F$31</f>
        <v>17.6009831997378</v>
      </c>
      <c r="H1025" s="48" t="n">
        <f aca="false">H1021*Assumptions!$F$31</f>
        <v>26.5680419310364</v>
      </c>
      <c r="I1025" s="48" t="n">
        <f aca="false">I1021*Assumptions!$F$31</f>
        <v>33.7741557888902</v>
      </c>
      <c r="J1025" s="48" t="n">
        <f aca="false">J1021*Assumptions!$F$31</f>
        <v>33.7741557888902</v>
      </c>
      <c r="K1025" s="48" t="n">
        <f aca="false">K1021*Assumptions!$F$31</f>
        <v>33.7741557888902</v>
      </c>
      <c r="L1025" s="48" t="n">
        <f aca="false">L1021*Assumptions!$F$31</f>
        <v>33.7741557888902</v>
      </c>
      <c r="M1025" s="48" t="n">
        <f aca="false">M1021*Assumptions!$F$31</f>
        <v>33.7741557888902</v>
      </c>
      <c r="N1025" s="48" t="n">
        <f aca="false">N1021*Assumptions!$F$31</f>
        <v>33.7741557888902</v>
      </c>
      <c r="P1025" s="49" t="n">
        <f aca="false">SUM(C1025:F1025)</f>
        <v>41.4576026902309</v>
      </c>
      <c r="Q1025" s="49" t="n">
        <f aca="false">SUM(G1025:J1025)</f>
        <v>111.717336708555</v>
      </c>
      <c r="R1025" s="49" t="n">
        <f aca="false">SUM(K1025:N1025)</f>
        <v>135.096623155561</v>
      </c>
      <c r="S1025" s="50" t="n">
        <f aca="false">SUM(P1025:R1025)</f>
        <v>288.271562554347</v>
      </c>
    </row>
    <row r="1026" customFormat="false" ht="15" hidden="false" customHeight="false" outlineLevel="0" collapsed="false">
      <c r="A1026" s="4" t="s">
        <v>506</v>
      </c>
      <c r="B1026" s="36" t="s">
        <v>504</v>
      </c>
      <c r="C1026" s="48" t="n">
        <f aca="false">C1023*Assumptions!$F$30</f>
        <v>7.2</v>
      </c>
      <c r="D1026" s="48" t="n">
        <f aca="false">D1023*Assumptions!$F$30</f>
        <v>12</v>
      </c>
      <c r="E1026" s="48" t="n">
        <f aca="false">E1023*Assumptions!$F$30</f>
        <v>16.8</v>
      </c>
      <c r="F1026" s="48" t="n">
        <f aca="false">F1023*Assumptions!$F$30</f>
        <v>21.6</v>
      </c>
      <c r="G1026" s="48" t="n">
        <f aca="false">G1023*Assumptions!$F$30</f>
        <v>26.4</v>
      </c>
      <c r="H1026" s="48" t="n">
        <f aca="false">H1023*Assumptions!$F$30</f>
        <v>31.2</v>
      </c>
      <c r="I1026" s="48" t="n">
        <f aca="false">I1023*Assumptions!$F$30</f>
        <v>36</v>
      </c>
      <c r="J1026" s="48" t="n">
        <f aca="false">J1023*Assumptions!$F$30</f>
        <v>36</v>
      </c>
      <c r="K1026" s="48" t="n">
        <f aca="false">K1023*Assumptions!$F$30</f>
        <v>36</v>
      </c>
      <c r="L1026" s="48" t="n">
        <f aca="false">L1023*Assumptions!$F$30</f>
        <v>36</v>
      </c>
      <c r="M1026" s="48" t="n">
        <f aca="false">M1023*Assumptions!$F$30</f>
        <v>36</v>
      </c>
      <c r="N1026" s="48" t="n">
        <f aca="false">N1023*Assumptions!$F$30</f>
        <v>36</v>
      </c>
      <c r="P1026" s="49" t="n">
        <f aca="false">SUM(C1026:F1026)</f>
        <v>57.6</v>
      </c>
      <c r="Q1026" s="49" t="n">
        <f aca="false">SUM(G1026:J1026)</f>
        <v>129.6</v>
      </c>
      <c r="R1026" s="49" t="n">
        <f aca="false">SUM(K1026:N1026)</f>
        <v>144</v>
      </c>
      <c r="S1026" s="50" t="n">
        <f aca="false">SUM(P1026:R1026)</f>
        <v>331.2</v>
      </c>
    </row>
    <row r="1027" customFormat="false" ht="15" hidden="false" customHeight="false" outlineLevel="0" collapsed="false">
      <c r="A1027" s="9" t="s">
        <v>507</v>
      </c>
      <c r="B1027" s="36" t="s">
        <v>504</v>
      </c>
      <c r="C1027" s="49" t="n">
        <f aca="false">C1024+C1025+C1026</f>
        <v>18.8716507550841</v>
      </c>
      <c r="D1027" s="49" t="n">
        <f aca="false">D1024+D1025+D1026</f>
        <v>42.3056630882495</v>
      </c>
      <c r="E1027" s="49" t="n">
        <f aca="false">E1024+E1025+E1026</f>
        <v>53.5902701602697</v>
      </c>
      <c r="F1027" s="49" t="n">
        <f aca="false">F1024+F1025+F1026</f>
        <v>69.3471475261868</v>
      </c>
      <c r="G1027" s="49" t="n">
        <f aca="false">G1024+G1025+G1026</f>
        <v>84.1341466842575</v>
      </c>
      <c r="H1027" s="49" t="n">
        <f aca="false">H1024+H1025+H1026</f>
        <v>115.703910241848</v>
      </c>
      <c r="I1027" s="49" t="n">
        <f aca="false">I1024+I1025+I1026</f>
        <v>143.469813272898</v>
      </c>
      <c r="J1027" s="49" t="n">
        <f aca="false">J1024+J1025+J1026</f>
        <v>143.950718866327</v>
      </c>
      <c r="K1027" s="49" t="n">
        <f aca="false">K1024+K1025+K1026</f>
        <v>144.276502264412</v>
      </c>
      <c r="L1027" s="49" t="n">
        <f aca="false">L1024+L1025+L1026</f>
        <v>144.458753611223</v>
      </c>
      <c r="M1027" s="49" t="n">
        <f aca="false">M1024+M1025+M1026</f>
        <v>144.508386028225</v>
      </c>
      <c r="N1027" s="49" t="n">
        <f aca="false">N1024+N1025+N1026</f>
        <v>141.532811965684</v>
      </c>
      <c r="P1027" s="49" t="n">
        <f aca="false">SUM(C1027:F1027)</f>
        <v>184.11473152979</v>
      </c>
      <c r="Q1027" s="49" t="n">
        <f aca="false">SUM(G1027:J1027)</f>
        <v>487.258589065331</v>
      </c>
      <c r="R1027" s="49" t="n">
        <f aca="false">SUM(K1027:N1027)</f>
        <v>574.776453869544</v>
      </c>
      <c r="S1027" s="50" t="n">
        <f aca="false">SUM(P1027:R1027)</f>
        <v>1246.14977446467</v>
      </c>
    </row>
    <row r="1028" customFormat="false" ht="15" hidden="false" customHeight="false" outlineLevel="0" collapsed="false">
      <c r="A1028" s="4" t="s">
        <v>508</v>
      </c>
      <c r="B1028" s="36" t="s">
        <v>509</v>
      </c>
      <c r="C1028" s="48" t="n">
        <f aca="false">C1010</f>
        <v>421.51972352</v>
      </c>
      <c r="D1028" s="48" t="n">
        <f aca="false">D1010</f>
        <v>843.03944704</v>
      </c>
      <c r="E1028" s="48" t="n">
        <f aca="false">E1010</f>
        <v>843.03944704</v>
      </c>
      <c r="F1028" s="48" t="n">
        <f aca="false">F1010</f>
        <v>1149.32798176</v>
      </c>
      <c r="G1028" s="48" t="n">
        <f aca="false">G1010</f>
        <v>1455.61651648</v>
      </c>
      <c r="H1028" s="48" t="n">
        <f aca="false">H1010</f>
        <v>2486.00303616</v>
      </c>
      <c r="I1028" s="48" t="n">
        <f aca="false">I1010</f>
        <v>3516.38955584</v>
      </c>
      <c r="J1028" s="48" t="n">
        <f aca="false">J1010</f>
        <v>3516.38955584</v>
      </c>
      <c r="K1028" s="48" t="n">
        <f aca="false">K1010</f>
        <v>3516.38955584</v>
      </c>
      <c r="L1028" s="48" t="n">
        <f aca="false">L1010</f>
        <v>3516.38955584</v>
      </c>
      <c r="M1028" s="48" t="n">
        <f aca="false">M1010</f>
        <v>3516.38955584</v>
      </c>
      <c r="N1028" s="48" t="n">
        <f aca="false">N1010</f>
        <v>3516.38955584</v>
      </c>
      <c r="P1028" s="49"/>
      <c r="Q1028" s="49"/>
      <c r="R1028" s="49"/>
      <c r="S1028" s="50"/>
    </row>
    <row r="1029" customFormat="false" ht="15" hidden="false" customHeight="false" outlineLevel="0" collapsed="false">
      <c r="A1029" s="4" t="s">
        <v>510</v>
      </c>
      <c r="B1029" s="36" t="s">
        <v>509</v>
      </c>
      <c r="C1029" s="48" t="n">
        <f aca="false">C1011*Assumptions!$F$18*Assumptions!$F$33</f>
        <v>211.19616</v>
      </c>
      <c r="D1029" s="48" t="n">
        <f aca="false">D1011*Assumptions!$F$18*Assumptions!$F$33</f>
        <v>422.39232</v>
      </c>
      <c r="E1029" s="48" t="n">
        <f aca="false">E1011*Assumptions!$F$18*Assumptions!$F$33</f>
        <v>422.39232</v>
      </c>
      <c r="F1029" s="48" t="n">
        <f aca="false">F1011*Assumptions!$F$18*Assumptions!$F$33</f>
        <v>564.49344</v>
      </c>
      <c r="G1029" s="48" t="n">
        <f aca="false">G1011*Assumptions!$F$18*Assumptions!$F$33</f>
        <v>706.59456</v>
      </c>
      <c r="H1029" s="48" t="n">
        <f aca="false">H1011*Assumptions!$F$18*Assumptions!$F$33</f>
        <v>1135.07072</v>
      </c>
      <c r="I1029" s="48" t="n">
        <f aca="false">I1011*Assumptions!$F$18*Assumptions!$F$33</f>
        <v>1563.54688</v>
      </c>
      <c r="J1029" s="48" t="n">
        <f aca="false">J1011*Assumptions!$F$18*Assumptions!$F$33</f>
        <v>1563.54688</v>
      </c>
      <c r="K1029" s="48" t="n">
        <f aca="false">K1011*Assumptions!$F$18*Assumptions!$F$33</f>
        <v>1563.54688</v>
      </c>
      <c r="L1029" s="48" t="n">
        <f aca="false">L1011*Assumptions!$F$18*Assumptions!$F$33</f>
        <v>1563.54688</v>
      </c>
      <c r="M1029" s="48" t="n">
        <f aca="false">M1011*Assumptions!$F$18*Assumptions!$F$33</f>
        <v>1563.54688</v>
      </c>
      <c r="N1029" s="48" t="n">
        <f aca="false">N1011*Assumptions!$F$18*Assumptions!$F$33</f>
        <v>1563.54688</v>
      </c>
      <c r="P1029" s="49"/>
      <c r="Q1029" s="49"/>
      <c r="R1029" s="49"/>
      <c r="S1029" s="50"/>
    </row>
    <row r="1030" customFormat="false" ht="15" hidden="false" customHeight="false" outlineLevel="0" collapsed="false">
      <c r="A1030" s="4" t="s">
        <v>511</v>
      </c>
      <c r="B1030" s="36" t="s">
        <v>509</v>
      </c>
      <c r="C1030" s="48" t="n">
        <f aca="false">C1012*Assumptions!$F$19*Assumptions!$F$34</f>
        <v>44.585856</v>
      </c>
      <c r="D1030" s="48" t="n">
        <f aca="false">D1012*Assumptions!$F$19*Assumptions!$F$34</f>
        <v>89.171712</v>
      </c>
      <c r="E1030" s="48" t="n">
        <f aca="false">E1012*Assumptions!$F$19*Assumptions!$F$34</f>
        <v>89.171712</v>
      </c>
      <c r="F1030" s="48" t="n">
        <f aca="false">F1012*Assumptions!$F$19*Assumptions!$F$34</f>
        <v>111.46464</v>
      </c>
      <c r="G1030" s="48" t="n">
        <f aca="false">G1012*Assumptions!$F$19*Assumptions!$F$34</f>
        <v>133.757568</v>
      </c>
      <c r="H1030" s="48" t="n">
        <f aca="false">H1012*Assumptions!$F$19*Assumptions!$F$34</f>
        <v>205.3296</v>
      </c>
      <c r="I1030" s="48" t="n">
        <f aca="false">I1012*Assumptions!$F$19*Assumptions!$F$34</f>
        <v>276.901632</v>
      </c>
      <c r="J1030" s="48" t="n">
        <f aca="false">J1012*Assumptions!$F$19*Assumptions!$F$34</f>
        <v>276.901632</v>
      </c>
      <c r="K1030" s="48" t="n">
        <f aca="false">K1012*Assumptions!$F$19*Assumptions!$F$34</f>
        <v>276.901632</v>
      </c>
      <c r="L1030" s="48" t="n">
        <f aca="false">L1012*Assumptions!$F$19*Assumptions!$F$34</f>
        <v>276.901632</v>
      </c>
      <c r="M1030" s="48" t="n">
        <f aca="false">M1012*Assumptions!$F$19*Assumptions!$F$34</f>
        <v>276.901632</v>
      </c>
      <c r="N1030" s="48" t="n">
        <f aca="false">N1012*Assumptions!$F$19*Assumptions!$F$34</f>
        <v>276.901632</v>
      </c>
      <c r="P1030" s="49"/>
      <c r="Q1030" s="49"/>
      <c r="R1030" s="49"/>
      <c r="S1030" s="50"/>
    </row>
    <row r="1031" customFormat="false" ht="15" hidden="false" customHeight="false" outlineLevel="0" collapsed="false">
      <c r="A1031" s="4" t="s">
        <v>512</v>
      </c>
      <c r="B1031" s="36" t="s">
        <v>77</v>
      </c>
      <c r="C1031" s="51" t="n">
        <f aca="false">IFERROR(C1028/(C1028+C1029+C1030),0)</f>
        <v>0.622351455672813</v>
      </c>
      <c r="D1031" s="51" t="n">
        <f aca="false">IFERROR(D1028/(D1028+D1029+D1030),0)</f>
        <v>0.622351455672813</v>
      </c>
      <c r="E1031" s="51" t="n">
        <f aca="false">IFERROR(E1028/(E1028+E1029+E1030),0)</f>
        <v>0.622351455672813</v>
      </c>
      <c r="F1031" s="51" t="n">
        <f aca="false">IFERROR(F1028/(F1028+F1029+F1030),0)</f>
        <v>0.629670058758779</v>
      </c>
      <c r="G1031" s="51" t="n">
        <f aca="false">IFERROR(G1028/(G1028+G1029+G1030),0)</f>
        <v>0.633987977135321</v>
      </c>
      <c r="H1031" s="51" t="n">
        <f aca="false">IFERROR(H1028/(H1028+H1029+H1030),0)</f>
        <v>0.649697066609004</v>
      </c>
      <c r="I1031" s="51" t="n">
        <f aca="false">IFERROR(I1028/(I1028+I1029+I1030),0)</f>
        <v>0.656430064024297</v>
      </c>
      <c r="J1031" s="51" t="n">
        <f aca="false">IFERROR(J1028/(J1028+J1029+J1030),0)</f>
        <v>0.656430064024297</v>
      </c>
      <c r="K1031" s="51" t="n">
        <f aca="false">IFERROR(K1028/(K1028+K1029+K1030),0)</f>
        <v>0.656430064024297</v>
      </c>
      <c r="L1031" s="51" t="n">
        <f aca="false">IFERROR(L1028/(L1028+L1029+L1030),0)</f>
        <v>0.656430064024297</v>
      </c>
      <c r="M1031" s="51" t="n">
        <f aca="false">IFERROR(M1028/(M1028+M1029+M1030),0)</f>
        <v>0.656430064024297</v>
      </c>
      <c r="N1031" s="51" t="n">
        <f aca="false">IFERROR(N1028/(N1028+N1029+N1030),0)</f>
        <v>0.656430064024297</v>
      </c>
      <c r="P1031" s="52"/>
      <c r="Q1031" s="52"/>
      <c r="R1031" s="52"/>
      <c r="S1031" s="53"/>
    </row>
    <row r="1032" customFormat="false" ht="15" hidden="false" customHeight="false" outlineLevel="0" collapsed="false">
      <c r="A1032" s="4" t="s">
        <v>513</v>
      </c>
      <c r="B1032" s="36" t="s">
        <v>77</v>
      </c>
      <c r="C1032" s="51" t="n">
        <f aca="false">IFERROR(C1029/(C1028+C1029+C1030),0)</f>
        <v>0.311819898985751</v>
      </c>
      <c r="D1032" s="51" t="n">
        <f aca="false">IFERROR(D1029/(D1028+D1029+D1030),0)</f>
        <v>0.311819898985751</v>
      </c>
      <c r="E1032" s="51" t="n">
        <f aca="false">IFERROR(E1029/(E1028+E1029+E1030),0)</f>
        <v>0.311819898985751</v>
      </c>
      <c r="F1032" s="51" t="n">
        <f aca="false">IFERROR(F1029/(F1028+F1029+F1030),0)</f>
        <v>0.309262998182157</v>
      </c>
      <c r="G1032" s="51" t="n">
        <f aca="false">IFERROR(G1029/(G1028+G1029+G1030),0)</f>
        <v>0.307754446777313</v>
      </c>
      <c r="H1032" s="51" t="n">
        <f aca="false">IFERROR(H1029/(H1028+H1029+H1030),0)</f>
        <v>0.296641680018571</v>
      </c>
      <c r="I1032" s="51" t="n">
        <f aca="false">IFERROR(I1029/(I1028+I1029+I1030),0)</f>
        <v>0.291878690413813</v>
      </c>
      <c r="J1032" s="51" t="n">
        <f aca="false">IFERROR(J1029/(J1028+J1029+J1030),0)</f>
        <v>0.291878690413813</v>
      </c>
      <c r="K1032" s="51" t="n">
        <f aca="false">IFERROR(K1029/(K1028+K1029+K1030),0)</f>
        <v>0.291878690413813</v>
      </c>
      <c r="L1032" s="51" t="n">
        <f aca="false">IFERROR(L1029/(L1028+L1029+L1030),0)</f>
        <v>0.291878690413813</v>
      </c>
      <c r="M1032" s="51" t="n">
        <f aca="false">IFERROR(M1029/(M1028+M1029+M1030),0)</f>
        <v>0.291878690413813</v>
      </c>
      <c r="N1032" s="51" t="n">
        <f aca="false">IFERROR(N1029/(N1028+N1029+N1030),0)</f>
        <v>0.291878690413813</v>
      </c>
      <c r="P1032" s="52"/>
      <c r="Q1032" s="52"/>
      <c r="R1032" s="52"/>
      <c r="S1032" s="53"/>
    </row>
    <row r="1033" customFormat="false" ht="15" hidden="false" customHeight="false" outlineLevel="0" collapsed="false">
      <c r="A1033" s="4" t="s">
        <v>514</v>
      </c>
      <c r="B1033" s="36" t="s">
        <v>77</v>
      </c>
      <c r="C1033" s="51" t="n">
        <f aca="false">IFERROR(C1030/(C1028+C1029+C1030),0)</f>
        <v>0.0658286453414364</v>
      </c>
      <c r="D1033" s="51" t="n">
        <f aca="false">IFERROR(D1030/(D1028+D1029+D1030),0)</f>
        <v>0.0658286453414364</v>
      </c>
      <c r="E1033" s="51" t="n">
        <f aca="false">IFERROR(E1030/(E1028+E1029+E1030),0)</f>
        <v>0.0658286453414364</v>
      </c>
      <c r="F1033" s="51" t="n">
        <f aca="false">IFERROR(F1030/(F1028+F1029+F1030),0)</f>
        <v>0.0610669430590634</v>
      </c>
      <c r="G1033" s="51" t="n">
        <f aca="false">IFERROR(G1030/(G1028+G1029+G1030),0)</f>
        <v>0.0582575760873659</v>
      </c>
      <c r="H1033" s="51" t="n">
        <f aca="false">IFERROR(H1030/(H1028+H1029+H1030),0)</f>
        <v>0.0536612533724252</v>
      </c>
      <c r="I1033" s="51" t="n">
        <f aca="false">IFERROR(I1030/(I1028+I1029+I1030),0)</f>
        <v>0.0516912455618904</v>
      </c>
      <c r="J1033" s="51" t="n">
        <f aca="false">IFERROR(J1030/(J1028+J1029+J1030),0)</f>
        <v>0.0516912455618904</v>
      </c>
      <c r="K1033" s="51" t="n">
        <f aca="false">IFERROR(K1030/(K1028+K1029+K1030),0)</f>
        <v>0.0516912455618904</v>
      </c>
      <c r="L1033" s="51" t="n">
        <f aca="false">IFERROR(L1030/(L1028+L1029+L1030),0)</f>
        <v>0.0516912455618904</v>
      </c>
      <c r="M1033" s="51" t="n">
        <f aca="false">IFERROR(M1030/(M1028+M1029+M1030),0)</f>
        <v>0.0516912455618904</v>
      </c>
      <c r="N1033" s="51" t="n">
        <f aca="false">IFERROR(N1030/(N1028+N1029+N1030),0)</f>
        <v>0.0516912455618904</v>
      </c>
      <c r="P1033" s="52"/>
      <c r="Q1033" s="52"/>
      <c r="R1033" s="52"/>
      <c r="S1033" s="53"/>
    </row>
    <row r="1034" customFormat="false" ht="15" hidden="false" customHeight="false" outlineLevel="0" collapsed="false">
      <c r="A1034" s="4" t="s">
        <v>515</v>
      </c>
      <c r="B1034" s="36" t="s">
        <v>516</v>
      </c>
      <c r="C1034" s="48" t="n">
        <f aca="false">IF(C1002-Assumptions!$F$35&lt;1,0,INDEX($C$1027:$N$1027,1,C1002-Assumptions!$F$35)*INDEX($C$1031:$N$1031,1,C1002-Assumptions!$F$35)*Assumptions!$F$32)</f>
        <v>0</v>
      </c>
      <c r="D1034" s="48" t="n">
        <f aca="false">IF(D1002-Assumptions!$F$35&lt;1,0,INDEX($C$1027:$N$1027,1,D1002-Assumptions!$F$35)*INDEX($C$1031:$N$1031,1,D1002-Assumptions!$F$35)*Assumptions!$F$32)</f>
        <v>3.52343979551266</v>
      </c>
      <c r="E1034" s="48" t="n">
        <f aca="false">IF(E1002-Assumptions!$F$35&lt;1,0,INDEX($C$1027:$N$1027,1,E1002-Assumptions!$F$35)*INDEX($C$1031:$N$1031,1,E1002-Assumptions!$F$35)*Assumptions!$F$32)</f>
        <v>7.89869730185269</v>
      </c>
      <c r="F1034" s="48" t="n">
        <f aca="false">IF(F1002-Assumptions!$F$35&lt;1,0,INDEX($C$1027:$N$1027,1,F1002-Assumptions!$F$35)*INDEX($C$1031:$N$1031,1,F1002-Assumptions!$F$35)*Assumptions!$F$32)</f>
        <v>10.0055947932429</v>
      </c>
      <c r="G1034" s="48" t="n">
        <f aca="false">IF(G1002-Assumptions!$F$35&lt;1,0,INDEX($C$1027:$N$1027,1,G1002-Assumptions!$F$35)*INDEX($C$1031:$N$1031,1,G1002-Assumptions!$F$35)*Assumptions!$F$32)</f>
        <v>13.0997467372703</v>
      </c>
      <c r="H1034" s="48" t="n">
        <f aca="false">IF(H1002-Assumptions!$F$35&lt;1,0,INDEX($C$1027:$N$1027,1,H1002-Assumptions!$F$35)*INDEX($C$1031:$N$1031,1,H1002-Assumptions!$F$35)*Assumptions!$F$32)</f>
        <v>16.0020112393076</v>
      </c>
      <c r="I1034" s="48" t="n">
        <f aca="false">IF(I1002-Assumptions!$F$35&lt;1,0,INDEX($C$1027:$N$1027,1,I1002-Assumptions!$F$35)*INDEX($C$1031:$N$1031,1,I1002-Assumptions!$F$35)*Assumptions!$F$32)</f>
        <v>22.5517473237961</v>
      </c>
      <c r="J1034" s="48" t="n">
        <f aca="false">IF(J1002-Assumptions!$F$35&lt;1,0,INDEX($C$1027:$N$1027,1,J1002-Assumptions!$F$35)*INDEX($C$1031:$N$1031,1,J1002-Assumptions!$F$35)*Assumptions!$F$32)</f>
        <v>28.2533696136847</v>
      </c>
      <c r="K1034" s="48" t="n">
        <f aca="false">IF(K1002-Assumptions!$F$35&lt;1,0,INDEX($C$1027:$N$1027,1,K1002-Assumptions!$F$35)*INDEX($C$1031:$N$1031,1,K1002-Assumptions!$F$35)*Assumptions!$F$32)</f>
        <v>28.34807388053</v>
      </c>
      <c r="L1034" s="48" t="n">
        <f aca="false">IF(L1002-Assumptions!$F$35&lt;1,0,INDEX($C$1027:$N$1027,1,L1002-Assumptions!$F$35)*INDEX($C$1031:$N$1031,1,L1002-Assumptions!$F$35)*Assumptions!$F$32)</f>
        <v>28.4122300855888</v>
      </c>
      <c r="M1034" s="48" t="n">
        <f aca="false">IF(M1002-Assumptions!$F$35&lt;1,0,INDEX($C$1027:$N$1027,1,M1002-Assumptions!$F$35)*INDEX($C$1031:$N$1031,1,M1002-Assumptions!$F$35)*Assumptions!$F$32)</f>
        <v>28.4481206645655</v>
      </c>
      <c r="N1034" s="48" t="n">
        <f aca="false">IF(N1002-Assumptions!$F$35&lt;1,0,INDEX($C$1027:$N$1027,1,N1002-Assumptions!$F$35)*INDEX($C$1031:$N$1031,1,N1002-Assumptions!$F$35)*Assumptions!$F$32)</f>
        <v>28.4578947277667</v>
      </c>
      <c r="P1034" s="49" t="n">
        <f aca="false">SUM(C1034:F1034)</f>
        <v>21.4277318906083</v>
      </c>
      <c r="Q1034" s="49" t="n">
        <f aca="false">SUM(G1034:J1034)</f>
        <v>79.9068749140587</v>
      </c>
      <c r="R1034" s="49" t="n">
        <f aca="false">SUM(K1034:N1034)</f>
        <v>113.666319358451</v>
      </c>
      <c r="S1034" s="50" t="n">
        <f aca="false">SUM(P1034:R1034)</f>
        <v>215.000926163118</v>
      </c>
    </row>
    <row r="1035" customFormat="false" ht="15" hidden="false" customHeight="false" outlineLevel="0" collapsed="false">
      <c r="A1035" s="4" t="s">
        <v>517</v>
      </c>
      <c r="B1035" s="36" t="s">
        <v>516</v>
      </c>
      <c r="C1035" s="48" t="n">
        <f aca="false">IF(C1002-Assumptions!$F$35&lt;1,0,INDEX($C$1027:$N$1027,1,C1002-Assumptions!$F$35)*INDEX($C$1032:$N$1032,1,C1002-Assumptions!$F$35)*Assumptions!$F$32)</f>
        <v>0</v>
      </c>
      <c r="D1035" s="48" t="n">
        <f aca="false">IF(D1002-Assumptions!$F$35&lt;1,0,INDEX($C$1027:$N$1027,1,D1002-Assumptions!$F$35)*INDEX($C$1032:$N$1032,1,D1002-Assumptions!$F$35)*Assumptions!$F$32)</f>
        <v>1.76536686964341</v>
      </c>
      <c r="E1035" s="48" t="n">
        <f aca="false">IF(E1002-Assumptions!$F$35&lt;1,0,INDEX($C$1027:$N$1027,1,E1002-Assumptions!$F$35)*INDEX($C$1032:$N$1032,1,E1002-Assumptions!$F$35)*Assumptions!$F$32)</f>
        <v>3.95752427721095</v>
      </c>
      <c r="F1035" s="48" t="n">
        <f aca="false">IF(F1002-Assumptions!$F$35&lt;1,0,INDEX($C$1027:$N$1027,1,F1002-Assumptions!$F$35)*INDEX($C$1032:$N$1032,1,F1002-Assumptions!$F$35)*Assumptions!$F$32)</f>
        <v>5.01315378839832</v>
      </c>
      <c r="G1035" s="48" t="n">
        <f aca="false">IF(G1002-Assumptions!$F$35&lt;1,0,INDEX($C$1027:$N$1027,1,G1002-Assumptions!$F$35)*INDEX($C$1032:$N$1032,1,G1002-Assumptions!$F$35)*Assumptions!$F$32)</f>
        <v>6.43395202779868</v>
      </c>
      <c r="H1035" s="48" t="n">
        <f aca="false">IF(H1002-Assumptions!$F$35&lt;1,0,INDEX($C$1027:$N$1027,1,H1002-Assumptions!$F$35)*INDEX($C$1032:$N$1032,1,H1002-Assumptions!$F$35)*Assumptions!$F$32)</f>
        <v>7.7677973303685</v>
      </c>
      <c r="I1035" s="48" t="n">
        <f aca="false">IF(I1002-Assumptions!$F$35&lt;1,0,INDEX($C$1027:$N$1027,1,I1002-Assumptions!$F$35)*INDEX($C$1032:$N$1032,1,I1002-Assumptions!$F$35)*Assumptions!$F$32)</f>
        <v>10.2967806956579</v>
      </c>
      <c r="J1035" s="48" t="n">
        <f aca="false">IF(J1002-Assumptions!$F$35&lt;1,0,INDEX($C$1027:$N$1027,1,J1002-Assumptions!$F$35)*INDEX($C$1032:$N$1032,1,J1002-Assumptions!$F$35)*Assumptions!$F$32)</f>
        <v>12.5627343636023</v>
      </c>
      <c r="K1035" s="48" t="n">
        <f aca="false">IF(K1002-Assumptions!$F$35&lt;1,0,INDEX($C$1027:$N$1027,1,K1002-Assumptions!$F$35)*INDEX($C$1032:$N$1032,1,K1002-Assumptions!$F$35)*Assumptions!$F$32)</f>
        <v>12.6048441920492</v>
      </c>
      <c r="L1035" s="48" t="n">
        <f aca="false">IF(L1002-Assumptions!$F$35&lt;1,0,INDEX($C$1027:$N$1027,1,L1002-Assumptions!$F$35)*INDEX($C$1032:$N$1032,1,L1002-Assumptions!$F$35)*Assumptions!$F$32)</f>
        <v>12.6333709615266</v>
      </c>
      <c r="M1035" s="48" t="n">
        <f aca="false">IF(M1002-Assumptions!$F$35&lt;1,0,INDEX($C$1027:$N$1027,1,M1002-Assumptions!$F$35)*INDEX($C$1032:$N$1032,1,M1002-Assumptions!$F$35)*Assumptions!$F$32)</f>
        <v>12.6493295468566</v>
      </c>
      <c r="N1035" s="48" t="n">
        <f aca="false">IF(N1002-Assumptions!$F$35&lt;1,0,INDEX($C$1027:$N$1027,1,N1002-Assumptions!$F$35)*INDEX($C$1032:$N$1032,1,N1002-Assumptions!$F$35)*Assumptions!$F$32)</f>
        <v>12.6536755403197</v>
      </c>
      <c r="P1035" s="49" t="n">
        <f aca="false">SUM(C1035:F1035)</f>
        <v>10.7360449352527</v>
      </c>
      <c r="Q1035" s="49" t="n">
        <f aca="false">SUM(G1035:J1035)</f>
        <v>37.0612644174274</v>
      </c>
      <c r="R1035" s="49" t="n">
        <f aca="false">SUM(K1035:N1035)</f>
        <v>50.541220240752</v>
      </c>
      <c r="S1035" s="50" t="n">
        <f aca="false">SUM(P1035:R1035)</f>
        <v>98.3385295934321</v>
      </c>
    </row>
    <row r="1036" customFormat="false" ht="15" hidden="false" customHeight="false" outlineLevel="0" collapsed="false">
      <c r="A1036" s="4" t="s">
        <v>518</v>
      </c>
      <c r="B1036" s="36" t="s">
        <v>516</v>
      </c>
      <c r="C1036" s="48" t="n">
        <f aca="false">IF(C1002-Assumptions!$F$36&lt;1,0,INDEX($C$1027:$N$1027,1,C1002-Assumptions!$F$36)*INDEX($C$1033:$N$1033,1,C1002-Assumptions!$F$36)*Assumptions!$F$32)</f>
        <v>0</v>
      </c>
      <c r="D1036" s="48" t="n">
        <f aca="false">IF(D1002-Assumptions!$F$36&lt;1,0,INDEX($C$1027:$N$1027,1,D1002-Assumptions!$F$36)*INDEX($C$1033:$N$1033,1,D1002-Assumptions!$F$36)*Assumptions!$F$32)</f>
        <v>0</v>
      </c>
      <c r="E1036" s="48" t="n">
        <f aca="false">IF(E1002-Assumptions!$F$36&lt;1,0,INDEX($C$1027:$N$1027,1,E1002-Assumptions!$F$36)*INDEX($C$1033:$N$1033,1,E1002-Assumptions!$F$36)*Assumptions!$F$32)</f>
        <v>0.372688561369165</v>
      </c>
      <c r="F1036" s="48" t="n">
        <f aca="false">IF(F1002-Assumptions!$F$36&lt;1,0,INDEX($C$1027:$N$1027,1,F1002-Assumptions!$F$36)*INDEX($C$1033:$N$1033,1,F1002-Assumptions!$F$36)*Assumptions!$F$32)</f>
        <v>0.835477347411201</v>
      </c>
      <c r="G1036" s="48" t="n">
        <f aca="false">IF(G1002-Assumptions!$F$36&lt;1,0,INDEX($C$1027:$N$1027,1,G1002-Assumptions!$F$36)*INDEX($C$1033:$N$1033,1,G1002-Assumptions!$F$36)*Assumptions!$F$32)</f>
        <v>1.05833246643965</v>
      </c>
      <c r="H1036" s="48" t="n">
        <f aca="false">IF(H1002-Assumptions!$F$36&lt;1,0,INDEX($C$1027:$N$1027,1,H1002-Assumptions!$F$36)*INDEX($C$1033:$N$1033,1,H1002-Assumptions!$F$36)*Assumptions!$F$32)</f>
        <v>1.27044549278704</v>
      </c>
      <c r="I1036" s="48" t="n">
        <f aca="false">IF(I1002-Assumptions!$F$36&lt;1,0,INDEX($C$1027:$N$1027,1,I1002-Assumptions!$F$36)*INDEX($C$1033:$N$1033,1,I1002-Assumptions!$F$36)*Assumptions!$F$32)</f>
        <v>1.47043543560112</v>
      </c>
      <c r="J1036" s="48" t="n">
        <f aca="false">IF(J1002-Assumptions!$F$36&lt;1,0,INDEX($C$1027:$N$1027,1,J1002-Assumptions!$F$36)*INDEX($C$1033:$N$1033,1,J1002-Assumptions!$F$36)*Assumptions!$F$32)</f>
        <v>1.86264505310045</v>
      </c>
      <c r="K1036" s="48" t="n">
        <f aca="false">IF(K1002-Assumptions!$F$36&lt;1,0,INDEX($C$1027:$N$1027,1,K1002-Assumptions!$F$36)*INDEX($C$1033:$N$1033,1,K1002-Assumptions!$F$36)*Assumptions!$F$32)</f>
        <v>2.22484000458238</v>
      </c>
      <c r="L1036" s="48" t="n">
        <f aca="false">IF(L1002-Assumptions!$F$36&lt;1,0,INDEX($C$1027:$N$1027,1,L1002-Assumptions!$F$36)*INDEX($C$1033:$N$1033,1,L1002-Assumptions!$F$36)*Assumptions!$F$32)</f>
        <v>2.23229758731899</v>
      </c>
      <c r="M1036" s="48" t="n">
        <f aca="false">IF(M1002-Assumptions!$F$36&lt;1,0,INDEX($C$1027:$N$1027,1,M1002-Assumptions!$F$36)*INDEX($C$1033:$N$1033,1,M1002-Assumptions!$F$36)*Assumptions!$F$32)</f>
        <v>2.2373496322081</v>
      </c>
      <c r="N1036" s="48" t="n">
        <f aca="false">IF(N1002-Assumptions!$F$36&lt;1,0,INDEX($C$1027:$N$1027,1,N1002-Assumptions!$F$36)*INDEX($C$1033:$N$1033,1,N1002-Assumptions!$F$36)*Assumptions!$F$32)</f>
        <v>2.2401758719447</v>
      </c>
      <c r="P1036" s="49" t="n">
        <f aca="false">SUM(C1036:F1036)</f>
        <v>1.20816590878037</v>
      </c>
      <c r="Q1036" s="49" t="n">
        <f aca="false">SUM(G1036:J1036)</f>
        <v>5.66185844792825</v>
      </c>
      <c r="R1036" s="49" t="n">
        <f aca="false">SUM(K1036:N1036)</f>
        <v>8.93466309605417</v>
      </c>
      <c r="S1036" s="50" t="n">
        <f aca="false">SUM(P1036:R1036)</f>
        <v>15.8046874527628</v>
      </c>
    </row>
    <row r="1037" customFormat="false" ht="15" hidden="false" customHeight="false" outlineLevel="0" collapsed="false">
      <c r="A1037" s="4" t="s">
        <v>519</v>
      </c>
      <c r="B1037" s="36" t="s">
        <v>77</v>
      </c>
      <c r="C1037" s="51" t="n">
        <f aca="false">IF(C1002-Assumptions!$F$35&lt;1,0,IFERROR(INDEX($C$1026:$N$1026,1,C1002-Assumptions!$F$35)/INDEX($C$1027:$N$1027,1,C1002-Assumptions!$F$35),0))</f>
        <v>0</v>
      </c>
      <c r="D1037" s="51" t="n">
        <f aca="false">IF(D1002-Assumptions!$F$35&lt;1,0,IFERROR(INDEX($C$1026:$N$1026,1,D1002-Assumptions!$F$35)/INDEX($C$1027:$N$1027,1,D1002-Assumptions!$F$35),0))</f>
        <v>0.381524652688916</v>
      </c>
      <c r="E1037" s="51" t="n">
        <f aca="false">IF(E1002-Assumptions!$F$35&lt;1,0,IFERROR(INDEX($C$1026:$N$1026,1,E1002-Assumptions!$F$35)/INDEX($C$1027:$N$1027,1,E1002-Assumptions!$F$35),0))</f>
        <v>0.283649968444367</v>
      </c>
      <c r="F1037" s="51" t="n">
        <f aca="false">IF(F1002-Assumptions!$F$35&lt;1,0,IFERROR(INDEX($C$1026:$N$1026,1,F1002-Assumptions!$F$35)/INDEX($C$1027:$N$1027,1,F1002-Assumptions!$F$35),0))</f>
        <v>0.313489742629718</v>
      </c>
      <c r="G1037" s="51" t="n">
        <f aca="false">IF(G1002-Assumptions!$F$35&lt;1,0,IFERROR(INDEX($C$1026:$N$1026,1,G1002-Assumptions!$F$35)/INDEX($C$1027:$N$1027,1,G1002-Assumptions!$F$35),0))</f>
        <v>0.311476401993945</v>
      </c>
      <c r="H1037" s="51" t="n">
        <f aca="false">IF(H1002-Assumptions!$F$35&lt;1,0,IFERROR(INDEX($C$1026:$N$1026,1,H1002-Assumptions!$F$35)/INDEX($C$1027:$N$1027,1,H1002-Assumptions!$F$35),0))</f>
        <v>0.313784605186229</v>
      </c>
      <c r="I1037" s="51" t="n">
        <f aca="false">IF(I1002-Assumptions!$F$35&lt;1,0,IFERROR(INDEX($C$1026:$N$1026,1,I1002-Assumptions!$F$35)/INDEX($C$1027:$N$1027,1,I1002-Assumptions!$F$35),0))</f>
        <v>0.269653808024161</v>
      </c>
      <c r="J1037" s="51" t="n">
        <f aca="false">IF(J1002-Assumptions!$F$35&lt;1,0,IFERROR(INDEX($C$1026:$N$1026,1,J1002-Assumptions!$F$35)/INDEX($C$1027:$N$1027,1,J1002-Assumptions!$F$35),0))</f>
        <v>0.250923864600865</v>
      </c>
      <c r="K1037" s="51" t="n">
        <f aca="false">IF(K1002-Assumptions!$F$35&lt;1,0,IFERROR(INDEX($C$1026:$N$1026,1,K1002-Assumptions!$F$35)/INDEX($C$1027:$N$1027,1,K1002-Assumptions!$F$35),0))</f>
        <v>0.250085586814121</v>
      </c>
      <c r="L1037" s="51" t="n">
        <f aca="false">IF(L1002-Assumptions!$F$35&lt;1,0,IFERROR(INDEX($C$1026:$N$1026,1,L1002-Assumptions!$F$35)/INDEX($C$1027:$N$1027,1,L1002-Assumptions!$F$35),0))</f>
        <v>0.249520881328435</v>
      </c>
      <c r="M1037" s="51" t="n">
        <f aca="false">IF(M1002-Assumptions!$F$35&lt;1,0,IFERROR(INDEX($C$1026:$N$1026,1,M1002-Assumptions!$F$35)/INDEX($C$1027:$N$1027,1,M1002-Assumptions!$F$35),0))</f>
        <v>0.249206082013456</v>
      </c>
      <c r="N1037" s="51" t="n">
        <f aca="false">IF(N1002-Assumptions!$F$35&lt;1,0,IFERROR(INDEX($C$1026:$N$1026,1,N1002-Assumptions!$F$35)/INDEX($C$1027:$N$1027,1,N1002-Assumptions!$F$35),0))</f>
        <v>0.249120490439693</v>
      </c>
      <c r="P1037" s="52"/>
      <c r="Q1037" s="52"/>
      <c r="R1037" s="52"/>
      <c r="S1037" s="53"/>
    </row>
    <row r="1038" customFormat="false" ht="15" hidden="false" customHeight="false" outlineLevel="0" collapsed="false">
      <c r="A1038" s="4" t="s">
        <v>520</v>
      </c>
      <c r="B1038" s="36" t="s">
        <v>516</v>
      </c>
      <c r="C1038" s="48" t="n">
        <f aca="false">C1034*Assumptions!$F$37</f>
        <v>0</v>
      </c>
      <c r="D1038" s="48" t="n">
        <f aca="false">D1034*Assumptions!$F$37</f>
        <v>1.40937591820507</v>
      </c>
      <c r="E1038" s="48" t="n">
        <f aca="false">E1034*Assumptions!$F$37</f>
        <v>3.15947892074108</v>
      </c>
      <c r="F1038" s="48" t="n">
        <f aca="false">F1034*Assumptions!$F$37</f>
        <v>4.00223791729718</v>
      </c>
      <c r="G1038" s="48" t="n">
        <f aca="false">G1034*Assumptions!$F$37</f>
        <v>5.23989869490814</v>
      </c>
      <c r="H1038" s="48" t="n">
        <f aca="false">H1034*Assumptions!$F$37</f>
        <v>6.40080449572306</v>
      </c>
      <c r="I1038" s="48" t="n">
        <f aca="false">I1034*Assumptions!$F$37</f>
        <v>9.02069892951842</v>
      </c>
      <c r="J1038" s="48" t="n">
        <f aca="false">J1034*Assumptions!$F$37</f>
        <v>11.3013478454739</v>
      </c>
      <c r="K1038" s="48" t="n">
        <f aca="false">K1034*Assumptions!$F$37</f>
        <v>11.339229552212</v>
      </c>
      <c r="L1038" s="48" t="n">
        <f aca="false">L1034*Assumptions!$F$37</f>
        <v>11.3648920342355</v>
      </c>
      <c r="M1038" s="48" t="n">
        <f aca="false">M1034*Assumptions!$F$37</f>
        <v>11.3792482658262</v>
      </c>
      <c r="N1038" s="48" t="n">
        <f aca="false">N1034*Assumptions!$F$37</f>
        <v>11.3831578911067</v>
      </c>
      <c r="P1038" s="49" t="n">
        <f aca="false">SUM(C1038:F1038)</f>
        <v>8.57109275624332</v>
      </c>
      <c r="Q1038" s="49" t="n">
        <f aca="false">SUM(G1038:J1038)</f>
        <v>31.9627499656235</v>
      </c>
      <c r="R1038" s="49" t="n">
        <f aca="false">SUM(K1038:N1038)</f>
        <v>45.4665277433804</v>
      </c>
      <c r="S1038" s="50" t="n">
        <f aca="false">SUM(P1038:R1038)</f>
        <v>86.0003704652472</v>
      </c>
    </row>
    <row r="1039" customFormat="false" ht="15" hidden="false" customHeight="false" outlineLevel="0" collapsed="false">
      <c r="A1039" s="4" t="s">
        <v>521</v>
      </c>
      <c r="B1039" s="36" t="s">
        <v>516</v>
      </c>
      <c r="C1039" s="48" t="n">
        <f aca="false">C1034*(1-Assumptions!$F$37)</f>
        <v>0</v>
      </c>
      <c r="D1039" s="48" t="n">
        <f aca="false">D1034*(1-Assumptions!$F$37)</f>
        <v>2.1140638773076</v>
      </c>
      <c r="E1039" s="48" t="n">
        <f aca="false">E1034*(1-Assumptions!$F$37)</f>
        <v>4.73921838111162</v>
      </c>
      <c r="F1039" s="48" t="n">
        <f aca="false">F1034*(1-Assumptions!$F$37)</f>
        <v>6.00335687594576</v>
      </c>
      <c r="G1039" s="48" t="n">
        <f aca="false">G1034*(1-Assumptions!$F$37)</f>
        <v>7.85984804236221</v>
      </c>
      <c r="H1039" s="48" t="n">
        <f aca="false">H1034*(1-Assumptions!$F$37)</f>
        <v>9.60120674358458</v>
      </c>
      <c r="I1039" s="48" t="n">
        <f aca="false">I1034*(1-Assumptions!$F$37)</f>
        <v>13.5310483942776</v>
      </c>
      <c r="J1039" s="48" t="n">
        <f aca="false">J1034*(1-Assumptions!$F$37)</f>
        <v>16.9520217682108</v>
      </c>
      <c r="K1039" s="48" t="n">
        <f aca="false">K1034*(1-Assumptions!$F$37)</f>
        <v>17.008844328318</v>
      </c>
      <c r="L1039" s="48" t="n">
        <f aca="false">L1034*(1-Assumptions!$F$37)</f>
        <v>17.0473380513533</v>
      </c>
      <c r="M1039" s="48" t="n">
        <f aca="false">M1034*(1-Assumptions!$F$37)</f>
        <v>17.0688723987393</v>
      </c>
      <c r="N1039" s="48" t="n">
        <f aca="false">N1034*(1-Assumptions!$F$37)</f>
        <v>17.07473683666</v>
      </c>
      <c r="P1039" s="49" t="n">
        <f aca="false">SUM(C1039:F1039)</f>
        <v>12.856639134365</v>
      </c>
      <c r="Q1039" s="49" t="n">
        <f aca="false">SUM(G1039:J1039)</f>
        <v>47.9441249484352</v>
      </c>
      <c r="R1039" s="49" t="n">
        <f aca="false">SUM(K1039:N1039)</f>
        <v>68.1997916150706</v>
      </c>
      <c r="S1039" s="50" t="n">
        <f aca="false">SUM(P1039:R1039)</f>
        <v>129.000555697871</v>
      </c>
    </row>
    <row r="1040" customFormat="false" ht="15" hidden="false" customHeight="false" outlineLevel="0" collapsed="false">
      <c r="A1040" s="4" t="s">
        <v>522</v>
      </c>
      <c r="B1040" s="36" t="s">
        <v>125</v>
      </c>
      <c r="C1040" s="54" t="n">
        <f aca="false">C1039*$C$993+C1035*$C$994+C1036*$C$995</f>
        <v>0</v>
      </c>
      <c r="D1040" s="54" t="n">
        <f aca="false">D1039*$C$993+D1035*$C$994+D1036*$C$995</f>
        <v>37177.2360819178</v>
      </c>
      <c r="E1040" s="54" t="n">
        <f aca="false">E1039*$C$993+E1035*$C$994+E1036*$C$995</f>
        <v>117878.418954579</v>
      </c>
      <c r="F1040" s="54" t="n">
        <f aca="false">F1039*$C$993+F1035*$C$994+F1036*$C$995</f>
        <v>182994.57147144</v>
      </c>
      <c r="G1040" s="54" t="n">
        <f aca="false">G1039*$C$993+G1035*$C$994+G1036*$C$995</f>
        <v>234396.721304301</v>
      </c>
      <c r="H1040" s="54" t="n">
        <f aca="false">H1039*$C$993+H1035*$C$994+H1036*$C$995</f>
        <v>282913.373054872</v>
      </c>
      <c r="I1040" s="54" t="n">
        <f aca="false">I1039*$C$993+I1035*$C$994+I1036*$C$995</f>
        <v>359528.239570678</v>
      </c>
      <c r="J1040" s="54" t="n">
        <f aca="false">J1039*$C$993+J1035*$C$994+J1036*$C$995</f>
        <v>447378.731379668</v>
      </c>
      <c r="K1040" s="54" t="n">
        <f aca="false">K1039*$C$993+K1035*$C$994+K1036*$C$995</f>
        <v>481863.416856084</v>
      </c>
      <c r="L1040" s="54" t="n">
        <f aca="false">L1039*$C$993+L1035*$C$994+L1036*$C$995</f>
        <v>483178.429407885</v>
      </c>
      <c r="M1040" s="54" t="n">
        <f aca="false">M1039*$C$993+M1035*$C$994+M1036*$C$995</f>
        <v>483995.635575335</v>
      </c>
      <c r="N1040" s="54" t="n">
        <f aca="false">N1039*$C$993+N1035*$C$994+N1036*$C$995</f>
        <v>484352.591443717</v>
      </c>
      <c r="P1040" s="55" t="n">
        <f aca="false">SUM(C1040:F1040)</f>
        <v>338050.226507937</v>
      </c>
      <c r="Q1040" s="55" t="n">
        <f aca="false">SUM(G1040:J1040)</f>
        <v>1324217.06530952</v>
      </c>
      <c r="R1040" s="55" t="n">
        <f aca="false">SUM(K1040:N1040)</f>
        <v>1933390.07328302</v>
      </c>
      <c r="S1040" s="56" t="n">
        <f aca="false">SUM(P1040:R1040)</f>
        <v>3595657.36510048</v>
      </c>
    </row>
    <row r="1041" customFormat="false" ht="15" hidden="false" customHeight="false" outlineLevel="0" collapsed="false">
      <c r="A1041" s="4" t="s">
        <v>523</v>
      </c>
      <c r="B1041" s="36" t="s">
        <v>125</v>
      </c>
      <c r="C1041" s="54" t="n">
        <f aca="false">(C1017+Assumptions!$E$104*C1003)*$C$998</f>
        <v>0</v>
      </c>
      <c r="D1041" s="54" t="n">
        <f aca="false">(D1017+Assumptions!$E$104*D1003)*$C$998</f>
        <v>185937.5</v>
      </c>
      <c r="E1041" s="54" t="n">
        <f aca="false">(E1017+Assumptions!$E$104*E1003)*$C$998</f>
        <v>371875</v>
      </c>
      <c r="F1041" s="54" t="n">
        <f aca="false">(F1017+Assumptions!$E$104*F1003)*$C$998</f>
        <v>464843.75</v>
      </c>
      <c r="G1041" s="54" t="n">
        <f aca="false">(G1017+Assumptions!$E$104*G1003)*$C$998</f>
        <v>557812.5</v>
      </c>
      <c r="H1041" s="54" t="n">
        <f aca="false">(H1017+Assumptions!$E$104*H1003)*$C$998</f>
        <v>650781.25</v>
      </c>
      <c r="I1041" s="54" t="n">
        <f aca="false">(I1017+Assumptions!$E$104*I1003)*$C$998</f>
        <v>743750</v>
      </c>
      <c r="J1041" s="54" t="n">
        <f aca="false">(J1017+Assumptions!$E$104*J1003)*$C$998</f>
        <v>836718.75</v>
      </c>
      <c r="K1041" s="54" t="n">
        <f aca="false">(K1017+Assumptions!$E$104*K1003)*$C$998</f>
        <v>929687.5</v>
      </c>
      <c r="L1041" s="54" t="n">
        <f aca="false">(L1017+Assumptions!$E$104*L1003)*$C$998</f>
        <v>1022656.25</v>
      </c>
      <c r="M1041" s="54" t="n">
        <f aca="false">(M1017+Assumptions!$E$104*M1003)*$C$998</f>
        <v>1115625</v>
      </c>
      <c r="N1041" s="54" t="n">
        <f aca="false">(N1017+Assumptions!$E$104*N1003)*$C$998</f>
        <v>1115625</v>
      </c>
      <c r="P1041" s="55" t="n">
        <f aca="false">SUM(C1041:F1041)</f>
        <v>1022656.25</v>
      </c>
      <c r="Q1041" s="55" t="n">
        <f aca="false">SUM(G1041:J1041)</f>
        <v>2789062.5</v>
      </c>
      <c r="R1041" s="55" t="n">
        <f aca="false">SUM(K1041:N1041)</f>
        <v>4183593.75</v>
      </c>
      <c r="S1041" s="56" t="n">
        <f aca="false">SUM(P1041:R1041)</f>
        <v>7995312.5</v>
      </c>
    </row>
    <row r="1042" customFormat="false" ht="15" hidden="false" customHeight="false" outlineLevel="0" collapsed="false">
      <c r="A1042" s="4" t="s">
        <v>524</v>
      </c>
      <c r="B1042" s="36" t="s">
        <v>77</v>
      </c>
      <c r="C1042" s="51" t="n">
        <f aca="false">IF(C1040&gt;0,MIN(1,C1041/C1040),1)</f>
        <v>1</v>
      </c>
      <c r="D1042" s="51" t="n">
        <f aca="false">IF(D1040&gt;0,MIN(1,D1041/D1040),1)</f>
        <v>1</v>
      </c>
      <c r="E1042" s="51" t="n">
        <f aca="false">IF(E1040&gt;0,MIN(1,E1041/E1040),1)</f>
        <v>1</v>
      </c>
      <c r="F1042" s="51" t="n">
        <f aca="false">IF(F1040&gt;0,MIN(1,F1041/F1040),1)</f>
        <v>1</v>
      </c>
      <c r="G1042" s="51" t="n">
        <f aca="false">IF(G1040&gt;0,MIN(1,G1041/G1040),1)</f>
        <v>1</v>
      </c>
      <c r="H1042" s="51" t="n">
        <f aca="false">IF(H1040&gt;0,MIN(1,H1041/H1040),1)</f>
        <v>1</v>
      </c>
      <c r="I1042" s="51" t="n">
        <f aca="false">IF(I1040&gt;0,MIN(1,I1041/I1040),1)</f>
        <v>1</v>
      </c>
      <c r="J1042" s="51" t="n">
        <f aca="false">IF(J1040&gt;0,MIN(1,J1041/J1040),1)</f>
        <v>1</v>
      </c>
      <c r="K1042" s="51" t="n">
        <f aca="false">IF(K1040&gt;0,MIN(1,K1041/K1040),1)</f>
        <v>1</v>
      </c>
      <c r="L1042" s="51" t="n">
        <f aca="false">IF(L1040&gt;0,MIN(1,L1041/L1040),1)</f>
        <v>1</v>
      </c>
      <c r="M1042" s="51" t="n">
        <f aca="false">IF(M1040&gt;0,MIN(1,M1041/M1040),1)</f>
        <v>1</v>
      </c>
      <c r="N1042" s="51" t="n">
        <f aca="false">IF(N1040&gt;0,MIN(1,N1041/N1040),1)</f>
        <v>1</v>
      </c>
      <c r="P1042" s="52"/>
      <c r="Q1042" s="52"/>
      <c r="R1042" s="52"/>
      <c r="S1042" s="53"/>
    </row>
    <row r="1043" customFormat="false" ht="15" hidden="false" customHeight="false" outlineLevel="0" collapsed="false">
      <c r="A1043" s="4" t="s">
        <v>525</v>
      </c>
      <c r="B1043" s="36" t="s">
        <v>125</v>
      </c>
      <c r="C1043" s="54" t="n">
        <f aca="false">C1040*(1-C1042)</f>
        <v>0</v>
      </c>
      <c r="D1043" s="54" t="n">
        <f aca="false">D1040*(1-D1042)</f>
        <v>0</v>
      </c>
      <c r="E1043" s="54" t="n">
        <f aca="false">E1040*(1-E1042)</f>
        <v>0</v>
      </c>
      <c r="F1043" s="54" t="n">
        <f aca="false">F1040*(1-F1042)</f>
        <v>0</v>
      </c>
      <c r="G1043" s="54" t="n">
        <f aca="false">G1040*(1-G1042)</f>
        <v>0</v>
      </c>
      <c r="H1043" s="54" t="n">
        <f aca="false">H1040*(1-H1042)</f>
        <v>0</v>
      </c>
      <c r="I1043" s="54" t="n">
        <f aca="false">I1040*(1-I1042)</f>
        <v>0</v>
      </c>
      <c r="J1043" s="54" t="n">
        <f aca="false">J1040*(1-J1042)</f>
        <v>0</v>
      </c>
      <c r="K1043" s="54" t="n">
        <f aca="false">K1040*(1-K1042)</f>
        <v>0</v>
      </c>
      <c r="L1043" s="54" t="n">
        <f aca="false">L1040*(1-L1042)</f>
        <v>0</v>
      </c>
      <c r="M1043" s="54" t="n">
        <f aca="false">M1040*(1-M1042)</f>
        <v>0</v>
      </c>
      <c r="N1043" s="54" t="n">
        <f aca="false">N1040*(1-N1042)</f>
        <v>0</v>
      </c>
      <c r="P1043" s="55" t="n">
        <f aca="false">SUM(C1043:F1043)</f>
        <v>0</v>
      </c>
      <c r="Q1043" s="55" t="n">
        <f aca="false">SUM(G1043:J1043)</f>
        <v>0</v>
      </c>
      <c r="R1043" s="55" t="n">
        <f aca="false">SUM(K1043:N1043)</f>
        <v>0</v>
      </c>
      <c r="S1043" s="56" t="n">
        <f aca="false">SUM(P1043:R1043)</f>
        <v>0</v>
      </c>
    </row>
    <row r="1044" customFormat="false" ht="15" hidden="false" customHeight="false" outlineLevel="0" collapsed="false">
      <c r="A1044" s="4" t="s">
        <v>526</v>
      </c>
      <c r="B1044" s="36" t="s">
        <v>527</v>
      </c>
      <c r="C1044" s="48" t="n">
        <f aca="false">C1038+C1039*C1042</f>
        <v>0</v>
      </c>
      <c r="D1044" s="48" t="n">
        <f aca="false">D1038+D1039*D1042</f>
        <v>3.52343979551266</v>
      </c>
      <c r="E1044" s="48" t="n">
        <f aca="false">E1038+E1039*E1042</f>
        <v>7.89869730185269</v>
      </c>
      <c r="F1044" s="48" t="n">
        <f aca="false">F1038+F1039*F1042</f>
        <v>10.0055947932429</v>
      </c>
      <c r="G1044" s="48" t="n">
        <f aca="false">G1038+G1039*G1042</f>
        <v>13.0997467372703</v>
      </c>
      <c r="H1044" s="48" t="n">
        <f aca="false">H1038+H1039*H1042</f>
        <v>16.0020112393076</v>
      </c>
      <c r="I1044" s="48" t="n">
        <f aca="false">I1038+I1039*I1042</f>
        <v>22.5517473237961</v>
      </c>
      <c r="J1044" s="48" t="n">
        <f aca="false">J1038+J1039*J1042</f>
        <v>28.2533696136847</v>
      </c>
      <c r="K1044" s="48" t="n">
        <f aca="false">K1038+K1039*K1042</f>
        <v>28.34807388053</v>
      </c>
      <c r="L1044" s="48" t="n">
        <f aca="false">L1038+L1039*L1042</f>
        <v>28.4122300855888</v>
      </c>
      <c r="M1044" s="48" t="n">
        <f aca="false">M1038+M1039*M1042</f>
        <v>28.4481206645655</v>
      </c>
      <c r="N1044" s="48" t="n">
        <f aca="false">N1038+N1039*N1042</f>
        <v>28.4578947277667</v>
      </c>
      <c r="P1044" s="49" t="n">
        <f aca="false">SUM(C1044:F1044)</f>
        <v>21.4277318906083</v>
      </c>
      <c r="Q1044" s="49" t="n">
        <f aca="false">SUM(G1044:J1044)</f>
        <v>79.9068749140587</v>
      </c>
      <c r="R1044" s="49" t="n">
        <f aca="false">SUM(K1044:N1044)</f>
        <v>113.666319358451</v>
      </c>
      <c r="S1044" s="50" t="n">
        <f aca="false">SUM(P1044:R1044)</f>
        <v>215.000926163118</v>
      </c>
    </row>
    <row r="1045" customFormat="false" ht="15" hidden="false" customHeight="false" outlineLevel="0" collapsed="false">
      <c r="A1045" s="4" t="s">
        <v>528</v>
      </c>
      <c r="B1045" s="36" t="s">
        <v>527</v>
      </c>
      <c r="C1045" s="48" t="n">
        <f aca="false">C1035*C1042</f>
        <v>0</v>
      </c>
      <c r="D1045" s="48" t="n">
        <f aca="false">D1035*D1042</f>
        <v>1.76536686964341</v>
      </c>
      <c r="E1045" s="48" t="n">
        <f aca="false">E1035*E1042</f>
        <v>3.95752427721095</v>
      </c>
      <c r="F1045" s="48" t="n">
        <f aca="false">F1035*F1042</f>
        <v>5.01315378839832</v>
      </c>
      <c r="G1045" s="48" t="n">
        <f aca="false">G1035*G1042</f>
        <v>6.43395202779868</v>
      </c>
      <c r="H1045" s="48" t="n">
        <f aca="false">H1035*H1042</f>
        <v>7.7677973303685</v>
      </c>
      <c r="I1045" s="48" t="n">
        <f aca="false">I1035*I1042</f>
        <v>10.2967806956579</v>
      </c>
      <c r="J1045" s="48" t="n">
        <f aca="false">J1035*J1042</f>
        <v>12.5627343636023</v>
      </c>
      <c r="K1045" s="48" t="n">
        <f aca="false">K1035*K1042</f>
        <v>12.6048441920492</v>
      </c>
      <c r="L1045" s="48" t="n">
        <f aca="false">L1035*L1042</f>
        <v>12.6333709615266</v>
      </c>
      <c r="M1045" s="48" t="n">
        <f aca="false">M1035*M1042</f>
        <v>12.6493295468566</v>
      </c>
      <c r="N1045" s="48" t="n">
        <f aca="false">N1035*N1042</f>
        <v>12.6536755403197</v>
      </c>
      <c r="P1045" s="49" t="n">
        <f aca="false">SUM(C1045:F1045)</f>
        <v>10.7360449352527</v>
      </c>
      <c r="Q1045" s="49" t="n">
        <f aca="false">SUM(G1045:J1045)</f>
        <v>37.0612644174274</v>
      </c>
      <c r="R1045" s="49" t="n">
        <f aca="false">SUM(K1045:N1045)</f>
        <v>50.541220240752</v>
      </c>
      <c r="S1045" s="50" t="n">
        <f aca="false">SUM(P1045:R1045)</f>
        <v>98.3385295934321</v>
      </c>
    </row>
    <row r="1046" customFormat="false" ht="15" hidden="false" customHeight="false" outlineLevel="0" collapsed="false">
      <c r="A1046" s="4" t="s">
        <v>529</v>
      </c>
      <c r="B1046" s="36" t="s">
        <v>527</v>
      </c>
      <c r="C1046" s="48" t="n">
        <f aca="false">C1036*C1042</f>
        <v>0</v>
      </c>
      <c r="D1046" s="48" t="n">
        <f aca="false">D1036*D1042</f>
        <v>0</v>
      </c>
      <c r="E1046" s="48" t="n">
        <f aca="false">E1036*E1042</f>
        <v>0.372688561369165</v>
      </c>
      <c r="F1046" s="48" t="n">
        <f aca="false">F1036*F1042</f>
        <v>0.835477347411201</v>
      </c>
      <c r="G1046" s="48" t="n">
        <f aca="false">G1036*G1042</f>
        <v>1.05833246643965</v>
      </c>
      <c r="H1046" s="48" t="n">
        <f aca="false">H1036*H1042</f>
        <v>1.27044549278704</v>
      </c>
      <c r="I1046" s="48" t="n">
        <f aca="false">I1036*I1042</f>
        <v>1.47043543560112</v>
      </c>
      <c r="J1046" s="48" t="n">
        <f aca="false">J1036*J1042</f>
        <v>1.86264505310045</v>
      </c>
      <c r="K1046" s="48" t="n">
        <f aca="false">K1036*K1042</f>
        <v>2.22484000458238</v>
      </c>
      <c r="L1046" s="48" t="n">
        <f aca="false">L1036*L1042</f>
        <v>2.23229758731899</v>
      </c>
      <c r="M1046" s="48" t="n">
        <f aca="false">M1036*M1042</f>
        <v>2.2373496322081</v>
      </c>
      <c r="N1046" s="48" t="n">
        <f aca="false">N1036*N1042</f>
        <v>2.2401758719447</v>
      </c>
      <c r="P1046" s="49" t="n">
        <f aca="false">SUM(C1046:F1046)</f>
        <v>1.20816590878037</v>
      </c>
      <c r="Q1046" s="49" t="n">
        <f aca="false">SUM(G1046:J1046)</f>
        <v>5.66185844792825</v>
      </c>
      <c r="R1046" s="49" t="n">
        <f aca="false">SUM(K1046:N1046)</f>
        <v>8.93466309605417</v>
      </c>
      <c r="S1046" s="50" t="n">
        <f aca="false">SUM(P1046:R1046)</f>
        <v>15.8046874527628</v>
      </c>
    </row>
    <row r="1047" customFormat="false" ht="15" hidden="false" customHeight="false" outlineLevel="0" collapsed="false">
      <c r="A1047" s="9" t="s">
        <v>530</v>
      </c>
      <c r="B1047" s="36" t="s">
        <v>527</v>
      </c>
      <c r="C1047" s="49" t="n">
        <f aca="false">C1044+C1045+C1046</f>
        <v>0</v>
      </c>
      <c r="D1047" s="49" t="n">
        <f aca="false">D1044+D1045+D1046</f>
        <v>5.28880666515608</v>
      </c>
      <c r="E1047" s="49" t="n">
        <f aca="false">E1044+E1045+E1046</f>
        <v>12.2289101404328</v>
      </c>
      <c r="F1047" s="49" t="n">
        <f aca="false">F1044+F1045+F1046</f>
        <v>15.8542259290525</v>
      </c>
      <c r="G1047" s="49" t="n">
        <f aca="false">G1044+G1045+G1046</f>
        <v>20.5920312315087</v>
      </c>
      <c r="H1047" s="49" t="n">
        <f aca="false">H1044+H1045+H1046</f>
        <v>25.0402540624632</v>
      </c>
      <c r="I1047" s="49" t="n">
        <f aca="false">I1044+I1045+I1046</f>
        <v>34.3189634550551</v>
      </c>
      <c r="J1047" s="49" t="n">
        <f aca="false">J1044+J1045+J1046</f>
        <v>42.6787490303874</v>
      </c>
      <c r="K1047" s="49" t="n">
        <f aca="false">K1044+K1045+K1046</f>
        <v>43.1777580771616</v>
      </c>
      <c r="L1047" s="49" t="n">
        <f aca="false">L1044+L1045+L1046</f>
        <v>43.2778986344344</v>
      </c>
      <c r="M1047" s="49" t="n">
        <f aca="false">M1044+M1045+M1046</f>
        <v>43.3347998436302</v>
      </c>
      <c r="N1047" s="49" t="n">
        <f aca="false">N1044+N1045+N1046</f>
        <v>43.3517461400311</v>
      </c>
      <c r="P1047" s="49" t="n">
        <f aca="false">SUM(C1047:F1047)</f>
        <v>33.3719427346414</v>
      </c>
      <c r="Q1047" s="49" t="n">
        <f aca="false">SUM(G1047:J1047)</f>
        <v>122.629997779414</v>
      </c>
      <c r="R1047" s="49" t="n">
        <f aca="false">SUM(K1047:N1047)</f>
        <v>173.142202695257</v>
      </c>
      <c r="S1047" s="50" t="n">
        <f aca="false">SUM(P1047:R1047)</f>
        <v>329.144143209313</v>
      </c>
    </row>
    <row r="1048" customFormat="false" ht="15" hidden="false" customHeight="false" outlineLevel="0" collapsed="false">
      <c r="A1048" s="35" t="s">
        <v>533</v>
      </c>
      <c r="B1048" s="35" t="s">
        <v>444</v>
      </c>
      <c r="C1048" s="6" t="s">
        <v>354</v>
      </c>
      <c r="D1048" s="6" t="s">
        <v>355</v>
      </c>
      <c r="E1048" s="6" t="s">
        <v>356</v>
      </c>
      <c r="F1048" s="6" t="s">
        <v>357</v>
      </c>
      <c r="G1048" s="6" t="s">
        <v>358</v>
      </c>
      <c r="H1048" s="6" t="s">
        <v>359</v>
      </c>
      <c r="I1048" s="6" t="s">
        <v>360</v>
      </c>
      <c r="J1048" s="6" t="s">
        <v>361</v>
      </c>
      <c r="K1048" s="6" t="s">
        <v>362</v>
      </c>
      <c r="L1048" s="6" t="s">
        <v>363</v>
      </c>
      <c r="M1048" s="6" t="s">
        <v>364</v>
      </c>
      <c r="N1048" s="6" t="s">
        <v>365</v>
      </c>
      <c r="P1048" s="6" t="s">
        <v>445</v>
      </c>
      <c r="Q1048" s="6" t="s">
        <v>446</v>
      </c>
      <c r="R1048" s="6" t="s">
        <v>447</v>
      </c>
      <c r="S1048" s="6" t="s">
        <v>448</v>
      </c>
    </row>
    <row r="1049" customFormat="false" ht="15" hidden="false" customHeight="false" outlineLevel="0" collapsed="false">
      <c r="A1049" s="4" t="s">
        <v>534</v>
      </c>
      <c r="B1049" s="36" t="s">
        <v>527</v>
      </c>
      <c r="C1049" s="48" t="n">
        <f aca="false">0*Assumptions!$F$59^(1/4)+C1044</f>
        <v>0</v>
      </c>
      <c r="D1049" s="48" t="n">
        <f aca="false">C1049*Assumptions!$F$59^(1/4)+D1044</f>
        <v>3.52343979551266</v>
      </c>
      <c r="E1049" s="48" t="n">
        <f aca="false">D1049*Assumptions!$F$59^(1/4)+E1044</f>
        <v>11.3400342968521</v>
      </c>
      <c r="F1049" s="48" t="n">
        <f aca="false">E1049*Assumptions!$F$59^(1/4)+F1044</f>
        <v>21.0813848776996</v>
      </c>
      <c r="G1049" s="48" t="n">
        <f aca="false">F1049*Assumptions!$F$59^(1/4)+G1044</f>
        <v>33.6898955395412</v>
      </c>
      <c r="H1049" s="48" t="n">
        <f aca="false">G1049*Assumptions!$F$59^(1/4)+H1044</f>
        <v>48.9068685964686</v>
      </c>
      <c r="I1049" s="48" t="n">
        <f aca="false">H1049*Assumptions!$F$59^(1/4)+I1044</f>
        <v>70.3189935315926</v>
      </c>
      <c r="J1049" s="48" t="n">
        <f aca="false">I1049*Assumptions!$F$59^(1/4)+J1044</f>
        <v>96.9337978133053</v>
      </c>
      <c r="K1049" s="48" t="n">
        <f aca="false">J1049*Assumptions!$F$59^(1/4)+K1044</f>
        <v>123.023131165618</v>
      </c>
      <c r="L1049" s="48" t="n">
        <f aca="false">K1049*Assumptions!$F$59^(1/4)+L1044</f>
        <v>148.568689991641</v>
      </c>
      <c r="M1049" s="48" t="n">
        <f aca="false">L1049*Assumptions!$F$59^(1/4)+M1044</f>
        <v>173.554879638558</v>
      </c>
      <c r="N1049" s="48" t="n">
        <f aca="false">M1049*Assumptions!$F$59^(1/4)+N1044</f>
        <v>197.96861794872</v>
      </c>
      <c r="P1049" s="49" t="n">
        <f aca="false">F1049</f>
        <v>21.0813848776996</v>
      </c>
      <c r="Q1049" s="49" t="n">
        <f aca="false">J1049</f>
        <v>96.9337978133053</v>
      </c>
      <c r="R1049" s="49" t="n">
        <f aca="false">N1049</f>
        <v>197.96861794872</v>
      </c>
      <c r="S1049" s="50" t="n">
        <f aca="false">R1049</f>
        <v>197.96861794872</v>
      </c>
    </row>
    <row r="1050" customFormat="false" ht="15" hidden="false" customHeight="false" outlineLevel="0" collapsed="false">
      <c r="A1050" s="4" t="s">
        <v>535</v>
      </c>
      <c r="B1050" s="36" t="s">
        <v>527</v>
      </c>
      <c r="C1050" s="48" t="n">
        <f aca="false">0*Assumptions!$F$60^(1/4)+C1045</f>
        <v>0</v>
      </c>
      <c r="D1050" s="48" t="n">
        <f aca="false">C1050*Assumptions!$F$60^(1/4)+D1045</f>
        <v>1.76536686964341</v>
      </c>
      <c r="E1050" s="48" t="n">
        <f aca="false">D1050*Assumptions!$F$60^(1/4)+E1045</f>
        <v>5.69115146459216</v>
      </c>
      <c r="F1050" s="48" t="n">
        <f aca="false">E1050*Assumptions!$F$60^(1/4)+F1045</f>
        <v>10.6019835530093</v>
      </c>
      <c r="G1050" s="48" t="n">
        <f aca="false">F1050*Assumptions!$F$60^(1/4)+G1045</f>
        <v>16.8453216097926</v>
      </c>
      <c r="H1050" s="48" t="n">
        <f aca="false">G1050*Assumptions!$F$60^(1/4)+H1045</f>
        <v>24.3102554590947</v>
      </c>
      <c r="I1050" s="48" t="n">
        <f aca="false">H1050*Assumptions!$F$60^(1/4)+I1045</f>
        <v>34.1699599881761</v>
      </c>
      <c r="J1050" s="48" t="n">
        <f aca="false">I1050*Assumptions!$F$60^(1/4)+J1045</f>
        <v>46.1183497123798</v>
      </c>
      <c r="K1050" s="48" t="n">
        <f aca="false">J1050*Assumptions!$F$60^(1/4)+K1045</f>
        <v>57.8940281420601</v>
      </c>
      <c r="L1050" s="48" t="n">
        <f aca="false">K1050*Assumptions!$F$60^(1/4)+L1045</f>
        <v>69.4865174094153</v>
      </c>
      <c r="M1050" s="48" t="n">
        <f aca="false">L1050*Assumptions!$F$60^(1/4)+M1045</f>
        <v>80.8865429039487</v>
      </c>
      <c r="N1050" s="48" t="n">
        <f aca="false">M1050*Assumptions!$F$60^(1/4)+N1045</f>
        <v>92.0859523564614</v>
      </c>
      <c r="P1050" s="49" t="n">
        <f aca="false">F1050</f>
        <v>10.6019835530093</v>
      </c>
      <c r="Q1050" s="49" t="n">
        <f aca="false">J1050</f>
        <v>46.1183497123798</v>
      </c>
      <c r="R1050" s="49" t="n">
        <f aca="false">N1050</f>
        <v>92.0859523564614</v>
      </c>
      <c r="S1050" s="50" t="n">
        <f aca="false">R1050</f>
        <v>92.0859523564614</v>
      </c>
    </row>
    <row r="1051" customFormat="false" ht="15" hidden="false" customHeight="false" outlineLevel="0" collapsed="false">
      <c r="A1051" s="4" t="s">
        <v>536</v>
      </c>
      <c r="B1051" s="36" t="s">
        <v>527</v>
      </c>
      <c r="C1051" s="48" t="n">
        <f aca="false">0*Assumptions!$F$61^(1/4)+C1046</f>
        <v>0</v>
      </c>
      <c r="D1051" s="48" t="n">
        <f aca="false">C1051*Assumptions!$F$61^(1/4)+D1046</f>
        <v>0</v>
      </c>
      <c r="E1051" s="48" t="n">
        <f aca="false">D1051*Assumptions!$F$61^(1/4)+E1046</f>
        <v>0.372688561369165</v>
      </c>
      <c r="F1051" s="48" t="n">
        <f aca="false">E1051*Assumptions!$F$61^(1/4)+F1046</f>
        <v>1.20341731420993</v>
      </c>
      <c r="G1051" s="48" t="n">
        <f aca="false">F1051*Assumptions!$F$61^(1/4)+G1046</f>
        <v>2.24641649297574</v>
      </c>
      <c r="H1051" s="48" t="n">
        <f aca="false">G1051*Assumptions!$F$61^(1/4)+H1046</f>
        <v>3.48823937088484</v>
      </c>
      <c r="I1051" s="48" t="n">
        <f aca="false">H1051*Assumptions!$F$61^(1/4)+I1046</f>
        <v>4.91422956116879</v>
      </c>
      <c r="J1051" s="48" t="n">
        <f aca="false">I1051*Assumptions!$F$61^(1/4)+J1046</f>
        <v>6.71426017897155</v>
      </c>
      <c r="K1051" s="48" t="n">
        <f aca="false">J1051*Assumptions!$F$61^(1/4)+K1046</f>
        <v>8.85355073896347</v>
      </c>
      <c r="L1051" s="48" t="n">
        <f aca="false">K1051*Assumptions!$F$61^(1/4)+L1046</f>
        <v>10.9730412070791</v>
      </c>
      <c r="M1051" s="48" t="n">
        <f aca="false">L1051*Assumptions!$F$61^(1/4)+M1046</f>
        <v>13.0705783274525</v>
      </c>
      <c r="N1051" s="48" t="n">
        <f aca="false">M1051*Assumptions!$F$61^(1/4)+N1046</f>
        <v>15.1442160125256</v>
      </c>
      <c r="P1051" s="49" t="n">
        <f aca="false">F1051</f>
        <v>1.20341731420993</v>
      </c>
      <c r="Q1051" s="49" t="n">
        <f aca="false">J1051</f>
        <v>6.71426017897155</v>
      </c>
      <c r="R1051" s="49" t="n">
        <f aca="false">N1051</f>
        <v>15.1442160125256</v>
      </c>
      <c r="S1051" s="50" t="n">
        <f aca="false">R1051</f>
        <v>15.1442160125256</v>
      </c>
    </row>
    <row r="1052" customFormat="false" ht="15" hidden="false" customHeight="false" outlineLevel="0" collapsed="false">
      <c r="A1052" s="9" t="s">
        <v>537</v>
      </c>
      <c r="B1052" s="36" t="s">
        <v>527</v>
      </c>
      <c r="C1052" s="49" t="n">
        <f aca="false">C1049+C1050+C1051</f>
        <v>0</v>
      </c>
      <c r="D1052" s="49" t="n">
        <f aca="false">D1049+D1050+D1051</f>
        <v>5.28880666515608</v>
      </c>
      <c r="E1052" s="49" t="n">
        <f aca="false">E1049+E1050+E1051</f>
        <v>17.4038743228134</v>
      </c>
      <c r="F1052" s="49" t="n">
        <f aca="false">F1049+F1050+F1051</f>
        <v>32.8867857449189</v>
      </c>
      <c r="G1052" s="49" t="n">
        <f aca="false">G1049+G1050+G1051</f>
        <v>52.7816336423096</v>
      </c>
      <c r="H1052" s="49" t="n">
        <f aca="false">H1049+H1050+H1051</f>
        <v>76.7053634264481</v>
      </c>
      <c r="I1052" s="49" t="n">
        <f aca="false">I1049+I1050+I1051</f>
        <v>109.403183080938</v>
      </c>
      <c r="J1052" s="49" t="n">
        <f aca="false">J1049+J1050+J1051</f>
        <v>149.766407704657</v>
      </c>
      <c r="K1052" s="49" t="n">
        <f aca="false">K1049+K1050+K1051</f>
        <v>189.770710046641</v>
      </c>
      <c r="L1052" s="49" t="n">
        <f aca="false">L1049+L1050+L1051</f>
        <v>229.028248608135</v>
      </c>
      <c r="M1052" s="49" t="n">
        <f aca="false">M1049+M1050+M1051</f>
        <v>267.512000869959</v>
      </c>
      <c r="N1052" s="49" t="n">
        <f aca="false">N1049+N1050+N1051</f>
        <v>305.198786317707</v>
      </c>
      <c r="P1052" s="49" t="n">
        <f aca="false">F1052</f>
        <v>32.8867857449189</v>
      </c>
      <c r="Q1052" s="49" t="n">
        <f aca="false">J1052</f>
        <v>149.766407704657</v>
      </c>
      <c r="R1052" s="49" t="n">
        <f aca="false">N1052</f>
        <v>305.198786317707</v>
      </c>
      <c r="S1052" s="50" t="n">
        <f aca="false">R1052</f>
        <v>305.198786317707</v>
      </c>
    </row>
    <row r="1053" customFormat="false" ht="15" hidden="false" customHeight="false" outlineLevel="0" collapsed="false">
      <c r="A1053" s="4" t="s">
        <v>538</v>
      </c>
      <c r="B1053" s="36" t="s">
        <v>125</v>
      </c>
      <c r="C1053" s="54" t="n">
        <f aca="false">0*Assumptions!$F$62^(1/4)+C1044*$C$993</f>
        <v>0</v>
      </c>
      <c r="D1053" s="54" t="n">
        <f aca="false">C1053*Assumptions!$F$62^(1/4)+D1044*$C$993</f>
        <v>18857.4497855838</v>
      </c>
      <c r="E1053" s="54" t="n">
        <f aca="false">D1053*Assumptions!$F$62^(1/4)+E1044*$C$993</f>
        <v>61407.9890623863</v>
      </c>
      <c r="F1053" s="54" t="n">
        <f aca="false">E1053*Assumptions!$F$62^(1/4)+F1044*$C$993</f>
        <v>115859.023780851</v>
      </c>
      <c r="G1053" s="54" t="n">
        <f aca="false">F1053*Assumptions!$F$62^(1/4)+G1044*$C$993</f>
        <v>187668.965810933</v>
      </c>
      <c r="H1053" s="54" t="n">
        <f aca="false">G1053*Assumptions!$F$62^(1/4)+H1044*$C$993</f>
        <v>276065.555498648</v>
      </c>
      <c r="I1053" s="54" t="n">
        <f aca="false">H1053*Assumptions!$F$62^(1/4)+I1044*$C$993</f>
        <v>400813.450669457</v>
      </c>
      <c r="J1053" s="54" t="n">
        <f aca="false">I1053*Assumptions!$F$62^(1/4)+J1044*$C$993</f>
        <v>557906.959759351</v>
      </c>
      <c r="K1053" s="54" t="n">
        <f aca="false">J1053*Assumptions!$F$62^(1/4)+K1044*$C$993</f>
        <v>717812.492071881</v>
      </c>
      <c r="L1053" s="54" t="n">
        <f aca="false">K1053*Assumptions!$F$62^(1/4)+L1044*$C$993</f>
        <v>880407.817576557</v>
      </c>
      <c r="M1053" s="54" t="n">
        <f aca="false">L1053*Assumptions!$F$62^(1/4)+M1044*$C$993</f>
        <v>1045581.12825411</v>
      </c>
      <c r="N1053" s="54" t="n">
        <f aca="false">M1053*Assumptions!$F$62^(1/4)+N1044*$C$993</f>
        <v>1213230.47746998</v>
      </c>
      <c r="P1053" s="55" t="n">
        <f aca="false">F1053</f>
        <v>115859.023780851</v>
      </c>
      <c r="Q1053" s="55" t="n">
        <f aca="false">J1053</f>
        <v>557906.959759351</v>
      </c>
      <c r="R1053" s="55" t="n">
        <f aca="false">N1053</f>
        <v>1213230.47746998</v>
      </c>
      <c r="S1053" s="56" t="n">
        <f aca="false">R1053</f>
        <v>1213230.47746998</v>
      </c>
    </row>
    <row r="1054" customFormat="false" ht="15" hidden="false" customHeight="false" outlineLevel="0" collapsed="false">
      <c r="A1054" s="4" t="s">
        <v>539</v>
      </c>
      <c r="B1054" s="36" t="s">
        <v>125</v>
      </c>
      <c r="C1054" s="54" t="n">
        <f aca="false">0*Assumptions!$F$63^(1/4)+C1045*$C$994</f>
        <v>0</v>
      </c>
      <c r="D1054" s="54" t="n">
        <f aca="false">C1054*Assumptions!$F$63^(1/4)+D1045*$C$994</f>
        <v>25862.7662105676</v>
      </c>
      <c r="E1054" s="54" t="n">
        <f aca="false">D1054*Assumptions!$F$63^(1/4)+E1045*$C$994</f>
        <v>84760.4444532803</v>
      </c>
      <c r="F1054" s="54" t="n">
        <f aca="false">E1054*Assumptions!$F$63^(1/4)+F1045*$C$994</f>
        <v>161217.467828419</v>
      </c>
      <c r="G1054" s="54" t="n">
        <f aca="false">F1054*Assumptions!$F$63^(1/4)+G1045*$C$994</f>
        <v>261207.964023055</v>
      </c>
      <c r="H1054" s="54" t="n">
        <f aca="false">G1054*Assumptions!$F$63^(1/4)+H1045*$C$994</f>
        <v>384294.870562692</v>
      </c>
      <c r="I1054" s="54" t="n">
        <f aca="false">H1054*Assumptions!$F$63^(1/4)+I1045*$C$994</f>
        <v>548808.319830296</v>
      </c>
      <c r="J1054" s="54" t="n">
        <f aca="false">I1054*Assumptions!$F$63^(1/4)+J1045*$C$994</f>
        <v>752367.953835479</v>
      </c>
      <c r="K1054" s="54" t="n">
        <f aca="false">J1054*Assumptions!$F$63^(1/4)+K1045*$C$994</f>
        <v>963782.689210357</v>
      </c>
      <c r="L1054" s="54" t="n">
        <f aca="false">K1054*Assumptions!$F$63^(1/4)+L1045*$C$994</f>
        <v>1183132.84534593</v>
      </c>
      <c r="M1054" s="54" t="n">
        <f aca="false">L1054*Assumptions!$F$63^(1/4)+M1045*$C$994</f>
        <v>1410516.46563378</v>
      </c>
      <c r="N1054" s="54" t="n">
        <f aca="false">M1054*Assumptions!$F$63^(1/4)+N1045*$C$994</f>
        <v>1646049.07920341</v>
      </c>
      <c r="P1054" s="55" t="n">
        <f aca="false">F1054</f>
        <v>161217.467828419</v>
      </c>
      <c r="Q1054" s="55" t="n">
        <f aca="false">J1054</f>
        <v>752367.953835479</v>
      </c>
      <c r="R1054" s="55" t="n">
        <f aca="false">N1054</f>
        <v>1646049.07920341</v>
      </c>
      <c r="S1054" s="56" t="n">
        <f aca="false">R1054</f>
        <v>1646049.07920341</v>
      </c>
    </row>
    <row r="1055" customFormat="false" ht="15" hidden="false" customHeight="false" outlineLevel="0" collapsed="false">
      <c r="A1055" s="4" t="s">
        <v>540</v>
      </c>
      <c r="B1055" s="36" t="s">
        <v>125</v>
      </c>
      <c r="C1055" s="54" t="n">
        <f aca="false">0*Assumptions!$F$64^(1/4)+C1046*$C$995</f>
        <v>0</v>
      </c>
      <c r="D1055" s="54" t="n">
        <f aca="false">C1055*Assumptions!$F$64^(1/4)+D1046*$C$995</f>
        <v>0</v>
      </c>
      <c r="E1055" s="54" t="n">
        <f aca="false">D1055*Assumptions!$F$64^(1/4)+E1046*$C$995</f>
        <v>34536.0741514774</v>
      </c>
      <c r="F1055" s="54" t="n">
        <f aca="false">E1055*Assumptions!$F$64^(1/4)+F1046*$C$995</f>
        <v>114298.774114918</v>
      </c>
      <c r="G1055" s="54" t="n">
        <f aca="false">F1055*Assumptions!$F$64^(1/4)+G1046*$C$995</f>
        <v>220119.98626996</v>
      </c>
      <c r="H1055" s="54" t="n">
        <f aca="false">G1055*Assumptions!$F$64^(1/4)+H1046*$C$995</f>
        <v>352770.774807165</v>
      </c>
      <c r="I1055" s="54" t="n">
        <f aca="false">H1055*Assumptions!$F$64^(1/4)+I1046*$C$995</f>
        <v>512946.501527209</v>
      </c>
      <c r="J1055" s="54" t="n">
        <f aca="false">I1055*Assumptions!$F$64^(1/4)+J1046*$C$995</f>
        <v>720325.575698743</v>
      </c>
      <c r="K1055" s="54" t="n">
        <f aca="false">J1055*Assumptions!$F$64^(1/4)+K1046*$C$995</f>
        <v>975326.530350044</v>
      </c>
      <c r="L1055" s="54" t="n">
        <f aca="false">K1055*Assumptions!$F$64^(1/4)+L1046*$C$995</f>
        <v>1248305.06735772</v>
      </c>
      <c r="M1055" s="54" t="n">
        <f aca="false">L1055*Assumptions!$F$64^(1/4)+M1046*$C$995</f>
        <v>1540256.97163281</v>
      </c>
      <c r="N1055" s="54" t="n">
        <f aca="false">M1055*Assumptions!$F$64^(1/4)+N1046*$C$995</f>
        <v>1852262.18767666</v>
      </c>
      <c r="P1055" s="55" t="n">
        <f aca="false">F1055</f>
        <v>114298.774114918</v>
      </c>
      <c r="Q1055" s="55" t="n">
        <f aca="false">J1055</f>
        <v>720325.575698743</v>
      </c>
      <c r="R1055" s="55" t="n">
        <f aca="false">N1055</f>
        <v>1852262.18767666</v>
      </c>
      <c r="S1055" s="56" t="n">
        <f aca="false">R1055</f>
        <v>1852262.18767666</v>
      </c>
    </row>
    <row r="1056" customFormat="false" ht="15" hidden="false" customHeight="false" outlineLevel="0" collapsed="false">
      <c r="A1056" s="9" t="s">
        <v>541</v>
      </c>
      <c r="B1056" s="36" t="s">
        <v>125</v>
      </c>
      <c r="C1056" s="55" t="n">
        <f aca="false">C1053+C1054+C1055</f>
        <v>0</v>
      </c>
      <c r="D1056" s="55" t="n">
        <f aca="false">D1053+D1054+D1055</f>
        <v>44720.2159961514</v>
      </c>
      <c r="E1056" s="55" t="n">
        <f aca="false">E1053+E1054+E1055</f>
        <v>180704.507667144</v>
      </c>
      <c r="F1056" s="55" t="n">
        <f aca="false">F1053+F1054+F1055</f>
        <v>391375.265724188</v>
      </c>
      <c r="G1056" s="55" t="n">
        <f aca="false">G1053+G1054+G1055</f>
        <v>668996.916103948</v>
      </c>
      <c r="H1056" s="55" t="n">
        <f aca="false">H1053+H1054+H1055</f>
        <v>1013131.20086851</v>
      </c>
      <c r="I1056" s="55" t="n">
        <f aca="false">I1053+I1054+I1055</f>
        <v>1462568.27202696</v>
      </c>
      <c r="J1056" s="55" t="n">
        <f aca="false">J1053+J1054+J1055</f>
        <v>2030600.48929357</v>
      </c>
      <c r="K1056" s="55" t="n">
        <f aca="false">K1053+K1054+K1055</f>
        <v>2656921.71163228</v>
      </c>
      <c r="L1056" s="55" t="n">
        <f aca="false">L1053+L1054+L1055</f>
        <v>3311845.73028021</v>
      </c>
      <c r="M1056" s="55" t="n">
        <f aca="false">M1053+M1054+M1055</f>
        <v>3996354.5655207</v>
      </c>
      <c r="N1056" s="55" t="n">
        <f aca="false">N1053+N1054+N1055</f>
        <v>4711541.74435004</v>
      </c>
      <c r="P1056" s="55" t="n">
        <f aca="false">F1056</f>
        <v>391375.265724188</v>
      </c>
      <c r="Q1056" s="55" t="n">
        <f aca="false">J1056</f>
        <v>2030600.48929357</v>
      </c>
      <c r="R1056" s="55" t="n">
        <f aca="false">N1056</f>
        <v>4711541.74435004</v>
      </c>
      <c r="S1056" s="56" t="n">
        <f aca="false">R1056</f>
        <v>4711541.74435004</v>
      </c>
    </row>
    <row r="1057" customFormat="false" ht="15" hidden="false" customHeight="false" outlineLevel="0" collapsed="false">
      <c r="A1057" s="4" t="s">
        <v>542</v>
      </c>
      <c r="B1057" s="36" t="s">
        <v>125</v>
      </c>
      <c r="C1057" s="54" t="n">
        <f aca="false">C1044*$C$993+C1045*$C$994+C1046*$C$995</f>
        <v>0</v>
      </c>
      <c r="D1057" s="54" t="n">
        <f aca="false">D1044*$C$993+D1045*$C$994+D1046*$C$995</f>
        <v>44720.2159961514</v>
      </c>
      <c r="E1057" s="54" t="n">
        <f aca="false">E1044*$C$993+E1045*$C$994+E1046*$C$995</f>
        <v>134787.950138385</v>
      </c>
      <c r="F1057" s="54" t="n">
        <f aca="false">F1044*$C$993+F1045*$C$994+F1046*$C$995</f>
        <v>204414.548804815</v>
      </c>
      <c r="G1057" s="54" t="n">
        <f aca="false">G1044*$C$993+G1045*$C$994+G1046*$C$995</f>
        <v>262440.659119449</v>
      </c>
      <c r="H1057" s="54" t="n">
        <f aca="false">H1044*$C$993+H1045*$C$994+H1046*$C$995</f>
        <v>317170.478715982</v>
      </c>
      <c r="I1057" s="54" t="n">
        <f aca="false">I1044*$C$993+I1045*$C$994+I1046*$C$995</f>
        <v>407807.02024146</v>
      </c>
      <c r="J1057" s="54" t="n">
        <f aca="false">J1044*$C$993+J1045*$C$994+J1046*$C$995</f>
        <v>507863.545048644</v>
      </c>
      <c r="K1057" s="54" t="n">
        <f aca="false">K1044*$C$993+K1045*$C$994+K1046*$C$995</f>
        <v>542550.973419523</v>
      </c>
      <c r="L1057" s="54" t="n">
        <f aca="false">L1044*$C$993+L1045*$C$994+L1046*$C$995</f>
        <v>544003.331575113</v>
      </c>
      <c r="M1057" s="54" t="n">
        <f aca="false">M1044*$C$993+M1045*$C$994+M1046*$C$995</f>
        <v>544897.372294037</v>
      </c>
      <c r="N1057" s="54" t="n">
        <f aca="false">N1044*$C$993+N1045*$C$994+N1046*$C$995</f>
        <v>545275.25247692</v>
      </c>
      <c r="P1057" s="55" t="n">
        <f aca="false">SUM(C1057:F1057)</f>
        <v>383922.714939351</v>
      </c>
      <c r="Q1057" s="55" t="n">
        <f aca="false">SUM(G1057:J1057)</f>
        <v>1495281.70312554</v>
      </c>
      <c r="R1057" s="55" t="n">
        <f aca="false">SUM(K1057:N1057)</f>
        <v>2176726.92976559</v>
      </c>
      <c r="S1057" s="56" t="n">
        <f aca="false">SUM(P1057:R1057)</f>
        <v>4055931.34783048</v>
      </c>
    </row>
    <row r="1058" customFormat="false" ht="15" hidden="false" customHeight="false" outlineLevel="0" collapsed="false">
      <c r="A1058" s="9" t="s">
        <v>543</v>
      </c>
      <c r="B1058" s="36" t="s">
        <v>125</v>
      </c>
      <c r="C1058" s="55" t="n">
        <f aca="false">(0+C1056)/8</f>
        <v>0</v>
      </c>
      <c r="D1058" s="55" t="n">
        <f aca="false">(C1056+D1056)/8</f>
        <v>5590.02699951892</v>
      </c>
      <c r="E1058" s="55" t="n">
        <f aca="false">(D1056+E1056)/8</f>
        <v>28178.0904579119</v>
      </c>
      <c r="F1058" s="55" t="n">
        <f aca="false">(E1056+F1056)/8</f>
        <v>71509.9716739164</v>
      </c>
      <c r="G1058" s="55" t="n">
        <f aca="false">(F1056+G1056)/8</f>
        <v>132546.522728517</v>
      </c>
      <c r="H1058" s="55" t="n">
        <f aca="false">(G1056+H1056)/8</f>
        <v>210266.014621557</v>
      </c>
      <c r="I1058" s="55" t="n">
        <f aca="false">(H1056+I1056)/8</f>
        <v>309462.434111933</v>
      </c>
      <c r="J1058" s="55" t="n">
        <f aca="false">(I1056+J1056)/8</f>
        <v>436646.095165067</v>
      </c>
      <c r="K1058" s="55" t="n">
        <f aca="false">(J1056+K1056)/8</f>
        <v>585940.275115732</v>
      </c>
      <c r="L1058" s="55" t="n">
        <f aca="false">(K1056+L1056)/8</f>
        <v>746095.930239062</v>
      </c>
      <c r="M1058" s="55" t="n">
        <f aca="false">(L1056+M1056)/8</f>
        <v>913525.036975114</v>
      </c>
      <c r="N1058" s="55" t="n">
        <f aca="false">(M1056+N1056)/8</f>
        <v>1088487.03873384</v>
      </c>
      <c r="P1058" s="55" t="n">
        <f aca="false">SUM(C1058:F1058)</f>
        <v>105278.089131347</v>
      </c>
      <c r="Q1058" s="55" t="n">
        <f aca="false">SUM(G1058:J1058)</f>
        <v>1088921.06662707</v>
      </c>
      <c r="R1058" s="55" t="n">
        <f aca="false">SUM(K1058:N1058)</f>
        <v>3334048.28106375</v>
      </c>
      <c r="S1058" s="56" t="n">
        <f aca="false">SUM(P1058:R1058)</f>
        <v>4528247.43682217</v>
      </c>
    </row>
    <row r="1059" customFormat="false" ht="15" hidden="false" customHeight="false" outlineLevel="0" collapsed="false">
      <c r="A1059" s="4" t="s">
        <v>544</v>
      </c>
      <c r="B1059" s="36" t="s">
        <v>125</v>
      </c>
      <c r="C1059" s="54" t="n">
        <f aca="false">C1058*Assumptions!$F$76</f>
        <v>0</v>
      </c>
      <c r="D1059" s="54" t="n">
        <f aca="false">D1058*Assumptions!$F$76</f>
        <v>4024.81943965362</v>
      </c>
      <c r="E1059" s="54" t="n">
        <f aca="false">E1058*Assumptions!$F$76</f>
        <v>20288.2251296966</v>
      </c>
      <c r="F1059" s="54" t="n">
        <f aca="false">F1058*Assumptions!$F$76</f>
        <v>51487.1796052198</v>
      </c>
      <c r="G1059" s="54" t="n">
        <f aca="false">G1058*Assumptions!$F$76</f>
        <v>95433.4963645322</v>
      </c>
      <c r="H1059" s="54" t="n">
        <f aca="false">H1058*Assumptions!$F$76</f>
        <v>151391.530527521</v>
      </c>
      <c r="I1059" s="54" t="n">
        <f aca="false">I1058*Assumptions!$F$76</f>
        <v>222812.952560592</v>
      </c>
      <c r="J1059" s="54" t="n">
        <f aca="false">J1058*Assumptions!$F$76</f>
        <v>314385.188518848</v>
      </c>
      <c r="K1059" s="54" t="n">
        <f aca="false">K1058*Assumptions!$F$76</f>
        <v>421876.998083327</v>
      </c>
      <c r="L1059" s="54" t="n">
        <f aca="false">L1058*Assumptions!$F$76</f>
        <v>537189.069772124</v>
      </c>
      <c r="M1059" s="54" t="n">
        <f aca="false">M1058*Assumptions!$F$76</f>
        <v>657738.026622082</v>
      </c>
      <c r="N1059" s="54" t="n">
        <f aca="false">N1058*Assumptions!$F$76</f>
        <v>783710.667888367</v>
      </c>
      <c r="P1059" s="55" t="n">
        <f aca="false">SUM(C1059:F1059)</f>
        <v>75800.22417457</v>
      </c>
      <c r="Q1059" s="55" t="n">
        <f aca="false">SUM(G1059:J1059)</f>
        <v>784023.167971493</v>
      </c>
      <c r="R1059" s="55" t="n">
        <f aca="false">SUM(K1059:N1059)</f>
        <v>2400514.7623659</v>
      </c>
      <c r="S1059" s="56" t="n">
        <f aca="false">SUM(P1059:R1059)</f>
        <v>3260338.15451196</v>
      </c>
    </row>
    <row r="1060" customFormat="false" ht="15" hidden="false" customHeight="false" outlineLevel="0" collapsed="false">
      <c r="A1060" s="35" t="s">
        <v>547</v>
      </c>
      <c r="B1060" s="35" t="s">
        <v>444</v>
      </c>
      <c r="C1060" s="6" t="s">
        <v>354</v>
      </c>
      <c r="D1060" s="6" t="s">
        <v>355</v>
      </c>
      <c r="E1060" s="6" t="s">
        <v>356</v>
      </c>
      <c r="F1060" s="6" t="s">
        <v>357</v>
      </c>
      <c r="G1060" s="6" t="s">
        <v>358</v>
      </c>
      <c r="H1060" s="6" t="s">
        <v>359</v>
      </c>
      <c r="I1060" s="6" t="s">
        <v>360</v>
      </c>
      <c r="J1060" s="6" t="s">
        <v>361</v>
      </c>
      <c r="K1060" s="6" t="s">
        <v>362</v>
      </c>
      <c r="L1060" s="6" t="s">
        <v>363</v>
      </c>
      <c r="M1060" s="6" t="s">
        <v>364</v>
      </c>
      <c r="N1060" s="6" t="s">
        <v>365</v>
      </c>
      <c r="P1060" s="6" t="s">
        <v>445</v>
      </c>
      <c r="Q1060" s="6" t="s">
        <v>446</v>
      </c>
      <c r="R1060" s="6" t="s">
        <v>447</v>
      </c>
      <c r="S1060" s="6" t="s">
        <v>448</v>
      </c>
    </row>
    <row r="1061" customFormat="false" ht="15" hidden="false" customHeight="false" outlineLevel="0" collapsed="false">
      <c r="A1061" s="4" t="s">
        <v>548</v>
      </c>
      <c r="B1061" s="36" t="s">
        <v>321</v>
      </c>
      <c r="C1061" s="48" t="n">
        <f aca="false">Assumptions!$E$97*C1003</f>
        <v>1</v>
      </c>
      <c r="D1061" s="48" t="n">
        <f aca="false">Assumptions!$E$97*D1003</f>
        <v>1</v>
      </c>
      <c r="E1061" s="48" t="n">
        <f aca="false">Assumptions!$E$97*E1003</f>
        <v>1</v>
      </c>
      <c r="F1061" s="48" t="n">
        <f aca="false">Assumptions!$E$97*F1003</f>
        <v>1</v>
      </c>
      <c r="G1061" s="48" t="n">
        <f aca="false">Assumptions!$E$97*G1003</f>
        <v>1</v>
      </c>
      <c r="H1061" s="48" t="n">
        <f aca="false">Assumptions!$E$97*H1003</f>
        <v>1</v>
      </c>
      <c r="I1061" s="48" t="n">
        <f aca="false">Assumptions!$E$97*I1003</f>
        <v>1</v>
      </c>
      <c r="J1061" s="48" t="n">
        <f aca="false">Assumptions!$E$97*J1003</f>
        <v>1</v>
      </c>
      <c r="K1061" s="48" t="n">
        <f aca="false">Assumptions!$E$97*K1003</f>
        <v>1</v>
      </c>
      <c r="L1061" s="48" t="n">
        <f aca="false">Assumptions!$E$97*L1003</f>
        <v>1</v>
      </c>
      <c r="M1061" s="48" t="n">
        <f aca="false">Assumptions!$E$97*M1003</f>
        <v>1</v>
      </c>
      <c r="N1061" s="48" t="n">
        <f aca="false">Assumptions!$E$97*N1003</f>
        <v>1</v>
      </c>
      <c r="P1061" s="49" t="n">
        <f aca="false">AVERAGE(C1061:F1061)</f>
        <v>1</v>
      </c>
      <c r="Q1061" s="49" t="n">
        <f aca="false">AVERAGE(G1061:J1061)</f>
        <v>1</v>
      </c>
      <c r="R1061" s="49" t="n">
        <f aca="false">AVERAGE(K1061:N1061)</f>
        <v>1</v>
      </c>
      <c r="S1061" s="50"/>
    </row>
    <row r="1062" customFormat="false" ht="15" hidden="false" customHeight="false" outlineLevel="0" collapsed="false">
      <c r="A1062" s="4" t="s">
        <v>549</v>
      </c>
      <c r="B1062" s="36" t="s">
        <v>321</v>
      </c>
      <c r="C1062" s="48" t="n">
        <f aca="false">C1016*C1003</f>
        <v>2</v>
      </c>
      <c r="D1062" s="48" t="n">
        <f aca="false">D1016*D1003</f>
        <v>2</v>
      </c>
      <c r="E1062" s="48" t="n">
        <f aca="false">E1016*E1003</f>
        <v>3</v>
      </c>
      <c r="F1062" s="48" t="n">
        <f aca="false">F1016*F1003</f>
        <v>3</v>
      </c>
      <c r="G1062" s="48" t="n">
        <f aca="false">G1016*G1003</f>
        <v>4</v>
      </c>
      <c r="H1062" s="48" t="n">
        <f aca="false">H1016*H1003</f>
        <v>4</v>
      </c>
      <c r="I1062" s="48" t="n">
        <f aca="false">I1016*I1003</f>
        <v>5</v>
      </c>
      <c r="J1062" s="48" t="n">
        <f aca="false">J1016*J1003</f>
        <v>5</v>
      </c>
      <c r="K1062" s="48" t="n">
        <f aca="false">K1016*K1003</f>
        <v>6</v>
      </c>
      <c r="L1062" s="48" t="n">
        <f aca="false">L1016*L1003</f>
        <v>6</v>
      </c>
      <c r="M1062" s="48" t="n">
        <f aca="false">M1016*M1003</f>
        <v>6</v>
      </c>
      <c r="N1062" s="48" t="n">
        <f aca="false">N1016*N1003</f>
        <v>6</v>
      </c>
      <c r="P1062" s="49" t="n">
        <f aca="false">AVERAGE(C1062:F1062)</f>
        <v>2.5</v>
      </c>
      <c r="Q1062" s="49" t="n">
        <f aca="false">AVERAGE(G1062:J1062)</f>
        <v>4.5</v>
      </c>
      <c r="R1062" s="49" t="n">
        <f aca="false">AVERAGE(K1062:N1062)</f>
        <v>6</v>
      </c>
      <c r="S1062" s="50"/>
    </row>
    <row r="1063" customFormat="false" ht="15" hidden="false" customHeight="false" outlineLevel="0" collapsed="false">
      <c r="A1063" s="4" t="s">
        <v>550</v>
      </c>
      <c r="B1063" s="36" t="s">
        <v>321</v>
      </c>
      <c r="C1063" s="48" t="n">
        <f aca="false">IF(C1002&lt;=4,Assumptions!$E$98,Assumptions!$E$99)*C1003</f>
        <v>1</v>
      </c>
      <c r="D1063" s="48" t="n">
        <f aca="false">IF(D1002&lt;=4,Assumptions!$E$98,Assumptions!$E$99)*D1003</f>
        <v>1</v>
      </c>
      <c r="E1063" s="48" t="n">
        <f aca="false">IF(E1002&lt;=4,Assumptions!$E$98,Assumptions!$E$99)*E1003</f>
        <v>1</v>
      </c>
      <c r="F1063" s="48" t="n">
        <f aca="false">IF(F1002&lt;=4,Assumptions!$E$98,Assumptions!$E$99)*F1003</f>
        <v>1</v>
      </c>
      <c r="G1063" s="48" t="n">
        <f aca="false">IF(G1002&lt;=4,Assumptions!$E$98,Assumptions!$E$99)*G1003</f>
        <v>1</v>
      </c>
      <c r="H1063" s="48" t="n">
        <f aca="false">IF(H1002&lt;=4,Assumptions!$E$98,Assumptions!$E$99)*H1003</f>
        <v>1</v>
      </c>
      <c r="I1063" s="48" t="n">
        <f aca="false">IF(I1002&lt;=4,Assumptions!$E$98,Assumptions!$E$99)*I1003</f>
        <v>1</v>
      </c>
      <c r="J1063" s="48" t="n">
        <f aca="false">IF(J1002&lt;=4,Assumptions!$E$98,Assumptions!$E$99)*J1003</f>
        <v>1</v>
      </c>
      <c r="K1063" s="48" t="n">
        <f aca="false">IF(K1002&lt;=4,Assumptions!$E$98,Assumptions!$E$99)*K1003</f>
        <v>1</v>
      </c>
      <c r="L1063" s="48" t="n">
        <f aca="false">IF(L1002&lt;=4,Assumptions!$E$98,Assumptions!$E$99)*L1003</f>
        <v>1</v>
      </c>
      <c r="M1063" s="48" t="n">
        <f aca="false">IF(M1002&lt;=4,Assumptions!$E$98,Assumptions!$E$99)*M1003</f>
        <v>1</v>
      </c>
      <c r="N1063" s="48" t="n">
        <f aca="false">IF(N1002&lt;=4,Assumptions!$E$98,Assumptions!$E$99)*N1003</f>
        <v>1</v>
      </c>
      <c r="P1063" s="49" t="n">
        <f aca="false">AVERAGE(C1063:F1063)</f>
        <v>1</v>
      </c>
      <c r="Q1063" s="49" t="n">
        <f aca="false">AVERAGE(G1063:J1063)</f>
        <v>1</v>
      </c>
      <c r="R1063" s="49" t="n">
        <f aca="false">AVERAGE(K1063:N1063)</f>
        <v>1</v>
      </c>
      <c r="S1063" s="50"/>
    </row>
    <row r="1064" customFormat="false" ht="15" hidden="false" customHeight="false" outlineLevel="0" collapsed="false">
      <c r="A1064" s="4" t="s">
        <v>551</v>
      </c>
      <c r="B1064" s="36" t="s">
        <v>321</v>
      </c>
      <c r="C1064" s="48" t="n">
        <f aca="false">IF(C1002&lt;=4,Assumptions!$E$100,Assumptions!$E$101)*C1003</f>
        <v>1</v>
      </c>
      <c r="D1064" s="48" t="n">
        <f aca="false">IF(D1002&lt;=4,Assumptions!$E$100,Assumptions!$E$101)*D1003</f>
        <v>1</v>
      </c>
      <c r="E1064" s="48" t="n">
        <f aca="false">IF(E1002&lt;=4,Assumptions!$E$100,Assumptions!$E$101)*E1003</f>
        <v>1</v>
      </c>
      <c r="F1064" s="48" t="n">
        <f aca="false">IF(F1002&lt;=4,Assumptions!$E$100,Assumptions!$E$101)*F1003</f>
        <v>1</v>
      </c>
      <c r="G1064" s="48" t="n">
        <f aca="false">IF(G1002&lt;=4,Assumptions!$E$100,Assumptions!$E$101)*G1003</f>
        <v>0.5</v>
      </c>
      <c r="H1064" s="48" t="n">
        <f aca="false">IF(H1002&lt;=4,Assumptions!$E$100,Assumptions!$E$101)*H1003</f>
        <v>0.5</v>
      </c>
      <c r="I1064" s="48" t="n">
        <f aca="false">IF(I1002&lt;=4,Assumptions!$E$100,Assumptions!$E$101)*I1003</f>
        <v>0.5</v>
      </c>
      <c r="J1064" s="48" t="n">
        <f aca="false">IF(J1002&lt;=4,Assumptions!$E$100,Assumptions!$E$101)*J1003</f>
        <v>0.5</v>
      </c>
      <c r="K1064" s="48" t="n">
        <f aca="false">IF(K1002&lt;=4,Assumptions!$E$100,Assumptions!$E$101)*K1003</f>
        <v>0.5</v>
      </c>
      <c r="L1064" s="48" t="n">
        <f aca="false">IF(L1002&lt;=4,Assumptions!$E$100,Assumptions!$E$101)*L1003</f>
        <v>0.5</v>
      </c>
      <c r="M1064" s="48" t="n">
        <f aca="false">IF(M1002&lt;=4,Assumptions!$E$100,Assumptions!$E$101)*M1003</f>
        <v>0.5</v>
      </c>
      <c r="N1064" s="48" t="n">
        <f aca="false">IF(N1002&lt;=4,Assumptions!$E$100,Assumptions!$E$101)*N1003</f>
        <v>0.5</v>
      </c>
      <c r="P1064" s="49" t="n">
        <f aca="false">AVERAGE(C1064:F1064)</f>
        <v>1</v>
      </c>
      <c r="Q1064" s="49" t="n">
        <f aca="false">AVERAGE(G1064:J1064)</f>
        <v>0.5</v>
      </c>
      <c r="R1064" s="49" t="n">
        <f aca="false">AVERAGE(K1064:N1064)</f>
        <v>0.5</v>
      </c>
      <c r="S1064" s="50"/>
    </row>
    <row r="1065" customFormat="false" ht="15" hidden="false" customHeight="false" outlineLevel="0" collapsed="false">
      <c r="A1065" s="4" t="s">
        <v>552</v>
      </c>
      <c r="B1065" s="36" t="s">
        <v>321</v>
      </c>
      <c r="C1065" s="48" t="n">
        <f aca="false">Assumptions!$E$102*C1003</f>
        <v>0.5</v>
      </c>
      <c r="D1065" s="48" t="n">
        <f aca="false">Assumptions!$E$102*D1003</f>
        <v>0.5</v>
      </c>
      <c r="E1065" s="48" t="n">
        <f aca="false">Assumptions!$E$102*E1003</f>
        <v>0.5</v>
      </c>
      <c r="F1065" s="48" t="n">
        <f aca="false">Assumptions!$E$102*F1003</f>
        <v>0.5</v>
      </c>
      <c r="G1065" s="48" t="n">
        <f aca="false">Assumptions!$E$102*G1003</f>
        <v>0.5</v>
      </c>
      <c r="H1065" s="48" t="n">
        <f aca="false">Assumptions!$E$102*H1003</f>
        <v>0.5</v>
      </c>
      <c r="I1065" s="48" t="n">
        <f aca="false">Assumptions!$E$102*I1003</f>
        <v>0.5</v>
      </c>
      <c r="J1065" s="48" t="n">
        <f aca="false">Assumptions!$E$102*J1003</f>
        <v>0.5</v>
      </c>
      <c r="K1065" s="48" t="n">
        <f aca="false">Assumptions!$E$102*K1003</f>
        <v>0.5</v>
      </c>
      <c r="L1065" s="48" t="n">
        <f aca="false">Assumptions!$E$102*L1003</f>
        <v>0.5</v>
      </c>
      <c r="M1065" s="48" t="n">
        <f aca="false">Assumptions!$E$102*M1003</f>
        <v>0.5</v>
      </c>
      <c r="N1065" s="48" t="n">
        <f aca="false">Assumptions!$E$102*N1003</f>
        <v>0.5</v>
      </c>
      <c r="P1065" s="49" t="n">
        <f aca="false">AVERAGE(C1065:F1065)</f>
        <v>0.5</v>
      </c>
      <c r="Q1065" s="49" t="n">
        <f aca="false">AVERAGE(G1065:J1065)</f>
        <v>0.5</v>
      </c>
      <c r="R1065" s="49" t="n">
        <f aca="false">AVERAGE(K1065:N1065)</f>
        <v>0.5</v>
      </c>
      <c r="S1065" s="50"/>
    </row>
    <row r="1066" customFormat="false" ht="15" hidden="false" customHeight="false" outlineLevel="0" collapsed="false">
      <c r="A1066" s="4" t="s">
        <v>553</v>
      </c>
      <c r="B1066" s="36" t="s">
        <v>321</v>
      </c>
      <c r="C1066" s="48" t="n">
        <f aca="false">(C1050+C1051)/Assumptions!$F$74+C1049/Assumptions!$F$75</f>
        <v>0</v>
      </c>
      <c r="D1066" s="48" t="n">
        <f aca="false">(D1050+D1051)/Assumptions!$F$74+D1049/Assumptions!$F$75</f>
        <v>0.058227930923136</v>
      </c>
      <c r="E1066" s="48" t="n">
        <f aca="false">(E1050+E1051)/Assumptions!$F$74+E1049/Assumptions!$F$75</f>
        <v>0.196956137836441</v>
      </c>
      <c r="F1066" s="48" t="n">
        <f aca="false">(F1050+F1051)/Assumptions!$F$74+F1049/Assumptions!$F$75</f>
        <v>0.37946056119128</v>
      </c>
      <c r="G1066" s="48" t="n">
        <f aca="false">(G1050+G1051)/Assumptions!$F$74+G1049/Assumptions!$F$75</f>
        <v>0.612053034727374</v>
      </c>
      <c r="H1066" s="48" t="n">
        <f aca="false">(H1050+H1051)/Assumptions!$F$74+H1049/Assumptions!$F$75</f>
        <v>0.890589845135362</v>
      </c>
      <c r="I1066" s="48" t="n">
        <f aca="false">(I1050+I1051)/Assumptions!$F$74+I1049/Assumptions!$F$75</f>
        <v>1.25838071285999</v>
      </c>
      <c r="J1066" s="48" t="n">
        <f aca="false">(J1050+J1051)/Assumptions!$F$74+J1049/Assumptions!$F$75</f>
        <v>1.70855043853701</v>
      </c>
      <c r="K1066" s="48" t="n">
        <f aca="false">(K1050+K1051)/Assumptions!$F$74+K1049/Assumptions!$F$75</f>
        <v>2.16078199668806</v>
      </c>
      <c r="L1066" s="48" t="n">
        <f aca="false">(L1050+L1051)/Assumptions!$F$74+L1049/Assumptions!$F$75</f>
        <v>2.60576372537892</v>
      </c>
      <c r="M1066" s="48" t="n">
        <f aca="false">(M1050+M1051)/Assumptions!$F$74+M1049/Assumptions!$F$75</f>
        <v>3.04314754933926</v>
      </c>
      <c r="N1066" s="48" t="n">
        <f aca="false">(N1050+N1051)/Assumptions!$F$74+N1049/Assumptions!$F$75</f>
        <v>3.47262868101956</v>
      </c>
      <c r="P1066" s="49" t="n">
        <f aca="false">AVERAGE(C1066:F1066)</f>
        <v>0.158661157487714</v>
      </c>
      <c r="Q1066" s="49" t="n">
        <f aca="false">AVERAGE(G1066:J1066)</f>
        <v>1.11739350781493</v>
      </c>
      <c r="R1066" s="49" t="n">
        <f aca="false">AVERAGE(K1066:N1066)</f>
        <v>2.82058048810645</v>
      </c>
      <c r="S1066" s="50"/>
    </row>
    <row r="1067" customFormat="false" ht="15" hidden="false" customHeight="false" outlineLevel="0" collapsed="false">
      <c r="A1067" s="4" t="s">
        <v>554</v>
      </c>
      <c r="B1067" s="36" t="s">
        <v>125</v>
      </c>
      <c r="C1067" s="54" t="n">
        <f aca="false">(C1061+C1063)*Assumptions!$F$70/Assumptions!$F$69/4</f>
        <v>133507.142857143</v>
      </c>
      <c r="D1067" s="54" t="n">
        <f aca="false">(D1061+D1063)*Assumptions!$F$70/Assumptions!$F$69/4</f>
        <v>133507.142857143</v>
      </c>
      <c r="E1067" s="54" t="n">
        <f aca="false">(E1061+E1063)*Assumptions!$F$70/Assumptions!$F$69/4</f>
        <v>133507.142857143</v>
      </c>
      <c r="F1067" s="54" t="n">
        <f aca="false">(F1061+F1063)*Assumptions!$F$70/Assumptions!$F$69/4</f>
        <v>133507.142857143</v>
      </c>
      <c r="G1067" s="54" t="n">
        <f aca="false">(G1061+G1063)*Assumptions!$F$70/Assumptions!$F$69/4</f>
        <v>133507.142857143</v>
      </c>
      <c r="H1067" s="54" t="n">
        <f aca="false">(H1061+H1063)*Assumptions!$F$70/Assumptions!$F$69/4</f>
        <v>133507.142857143</v>
      </c>
      <c r="I1067" s="54" t="n">
        <f aca="false">(I1061+I1063)*Assumptions!$F$70/Assumptions!$F$69/4</f>
        <v>133507.142857143</v>
      </c>
      <c r="J1067" s="54" t="n">
        <f aca="false">(J1061+J1063)*Assumptions!$F$70/Assumptions!$F$69/4</f>
        <v>133507.142857143</v>
      </c>
      <c r="K1067" s="54" t="n">
        <f aca="false">(K1061+K1063)*Assumptions!$F$70/Assumptions!$F$69/4</f>
        <v>133507.142857143</v>
      </c>
      <c r="L1067" s="54" t="n">
        <f aca="false">(L1061+L1063)*Assumptions!$F$70/Assumptions!$F$69/4</f>
        <v>133507.142857143</v>
      </c>
      <c r="M1067" s="54" t="n">
        <f aca="false">(M1061+M1063)*Assumptions!$F$70/Assumptions!$F$69/4</f>
        <v>133507.142857143</v>
      </c>
      <c r="N1067" s="54" t="n">
        <f aca="false">(N1061+N1063)*Assumptions!$F$70/Assumptions!$F$69/4</f>
        <v>133507.142857143</v>
      </c>
      <c r="P1067" s="55" t="n">
        <f aca="false">SUM(C1067:F1067)</f>
        <v>534028.571428572</v>
      </c>
      <c r="Q1067" s="55" t="n">
        <f aca="false">SUM(G1067:J1067)</f>
        <v>534028.571428572</v>
      </c>
      <c r="R1067" s="55" t="n">
        <f aca="false">SUM(K1067:N1067)</f>
        <v>534028.571428572</v>
      </c>
      <c r="S1067" s="56" t="n">
        <f aca="false">SUM(P1067:R1067)</f>
        <v>1602085.71428571</v>
      </c>
    </row>
    <row r="1068" customFormat="false" ht="15" hidden="false" customHeight="false" outlineLevel="0" collapsed="false">
      <c r="A1068" s="4" t="s">
        <v>555</v>
      </c>
      <c r="B1068" s="36" t="s">
        <v>125</v>
      </c>
      <c r="C1068" s="54" t="n">
        <f aca="false">C1062*$C$997/4</f>
        <v>142857.142857143</v>
      </c>
      <c r="D1068" s="54" t="n">
        <f aca="false">D1062*$C$997/4</f>
        <v>142857.142857143</v>
      </c>
      <c r="E1068" s="54" t="n">
        <f aca="false">E1062*$C$997/4</f>
        <v>214285.714285714</v>
      </c>
      <c r="F1068" s="54" t="n">
        <f aca="false">F1062*$C$997/4</f>
        <v>214285.714285714</v>
      </c>
      <c r="G1068" s="54" t="n">
        <f aca="false">G1062*$C$997/4</f>
        <v>285714.285714286</v>
      </c>
      <c r="H1068" s="54" t="n">
        <f aca="false">H1062*$C$997/4</f>
        <v>285714.285714286</v>
      </c>
      <c r="I1068" s="54" t="n">
        <f aca="false">I1062*$C$997/4</f>
        <v>357142.857142857</v>
      </c>
      <c r="J1068" s="54" t="n">
        <f aca="false">J1062*$C$997/4</f>
        <v>357142.857142857</v>
      </c>
      <c r="K1068" s="54" t="n">
        <f aca="false">K1062*$C$997/4</f>
        <v>428571.428571429</v>
      </c>
      <c r="L1068" s="54" t="n">
        <f aca="false">L1062*$C$997/4</f>
        <v>428571.428571429</v>
      </c>
      <c r="M1068" s="54" t="n">
        <f aca="false">M1062*$C$997/4</f>
        <v>428571.428571429</v>
      </c>
      <c r="N1068" s="54" t="n">
        <f aca="false">N1062*$C$997/4</f>
        <v>428571.428571429</v>
      </c>
      <c r="P1068" s="55" t="n">
        <f aca="false">SUM(C1068:F1068)</f>
        <v>714285.714285714</v>
      </c>
      <c r="Q1068" s="55" t="n">
        <f aca="false">SUM(G1068:J1068)</f>
        <v>1285714.28571429</v>
      </c>
      <c r="R1068" s="55" t="n">
        <f aca="false">SUM(K1068:N1068)</f>
        <v>1714285.71428571</v>
      </c>
      <c r="S1068" s="56" t="n">
        <f aca="false">SUM(P1068:R1068)</f>
        <v>3714285.71428571</v>
      </c>
    </row>
    <row r="1069" customFormat="false" ht="15" hidden="false" customHeight="false" outlineLevel="0" collapsed="false">
      <c r="A1069" s="4" t="s">
        <v>556</v>
      </c>
      <c r="B1069" s="36" t="s">
        <v>125</v>
      </c>
      <c r="C1069" s="54" t="n">
        <f aca="false">MAX(0,(C1057-C1038*$C$993)-C1017*$C$998)*$C$999*Assumptions!$E$105</f>
        <v>0</v>
      </c>
      <c r="D1069" s="54" t="n">
        <f aca="false">MAX(0,(D1057-D1038*$C$993)-D1017*$C$998)*$C$999*Assumptions!$E$105</f>
        <v>0</v>
      </c>
      <c r="E1069" s="54" t="n">
        <f aca="false">MAX(0,(E1057-E1038*$C$993)-E1017*$C$998)*$C$999*Assumptions!$E$105</f>
        <v>0</v>
      </c>
      <c r="F1069" s="54" t="n">
        <f aca="false">MAX(0,(F1057-F1038*$C$993)-F1017*$C$998)*$C$999*Assumptions!$E$105</f>
        <v>0</v>
      </c>
      <c r="G1069" s="54" t="n">
        <f aca="false">MAX(0,(G1057-G1038*$C$993)-G1017*$C$998)*$C$999*Assumptions!$E$105</f>
        <v>0</v>
      </c>
      <c r="H1069" s="54" t="n">
        <f aca="false">MAX(0,(H1057-H1038*$C$993)-H1017*$C$998)*$C$999*Assumptions!$E$105</f>
        <v>0</v>
      </c>
      <c r="I1069" s="54" t="n">
        <f aca="false">MAX(0,(I1057-I1038*$C$993)-I1017*$C$998)*$C$999*Assumptions!$E$105</f>
        <v>0</v>
      </c>
      <c r="J1069" s="54" t="n">
        <f aca="false">MAX(0,(J1057-J1038*$C$993)-J1017*$C$998)*$C$999*Assumptions!$E$105</f>
        <v>0</v>
      </c>
      <c r="K1069" s="54" t="n">
        <f aca="false">MAX(0,(K1057-K1038*$C$993)-K1017*$C$998)*$C$999*Assumptions!$E$105</f>
        <v>0</v>
      </c>
      <c r="L1069" s="54" t="n">
        <f aca="false">MAX(0,(L1057-L1038*$C$993)-L1017*$C$998)*$C$999*Assumptions!$E$105</f>
        <v>0</v>
      </c>
      <c r="M1069" s="54" t="n">
        <f aca="false">MAX(0,(M1057-M1038*$C$993)-M1017*$C$998)*$C$999*Assumptions!$E$105</f>
        <v>0</v>
      </c>
      <c r="N1069" s="54" t="n">
        <f aca="false">MAX(0,(N1057-N1038*$C$993)-N1017*$C$998)*$C$999*Assumptions!$E$105</f>
        <v>0</v>
      </c>
      <c r="P1069" s="55" t="n">
        <f aca="false">SUM(C1069:F1069)</f>
        <v>0</v>
      </c>
      <c r="Q1069" s="55" t="n">
        <f aca="false">SUM(G1069:J1069)</f>
        <v>0</v>
      </c>
      <c r="R1069" s="55" t="n">
        <f aca="false">SUM(K1069:N1069)</f>
        <v>0</v>
      </c>
      <c r="S1069" s="56" t="n">
        <f aca="false">SUM(P1069:R1069)</f>
        <v>0</v>
      </c>
    </row>
    <row r="1070" customFormat="false" ht="15" hidden="false" customHeight="false" outlineLevel="0" collapsed="false">
      <c r="A1070" s="4" t="s">
        <v>557</v>
      </c>
      <c r="B1070" s="36" t="s">
        <v>125</v>
      </c>
      <c r="C1070" s="54" t="n">
        <f aca="false">C1065*Assumptions!$F$71/Assumptions!$F$69/4</f>
        <v>36951.7857142857</v>
      </c>
      <c r="D1070" s="54" t="n">
        <f aca="false">D1065*Assumptions!$F$71/Assumptions!$F$69/4</f>
        <v>36951.7857142857</v>
      </c>
      <c r="E1070" s="54" t="n">
        <f aca="false">E1065*Assumptions!$F$71/Assumptions!$F$69/4</f>
        <v>36951.7857142857</v>
      </c>
      <c r="F1070" s="54" t="n">
        <f aca="false">F1065*Assumptions!$F$71/Assumptions!$F$69/4</f>
        <v>36951.7857142857</v>
      </c>
      <c r="G1070" s="54" t="n">
        <f aca="false">G1065*Assumptions!$F$71/Assumptions!$F$69/4</f>
        <v>36951.7857142857</v>
      </c>
      <c r="H1070" s="54" t="n">
        <f aca="false">H1065*Assumptions!$F$71/Assumptions!$F$69/4</f>
        <v>36951.7857142857</v>
      </c>
      <c r="I1070" s="54" t="n">
        <f aca="false">I1065*Assumptions!$F$71/Assumptions!$F$69/4</f>
        <v>36951.7857142857</v>
      </c>
      <c r="J1070" s="54" t="n">
        <f aca="false">J1065*Assumptions!$F$71/Assumptions!$F$69/4</f>
        <v>36951.7857142857</v>
      </c>
      <c r="K1070" s="54" t="n">
        <f aca="false">K1065*Assumptions!$F$71/Assumptions!$F$69/4</f>
        <v>36951.7857142857</v>
      </c>
      <c r="L1070" s="54" t="n">
        <f aca="false">L1065*Assumptions!$F$71/Assumptions!$F$69/4</f>
        <v>36951.7857142857</v>
      </c>
      <c r="M1070" s="54" t="n">
        <f aca="false">M1065*Assumptions!$F$71/Assumptions!$F$69/4</f>
        <v>36951.7857142857</v>
      </c>
      <c r="N1070" s="54" t="n">
        <f aca="false">N1065*Assumptions!$F$71/Assumptions!$F$69/4</f>
        <v>36951.7857142857</v>
      </c>
      <c r="P1070" s="55" t="n">
        <f aca="false">SUM(C1070:F1070)</f>
        <v>147807.142857143</v>
      </c>
      <c r="Q1070" s="55" t="n">
        <f aca="false">SUM(G1070:J1070)</f>
        <v>147807.142857143</v>
      </c>
      <c r="R1070" s="55" t="n">
        <f aca="false">SUM(K1070:N1070)</f>
        <v>147807.142857143</v>
      </c>
      <c r="S1070" s="56" t="n">
        <f aca="false">SUM(P1070:R1070)</f>
        <v>443421.428571429</v>
      </c>
    </row>
    <row r="1071" customFormat="false" ht="15" hidden="false" customHeight="false" outlineLevel="0" collapsed="false">
      <c r="A1071" s="4" t="s">
        <v>558</v>
      </c>
      <c r="B1071" s="36" t="s">
        <v>125</v>
      </c>
      <c r="C1071" s="54" t="n">
        <f aca="false">(Assumptions!$E$103+Assumptions!$F$77*((C1002=Assumptions!$F$13)+(C1002=Assumptions!$F$14)+(C1002=Assumptions!$F$15)))*C1003</f>
        <v>100000</v>
      </c>
      <c r="D1071" s="54" t="n">
        <f aca="false">(Assumptions!$E$103+Assumptions!$F$77*((D1002=Assumptions!$F$13)+(D1002=Assumptions!$F$14)+(D1002=Assumptions!$F$15)))*D1003</f>
        <v>60000</v>
      </c>
      <c r="E1071" s="54" t="n">
        <f aca="false">(Assumptions!$E$103+Assumptions!$F$77*((E1002=Assumptions!$F$13)+(E1002=Assumptions!$F$14)+(E1002=Assumptions!$F$15)))*E1003</f>
        <v>60000</v>
      </c>
      <c r="F1071" s="54" t="n">
        <f aca="false">(Assumptions!$E$103+Assumptions!$F$77*((F1002=Assumptions!$F$13)+(F1002=Assumptions!$F$14)+(F1002=Assumptions!$F$15)))*F1003</f>
        <v>100000</v>
      </c>
      <c r="G1071" s="54" t="n">
        <f aca="false">(Assumptions!$E$103+Assumptions!$F$77*((G1002=Assumptions!$F$13)+(G1002=Assumptions!$F$14)+(G1002=Assumptions!$F$15)))*G1003</f>
        <v>60000</v>
      </c>
      <c r="H1071" s="54" t="n">
        <f aca="false">(Assumptions!$E$103+Assumptions!$F$77*((H1002=Assumptions!$F$13)+(H1002=Assumptions!$F$14)+(H1002=Assumptions!$F$15)))*H1003</f>
        <v>100000</v>
      </c>
      <c r="I1071" s="54" t="n">
        <f aca="false">(Assumptions!$E$103+Assumptions!$F$77*((I1002=Assumptions!$F$13)+(I1002=Assumptions!$F$14)+(I1002=Assumptions!$F$15)))*I1003</f>
        <v>60000</v>
      </c>
      <c r="J1071" s="54" t="n">
        <f aca="false">(Assumptions!$E$103+Assumptions!$F$77*((J1002=Assumptions!$F$13)+(J1002=Assumptions!$F$14)+(J1002=Assumptions!$F$15)))*J1003</f>
        <v>60000</v>
      </c>
      <c r="K1071" s="54" t="n">
        <f aca="false">(Assumptions!$E$103+Assumptions!$F$77*((K1002=Assumptions!$F$13)+(K1002=Assumptions!$F$14)+(K1002=Assumptions!$F$15)))*K1003</f>
        <v>60000</v>
      </c>
      <c r="L1071" s="54" t="n">
        <f aca="false">(Assumptions!$E$103+Assumptions!$F$77*((L1002=Assumptions!$F$13)+(L1002=Assumptions!$F$14)+(L1002=Assumptions!$F$15)))*L1003</f>
        <v>60000</v>
      </c>
      <c r="M1071" s="54" t="n">
        <f aca="false">(Assumptions!$E$103+Assumptions!$F$77*((M1002=Assumptions!$F$13)+(M1002=Assumptions!$F$14)+(M1002=Assumptions!$F$15)))*M1003</f>
        <v>60000</v>
      </c>
      <c r="N1071" s="54" t="n">
        <f aca="false">(Assumptions!$E$103+Assumptions!$F$77*((N1002=Assumptions!$F$13)+(N1002=Assumptions!$F$14)+(N1002=Assumptions!$F$15)))*N1003</f>
        <v>60000</v>
      </c>
      <c r="P1071" s="55" t="n">
        <f aca="false">SUM(C1071:F1071)</f>
        <v>320000</v>
      </c>
      <c r="Q1071" s="55" t="n">
        <f aca="false">SUM(G1071:J1071)</f>
        <v>280000</v>
      </c>
      <c r="R1071" s="55" t="n">
        <f aca="false">SUM(K1071:N1071)</f>
        <v>240000</v>
      </c>
      <c r="S1071" s="56" t="n">
        <f aca="false">SUM(P1071:R1071)</f>
        <v>840000</v>
      </c>
    </row>
    <row r="1072" customFormat="false" ht="15" hidden="false" customHeight="false" outlineLevel="0" collapsed="false">
      <c r="A1072" s="4" t="s">
        <v>559</v>
      </c>
      <c r="B1072" s="36" t="s">
        <v>125</v>
      </c>
      <c r="C1072" s="54" t="n">
        <f aca="false">C1057*C1037*Assumptions!$F$79</f>
        <v>0</v>
      </c>
      <c r="D1072" s="54" t="n">
        <f aca="false">D1057*D1037*Assumptions!$F$79</f>
        <v>2559.27973141574</v>
      </c>
      <c r="E1072" s="54" t="n">
        <f aca="false">E1057*E1037*Assumptions!$F$79</f>
        <v>5734.88967051507</v>
      </c>
      <c r="F1072" s="54" t="n">
        <f aca="false">F1057*F1037*Assumptions!$F$79</f>
        <v>9612.2796441887</v>
      </c>
      <c r="G1072" s="54" t="n">
        <f aca="false">G1057*G1037*Assumptions!$F$79</f>
        <v>12261.6108359168</v>
      </c>
      <c r="H1072" s="54" t="n">
        <f aca="false">H1057*H1037*Assumptions!$F$79</f>
        <v>14928.4820160932</v>
      </c>
      <c r="I1072" s="54" t="n">
        <f aca="false">I1057*I1037*Assumptions!$F$79</f>
        <v>16495.0073920643</v>
      </c>
      <c r="J1072" s="54" t="n">
        <f aca="false">J1057*J1037*Assumptions!$F$79</f>
        <v>19115.2625120252</v>
      </c>
      <c r="K1072" s="54" t="n">
        <f aca="false">K1057*K1037*Assumptions!$F$79</f>
        <v>20352.6267846291</v>
      </c>
      <c r="L1072" s="54" t="n">
        <f aca="false">L1057*L1037*Assumptions!$F$79</f>
        <v>20361.0286110341</v>
      </c>
      <c r="M1072" s="54" t="n">
        <f aca="false">M1057*M1037*Assumptions!$F$79</f>
        <v>20368.7608873237</v>
      </c>
      <c r="N1072" s="54" t="n">
        <f aca="false">N1057*N1037*Assumptions!$F$79</f>
        <v>20375.8857482517</v>
      </c>
      <c r="P1072" s="55" t="n">
        <f aca="false">SUM(C1072:F1072)</f>
        <v>17906.4490461195</v>
      </c>
      <c r="Q1072" s="55" t="n">
        <f aca="false">SUM(G1072:J1072)</f>
        <v>62800.3627560996</v>
      </c>
      <c r="R1072" s="55" t="n">
        <f aca="false">SUM(K1072:N1072)</f>
        <v>81458.3020312385</v>
      </c>
      <c r="S1072" s="56" t="n">
        <f aca="false">SUM(P1072:R1072)</f>
        <v>162165.113833458</v>
      </c>
    </row>
    <row r="1073" customFormat="false" ht="15" hidden="false" customHeight="false" outlineLevel="0" collapsed="false">
      <c r="A1073" s="4" t="s">
        <v>560</v>
      </c>
      <c r="B1073" s="36" t="s">
        <v>125</v>
      </c>
      <c r="C1073" s="54" t="n">
        <f aca="false">C1022*Assumptions!$F$80</f>
        <v>6000</v>
      </c>
      <c r="D1073" s="54" t="n">
        <f aca="false">D1022*Assumptions!$F$80</f>
        <v>10000</v>
      </c>
      <c r="E1073" s="54" t="n">
        <f aca="false">E1022*Assumptions!$F$80</f>
        <v>14000</v>
      </c>
      <c r="F1073" s="54" t="n">
        <f aca="false">F1022*Assumptions!$F$80</f>
        <v>18000</v>
      </c>
      <c r="G1073" s="54" t="n">
        <f aca="false">G1022*Assumptions!$F$80</f>
        <v>22000</v>
      </c>
      <c r="H1073" s="54" t="n">
        <f aca="false">H1022*Assumptions!$F$80</f>
        <v>26000</v>
      </c>
      <c r="I1073" s="54" t="n">
        <f aca="false">I1022*Assumptions!$F$80</f>
        <v>30000</v>
      </c>
      <c r="J1073" s="54" t="n">
        <f aca="false">J1022*Assumptions!$F$80</f>
        <v>30000</v>
      </c>
      <c r="K1073" s="54" t="n">
        <f aca="false">K1022*Assumptions!$F$80</f>
        <v>30000</v>
      </c>
      <c r="L1073" s="54" t="n">
        <f aca="false">L1022*Assumptions!$F$80</f>
        <v>30000</v>
      </c>
      <c r="M1073" s="54" t="n">
        <f aca="false">M1022*Assumptions!$F$80</f>
        <v>30000</v>
      </c>
      <c r="N1073" s="54" t="n">
        <f aca="false">N1022*Assumptions!$F$80</f>
        <v>30000</v>
      </c>
      <c r="P1073" s="55" t="n">
        <f aca="false">SUM(C1073:F1073)</f>
        <v>48000</v>
      </c>
      <c r="Q1073" s="55" t="n">
        <f aca="false">SUM(G1073:J1073)</f>
        <v>108000</v>
      </c>
      <c r="R1073" s="55" t="n">
        <f aca="false">SUM(K1073:N1073)</f>
        <v>120000</v>
      </c>
      <c r="S1073" s="56" t="n">
        <f aca="false">SUM(P1073:R1073)</f>
        <v>276000</v>
      </c>
    </row>
    <row r="1074" customFormat="false" ht="15" hidden="false" customHeight="false" outlineLevel="0" collapsed="false">
      <c r="A1074" s="4" t="s">
        <v>561</v>
      </c>
      <c r="B1074" s="36" t="s">
        <v>125</v>
      </c>
      <c r="C1074" s="54" t="n">
        <f aca="false">(C1045*$C$994+C1046*$C$995)*Assumptions!$F$81</f>
        <v>0</v>
      </c>
      <c r="D1074" s="54" t="n">
        <f aca="false">(D1045*$C$994+D1046*$C$995)*Assumptions!$F$81</f>
        <v>2586.27662105676</v>
      </c>
      <c r="E1074" s="54" t="n">
        <f aca="false">(E1045*$C$994+E1046*$C$995)*Assumptions!$F$81</f>
        <v>9251.41221788692</v>
      </c>
      <c r="F1074" s="54" t="n">
        <f aca="false">(F1045*$C$994+F1046*$C$995)*Assumptions!$F$81</f>
        <v>15086.4605471379</v>
      </c>
      <c r="G1074" s="54" t="n">
        <f aca="false">(G1045*$C$994+G1046*$C$995)*Assumptions!$F$81</f>
        <v>19233.0814581578</v>
      </c>
      <c r="H1074" s="54" t="n">
        <f aca="false">(H1045*$C$994+H1046*$C$995)*Assumptions!$F$81</f>
        <v>23152.7714563208</v>
      </c>
      <c r="I1074" s="54" t="n">
        <f aca="false">(I1045*$C$994+I1046*$C$995)*Assumptions!$F$81</f>
        <v>28711.0068564504</v>
      </c>
      <c r="J1074" s="54" t="n">
        <f aca="false">(J1045*$C$994+J1046*$C$995)*Assumptions!$F$81</f>
        <v>35665.1510876204</v>
      </c>
      <c r="K1074" s="54" t="n">
        <f aca="false">(K1045*$C$994+K1046*$C$995)*Assumptions!$F$81</f>
        <v>39083.2082010926</v>
      </c>
      <c r="L1074" s="54" t="n">
        <f aca="false">(L1045*$C$994+L1046*$C$995)*Assumptions!$F$81</f>
        <v>39194.1076157042</v>
      </c>
      <c r="M1074" s="54" t="n">
        <f aca="false">(M1045*$C$994+M1046*$C$995)*Assumptions!$F$81</f>
        <v>39264.3030497282</v>
      </c>
      <c r="N1074" s="54" t="n">
        <f aca="false">(N1045*$C$994+N1046*$C$995)*Assumptions!$F$81</f>
        <v>39296.8599893913</v>
      </c>
      <c r="P1074" s="55" t="n">
        <f aca="false">SUM(C1074:F1074)</f>
        <v>26924.1493860815</v>
      </c>
      <c r="Q1074" s="55" t="n">
        <f aca="false">SUM(G1074:J1074)</f>
        <v>106762.010858549</v>
      </c>
      <c r="R1074" s="55" t="n">
        <f aca="false">SUM(K1074:N1074)</f>
        <v>156838.478855916</v>
      </c>
      <c r="S1074" s="56" t="n">
        <f aca="false">SUM(P1074:R1074)</f>
        <v>290524.639100547</v>
      </c>
    </row>
    <row r="1075" customFormat="false" ht="15" hidden="false" customHeight="false" outlineLevel="0" collapsed="false">
      <c r="A1075" s="9" t="s">
        <v>562</v>
      </c>
      <c r="B1075" s="36" t="s">
        <v>125</v>
      </c>
      <c r="C1075" s="55" t="n">
        <f aca="false">C1067+C1068+C1069+C1070+C1071+C1072+C1073+C1074</f>
        <v>419316.071428572</v>
      </c>
      <c r="D1075" s="55" t="n">
        <f aca="false">D1067+D1068+D1069+D1070+D1071+D1072+D1073+D1074</f>
        <v>388461.627781044</v>
      </c>
      <c r="E1075" s="55" t="n">
        <f aca="false">E1067+E1068+E1069+E1070+E1071+E1072+E1073+E1074</f>
        <v>473730.944745545</v>
      </c>
      <c r="F1075" s="55" t="n">
        <f aca="false">F1067+F1068+F1069+F1070+F1071+F1072+F1073+F1074</f>
        <v>527443.383048469</v>
      </c>
      <c r="G1075" s="55" t="n">
        <f aca="false">G1067+G1068+G1069+G1070+G1071+G1072+G1073+G1074</f>
        <v>569667.906579789</v>
      </c>
      <c r="H1075" s="55" t="n">
        <f aca="false">H1067+H1068+H1069+H1070+H1071+H1072+H1073+H1074</f>
        <v>620254.467758128</v>
      </c>
      <c r="I1075" s="55" t="n">
        <f aca="false">I1067+I1068+I1069+I1070+I1071+I1072+I1073+I1074</f>
        <v>662807.7999628</v>
      </c>
      <c r="J1075" s="55" t="n">
        <f aca="false">J1067+J1068+J1069+J1070+J1071+J1072+J1073+J1074</f>
        <v>672382.199313931</v>
      </c>
      <c r="K1075" s="55" t="n">
        <f aca="false">K1067+K1068+K1069+K1070+K1071+K1072+K1073+K1074</f>
        <v>748466.192128579</v>
      </c>
      <c r="L1075" s="55" t="n">
        <f aca="false">L1067+L1068+L1069+L1070+L1071+L1072+L1073+L1074</f>
        <v>748585.493369595</v>
      </c>
      <c r="M1075" s="55" t="n">
        <f aca="false">M1067+M1068+M1069+M1070+M1071+M1072+M1073+M1074</f>
        <v>748663.421079909</v>
      </c>
      <c r="N1075" s="55" t="n">
        <f aca="false">N1067+N1068+N1069+N1070+N1071+N1072+N1073+N1074</f>
        <v>748703.1028805</v>
      </c>
      <c r="P1075" s="55" t="n">
        <f aca="false">SUM(C1075:F1075)</f>
        <v>1808952.02700363</v>
      </c>
      <c r="Q1075" s="55" t="n">
        <f aca="false">SUM(G1075:J1075)</f>
        <v>2525112.37361465</v>
      </c>
      <c r="R1075" s="55" t="n">
        <f aca="false">SUM(K1075:N1075)</f>
        <v>2994418.20945858</v>
      </c>
      <c r="S1075" s="56" t="n">
        <f aca="false">SUM(P1075:R1075)</f>
        <v>7328482.61007686</v>
      </c>
    </row>
    <row r="1076" customFormat="false" ht="15" hidden="false" customHeight="false" outlineLevel="0" collapsed="false">
      <c r="A1076" s="4" t="s">
        <v>563</v>
      </c>
      <c r="B1076" s="36" t="s">
        <v>125</v>
      </c>
      <c r="C1076" s="54" t="n">
        <f aca="false">C1064*Assumptions!$F$72/Assumptions!$F$69/4</f>
        <v>56535.7142857143</v>
      </c>
      <c r="D1076" s="54" t="n">
        <f aca="false">D1064*Assumptions!$F$72/Assumptions!$F$69/4</f>
        <v>56535.7142857143</v>
      </c>
      <c r="E1076" s="54" t="n">
        <f aca="false">E1064*Assumptions!$F$72/Assumptions!$F$69/4</f>
        <v>56535.7142857143</v>
      </c>
      <c r="F1076" s="54" t="n">
        <f aca="false">F1064*Assumptions!$F$72/Assumptions!$F$69/4</f>
        <v>56535.7142857143</v>
      </c>
      <c r="G1076" s="54" t="n">
        <f aca="false">G1064*Assumptions!$F$72/Assumptions!$F$69/4</f>
        <v>28267.8571428571</v>
      </c>
      <c r="H1076" s="54" t="n">
        <f aca="false">H1064*Assumptions!$F$72/Assumptions!$F$69/4</f>
        <v>28267.8571428571</v>
      </c>
      <c r="I1076" s="54" t="n">
        <f aca="false">I1064*Assumptions!$F$72/Assumptions!$F$69/4</f>
        <v>28267.8571428571</v>
      </c>
      <c r="J1076" s="54" t="n">
        <f aca="false">J1064*Assumptions!$F$72/Assumptions!$F$69/4</f>
        <v>28267.8571428571</v>
      </c>
      <c r="K1076" s="54" t="n">
        <f aca="false">K1064*Assumptions!$F$72/Assumptions!$F$69/4</f>
        <v>28267.8571428571</v>
      </c>
      <c r="L1076" s="54" t="n">
        <f aca="false">L1064*Assumptions!$F$72/Assumptions!$F$69/4</f>
        <v>28267.8571428571</v>
      </c>
      <c r="M1076" s="54" t="n">
        <f aca="false">M1064*Assumptions!$F$72/Assumptions!$F$69/4</f>
        <v>28267.8571428571</v>
      </c>
      <c r="N1076" s="54" t="n">
        <f aca="false">N1064*Assumptions!$F$72/Assumptions!$F$69/4</f>
        <v>28267.8571428571</v>
      </c>
      <c r="P1076" s="55" t="n">
        <f aca="false">SUM(C1076:F1076)</f>
        <v>226142.857142857</v>
      </c>
      <c r="Q1076" s="55" t="n">
        <f aca="false">SUM(G1076:J1076)</f>
        <v>113071.428571429</v>
      </c>
      <c r="R1076" s="55" t="n">
        <f aca="false">SUM(K1076:N1076)</f>
        <v>113071.428571429</v>
      </c>
      <c r="S1076" s="56" t="n">
        <f aca="false">SUM(P1076:R1076)</f>
        <v>452285.714285714</v>
      </c>
    </row>
    <row r="1077" customFormat="false" ht="15" hidden="false" customHeight="false" outlineLevel="0" collapsed="false">
      <c r="A1077" s="4" t="s">
        <v>564</v>
      </c>
      <c r="B1077" s="36" t="s">
        <v>125</v>
      </c>
      <c r="C1077" s="54" t="n">
        <f aca="false">IF(C1002&lt;=Assumptions!$F$83,Assumptions!$F$82*Assumptions!$E$108/Assumptions!$F$83,0)</f>
        <v>62500</v>
      </c>
      <c r="D1077" s="54" t="n">
        <f aca="false">IF(D1002&lt;=Assumptions!$F$83,Assumptions!$F$82*Assumptions!$E$108/Assumptions!$F$83,0)</f>
        <v>62500</v>
      </c>
      <c r="E1077" s="54" t="n">
        <f aca="false">IF(E1002&lt;=Assumptions!$F$83,Assumptions!$F$82*Assumptions!$E$108/Assumptions!$F$83,0)</f>
        <v>62500</v>
      </c>
      <c r="F1077" s="54" t="n">
        <f aca="false">IF(F1002&lt;=Assumptions!$F$83,Assumptions!$F$82*Assumptions!$E$108/Assumptions!$F$83,0)</f>
        <v>62500</v>
      </c>
      <c r="G1077" s="54" t="n">
        <f aca="false">IF(G1002&lt;=Assumptions!$F$83,Assumptions!$F$82*Assumptions!$E$108/Assumptions!$F$83,0)</f>
        <v>0</v>
      </c>
      <c r="H1077" s="54" t="n">
        <f aca="false">IF(H1002&lt;=Assumptions!$F$83,Assumptions!$F$82*Assumptions!$E$108/Assumptions!$F$83,0)</f>
        <v>0</v>
      </c>
      <c r="I1077" s="54" t="n">
        <f aca="false">IF(I1002&lt;=Assumptions!$F$83,Assumptions!$F$82*Assumptions!$E$108/Assumptions!$F$83,0)</f>
        <v>0</v>
      </c>
      <c r="J1077" s="54" t="n">
        <f aca="false">IF(J1002&lt;=Assumptions!$F$83,Assumptions!$F$82*Assumptions!$E$108/Assumptions!$F$83,0)</f>
        <v>0</v>
      </c>
      <c r="K1077" s="54" t="n">
        <f aca="false">IF(K1002&lt;=Assumptions!$F$83,Assumptions!$F$82*Assumptions!$E$108/Assumptions!$F$83,0)</f>
        <v>0</v>
      </c>
      <c r="L1077" s="54" t="n">
        <f aca="false">IF(L1002&lt;=Assumptions!$F$83,Assumptions!$F$82*Assumptions!$E$108/Assumptions!$F$83,0)</f>
        <v>0</v>
      </c>
      <c r="M1077" s="54" t="n">
        <f aca="false">IF(M1002&lt;=Assumptions!$F$83,Assumptions!$F$82*Assumptions!$E$108/Assumptions!$F$83,0)</f>
        <v>0</v>
      </c>
      <c r="N1077" s="54" t="n">
        <f aca="false">IF(N1002&lt;=Assumptions!$F$83,Assumptions!$F$82*Assumptions!$E$108/Assumptions!$F$83,0)</f>
        <v>0</v>
      </c>
      <c r="P1077" s="55" t="n">
        <f aca="false">SUM(C1077:F1077)</f>
        <v>250000</v>
      </c>
      <c r="Q1077" s="55" t="n">
        <f aca="false">SUM(G1077:J1077)</f>
        <v>0</v>
      </c>
      <c r="R1077" s="55" t="n">
        <f aca="false">SUM(K1077:N1077)</f>
        <v>0</v>
      </c>
      <c r="S1077" s="56" t="n">
        <f aca="false">SUM(P1077:R1077)</f>
        <v>250000</v>
      </c>
    </row>
    <row r="1078" customFormat="false" ht="15" hidden="false" customHeight="false" outlineLevel="0" collapsed="false">
      <c r="A1078" s="4" t="s">
        <v>565</v>
      </c>
      <c r="B1078" s="36" t="s">
        <v>125</v>
      </c>
      <c r="C1078" s="54" t="n">
        <f aca="false">C1066*Assumptions!$F$73/Assumptions!$F$69/4</f>
        <v>0</v>
      </c>
      <c r="D1078" s="54" t="n">
        <f aca="false">D1066*Assumptions!$F$73/Assumptions!$F$69/4</f>
        <v>2339.7230386293</v>
      </c>
      <c r="E1078" s="54" t="n">
        <f aca="false">E1066*Assumptions!$F$73/Assumptions!$F$69/4</f>
        <v>7914.11966713501</v>
      </c>
      <c r="F1078" s="54" t="n">
        <f aca="false">F1066*Assumptions!$F$73/Assumptions!$F$69/4</f>
        <v>15247.5384784396</v>
      </c>
      <c r="G1078" s="54" t="n">
        <f aca="false">G1066*Assumptions!$F$73/Assumptions!$F$69/4</f>
        <v>24593.6024775632</v>
      </c>
      <c r="H1078" s="54" t="n">
        <f aca="false">H1066*Assumptions!$F$73/Assumptions!$F$69/4</f>
        <v>35785.8083843499</v>
      </c>
      <c r="I1078" s="54" t="n">
        <f aca="false">I1066*Assumptions!$F$73/Assumptions!$F$69/4</f>
        <v>50564.4335728135</v>
      </c>
      <c r="J1078" s="54" t="n">
        <f aca="false">J1066*Assumptions!$F$73/Assumptions!$F$69/4</f>
        <v>68653.217799928</v>
      </c>
      <c r="K1078" s="54" t="n">
        <f aca="false">K1066*Assumptions!$F$73/Assumptions!$F$69/4</f>
        <v>86824.8508740621</v>
      </c>
      <c r="L1078" s="54" t="n">
        <f aca="false">L1066*Assumptions!$F$73/Assumptions!$F$69/4</f>
        <v>104705.170265137</v>
      </c>
      <c r="M1078" s="54" t="n">
        <f aca="false">M1066*Assumptions!$F$73/Assumptions!$F$69/4</f>
        <v>122280.189562914</v>
      </c>
      <c r="N1078" s="54" t="n">
        <f aca="false">N1066*Assumptions!$F$73/Assumptions!$F$69/4</f>
        <v>139537.661750539</v>
      </c>
      <c r="P1078" s="55" t="n">
        <f aca="false">SUM(C1078:F1078)</f>
        <v>25501.3811842039</v>
      </c>
      <c r="Q1078" s="55" t="n">
        <f aca="false">SUM(G1078:J1078)</f>
        <v>179597.062234655</v>
      </c>
      <c r="R1078" s="55" t="n">
        <f aca="false">SUM(K1078:N1078)</f>
        <v>453347.872452652</v>
      </c>
      <c r="S1078" s="56" t="n">
        <f aca="false">SUM(P1078:R1078)</f>
        <v>658446.315871511</v>
      </c>
    </row>
    <row r="1079" customFormat="false" ht="15" hidden="false" customHeight="false" outlineLevel="0" collapsed="false">
      <c r="A1079" s="9" t="s">
        <v>566</v>
      </c>
      <c r="B1079" s="36" t="s">
        <v>125</v>
      </c>
      <c r="C1079" s="55" t="n">
        <f aca="false">C1075+C1076+C1077+C1078</f>
        <v>538351.785714286</v>
      </c>
      <c r="D1079" s="55" t="n">
        <f aca="false">D1075+D1076+D1077+D1078</f>
        <v>509837.065105388</v>
      </c>
      <c r="E1079" s="55" t="n">
        <f aca="false">E1075+E1076+E1077+E1078</f>
        <v>600680.778698394</v>
      </c>
      <c r="F1079" s="55" t="n">
        <f aca="false">F1075+F1076+F1077+F1078</f>
        <v>661726.635812623</v>
      </c>
      <c r="G1079" s="55" t="n">
        <f aca="false">G1075+G1076+G1077+G1078</f>
        <v>622529.366200209</v>
      </c>
      <c r="H1079" s="55" t="n">
        <f aca="false">H1075+H1076+H1077+H1078</f>
        <v>684308.133285335</v>
      </c>
      <c r="I1079" s="55" t="n">
        <f aca="false">I1075+I1076+I1077+I1078</f>
        <v>741640.090678471</v>
      </c>
      <c r="J1079" s="55" t="n">
        <f aca="false">J1075+J1076+J1077+J1078</f>
        <v>769303.274256717</v>
      </c>
      <c r="K1079" s="55" t="n">
        <f aca="false">K1075+K1076+K1077+K1078</f>
        <v>863558.900145498</v>
      </c>
      <c r="L1079" s="55" t="n">
        <f aca="false">L1075+L1076+L1077+L1078</f>
        <v>881558.520777589</v>
      </c>
      <c r="M1079" s="55" t="n">
        <f aca="false">M1075+M1076+M1077+M1078</f>
        <v>899211.467785681</v>
      </c>
      <c r="N1079" s="55" t="n">
        <f aca="false">N1075+N1076+N1077+N1078</f>
        <v>916508.621773897</v>
      </c>
      <c r="P1079" s="55" t="n">
        <f aca="false">SUM(C1079:F1079)</f>
        <v>2310596.26533069</v>
      </c>
      <c r="Q1079" s="55" t="n">
        <f aca="false">SUM(G1079:J1079)</f>
        <v>2817780.86442073</v>
      </c>
      <c r="R1079" s="55" t="n">
        <f aca="false">SUM(K1079:N1079)</f>
        <v>3560837.51048266</v>
      </c>
      <c r="S1079" s="56" t="n">
        <f aca="false">SUM(P1079:R1079)</f>
        <v>8689214.64023409</v>
      </c>
    </row>
    <row r="1080" customFormat="false" ht="15" hidden="false" customHeight="false" outlineLevel="0" collapsed="false">
      <c r="A1080" s="35" t="s">
        <v>567</v>
      </c>
      <c r="B1080" s="35" t="s">
        <v>444</v>
      </c>
      <c r="C1080" s="6" t="s">
        <v>354</v>
      </c>
      <c r="D1080" s="6" t="s">
        <v>355</v>
      </c>
      <c r="E1080" s="6" t="s">
        <v>356</v>
      </c>
      <c r="F1080" s="6" t="s">
        <v>357</v>
      </c>
      <c r="G1080" s="6" t="s">
        <v>358</v>
      </c>
      <c r="H1080" s="6" t="s">
        <v>359</v>
      </c>
      <c r="I1080" s="6" t="s">
        <v>360</v>
      </c>
      <c r="J1080" s="6" t="s">
        <v>361</v>
      </c>
      <c r="K1080" s="6" t="s">
        <v>362</v>
      </c>
      <c r="L1080" s="6" t="s">
        <v>363</v>
      </c>
      <c r="M1080" s="6" t="s">
        <v>364</v>
      </c>
      <c r="N1080" s="6" t="s">
        <v>365</v>
      </c>
      <c r="P1080" s="6" t="s">
        <v>445</v>
      </c>
      <c r="Q1080" s="6" t="s">
        <v>446</v>
      </c>
      <c r="R1080" s="6" t="s">
        <v>447</v>
      </c>
      <c r="S1080" s="6" t="s">
        <v>448</v>
      </c>
    </row>
    <row r="1081" customFormat="false" ht="15" hidden="false" customHeight="false" outlineLevel="0" collapsed="false">
      <c r="A1081" s="9" t="s">
        <v>568</v>
      </c>
      <c r="B1081" s="36" t="s">
        <v>125</v>
      </c>
      <c r="C1081" s="55" t="n">
        <f aca="false">C1059-C1079</f>
        <v>-538351.785714286</v>
      </c>
      <c r="D1081" s="55" t="n">
        <f aca="false">D1059-D1079</f>
        <v>-505812.245665734</v>
      </c>
      <c r="E1081" s="55" t="n">
        <f aca="false">E1059-E1079</f>
        <v>-580392.553568698</v>
      </c>
      <c r="F1081" s="55" t="n">
        <f aca="false">F1059-F1079</f>
        <v>-610239.456207404</v>
      </c>
      <c r="G1081" s="55" t="n">
        <f aca="false">G1059-G1079</f>
        <v>-527095.869835677</v>
      </c>
      <c r="H1081" s="55" t="n">
        <f aca="false">H1059-H1079</f>
        <v>-532916.602757815</v>
      </c>
      <c r="I1081" s="55" t="n">
        <f aca="false">I1059-I1079</f>
        <v>-518827.138117879</v>
      </c>
      <c r="J1081" s="55" t="n">
        <f aca="false">J1059-J1079</f>
        <v>-454918.085737868</v>
      </c>
      <c r="K1081" s="55" t="n">
        <f aca="false">K1059-K1079</f>
        <v>-441681.902062171</v>
      </c>
      <c r="L1081" s="55" t="n">
        <f aca="false">L1059-L1079</f>
        <v>-344369.451005465</v>
      </c>
      <c r="M1081" s="55" t="n">
        <f aca="false">M1059-M1079</f>
        <v>-241473.441163598</v>
      </c>
      <c r="N1081" s="55" t="n">
        <f aca="false">N1059-N1079</f>
        <v>-132797.95388553</v>
      </c>
      <c r="P1081" s="55" t="n">
        <f aca="false">SUM(C1081:F1081)</f>
        <v>-2234796.04115612</v>
      </c>
      <c r="Q1081" s="55" t="n">
        <f aca="false">SUM(G1081:J1081)</f>
        <v>-2033757.69644924</v>
      </c>
      <c r="R1081" s="55" t="n">
        <f aca="false">SUM(K1081:N1081)</f>
        <v>-1160322.74811676</v>
      </c>
      <c r="S1081" s="56" t="n">
        <f aca="false">SUM(P1081:R1081)</f>
        <v>-5428876.48572212</v>
      </c>
    </row>
    <row r="1082" customFormat="false" ht="15" hidden="false" customHeight="false" outlineLevel="0" collapsed="false">
      <c r="A1082" s="9" t="s">
        <v>569</v>
      </c>
      <c r="B1082" s="36" t="s">
        <v>125</v>
      </c>
      <c r="C1082" s="55" t="n">
        <f aca="false">0+C1081</f>
        <v>-538351.785714286</v>
      </c>
      <c r="D1082" s="55" t="n">
        <f aca="false">C1082+D1081</f>
        <v>-1044164.03138002</v>
      </c>
      <c r="E1082" s="55" t="n">
        <f aca="false">D1082+E1081</f>
        <v>-1624556.58494872</v>
      </c>
      <c r="F1082" s="55" t="n">
        <f aca="false">E1082+F1081</f>
        <v>-2234796.04115612</v>
      </c>
      <c r="G1082" s="55" t="n">
        <f aca="false">F1082+G1081</f>
        <v>-2761891.9109918</v>
      </c>
      <c r="H1082" s="55" t="n">
        <f aca="false">G1082+H1081</f>
        <v>-3294808.51374961</v>
      </c>
      <c r="I1082" s="55" t="n">
        <f aca="false">H1082+I1081</f>
        <v>-3813635.65186749</v>
      </c>
      <c r="J1082" s="55" t="n">
        <f aca="false">I1082+J1081</f>
        <v>-4268553.73760536</v>
      </c>
      <c r="K1082" s="55" t="n">
        <f aca="false">J1082+K1081</f>
        <v>-4710235.63966753</v>
      </c>
      <c r="L1082" s="55" t="n">
        <f aca="false">K1082+L1081</f>
        <v>-5054605.090673</v>
      </c>
      <c r="M1082" s="55" t="n">
        <f aca="false">L1082+M1081</f>
        <v>-5296078.53183659</v>
      </c>
      <c r="N1082" s="55" t="n">
        <f aca="false">M1082+N1081</f>
        <v>-5428876.48572213</v>
      </c>
      <c r="P1082" s="55" t="n">
        <f aca="false">F1082</f>
        <v>-2234796.04115612</v>
      </c>
      <c r="Q1082" s="55" t="n">
        <f aca="false">J1082</f>
        <v>-4268553.73760536</v>
      </c>
      <c r="R1082" s="55" t="n">
        <f aca="false">N1082</f>
        <v>-5428876.48572213</v>
      </c>
      <c r="S1082" s="56" t="n">
        <f aca="false">R1082</f>
        <v>-5428876.48572213</v>
      </c>
    </row>
    <row r="1083" customFormat="false" ht="15" hidden="false" customHeight="false" outlineLevel="0" collapsed="false">
      <c r="A1083" s="4" t="s">
        <v>570</v>
      </c>
      <c r="B1083" s="36" t="s">
        <v>107</v>
      </c>
      <c r="C1083" s="57" t="n">
        <f aca="false">1/(1+Assumptions!$F$87)^(C1002/4)</f>
        <v>0.972065420906982</v>
      </c>
      <c r="D1083" s="57" t="n">
        <f aca="false">1/(1+Assumptions!$F$87)^(D1002/4)</f>
        <v>0.944911182523068</v>
      </c>
      <c r="E1083" s="57" t="n">
        <f aca="false">1/(1+Assumptions!$F$87)^(E1002/4)</f>
        <v>0.918515486359</v>
      </c>
      <c r="F1083" s="57" t="n">
        <f aca="false">1/(1+Assumptions!$F$87)^(F1002/4)</f>
        <v>0.892857142857143</v>
      </c>
      <c r="G1083" s="57" t="n">
        <f aca="false">1/(1+Assumptions!$F$87)^(G1002/4)</f>
        <v>0.867915554381234</v>
      </c>
      <c r="H1083" s="57" t="n">
        <f aca="false">1/(1+Assumptions!$F$87)^(H1002/4)</f>
        <v>0.843670698681311</v>
      </c>
      <c r="I1083" s="57" t="n">
        <f aca="false">1/(1+Assumptions!$F$87)^(I1002/4)</f>
        <v>0.820103112820536</v>
      </c>
      <c r="J1083" s="57" t="n">
        <f aca="false">1/(1+Assumptions!$F$87)^(J1002/4)</f>
        <v>0.79719387755102</v>
      </c>
      <c r="K1083" s="57" t="n">
        <f aca="false">1/(1+Assumptions!$F$87)^(K1002/4)</f>
        <v>0.774924602126102</v>
      </c>
      <c r="L1083" s="57" t="n">
        <f aca="false">1/(1+Assumptions!$F$87)^(L1002/4)</f>
        <v>0.753277409536885</v>
      </c>
      <c r="M1083" s="57" t="n">
        <f aca="false">1/(1+Assumptions!$F$87)^(M1002/4)</f>
        <v>0.732234922161193</v>
      </c>
      <c r="N1083" s="57" t="n">
        <f aca="false">1/(1+Assumptions!$F$87)^(N1002/4)</f>
        <v>0.711780247813411</v>
      </c>
      <c r="P1083" s="58"/>
      <c r="Q1083" s="58"/>
      <c r="R1083" s="58"/>
      <c r="S1083" s="59"/>
    </row>
    <row r="1084" customFormat="false" ht="15" hidden="false" customHeight="false" outlineLevel="0" collapsed="false">
      <c r="A1084" s="4" t="s">
        <v>571</v>
      </c>
      <c r="B1084" s="36" t="s">
        <v>125</v>
      </c>
      <c r="C1084" s="54" t="n">
        <f aca="false">(C1059*(1-Assumptions!$F$88)-C1079)*C1083</f>
        <v>-523313.155176383</v>
      </c>
      <c r="D1084" s="54" t="n">
        <f aca="false">(D1059*(1-Assumptions!$F$88)-D1079)*D1083</f>
        <v>-478327.956876274</v>
      </c>
      <c r="E1084" s="54" t="n">
        <f aca="false">(E1059*(1-Assumptions!$F$88)-E1079)*E1083</f>
        <v>-534963.053517531</v>
      </c>
      <c r="F1084" s="54" t="n">
        <f aca="false">(F1059*(1-Assumptions!$F$88)-F1079)*F1083</f>
        <v>-549453.726935648</v>
      </c>
      <c r="G1084" s="54" t="n">
        <f aca="false">(G1059*(1-Assumptions!$F$88)-G1079)*G1083</f>
        <v>-465757.525670867</v>
      </c>
      <c r="H1084" s="54" t="n">
        <f aca="false">(H1059*(1-Assumptions!$F$88)-H1079)*H1083</f>
        <v>-462378.582421014</v>
      </c>
      <c r="I1084" s="54" t="n">
        <f aca="false">(I1059*(1-Assumptions!$F$88)-I1079)*I1083</f>
        <v>-443764.71058341</v>
      </c>
      <c r="J1084" s="54" t="n">
        <f aca="false">(J1059*(1-Assumptions!$F$88)-J1079)*J1083</f>
        <v>-387720.507485454</v>
      </c>
      <c r="K1084" s="54" t="n">
        <f aca="false">(K1059*(1-Assumptions!$F$88)-K1079)*K1083</f>
        <v>-374962.458710415</v>
      </c>
      <c r="L1084" s="54" t="n">
        <f aca="false">(L1059*(1-Assumptions!$F$88)-L1079)*L1083</f>
        <v>-299870.967067983</v>
      </c>
      <c r="M1084" s="54" t="n">
        <f aca="false">(M1059*(1-Assumptions!$F$88)-M1079)*M1083</f>
        <v>-224977.16166703</v>
      </c>
      <c r="N1084" s="54" t="n">
        <f aca="false">(N1059*(1-Assumptions!$F$88)-N1079)*N1083</f>
        <v>-150305.937866116</v>
      </c>
      <c r="P1084" s="55" t="n">
        <f aca="false">SUM(C1084:F1084)</f>
        <v>-2086057.89250584</v>
      </c>
      <c r="Q1084" s="55" t="n">
        <f aca="false">SUM(G1084:J1084)</f>
        <v>-1759621.32616074</v>
      </c>
      <c r="R1084" s="55" t="n">
        <f aca="false">SUM(K1084:N1084)</f>
        <v>-1050116.52531154</v>
      </c>
      <c r="S1084" s="56" t="n">
        <f aca="false">SUM(P1084:R1084)</f>
        <v>-4895795.74397813</v>
      </c>
    </row>
    <row r="1085" customFormat="false" ht="15" hidden="false" customHeight="false" outlineLevel="0" collapsed="false">
      <c r="A1085" s="4" t="s">
        <v>572</v>
      </c>
      <c r="B1085" s="36" t="s">
        <v>125</v>
      </c>
      <c r="C1085" s="54" t="n">
        <f aca="false">(C1079-C1078)*12/(Assumptions!$F$89*Assumptions!$F$76)*Assumptions!$F$90</f>
        <v>336469.866071429</v>
      </c>
      <c r="D1085" s="54" t="n">
        <f aca="false">(D1079-D1078)*12/(Assumptions!$F$89*Assumptions!$F$76)*Assumptions!$F$90</f>
        <v>317185.838791724</v>
      </c>
      <c r="E1085" s="54" t="n">
        <f aca="false">(E1079-E1078)*12/(Assumptions!$F$89*Assumptions!$F$76)*Assumptions!$F$90</f>
        <v>370479.161894537</v>
      </c>
      <c r="F1085" s="54" t="n">
        <f aca="false">(F1079-F1078)*12/(Assumptions!$F$89*Assumptions!$F$76)*Assumptions!$F$90</f>
        <v>404049.435833865</v>
      </c>
      <c r="G1085" s="54" t="n">
        <f aca="false">(G1079-G1078)*12/(Assumptions!$F$89*Assumptions!$F$76)*Assumptions!$F$90</f>
        <v>373709.852326654</v>
      </c>
      <c r="H1085" s="54" t="n">
        <f aca="false">(H1079-H1078)*12/(Assumptions!$F$89*Assumptions!$F$76)*Assumptions!$F$90</f>
        <v>405326.453063116</v>
      </c>
      <c r="I1085" s="54" t="n">
        <f aca="false">(I1079-I1078)*12/(Assumptions!$F$89*Assumptions!$F$76)*Assumptions!$F$90</f>
        <v>431922.285691036</v>
      </c>
      <c r="J1085" s="54" t="n">
        <f aca="false">(J1079-J1078)*12/(Assumptions!$F$89*Assumptions!$F$76)*Assumptions!$F$90</f>
        <v>437906.285285493</v>
      </c>
      <c r="K1085" s="54" t="n">
        <f aca="false">(K1079-K1078)*12/(Assumptions!$F$89*Assumptions!$F$76)*Assumptions!$F$90</f>
        <v>485458.780794647</v>
      </c>
      <c r="L1085" s="54" t="n">
        <f aca="false">(L1079-L1078)*12/(Assumptions!$F$89*Assumptions!$F$76)*Assumptions!$F$90</f>
        <v>485533.344070283</v>
      </c>
      <c r="M1085" s="54" t="n">
        <f aca="false">(M1079-M1078)*12/(Assumptions!$F$89*Assumptions!$F$76)*Assumptions!$F$90</f>
        <v>485582.048889229</v>
      </c>
      <c r="N1085" s="54" t="n">
        <f aca="false">(N1079-N1078)*12/(Assumptions!$F$89*Assumptions!$F$76)*Assumptions!$F$90</f>
        <v>485606.850014598</v>
      </c>
      <c r="P1085" s="55" t="n">
        <f aca="false">SUM(C1085:F1085)</f>
        <v>1428184.30259155</v>
      </c>
      <c r="Q1085" s="55" t="n">
        <f aca="false">SUM(G1085:J1085)</f>
        <v>1648864.8763663</v>
      </c>
      <c r="R1085" s="55" t="n">
        <f aca="false">SUM(K1085:N1085)</f>
        <v>1942181.02376876</v>
      </c>
      <c r="S1085" s="56" t="n">
        <f aca="false">SUM(P1085:R1085)</f>
        <v>5019230.20272661</v>
      </c>
    </row>
    <row r="1086" customFormat="false" ht="15" hidden="false" customHeight="false" outlineLevel="0" collapsed="false">
      <c r="A1086" s="4" t="s">
        <v>573</v>
      </c>
      <c r="B1086" s="36" t="s">
        <v>125</v>
      </c>
      <c r="C1086" s="54" t="n">
        <f aca="false">0*Assumptions!$F$92^(1/4)+C1085</f>
        <v>336469.866071429</v>
      </c>
      <c r="D1086" s="54" t="n">
        <f aca="false">C1086*Assumptions!$F$92^(1/4)+D1085</f>
        <v>654493.743398469</v>
      </c>
      <c r="E1086" s="54" t="n">
        <f aca="false">D1086*Assumptions!$F$92^(1/4)+E1085</f>
        <v>1026603.03932104</v>
      </c>
      <c r="F1086" s="54" t="n">
        <f aca="false">E1086*Assumptions!$F$92^(1/4)+F1085</f>
        <v>1433209.41410896</v>
      </c>
      <c r="G1086" s="54" t="n">
        <f aca="false">F1086*Assumptions!$F$92^(1/4)+G1085</f>
        <v>1810488.93147643</v>
      </c>
      <c r="H1086" s="54" t="n">
        <f aca="false">G1086*Assumptions!$F$92^(1/4)+H1085</f>
        <v>2220324.73186998</v>
      </c>
      <c r="I1086" s="54" t="n">
        <f aca="false">H1086*Assumptions!$F$92^(1/4)+I1085</f>
        <v>2657777.13444176</v>
      </c>
      <c r="J1086" s="54" t="n">
        <f aca="false">I1086*Assumptions!$F$92^(1/4)+J1085</f>
        <v>3102303.09025808</v>
      </c>
      <c r="K1086" s="54" t="n">
        <f aca="false">J1086*Assumptions!$F$92^(1/4)+K1085</f>
        <v>3595488.71318639</v>
      </c>
      <c r="L1086" s="54" t="n">
        <f aca="false">K1086*Assumptions!$F$92^(1/4)+L1085</f>
        <v>4089977.26661948</v>
      </c>
      <c r="M1086" s="54" t="n">
        <f aca="false">L1086*Assumptions!$F$92^(1/4)+M1085</f>
        <v>4585746.13728272</v>
      </c>
      <c r="N1086" s="54" t="n">
        <f aca="false">M1086*Assumptions!$F$92^(1/4)+N1085</f>
        <v>5082774.61034218</v>
      </c>
      <c r="P1086" s="55" t="n">
        <f aca="false">F1086</f>
        <v>1433209.41410896</v>
      </c>
      <c r="Q1086" s="55" t="n">
        <f aca="false">J1086</f>
        <v>3102303.09025808</v>
      </c>
      <c r="R1086" s="55" t="n">
        <f aca="false">N1086</f>
        <v>5082774.61034218</v>
      </c>
      <c r="S1086" s="56" t="n">
        <f aca="false">R1086</f>
        <v>5082774.61034218</v>
      </c>
    </row>
    <row r="1087" customFormat="false" ht="15" hidden="false" customHeight="false" outlineLevel="0" collapsed="false">
      <c r="A1087" s="4" t="s">
        <v>574</v>
      </c>
      <c r="B1087" s="36" t="s">
        <v>125</v>
      </c>
      <c r="C1087" s="54" t="n">
        <f aca="false">(0+C1086)/8*Assumptions!$F$76-(C1079-C1078)-C1086*Assumptions!$F$93/4</f>
        <v>-512275.37109375</v>
      </c>
      <c r="D1087" s="54" t="n">
        <f aca="false">(C1086+D1086)/8*Assumptions!$F$76-(D1079-D1078)-D1086*Assumptions!$F$93/4</f>
        <v>-426491.789006948</v>
      </c>
      <c r="E1087" s="54" t="n">
        <f aca="false">(D1086+E1086)/8*Assumptions!$F$76-(E1079-E1078)-E1086*Assumptions!$F$93/4</f>
        <v>-454300.486578016</v>
      </c>
      <c r="F1087" s="54" t="n">
        <f aca="false">(E1086+F1086)/8*Assumptions!$F$76-(F1079-F1078)-F1086*Assumptions!$F$93/4</f>
        <v>-443011.094201845</v>
      </c>
      <c r="G1087" s="54" t="n">
        <f aca="false">(F1086+G1086)/8*Assumptions!$F$76-(G1079-G1078)-G1086*Assumptions!$F$93/4</f>
        <v>-328634.024263416</v>
      </c>
      <c r="H1087" s="54" t="n">
        <f aca="false">(G1086+H1086)/8*Assumptions!$F$76-(H1079-H1078)-H1086*Assumptions!$F$93/4</f>
        <v>-313503.154348184</v>
      </c>
      <c r="I1087" s="54" t="n">
        <f aca="false">(H1086+I1086)/8*Assumptions!$F$76-(I1079-I1078)-I1086*Assumptions!$F$93/4</f>
        <v>-285268.703318123</v>
      </c>
      <c r="J1087" s="54" t="n">
        <f aca="false">(I1086+J1086)/8*Assumptions!$F$76-(J1079-J1078)-J1086*Assumptions!$F$93/4</f>
        <v>-221021.624862029</v>
      </c>
      <c r="K1087" s="54" t="n">
        <f aca="false">(J1086+K1086)/8*Assumptions!$F$76-(K1079-K1078)-K1086*Assumptions!$F$93/4</f>
        <v>-218876.395876263</v>
      </c>
      <c r="L1087" s="54" t="n">
        <f aca="false">(K1086+L1086)/8*Assumptions!$F$76-(L1079-L1078)-L1086*Assumptions!$F$93/4</f>
        <v>-136286.128162668</v>
      </c>
      <c r="M1087" s="54" t="n">
        <f aca="false">(L1086+M1086)/8*Assumptions!$F$76-(M1079-M1078)-M1086*Assumptions!$F$93/4</f>
        <v>-53437.998587602</v>
      </c>
      <c r="N1087" s="54" t="n">
        <f aca="false">(M1086+N1086)/8*Assumptions!$F$76-(N1079-N1078)-N1086*Assumptions!$F$93/4</f>
        <v>29661.2246336065</v>
      </c>
      <c r="P1087" s="55" t="n">
        <f aca="false">SUM(C1087:F1087)</f>
        <v>-1836078.74088056</v>
      </c>
      <c r="Q1087" s="55" t="n">
        <f aca="false">SUM(G1087:J1087)</f>
        <v>-1148427.50679175</v>
      </c>
      <c r="R1087" s="55" t="n">
        <f aca="false">SUM(K1087:N1087)</f>
        <v>-378939.297992927</v>
      </c>
      <c r="S1087" s="56" t="n">
        <f aca="false">SUM(P1087:R1087)</f>
        <v>-3363445.54566524</v>
      </c>
    </row>
    <row r="1088" customFormat="false" ht="15" hidden="false" customHeight="false" outlineLevel="0" collapsed="false">
      <c r="A1088" s="4" t="s">
        <v>575</v>
      </c>
      <c r="B1088" s="36" t="s">
        <v>125</v>
      </c>
      <c r="C1088" s="54" t="n">
        <f aca="false">C1087*C1083</f>
        <v>-497965.174222527</v>
      </c>
      <c r="D1088" s="54" t="n">
        <f aca="false">D1087*D1083</f>
        <v>-402996.860686934</v>
      </c>
      <c r="E1088" s="54" t="n">
        <f aca="false">E1087*E1083</f>
        <v>-417282.032382337</v>
      </c>
      <c r="F1088" s="54" t="n">
        <f aca="false">F1087*F1083</f>
        <v>-395545.619823076</v>
      </c>
      <c r="G1088" s="54" t="n">
        <f aca="false">G1087*G1083</f>
        <v>-285226.581357119</v>
      </c>
      <c r="H1088" s="54" t="n">
        <f aca="false">H1087*H1083</f>
        <v>-264493.425267727</v>
      </c>
      <c r="I1088" s="54" t="n">
        <f aca="false">I1087*I1083</f>
        <v>-233949.751581471</v>
      </c>
      <c r="J1088" s="54" t="n">
        <f aca="false">J1087*J1083</f>
        <v>-176197.086146388</v>
      </c>
      <c r="K1088" s="54" t="n">
        <f aca="false">K1087*K1083</f>
        <v>-169612.703989209</v>
      </c>
      <c r="L1088" s="54" t="n">
        <f aca="false">L1087*L1083</f>
        <v>-102661.261578186</v>
      </c>
      <c r="M1088" s="54" t="n">
        <f aca="false">M1087*M1083</f>
        <v>-39129.1687362427</v>
      </c>
      <c r="N1088" s="54" t="n">
        <f aca="false">N1087*N1083</f>
        <v>21112.2738201577</v>
      </c>
      <c r="P1088" s="55" t="n">
        <f aca="false">SUM(C1088:F1088)</f>
        <v>-1713789.68711487</v>
      </c>
      <c r="Q1088" s="55" t="n">
        <f aca="false">SUM(G1088:J1088)</f>
        <v>-959866.844352704</v>
      </c>
      <c r="R1088" s="55" t="n">
        <f aca="false">SUM(K1088:N1088)</f>
        <v>-290290.86048348</v>
      </c>
      <c r="S1088" s="56" t="n">
        <f aca="false">SUM(P1088:R1088)</f>
        <v>-2963947.39195106</v>
      </c>
    </row>
    <row r="1089" customFormat="false" ht="15" hidden="false" customHeight="false" outlineLevel="0" collapsed="false">
      <c r="A1089" s="4" t="s">
        <v>576</v>
      </c>
      <c r="B1089" s="36"/>
      <c r="C1089" s="37" t="n">
        <f aca="false">IFERROR((S1044*$C$993*Assumptions!$F$59+S1045*$C$994*Assumptions!$F$60+S1046*$C$995*Assumptions!$F$61)/(S1044*$C$993+S1045*$C$994+S1046*$C$995),0.9)</f>
        <v>0.93154782742923</v>
      </c>
    </row>
    <row r="1090" customFormat="false" ht="15" hidden="false" customHeight="false" outlineLevel="0" collapsed="false">
      <c r="A1090" s="4" t="s">
        <v>577</v>
      </c>
      <c r="B1090" s="36"/>
      <c r="C1090" s="37" t="n">
        <f aca="false">IFERROR(N1078*4/N1056,0)</f>
        <v>0.118464544577468</v>
      </c>
    </row>
    <row r="1091" customFormat="false" ht="15" hidden="false" customHeight="false" outlineLevel="0" collapsed="false">
      <c r="A1091" s="4" t="s">
        <v>578</v>
      </c>
      <c r="B1091" s="36"/>
      <c r="C1091" s="60" t="n">
        <f aca="false">$C$1089/(1+Assumptions!$F$87)</f>
        <v>0.831739131633241</v>
      </c>
    </row>
    <row r="1092" customFormat="false" ht="15" hidden="false" customHeight="false" outlineLevel="0" collapsed="false">
      <c r="A1092" s="4" t="s">
        <v>579</v>
      </c>
      <c r="B1092" s="36"/>
      <c r="C1092" s="60" t="n">
        <f aca="false">Assumptions!$F$91/(1+Assumptions!$F$87)</f>
        <v>0.803571428571429</v>
      </c>
    </row>
    <row r="1093" customFormat="false" ht="15" hidden="false" customHeight="false" outlineLevel="0" collapsed="false">
      <c r="A1093" s="35" t="s">
        <v>580</v>
      </c>
      <c r="B1093" s="35" t="s">
        <v>444</v>
      </c>
      <c r="C1093" s="6" t="s">
        <v>354</v>
      </c>
      <c r="D1093" s="6" t="s">
        <v>355</v>
      </c>
      <c r="E1093" s="6" t="s">
        <v>356</v>
      </c>
      <c r="F1093" s="6" t="s">
        <v>357</v>
      </c>
      <c r="G1093" s="6" t="s">
        <v>358</v>
      </c>
      <c r="H1093" s="6" t="s">
        <v>359</v>
      </c>
      <c r="I1093" s="6" t="s">
        <v>360</v>
      </c>
      <c r="J1093" s="6" t="s">
        <v>361</v>
      </c>
      <c r="K1093" s="6" t="s">
        <v>362</v>
      </c>
      <c r="L1093" s="6" t="s">
        <v>363</v>
      </c>
      <c r="M1093" s="6" t="s">
        <v>364</v>
      </c>
      <c r="N1093" s="6" t="s">
        <v>365</v>
      </c>
      <c r="P1093" s="6" t="s">
        <v>445</v>
      </c>
      <c r="Q1093" s="6" t="s">
        <v>446</v>
      </c>
      <c r="R1093" s="6" t="s">
        <v>447</v>
      </c>
      <c r="S1093" s="6" t="s">
        <v>448</v>
      </c>
    </row>
    <row r="1094" customFormat="false" ht="15" hidden="false" customHeight="false" outlineLevel="0" collapsed="false">
      <c r="A1094" s="9" t="s">
        <v>581</v>
      </c>
      <c r="C1094" s="61" t="n">
        <f aca="false">N1056</f>
        <v>4711541.74435004</v>
      </c>
      <c r="D1094" s="61"/>
    </row>
    <row r="1095" customFormat="false" ht="15" hidden="false" customHeight="false" outlineLevel="0" collapsed="false">
      <c r="A1095" s="9" t="s">
        <v>582</v>
      </c>
      <c r="C1095" s="62" t="n">
        <f aca="false">N1052</f>
        <v>305.198786317707</v>
      </c>
      <c r="D1095" s="62"/>
    </row>
    <row r="1096" customFormat="false" ht="15" hidden="false" customHeight="false" outlineLevel="0" collapsed="false">
      <c r="A1096" s="9" t="s">
        <v>583</v>
      </c>
      <c r="C1096" s="63" t="n">
        <f aca="false">S1047</f>
        <v>329.144143209313</v>
      </c>
      <c r="D1096" s="63"/>
    </row>
    <row r="1097" customFormat="false" ht="15" hidden="false" customHeight="false" outlineLevel="0" collapsed="false">
      <c r="A1097" s="9" t="s">
        <v>584</v>
      </c>
      <c r="C1097" s="61" t="n">
        <f aca="false">S1058</f>
        <v>4528247.43682217</v>
      </c>
      <c r="D1097" s="61"/>
    </row>
    <row r="1098" customFormat="false" ht="15" hidden="false" customHeight="false" outlineLevel="0" collapsed="false">
      <c r="A1098" s="9" t="s">
        <v>22</v>
      </c>
      <c r="C1098" s="61" t="n">
        <f aca="false">IFERROR(S1057/S1047,0)</f>
        <v>12322.6599394515</v>
      </c>
      <c r="D1098" s="61"/>
    </row>
    <row r="1099" customFormat="false" ht="15" hidden="false" customHeight="false" outlineLevel="0" collapsed="false">
      <c r="A1099" s="9" t="s">
        <v>585</v>
      </c>
      <c r="C1099" s="61" t="n">
        <f aca="false">IFERROR(S1075/S1047,0)</f>
        <v>22265.2681546165</v>
      </c>
      <c r="D1099" s="61"/>
    </row>
    <row r="1100" customFormat="false" ht="23.85" hidden="false" customHeight="false" outlineLevel="0" collapsed="false">
      <c r="A1100" s="9" t="s">
        <v>586</v>
      </c>
      <c r="C1100" s="61" t="n">
        <f aca="false">IFERROR((S1069+S1071+S1072+S1073+S1074)/S1047,0)</f>
        <v>4765.96587026744</v>
      </c>
      <c r="D1100" s="61"/>
    </row>
    <row r="1101" customFormat="false" ht="15" hidden="false" customHeight="false" outlineLevel="0" collapsed="false">
      <c r="A1101" s="9" t="s">
        <v>587</v>
      </c>
      <c r="C1101" s="64" t="n">
        <f aca="false">IFERROR('Engine Runs'!$C$1099/('Engine Runs'!$C$1098*Assumptions!$F$76/12),0)</f>
        <v>30.114261401379</v>
      </c>
      <c r="D1101" s="64"/>
    </row>
    <row r="1102" customFormat="false" ht="15" hidden="false" customHeight="false" outlineLevel="0" collapsed="false">
      <c r="A1102" s="9" t="s">
        <v>588</v>
      </c>
      <c r="C1102" s="64" t="n">
        <f aca="false">IFERROR((R1075/R1047)/((R1057/R1047)*Assumptions!$F$76/12),0)</f>
        <v>22.9275291609579</v>
      </c>
      <c r="D1102" s="64"/>
    </row>
    <row r="1103" customFormat="false" ht="15" hidden="false" customHeight="false" outlineLevel="0" collapsed="false">
      <c r="A1103" s="9" t="s">
        <v>589</v>
      </c>
      <c r="C1103" s="61" t="n">
        <f aca="false">S1079</f>
        <v>8689214.64023409</v>
      </c>
      <c r="D1103" s="61"/>
    </row>
    <row r="1104" customFormat="false" ht="15" hidden="false" customHeight="false" outlineLevel="0" collapsed="false">
      <c r="A1104" s="9" t="s">
        <v>590</v>
      </c>
      <c r="C1104" s="61" t="n">
        <f aca="false">N1082</f>
        <v>-5428876.48572213</v>
      </c>
      <c r="D1104" s="61"/>
    </row>
    <row r="1105" customFormat="false" ht="15" hidden="false" customHeight="false" outlineLevel="0" collapsed="false">
      <c r="A1105" s="9" t="s">
        <v>591</v>
      </c>
      <c r="C1105" s="61" t="n">
        <f aca="false">MIN($C$1082:$N$1082)</f>
        <v>-5428876.48572213</v>
      </c>
      <c r="D1105" s="61"/>
    </row>
    <row r="1106" customFormat="false" ht="15" hidden="false" customHeight="false" outlineLevel="0" collapsed="false">
      <c r="A1106" s="9" t="s">
        <v>592</v>
      </c>
      <c r="C1106" s="61" t="n">
        <f aca="false">N1056*(Assumptions!$F$76-$C$1090)*$C$1089*(1-$C$1089^Assumptions!$F$85)/(1-$C$1089)</f>
        <v>11513065.3249742</v>
      </c>
      <c r="D1106" s="61"/>
    </row>
    <row r="1107" customFormat="false" ht="15" hidden="false" customHeight="false" outlineLevel="0" collapsed="false">
      <c r="A1107" s="9" t="s">
        <v>593</v>
      </c>
      <c r="C1107" s="61" t="n">
        <f aca="false">N1056*(Assumptions!$F$76-$C$1090)*(1-Assumptions!$F$88)/(1+Assumptions!$F$87)^2.5*$C$1091*(1-$C$1091^Assumptions!$F$85)/(1-$C$1091)</f>
        <v>5717253.47127948</v>
      </c>
      <c r="D1107" s="61"/>
    </row>
    <row r="1108" customFormat="false" ht="15" hidden="false" customHeight="false" outlineLevel="0" collapsed="false">
      <c r="A1108" s="9" t="s">
        <v>594</v>
      </c>
      <c r="C1108" s="61" t="n">
        <f aca="false">SUM($C$1084:$N$1084)+'Engine Runs'!$C$1107</f>
        <v>821457.727301354</v>
      </c>
      <c r="D1108" s="61"/>
    </row>
    <row r="1109" customFormat="false" ht="15" hidden="false" customHeight="false" outlineLevel="0" collapsed="false">
      <c r="A1109" s="9" t="s">
        <v>595</v>
      </c>
      <c r="C1109" s="61" t="n">
        <f aca="false">SUM($C$1088:$N$1088)+N1086*(Assumptions!$F$76-Assumptions!$F$93)/(1+Assumptions!$F$87)^2.5*$C$1092*(1-$C$1092^Assumptions!$F$85)/(1-$C$1092)</f>
        <v>4014084.68186211</v>
      </c>
      <c r="D1109" s="61"/>
    </row>
    <row r="1110" customFormat="false" ht="15" hidden="false" customHeight="false" outlineLevel="0" collapsed="false">
      <c r="A1110" s="9" t="s">
        <v>596</v>
      </c>
      <c r="C1110" s="61" t="n">
        <f aca="false">'Engine Runs'!$C$1108-'Engine Runs'!$C$1109</f>
        <v>-3192626.95456076</v>
      </c>
      <c r="D1110" s="61"/>
    </row>
    <row r="1111" customFormat="false" ht="15" hidden="false" customHeight="false" outlineLevel="0" collapsed="false">
      <c r="A1111" s="9" t="s">
        <v>597</v>
      </c>
      <c r="C1111" s="61" t="n">
        <f aca="false">S1043</f>
        <v>0</v>
      </c>
      <c r="D1111" s="61"/>
    </row>
    <row r="1112" customFormat="false" ht="15" hidden="false" customHeight="false" outlineLevel="0" collapsed="false">
      <c r="A1112" s="9" t="s">
        <v>598</v>
      </c>
      <c r="C1112" s="63" t="n">
        <f aca="false">P1027</f>
        <v>184.11473152979</v>
      </c>
      <c r="D1112" s="63"/>
    </row>
    <row r="1113" customFormat="false" ht="15" hidden="false" customHeight="false" outlineLevel="0" collapsed="false">
      <c r="A1113" s="9" t="s">
        <v>599</v>
      </c>
      <c r="C1113" s="63" t="n">
        <f aca="false">P1047</f>
        <v>33.3719427346414</v>
      </c>
      <c r="D1113" s="63"/>
    </row>
    <row r="1114" customFormat="false" ht="15" hidden="false" customHeight="false" outlineLevel="0" collapsed="false">
      <c r="A1114" s="9" t="s">
        <v>600</v>
      </c>
      <c r="C1114" s="63" t="n">
        <f aca="false">P1023</f>
        <v>96</v>
      </c>
      <c r="D1114" s="63"/>
    </row>
    <row r="1115" customFormat="false" ht="15" hidden="false" customHeight="false" outlineLevel="0" collapsed="false">
      <c r="A1115" s="9" t="s">
        <v>601</v>
      </c>
      <c r="C1115" s="61" t="n">
        <f aca="false">IFERROR(P1057/P1047,0)</f>
        <v>11504.3561590685</v>
      </c>
      <c r="D1115" s="61"/>
    </row>
    <row r="1118" customFormat="false" ht="15" hidden="false" customHeight="true" outlineLevel="0" collapsed="false">
      <c r="A1118" s="77" t="s">
        <v>779</v>
      </c>
      <c r="B1118" s="77"/>
      <c r="C1118" s="77"/>
      <c r="D1118" s="77"/>
      <c r="E1118" s="77"/>
      <c r="F1118" s="77"/>
      <c r="G1118" s="77"/>
      <c r="H1118" s="77"/>
      <c r="I1118" s="77"/>
      <c r="J1118" s="77"/>
      <c r="K1118" s="77"/>
      <c r="L1118" s="77"/>
      <c r="M1118" s="77"/>
      <c r="N1118" s="77"/>
    </row>
    <row r="1119" customFormat="false" ht="23.85" hidden="false" customHeight="false" outlineLevel="0" collapsed="false">
      <c r="A1119" s="35" t="s">
        <v>780</v>
      </c>
      <c r="B1119" s="35" t="s">
        <v>444</v>
      </c>
      <c r="C1119" s="6" t="s">
        <v>354</v>
      </c>
      <c r="D1119" s="6" t="s">
        <v>355</v>
      </c>
      <c r="E1119" s="6" t="s">
        <v>356</v>
      </c>
      <c r="F1119" s="6" t="s">
        <v>357</v>
      </c>
      <c r="G1119" s="6" t="s">
        <v>358</v>
      </c>
      <c r="H1119" s="6" t="s">
        <v>359</v>
      </c>
      <c r="I1119" s="6" t="s">
        <v>360</v>
      </c>
      <c r="J1119" s="6" t="s">
        <v>361</v>
      </c>
      <c r="K1119" s="6" t="s">
        <v>362</v>
      </c>
      <c r="L1119" s="6" t="s">
        <v>363</v>
      </c>
      <c r="M1119" s="6" t="s">
        <v>364</v>
      </c>
      <c r="N1119" s="6" t="s">
        <v>365</v>
      </c>
      <c r="P1119" s="6" t="s">
        <v>445</v>
      </c>
      <c r="Q1119" s="6" t="s">
        <v>446</v>
      </c>
      <c r="R1119" s="6" t="s">
        <v>447</v>
      </c>
      <c r="S1119" s="6" t="s">
        <v>448</v>
      </c>
    </row>
    <row r="1120" customFormat="false" ht="15" hidden="false" customHeight="false" outlineLevel="0" collapsed="false">
      <c r="A1120" s="4" t="s">
        <v>449</v>
      </c>
      <c r="B1120" s="36" t="s">
        <v>450</v>
      </c>
      <c r="C1120" s="34" t="n">
        <f aca="false">'Market Sizing'!$C$17*Assumptions!$D$10*Assumptions!$D$11*(1-Assumptions!$D$12)</f>
        <v>843.03944704</v>
      </c>
    </row>
    <row r="1121" customFormat="false" ht="15" hidden="false" customHeight="false" outlineLevel="0" collapsed="false">
      <c r="A1121" s="4" t="s">
        <v>451</v>
      </c>
      <c r="B1121" s="36" t="s">
        <v>450</v>
      </c>
      <c r="C1121" s="34" t="n">
        <f aca="false">'Market Sizing'!$D$17*Assumptions!$D$10*Assumptions!$D$11*(1-Assumptions!$D$12)</f>
        <v>211.19616</v>
      </c>
    </row>
    <row r="1122" customFormat="false" ht="15" hidden="false" customHeight="false" outlineLevel="0" collapsed="false">
      <c r="A1122" s="4" t="s">
        <v>452</v>
      </c>
      <c r="B1122" s="36" t="s">
        <v>450</v>
      </c>
      <c r="C1122" s="34" t="n">
        <f aca="false">'Market Sizing'!$E$17*Assumptions!$D$10*Assumptions!$D$11*(1-Assumptions!$D$12)</f>
        <v>49.53984</v>
      </c>
    </row>
    <row r="1123" customFormat="false" ht="15" hidden="false" customHeight="false" outlineLevel="0" collapsed="false">
      <c r="A1123" s="4" t="s">
        <v>453</v>
      </c>
      <c r="B1123" s="36"/>
      <c r="C1123" s="34" t="n">
        <f aca="false">$C$1120+$C$1121+$C$1122</f>
        <v>1103.77544704</v>
      </c>
    </row>
    <row r="1124" customFormat="false" ht="15" hidden="false" customHeight="false" outlineLevel="0" collapsed="false">
      <c r="A1124" s="4" t="s">
        <v>454</v>
      </c>
      <c r="B1124" s="36" t="s">
        <v>450</v>
      </c>
      <c r="C1124" s="34" t="n">
        <f aca="false">'Market Sizing'!$C$18*Assumptions!$D$10*Assumptions!$D$11*(1-Assumptions!$D$12)</f>
        <v>612.57706944</v>
      </c>
    </row>
    <row r="1125" customFormat="false" ht="15" hidden="false" customHeight="false" outlineLevel="0" collapsed="false">
      <c r="A1125" s="4" t="s">
        <v>455</v>
      </c>
      <c r="B1125" s="36" t="s">
        <v>450</v>
      </c>
      <c r="C1125" s="34" t="n">
        <f aca="false">'Market Sizing'!$D$18*Assumptions!$D$10*Assumptions!$D$11*(1-Assumptions!$D$12)</f>
        <v>142.10112</v>
      </c>
    </row>
    <row r="1126" customFormat="false" ht="15" hidden="false" customHeight="false" outlineLevel="0" collapsed="false">
      <c r="A1126" s="4" t="s">
        <v>456</v>
      </c>
      <c r="B1126" s="36" t="s">
        <v>450</v>
      </c>
      <c r="C1126" s="34" t="n">
        <f aca="false">'Market Sizing'!$E$18*Assumptions!$D$10*Assumptions!$D$11*(1-Assumptions!$D$12)</f>
        <v>24.76992</v>
      </c>
    </row>
    <row r="1127" customFormat="false" ht="15" hidden="false" customHeight="false" outlineLevel="0" collapsed="false">
      <c r="A1127" s="4" t="s">
        <v>457</v>
      </c>
      <c r="B1127" s="36"/>
      <c r="C1127" s="34" t="n">
        <f aca="false">$C$1124+$C$1125+$C$1126</f>
        <v>779.44810944</v>
      </c>
    </row>
    <row r="1128" customFormat="false" ht="15" hidden="false" customHeight="false" outlineLevel="0" collapsed="false">
      <c r="A1128" s="4" t="s">
        <v>458</v>
      </c>
      <c r="B1128" s="36" t="s">
        <v>450</v>
      </c>
      <c r="C1128" s="34" t="n">
        <f aca="false">'Market Sizing'!$C$19*Assumptions!$D$10*Assumptions!$D$11*(1-Assumptions!$D$12)</f>
        <v>2060.77303936</v>
      </c>
    </row>
    <row r="1129" customFormat="false" ht="15" hidden="false" customHeight="false" outlineLevel="0" collapsed="false">
      <c r="A1129" s="4" t="s">
        <v>459</v>
      </c>
      <c r="B1129" s="36" t="s">
        <v>450</v>
      </c>
      <c r="C1129" s="34" t="n">
        <f aca="false">'Market Sizing'!$D$19*Assumptions!$D$10*Assumptions!$D$11*(1-Assumptions!$D$12)</f>
        <v>428.47616</v>
      </c>
    </row>
    <row r="1130" customFormat="false" ht="15" hidden="false" customHeight="false" outlineLevel="0" collapsed="false">
      <c r="A1130" s="4" t="s">
        <v>460</v>
      </c>
      <c r="B1130" s="36" t="s">
        <v>450</v>
      </c>
      <c r="C1130" s="34" t="n">
        <f aca="false">'Market Sizing'!$E$19*Assumptions!$D$10*Assumptions!$D$11*(1-Assumptions!$D$12)</f>
        <v>79.52448</v>
      </c>
    </row>
    <row r="1131" customFormat="false" ht="15" hidden="false" customHeight="false" outlineLevel="0" collapsed="false">
      <c r="A1131" s="4" t="s">
        <v>461</v>
      </c>
      <c r="B1131" s="36"/>
      <c r="C1131" s="34" t="n">
        <f aca="false">$C$1128+$C$1129+$C$1130</f>
        <v>2568.77367936</v>
      </c>
    </row>
    <row r="1132" customFormat="false" ht="15" hidden="false" customHeight="false" outlineLevel="0" collapsed="false">
      <c r="A1132" s="4" t="s">
        <v>462</v>
      </c>
      <c r="B1132" s="36" t="s">
        <v>463</v>
      </c>
      <c r="C1132" s="33" t="n">
        <f aca="false">MAX((Assumptions!$D$51+Assumptions!$D$53)*12,(((('Market Sizing'!$E$25*Assumptions!$D$41*Assumptions!$D$42*Assumptions!$D$43)*Assumptions!$D$44)*Assumptions!$D$45*Assumptions!$D$46+('Market Sizing'!$E$25*Assumptions!$D$41*Assumptions!$D$42*Assumptions!$D$43)*Assumptions!$D$47+('Market Sizing'!$E$25*Assumptions!$D$41*Assumptions!$D$42*Assumptions!$D$43)*Assumptions!$D$48*Assumptions!$D$49)*(Assumptions!$D$51*12/Assumptions!$D$52)+((('Market Sizing'!$E$25*Assumptions!$D$41*Assumptions!$D$42*Assumptions!$D$43)*Assumptions!$D$44)*Assumptions!$D$45+('Market Sizing'!$E$25*Assumptions!$D$41*Assumptions!$D$42*Assumptions!$D$43)+('Market Sizing'!$E$25*Assumptions!$D$41*Assumptions!$D$42*Assumptions!$D$43)*Assumptions!$D$48)*Assumptions!$D$50*(Assumptions!$D$53*12/Assumptions!$D$54)))</f>
        <v>5352</v>
      </c>
    </row>
    <row r="1133" customFormat="false" ht="15" hidden="false" customHeight="false" outlineLevel="0" collapsed="false">
      <c r="A1133" s="4" t="s">
        <v>464</v>
      </c>
      <c r="B1133" s="36" t="s">
        <v>463</v>
      </c>
      <c r="C1133" s="33" t="n">
        <f aca="false">MAX((Assumptions!$D$51+Assumptions!$D$53)*12,(((('Market Sizing'!$E$26*Assumptions!$D$41*Assumptions!$D$42*Assumptions!$D$43)*Assumptions!$D$44)*Assumptions!$D$45*Assumptions!$D$46+('Market Sizing'!$E$26*Assumptions!$D$41*Assumptions!$D$42*Assumptions!$D$43)*Assumptions!$D$47+('Market Sizing'!$E$26*Assumptions!$D$41*Assumptions!$D$42*Assumptions!$D$43)*Assumptions!$D$48*Assumptions!$D$49)*(Assumptions!$D$51*12/Assumptions!$D$52)+((('Market Sizing'!$E$26*Assumptions!$D$41*Assumptions!$D$42*Assumptions!$D$43)*Assumptions!$D$44)*Assumptions!$D$45+('Market Sizing'!$E$26*Assumptions!$D$41*Assumptions!$D$42*Assumptions!$D$43)+('Market Sizing'!$E$26*Assumptions!$D$41*Assumptions!$D$42*Assumptions!$D$43)*Assumptions!$D$48)*Assumptions!$D$50*(Assumptions!$D$53*12/Assumptions!$D$54)))</f>
        <v>7325.04009656406</v>
      </c>
    </row>
    <row r="1134" customFormat="false" ht="15" hidden="false" customHeight="false" outlineLevel="0" collapsed="false">
      <c r="A1134" s="4" t="s">
        <v>465</v>
      </c>
      <c r="B1134" s="36" t="s">
        <v>463</v>
      </c>
      <c r="C1134" s="33" t="n">
        <f aca="false">MAX(Assumptions!$D$55*(Assumptions!$D$51*12/Assumptions!$D$52)+Assumptions!$D$56*(Assumptions!$D$53*12/Assumptions!$D$54),(((('Market Sizing'!$E$27*Assumptions!$D$41*Assumptions!$D$42*Assumptions!$D$43)*Assumptions!$D$44)*Assumptions!$D$45*Assumptions!$D$46+('Market Sizing'!$E$27*Assumptions!$D$41*Assumptions!$D$42*Assumptions!$D$43)*Assumptions!$D$47+('Market Sizing'!$E$27*Assumptions!$D$41*Assumptions!$D$42*Assumptions!$D$43)*Assumptions!$D$48*Assumptions!$D$49)*(Assumptions!$D$51*12/Assumptions!$D$52)+((('Market Sizing'!$E$27*Assumptions!$D$41*Assumptions!$D$42*Assumptions!$D$43)*Assumptions!$D$44)*Assumptions!$D$45+('Market Sizing'!$E$27*Assumptions!$D$41*Assumptions!$D$42*Assumptions!$D$43)+('Market Sizing'!$E$27*Assumptions!$D$41*Assumptions!$D$42*Assumptions!$D$43)*Assumptions!$D$48)*Assumptions!$D$50*(Assumptions!$D$53*12/Assumptions!$D$54)))*(1-Assumptions!$D$57)</f>
        <v>46333.6921645789</v>
      </c>
    </row>
    <row r="1135" customFormat="false" ht="23.85" hidden="false" customHeight="false" outlineLevel="0" collapsed="false">
      <c r="A1135" s="4" t="s">
        <v>466</v>
      </c>
      <c r="B1135" s="36" t="s">
        <v>467</v>
      </c>
      <c r="C1135" s="37" t="n">
        <f aca="false">Assumptions!$D$17*Assumptions!$F$106</f>
        <v>0.15</v>
      </c>
    </row>
    <row r="1136" customFormat="false" ht="23.85" hidden="false" customHeight="false" outlineLevel="0" collapsed="false">
      <c r="A1136" s="4" t="s">
        <v>468</v>
      </c>
      <c r="B1136" s="36" t="s">
        <v>469</v>
      </c>
      <c r="C1136" s="33" t="n">
        <f aca="false">Assumptions!$D$68/Assumptions!$D$69</f>
        <v>285714.285714286</v>
      </c>
    </row>
    <row r="1137" customFormat="false" ht="23.85" hidden="false" customHeight="false" outlineLevel="0" collapsed="false">
      <c r="A1137" s="4" t="s">
        <v>470</v>
      </c>
      <c r="B1137" s="36" t="s">
        <v>471</v>
      </c>
      <c r="C1137" s="33" t="n">
        <f aca="false">Assumptions!$D$66*Assumptions!$D$67/4</f>
        <v>120312.5</v>
      </c>
    </row>
    <row r="1138" customFormat="false" ht="15" hidden="false" customHeight="false" outlineLevel="0" collapsed="false">
      <c r="A1138" s="4" t="s">
        <v>472</v>
      </c>
      <c r="B1138" s="36"/>
      <c r="C1138" s="38" t="n">
        <f aca="false">$C$1136/Assumptions!$D$66/Assumptions!$D$67</f>
        <v>0.593692022263451</v>
      </c>
    </row>
    <row r="1139" customFormat="false" ht="15" hidden="false" customHeight="false" outlineLevel="0" collapsed="false">
      <c r="A1139" s="4" t="s">
        <v>473</v>
      </c>
      <c r="B1139" s="36"/>
      <c r="C1139" s="33" t="n">
        <f aca="false">MAX(0,Assumptions!$F$103-Assumptions!$D$78)</f>
        <v>0</v>
      </c>
    </row>
    <row r="1140" customFormat="false" ht="15" hidden="false" customHeight="false" outlineLevel="0" collapsed="false">
      <c r="A1140" s="35" t="s">
        <v>474</v>
      </c>
      <c r="B1140" s="35" t="s">
        <v>444</v>
      </c>
      <c r="C1140" s="6" t="s">
        <v>354</v>
      </c>
      <c r="D1140" s="6" t="s">
        <v>355</v>
      </c>
      <c r="E1140" s="6" t="s">
        <v>356</v>
      </c>
      <c r="F1140" s="6" t="s">
        <v>357</v>
      </c>
      <c r="G1140" s="6" t="s">
        <v>358</v>
      </c>
      <c r="H1140" s="6" t="s">
        <v>359</v>
      </c>
      <c r="I1140" s="6" t="s">
        <v>360</v>
      </c>
      <c r="J1140" s="6" t="s">
        <v>361</v>
      </c>
      <c r="K1140" s="6" t="s">
        <v>362</v>
      </c>
      <c r="L1140" s="6" t="s">
        <v>363</v>
      </c>
      <c r="M1140" s="6" t="s">
        <v>364</v>
      </c>
      <c r="N1140" s="6" t="s">
        <v>365</v>
      </c>
      <c r="P1140" s="6" t="s">
        <v>445</v>
      </c>
      <c r="Q1140" s="6" t="s">
        <v>446</v>
      </c>
      <c r="R1140" s="6" t="s">
        <v>447</v>
      </c>
      <c r="S1140" s="6" t="s">
        <v>448</v>
      </c>
    </row>
    <row r="1141" customFormat="false" ht="15" hidden="false" customHeight="false" outlineLevel="0" collapsed="false">
      <c r="A1141" s="4" t="s">
        <v>475</v>
      </c>
      <c r="B1141" s="36" t="s">
        <v>133</v>
      </c>
      <c r="C1141" s="39" t="n">
        <v>1</v>
      </c>
      <c r="D1141" s="39" t="n">
        <v>2</v>
      </c>
      <c r="E1141" s="39" t="n">
        <v>3</v>
      </c>
      <c r="F1141" s="39" t="n">
        <v>4</v>
      </c>
      <c r="G1141" s="39" t="n">
        <v>5</v>
      </c>
      <c r="H1141" s="39" t="n">
        <v>6</v>
      </c>
      <c r="I1141" s="39" t="n">
        <v>7</v>
      </c>
      <c r="J1141" s="39" t="n">
        <v>8</v>
      </c>
      <c r="K1141" s="39" t="n">
        <v>9</v>
      </c>
      <c r="L1141" s="39" t="n">
        <v>10</v>
      </c>
      <c r="M1141" s="39" t="n">
        <v>11</v>
      </c>
      <c r="N1141" s="39" t="n">
        <v>12</v>
      </c>
      <c r="P1141" s="40"/>
      <c r="Q1141" s="40"/>
      <c r="R1141" s="40"/>
      <c r="S1141" s="41"/>
    </row>
    <row r="1142" customFormat="false" ht="15" hidden="false" customHeight="false" outlineLevel="0" collapsed="false">
      <c r="A1142" s="4" t="s">
        <v>476</v>
      </c>
      <c r="B1142" s="36" t="s">
        <v>343</v>
      </c>
      <c r="C1142" s="39" t="n">
        <f aca="false">IF(C1141&lt;=Assumptions!$D$84,1,0)</f>
        <v>1</v>
      </c>
      <c r="D1142" s="39" t="n">
        <f aca="false">IF(D1141&lt;=Assumptions!$D$84,1,0)</f>
        <v>1</v>
      </c>
      <c r="E1142" s="39" t="n">
        <f aca="false">IF(E1141&lt;=Assumptions!$D$84,1,0)</f>
        <v>1</v>
      </c>
      <c r="F1142" s="39" t="n">
        <f aca="false">IF(F1141&lt;=Assumptions!$D$84,1,0)</f>
        <v>1</v>
      </c>
      <c r="G1142" s="39" t="n">
        <f aca="false">IF(G1141&lt;=Assumptions!$D$84,1,0)</f>
        <v>1</v>
      </c>
      <c r="H1142" s="39" t="n">
        <f aca="false">IF(H1141&lt;=Assumptions!$D$84,1,0)</f>
        <v>1</v>
      </c>
      <c r="I1142" s="39" t="n">
        <f aca="false">IF(I1141&lt;=Assumptions!$D$84,1,0)</f>
        <v>1</v>
      </c>
      <c r="J1142" s="39" t="n">
        <f aca="false">IF(J1141&lt;=Assumptions!$D$84,1,0)</f>
        <v>1</v>
      </c>
      <c r="K1142" s="39" t="n">
        <f aca="false">IF(K1141&lt;=Assumptions!$D$84,1,0)</f>
        <v>1</v>
      </c>
      <c r="L1142" s="39" t="n">
        <f aca="false">IF(L1141&lt;=Assumptions!$D$84,1,0)</f>
        <v>1</v>
      </c>
      <c r="M1142" s="39" t="n">
        <f aca="false">IF(M1141&lt;=Assumptions!$D$84,1,0)</f>
        <v>1</v>
      </c>
      <c r="N1142" s="39" t="n">
        <f aca="false">IF(N1141&lt;=Assumptions!$D$84,1,0)</f>
        <v>1</v>
      </c>
      <c r="P1142" s="40"/>
      <c r="Q1142" s="40"/>
      <c r="R1142" s="40"/>
      <c r="S1142" s="41"/>
    </row>
    <row r="1143" customFormat="false" ht="15" hidden="false" customHeight="false" outlineLevel="0" collapsed="false">
      <c r="A1143" s="4" t="s">
        <v>477</v>
      </c>
      <c r="B1143" s="36" t="s">
        <v>478</v>
      </c>
      <c r="C1143" s="42" t="n">
        <f aca="false">IF(C1141=Assumptions!$D$13,0.5,IF(C1141&gt;Assumptions!$D$13,1,0))</f>
        <v>0.5</v>
      </c>
      <c r="D1143" s="42" t="n">
        <f aca="false">IF(D1141=Assumptions!$D$13,0.5,IF(D1141&gt;Assumptions!$D$13,1,0))</f>
        <v>1</v>
      </c>
      <c r="E1143" s="42" t="n">
        <f aca="false">IF(E1141=Assumptions!$D$13,0.5,IF(E1141&gt;Assumptions!$D$13,1,0))</f>
        <v>1</v>
      </c>
      <c r="F1143" s="42" t="n">
        <f aca="false">IF(F1141=Assumptions!$D$13,0.5,IF(F1141&gt;Assumptions!$D$13,1,0))</f>
        <v>1</v>
      </c>
      <c r="G1143" s="42" t="n">
        <f aca="false">IF(G1141=Assumptions!$D$13,0.5,IF(G1141&gt;Assumptions!$D$13,1,0))</f>
        <v>1</v>
      </c>
      <c r="H1143" s="42" t="n">
        <f aca="false">IF(H1141=Assumptions!$D$13,0.5,IF(H1141&gt;Assumptions!$D$13,1,0))</f>
        <v>1</v>
      </c>
      <c r="I1143" s="42" t="n">
        <f aca="false">IF(I1141=Assumptions!$D$13,0.5,IF(I1141&gt;Assumptions!$D$13,1,0))</f>
        <v>1</v>
      </c>
      <c r="J1143" s="42" t="n">
        <f aca="false">IF(J1141=Assumptions!$D$13,0.5,IF(J1141&gt;Assumptions!$D$13,1,0))</f>
        <v>1</v>
      </c>
      <c r="K1143" s="42" t="n">
        <f aca="false">IF(K1141=Assumptions!$D$13,0.5,IF(K1141&gt;Assumptions!$D$13,1,0))</f>
        <v>1</v>
      </c>
      <c r="L1143" s="42" t="n">
        <f aca="false">IF(L1141=Assumptions!$D$13,0.5,IF(L1141&gt;Assumptions!$D$13,1,0))</f>
        <v>1</v>
      </c>
      <c r="M1143" s="42" t="n">
        <f aca="false">IF(M1141=Assumptions!$D$13,0.5,IF(M1141&gt;Assumptions!$D$13,1,0))</f>
        <v>1</v>
      </c>
      <c r="N1143" s="42" t="n">
        <f aca="false">IF(N1141=Assumptions!$D$13,0.5,IF(N1141&gt;Assumptions!$D$13,1,0))</f>
        <v>1</v>
      </c>
      <c r="P1143" s="43"/>
      <c r="Q1143" s="43"/>
      <c r="R1143" s="43"/>
      <c r="S1143" s="44"/>
    </row>
    <row r="1144" customFormat="false" ht="15" hidden="false" customHeight="false" outlineLevel="0" collapsed="false">
      <c r="A1144" s="4" t="s">
        <v>479</v>
      </c>
      <c r="B1144" s="36" t="s">
        <v>478</v>
      </c>
      <c r="C1144" s="42" t="n">
        <f aca="false">IF(C1141=Assumptions!$D$14,0.5,IF(C1141&gt;Assumptions!$D$14,1,0))</f>
        <v>0</v>
      </c>
      <c r="D1144" s="42" t="n">
        <f aca="false">IF(D1141=Assumptions!$D$14,0.5,IF(D1141&gt;Assumptions!$D$14,1,0))</f>
        <v>0</v>
      </c>
      <c r="E1144" s="42" t="n">
        <f aca="false">IF(E1141=Assumptions!$D$14,0.5,IF(E1141&gt;Assumptions!$D$14,1,0))</f>
        <v>0</v>
      </c>
      <c r="F1144" s="42" t="n">
        <f aca="false">IF(F1141=Assumptions!$D$14,0.5,IF(F1141&gt;Assumptions!$D$14,1,0))</f>
        <v>0</v>
      </c>
      <c r="G1144" s="42" t="n">
        <f aca="false">IF(G1141=Assumptions!$D$14,0.5,IF(G1141&gt;Assumptions!$D$14,1,0))</f>
        <v>0</v>
      </c>
      <c r="H1144" s="42" t="n">
        <f aca="false">IF(H1141=Assumptions!$D$14,0.5,IF(H1141&gt;Assumptions!$D$14,1,0))</f>
        <v>0</v>
      </c>
      <c r="I1144" s="42" t="n">
        <f aca="false">IF(I1141=Assumptions!$D$14,0.5,IF(I1141&gt;Assumptions!$D$14,1,0))</f>
        <v>0.5</v>
      </c>
      <c r="J1144" s="42" t="n">
        <f aca="false">IF(J1141=Assumptions!$D$14,0.5,IF(J1141&gt;Assumptions!$D$14,1,0))</f>
        <v>1</v>
      </c>
      <c r="K1144" s="42" t="n">
        <f aca="false">IF(K1141=Assumptions!$D$14,0.5,IF(K1141&gt;Assumptions!$D$14,1,0))</f>
        <v>1</v>
      </c>
      <c r="L1144" s="42" t="n">
        <f aca="false">IF(L1141=Assumptions!$D$14,0.5,IF(L1141&gt;Assumptions!$D$14,1,0))</f>
        <v>1</v>
      </c>
      <c r="M1144" s="42" t="n">
        <f aca="false">IF(M1141=Assumptions!$D$14,0.5,IF(M1141&gt;Assumptions!$D$14,1,0))</f>
        <v>1</v>
      </c>
      <c r="N1144" s="42" t="n">
        <f aca="false">IF(N1141=Assumptions!$D$14,0.5,IF(N1141&gt;Assumptions!$D$14,1,0))</f>
        <v>1</v>
      </c>
      <c r="P1144" s="43"/>
      <c r="Q1144" s="43"/>
      <c r="R1144" s="43"/>
      <c r="S1144" s="44"/>
    </row>
    <row r="1145" customFormat="false" ht="15" hidden="false" customHeight="false" outlineLevel="0" collapsed="false">
      <c r="A1145" s="4" t="s">
        <v>480</v>
      </c>
      <c r="B1145" s="36" t="s">
        <v>478</v>
      </c>
      <c r="C1145" s="42" t="n">
        <f aca="false">IF(C1141=Assumptions!$D$15,0.5,IF(C1141&gt;Assumptions!$D$15,1,0))</f>
        <v>0</v>
      </c>
      <c r="D1145" s="42" t="n">
        <f aca="false">IF(D1141=Assumptions!$D$15,0.5,IF(D1141&gt;Assumptions!$D$15,1,0))</f>
        <v>0</v>
      </c>
      <c r="E1145" s="42" t="n">
        <f aca="false">IF(E1141=Assumptions!$D$15,0.5,IF(E1141&gt;Assumptions!$D$15,1,0))</f>
        <v>0</v>
      </c>
      <c r="F1145" s="42" t="n">
        <f aca="false">IF(F1141=Assumptions!$D$15,0.5,IF(F1141&gt;Assumptions!$D$15,1,0))</f>
        <v>0</v>
      </c>
      <c r="G1145" s="42" t="n">
        <f aca="false">IF(G1141=Assumptions!$D$15,0.5,IF(G1141&gt;Assumptions!$D$15,1,0))</f>
        <v>0</v>
      </c>
      <c r="H1145" s="42" t="n">
        <f aca="false">IF(H1141=Assumptions!$D$15,0.5,IF(H1141&gt;Assumptions!$D$15,1,0))</f>
        <v>0</v>
      </c>
      <c r="I1145" s="42" t="n">
        <f aca="false">IF(I1141=Assumptions!$D$15,0.5,IF(I1141&gt;Assumptions!$D$15,1,0))</f>
        <v>0</v>
      </c>
      <c r="J1145" s="42" t="n">
        <f aca="false">IF(J1141=Assumptions!$D$15,0.5,IF(J1141&gt;Assumptions!$D$15,1,0))</f>
        <v>0</v>
      </c>
      <c r="K1145" s="42" t="n">
        <f aca="false">IF(K1141=Assumptions!$D$15,0.5,IF(K1141&gt;Assumptions!$D$15,1,0))</f>
        <v>0</v>
      </c>
      <c r="L1145" s="42" t="n">
        <f aca="false">IF(L1141=Assumptions!$D$15,0.5,IF(L1141&gt;Assumptions!$D$15,1,0))</f>
        <v>0</v>
      </c>
      <c r="M1145" s="42" t="n">
        <f aca="false">IF(M1141=Assumptions!$D$15,0.5,IF(M1141&gt;Assumptions!$D$15,1,0))</f>
        <v>0</v>
      </c>
      <c r="N1145" s="42" t="n">
        <f aca="false">IF(N1141=Assumptions!$D$15,0.5,IF(N1141&gt;Assumptions!$D$15,1,0))</f>
        <v>0</v>
      </c>
      <c r="P1145" s="43"/>
      <c r="Q1145" s="43"/>
      <c r="R1145" s="43"/>
      <c r="S1145" s="44"/>
    </row>
    <row r="1146" customFormat="false" ht="15" hidden="false" customHeight="false" outlineLevel="0" collapsed="false">
      <c r="A1146" s="4" t="s">
        <v>481</v>
      </c>
      <c r="B1146" s="36" t="s">
        <v>478</v>
      </c>
      <c r="C1146" s="45" t="n">
        <f aca="false">Assumptions!$D$21^(MAX(0,C1141-Assumptions!$D$13)/4)</f>
        <v>1</v>
      </c>
      <c r="D1146" s="45" t="n">
        <f aca="false">Assumptions!$D$21^(MAX(0,D1141-Assumptions!$D$13)/4)</f>
        <v>0.880111736793393</v>
      </c>
      <c r="E1146" s="45" t="n">
        <f aca="false">Assumptions!$D$21^(MAX(0,E1141-Assumptions!$D$13)/4)</f>
        <v>0.774596669241483</v>
      </c>
      <c r="F1146" s="45" t="n">
        <f aca="false">Assumptions!$D$21^(MAX(0,F1141-Assumptions!$D$13)/4)</f>
        <v>0.6817316198805</v>
      </c>
      <c r="G1146" s="45" t="n">
        <f aca="false">Assumptions!$D$21^(MAX(0,G1141-Assumptions!$D$13)/4)</f>
        <v>0.6</v>
      </c>
      <c r="H1146" s="45" t="n">
        <f aca="false">Assumptions!$D$21^(MAX(0,H1141-Assumptions!$D$13)/4)</f>
        <v>0.528067042076036</v>
      </c>
      <c r="I1146" s="45" t="n">
        <f aca="false">Assumptions!$D$21^(MAX(0,I1141-Assumptions!$D$13)/4)</f>
        <v>0.46475800154489</v>
      </c>
      <c r="J1146" s="45" t="n">
        <f aca="false">Assumptions!$D$21^(MAX(0,J1141-Assumptions!$D$13)/4)</f>
        <v>0.4090389719283</v>
      </c>
      <c r="K1146" s="45" t="n">
        <f aca="false">Assumptions!$D$21^(MAX(0,K1141-Assumptions!$D$13)/4)</f>
        <v>0.36</v>
      </c>
      <c r="L1146" s="45" t="n">
        <f aca="false">Assumptions!$D$21^(MAX(0,L1141-Assumptions!$D$13)/4)</f>
        <v>0.316840225245622</v>
      </c>
      <c r="M1146" s="45" t="n">
        <f aca="false">Assumptions!$D$21^(MAX(0,M1141-Assumptions!$D$13)/4)</f>
        <v>0.278854800926934</v>
      </c>
      <c r="N1146" s="45" t="n">
        <f aca="false">Assumptions!$D$21^(MAX(0,N1141-Assumptions!$D$13)/4)</f>
        <v>0.24542338315698</v>
      </c>
      <c r="P1146" s="46"/>
      <c r="Q1146" s="46"/>
      <c r="R1146" s="46"/>
      <c r="S1146" s="47"/>
    </row>
    <row r="1147" customFormat="false" ht="15" hidden="false" customHeight="false" outlineLevel="0" collapsed="false">
      <c r="A1147" s="4" t="s">
        <v>482</v>
      </c>
      <c r="B1147" s="36" t="s">
        <v>478</v>
      </c>
      <c r="C1147" s="45" t="n">
        <f aca="false">Assumptions!$D$21^(MAX(0,C1141-Assumptions!$D$14)/4)</f>
        <v>1</v>
      </c>
      <c r="D1147" s="45" t="n">
        <f aca="false">Assumptions!$D$21^(MAX(0,D1141-Assumptions!$D$14)/4)</f>
        <v>1</v>
      </c>
      <c r="E1147" s="45" t="n">
        <f aca="false">Assumptions!$D$21^(MAX(0,E1141-Assumptions!$D$14)/4)</f>
        <v>1</v>
      </c>
      <c r="F1147" s="45" t="n">
        <f aca="false">Assumptions!$D$21^(MAX(0,F1141-Assumptions!$D$14)/4)</f>
        <v>1</v>
      </c>
      <c r="G1147" s="45" t="n">
        <f aca="false">Assumptions!$D$21^(MAX(0,G1141-Assumptions!$D$14)/4)</f>
        <v>1</v>
      </c>
      <c r="H1147" s="45" t="n">
        <f aca="false">Assumptions!$D$21^(MAX(0,H1141-Assumptions!$D$14)/4)</f>
        <v>1</v>
      </c>
      <c r="I1147" s="45" t="n">
        <f aca="false">Assumptions!$D$21^(MAX(0,I1141-Assumptions!$D$14)/4)</f>
        <v>1</v>
      </c>
      <c r="J1147" s="45" t="n">
        <f aca="false">Assumptions!$D$21^(MAX(0,J1141-Assumptions!$D$14)/4)</f>
        <v>0.880111736793393</v>
      </c>
      <c r="K1147" s="45" t="n">
        <f aca="false">Assumptions!$D$21^(MAX(0,K1141-Assumptions!$D$14)/4)</f>
        <v>0.774596669241483</v>
      </c>
      <c r="L1147" s="45" t="n">
        <f aca="false">Assumptions!$D$21^(MAX(0,L1141-Assumptions!$D$14)/4)</f>
        <v>0.6817316198805</v>
      </c>
      <c r="M1147" s="45" t="n">
        <f aca="false">Assumptions!$D$21^(MAX(0,M1141-Assumptions!$D$14)/4)</f>
        <v>0.6</v>
      </c>
      <c r="N1147" s="45" t="n">
        <f aca="false">Assumptions!$D$21^(MAX(0,N1141-Assumptions!$D$14)/4)</f>
        <v>0.528067042076036</v>
      </c>
      <c r="P1147" s="46"/>
      <c r="Q1147" s="46"/>
      <c r="R1147" s="46"/>
      <c r="S1147" s="47"/>
    </row>
    <row r="1148" customFormat="false" ht="15" hidden="false" customHeight="false" outlineLevel="0" collapsed="false">
      <c r="A1148" s="4" t="s">
        <v>483</v>
      </c>
      <c r="B1148" s="36" t="s">
        <v>478</v>
      </c>
      <c r="C1148" s="45" t="n">
        <f aca="false">Assumptions!$D$21^(MAX(0,C1141-Assumptions!$D$15)/4)</f>
        <v>1</v>
      </c>
      <c r="D1148" s="45" t="n">
        <f aca="false">Assumptions!$D$21^(MAX(0,D1141-Assumptions!$D$15)/4)</f>
        <v>1</v>
      </c>
      <c r="E1148" s="45" t="n">
        <f aca="false">Assumptions!$D$21^(MAX(0,E1141-Assumptions!$D$15)/4)</f>
        <v>1</v>
      </c>
      <c r="F1148" s="45" t="n">
        <f aca="false">Assumptions!$D$21^(MAX(0,F1141-Assumptions!$D$15)/4)</f>
        <v>1</v>
      </c>
      <c r="G1148" s="45" t="n">
        <f aca="false">Assumptions!$D$21^(MAX(0,G1141-Assumptions!$D$15)/4)</f>
        <v>1</v>
      </c>
      <c r="H1148" s="45" t="n">
        <f aca="false">Assumptions!$D$21^(MAX(0,H1141-Assumptions!$D$15)/4)</f>
        <v>1</v>
      </c>
      <c r="I1148" s="45" t="n">
        <f aca="false">Assumptions!$D$21^(MAX(0,I1141-Assumptions!$D$15)/4)</f>
        <v>1</v>
      </c>
      <c r="J1148" s="45" t="n">
        <f aca="false">Assumptions!$D$21^(MAX(0,J1141-Assumptions!$D$15)/4)</f>
        <v>1</v>
      </c>
      <c r="K1148" s="45" t="n">
        <f aca="false">Assumptions!$D$21^(MAX(0,K1141-Assumptions!$D$15)/4)</f>
        <v>1</v>
      </c>
      <c r="L1148" s="45" t="n">
        <f aca="false">Assumptions!$D$21^(MAX(0,L1141-Assumptions!$D$15)/4)</f>
        <v>1</v>
      </c>
      <c r="M1148" s="45" t="n">
        <f aca="false">Assumptions!$D$21^(MAX(0,M1141-Assumptions!$D$15)/4)</f>
        <v>1</v>
      </c>
      <c r="N1148" s="45" t="n">
        <f aca="false">Assumptions!$D$21^(MAX(0,N1141-Assumptions!$D$15)/4)</f>
        <v>1</v>
      </c>
      <c r="P1148" s="46"/>
      <c r="Q1148" s="46"/>
      <c r="R1148" s="46"/>
      <c r="S1148" s="47"/>
    </row>
    <row r="1149" customFormat="false" ht="15" hidden="false" customHeight="false" outlineLevel="0" collapsed="false">
      <c r="A1149" s="4" t="s">
        <v>484</v>
      </c>
      <c r="B1149" s="36" t="s">
        <v>485</v>
      </c>
      <c r="C1149" s="39" t="n">
        <f aca="false">$C$1120*C1143+$C$1124*C1144+$C$1128*C1145</f>
        <v>421.51972352</v>
      </c>
      <c r="D1149" s="39" t="n">
        <f aca="false">$C$1120*D1143+$C$1124*D1144+$C$1128*D1145</f>
        <v>843.03944704</v>
      </c>
      <c r="E1149" s="39" t="n">
        <f aca="false">$C$1120*E1143+$C$1124*E1144+$C$1128*E1145</f>
        <v>843.03944704</v>
      </c>
      <c r="F1149" s="39" t="n">
        <f aca="false">$C$1120*F1143+$C$1124*F1144+$C$1128*F1145</f>
        <v>843.03944704</v>
      </c>
      <c r="G1149" s="39" t="n">
        <f aca="false">$C$1120*G1143+$C$1124*G1144+$C$1128*G1145</f>
        <v>843.03944704</v>
      </c>
      <c r="H1149" s="39" t="n">
        <f aca="false">$C$1120*H1143+$C$1124*H1144+$C$1128*H1145</f>
        <v>843.03944704</v>
      </c>
      <c r="I1149" s="39" t="n">
        <f aca="false">$C$1120*I1143+$C$1124*I1144+$C$1128*I1145</f>
        <v>1149.32798176</v>
      </c>
      <c r="J1149" s="39" t="n">
        <f aca="false">$C$1120*J1143+$C$1124*J1144+$C$1128*J1145</f>
        <v>1455.61651648</v>
      </c>
      <c r="K1149" s="39" t="n">
        <f aca="false">$C$1120*K1143+$C$1124*K1144+$C$1128*K1145</f>
        <v>1455.61651648</v>
      </c>
      <c r="L1149" s="39" t="n">
        <f aca="false">$C$1120*L1143+$C$1124*L1144+$C$1128*L1145</f>
        <v>1455.61651648</v>
      </c>
      <c r="M1149" s="39" t="n">
        <f aca="false">$C$1120*M1143+$C$1124*M1144+$C$1128*M1145</f>
        <v>1455.61651648</v>
      </c>
      <c r="N1149" s="39" t="n">
        <f aca="false">$C$1120*N1143+$C$1124*N1144+$C$1128*N1145</f>
        <v>1455.61651648</v>
      </c>
      <c r="P1149" s="40" t="n">
        <f aca="false">F1149</f>
        <v>843.03944704</v>
      </c>
      <c r="Q1149" s="40" t="n">
        <f aca="false">J1149</f>
        <v>1455.61651648</v>
      </c>
      <c r="R1149" s="40" t="n">
        <f aca="false">N1149</f>
        <v>1455.61651648</v>
      </c>
      <c r="S1149" s="41" t="n">
        <f aca="false">R1149</f>
        <v>1455.61651648</v>
      </c>
    </row>
    <row r="1150" customFormat="false" ht="15" hidden="false" customHeight="false" outlineLevel="0" collapsed="false">
      <c r="A1150" s="4" t="s">
        <v>486</v>
      </c>
      <c r="B1150" s="36" t="s">
        <v>485</v>
      </c>
      <c r="C1150" s="39" t="n">
        <f aca="false">$C$1121*C1143+$C$1125*C1144+$C$1129*C1145</f>
        <v>105.59808</v>
      </c>
      <c r="D1150" s="39" t="n">
        <f aca="false">$C$1121*D1143+$C$1125*D1144+$C$1129*D1145</f>
        <v>211.19616</v>
      </c>
      <c r="E1150" s="39" t="n">
        <f aca="false">$C$1121*E1143+$C$1125*E1144+$C$1129*E1145</f>
        <v>211.19616</v>
      </c>
      <c r="F1150" s="39" t="n">
        <f aca="false">$C$1121*F1143+$C$1125*F1144+$C$1129*F1145</f>
        <v>211.19616</v>
      </c>
      <c r="G1150" s="39" t="n">
        <f aca="false">$C$1121*G1143+$C$1125*G1144+$C$1129*G1145</f>
        <v>211.19616</v>
      </c>
      <c r="H1150" s="39" t="n">
        <f aca="false">$C$1121*H1143+$C$1125*H1144+$C$1129*H1145</f>
        <v>211.19616</v>
      </c>
      <c r="I1150" s="39" t="n">
        <f aca="false">$C$1121*I1143+$C$1125*I1144+$C$1129*I1145</f>
        <v>282.24672</v>
      </c>
      <c r="J1150" s="39" t="n">
        <f aca="false">$C$1121*J1143+$C$1125*J1144+$C$1129*J1145</f>
        <v>353.29728</v>
      </c>
      <c r="K1150" s="39" t="n">
        <f aca="false">$C$1121*K1143+$C$1125*K1144+$C$1129*K1145</f>
        <v>353.29728</v>
      </c>
      <c r="L1150" s="39" t="n">
        <f aca="false">$C$1121*L1143+$C$1125*L1144+$C$1129*L1145</f>
        <v>353.29728</v>
      </c>
      <c r="M1150" s="39" t="n">
        <f aca="false">$C$1121*M1143+$C$1125*M1144+$C$1129*M1145</f>
        <v>353.29728</v>
      </c>
      <c r="N1150" s="39" t="n">
        <f aca="false">$C$1121*N1143+$C$1125*N1144+$C$1129*N1145</f>
        <v>353.29728</v>
      </c>
      <c r="P1150" s="40" t="n">
        <f aca="false">F1150</f>
        <v>211.19616</v>
      </c>
      <c r="Q1150" s="40" t="n">
        <f aca="false">J1150</f>
        <v>353.29728</v>
      </c>
      <c r="R1150" s="40" t="n">
        <f aca="false">N1150</f>
        <v>353.29728</v>
      </c>
      <c r="S1150" s="41" t="n">
        <f aca="false">R1150</f>
        <v>353.29728</v>
      </c>
    </row>
    <row r="1151" customFormat="false" ht="15" hidden="false" customHeight="false" outlineLevel="0" collapsed="false">
      <c r="A1151" s="4" t="s">
        <v>487</v>
      </c>
      <c r="B1151" s="36" t="s">
        <v>485</v>
      </c>
      <c r="C1151" s="39" t="n">
        <f aca="false">$C$1122*C1143+$C$1126*C1144+$C$1130*C1145</f>
        <v>24.76992</v>
      </c>
      <c r="D1151" s="39" t="n">
        <f aca="false">$C$1122*D1143+$C$1126*D1144+$C$1130*D1145</f>
        <v>49.53984</v>
      </c>
      <c r="E1151" s="39" t="n">
        <f aca="false">$C$1122*E1143+$C$1126*E1144+$C$1130*E1145</f>
        <v>49.53984</v>
      </c>
      <c r="F1151" s="39" t="n">
        <f aca="false">$C$1122*F1143+$C$1126*F1144+$C$1130*F1145</f>
        <v>49.53984</v>
      </c>
      <c r="G1151" s="39" t="n">
        <f aca="false">$C$1122*G1143+$C$1126*G1144+$C$1130*G1145</f>
        <v>49.53984</v>
      </c>
      <c r="H1151" s="39" t="n">
        <f aca="false">$C$1122*H1143+$C$1126*H1144+$C$1130*H1145</f>
        <v>49.53984</v>
      </c>
      <c r="I1151" s="39" t="n">
        <f aca="false">$C$1122*I1143+$C$1126*I1144+$C$1130*I1145</f>
        <v>61.9248</v>
      </c>
      <c r="J1151" s="39" t="n">
        <f aca="false">$C$1122*J1143+$C$1126*J1144+$C$1130*J1145</f>
        <v>74.30976</v>
      </c>
      <c r="K1151" s="39" t="n">
        <f aca="false">$C$1122*K1143+$C$1126*K1144+$C$1130*K1145</f>
        <v>74.30976</v>
      </c>
      <c r="L1151" s="39" t="n">
        <f aca="false">$C$1122*L1143+$C$1126*L1144+$C$1130*L1145</f>
        <v>74.30976</v>
      </c>
      <c r="M1151" s="39" t="n">
        <f aca="false">$C$1122*M1143+$C$1126*M1144+$C$1130*M1145</f>
        <v>74.30976</v>
      </c>
      <c r="N1151" s="39" t="n">
        <f aca="false">$C$1122*N1143+$C$1126*N1144+$C$1130*N1145</f>
        <v>74.30976</v>
      </c>
      <c r="P1151" s="40" t="n">
        <f aca="false">F1151</f>
        <v>49.53984</v>
      </c>
      <c r="Q1151" s="40" t="n">
        <f aca="false">J1151</f>
        <v>74.30976</v>
      </c>
      <c r="R1151" s="40" t="n">
        <f aca="false">N1151</f>
        <v>74.30976</v>
      </c>
      <c r="S1151" s="41" t="n">
        <f aca="false">R1151</f>
        <v>74.30976</v>
      </c>
    </row>
    <row r="1152" customFormat="false" ht="15" hidden="false" customHeight="false" outlineLevel="0" collapsed="false">
      <c r="A1152" s="4" t="s">
        <v>488</v>
      </c>
      <c r="B1152" s="36" t="s">
        <v>485</v>
      </c>
      <c r="C1152" s="39" t="n">
        <f aca="false">C1149+C1150+C1151</f>
        <v>551.88772352</v>
      </c>
      <c r="D1152" s="39" t="n">
        <f aca="false">D1149+D1150+D1151</f>
        <v>1103.77544704</v>
      </c>
      <c r="E1152" s="39" t="n">
        <f aca="false">E1149+E1150+E1151</f>
        <v>1103.77544704</v>
      </c>
      <c r="F1152" s="39" t="n">
        <f aca="false">F1149+F1150+F1151</f>
        <v>1103.77544704</v>
      </c>
      <c r="G1152" s="39" t="n">
        <f aca="false">G1149+G1150+G1151</f>
        <v>1103.77544704</v>
      </c>
      <c r="H1152" s="39" t="n">
        <f aca="false">H1149+H1150+H1151</f>
        <v>1103.77544704</v>
      </c>
      <c r="I1152" s="39" t="n">
        <f aca="false">I1149+I1150+I1151</f>
        <v>1493.49950176</v>
      </c>
      <c r="J1152" s="39" t="n">
        <f aca="false">J1149+J1150+J1151</f>
        <v>1883.22355648</v>
      </c>
      <c r="K1152" s="39" t="n">
        <f aca="false">K1149+K1150+K1151</f>
        <v>1883.22355648</v>
      </c>
      <c r="L1152" s="39" t="n">
        <f aca="false">L1149+L1150+L1151</f>
        <v>1883.22355648</v>
      </c>
      <c r="M1152" s="39" t="n">
        <f aca="false">M1149+M1150+M1151</f>
        <v>1883.22355648</v>
      </c>
      <c r="N1152" s="39" t="n">
        <f aca="false">N1149+N1150+N1151</f>
        <v>1883.22355648</v>
      </c>
      <c r="P1152" s="40" t="n">
        <f aca="false">F1152</f>
        <v>1103.77544704</v>
      </c>
      <c r="Q1152" s="40" t="n">
        <f aca="false">J1152</f>
        <v>1883.22355648</v>
      </c>
      <c r="R1152" s="40" t="n">
        <f aca="false">N1152</f>
        <v>1883.22355648</v>
      </c>
      <c r="S1152" s="41" t="n">
        <f aca="false">R1152</f>
        <v>1883.22355648</v>
      </c>
    </row>
    <row r="1153" customFormat="false" ht="15" hidden="false" customHeight="false" outlineLevel="0" collapsed="false">
      <c r="A1153" s="4" t="s">
        <v>489</v>
      </c>
      <c r="B1153" s="36" t="s">
        <v>485</v>
      </c>
      <c r="C1153" s="39" t="n">
        <f aca="false">$C$1123*C1143*C1146+$C$1127*C1144*C1147+$C$1131*C1145*C1148</f>
        <v>551.88772352</v>
      </c>
      <c r="D1153" s="39" t="n">
        <f aca="false">$C$1123*D1143*D1146+$C$1127*D1144*D1147+$C$1131*D1145*D1148</f>
        <v>971.445725724279</v>
      </c>
      <c r="E1153" s="39" t="n">
        <f aca="false">$C$1123*E1143*E1146+$C$1127*E1144*E1147+$C$1131*E1145*E1148</f>
        <v>854.980784867713</v>
      </c>
      <c r="F1153" s="39" t="n">
        <f aca="false">$C$1123*F1143*F1146+$C$1127*F1144*F1147+$C$1131*F1145*F1148</f>
        <v>752.478623494902</v>
      </c>
      <c r="G1153" s="39" t="n">
        <f aca="false">$C$1123*G1143*G1146+$C$1127*G1144*G1147+$C$1131*G1145*G1148</f>
        <v>662.265268224</v>
      </c>
      <c r="H1153" s="39" t="n">
        <f aca="false">$C$1123*H1143*H1146+$C$1127*H1144*H1147+$C$1131*H1145*H1148</f>
        <v>582.867435434567</v>
      </c>
      <c r="I1153" s="39" t="n">
        <f aca="false">$C$1123*I1143*I1146+$C$1127*I1144*I1147+$C$1131*I1145*I1148</f>
        <v>902.712525640628</v>
      </c>
      <c r="J1153" s="39" t="n">
        <f aca="false">$C$1123*J1143*J1146+$C$1127*J1144*J1147+$C$1131*J1145*J1148</f>
        <v>1137.48860343651</v>
      </c>
      <c r="K1153" s="39" t="n">
        <f aca="false">$C$1123*K1143*K1146+$C$1127*K1144*K1147+$C$1131*K1145*K1148</f>
        <v>1001.1170703532</v>
      </c>
      <c r="L1153" s="39" t="n">
        <f aca="false">$C$1123*L1143*L1146+$C$1127*L1144*L1147+$C$1131*L1145*L1148</f>
        <v>881.094883522065</v>
      </c>
      <c r="M1153" s="39" t="n">
        <f aca="false">$C$1123*M1143*M1146+$C$1127*M1144*M1147+$C$1131*M1145*M1148</f>
        <v>775.461948216377</v>
      </c>
      <c r="N1153" s="39" t="n">
        <f aca="false">$C$1123*N1143*N1146+$C$1127*N1144*N1147+$C$1131*N1145*N1148</f>
        <v>682.493162061904</v>
      </c>
      <c r="P1153" s="40"/>
      <c r="Q1153" s="40"/>
      <c r="R1153" s="40"/>
      <c r="S1153" s="41"/>
    </row>
    <row r="1154" customFormat="false" ht="15" hidden="false" customHeight="false" outlineLevel="0" collapsed="false">
      <c r="A1154" s="4" t="s">
        <v>490</v>
      </c>
      <c r="B1154" s="36" t="s">
        <v>491</v>
      </c>
      <c r="C1154" s="48" t="n">
        <f aca="false">$C$1135*Assumptions!$D$20*C1142*C1153</f>
        <v>1.65566317056</v>
      </c>
      <c r="D1154" s="48" t="n">
        <f aca="false">$C$1135*Assumptions!$D$20*D1142*D1153</f>
        <v>2.91433717717284</v>
      </c>
      <c r="E1154" s="48" t="n">
        <f aca="false">$C$1135*Assumptions!$D$20*E1142*E1153</f>
        <v>2.56494235460314</v>
      </c>
      <c r="F1154" s="48" t="n">
        <f aca="false">$C$1135*Assumptions!$D$20*F1142*F1153</f>
        <v>2.25743587048471</v>
      </c>
      <c r="G1154" s="48" t="n">
        <f aca="false">$C$1135*Assumptions!$D$20*G1142*G1153</f>
        <v>1.986795804672</v>
      </c>
      <c r="H1154" s="48" t="n">
        <f aca="false">$C$1135*Assumptions!$D$20*H1142*H1153</f>
        <v>1.7486023063037</v>
      </c>
      <c r="I1154" s="48" t="n">
        <f aca="false">$C$1135*Assumptions!$D$20*I1142*I1153</f>
        <v>2.70813757692188</v>
      </c>
      <c r="J1154" s="48" t="n">
        <f aca="false">$C$1135*Assumptions!$D$20*J1142*J1153</f>
        <v>3.41246581030952</v>
      </c>
      <c r="K1154" s="48" t="n">
        <f aca="false">$C$1135*Assumptions!$D$20*K1142*K1153</f>
        <v>3.00335121105959</v>
      </c>
      <c r="L1154" s="48" t="n">
        <f aca="false">$C$1135*Assumptions!$D$20*L1142*L1153</f>
        <v>2.64328465056619</v>
      </c>
      <c r="M1154" s="48" t="n">
        <f aca="false">$C$1135*Assumptions!$D$20*M1142*M1153</f>
        <v>2.32638584464913</v>
      </c>
      <c r="N1154" s="48" t="n">
        <f aca="false">$C$1135*Assumptions!$D$20*N1142*N1153</f>
        <v>2.04747948618571</v>
      </c>
      <c r="P1154" s="49" t="n">
        <f aca="false">SUM(C1154:F1154)</f>
        <v>9.39237857282068</v>
      </c>
      <c r="Q1154" s="49" t="n">
        <f aca="false">SUM(G1154:J1154)</f>
        <v>9.85600149820711</v>
      </c>
      <c r="R1154" s="49" t="n">
        <f aca="false">SUM(K1154:N1154)</f>
        <v>10.0205011924606</v>
      </c>
      <c r="S1154" s="50" t="n">
        <f aca="false">SUM(P1154:R1154)</f>
        <v>29.2688812634884</v>
      </c>
    </row>
    <row r="1155" customFormat="false" ht="15" hidden="false" customHeight="false" outlineLevel="0" collapsed="false">
      <c r="A1155" s="4" t="s">
        <v>492</v>
      </c>
      <c r="B1155" s="36" t="s">
        <v>321</v>
      </c>
      <c r="C1155" s="48" t="n">
        <f aca="false">Assumptions!$D$113</f>
        <v>0</v>
      </c>
      <c r="D1155" s="48" t="n">
        <f aca="false">Assumptions!$E$113</f>
        <v>0</v>
      </c>
      <c r="E1155" s="48" t="n">
        <f aca="false">Assumptions!$F$113</f>
        <v>0</v>
      </c>
      <c r="F1155" s="48" t="n">
        <f aca="false">Assumptions!$G$113</f>
        <v>0</v>
      </c>
      <c r="G1155" s="48" t="n">
        <f aca="false">Assumptions!$H$113</f>
        <v>0</v>
      </c>
      <c r="H1155" s="48" t="n">
        <f aca="false">Assumptions!$I$113</f>
        <v>0</v>
      </c>
      <c r="I1155" s="48" t="n">
        <f aca="false">Assumptions!$J$113</f>
        <v>0</v>
      </c>
      <c r="J1155" s="48" t="n">
        <f aca="false">Assumptions!$K$113</f>
        <v>0</v>
      </c>
      <c r="K1155" s="48" t="n">
        <f aca="false">Assumptions!$L$113</f>
        <v>0</v>
      </c>
      <c r="L1155" s="48" t="n">
        <f aca="false">Assumptions!$M$113</f>
        <v>0</v>
      </c>
      <c r="M1155" s="48" t="n">
        <f aca="false">Assumptions!$N$113</f>
        <v>0</v>
      </c>
      <c r="N1155" s="48" t="n">
        <f aca="false">Assumptions!$O$113</f>
        <v>0</v>
      </c>
      <c r="P1155" s="49" t="n">
        <f aca="false">F1155</f>
        <v>0</v>
      </c>
      <c r="Q1155" s="49" t="n">
        <f aca="false">J1155</f>
        <v>0</v>
      </c>
      <c r="R1155" s="49" t="n">
        <f aca="false">N1155</f>
        <v>0</v>
      </c>
      <c r="S1155" s="50" t="n">
        <f aca="false">R1155</f>
        <v>0</v>
      </c>
    </row>
    <row r="1156" customFormat="false" ht="15" hidden="false" customHeight="false" outlineLevel="0" collapsed="false">
      <c r="A1156" s="4" t="s">
        <v>493</v>
      </c>
      <c r="B1156" s="36" t="s">
        <v>321</v>
      </c>
      <c r="C1156" s="48" t="n">
        <f aca="false">0</f>
        <v>0</v>
      </c>
      <c r="D1156" s="48" t="n">
        <f aca="false">0.5*C1155</f>
        <v>0</v>
      </c>
      <c r="E1156" s="48" t="n">
        <f aca="false">C1155+0.5*(D1155-C1155)</f>
        <v>0</v>
      </c>
      <c r="F1156" s="48" t="n">
        <f aca="false">D1155+0.5*(E1155-D1155)</f>
        <v>0</v>
      </c>
      <c r="G1156" s="48" t="n">
        <f aca="false">E1155+0.5*(F1155-E1155)</f>
        <v>0</v>
      </c>
      <c r="H1156" s="48" t="n">
        <f aca="false">F1155+0.5*(G1155-F1155)</f>
        <v>0</v>
      </c>
      <c r="I1156" s="48" t="n">
        <f aca="false">G1155+0.5*(H1155-G1155)</f>
        <v>0</v>
      </c>
      <c r="J1156" s="48" t="n">
        <f aca="false">H1155+0.5*(I1155-H1155)</f>
        <v>0</v>
      </c>
      <c r="K1156" s="48" t="n">
        <f aca="false">I1155+0.5*(J1155-I1155)</f>
        <v>0</v>
      </c>
      <c r="L1156" s="48" t="n">
        <f aca="false">J1155+0.5*(K1155-J1155)</f>
        <v>0</v>
      </c>
      <c r="M1156" s="48" t="n">
        <f aca="false">K1155+0.5*(L1155-K1155)</f>
        <v>0</v>
      </c>
      <c r="N1156" s="48" t="n">
        <f aca="false">L1155+0.5*(M1155-L1155)</f>
        <v>0</v>
      </c>
      <c r="P1156" s="49" t="n">
        <f aca="false">F1156</f>
        <v>0</v>
      </c>
      <c r="Q1156" s="49" t="n">
        <f aca="false">J1156</f>
        <v>0</v>
      </c>
      <c r="R1156" s="49" t="n">
        <f aca="false">N1156</f>
        <v>0</v>
      </c>
      <c r="S1156" s="50" t="n">
        <f aca="false">R1156</f>
        <v>0</v>
      </c>
    </row>
    <row r="1157" customFormat="false" ht="15" hidden="false" customHeight="false" outlineLevel="0" collapsed="false">
      <c r="A1157" s="4" t="s">
        <v>494</v>
      </c>
      <c r="B1157" s="36" t="s">
        <v>485</v>
      </c>
      <c r="C1157" s="39" t="n">
        <f aca="false">MIN(C1156*Assumptions!$D$38,C1152*(1-$C$1135))</f>
        <v>0</v>
      </c>
      <c r="D1157" s="39" t="n">
        <f aca="false">MIN(D1156*Assumptions!$D$38,D1152*(1-$C$1135))</f>
        <v>0</v>
      </c>
      <c r="E1157" s="39" t="n">
        <f aca="false">MIN(E1156*Assumptions!$D$38,E1152*(1-$C$1135))</f>
        <v>0</v>
      </c>
      <c r="F1157" s="39" t="n">
        <f aca="false">MIN(F1156*Assumptions!$D$38,F1152*(1-$C$1135))</f>
        <v>0</v>
      </c>
      <c r="G1157" s="39" t="n">
        <f aca="false">MIN(G1156*Assumptions!$D$38,G1152*(1-$C$1135))</f>
        <v>0</v>
      </c>
      <c r="H1157" s="39" t="n">
        <f aca="false">MIN(H1156*Assumptions!$D$38,H1152*(1-$C$1135))</f>
        <v>0</v>
      </c>
      <c r="I1157" s="39" t="n">
        <f aca="false">MIN(I1156*Assumptions!$D$38,I1152*(1-$C$1135))</f>
        <v>0</v>
      </c>
      <c r="J1157" s="39" t="n">
        <f aca="false">MIN(J1156*Assumptions!$D$38,J1152*(1-$C$1135))</f>
        <v>0</v>
      </c>
      <c r="K1157" s="39" t="n">
        <f aca="false">MIN(K1156*Assumptions!$D$38,K1152*(1-$C$1135))</f>
        <v>0</v>
      </c>
      <c r="L1157" s="39" t="n">
        <f aca="false">MIN(L1156*Assumptions!$D$38,L1152*(1-$C$1135))</f>
        <v>0</v>
      </c>
      <c r="M1157" s="39" t="n">
        <f aca="false">MIN(M1156*Assumptions!$D$38,M1152*(1-$C$1135))</f>
        <v>0</v>
      </c>
      <c r="N1157" s="39" t="n">
        <f aca="false">MIN(N1156*Assumptions!$D$38,N1152*(1-$C$1135))</f>
        <v>0</v>
      </c>
      <c r="P1157" s="40" t="n">
        <f aca="false">SUM(C1157:F1157)</f>
        <v>0</v>
      </c>
      <c r="Q1157" s="40" t="n">
        <f aca="false">SUM(G1157:J1157)</f>
        <v>0</v>
      </c>
      <c r="R1157" s="40" t="n">
        <f aca="false">SUM(K1157:N1157)</f>
        <v>0</v>
      </c>
      <c r="S1157" s="41" t="n">
        <f aca="false">SUM(P1157:R1157)</f>
        <v>0</v>
      </c>
    </row>
    <row r="1158" customFormat="false" ht="15" hidden="false" customHeight="false" outlineLevel="0" collapsed="false">
      <c r="A1158" s="4" t="s">
        <v>495</v>
      </c>
      <c r="B1158" s="36" t="s">
        <v>491</v>
      </c>
      <c r="C1158" s="48" t="n">
        <f aca="false">C1157*Assumptions!$D$20*Assumptions!$D$39*IF(C1152&gt;0,C1153/C1152,0)*C1142</f>
        <v>0</v>
      </c>
      <c r="D1158" s="48" t="n">
        <f aca="false">D1157*Assumptions!$D$20*Assumptions!$D$39*IF(D1152&gt;0,D1153/D1152,0)*D1142</f>
        <v>0</v>
      </c>
      <c r="E1158" s="48" t="n">
        <f aca="false">E1157*Assumptions!$D$20*Assumptions!$D$39*IF(E1152&gt;0,E1153/E1152,0)*E1142</f>
        <v>0</v>
      </c>
      <c r="F1158" s="48" t="n">
        <f aca="false">F1157*Assumptions!$D$20*Assumptions!$D$39*IF(F1152&gt;0,F1153/F1152,0)*F1142</f>
        <v>0</v>
      </c>
      <c r="G1158" s="48" t="n">
        <f aca="false">G1157*Assumptions!$D$20*Assumptions!$D$39*IF(G1152&gt;0,G1153/G1152,0)*G1142</f>
        <v>0</v>
      </c>
      <c r="H1158" s="48" t="n">
        <f aca="false">H1157*Assumptions!$D$20*Assumptions!$D$39*IF(H1152&gt;0,H1153/H1152,0)*H1142</f>
        <v>0</v>
      </c>
      <c r="I1158" s="48" t="n">
        <f aca="false">I1157*Assumptions!$D$20*Assumptions!$D$39*IF(I1152&gt;0,I1153/I1152,0)*I1142</f>
        <v>0</v>
      </c>
      <c r="J1158" s="48" t="n">
        <f aca="false">J1157*Assumptions!$D$20*Assumptions!$D$39*IF(J1152&gt;0,J1153/J1152,0)*J1142</f>
        <v>0</v>
      </c>
      <c r="K1158" s="48" t="n">
        <f aca="false">K1157*Assumptions!$D$20*Assumptions!$D$39*IF(K1152&gt;0,K1153/K1152,0)*K1142</f>
        <v>0</v>
      </c>
      <c r="L1158" s="48" t="n">
        <f aca="false">L1157*Assumptions!$D$20*Assumptions!$D$39*IF(L1152&gt;0,L1153/L1152,0)*L1142</f>
        <v>0</v>
      </c>
      <c r="M1158" s="48" t="n">
        <f aca="false">M1157*Assumptions!$D$20*Assumptions!$D$39*IF(M1152&gt;0,M1153/M1152,0)*M1142</f>
        <v>0</v>
      </c>
      <c r="N1158" s="48" t="n">
        <f aca="false">N1157*Assumptions!$D$20*Assumptions!$D$39*IF(N1152&gt;0,N1153/N1152,0)*N1142</f>
        <v>0</v>
      </c>
      <c r="P1158" s="49" t="n">
        <f aca="false">SUM(C1158:F1158)</f>
        <v>0</v>
      </c>
      <c r="Q1158" s="49" t="n">
        <f aca="false">SUM(G1158:J1158)</f>
        <v>0</v>
      </c>
      <c r="R1158" s="49" t="n">
        <f aca="false">SUM(K1158:N1158)</f>
        <v>0</v>
      </c>
      <c r="S1158" s="50" t="n">
        <f aca="false">SUM(P1158:R1158)</f>
        <v>0</v>
      </c>
    </row>
    <row r="1159" customFormat="false" ht="15" hidden="false" customHeight="false" outlineLevel="0" collapsed="false">
      <c r="A1159" s="4" t="s">
        <v>496</v>
      </c>
      <c r="B1159" s="36" t="s">
        <v>497</v>
      </c>
      <c r="C1159" s="48" t="n">
        <f aca="false">IF(AND(C1152&gt;0,$C$1139&gt;0),C1152*Assumptions!$D$24*(1-EXP(-$C$1139/(Assumptions!$D$23*C1152*Assumptions!$D$24))),0)</f>
        <v>0</v>
      </c>
      <c r="D1159" s="48" t="n">
        <f aca="false">IF(AND(D1152&gt;0,$C$1139&gt;0),D1152*Assumptions!$D$24*(1-EXP(-$C$1139/(Assumptions!$D$23*D1152*Assumptions!$D$24))),0)</f>
        <v>0</v>
      </c>
      <c r="E1159" s="48" t="n">
        <f aca="false">IF(AND(E1152&gt;0,$C$1139&gt;0),E1152*Assumptions!$D$24*(1-EXP(-$C$1139/(Assumptions!$D$23*E1152*Assumptions!$D$24))),0)</f>
        <v>0</v>
      </c>
      <c r="F1159" s="48" t="n">
        <f aca="false">IF(AND(F1152&gt;0,$C$1139&gt;0),F1152*Assumptions!$D$24*(1-EXP(-$C$1139/(Assumptions!$D$23*F1152*Assumptions!$D$24))),0)</f>
        <v>0</v>
      </c>
      <c r="G1159" s="48" t="n">
        <f aca="false">IF(AND(G1152&gt;0,$C$1139&gt;0),G1152*Assumptions!$D$24*(1-EXP(-$C$1139/(Assumptions!$D$23*G1152*Assumptions!$D$24))),0)</f>
        <v>0</v>
      </c>
      <c r="H1159" s="48" t="n">
        <f aca="false">IF(AND(H1152&gt;0,$C$1139&gt;0),H1152*Assumptions!$D$24*(1-EXP(-$C$1139/(Assumptions!$D$23*H1152*Assumptions!$D$24))),0)</f>
        <v>0</v>
      </c>
      <c r="I1159" s="48" t="n">
        <f aca="false">IF(AND(I1152&gt;0,$C$1139&gt;0),I1152*Assumptions!$D$24*(1-EXP(-$C$1139/(Assumptions!$D$23*I1152*Assumptions!$D$24))),0)</f>
        <v>0</v>
      </c>
      <c r="J1159" s="48" t="n">
        <f aca="false">IF(AND(J1152&gt;0,$C$1139&gt;0),J1152*Assumptions!$D$24*(1-EXP(-$C$1139/(Assumptions!$D$23*J1152*Assumptions!$D$24))),0)</f>
        <v>0</v>
      </c>
      <c r="K1159" s="48" t="n">
        <f aca="false">IF(AND(K1152&gt;0,$C$1139&gt;0),K1152*Assumptions!$D$24*(1-EXP(-$C$1139/(Assumptions!$D$23*K1152*Assumptions!$D$24))),0)</f>
        <v>0</v>
      </c>
      <c r="L1159" s="48" t="n">
        <f aca="false">IF(AND(L1152&gt;0,$C$1139&gt;0),L1152*Assumptions!$D$24*(1-EXP(-$C$1139/(Assumptions!$D$23*L1152*Assumptions!$D$24))),0)</f>
        <v>0</v>
      </c>
      <c r="M1159" s="48" t="n">
        <f aca="false">IF(AND(M1152&gt;0,$C$1139&gt;0),M1152*Assumptions!$D$24*(1-EXP(-$C$1139/(Assumptions!$D$23*M1152*Assumptions!$D$24))),0)</f>
        <v>0</v>
      </c>
      <c r="N1159" s="48" t="n">
        <f aca="false">IF(AND(N1152&gt;0,$C$1139&gt;0),N1152*Assumptions!$D$24*(1-EXP(-$C$1139/(Assumptions!$D$23*N1152*Assumptions!$D$24))),0)</f>
        <v>0</v>
      </c>
      <c r="P1159" s="49" t="n">
        <f aca="false">SUM(C1159:F1159)</f>
        <v>0</v>
      </c>
      <c r="Q1159" s="49" t="n">
        <f aca="false">SUM(G1159:J1159)</f>
        <v>0</v>
      </c>
      <c r="R1159" s="49" t="n">
        <f aca="false">SUM(K1159:N1159)</f>
        <v>0</v>
      </c>
      <c r="S1159" s="50" t="n">
        <f aca="false">SUM(P1159:R1159)</f>
        <v>0</v>
      </c>
    </row>
    <row r="1160" customFormat="false" ht="15" hidden="false" customHeight="false" outlineLevel="0" collapsed="false">
      <c r="A1160" s="4" t="s">
        <v>498</v>
      </c>
      <c r="B1160" s="36" t="s">
        <v>497</v>
      </c>
      <c r="C1160" s="48" t="n">
        <f aca="false">(C1152*Assumptions!$D$22*MIN(1,Assumptions!$F$103/Assumptions!$D$78)+C1159)*C1142</f>
        <v>1.10377544704</v>
      </c>
      <c r="D1160" s="48" t="n">
        <f aca="false">(D1152*Assumptions!$D$22*MIN(1,Assumptions!$F$103/Assumptions!$D$78)+D1159)*D1142</f>
        <v>2.20755089408</v>
      </c>
      <c r="E1160" s="48" t="n">
        <f aca="false">(E1152*Assumptions!$D$22*MIN(1,Assumptions!$F$103/Assumptions!$D$78)+E1159)*E1142</f>
        <v>2.20755089408</v>
      </c>
      <c r="F1160" s="48" t="n">
        <f aca="false">(F1152*Assumptions!$D$22*MIN(1,Assumptions!$F$103/Assumptions!$D$78)+F1159)*F1142</f>
        <v>2.20755089408</v>
      </c>
      <c r="G1160" s="48" t="n">
        <f aca="false">(G1152*Assumptions!$D$22*MIN(1,Assumptions!$F$103/Assumptions!$D$78)+G1159)*G1142</f>
        <v>2.20755089408</v>
      </c>
      <c r="H1160" s="48" t="n">
        <f aca="false">(H1152*Assumptions!$D$22*MIN(1,Assumptions!$F$103/Assumptions!$D$78)+H1159)*H1142</f>
        <v>2.20755089408</v>
      </c>
      <c r="I1160" s="48" t="n">
        <f aca="false">(I1152*Assumptions!$D$22*MIN(1,Assumptions!$F$103/Assumptions!$D$78)+I1159)*I1142</f>
        <v>2.98699900352</v>
      </c>
      <c r="J1160" s="48" t="n">
        <f aca="false">(J1152*Assumptions!$D$22*MIN(1,Assumptions!$F$103/Assumptions!$D$78)+J1159)*J1142</f>
        <v>3.76644711296</v>
      </c>
      <c r="K1160" s="48" t="n">
        <f aca="false">(K1152*Assumptions!$D$22*MIN(1,Assumptions!$F$103/Assumptions!$D$78)+K1159)*K1142</f>
        <v>3.76644711296</v>
      </c>
      <c r="L1160" s="48" t="n">
        <f aca="false">(L1152*Assumptions!$D$22*MIN(1,Assumptions!$F$103/Assumptions!$D$78)+L1159)*L1142</f>
        <v>3.76644711296</v>
      </c>
      <c r="M1160" s="48" t="n">
        <f aca="false">(M1152*Assumptions!$D$22*MIN(1,Assumptions!$F$103/Assumptions!$D$78)+M1159)*M1142</f>
        <v>3.76644711296</v>
      </c>
      <c r="N1160" s="48" t="n">
        <f aca="false">(N1152*Assumptions!$D$22*MIN(1,Assumptions!$F$103/Assumptions!$D$78)+N1159)*N1142</f>
        <v>3.76644711296</v>
      </c>
      <c r="P1160" s="49" t="n">
        <f aca="false">SUM(C1160:F1160)</f>
        <v>7.72642812928</v>
      </c>
      <c r="Q1160" s="49" t="n">
        <f aca="false">SUM(G1160:J1160)</f>
        <v>11.16854790464</v>
      </c>
      <c r="R1160" s="49" t="n">
        <f aca="false">SUM(K1160:N1160)</f>
        <v>15.06578845184</v>
      </c>
      <c r="S1160" s="50" t="n">
        <f aca="false">SUM(P1160:R1160)</f>
        <v>33.96076448576</v>
      </c>
    </row>
    <row r="1161" customFormat="false" ht="15" hidden="false" customHeight="false" outlineLevel="0" collapsed="false">
      <c r="A1161" s="4" t="s">
        <v>499</v>
      </c>
      <c r="B1161" s="36" t="s">
        <v>500</v>
      </c>
      <c r="C1161" s="48" t="n">
        <f aca="false">C1142*MIN(Assumptions!$D$27,Assumptions!$D$25+Assumptions!$D$26*(C1141-1))*Assumptions!$F$107</f>
        <v>0.5</v>
      </c>
      <c r="D1161" s="48" t="n">
        <f aca="false">D1142*MIN(Assumptions!$D$27,Assumptions!$D$25+Assumptions!$D$26*(D1141-1))*Assumptions!$F$107</f>
        <v>1</v>
      </c>
      <c r="E1161" s="48" t="n">
        <f aca="false">E1142*MIN(Assumptions!$D$27,Assumptions!$D$25+Assumptions!$D$26*(E1141-1))*Assumptions!$F$107</f>
        <v>1.5</v>
      </c>
      <c r="F1161" s="48" t="n">
        <f aca="false">F1142*MIN(Assumptions!$D$27,Assumptions!$D$25+Assumptions!$D$26*(F1141-1))*Assumptions!$F$107</f>
        <v>2</v>
      </c>
      <c r="G1161" s="48" t="n">
        <f aca="false">G1142*MIN(Assumptions!$D$27,Assumptions!$D$25+Assumptions!$D$26*(G1141-1))*Assumptions!$F$107</f>
        <v>2.5</v>
      </c>
      <c r="H1161" s="48" t="n">
        <f aca="false">H1142*MIN(Assumptions!$D$27,Assumptions!$D$25+Assumptions!$D$26*(H1141-1))*Assumptions!$F$107</f>
        <v>2.5</v>
      </c>
      <c r="I1161" s="48" t="n">
        <f aca="false">I1142*MIN(Assumptions!$D$27,Assumptions!$D$25+Assumptions!$D$26*(I1141-1))*Assumptions!$F$107</f>
        <v>2.5</v>
      </c>
      <c r="J1161" s="48" t="n">
        <f aca="false">J1142*MIN(Assumptions!$D$27,Assumptions!$D$25+Assumptions!$D$26*(J1141-1))*Assumptions!$F$107</f>
        <v>2.5</v>
      </c>
      <c r="K1161" s="48" t="n">
        <f aca="false">K1142*MIN(Assumptions!$D$27,Assumptions!$D$25+Assumptions!$D$26*(K1141-1))*Assumptions!$F$107</f>
        <v>2.5</v>
      </c>
      <c r="L1161" s="48" t="n">
        <f aca="false">L1142*MIN(Assumptions!$D$27,Assumptions!$D$25+Assumptions!$D$26*(L1141-1))*Assumptions!$F$107</f>
        <v>2.5</v>
      </c>
      <c r="M1161" s="48" t="n">
        <f aca="false">M1142*MIN(Assumptions!$D$27,Assumptions!$D$25+Assumptions!$D$26*(M1141-1))*Assumptions!$F$107</f>
        <v>2.5</v>
      </c>
      <c r="N1161" s="48" t="n">
        <f aca="false">N1142*MIN(Assumptions!$D$27,Assumptions!$D$25+Assumptions!$D$26*(N1141-1))*Assumptions!$F$107</f>
        <v>2.5</v>
      </c>
      <c r="P1161" s="49" t="n">
        <f aca="false">F1161</f>
        <v>2</v>
      </c>
      <c r="Q1161" s="49" t="n">
        <f aca="false">J1161</f>
        <v>2.5</v>
      </c>
      <c r="R1161" s="49" t="n">
        <f aca="false">N1161</f>
        <v>2.5</v>
      </c>
      <c r="S1161" s="50" t="n">
        <f aca="false">R1161</f>
        <v>2.5</v>
      </c>
    </row>
    <row r="1162" customFormat="false" ht="15" hidden="false" customHeight="false" outlineLevel="0" collapsed="false">
      <c r="A1162" s="4" t="s">
        <v>501</v>
      </c>
      <c r="B1162" s="36" t="s">
        <v>502</v>
      </c>
      <c r="C1162" s="48" t="n">
        <f aca="false">C1161*Assumptions!$D$28</f>
        <v>1</v>
      </c>
      <c r="D1162" s="48" t="n">
        <f aca="false">D1161*Assumptions!$D$28</f>
        <v>2</v>
      </c>
      <c r="E1162" s="48" t="n">
        <f aca="false">E1161*Assumptions!$D$28</f>
        <v>3</v>
      </c>
      <c r="F1162" s="48" t="n">
        <f aca="false">F1161*Assumptions!$D$28</f>
        <v>4</v>
      </c>
      <c r="G1162" s="48" t="n">
        <f aca="false">G1161*Assumptions!$D$28</f>
        <v>5</v>
      </c>
      <c r="H1162" s="48" t="n">
        <f aca="false">H1161*Assumptions!$D$28</f>
        <v>5</v>
      </c>
      <c r="I1162" s="48" t="n">
        <f aca="false">I1161*Assumptions!$D$28</f>
        <v>5</v>
      </c>
      <c r="J1162" s="48" t="n">
        <f aca="false">J1161*Assumptions!$D$28</f>
        <v>5</v>
      </c>
      <c r="K1162" s="48" t="n">
        <f aca="false">K1161*Assumptions!$D$28</f>
        <v>5</v>
      </c>
      <c r="L1162" s="48" t="n">
        <f aca="false">L1161*Assumptions!$D$28</f>
        <v>5</v>
      </c>
      <c r="M1162" s="48" t="n">
        <f aca="false">M1161*Assumptions!$D$28</f>
        <v>5</v>
      </c>
      <c r="N1162" s="48" t="n">
        <f aca="false">N1161*Assumptions!$D$28</f>
        <v>5</v>
      </c>
      <c r="P1162" s="49" t="n">
        <f aca="false">SUM(C1162:F1162)</f>
        <v>10</v>
      </c>
      <c r="Q1162" s="49" t="n">
        <f aca="false">SUM(G1162:J1162)</f>
        <v>20</v>
      </c>
      <c r="R1162" s="49" t="n">
        <f aca="false">SUM(K1162:N1162)</f>
        <v>20</v>
      </c>
      <c r="S1162" s="50" t="n">
        <f aca="false">SUM(P1162:R1162)</f>
        <v>50</v>
      </c>
    </row>
    <row r="1163" customFormat="false" ht="15" hidden="false" customHeight="false" outlineLevel="0" collapsed="false">
      <c r="A1163" s="4" t="s">
        <v>503</v>
      </c>
      <c r="B1163" s="36" t="s">
        <v>504</v>
      </c>
      <c r="C1163" s="48" t="n">
        <f aca="false">(C1154+C1158)*Assumptions!$D$29</f>
        <v>0.496698951168</v>
      </c>
      <c r="D1163" s="48" t="n">
        <f aca="false">(D1154+D1158)*Assumptions!$D$29</f>
        <v>0.874301153151851</v>
      </c>
      <c r="E1163" s="48" t="n">
        <f aca="false">(E1154+E1158)*Assumptions!$D$29</f>
        <v>0.769482706380942</v>
      </c>
      <c r="F1163" s="48" t="n">
        <f aca="false">(F1154+F1158)*Assumptions!$D$29</f>
        <v>0.677230761145412</v>
      </c>
      <c r="G1163" s="48" t="n">
        <f aca="false">(G1154+G1158)*Assumptions!$D$29</f>
        <v>0.5960387414016</v>
      </c>
      <c r="H1163" s="48" t="n">
        <f aca="false">(H1154+H1158)*Assumptions!$D$29</f>
        <v>0.524580691891111</v>
      </c>
      <c r="I1163" s="48" t="n">
        <f aca="false">(I1154+I1158)*Assumptions!$D$29</f>
        <v>0.812441273076565</v>
      </c>
      <c r="J1163" s="48" t="n">
        <f aca="false">(J1154+J1158)*Assumptions!$D$29</f>
        <v>1.02373974309286</v>
      </c>
      <c r="K1163" s="48" t="n">
        <f aca="false">(K1154+K1158)*Assumptions!$D$29</f>
        <v>0.901005363317876</v>
      </c>
      <c r="L1163" s="48" t="n">
        <f aca="false">(L1154+L1158)*Assumptions!$D$29</f>
        <v>0.792985395169858</v>
      </c>
      <c r="M1163" s="48" t="n">
        <f aca="false">(M1154+M1158)*Assumptions!$D$29</f>
        <v>0.697915753394739</v>
      </c>
      <c r="N1163" s="48" t="n">
        <f aca="false">(N1154+N1158)*Assumptions!$D$29</f>
        <v>0.614243845855714</v>
      </c>
      <c r="P1163" s="49" t="n">
        <f aca="false">SUM(C1163:F1163)</f>
        <v>2.8177135718462</v>
      </c>
      <c r="Q1163" s="49" t="n">
        <f aca="false">SUM(G1163:J1163)</f>
        <v>2.95680044946213</v>
      </c>
      <c r="R1163" s="49" t="n">
        <f aca="false">SUM(K1163:N1163)</f>
        <v>3.00615035773819</v>
      </c>
      <c r="S1163" s="50" t="n">
        <f aca="false">SUM(P1163:R1163)</f>
        <v>8.78066437904652</v>
      </c>
    </row>
    <row r="1164" customFormat="false" ht="15" hidden="false" customHeight="false" outlineLevel="0" collapsed="false">
      <c r="A1164" s="4" t="s">
        <v>505</v>
      </c>
      <c r="B1164" s="36" t="s">
        <v>504</v>
      </c>
      <c r="C1164" s="48" t="n">
        <f aca="false">C1160*Assumptions!$D$31</f>
        <v>0.110377544704</v>
      </c>
      <c r="D1164" s="48" t="n">
        <f aca="false">D1160*Assumptions!$D$31</f>
        <v>0.220755089408</v>
      </c>
      <c r="E1164" s="48" t="n">
        <f aca="false">E1160*Assumptions!$D$31</f>
        <v>0.220755089408</v>
      </c>
      <c r="F1164" s="48" t="n">
        <f aca="false">F1160*Assumptions!$D$31</f>
        <v>0.220755089408</v>
      </c>
      <c r="G1164" s="48" t="n">
        <f aca="false">G1160*Assumptions!$D$31</f>
        <v>0.220755089408</v>
      </c>
      <c r="H1164" s="48" t="n">
        <f aca="false">H1160*Assumptions!$D$31</f>
        <v>0.220755089408</v>
      </c>
      <c r="I1164" s="48" t="n">
        <f aca="false">I1160*Assumptions!$D$31</f>
        <v>0.298699900352</v>
      </c>
      <c r="J1164" s="48" t="n">
        <f aca="false">J1160*Assumptions!$D$31</f>
        <v>0.376644711296</v>
      </c>
      <c r="K1164" s="48" t="n">
        <f aca="false">K1160*Assumptions!$D$31</f>
        <v>0.376644711296</v>
      </c>
      <c r="L1164" s="48" t="n">
        <f aca="false">L1160*Assumptions!$D$31</f>
        <v>0.376644711296</v>
      </c>
      <c r="M1164" s="48" t="n">
        <f aca="false">M1160*Assumptions!$D$31</f>
        <v>0.376644711296</v>
      </c>
      <c r="N1164" s="48" t="n">
        <f aca="false">N1160*Assumptions!$D$31</f>
        <v>0.376644711296</v>
      </c>
      <c r="P1164" s="49" t="n">
        <f aca="false">SUM(C1164:F1164)</f>
        <v>0.772642812928</v>
      </c>
      <c r="Q1164" s="49" t="n">
        <f aca="false">SUM(G1164:J1164)</f>
        <v>1.116854790464</v>
      </c>
      <c r="R1164" s="49" t="n">
        <f aca="false">SUM(K1164:N1164)</f>
        <v>1.506578845184</v>
      </c>
      <c r="S1164" s="50" t="n">
        <f aca="false">SUM(P1164:R1164)</f>
        <v>3.396076448576</v>
      </c>
    </row>
    <row r="1165" customFormat="false" ht="15" hidden="false" customHeight="false" outlineLevel="0" collapsed="false">
      <c r="A1165" s="4" t="s">
        <v>506</v>
      </c>
      <c r="B1165" s="36" t="s">
        <v>504</v>
      </c>
      <c r="C1165" s="48" t="n">
        <f aca="false">C1162*Assumptions!$D$30</f>
        <v>0.4</v>
      </c>
      <c r="D1165" s="48" t="n">
        <f aca="false">D1162*Assumptions!$D$30</f>
        <v>0.8</v>
      </c>
      <c r="E1165" s="48" t="n">
        <f aca="false">E1162*Assumptions!$D$30</f>
        <v>1.2</v>
      </c>
      <c r="F1165" s="48" t="n">
        <f aca="false">F1162*Assumptions!$D$30</f>
        <v>1.6</v>
      </c>
      <c r="G1165" s="48" t="n">
        <f aca="false">G1162*Assumptions!$D$30</f>
        <v>2</v>
      </c>
      <c r="H1165" s="48" t="n">
        <f aca="false">H1162*Assumptions!$D$30</f>
        <v>2</v>
      </c>
      <c r="I1165" s="48" t="n">
        <f aca="false">I1162*Assumptions!$D$30</f>
        <v>2</v>
      </c>
      <c r="J1165" s="48" t="n">
        <f aca="false">J1162*Assumptions!$D$30</f>
        <v>2</v>
      </c>
      <c r="K1165" s="48" t="n">
        <f aca="false">K1162*Assumptions!$D$30</f>
        <v>2</v>
      </c>
      <c r="L1165" s="48" t="n">
        <f aca="false">L1162*Assumptions!$D$30</f>
        <v>2</v>
      </c>
      <c r="M1165" s="48" t="n">
        <f aca="false">M1162*Assumptions!$D$30</f>
        <v>2</v>
      </c>
      <c r="N1165" s="48" t="n">
        <f aca="false">N1162*Assumptions!$D$30</f>
        <v>2</v>
      </c>
      <c r="P1165" s="49" t="n">
        <f aca="false">SUM(C1165:F1165)</f>
        <v>4</v>
      </c>
      <c r="Q1165" s="49" t="n">
        <f aca="false">SUM(G1165:J1165)</f>
        <v>8</v>
      </c>
      <c r="R1165" s="49" t="n">
        <f aca="false">SUM(K1165:N1165)</f>
        <v>8</v>
      </c>
      <c r="S1165" s="50" t="n">
        <f aca="false">SUM(P1165:R1165)</f>
        <v>20</v>
      </c>
    </row>
    <row r="1166" customFormat="false" ht="15" hidden="false" customHeight="false" outlineLevel="0" collapsed="false">
      <c r="A1166" s="9" t="s">
        <v>507</v>
      </c>
      <c r="B1166" s="36" t="s">
        <v>504</v>
      </c>
      <c r="C1166" s="49" t="n">
        <f aca="false">C1163+C1164+C1165</f>
        <v>1.007076495872</v>
      </c>
      <c r="D1166" s="49" t="n">
        <f aca="false">D1163+D1164+D1165</f>
        <v>1.89505624255985</v>
      </c>
      <c r="E1166" s="49" t="n">
        <f aca="false">E1163+E1164+E1165</f>
        <v>2.19023779578894</v>
      </c>
      <c r="F1166" s="49" t="n">
        <f aca="false">F1163+F1164+F1165</f>
        <v>2.49798585055341</v>
      </c>
      <c r="G1166" s="49" t="n">
        <f aca="false">G1163+G1164+G1165</f>
        <v>2.8167938308096</v>
      </c>
      <c r="H1166" s="49" t="n">
        <f aca="false">H1163+H1164+H1165</f>
        <v>2.74533578129911</v>
      </c>
      <c r="I1166" s="49" t="n">
        <f aca="false">I1163+I1164+I1165</f>
        <v>3.11114117342857</v>
      </c>
      <c r="J1166" s="49" t="n">
        <f aca="false">J1163+J1164+J1165</f>
        <v>3.40038445438886</v>
      </c>
      <c r="K1166" s="49" t="n">
        <f aca="false">K1163+K1164+K1165</f>
        <v>3.27765007461388</v>
      </c>
      <c r="L1166" s="49" t="n">
        <f aca="false">L1163+L1164+L1165</f>
        <v>3.16963010646586</v>
      </c>
      <c r="M1166" s="49" t="n">
        <f aca="false">M1163+M1164+M1165</f>
        <v>3.07456046469074</v>
      </c>
      <c r="N1166" s="49" t="n">
        <f aca="false">N1163+N1164+N1165</f>
        <v>2.99088855715171</v>
      </c>
      <c r="P1166" s="49" t="n">
        <f aca="false">SUM(C1166:F1166)</f>
        <v>7.5903563847742</v>
      </c>
      <c r="Q1166" s="49" t="n">
        <f aca="false">SUM(G1166:J1166)</f>
        <v>12.0736552399261</v>
      </c>
      <c r="R1166" s="49" t="n">
        <f aca="false">SUM(K1166:N1166)</f>
        <v>12.5127292029222</v>
      </c>
      <c r="S1166" s="50" t="n">
        <f aca="false">SUM(P1166:R1166)</f>
        <v>32.1767408276225</v>
      </c>
    </row>
    <row r="1167" customFormat="false" ht="15" hidden="false" customHeight="false" outlineLevel="0" collapsed="false">
      <c r="A1167" s="4" t="s">
        <v>508</v>
      </c>
      <c r="B1167" s="36" t="s">
        <v>509</v>
      </c>
      <c r="C1167" s="48" t="n">
        <f aca="false">C1149</f>
        <v>421.51972352</v>
      </c>
      <c r="D1167" s="48" t="n">
        <f aca="false">D1149</f>
        <v>843.03944704</v>
      </c>
      <c r="E1167" s="48" t="n">
        <f aca="false">E1149</f>
        <v>843.03944704</v>
      </c>
      <c r="F1167" s="48" t="n">
        <f aca="false">F1149</f>
        <v>843.03944704</v>
      </c>
      <c r="G1167" s="48" t="n">
        <f aca="false">G1149</f>
        <v>843.03944704</v>
      </c>
      <c r="H1167" s="48" t="n">
        <f aca="false">H1149</f>
        <v>843.03944704</v>
      </c>
      <c r="I1167" s="48" t="n">
        <f aca="false">I1149</f>
        <v>1149.32798176</v>
      </c>
      <c r="J1167" s="48" t="n">
        <f aca="false">J1149</f>
        <v>1455.61651648</v>
      </c>
      <c r="K1167" s="48" t="n">
        <f aca="false">K1149</f>
        <v>1455.61651648</v>
      </c>
      <c r="L1167" s="48" t="n">
        <f aca="false">L1149</f>
        <v>1455.61651648</v>
      </c>
      <c r="M1167" s="48" t="n">
        <f aca="false">M1149</f>
        <v>1455.61651648</v>
      </c>
      <c r="N1167" s="48" t="n">
        <f aca="false">N1149</f>
        <v>1455.61651648</v>
      </c>
      <c r="P1167" s="49"/>
      <c r="Q1167" s="49"/>
      <c r="R1167" s="49"/>
      <c r="S1167" s="50"/>
    </row>
    <row r="1168" customFormat="false" ht="15" hidden="false" customHeight="false" outlineLevel="0" collapsed="false">
      <c r="A1168" s="4" t="s">
        <v>510</v>
      </c>
      <c r="B1168" s="36" t="s">
        <v>509</v>
      </c>
      <c r="C1168" s="48" t="n">
        <f aca="false">C1150*Assumptions!$D$18*Assumptions!$D$33</f>
        <v>211.19616</v>
      </c>
      <c r="D1168" s="48" t="n">
        <f aca="false">D1150*Assumptions!$D$18*Assumptions!$D$33</f>
        <v>422.39232</v>
      </c>
      <c r="E1168" s="48" t="n">
        <f aca="false">E1150*Assumptions!$D$18*Assumptions!$D$33</f>
        <v>422.39232</v>
      </c>
      <c r="F1168" s="48" t="n">
        <f aca="false">F1150*Assumptions!$D$18*Assumptions!$D$33</f>
        <v>422.39232</v>
      </c>
      <c r="G1168" s="48" t="n">
        <f aca="false">G1150*Assumptions!$D$18*Assumptions!$D$33</f>
        <v>422.39232</v>
      </c>
      <c r="H1168" s="48" t="n">
        <f aca="false">H1150*Assumptions!$D$18*Assumptions!$D$33</f>
        <v>422.39232</v>
      </c>
      <c r="I1168" s="48" t="n">
        <f aca="false">I1150*Assumptions!$D$18*Assumptions!$D$33</f>
        <v>564.49344</v>
      </c>
      <c r="J1168" s="48" t="n">
        <f aca="false">J1150*Assumptions!$D$18*Assumptions!$D$33</f>
        <v>706.59456</v>
      </c>
      <c r="K1168" s="48" t="n">
        <f aca="false">K1150*Assumptions!$D$18*Assumptions!$D$33</f>
        <v>706.59456</v>
      </c>
      <c r="L1168" s="48" t="n">
        <f aca="false">L1150*Assumptions!$D$18*Assumptions!$D$33</f>
        <v>706.59456</v>
      </c>
      <c r="M1168" s="48" t="n">
        <f aca="false">M1150*Assumptions!$D$18*Assumptions!$D$33</f>
        <v>706.59456</v>
      </c>
      <c r="N1168" s="48" t="n">
        <f aca="false">N1150*Assumptions!$D$18*Assumptions!$D$33</f>
        <v>706.59456</v>
      </c>
      <c r="P1168" s="49"/>
      <c r="Q1168" s="49"/>
      <c r="R1168" s="49"/>
      <c r="S1168" s="50"/>
    </row>
    <row r="1169" customFormat="false" ht="15" hidden="false" customHeight="false" outlineLevel="0" collapsed="false">
      <c r="A1169" s="4" t="s">
        <v>511</v>
      </c>
      <c r="B1169" s="36" t="s">
        <v>509</v>
      </c>
      <c r="C1169" s="48" t="n">
        <f aca="false">C1151*Assumptions!$D$19*Assumptions!$D$34</f>
        <v>24.76992</v>
      </c>
      <c r="D1169" s="48" t="n">
        <f aca="false">D1151*Assumptions!$D$19*Assumptions!$D$34</f>
        <v>49.53984</v>
      </c>
      <c r="E1169" s="48" t="n">
        <f aca="false">E1151*Assumptions!$D$19*Assumptions!$D$34</f>
        <v>49.53984</v>
      </c>
      <c r="F1169" s="48" t="n">
        <f aca="false">F1151*Assumptions!$D$19*Assumptions!$D$34</f>
        <v>49.53984</v>
      </c>
      <c r="G1169" s="48" t="n">
        <f aca="false">G1151*Assumptions!$D$19*Assumptions!$D$34</f>
        <v>49.53984</v>
      </c>
      <c r="H1169" s="48" t="n">
        <f aca="false">H1151*Assumptions!$D$19*Assumptions!$D$34</f>
        <v>49.53984</v>
      </c>
      <c r="I1169" s="48" t="n">
        <f aca="false">I1151*Assumptions!$D$19*Assumptions!$D$34</f>
        <v>61.9248</v>
      </c>
      <c r="J1169" s="48" t="n">
        <f aca="false">J1151*Assumptions!$D$19*Assumptions!$D$34</f>
        <v>74.30976</v>
      </c>
      <c r="K1169" s="48" t="n">
        <f aca="false">K1151*Assumptions!$D$19*Assumptions!$D$34</f>
        <v>74.30976</v>
      </c>
      <c r="L1169" s="48" t="n">
        <f aca="false">L1151*Assumptions!$D$19*Assumptions!$D$34</f>
        <v>74.30976</v>
      </c>
      <c r="M1169" s="48" t="n">
        <f aca="false">M1151*Assumptions!$D$19*Assumptions!$D$34</f>
        <v>74.30976</v>
      </c>
      <c r="N1169" s="48" t="n">
        <f aca="false">N1151*Assumptions!$D$19*Assumptions!$D$34</f>
        <v>74.30976</v>
      </c>
      <c r="P1169" s="49"/>
      <c r="Q1169" s="49"/>
      <c r="R1169" s="49"/>
      <c r="S1169" s="50"/>
    </row>
    <row r="1170" customFormat="false" ht="15" hidden="false" customHeight="false" outlineLevel="0" collapsed="false">
      <c r="A1170" s="4" t="s">
        <v>512</v>
      </c>
      <c r="B1170" s="36" t="s">
        <v>77</v>
      </c>
      <c r="C1170" s="51" t="n">
        <f aca="false">IFERROR(C1167/(C1167+C1168+C1169),0)</f>
        <v>0.641108479093082</v>
      </c>
      <c r="D1170" s="51" t="n">
        <f aca="false">IFERROR(D1167/(D1167+D1168+D1169),0)</f>
        <v>0.641108479093082</v>
      </c>
      <c r="E1170" s="51" t="n">
        <f aca="false">IFERROR(E1167/(E1167+E1168+E1169),0)</f>
        <v>0.641108479093082</v>
      </c>
      <c r="F1170" s="51" t="n">
        <f aca="false">IFERROR(F1167/(F1167+F1168+F1169),0)</f>
        <v>0.641108479093082</v>
      </c>
      <c r="G1170" s="51" t="n">
        <f aca="false">IFERROR(G1167/(G1167+G1168+G1169),0)</f>
        <v>0.641108479093082</v>
      </c>
      <c r="H1170" s="51" t="n">
        <f aca="false">IFERROR(H1167/(H1167+H1168+H1169),0)</f>
        <v>0.641108479093082</v>
      </c>
      <c r="I1170" s="51" t="n">
        <f aca="false">IFERROR(I1167/(I1167+I1168+I1169),0)</f>
        <v>0.647236619555278</v>
      </c>
      <c r="J1170" s="51" t="n">
        <f aca="false">IFERROR(J1167/(J1167+J1168+J1169),0)</f>
        <v>0.650839684896903</v>
      </c>
      <c r="K1170" s="51" t="n">
        <f aca="false">IFERROR(K1167/(K1167+K1168+K1169),0)</f>
        <v>0.650839684896903</v>
      </c>
      <c r="L1170" s="51" t="n">
        <f aca="false">IFERROR(L1167/(L1167+L1168+L1169),0)</f>
        <v>0.650839684896903</v>
      </c>
      <c r="M1170" s="51" t="n">
        <f aca="false">IFERROR(M1167/(M1167+M1168+M1169),0)</f>
        <v>0.650839684896903</v>
      </c>
      <c r="N1170" s="51" t="n">
        <f aca="false">IFERROR(N1167/(N1167+N1168+N1169),0)</f>
        <v>0.650839684896903</v>
      </c>
      <c r="P1170" s="52"/>
      <c r="Q1170" s="52"/>
      <c r="R1170" s="52"/>
      <c r="S1170" s="53"/>
    </row>
    <row r="1171" customFormat="false" ht="15" hidden="false" customHeight="false" outlineLevel="0" collapsed="false">
      <c r="A1171" s="4" t="s">
        <v>513</v>
      </c>
      <c r="B1171" s="36" t="s">
        <v>77</v>
      </c>
      <c r="C1171" s="51" t="n">
        <f aca="false">IFERROR(C1168/(C1167+C1168+C1169),0)</f>
        <v>0.321217825342104</v>
      </c>
      <c r="D1171" s="51" t="n">
        <f aca="false">IFERROR(D1168/(D1167+D1168+D1169),0)</f>
        <v>0.321217825342104</v>
      </c>
      <c r="E1171" s="51" t="n">
        <f aca="false">IFERROR(E1168/(E1167+E1168+E1169),0)</f>
        <v>0.321217825342104</v>
      </c>
      <c r="F1171" s="51" t="n">
        <f aca="false">IFERROR(F1168/(F1167+F1168+F1169),0)</f>
        <v>0.321217825342104</v>
      </c>
      <c r="G1171" s="51" t="n">
        <f aca="false">IFERROR(G1168/(G1167+G1168+G1169),0)</f>
        <v>0.321217825342104</v>
      </c>
      <c r="H1171" s="51" t="n">
        <f aca="false">IFERROR(H1168/(H1167+H1168+H1169),0)</f>
        <v>0.321217825342104</v>
      </c>
      <c r="I1171" s="51" t="n">
        <f aca="false">IFERROR(I1168/(I1167+I1168+I1169),0)</f>
        <v>0.317890829828438</v>
      </c>
      <c r="J1171" s="51" t="n">
        <f aca="false">IFERROR(J1168/(J1167+J1168+J1169),0)</f>
        <v>0.315934709158395</v>
      </c>
      <c r="K1171" s="51" t="n">
        <f aca="false">IFERROR(K1168/(K1167+K1168+K1169),0)</f>
        <v>0.315934709158395</v>
      </c>
      <c r="L1171" s="51" t="n">
        <f aca="false">IFERROR(L1168/(L1167+L1168+L1169),0)</f>
        <v>0.315934709158395</v>
      </c>
      <c r="M1171" s="51" t="n">
        <f aca="false">IFERROR(M1168/(M1167+M1168+M1169),0)</f>
        <v>0.315934709158395</v>
      </c>
      <c r="N1171" s="51" t="n">
        <f aca="false">IFERROR(N1168/(N1167+N1168+N1169),0)</f>
        <v>0.315934709158395</v>
      </c>
      <c r="P1171" s="52"/>
      <c r="Q1171" s="52"/>
      <c r="R1171" s="52"/>
      <c r="S1171" s="53"/>
    </row>
    <row r="1172" customFormat="false" ht="15" hidden="false" customHeight="false" outlineLevel="0" collapsed="false">
      <c r="A1172" s="4" t="s">
        <v>514</v>
      </c>
      <c r="B1172" s="36" t="s">
        <v>77</v>
      </c>
      <c r="C1172" s="51" t="n">
        <f aca="false">IFERROR(C1169/(C1167+C1168+C1169),0)</f>
        <v>0.0376736955648146</v>
      </c>
      <c r="D1172" s="51" t="n">
        <f aca="false">IFERROR(D1169/(D1167+D1168+D1169),0)</f>
        <v>0.0376736955648146</v>
      </c>
      <c r="E1172" s="51" t="n">
        <f aca="false">IFERROR(E1169/(E1167+E1168+E1169),0)</f>
        <v>0.0376736955648146</v>
      </c>
      <c r="F1172" s="51" t="n">
        <f aca="false">IFERROR(F1169/(F1167+F1168+F1169),0)</f>
        <v>0.0376736955648146</v>
      </c>
      <c r="G1172" s="51" t="n">
        <f aca="false">IFERROR(G1169/(G1167+G1168+G1169),0)</f>
        <v>0.0376736955648146</v>
      </c>
      <c r="H1172" s="51" t="n">
        <f aca="false">IFERROR(H1169/(H1167+H1168+H1169),0)</f>
        <v>0.0376736955648146</v>
      </c>
      <c r="I1172" s="51" t="n">
        <f aca="false">IFERROR(I1169/(I1167+I1168+I1169),0)</f>
        <v>0.0348725506162836</v>
      </c>
      <c r="J1172" s="51" t="n">
        <f aca="false">IFERROR(J1169/(J1167+J1168+J1169),0)</f>
        <v>0.0332256059447021</v>
      </c>
      <c r="K1172" s="51" t="n">
        <f aca="false">IFERROR(K1169/(K1167+K1168+K1169),0)</f>
        <v>0.0332256059447021</v>
      </c>
      <c r="L1172" s="51" t="n">
        <f aca="false">IFERROR(L1169/(L1167+L1168+L1169),0)</f>
        <v>0.0332256059447021</v>
      </c>
      <c r="M1172" s="51" t="n">
        <f aca="false">IFERROR(M1169/(M1167+M1168+M1169),0)</f>
        <v>0.0332256059447021</v>
      </c>
      <c r="N1172" s="51" t="n">
        <f aca="false">IFERROR(N1169/(N1167+N1168+N1169),0)</f>
        <v>0.0332256059447021</v>
      </c>
      <c r="P1172" s="52"/>
      <c r="Q1172" s="52"/>
      <c r="R1172" s="52"/>
      <c r="S1172" s="53"/>
    </row>
    <row r="1173" customFormat="false" ht="15" hidden="false" customHeight="false" outlineLevel="0" collapsed="false">
      <c r="A1173" s="4" t="s">
        <v>515</v>
      </c>
      <c r="B1173" s="36" t="s">
        <v>516</v>
      </c>
      <c r="C1173" s="48" t="n">
        <f aca="false">IF(C1141-Assumptions!$D$35&lt;1,0,INDEX($C$1166:$N$1166,1,C1141-Assumptions!$D$35)*INDEX($C$1170:$N$1170,1,C1141-Assumptions!$D$35)*Assumptions!$D$32)</f>
        <v>0</v>
      </c>
      <c r="D1173" s="48" t="n">
        <f aca="false">IF(D1141-Assumptions!$D$35&lt;1,0,INDEX($C$1166:$N$1166,1,D1141-Assumptions!$D$35)*INDEX($C$1170:$N$1170,1,D1141-Assumptions!$D$35)*Assumptions!$D$32)</f>
        <v>0.0968467920898332</v>
      </c>
      <c r="E1173" s="48" t="n">
        <f aca="false">IF(E1141-Assumptions!$D$35&lt;1,0,INDEX($C$1166:$N$1166,1,E1141-Assumptions!$D$35)*INDEX($C$1170:$N$1170,1,E1141-Assumptions!$D$35)*Assumptions!$D$32)</f>
        <v>0.182240493819509</v>
      </c>
      <c r="F1173" s="48" t="n">
        <f aca="false">IF(F1141-Assumptions!$D$35&lt;1,0,INDEX($C$1166:$N$1166,1,F1141-Assumptions!$D$35)*INDEX($C$1170:$N$1170,1,F1141-Assumptions!$D$35)*Assumptions!$D$32)</f>
        <v>0.210627003316565</v>
      </c>
      <c r="G1173" s="48" t="n">
        <f aca="false">IF(G1141-Assumptions!$D$35&lt;1,0,INDEX($C$1166:$N$1166,1,G1141-Assumptions!$D$35)*INDEX($C$1170:$N$1170,1,G1141-Assumptions!$D$35)*Assumptions!$D$32)</f>
        <v>0.24022198641665</v>
      </c>
      <c r="H1173" s="48" t="n">
        <f aca="false">IF(H1141-Assumptions!$D$35&lt;1,0,INDEX($C$1166:$N$1166,1,H1141-Assumptions!$D$35)*INDEX($C$1170:$N$1170,1,H1141-Assumptions!$D$35)*Assumptions!$D$32)</f>
        <v>0.270880561318368</v>
      </c>
      <c r="I1173" s="48" t="n">
        <f aca="false">IF(I1141-Assumptions!$D$35&lt;1,0,INDEX($C$1166:$N$1166,1,I1141-Assumptions!$D$35)*INDEX($C$1170:$N$1170,1,I1141-Assumptions!$D$35)*Assumptions!$D$32)</f>
        <v>0.264008707102274</v>
      </c>
      <c r="J1173" s="48" t="n">
        <f aca="false">IF(J1141-Assumptions!$D$35&lt;1,0,INDEX($C$1166:$N$1166,1,J1141-Assumptions!$D$35)*INDEX($C$1170:$N$1170,1,J1141-Assumptions!$D$35)*Assumptions!$D$32)</f>
        <v>0.302046674407372</v>
      </c>
      <c r="K1173" s="48" t="n">
        <f aca="false">IF(K1141-Assumptions!$D$35&lt;1,0,INDEX($C$1166:$N$1166,1,K1141-Assumptions!$D$35)*INDEX($C$1170:$N$1170,1,K1141-Assumptions!$D$35)*Assumptions!$D$32)</f>
        <v>0.331965772023415</v>
      </c>
      <c r="L1173" s="48" t="n">
        <f aca="false">IF(L1141-Assumptions!$D$35&lt;1,0,INDEX($C$1166:$N$1166,1,L1141-Assumptions!$D$35)*INDEX($C$1170:$N$1170,1,L1141-Assumptions!$D$35)*Assumptions!$D$32)</f>
        <v>0.319983711264601</v>
      </c>
      <c r="M1173" s="48" t="n">
        <f aca="false">IF(M1141-Assumptions!$D$35&lt;1,0,INDEX($C$1166:$N$1166,1,M1141-Assumptions!$D$35)*INDEX($C$1170:$N$1170,1,M1141-Assumptions!$D$35)*Assumptions!$D$32)</f>
        <v>0.309438158959796</v>
      </c>
      <c r="N1173" s="48" t="n">
        <f aca="false">IF(N1141-Assumptions!$D$35&lt;1,0,INDEX($C$1166:$N$1166,1,N1141-Assumptions!$D$35)*INDEX($C$1170:$N$1170,1,N1141-Assumptions!$D$35)*Assumptions!$D$32)</f>
        <v>0.300156894605369</v>
      </c>
      <c r="P1173" s="49" t="n">
        <f aca="false">SUM(C1173:F1173)</f>
        <v>0.489714289225908</v>
      </c>
      <c r="Q1173" s="49" t="n">
        <f aca="false">SUM(G1173:J1173)</f>
        <v>1.07715792924466</v>
      </c>
      <c r="R1173" s="49" t="n">
        <f aca="false">SUM(K1173:N1173)</f>
        <v>1.26154453685318</v>
      </c>
      <c r="S1173" s="50" t="n">
        <f aca="false">SUM(P1173:R1173)</f>
        <v>2.82841675532375</v>
      </c>
    </row>
    <row r="1174" customFormat="false" ht="15" hidden="false" customHeight="false" outlineLevel="0" collapsed="false">
      <c r="A1174" s="4" t="s">
        <v>517</v>
      </c>
      <c r="B1174" s="36" t="s">
        <v>516</v>
      </c>
      <c r="C1174" s="48" t="n">
        <f aca="false">IF(C1141-Assumptions!$D$35&lt;1,0,INDEX($C$1166:$N$1166,1,C1141-Assumptions!$D$35)*INDEX($C$1171:$N$1171,1,C1141-Assumptions!$D$35)*Assumptions!$D$32)</f>
        <v>0</v>
      </c>
      <c r="D1174" s="48" t="n">
        <f aca="false">IF(D1141-Assumptions!$D$35&lt;1,0,INDEX($C$1166:$N$1166,1,D1141-Assumptions!$D$35)*INDEX($C$1171:$N$1171,1,D1141-Assumptions!$D$35)*Assumptions!$D$32)</f>
        <v>0.0485236382935725</v>
      </c>
      <c r="E1174" s="48" t="n">
        <f aca="false">IF(E1141-Assumptions!$D$35&lt;1,0,INDEX($C$1166:$N$1166,1,E1141-Assumptions!$D$35)*INDEX($C$1171:$N$1171,1,E1141-Assumptions!$D$35)*Assumptions!$D$32)</f>
        <v>0.091308876770408</v>
      </c>
      <c r="F1174" s="48" t="n">
        <f aca="false">IF(F1141-Assumptions!$D$35&lt;1,0,INDEX($C$1166:$N$1166,1,F1141-Assumptions!$D$35)*INDEX($C$1171:$N$1171,1,F1141-Assumptions!$D$35)*Assumptions!$D$32)</f>
        <v>0.105531513261811</v>
      </c>
      <c r="G1174" s="48" t="n">
        <f aca="false">IF(G1141-Assumptions!$D$35&lt;1,0,INDEX($C$1166:$N$1166,1,G1141-Assumptions!$D$35)*INDEX($C$1171:$N$1171,1,G1141-Assumptions!$D$35)*Assumptions!$D$32)</f>
        <v>0.120359637397517</v>
      </c>
      <c r="H1174" s="48" t="n">
        <f aca="false">IF(H1141-Assumptions!$D$35&lt;1,0,INDEX($C$1166:$N$1166,1,H1141-Assumptions!$D$35)*INDEX($C$1171:$N$1171,1,H1141-Assumptions!$D$35)*Assumptions!$D$32)</f>
        <v>0.135720658315457</v>
      </c>
      <c r="I1174" s="48" t="n">
        <f aca="false">IF(I1141-Assumptions!$D$35&lt;1,0,INDEX($C$1166:$N$1166,1,I1141-Assumptions!$D$35)*INDEX($C$1171:$N$1171,1,I1141-Assumptions!$D$35)*Assumptions!$D$32)</f>
        <v>0.132277618425415</v>
      </c>
      <c r="J1174" s="48" t="n">
        <f aca="false">IF(J1141-Assumptions!$D$35&lt;1,0,INDEX($C$1166:$N$1166,1,J1141-Assumptions!$D$35)*INDEX($C$1171:$N$1171,1,J1141-Assumptions!$D$35)*Assumptions!$D$32)</f>
        <v>0.148350487400194</v>
      </c>
      <c r="K1174" s="48" t="n">
        <f aca="false">IF(K1141-Assumptions!$D$35&lt;1,0,INDEX($C$1166:$N$1166,1,K1141-Assumptions!$D$35)*INDEX($C$1171:$N$1171,1,K1141-Assumptions!$D$35)*Assumptions!$D$32)</f>
        <v>0.161144921043611</v>
      </c>
      <c r="L1174" s="48" t="n">
        <f aca="false">IF(L1141-Assumptions!$D$35&lt;1,0,INDEX($C$1166:$N$1166,1,L1141-Assumptions!$D$35)*INDEX($C$1171:$N$1171,1,L1141-Assumptions!$D$35)*Assumptions!$D$32)</f>
        <v>0.155328513456919</v>
      </c>
      <c r="M1174" s="48" t="n">
        <f aca="false">IF(M1141-Assumptions!$D$35&lt;1,0,INDEX($C$1166:$N$1166,1,M1141-Assumptions!$D$35)*INDEX($C$1171:$N$1171,1,M1141-Assumptions!$D$35)*Assumptions!$D$32)</f>
        <v>0.150209424873898</v>
      </c>
      <c r="N1174" s="48" t="n">
        <f aca="false">IF(N1141-Assumptions!$D$35&lt;1,0,INDEX($C$1166:$N$1166,1,N1141-Assumptions!$D$35)*INDEX($C$1171:$N$1171,1,N1141-Assumptions!$D$35)*Assumptions!$D$32)</f>
        <v>0.145704054930295</v>
      </c>
      <c r="P1174" s="49" t="n">
        <f aca="false">SUM(C1174:F1174)</f>
        <v>0.245364028325791</v>
      </c>
      <c r="Q1174" s="49" t="n">
        <f aca="false">SUM(G1174:J1174)</f>
        <v>0.536708401538583</v>
      </c>
      <c r="R1174" s="49" t="n">
        <f aca="false">SUM(K1174:N1174)</f>
        <v>0.612386914304723</v>
      </c>
      <c r="S1174" s="50" t="n">
        <f aca="false">SUM(P1174:R1174)</f>
        <v>1.3944593441691</v>
      </c>
    </row>
    <row r="1175" customFormat="false" ht="15" hidden="false" customHeight="false" outlineLevel="0" collapsed="false">
      <c r="A1175" s="4" t="s">
        <v>518</v>
      </c>
      <c r="B1175" s="36" t="s">
        <v>516</v>
      </c>
      <c r="C1175" s="48" t="n">
        <f aca="false">IF(C1141-Assumptions!$D$36&lt;1,0,INDEX($C$1166:$N$1166,1,C1141-Assumptions!$D$36)*INDEX($C$1172:$N$1172,1,C1141-Assumptions!$D$36)*Assumptions!$D$32)</f>
        <v>0</v>
      </c>
      <c r="D1175" s="48" t="n">
        <f aca="false">IF(D1141-Assumptions!$D$36&lt;1,0,INDEX($C$1166:$N$1166,1,D1141-Assumptions!$D$36)*INDEX($C$1172:$N$1172,1,D1141-Assumptions!$D$36)*Assumptions!$D$32)</f>
        <v>0</v>
      </c>
      <c r="E1175" s="48" t="n">
        <f aca="false">IF(E1141-Assumptions!$D$36&lt;1,0,INDEX($C$1166:$N$1166,1,E1141-Assumptions!$D$36)*INDEX($C$1172:$N$1172,1,E1141-Assumptions!$D$36)*Assumptions!$D$32)</f>
        <v>0.0056910439973943</v>
      </c>
      <c r="F1175" s="48" t="n">
        <f aca="false">IF(F1141-Assumptions!$D$36&lt;1,0,INDEX($C$1166:$N$1166,1,F1141-Assumptions!$D$36)*INDEX($C$1172:$N$1172,1,F1141-Assumptions!$D$36)*Assumptions!$D$32)</f>
        <v>0.0107090657940602</v>
      </c>
      <c r="G1175" s="48" t="n">
        <f aca="false">IF(G1141-Assumptions!$D$36&lt;1,0,INDEX($C$1166:$N$1166,1,G1141-Assumptions!$D$36)*INDEX($C$1172:$N$1172,1,G1141-Assumptions!$D$36)*Assumptions!$D$32)</f>
        <v>0.0123771527899655</v>
      </c>
      <c r="H1175" s="48" t="n">
        <f aca="false">IF(H1141-Assumptions!$D$36&lt;1,0,INDEX($C$1166:$N$1166,1,H1141-Assumptions!$D$36)*INDEX($C$1172:$N$1172,1,H1141-Assumptions!$D$36)*Assumptions!$D$32)</f>
        <v>0.0141162537688446</v>
      </c>
      <c r="I1175" s="48" t="n">
        <f aca="false">IF(I1141-Assumptions!$D$36&lt;1,0,INDEX($C$1166:$N$1166,1,I1141-Assumptions!$D$36)*INDEX($C$1172:$N$1172,1,I1141-Assumptions!$D$36)*Assumptions!$D$32)</f>
        <v>0.0159178549876153</v>
      </c>
      <c r="J1175" s="48" t="n">
        <f aca="false">IF(J1141-Assumptions!$D$36&lt;1,0,INDEX($C$1166:$N$1166,1,J1141-Assumptions!$D$36)*INDEX($C$1172:$N$1172,1,J1141-Assumptions!$D$36)*Assumptions!$D$32)</f>
        <v>0.0155140416671783</v>
      </c>
      <c r="K1175" s="48" t="n">
        <f aca="false">IF(K1141-Assumptions!$D$36&lt;1,0,INDEX($C$1166:$N$1166,1,K1141-Assumptions!$D$36)*INDEX($C$1172:$N$1172,1,K1141-Assumptions!$D$36)*Assumptions!$D$32)</f>
        <v>0.0162740142067187</v>
      </c>
      <c r="L1175" s="48" t="n">
        <f aca="false">IF(L1141-Assumptions!$D$36&lt;1,0,INDEX($C$1166:$N$1166,1,L1141-Assumptions!$D$36)*INDEX($C$1172:$N$1172,1,L1141-Assumptions!$D$36)*Assumptions!$D$32)</f>
        <v>0.0169469750913022</v>
      </c>
      <c r="M1175" s="48" t="n">
        <f aca="false">IF(M1141-Assumptions!$D$36&lt;1,0,INDEX($C$1166:$N$1166,1,M1141-Assumptions!$D$36)*INDEX($C$1172:$N$1172,1,M1141-Assumptions!$D$36)*Assumptions!$D$32)</f>
        <v>0.0163352864705616</v>
      </c>
      <c r="N1175" s="48" t="n">
        <f aca="false">IF(N1141-Assumptions!$D$36&lt;1,0,INDEX($C$1166:$N$1166,1,N1141-Assumptions!$D$36)*INDEX($C$1172:$N$1172,1,N1141-Assumptions!$D$36)*Assumptions!$D$32)</f>
        <v>0.0157969321361848</v>
      </c>
      <c r="P1175" s="49" t="n">
        <f aca="false">SUM(C1175:F1175)</f>
        <v>0.0164001097914545</v>
      </c>
      <c r="Q1175" s="49" t="n">
        <f aca="false">SUM(G1175:J1175)</f>
        <v>0.0579253032136036</v>
      </c>
      <c r="R1175" s="49" t="n">
        <f aca="false">SUM(K1175:N1175)</f>
        <v>0.0653532079047674</v>
      </c>
      <c r="S1175" s="50" t="n">
        <f aca="false">SUM(P1175:R1175)</f>
        <v>0.139678620909826</v>
      </c>
    </row>
    <row r="1176" customFormat="false" ht="15" hidden="false" customHeight="false" outlineLevel="0" collapsed="false">
      <c r="A1176" s="4" t="s">
        <v>519</v>
      </c>
      <c r="B1176" s="36" t="s">
        <v>77</v>
      </c>
      <c r="C1176" s="51" t="n">
        <f aca="false">IF(C1141-Assumptions!$D$35&lt;1,0,IFERROR(INDEX($C$1165:$N$1165,1,C1141-Assumptions!$D$35)/INDEX($C$1166:$N$1166,1,C1141-Assumptions!$D$35),0))</f>
        <v>0</v>
      </c>
      <c r="D1176" s="51" t="n">
        <f aca="false">IF(D1141-Assumptions!$D$35&lt;1,0,IFERROR(INDEX($C$1165:$N$1165,1,D1141-Assumptions!$D$35)/INDEX($C$1166:$N$1166,1,D1141-Assumptions!$D$35),0))</f>
        <v>0.397189291617466</v>
      </c>
      <c r="E1176" s="51" t="n">
        <f aca="false">IF(E1141-Assumptions!$D$35&lt;1,0,IFERROR(INDEX($C$1165:$N$1165,1,E1141-Assumptions!$D$35)/INDEX($C$1166:$N$1166,1,E1141-Assumptions!$D$35),0))</f>
        <v>0.42215105917878</v>
      </c>
      <c r="F1176" s="51" t="n">
        <f aca="false">IF(F1141-Assumptions!$D$35&lt;1,0,IFERROR(INDEX($C$1165:$N$1165,1,F1141-Assumptions!$D$35)/INDEX($C$1166:$N$1166,1,F1141-Assumptions!$D$35),0))</f>
        <v>0.547885714650336</v>
      </c>
      <c r="G1176" s="51" t="n">
        <f aca="false">IF(G1141-Assumptions!$D$35&lt;1,0,IFERROR(INDEX($C$1165:$N$1165,1,G1141-Assumptions!$D$35)/INDEX($C$1166:$N$1166,1,G1141-Assumptions!$D$35),0))</f>
        <v>0.640516038009395</v>
      </c>
      <c r="H1176" s="51" t="n">
        <f aca="false">IF(H1141-Assumptions!$D$35&lt;1,0,IFERROR(INDEX($C$1165:$N$1165,1,H1141-Assumptions!$D$35)/INDEX($C$1166:$N$1166,1,H1141-Assumptions!$D$35),0))</f>
        <v>0.710027115980001</v>
      </c>
      <c r="I1176" s="51" t="n">
        <f aca="false">IF(I1141-Assumptions!$D$35&lt;1,0,IFERROR(INDEX($C$1165:$N$1165,1,I1141-Assumptions!$D$35)/INDEX($C$1166:$N$1166,1,I1141-Assumptions!$D$35),0))</f>
        <v>0.728508335345991</v>
      </c>
      <c r="J1176" s="51" t="n">
        <f aca="false">IF(J1141-Assumptions!$D$35&lt;1,0,IFERROR(INDEX($C$1165:$N$1165,1,J1141-Assumptions!$D$35)/INDEX($C$1166:$N$1166,1,J1141-Assumptions!$D$35),0))</f>
        <v>0.642850931060754</v>
      </c>
      <c r="K1176" s="51" t="n">
        <f aca="false">IF(K1141-Assumptions!$D$35&lt;1,0,IFERROR(INDEX($C$1165:$N$1165,1,K1141-Assumptions!$D$35)/INDEX($C$1166:$N$1166,1,K1141-Assumptions!$D$35),0))</f>
        <v>0.588168787037775</v>
      </c>
      <c r="L1176" s="51" t="n">
        <f aca="false">IF(L1141-Assumptions!$D$35&lt;1,0,IFERROR(INDEX($C$1165:$N$1165,1,L1141-Assumptions!$D$35)/INDEX($C$1166:$N$1166,1,L1141-Assumptions!$D$35),0))</f>
        <v>0.610193264830325</v>
      </c>
      <c r="M1176" s="51" t="n">
        <f aca="false">IF(M1141-Assumptions!$D$35&lt;1,0,IFERROR(INDEX($C$1165:$N$1165,1,M1141-Assumptions!$D$35)/INDEX($C$1166:$N$1166,1,M1141-Assumptions!$D$35),0))</f>
        <v>0.630988453801003</v>
      </c>
      <c r="N1176" s="51" t="n">
        <f aca="false">IF(N1141-Assumptions!$D$35&lt;1,0,IFERROR(INDEX($C$1165:$N$1165,1,N1141-Assumptions!$D$35)/INDEX($C$1166:$N$1166,1,N1141-Assumptions!$D$35),0))</f>
        <v>0.650499485363406</v>
      </c>
      <c r="P1176" s="52"/>
      <c r="Q1176" s="52"/>
      <c r="R1176" s="52"/>
      <c r="S1176" s="53"/>
    </row>
    <row r="1177" customFormat="false" ht="15" hidden="false" customHeight="false" outlineLevel="0" collapsed="false">
      <c r="A1177" s="4" t="s">
        <v>520</v>
      </c>
      <c r="B1177" s="36" t="s">
        <v>516</v>
      </c>
      <c r="C1177" s="48" t="n">
        <f aca="false">C1173*Assumptions!$D$37</f>
        <v>0</v>
      </c>
      <c r="D1177" s="48" t="n">
        <f aca="false">D1173*Assumptions!$D$37</f>
        <v>0.014527018813475</v>
      </c>
      <c r="E1177" s="48" t="n">
        <f aca="false">E1173*Assumptions!$D$37</f>
        <v>0.0273360740729264</v>
      </c>
      <c r="F1177" s="48" t="n">
        <f aca="false">F1173*Assumptions!$D$37</f>
        <v>0.0315940504974847</v>
      </c>
      <c r="G1177" s="48" t="n">
        <f aca="false">G1173*Assumptions!$D$37</f>
        <v>0.0360332979624976</v>
      </c>
      <c r="H1177" s="48" t="n">
        <f aca="false">H1173*Assumptions!$D$37</f>
        <v>0.0406320841977552</v>
      </c>
      <c r="I1177" s="48" t="n">
        <f aca="false">I1173*Assumptions!$D$37</f>
        <v>0.039601306065341</v>
      </c>
      <c r="J1177" s="48" t="n">
        <f aca="false">J1173*Assumptions!$D$37</f>
        <v>0.0453070011611058</v>
      </c>
      <c r="K1177" s="48" t="n">
        <f aca="false">K1173*Assumptions!$D$37</f>
        <v>0.0497948658035123</v>
      </c>
      <c r="L1177" s="48" t="n">
        <f aca="false">L1173*Assumptions!$D$37</f>
        <v>0.0479975566896901</v>
      </c>
      <c r="M1177" s="48" t="n">
        <f aca="false">M1173*Assumptions!$D$37</f>
        <v>0.0464157238439694</v>
      </c>
      <c r="N1177" s="48" t="n">
        <f aca="false">N1173*Assumptions!$D$37</f>
        <v>0.0450235341908054</v>
      </c>
      <c r="P1177" s="49" t="n">
        <f aca="false">SUM(C1177:F1177)</f>
        <v>0.0734571433838862</v>
      </c>
      <c r="Q1177" s="49" t="n">
        <f aca="false">SUM(G1177:J1177)</f>
        <v>0.1615736893867</v>
      </c>
      <c r="R1177" s="49" t="n">
        <f aca="false">SUM(K1177:N1177)</f>
        <v>0.189231680527977</v>
      </c>
      <c r="S1177" s="50" t="n">
        <f aca="false">SUM(P1177:R1177)</f>
        <v>0.424262513298563</v>
      </c>
    </row>
    <row r="1178" customFormat="false" ht="15" hidden="false" customHeight="false" outlineLevel="0" collapsed="false">
      <c r="A1178" s="4" t="s">
        <v>521</v>
      </c>
      <c r="B1178" s="36" t="s">
        <v>516</v>
      </c>
      <c r="C1178" s="48" t="n">
        <f aca="false">C1173*(1-Assumptions!$D$37)</f>
        <v>0</v>
      </c>
      <c r="D1178" s="48" t="n">
        <f aca="false">D1173*(1-Assumptions!$D$37)</f>
        <v>0.0823197732763583</v>
      </c>
      <c r="E1178" s="48" t="n">
        <f aca="false">E1173*(1-Assumptions!$D$37)</f>
        <v>0.154904419746583</v>
      </c>
      <c r="F1178" s="48" t="n">
        <f aca="false">F1173*(1-Assumptions!$D$37)</f>
        <v>0.17903295281908</v>
      </c>
      <c r="G1178" s="48" t="n">
        <f aca="false">G1173*(1-Assumptions!$D$37)</f>
        <v>0.204188688454153</v>
      </c>
      <c r="H1178" s="48" t="n">
        <f aca="false">H1173*(1-Assumptions!$D$37)</f>
        <v>0.230248477120613</v>
      </c>
      <c r="I1178" s="48" t="n">
        <f aca="false">I1173*(1-Assumptions!$D$37)</f>
        <v>0.224407401036933</v>
      </c>
      <c r="J1178" s="48" t="n">
        <f aca="false">J1173*(1-Assumptions!$D$37)</f>
        <v>0.256739673246266</v>
      </c>
      <c r="K1178" s="48" t="n">
        <f aca="false">K1173*(1-Assumptions!$D$37)</f>
        <v>0.282170906219903</v>
      </c>
      <c r="L1178" s="48" t="n">
        <f aca="false">L1173*(1-Assumptions!$D$37)</f>
        <v>0.271986154574911</v>
      </c>
      <c r="M1178" s="48" t="n">
        <f aca="false">M1173*(1-Assumptions!$D$37)</f>
        <v>0.263022435115827</v>
      </c>
      <c r="N1178" s="48" t="n">
        <f aca="false">N1173*(1-Assumptions!$D$37)</f>
        <v>0.255133360414564</v>
      </c>
      <c r="P1178" s="49" t="n">
        <f aca="false">SUM(C1178:F1178)</f>
        <v>0.416257145842021</v>
      </c>
      <c r="Q1178" s="49" t="n">
        <f aca="false">SUM(G1178:J1178)</f>
        <v>0.915584239857964</v>
      </c>
      <c r="R1178" s="49" t="n">
        <f aca="false">SUM(K1178:N1178)</f>
        <v>1.0723128563252</v>
      </c>
      <c r="S1178" s="50" t="n">
        <f aca="false">SUM(P1178:R1178)</f>
        <v>2.40415424202519</v>
      </c>
    </row>
    <row r="1179" customFormat="false" ht="15" hidden="false" customHeight="false" outlineLevel="0" collapsed="false">
      <c r="A1179" s="4" t="s">
        <v>522</v>
      </c>
      <c r="B1179" s="36" t="s">
        <v>125</v>
      </c>
      <c r="C1179" s="54" t="n">
        <f aca="false">C1178*$C$1132+C1174*$C$1133+C1175*$C$1134</f>
        <v>0</v>
      </c>
      <c r="D1179" s="54" t="n">
        <f aca="false">D1178*$C$1132+D1174*$C$1133+D1175*$C$1134</f>
        <v>796.013022706659</v>
      </c>
      <c r="E1179" s="54" t="n">
        <f aca="false">E1178*$C$1132+E1174*$C$1133+E1175*$C$1134</f>
        <v>1761.57671866952</v>
      </c>
      <c r="F1179" s="54" t="n">
        <f aca="false">F1178*$C$1132+F1174*$C$1133+F1175*$C$1134</f>
        <v>2227.39748745377</v>
      </c>
      <c r="G1179" s="54" t="n">
        <f aca="false">G1178*$C$1132+G1174*$C$1133+G1175*$C$1134</f>
        <v>2547.93621779557</v>
      </c>
      <c r="H1179" s="54" t="n">
        <f aca="false">H1178*$C$1132+H1174*$C$1133+H1175*$C$1134</f>
        <v>2880.50727028503</v>
      </c>
      <c r="I1179" s="54" t="n">
        <f aca="false">I1178*$C$1132+I1174*$C$1133+I1175*$C$1134</f>
        <v>2907.5002621104</v>
      </c>
      <c r="J1179" s="54" t="n">
        <f aca="false">J1178*$C$1132+J1174*$C$1133+J1175*$C$1134</f>
        <v>3179.56683060075</v>
      </c>
      <c r="K1179" s="54" t="n">
        <f aca="false">K1178*$C$1132+K1174*$C$1133+K1175*$C$1134</f>
        <v>3444.60686262711</v>
      </c>
      <c r="L1179" s="54" t="n">
        <f aca="false">L1178*$C$1132+L1174*$C$1133+L1175*$C$1134</f>
        <v>3378.67341549773</v>
      </c>
      <c r="M1179" s="54" t="n">
        <f aca="false">M1178*$C$1132+M1174*$C$1133+M1175*$C$1134</f>
        <v>3264.86026757025</v>
      </c>
      <c r="N1179" s="54" t="n">
        <f aca="false">N1178*$C$1132+N1174*$C$1133+N1175*$C$1134</f>
        <v>3164.69198027786</v>
      </c>
      <c r="P1179" s="55" t="n">
        <f aca="false">SUM(C1179:F1179)</f>
        <v>4784.98722882995</v>
      </c>
      <c r="Q1179" s="55" t="n">
        <f aca="false">SUM(G1179:J1179)</f>
        <v>11515.5105807918</v>
      </c>
      <c r="R1179" s="55" t="n">
        <f aca="false">SUM(K1179:N1179)</f>
        <v>13252.8325259729</v>
      </c>
      <c r="S1179" s="56" t="n">
        <f aca="false">SUM(P1179:R1179)</f>
        <v>29553.3303355947</v>
      </c>
    </row>
    <row r="1180" customFormat="false" ht="15" hidden="false" customHeight="false" outlineLevel="0" collapsed="false">
      <c r="A1180" s="4" t="s">
        <v>523</v>
      </c>
      <c r="B1180" s="36" t="s">
        <v>125</v>
      </c>
      <c r="C1180" s="54" t="n">
        <f aca="false">(C1156+Assumptions!$F$104*C1142)*$C$1137</f>
        <v>240625</v>
      </c>
      <c r="D1180" s="54" t="n">
        <f aca="false">(D1156+Assumptions!$F$104*D1142)*$C$1137</f>
        <v>240625</v>
      </c>
      <c r="E1180" s="54" t="n">
        <f aca="false">(E1156+Assumptions!$F$104*E1142)*$C$1137</f>
        <v>240625</v>
      </c>
      <c r="F1180" s="54" t="n">
        <f aca="false">(F1156+Assumptions!$F$104*F1142)*$C$1137</f>
        <v>240625</v>
      </c>
      <c r="G1180" s="54" t="n">
        <f aca="false">(G1156+Assumptions!$F$104*G1142)*$C$1137</f>
        <v>240625</v>
      </c>
      <c r="H1180" s="54" t="n">
        <f aca="false">(H1156+Assumptions!$F$104*H1142)*$C$1137</f>
        <v>240625</v>
      </c>
      <c r="I1180" s="54" t="n">
        <f aca="false">(I1156+Assumptions!$F$104*I1142)*$C$1137</f>
        <v>240625</v>
      </c>
      <c r="J1180" s="54" t="n">
        <f aca="false">(J1156+Assumptions!$F$104*J1142)*$C$1137</f>
        <v>240625</v>
      </c>
      <c r="K1180" s="54" t="n">
        <f aca="false">(K1156+Assumptions!$F$104*K1142)*$C$1137</f>
        <v>240625</v>
      </c>
      <c r="L1180" s="54" t="n">
        <f aca="false">(L1156+Assumptions!$F$104*L1142)*$C$1137</f>
        <v>240625</v>
      </c>
      <c r="M1180" s="54" t="n">
        <f aca="false">(M1156+Assumptions!$F$104*M1142)*$C$1137</f>
        <v>240625</v>
      </c>
      <c r="N1180" s="54" t="n">
        <f aca="false">(N1156+Assumptions!$F$104*N1142)*$C$1137</f>
        <v>240625</v>
      </c>
      <c r="P1180" s="55" t="n">
        <f aca="false">SUM(C1180:F1180)</f>
        <v>962500</v>
      </c>
      <c r="Q1180" s="55" t="n">
        <f aca="false">SUM(G1180:J1180)</f>
        <v>962500</v>
      </c>
      <c r="R1180" s="55" t="n">
        <f aca="false">SUM(K1180:N1180)</f>
        <v>962500</v>
      </c>
      <c r="S1180" s="56" t="n">
        <f aca="false">SUM(P1180:R1180)</f>
        <v>2887500</v>
      </c>
    </row>
    <row r="1181" customFormat="false" ht="15" hidden="false" customHeight="false" outlineLevel="0" collapsed="false">
      <c r="A1181" s="4" t="s">
        <v>524</v>
      </c>
      <c r="B1181" s="36" t="s">
        <v>77</v>
      </c>
      <c r="C1181" s="51" t="n">
        <f aca="false">IF(C1179&gt;0,MIN(1,C1180/C1179),1)</f>
        <v>1</v>
      </c>
      <c r="D1181" s="51" t="n">
        <f aca="false">IF(D1179&gt;0,MIN(1,D1180/D1179),1)</f>
        <v>1</v>
      </c>
      <c r="E1181" s="51" t="n">
        <f aca="false">IF(E1179&gt;0,MIN(1,E1180/E1179),1)</f>
        <v>1</v>
      </c>
      <c r="F1181" s="51" t="n">
        <f aca="false">IF(F1179&gt;0,MIN(1,F1180/F1179),1)</f>
        <v>1</v>
      </c>
      <c r="G1181" s="51" t="n">
        <f aca="false">IF(G1179&gt;0,MIN(1,G1180/G1179),1)</f>
        <v>1</v>
      </c>
      <c r="H1181" s="51" t="n">
        <f aca="false">IF(H1179&gt;0,MIN(1,H1180/H1179),1)</f>
        <v>1</v>
      </c>
      <c r="I1181" s="51" t="n">
        <f aca="false">IF(I1179&gt;0,MIN(1,I1180/I1179),1)</f>
        <v>1</v>
      </c>
      <c r="J1181" s="51" t="n">
        <f aca="false">IF(J1179&gt;0,MIN(1,J1180/J1179),1)</f>
        <v>1</v>
      </c>
      <c r="K1181" s="51" t="n">
        <f aca="false">IF(K1179&gt;0,MIN(1,K1180/K1179),1)</f>
        <v>1</v>
      </c>
      <c r="L1181" s="51" t="n">
        <f aca="false">IF(L1179&gt;0,MIN(1,L1180/L1179),1)</f>
        <v>1</v>
      </c>
      <c r="M1181" s="51" t="n">
        <f aca="false">IF(M1179&gt;0,MIN(1,M1180/M1179),1)</f>
        <v>1</v>
      </c>
      <c r="N1181" s="51" t="n">
        <f aca="false">IF(N1179&gt;0,MIN(1,N1180/N1179),1)</f>
        <v>1</v>
      </c>
      <c r="P1181" s="52"/>
      <c r="Q1181" s="52"/>
      <c r="R1181" s="52"/>
      <c r="S1181" s="53"/>
    </row>
    <row r="1182" customFormat="false" ht="15" hidden="false" customHeight="false" outlineLevel="0" collapsed="false">
      <c r="A1182" s="4" t="s">
        <v>525</v>
      </c>
      <c r="B1182" s="36" t="s">
        <v>125</v>
      </c>
      <c r="C1182" s="54" t="n">
        <f aca="false">C1179*(1-C1181)</f>
        <v>0</v>
      </c>
      <c r="D1182" s="54" t="n">
        <f aca="false">D1179*(1-D1181)</f>
        <v>0</v>
      </c>
      <c r="E1182" s="54" t="n">
        <f aca="false">E1179*(1-E1181)</f>
        <v>0</v>
      </c>
      <c r="F1182" s="54" t="n">
        <f aca="false">F1179*(1-F1181)</f>
        <v>0</v>
      </c>
      <c r="G1182" s="54" t="n">
        <f aca="false">G1179*(1-G1181)</f>
        <v>0</v>
      </c>
      <c r="H1182" s="54" t="n">
        <f aca="false">H1179*(1-H1181)</f>
        <v>0</v>
      </c>
      <c r="I1182" s="54" t="n">
        <f aca="false">I1179*(1-I1181)</f>
        <v>0</v>
      </c>
      <c r="J1182" s="54" t="n">
        <f aca="false">J1179*(1-J1181)</f>
        <v>0</v>
      </c>
      <c r="K1182" s="54" t="n">
        <f aca="false">K1179*(1-K1181)</f>
        <v>0</v>
      </c>
      <c r="L1182" s="54" t="n">
        <f aca="false">L1179*(1-L1181)</f>
        <v>0</v>
      </c>
      <c r="M1182" s="54" t="n">
        <f aca="false">M1179*(1-M1181)</f>
        <v>0</v>
      </c>
      <c r="N1182" s="54" t="n">
        <f aca="false">N1179*(1-N1181)</f>
        <v>0</v>
      </c>
      <c r="P1182" s="55" t="n">
        <f aca="false">SUM(C1182:F1182)</f>
        <v>0</v>
      </c>
      <c r="Q1182" s="55" t="n">
        <f aca="false">SUM(G1182:J1182)</f>
        <v>0</v>
      </c>
      <c r="R1182" s="55" t="n">
        <f aca="false">SUM(K1182:N1182)</f>
        <v>0</v>
      </c>
      <c r="S1182" s="56" t="n">
        <f aca="false">SUM(P1182:R1182)</f>
        <v>0</v>
      </c>
    </row>
    <row r="1183" customFormat="false" ht="15" hidden="false" customHeight="false" outlineLevel="0" collapsed="false">
      <c r="A1183" s="4" t="s">
        <v>526</v>
      </c>
      <c r="B1183" s="36" t="s">
        <v>527</v>
      </c>
      <c r="C1183" s="48" t="n">
        <f aca="false">C1177+C1178*C1181</f>
        <v>0</v>
      </c>
      <c r="D1183" s="48" t="n">
        <f aca="false">D1177+D1178*D1181</f>
        <v>0.0968467920898332</v>
      </c>
      <c r="E1183" s="48" t="n">
        <f aca="false">E1177+E1178*E1181</f>
        <v>0.182240493819509</v>
      </c>
      <c r="F1183" s="48" t="n">
        <f aca="false">F1177+F1178*F1181</f>
        <v>0.210627003316565</v>
      </c>
      <c r="G1183" s="48" t="n">
        <f aca="false">G1177+G1178*G1181</f>
        <v>0.24022198641665</v>
      </c>
      <c r="H1183" s="48" t="n">
        <f aca="false">H1177+H1178*H1181</f>
        <v>0.270880561318368</v>
      </c>
      <c r="I1183" s="48" t="n">
        <f aca="false">I1177+I1178*I1181</f>
        <v>0.264008707102274</v>
      </c>
      <c r="J1183" s="48" t="n">
        <f aca="false">J1177+J1178*J1181</f>
        <v>0.302046674407372</v>
      </c>
      <c r="K1183" s="48" t="n">
        <f aca="false">K1177+K1178*K1181</f>
        <v>0.331965772023415</v>
      </c>
      <c r="L1183" s="48" t="n">
        <f aca="false">L1177+L1178*L1181</f>
        <v>0.319983711264601</v>
      </c>
      <c r="M1183" s="48" t="n">
        <f aca="false">M1177+M1178*M1181</f>
        <v>0.309438158959796</v>
      </c>
      <c r="N1183" s="48" t="n">
        <f aca="false">N1177+N1178*N1181</f>
        <v>0.300156894605369</v>
      </c>
      <c r="P1183" s="49" t="n">
        <f aca="false">SUM(C1183:F1183)</f>
        <v>0.489714289225908</v>
      </c>
      <c r="Q1183" s="49" t="n">
        <f aca="false">SUM(G1183:J1183)</f>
        <v>1.07715792924466</v>
      </c>
      <c r="R1183" s="49" t="n">
        <f aca="false">SUM(K1183:N1183)</f>
        <v>1.26154453685318</v>
      </c>
      <c r="S1183" s="50" t="n">
        <f aca="false">SUM(P1183:R1183)</f>
        <v>2.82841675532375</v>
      </c>
    </row>
    <row r="1184" customFormat="false" ht="15" hidden="false" customHeight="false" outlineLevel="0" collapsed="false">
      <c r="A1184" s="4" t="s">
        <v>528</v>
      </c>
      <c r="B1184" s="36" t="s">
        <v>527</v>
      </c>
      <c r="C1184" s="48" t="n">
        <f aca="false">C1174*C1181</f>
        <v>0</v>
      </c>
      <c r="D1184" s="48" t="n">
        <f aca="false">D1174*D1181</f>
        <v>0.0485236382935725</v>
      </c>
      <c r="E1184" s="48" t="n">
        <f aca="false">E1174*E1181</f>
        <v>0.091308876770408</v>
      </c>
      <c r="F1184" s="48" t="n">
        <f aca="false">F1174*F1181</f>
        <v>0.105531513261811</v>
      </c>
      <c r="G1184" s="48" t="n">
        <f aca="false">G1174*G1181</f>
        <v>0.120359637397517</v>
      </c>
      <c r="H1184" s="48" t="n">
        <f aca="false">H1174*H1181</f>
        <v>0.135720658315457</v>
      </c>
      <c r="I1184" s="48" t="n">
        <f aca="false">I1174*I1181</f>
        <v>0.132277618425415</v>
      </c>
      <c r="J1184" s="48" t="n">
        <f aca="false">J1174*J1181</f>
        <v>0.148350487400194</v>
      </c>
      <c r="K1184" s="48" t="n">
        <f aca="false">K1174*K1181</f>
        <v>0.161144921043611</v>
      </c>
      <c r="L1184" s="48" t="n">
        <f aca="false">L1174*L1181</f>
        <v>0.155328513456919</v>
      </c>
      <c r="M1184" s="48" t="n">
        <f aca="false">M1174*M1181</f>
        <v>0.150209424873898</v>
      </c>
      <c r="N1184" s="48" t="n">
        <f aca="false">N1174*N1181</f>
        <v>0.145704054930295</v>
      </c>
      <c r="P1184" s="49" t="n">
        <f aca="false">SUM(C1184:F1184)</f>
        <v>0.245364028325791</v>
      </c>
      <c r="Q1184" s="49" t="n">
        <f aca="false">SUM(G1184:J1184)</f>
        <v>0.536708401538583</v>
      </c>
      <c r="R1184" s="49" t="n">
        <f aca="false">SUM(K1184:N1184)</f>
        <v>0.612386914304723</v>
      </c>
      <c r="S1184" s="50" t="n">
        <f aca="false">SUM(P1184:R1184)</f>
        <v>1.3944593441691</v>
      </c>
    </row>
    <row r="1185" customFormat="false" ht="15" hidden="false" customHeight="false" outlineLevel="0" collapsed="false">
      <c r="A1185" s="4" t="s">
        <v>529</v>
      </c>
      <c r="B1185" s="36" t="s">
        <v>527</v>
      </c>
      <c r="C1185" s="48" t="n">
        <f aca="false">C1175*C1181</f>
        <v>0</v>
      </c>
      <c r="D1185" s="48" t="n">
        <f aca="false">D1175*D1181</f>
        <v>0</v>
      </c>
      <c r="E1185" s="48" t="n">
        <f aca="false">E1175*E1181</f>
        <v>0.0056910439973943</v>
      </c>
      <c r="F1185" s="48" t="n">
        <f aca="false">F1175*F1181</f>
        <v>0.0107090657940602</v>
      </c>
      <c r="G1185" s="48" t="n">
        <f aca="false">G1175*G1181</f>
        <v>0.0123771527899655</v>
      </c>
      <c r="H1185" s="48" t="n">
        <f aca="false">H1175*H1181</f>
        <v>0.0141162537688446</v>
      </c>
      <c r="I1185" s="48" t="n">
        <f aca="false">I1175*I1181</f>
        <v>0.0159178549876153</v>
      </c>
      <c r="J1185" s="48" t="n">
        <f aca="false">J1175*J1181</f>
        <v>0.0155140416671783</v>
      </c>
      <c r="K1185" s="48" t="n">
        <f aca="false">K1175*K1181</f>
        <v>0.0162740142067187</v>
      </c>
      <c r="L1185" s="48" t="n">
        <f aca="false">L1175*L1181</f>
        <v>0.0169469750913022</v>
      </c>
      <c r="M1185" s="48" t="n">
        <f aca="false">M1175*M1181</f>
        <v>0.0163352864705616</v>
      </c>
      <c r="N1185" s="48" t="n">
        <f aca="false">N1175*N1181</f>
        <v>0.0157969321361848</v>
      </c>
      <c r="P1185" s="49" t="n">
        <f aca="false">SUM(C1185:F1185)</f>
        <v>0.0164001097914545</v>
      </c>
      <c r="Q1185" s="49" t="n">
        <f aca="false">SUM(G1185:J1185)</f>
        <v>0.0579253032136036</v>
      </c>
      <c r="R1185" s="49" t="n">
        <f aca="false">SUM(K1185:N1185)</f>
        <v>0.0653532079047674</v>
      </c>
      <c r="S1185" s="50" t="n">
        <f aca="false">SUM(P1185:R1185)</f>
        <v>0.139678620909826</v>
      </c>
    </row>
    <row r="1186" customFormat="false" ht="15" hidden="false" customHeight="false" outlineLevel="0" collapsed="false">
      <c r="A1186" s="9" t="s">
        <v>530</v>
      </c>
      <c r="B1186" s="36" t="s">
        <v>527</v>
      </c>
      <c r="C1186" s="49" t="n">
        <f aca="false">C1183+C1184+C1185</f>
        <v>0</v>
      </c>
      <c r="D1186" s="49" t="n">
        <f aca="false">D1183+D1184+D1185</f>
        <v>0.145370430383406</v>
      </c>
      <c r="E1186" s="49" t="n">
        <f aca="false">E1183+E1184+E1185</f>
        <v>0.279240414587312</v>
      </c>
      <c r="F1186" s="49" t="n">
        <f aca="false">F1183+F1184+F1185</f>
        <v>0.326867582372436</v>
      </c>
      <c r="G1186" s="49" t="n">
        <f aca="false">G1183+G1184+G1185</f>
        <v>0.372958776604133</v>
      </c>
      <c r="H1186" s="49" t="n">
        <f aca="false">H1183+H1184+H1185</f>
        <v>0.420717473402669</v>
      </c>
      <c r="I1186" s="49" t="n">
        <f aca="false">I1183+I1184+I1185</f>
        <v>0.412204180515304</v>
      </c>
      <c r="J1186" s="49" t="n">
        <f aca="false">J1183+J1184+J1185</f>
        <v>0.465911203474744</v>
      </c>
      <c r="K1186" s="49" t="n">
        <f aca="false">K1183+K1184+K1185</f>
        <v>0.509384707273745</v>
      </c>
      <c r="L1186" s="49" t="n">
        <f aca="false">L1183+L1184+L1185</f>
        <v>0.492259199812822</v>
      </c>
      <c r="M1186" s="49" t="n">
        <f aca="false">M1183+M1184+M1185</f>
        <v>0.475982870304255</v>
      </c>
      <c r="N1186" s="49" t="n">
        <f aca="false">N1183+N1184+N1185</f>
        <v>0.46165788167185</v>
      </c>
      <c r="P1186" s="49" t="n">
        <f aca="false">SUM(C1186:F1186)</f>
        <v>0.751478427343154</v>
      </c>
      <c r="Q1186" s="49" t="n">
        <f aca="false">SUM(G1186:J1186)</f>
        <v>1.67179163399685</v>
      </c>
      <c r="R1186" s="49" t="n">
        <f aca="false">SUM(K1186:N1186)</f>
        <v>1.93928465906267</v>
      </c>
      <c r="S1186" s="50" t="n">
        <f aca="false">SUM(P1186:R1186)</f>
        <v>4.36255472040268</v>
      </c>
    </row>
    <row r="1187" customFormat="false" ht="15" hidden="false" customHeight="false" outlineLevel="0" collapsed="false">
      <c r="A1187" s="35" t="s">
        <v>533</v>
      </c>
      <c r="B1187" s="35" t="s">
        <v>444</v>
      </c>
      <c r="C1187" s="6" t="s">
        <v>354</v>
      </c>
      <c r="D1187" s="6" t="s">
        <v>355</v>
      </c>
      <c r="E1187" s="6" t="s">
        <v>356</v>
      </c>
      <c r="F1187" s="6" t="s">
        <v>357</v>
      </c>
      <c r="G1187" s="6" t="s">
        <v>358</v>
      </c>
      <c r="H1187" s="6" t="s">
        <v>359</v>
      </c>
      <c r="I1187" s="6" t="s">
        <v>360</v>
      </c>
      <c r="J1187" s="6" t="s">
        <v>361</v>
      </c>
      <c r="K1187" s="6" t="s">
        <v>362</v>
      </c>
      <c r="L1187" s="6" t="s">
        <v>363</v>
      </c>
      <c r="M1187" s="6" t="s">
        <v>364</v>
      </c>
      <c r="N1187" s="6" t="s">
        <v>365</v>
      </c>
      <c r="P1187" s="6" t="s">
        <v>445</v>
      </c>
      <c r="Q1187" s="6" t="s">
        <v>446</v>
      </c>
      <c r="R1187" s="6" t="s">
        <v>447</v>
      </c>
      <c r="S1187" s="6" t="s">
        <v>448</v>
      </c>
    </row>
    <row r="1188" customFormat="false" ht="15" hidden="false" customHeight="false" outlineLevel="0" collapsed="false">
      <c r="A1188" s="4" t="s">
        <v>534</v>
      </c>
      <c r="B1188" s="36" t="s">
        <v>527</v>
      </c>
      <c r="C1188" s="48" t="n">
        <f aca="false">0*Assumptions!$D$59^(1/4)+C1183</f>
        <v>0</v>
      </c>
      <c r="D1188" s="48" t="n">
        <f aca="false">C1188*Assumptions!$D$59^(1/4)+D1183</f>
        <v>0.0968467920898332</v>
      </c>
      <c r="E1188" s="48" t="n">
        <f aca="false">D1188*Assumptions!$D$59^(1/4)+E1183</f>
        <v>0.275231291117399</v>
      </c>
      <c r="F1188" s="48" t="n">
        <f aca="false">E1188*Assumptions!$D$59^(1/4)+F1183</f>
        <v>0.474899847569309</v>
      </c>
      <c r="G1188" s="48" t="n">
        <f aca="false">F1188*Assumptions!$D$59^(1/4)+G1183</f>
        <v>0.696213501563099</v>
      </c>
      <c r="H1188" s="48" t="n">
        <f aca="false">G1188*Assumptions!$D$59^(1/4)+H1183</f>
        <v>0.939374036454383</v>
      </c>
      <c r="I1188" s="48" t="n">
        <f aca="false">H1188*Assumptions!$D$59^(1/4)+I1183</f>
        <v>1.16598118059218</v>
      </c>
      <c r="J1188" s="48" t="n">
        <f aca="false">I1188*Assumptions!$D$59^(1/4)+J1183</f>
        <v>1.42160383554728</v>
      </c>
      <c r="K1188" s="48" t="n">
        <f aca="false">J1188*Assumptions!$D$59^(1/4)+K1183</f>
        <v>1.6969678671538</v>
      </c>
      <c r="L1188" s="48" t="n">
        <f aca="false">K1188*Assumptions!$D$59^(1/4)+L1183</f>
        <v>1.94938610601978</v>
      </c>
      <c r="M1188" s="48" t="n">
        <f aca="false">L1188*Assumptions!$D$59^(1/4)+M1183</f>
        <v>2.18120865675862</v>
      </c>
      <c r="N1188" s="48" t="n">
        <f aca="false">M1188*Assumptions!$D$59^(1/4)+N1183</f>
        <v>2.39451983310001</v>
      </c>
      <c r="P1188" s="49" t="n">
        <f aca="false">F1188</f>
        <v>0.474899847569309</v>
      </c>
      <c r="Q1188" s="49" t="n">
        <f aca="false">J1188</f>
        <v>1.42160383554728</v>
      </c>
      <c r="R1188" s="49" t="n">
        <f aca="false">N1188</f>
        <v>2.39451983310001</v>
      </c>
      <c r="S1188" s="50" t="n">
        <f aca="false">R1188</f>
        <v>2.39451983310001</v>
      </c>
    </row>
    <row r="1189" customFormat="false" ht="15" hidden="false" customHeight="false" outlineLevel="0" collapsed="false">
      <c r="A1189" s="4" t="s">
        <v>535</v>
      </c>
      <c r="B1189" s="36" t="s">
        <v>527</v>
      </c>
      <c r="C1189" s="48" t="n">
        <f aca="false">0*Assumptions!$D$60^(1/4)+C1184</f>
        <v>0</v>
      </c>
      <c r="D1189" s="48" t="n">
        <f aca="false">C1189*Assumptions!$D$60^(1/4)+D1184</f>
        <v>0.0485236382935725</v>
      </c>
      <c r="E1189" s="48" t="n">
        <f aca="false">D1189*Assumptions!$D$60^(1/4)+E1184</f>
        <v>0.138036960298344</v>
      </c>
      <c r="F1189" s="48" t="n">
        <f aca="false">E1189*Assumptions!$D$60^(1/4)+F1184</f>
        <v>0.23846059355334</v>
      </c>
      <c r="G1189" s="48" t="n">
        <f aca="false">F1189*Assumptions!$D$60^(1/4)+G1184</f>
        <v>0.349996303681003</v>
      </c>
      <c r="H1189" s="48" t="n">
        <f aca="false">G1189*Assumptions!$D$60^(1/4)+H1184</f>
        <v>0.472765799364602</v>
      </c>
      <c r="I1189" s="48" t="n">
        <f aca="false">H1189*Assumptions!$D$60^(1/4)+I1184</f>
        <v>0.587549328024051</v>
      </c>
      <c r="J1189" s="48" t="n">
        <f aca="false">I1189*Assumptions!$D$60^(1/4)+J1184</f>
        <v>0.714158308952753</v>
      </c>
      <c r="K1189" s="48" t="n">
        <f aca="false">J1189*Assumptions!$D$60^(1/4)+K1184</f>
        <v>0.84887672118223</v>
      </c>
      <c r="L1189" s="48" t="n">
        <f aca="false">K1189*Assumptions!$D$60^(1/4)+L1184</f>
        <v>0.972793644417184</v>
      </c>
      <c r="M1189" s="48" t="n">
        <f aca="false">L1189*Assumptions!$D$60^(1/4)+M1184</f>
        <v>1.08700609285567</v>
      </c>
      <c r="N1189" s="48" t="n">
        <f aca="false">M1189*Assumptions!$D$60^(1/4)+N1184</f>
        <v>1.1924868867334</v>
      </c>
      <c r="P1189" s="49" t="n">
        <f aca="false">F1189</f>
        <v>0.23846059355334</v>
      </c>
      <c r="Q1189" s="49" t="n">
        <f aca="false">J1189</f>
        <v>0.714158308952753</v>
      </c>
      <c r="R1189" s="49" t="n">
        <f aca="false">N1189</f>
        <v>1.1924868867334</v>
      </c>
      <c r="S1189" s="50" t="n">
        <f aca="false">R1189</f>
        <v>1.1924868867334</v>
      </c>
    </row>
    <row r="1190" customFormat="false" ht="15" hidden="false" customHeight="false" outlineLevel="0" collapsed="false">
      <c r="A1190" s="4" t="s">
        <v>536</v>
      </c>
      <c r="B1190" s="36" t="s">
        <v>527</v>
      </c>
      <c r="C1190" s="48" t="n">
        <f aca="false">0*Assumptions!$D$61^(1/4)+C1185</f>
        <v>0</v>
      </c>
      <c r="D1190" s="48" t="n">
        <f aca="false">C1190*Assumptions!$D$61^(1/4)+D1185</f>
        <v>0</v>
      </c>
      <c r="E1190" s="48" t="n">
        <f aca="false">D1190*Assumptions!$D$61^(1/4)+E1185</f>
        <v>0.0056910439973943</v>
      </c>
      <c r="F1190" s="48" t="n">
        <f aca="false">E1190*Assumptions!$D$61^(1/4)+F1185</f>
        <v>0.0162211089755146</v>
      </c>
      <c r="G1190" s="48" t="n">
        <f aca="false">F1190*Assumptions!$D$61^(1/4)+G1185</f>
        <v>0.0280880580588496</v>
      </c>
      <c r="H1190" s="48" t="n">
        <f aca="false">G1190*Assumptions!$D$61^(1/4)+H1185</f>
        <v>0.0413208561185125</v>
      </c>
      <c r="I1190" s="48" t="n">
        <f aca="false">H1190*Assumptions!$D$61^(1/4)+I1185</f>
        <v>0.0559390432483611</v>
      </c>
      <c r="J1190" s="48" t="n">
        <f aca="false">I1190*Assumptions!$D$61^(1/4)+J1185</f>
        <v>0.0696936301671769</v>
      </c>
      <c r="K1190" s="48" t="n">
        <f aca="false">J1190*Assumptions!$D$61^(1/4)+K1185</f>
        <v>0.0837755656144534</v>
      </c>
      <c r="L1190" s="48" t="n">
        <f aca="false">K1190*Assumptions!$D$61^(1/4)+L1185</f>
        <v>0.0980875418184369</v>
      </c>
      <c r="M1190" s="48" t="n">
        <f aca="false">L1190*Assumptions!$D$61^(1/4)+M1185</f>
        <v>0.111337673785347</v>
      </c>
      <c r="N1190" s="48" t="n">
        <f aca="false">M1190*Assumptions!$D$61^(1/4)+N1185</f>
        <v>0.123632694064664</v>
      </c>
      <c r="P1190" s="49" t="n">
        <f aca="false">F1190</f>
        <v>0.0162211089755146</v>
      </c>
      <c r="Q1190" s="49" t="n">
        <f aca="false">J1190</f>
        <v>0.0696936301671769</v>
      </c>
      <c r="R1190" s="49" t="n">
        <f aca="false">N1190</f>
        <v>0.123632694064664</v>
      </c>
      <c r="S1190" s="50" t="n">
        <f aca="false">R1190</f>
        <v>0.123632694064664</v>
      </c>
    </row>
    <row r="1191" customFormat="false" ht="15" hidden="false" customHeight="false" outlineLevel="0" collapsed="false">
      <c r="A1191" s="9" t="s">
        <v>537</v>
      </c>
      <c r="B1191" s="36" t="s">
        <v>527</v>
      </c>
      <c r="C1191" s="49" t="n">
        <f aca="false">C1188+C1189+C1190</f>
        <v>0</v>
      </c>
      <c r="D1191" s="49" t="n">
        <f aca="false">D1188+D1189+D1190</f>
        <v>0.145370430383406</v>
      </c>
      <c r="E1191" s="49" t="n">
        <f aca="false">E1188+E1189+E1190</f>
        <v>0.418959295413137</v>
      </c>
      <c r="F1191" s="49" t="n">
        <f aca="false">F1188+F1189+F1190</f>
        <v>0.729581550098164</v>
      </c>
      <c r="G1191" s="49" t="n">
        <f aca="false">G1188+G1189+G1190</f>
        <v>1.07429786330295</v>
      </c>
      <c r="H1191" s="49" t="n">
        <f aca="false">H1188+H1189+H1190</f>
        <v>1.4534606919375</v>
      </c>
      <c r="I1191" s="49" t="n">
        <f aca="false">I1188+I1189+I1190</f>
        <v>1.80946955186459</v>
      </c>
      <c r="J1191" s="49" t="n">
        <f aca="false">J1188+J1189+J1190</f>
        <v>2.20545577466722</v>
      </c>
      <c r="K1191" s="49" t="n">
        <f aca="false">K1188+K1189+K1190</f>
        <v>2.62962015395049</v>
      </c>
      <c r="L1191" s="49" t="n">
        <f aca="false">L1188+L1189+L1190</f>
        <v>3.0202672922554</v>
      </c>
      <c r="M1191" s="49" t="n">
        <f aca="false">M1188+M1189+M1190</f>
        <v>3.37955242339964</v>
      </c>
      <c r="N1191" s="49" t="n">
        <f aca="false">N1188+N1189+N1190</f>
        <v>3.71063941389807</v>
      </c>
      <c r="P1191" s="49" t="n">
        <f aca="false">F1191</f>
        <v>0.729581550098164</v>
      </c>
      <c r="Q1191" s="49" t="n">
        <f aca="false">J1191</f>
        <v>2.20545577466722</v>
      </c>
      <c r="R1191" s="49" t="n">
        <f aca="false">N1191</f>
        <v>3.71063941389807</v>
      </c>
      <c r="S1191" s="50" t="n">
        <f aca="false">R1191</f>
        <v>3.71063941389807</v>
      </c>
    </row>
    <row r="1192" customFormat="false" ht="15" hidden="false" customHeight="false" outlineLevel="0" collapsed="false">
      <c r="A1192" s="4" t="s">
        <v>538</v>
      </c>
      <c r="B1192" s="36" t="s">
        <v>125</v>
      </c>
      <c r="C1192" s="54" t="n">
        <f aca="false">0*Assumptions!$D$62^(1/4)+C1183*$C$1132</f>
        <v>0</v>
      </c>
      <c r="D1192" s="54" t="n">
        <f aca="false">C1192*Assumptions!$D$62^(1/4)+D1183*$C$1132</f>
        <v>518.324031264788</v>
      </c>
      <c r="E1192" s="54" t="n">
        <f aca="false">D1192*Assumptions!$D$62^(1/4)+E1183*$C$1132</f>
        <v>1482.98231671071</v>
      </c>
      <c r="F1192" s="54" t="n">
        <f aca="false">E1192*Assumptions!$D$62^(1/4)+F1183*$C$1132</f>
        <v>2579.66464912147</v>
      </c>
      <c r="G1192" s="54" t="n">
        <f aca="false">F1192*Assumptions!$D$62^(1/4)+G1183*$C$1132</f>
        <v>3812.11517083658</v>
      </c>
      <c r="H1192" s="54" t="n">
        <f aca="false">G1192*Assumptions!$D$62^(1/4)+H1183*$C$1132</f>
        <v>5183.22537649089</v>
      </c>
      <c r="I1192" s="54" t="n">
        <f aca="false">H1192*Assumptions!$D$62^(1/4)+I1183*$C$1132</f>
        <v>6489.27191026889</v>
      </c>
      <c r="J1192" s="54" t="n">
        <f aca="false">I1192*Assumptions!$D$62^(1/4)+J1183*$C$1132</f>
        <v>7971.95437699299</v>
      </c>
      <c r="K1192" s="54" t="n">
        <f aca="false">J1192*Assumptions!$D$62^(1/4)+K1183*$C$1132</f>
        <v>9584.17665061554</v>
      </c>
      <c r="L1192" s="54" t="n">
        <f aca="false">K1192*Assumptions!$D$62^(1/4)+L1183*$C$1132</f>
        <v>11099.0113721053</v>
      </c>
      <c r="M1192" s="54" t="n">
        <f aca="false">L1192*Assumptions!$D$62^(1/4)+M1183*$C$1132</f>
        <v>12526.1558047191</v>
      </c>
      <c r="N1192" s="54" t="n">
        <f aca="false">M1192*Assumptions!$D$62^(1/4)+N1183*$C$1132</f>
        <v>13874.1854365412</v>
      </c>
      <c r="P1192" s="55" t="n">
        <f aca="false">F1192</f>
        <v>2579.66464912147</v>
      </c>
      <c r="Q1192" s="55" t="n">
        <f aca="false">J1192</f>
        <v>7971.95437699299</v>
      </c>
      <c r="R1192" s="55" t="n">
        <f aca="false">N1192</f>
        <v>13874.1854365412</v>
      </c>
      <c r="S1192" s="56" t="n">
        <f aca="false">R1192</f>
        <v>13874.1854365412</v>
      </c>
    </row>
    <row r="1193" customFormat="false" ht="15" hidden="false" customHeight="false" outlineLevel="0" collapsed="false">
      <c r="A1193" s="4" t="s">
        <v>539</v>
      </c>
      <c r="B1193" s="36" t="s">
        <v>125</v>
      </c>
      <c r="C1193" s="54" t="n">
        <f aca="false">0*Assumptions!$D$63^(1/4)+C1184*$C$1133</f>
        <v>0</v>
      </c>
      <c r="D1193" s="54" t="n">
        <f aca="false">C1193*Assumptions!$D$63^(1/4)+D1184*$C$1133</f>
        <v>355.43759613159</v>
      </c>
      <c r="E1193" s="54" t="n">
        <f aca="false">D1193*Assumptions!$D$63^(1/4)+E1184*$C$1133</f>
        <v>1022.48810508183</v>
      </c>
      <c r="F1193" s="54" t="n">
        <f aca="false">E1193*Assumptions!$D$63^(1/4)+F1184*$C$1133</f>
        <v>1790.35943376312</v>
      </c>
      <c r="G1193" s="54" t="n">
        <f aca="false">F1193*Assumptions!$D$63^(1/4)+G1184*$C$1133</f>
        <v>2662.97887384373</v>
      </c>
      <c r="H1193" s="54" t="n">
        <f aca="false">G1193*Assumptions!$D$63^(1/4)+H1184*$C$1133</f>
        <v>3643.72220054263</v>
      </c>
      <c r="I1193" s="54" t="n">
        <f aca="false">H1193*Assumptions!$D$63^(1/4)+I1184*$C$1133</f>
        <v>4594.30419241975</v>
      </c>
      <c r="J1193" s="54" t="n">
        <f aca="false">I1193*Assumptions!$D$63^(1/4)+J1184*$C$1133</f>
        <v>5657.83161553475</v>
      </c>
      <c r="K1193" s="54" t="n">
        <f aca="false">J1193*Assumptions!$D$63^(1/4)+K1184*$C$1133</f>
        <v>6809.72078691812</v>
      </c>
      <c r="L1193" s="54" t="n">
        <f aca="false">K1193*Assumptions!$D$63^(1/4)+L1184*$C$1133</f>
        <v>7913.20138682371</v>
      </c>
      <c r="M1193" s="54" t="n">
        <f aca="false">L1193*Assumptions!$D$63^(1/4)+M1184*$C$1133</f>
        <v>8973.62518456671</v>
      </c>
      <c r="N1193" s="54" t="n">
        <f aca="false">M1193*Assumptions!$D$63^(1/4)+N1184*$C$1133</f>
        <v>9995.7046115301</v>
      </c>
      <c r="P1193" s="55" t="n">
        <f aca="false">F1193</f>
        <v>1790.35943376312</v>
      </c>
      <c r="Q1193" s="55" t="n">
        <f aca="false">J1193</f>
        <v>5657.83161553475</v>
      </c>
      <c r="R1193" s="55" t="n">
        <f aca="false">N1193</f>
        <v>9995.7046115301</v>
      </c>
      <c r="S1193" s="56" t="n">
        <f aca="false">R1193</f>
        <v>9995.7046115301</v>
      </c>
    </row>
    <row r="1194" customFormat="false" ht="15" hidden="false" customHeight="false" outlineLevel="0" collapsed="false">
      <c r="A1194" s="4" t="s">
        <v>540</v>
      </c>
      <c r="B1194" s="36" t="s">
        <v>125</v>
      </c>
      <c r="C1194" s="54" t="n">
        <f aca="false">0*Assumptions!$D$64^(1/4)+C1185*$C$1134</f>
        <v>0</v>
      </c>
      <c r="D1194" s="54" t="n">
        <f aca="false">C1194*Assumptions!$D$64^(1/4)+D1185*$C$1134</f>
        <v>0</v>
      </c>
      <c r="E1194" s="54" t="n">
        <f aca="false">D1194*Assumptions!$D$64^(1/4)+E1185*$C$1134</f>
        <v>263.687080670342</v>
      </c>
      <c r="F1194" s="54" t="n">
        <f aca="false">E1194*Assumptions!$D$64^(1/4)+F1185*$C$1134</f>
        <v>763.113668212445</v>
      </c>
      <c r="G1194" s="54" t="n">
        <f aca="false">F1194*Assumptions!$D$64^(1/4)+G1185*$C$1134</f>
        <v>1345.95796528897</v>
      </c>
      <c r="H1194" s="54" t="n">
        <f aca="false">G1194*Assumptions!$D$64^(1/4)+H1185*$C$1134</f>
        <v>2016.53403361335</v>
      </c>
      <c r="I1194" s="54" t="n">
        <f aca="false">H1194*Assumptions!$D$64^(1/4)+I1185*$C$1134</f>
        <v>2778.81440492457</v>
      </c>
      <c r="J1194" s="54" t="n">
        <f aca="false">I1194*Assumptions!$D$64^(1/4)+J1185*$C$1134</f>
        <v>3531.73949757208</v>
      </c>
      <c r="K1194" s="54" t="n">
        <f aca="false">J1194*Assumptions!$D$64^(1/4)+K1185*$C$1134</f>
        <v>4329.11699716467</v>
      </c>
      <c r="L1194" s="54" t="n">
        <f aca="false">K1194*Assumptions!$D$64^(1/4)+L1185*$C$1134</f>
        <v>5167.4608628258</v>
      </c>
      <c r="M1194" s="54" t="n">
        <f aca="false">L1194*Assumptions!$D$64^(1/4)+M1185*$C$1134</f>
        <v>5987.7512886845</v>
      </c>
      <c r="N1194" s="54" t="n">
        <f aca="false">M1194*Assumptions!$D$64^(1/4)+N1185*$C$1134</f>
        <v>6793.16456694475</v>
      </c>
      <c r="P1194" s="55" t="n">
        <f aca="false">F1194</f>
        <v>763.113668212445</v>
      </c>
      <c r="Q1194" s="55" t="n">
        <f aca="false">J1194</f>
        <v>3531.73949757208</v>
      </c>
      <c r="R1194" s="55" t="n">
        <f aca="false">N1194</f>
        <v>6793.16456694475</v>
      </c>
      <c r="S1194" s="56" t="n">
        <f aca="false">R1194</f>
        <v>6793.16456694475</v>
      </c>
    </row>
    <row r="1195" customFormat="false" ht="15" hidden="false" customHeight="false" outlineLevel="0" collapsed="false">
      <c r="A1195" s="9" t="s">
        <v>541</v>
      </c>
      <c r="B1195" s="36" t="s">
        <v>125</v>
      </c>
      <c r="C1195" s="55" t="n">
        <f aca="false">C1192+C1193+C1194</f>
        <v>0</v>
      </c>
      <c r="D1195" s="55" t="n">
        <f aca="false">D1192+D1193+D1194</f>
        <v>873.761627396377</v>
      </c>
      <c r="E1195" s="55" t="n">
        <f aca="false">E1192+E1193+E1194</f>
        <v>2769.15750246288</v>
      </c>
      <c r="F1195" s="55" t="n">
        <f aca="false">F1192+F1193+F1194</f>
        <v>5133.13775109704</v>
      </c>
      <c r="G1195" s="55" t="n">
        <f aca="false">G1192+G1193+G1194</f>
        <v>7821.05200996928</v>
      </c>
      <c r="H1195" s="55" t="n">
        <f aca="false">H1192+H1193+H1194</f>
        <v>10843.4816106469</v>
      </c>
      <c r="I1195" s="55" t="n">
        <f aca="false">I1192+I1193+I1194</f>
        <v>13862.3905076132</v>
      </c>
      <c r="J1195" s="55" t="n">
        <f aca="false">J1192+J1193+J1194</f>
        <v>17161.5254900998</v>
      </c>
      <c r="K1195" s="55" t="n">
        <f aca="false">K1192+K1193+K1194</f>
        <v>20723.0144346983</v>
      </c>
      <c r="L1195" s="55" t="n">
        <f aca="false">L1192+L1193+L1194</f>
        <v>24179.6736217548</v>
      </c>
      <c r="M1195" s="55" t="n">
        <f aca="false">M1192+M1193+M1194</f>
        <v>27487.5322779703</v>
      </c>
      <c r="N1195" s="55" t="n">
        <f aca="false">N1192+N1193+N1194</f>
        <v>30663.054615016</v>
      </c>
      <c r="P1195" s="55" t="n">
        <f aca="false">F1195</f>
        <v>5133.13775109704</v>
      </c>
      <c r="Q1195" s="55" t="n">
        <f aca="false">J1195</f>
        <v>17161.5254900998</v>
      </c>
      <c r="R1195" s="55" t="n">
        <f aca="false">N1195</f>
        <v>30663.054615016</v>
      </c>
      <c r="S1195" s="56" t="n">
        <f aca="false">R1195</f>
        <v>30663.054615016</v>
      </c>
    </row>
    <row r="1196" customFormat="false" ht="15" hidden="false" customHeight="false" outlineLevel="0" collapsed="false">
      <c r="A1196" s="4" t="s">
        <v>542</v>
      </c>
      <c r="B1196" s="36" t="s">
        <v>125</v>
      </c>
      <c r="C1196" s="54" t="n">
        <f aca="false">C1183*$C$1132+C1184*$C$1133+C1185*$C$1134</f>
        <v>0</v>
      </c>
      <c r="D1196" s="54" t="n">
        <f aca="false">D1183*$C$1132+D1184*$C$1133+D1185*$C$1134</f>
        <v>873.761627396377</v>
      </c>
      <c r="E1196" s="54" t="n">
        <f aca="false">E1183*$C$1132+E1184*$C$1133+E1185*$C$1134</f>
        <v>1907.87938710782</v>
      </c>
      <c r="F1196" s="54" t="n">
        <f aca="false">F1183*$C$1132+F1184*$C$1133+F1185*$C$1134</f>
        <v>2396.48884571631</v>
      </c>
      <c r="G1196" s="54" t="n">
        <f aca="false">G1183*$C$1132+G1184*$C$1133+G1185*$C$1134</f>
        <v>2740.78642849085</v>
      </c>
      <c r="H1196" s="54" t="n">
        <f aca="false">H1183*$C$1132+H1184*$C$1133+H1185*$C$1134</f>
        <v>3097.97018491142</v>
      </c>
      <c r="I1196" s="54" t="n">
        <f aca="false">I1183*$C$1132+I1184*$C$1133+I1185*$C$1134</f>
        <v>3119.44645217211</v>
      </c>
      <c r="J1196" s="54" t="n">
        <f aca="false">J1183*$C$1132+J1184*$C$1133+J1185*$C$1134</f>
        <v>3422.04990081499</v>
      </c>
      <c r="K1196" s="54" t="n">
        <f aca="false">K1183*$C$1132+K1184*$C$1133+K1185*$C$1134</f>
        <v>3711.10898440751</v>
      </c>
      <c r="L1196" s="54" t="n">
        <f aca="false">L1183*$C$1132+L1184*$C$1133+L1185*$C$1134</f>
        <v>3635.55633890095</v>
      </c>
      <c r="M1196" s="54" t="n">
        <f aca="false">M1183*$C$1132+M1184*$C$1133+M1185*$C$1134</f>
        <v>3513.27722158317</v>
      </c>
      <c r="N1196" s="54" t="n">
        <f aca="false">N1183*$C$1132+N1184*$C$1133+N1185*$C$1134</f>
        <v>3405.65793526705</v>
      </c>
      <c r="P1196" s="55" t="n">
        <f aca="false">SUM(C1196:F1196)</f>
        <v>5178.12986022051</v>
      </c>
      <c r="Q1196" s="55" t="n">
        <f aca="false">SUM(G1196:J1196)</f>
        <v>12380.2529663894</v>
      </c>
      <c r="R1196" s="55" t="n">
        <f aca="false">SUM(K1196:N1196)</f>
        <v>14265.6004801587</v>
      </c>
      <c r="S1196" s="56" t="n">
        <f aca="false">SUM(P1196:R1196)</f>
        <v>31823.9833067686</v>
      </c>
    </row>
    <row r="1197" customFormat="false" ht="15" hidden="false" customHeight="false" outlineLevel="0" collapsed="false">
      <c r="A1197" s="9" t="s">
        <v>543</v>
      </c>
      <c r="B1197" s="36" t="s">
        <v>125</v>
      </c>
      <c r="C1197" s="55" t="n">
        <f aca="false">(0+C1195)/8</f>
        <v>0</v>
      </c>
      <c r="D1197" s="55" t="n">
        <f aca="false">(C1195+D1195)/8</f>
        <v>109.220203424547</v>
      </c>
      <c r="E1197" s="55" t="n">
        <f aca="false">(D1195+E1195)/8</f>
        <v>455.364891232407</v>
      </c>
      <c r="F1197" s="55" t="n">
        <f aca="false">(E1195+F1195)/8</f>
        <v>987.78690669499</v>
      </c>
      <c r="G1197" s="55" t="n">
        <f aca="false">(F1195+G1195)/8</f>
        <v>1619.27372013329</v>
      </c>
      <c r="H1197" s="55" t="n">
        <f aca="false">(G1195+H1195)/8</f>
        <v>2333.06670257702</v>
      </c>
      <c r="I1197" s="55" t="n">
        <f aca="false">(H1195+I1195)/8</f>
        <v>3088.23401478251</v>
      </c>
      <c r="J1197" s="55" t="n">
        <f aca="false">(I1195+J1195)/8</f>
        <v>3877.98949971413</v>
      </c>
      <c r="K1197" s="55" t="n">
        <f aca="false">(J1195+K1195)/8</f>
        <v>4735.56749059977</v>
      </c>
      <c r="L1197" s="55" t="n">
        <f aca="false">(K1195+L1195)/8</f>
        <v>5612.83600705664</v>
      </c>
      <c r="M1197" s="55" t="n">
        <f aca="false">(L1195+M1195)/8</f>
        <v>6458.40073746564</v>
      </c>
      <c r="N1197" s="55" t="n">
        <f aca="false">(M1195+N1195)/8</f>
        <v>7268.82336162329</v>
      </c>
      <c r="P1197" s="55" t="n">
        <f aca="false">SUM(C1197:F1197)</f>
        <v>1552.37200135194</v>
      </c>
      <c r="Q1197" s="55" t="n">
        <f aca="false">SUM(G1197:J1197)</f>
        <v>10918.5639372069</v>
      </c>
      <c r="R1197" s="55" t="n">
        <f aca="false">SUM(K1197:N1197)</f>
        <v>24075.6275967453</v>
      </c>
      <c r="S1197" s="56" t="n">
        <f aca="false">SUM(P1197:R1197)</f>
        <v>36546.5635353042</v>
      </c>
    </row>
    <row r="1198" customFormat="false" ht="15" hidden="false" customHeight="false" outlineLevel="0" collapsed="false">
      <c r="A1198" s="4" t="s">
        <v>544</v>
      </c>
      <c r="B1198" s="36" t="s">
        <v>125</v>
      </c>
      <c r="C1198" s="54" t="n">
        <f aca="false">C1197*Assumptions!$D$76</f>
        <v>0</v>
      </c>
      <c r="D1198" s="54" t="n">
        <f aca="false">D1197*Assumptions!$D$76</f>
        <v>60.0711118835009</v>
      </c>
      <c r="E1198" s="54" t="n">
        <f aca="false">E1197*Assumptions!$D$76</f>
        <v>250.450690177824</v>
      </c>
      <c r="F1198" s="54" t="n">
        <f aca="false">F1197*Assumptions!$D$76</f>
        <v>543.282798682245</v>
      </c>
      <c r="G1198" s="54" t="n">
        <f aca="false">G1197*Assumptions!$D$76</f>
        <v>890.600546073309</v>
      </c>
      <c r="H1198" s="54" t="n">
        <f aca="false">H1197*Assumptions!$D$76</f>
        <v>1283.18668641736</v>
      </c>
      <c r="I1198" s="54" t="n">
        <f aca="false">I1197*Assumptions!$D$76</f>
        <v>1698.52870813038</v>
      </c>
      <c r="J1198" s="54" t="n">
        <f aca="false">J1197*Assumptions!$D$76</f>
        <v>2132.89422484277</v>
      </c>
      <c r="K1198" s="54" t="n">
        <f aca="false">K1197*Assumptions!$D$76</f>
        <v>2604.56211982987</v>
      </c>
      <c r="L1198" s="54" t="n">
        <f aca="false">L1197*Assumptions!$D$76</f>
        <v>3087.05980388115</v>
      </c>
      <c r="M1198" s="54" t="n">
        <f aca="false">M1197*Assumptions!$D$76</f>
        <v>3552.1204056061</v>
      </c>
      <c r="N1198" s="54" t="n">
        <f aca="false">N1197*Assumptions!$D$76</f>
        <v>3997.85284889281</v>
      </c>
      <c r="P1198" s="55" t="n">
        <f aca="false">SUM(C1198:F1198)</f>
        <v>853.80460074357</v>
      </c>
      <c r="Q1198" s="55" t="n">
        <f aca="false">SUM(G1198:J1198)</f>
        <v>6005.21016546382</v>
      </c>
      <c r="R1198" s="55" t="n">
        <f aca="false">SUM(K1198:N1198)</f>
        <v>13241.5951782099</v>
      </c>
      <c r="S1198" s="56" t="n">
        <f aca="false">SUM(P1198:R1198)</f>
        <v>20100.6099444173</v>
      </c>
    </row>
    <row r="1199" customFormat="false" ht="15" hidden="false" customHeight="false" outlineLevel="0" collapsed="false">
      <c r="A1199" s="35" t="s">
        <v>547</v>
      </c>
      <c r="B1199" s="35" t="s">
        <v>444</v>
      </c>
      <c r="C1199" s="6" t="s">
        <v>354</v>
      </c>
      <c r="D1199" s="6" t="s">
        <v>355</v>
      </c>
      <c r="E1199" s="6" t="s">
        <v>356</v>
      </c>
      <c r="F1199" s="6" t="s">
        <v>357</v>
      </c>
      <c r="G1199" s="6" t="s">
        <v>358</v>
      </c>
      <c r="H1199" s="6" t="s">
        <v>359</v>
      </c>
      <c r="I1199" s="6" t="s">
        <v>360</v>
      </c>
      <c r="J1199" s="6" t="s">
        <v>361</v>
      </c>
      <c r="K1199" s="6" t="s">
        <v>362</v>
      </c>
      <c r="L1199" s="6" t="s">
        <v>363</v>
      </c>
      <c r="M1199" s="6" t="s">
        <v>364</v>
      </c>
      <c r="N1199" s="6" t="s">
        <v>365</v>
      </c>
      <c r="P1199" s="6" t="s">
        <v>445</v>
      </c>
      <c r="Q1199" s="6" t="s">
        <v>446</v>
      </c>
      <c r="R1199" s="6" t="s">
        <v>447</v>
      </c>
      <c r="S1199" s="6" t="s">
        <v>448</v>
      </c>
    </row>
    <row r="1200" customFormat="false" ht="15" hidden="false" customHeight="false" outlineLevel="0" collapsed="false">
      <c r="A1200" s="4" t="s">
        <v>548</v>
      </c>
      <c r="B1200" s="36" t="s">
        <v>321</v>
      </c>
      <c r="C1200" s="48" t="n">
        <f aca="false">Assumptions!$F$97*C1142</f>
        <v>0</v>
      </c>
      <c r="D1200" s="48" t="n">
        <f aca="false">Assumptions!$F$97*D1142</f>
        <v>0</v>
      </c>
      <c r="E1200" s="48" t="n">
        <f aca="false">Assumptions!$F$97*E1142</f>
        <v>0</v>
      </c>
      <c r="F1200" s="48" t="n">
        <f aca="false">Assumptions!$F$97*F1142</f>
        <v>0</v>
      </c>
      <c r="G1200" s="48" t="n">
        <f aca="false">Assumptions!$F$97*G1142</f>
        <v>0</v>
      </c>
      <c r="H1200" s="48" t="n">
        <f aca="false">Assumptions!$F$97*H1142</f>
        <v>0</v>
      </c>
      <c r="I1200" s="48" t="n">
        <f aca="false">Assumptions!$F$97*I1142</f>
        <v>0</v>
      </c>
      <c r="J1200" s="48" t="n">
        <f aca="false">Assumptions!$F$97*J1142</f>
        <v>0</v>
      </c>
      <c r="K1200" s="48" t="n">
        <f aca="false">Assumptions!$F$97*K1142</f>
        <v>0</v>
      </c>
      <c r="L1200" s="48" t="n">
        <f aca="false">Assumptions!$F$97*L1142</f>
        <v>0</v>
      </c>
      <c r="M1200" s="48" t="n">
        <f aca="false">Assumptions!$F$97*M1142</f>
        <v>0</v>
      </c>
      <c r="N1200" s="48" t="n">
        <f aca="false">Assumptions!$F$97*N1142</f>
        <v>0</v>
      </c>
      <c r="P1200" s="49" t="n">
        <f aca="false">AVERAGE(C1200:F1200)</f>
        <v>0</v>
      </c>
      <c r="Q1200" s="49" t="n">
        <f aca="false">AVERAGE(G1200:J1200)</f>
        <v>0</v>
      </c>
      <c r="R1200" s="49" t="n">
        <f aca="false">AVERAGE(K1200:N1200)</f>
        <v>0</v>
      </c>
      <c r="S1200" s="50"/>
    </row>
    <row r="1201" customFormat="false" ht="15" hidden="false" customHeight="false" outlineLevel="0" collapsed="false">
      <c r="A1201" s="4" t="s">
        <v>549</v>
      </c>
      <c r="B1201" s="36" t="s">
        <v>321</v>
      </c>
      <c r="C1201" s="48" t="n">
        <f aca="false">C1155*C1142</f>
        <v>0</v>
      </c>
      <c r="D1201" s="48" t="n">
        <f aca="false">D1155*D1142</f>
        <v>0</v>
      </c>
      <c r="E1201" s="48" t="n">
        <f aca="false">E1155*E1142</f>
        <v>0</v>
      </c>
      <c r="F1201" s="48" t="n">
        <f aca="false">F1155*F1142</f>
        <v>0</v>
      </c>
      <c r="G1201" s="48" t="n">
        <f aca="false">G1155*G1142</f>
        <v>0</v>
      </c>
      <c r="H1201" s="48" t="n">
        <f aca="false">H1155*H1142</f>
        <v>0</v>
      </c>
      <c r="I1201" s="48" t="n">
        <f aca="false">I1155*I1142</f>
        <v>0</v>
      </c>
      <c r="J1201" s="48" t="n">
        <f aca="false">J1155*J1142</f>
        <v>0</v>
      </c>
      <c r="K1201" s="48" t="n">
        <f aca="false">K1155*K1142</f>
        <v>0</v>
      </c>
      <c r="L1201" s="48" t="n">
        <f aca="false">L1155*L1142</f>
        <v>0</v>
      </c>
      <c r="M1201" s="48" t="n">
        <f aca="false">M1155*M1142</f>
        <v>0</v>
      </c>
      <c r="N1201" s="48" t="n">
        <f aca="false">N1155*N1142</f>
        <v>0</v>
      </c>
      <c r="P1201" s="49" t="n">
        <f aca="false">AVERAGE(C1201:F1201)</f>
        <v>0</v>
      </c>
      <c r="Q1201" s="49" t="n">
        <f aca="false">AVERAGE(G1201:J1201)</f>
        <v>0</v>
      </c>
      <c r="R1201" s="49" t="n">
        <f aca="false">AVERAGE(K1201:N1201)</f>
        <v>0</v>
      </c>
      <c r="S1201" s="50"/>
    </row>
    <row r="1202" customFormat="false" ht="15" hidden="false" customHeight="false" outlineLevel="0" collapsed="false">
      <c r="A1202" s="4" t="s">
        <v>550</v>
      </c>
      <c r="B1202" s="36" t="s">
        <v>321</v>
      </c>
      <c r="C1202" s="48" t="n">
        <f aca="false">IF(C1141&lt;=4,Assumptions!$F$98,Assumptions!$F$99)*C1142</f>
        <v>0</v>
      </c>
      <c r="D1202" s="48" t="n">
        <f aca="false">IF(D1141&lt;=4,Assumptions!$F$98,Assumptions!$F$99)*D1142</f>
        <v>0</v>
      </c>
      <c r="E1202" s="48" t="n">
        <f aca="false">IF(E1141&lt;=4,Assumptions!$F$98,Assumptions!$F$99)*E1142</f>
        <v>0</v>
      </c>
      <c r="F1202" s="48" t="n">
        <f aca="false">IF(F1141&lt;=4,Assumptions!$F$98,Assumptions!$F$99)*F1142</f>
        <v>0</v>
      </c>
      <c r="G1202" s="48" t="n">
        <f aca="false">IF(G1141&lt;=4,Assumptions!$F$98,Assumptions!$F$99)*G1142</f>
        <v>0</v>
      </c>
      <c r="H1202" s="48" t="n">
        <f aca="false">IF(H1141&lt;=4,Assumptions!$F$98,Assumptions!$F$99)*H1142</f>
        <v>0</v>
      </c>
      <c r="I1202" s="48" t="n">
        <f aca="false">IF(I1141&lt;=4,Assumptions!$F$98,Assumptions!$F$99)*I1142</f>
        <v>0</v>
      </c>
      <c r="J1202" s="48" t="n">
        <f aca="false">IF(J1141&lt;=4,Assumptions!$F$98,Assumptions!$F$99)*J1142</f>
        <v>0</v>
      </c>
      <c r="K1202" s="48" t="n">
        <f aca="false">IF(K1141&lt;=4,Assumptions!$F$98,Assumptions!$F$99)*K1142</f>
        <v>0</v>
      </c>
      <c r="L1202" s="48" t="n">
        <f aca="false">IF(L1141&lt;=4,Assumptions!$F$98,Assumptions!$F$99)*L1142</f>
        <v>0</v>
      </c>
      <c r="M1202" s="48" t="n">
        <f aca="false">IF(M1141&lt;=4,Assumptions!$F$98,Assumptions!$F$99)*M1142</f>
        <v>0</v>
      </c>
      <c r="N1202" s="48" t="n">
        <f aca="false">IF(N1141&lt;=4,Assumptions!$F$98,Assumptions!$F$99)*N1142</f>
        <v>0</v>
      </c>
      <c r="P1202" s="49" t="n">
        <f aca="false">AVERAGE(C1202:F1202)</f>
        <v>0</v>
      </c>
      <c r="Q1202" s="49" t="n">
        <f aca="false">AVERAGE(G1202:J1202)</f>
        <v>0</v>
      </c>
      <c r="R1202" s="49" t="n">
        <f aca="false">AVERAGE(K1202:N1202)</f>
        <v>0</v>
      </c>
      <c r="S1202" s="50"/>
    </row>
    <row r="1203" customFormat="false" ht="15" hidden="false" customHeight="false" outlineLevel="0" collapsed="false">
      <c r="A1203" s="4" t="s">
        <v>551</v>
      </c>
      <c r="B1203" s="36" t="s">
        <v>321</v>
      </c>
      <c r="C1203" s="48" t="n">
        <f aca="false">IF(C1141&lt;=4,Assumptions!$F$100,Assumptions!$F$101)*C1142</f>
        <v>0.5</v>
      </c>
      <c r="D1203" s="48" t="n">
        <f aca="false">IF(D1141&lt;=4,Assumptions!$F$100,Assumptions!$F$101)*D1142</f>
        <v>0.5</v>
      </c>
      <c r="E1203" s="48" t="n">
        <f aca="false">IF(E1141&lt;=4,Assumptions!$F$100,Assumptions!$F$101)*E1142</f>
        <v>0.5</v>
      </c>
      <c r="F1203" s="48" t="n">
        <f aca="false">IF(F1141&lt;=4,Assumptions!$F$100,Assumptions!$F$101)*F1142</f>
        <v>0.5</v>
      </c>
      <c r="G1203" s="48" t="n">
        <f aca="false">IF(G1141&lt;=4,Assumptions!$F$100,Assumptions!$F$101)*G1142</f>
        <v>0.25</v>
      </c>
      <c r="H1203" s="48" t="n">
        <f aca="false">IF(H1141&lt;=4,Assumptions!$F$100,Assumptions!$F$101)*H1142</f>
        <v>0.25</v>
      </c>
      <c r="I1203" s="48" t="n">
        <f aca="false">IF(I1141&lt;=4,Assumptions!$F$100,Assumptions!$F$101)*I1142</f>
        <v>0.25</v>
      </c>
      <c r="J1203" s="48" t="n">
        <f aca="false">IF(J1141&lt;=4,Assumptions!$F$100,Assumptions!$F$101)*J1142</f>
        <v>0.25</v>
      </c>
      <c r="K1203" s="48" t="n">
        <f aca="false">IF(K1141&lt;=4,Assumptions!$F$100,Assumptions!$F$101)*K1142</f>
        <v>0.25</v>
      </c>
      <c r="L1203" s="48" t="n">
        <f aca="false">IF(L1141&lt;=4,Assumptions!$F$100,Assumptions!$F$101)*L1142</f>
        <v>0.25</v>
      </c>
      <c r="M1203" s="48" t="n">
        <f aca="false">IF(M1141&lt;=4,Assumptions!$F$100,Assumptions!$F$101)*M1142</f>
        <v>0.25</v>
      </c>
      <c r="N1203" s="48" t="n">
        <f aca="false">IF(N1141&lt;=4,Assumptions!$F$100,Assumptions!$F$101)*N1142</f>
        <v>0.25</v>
      </c>
      <c r="P1203" s="49" t="n">
        <f aca="false">AVERAGE(C1203:F1203)</f>
        <v>0.5</v>
      </c>
      <c r="Q1203" s="49" t="n">
        <f aca="false">AVERAGE(G1203:J1203)</f>
        <v>0.25</v>
      </c>
      <c r="R1203" s="49" t="n">
        <f aca="false">AVERAGE(K1203:N1203)</f>
        <v>0.25</v>
      </c>
      <c r="S1203" s="50"/>
    </row>
    <row r="1204" customFormat="false" ht="15" hidden="false" customHeight="false" outlineLevel="0" collapsed="false">
      <c r="A1204" s="4" t="s">
        <v>552</v>
      </c>
      <c r="B1204" s="36" t="s">
        <v>321</v>
      </c>
      <c r="C1204" s="48" t="n">
        <f aca="false">Assumptions!$F$102*C1142</f>
        <v>0.1</v>
      </c>
      <c r="D1204" s="48" t="n">
        <f aca="false">Assumptions!$F$102*D1142</f>
        <v>0.1</v>
      </c>
      <c r="E1204" s="48" t="n">
        <f aca="false">Assumptions!$F$102*E1142</f>
        <v>0.1</v>
      </c>
      <c r="F1204" s="48" t="n">
        <f aca="false">Assumptions!$F$102*F1142</f>
        <v>0.1</v>
      </c>
      <c r="G1204" s="48" t="n">
        <f aca="false">Assumptions!$F$102*G1142</f>
        <v>0.1</v>
      </c>
      <c r="H1204" s="48" t="n">
        <f aca="false">Assumptions!$F$102*H1142</f>
        <v>0.1</v>
      </c>
      <c r="I1204" s="48" t="n">
        <f aca="false">Assumptions!$F$102*I1142</f>
        <v>0.1</v>
      </c>
      <c r="J1204" s="48" t="n">
        <f aca="false">Assumptions!$F$102*J1142</f>
        <v>0.1</v>
      </c>
      <c r="K1204" s="48" t="n">
        <f aca="false">Assumptions!$F$102*K1142</f>
        <v>0.1</v>
      </c>
      <c r="L1204" s="48" t="n">
        <f aca="false">Assumptions!$F$102*L1142</f>
        <v>0.1</v>
      </c>
      <c r="M1204" s="48" t="n">
        <f aca="false">Assumptions!$F$102*M1142</f>
        <v>0.1</v>
      </c>
      <c r="N1204" s="48" t="n">
        <f aca="false">Assumptions!$F$102*N1142</f>
        <v>0.1</v>
      </c>
      <c r="P1204" s="49" t="n">
        <f aca="false">AVERAGE(C1204:F1204)</f>
        <v>0.1</v>
      </c>
      <c r="Q1204" s="49" t="n">
        <f aca="false">AVERAGE(G1204:J1204)</f>
        <v>0.1</v>
      </c>
      <c r="R1204" s="49" t="n">
        <f aca="false">AVERAGE(K1204:N1204)</f>
        <v>0.1</v>
      </c>
      <c r="S1204" s="50"/>
    </row>
    <row r="1205" customFormat="false" ht="15" hidden="false" customHeight="false" outlineLevel="0" collapsed="false">
      <c r="A1205" s="4" t="s">
        <v>553</v>
      </c>
      <c r="B1205" s="36" t="s">
        <v>321</v>
      </c>
      <c r="C1205" s="48" t="n">
        <f aca="false">(C1189+C1190)/Assumptions!$D$74+C1188/Assumptions!$D$75</f>
        <v>0</v>
      </c>
      <c r="D1205" s="48" t="n">
        <f aca="false">(D1189+D1190)/Assumptions!$D$74+D1188/Assumptions!$D$75</f>
        <v>0.00160047812569864</v>
      </c>
      <c r="E1205" s="48" t="n">
        <f aca="false">(E1189+E1190)/Assumptions!$D$74+E1188/Assumptions!$D$75</f>
        <v>0.00469412527186306</v>
      </c>
      <c r="F1205" s="48" t="n">
        <f aca="false">(F1189+F1190)/Assumptions!$D$74+F1188/Assumptions!$D$75</f>
        <v>0.00826664195349861</v>
      </c>
      <c r="G1205" s="48" t="n">
        <f aca="false">(G1189+G1190)/Assumptions!$D$74+G1188/Assumptions!$D$75</f>
        <v>0.0122369630497487</v>
      </c>
      <c r="H1205" s="48" t="n">
        <f aca="false">(H1189+H1190)/Assumptions!$D$74+H1188/Assumptions!$D$75</f>
        <v>0.0166096625328954</v>
      </c>
      <c r="I1205" s="48" t="n">
        <f aca="false">(I1189+I1190)/Assumptions!$D$74+I1188/Assumptions!$D$75</f>
        <v>0.020751134004179</v>
      </c>
      <c r="J1205" s="48" t="n">
        <f aca="false">(J1189+J1190)/Assumptions!$D$74+J1188/Assumptions!$D$75</f>
        <v>0.0252827138201874</v>
      </c>
      <c r="K1205" s="48" t="n">
        <f aca="false">(K1189+K1190)/Assumptions!$D$74+K1188/Assumptions!$D$75</f>
        <v>0.0301041786385323</v>
      </c>
      <c r="L1205" s="48" t="n">
        <f aca="false">(L1189+L1190)/Assumptions!$D$74+L1188/Assumptions!$D$75</f>
        <v>0.0345695740799696</v>
      </c>
      <c r="M1205" s="48" t="n">
        <f aca="false">(M1189+M1190)/Assumptions!$D$74+M1188/Assumptions!$D$75</f>
        <v>0.03868342879306</v>
      </c>
      <c r="N1205" s="48" t="n">
        <f aca="false">(N1189+N1190)/Assumptions!$D$74+N1188/Assumptions!$D$75</f>
        <v>0.0424810688523516</v>
      </c>
      <c r="P1205" s="49" t="n">
        <f aca="false">AVERAGE(C1205:F1205)</f>
        <v>0.00364031133776508</v>
      </c>
      <c r="Q1205" s="49" t="n">
        <f aca="false">AVERAGE(G1205:J1205)</f>
        <v>0.0187201183517526</v>
      </c>
      <c r="R1205" s="49" t="n">
        <f aca="false">AVERAGE(K1205:N1205)</f>
        <v>0.0364595625909784</v>
      </c>
      <c r="S1205" s="50"/>
    </row>
    <row r="1206" customFormat="false" ht="15" hidden="false" customHeight="false" outlineLevel="0" collapsed="false">
      <c r="A1206" s="4" t="s">
        <v>554</v>
      </c>
      <c r="B1206" s="36" t="s">
        <v>125</v>
      </c>
      <c r="C1206" s="54" t="n">
        <f aca="false">(C1200+C1202)*Assumptions!$D$70/Assumptions!$D$69/4</f>
        <v>0</v>
      </c>
      <c r="D1206" s="54" t="n">
        <f aca="false">(D1200+D1202)*Assumptions!$D$70/Assumptions!$D$69/4</f>
        <v>0</v>
      </c>
      <c r="E1206" s="54" t="n">
        <f aca="false">(E1200+E1202)*Assumptions!$D$70/Assumptions!$D$69/4</f>
        <v>0</v>
      </c>
      <c r="F1206" s="54" t="n">
        <f aca="false">(F1200+F1202)*Assumptions!$D$70/Assumptions!$D$69/4</f>
        <v>0</v>
      </c>
      <c r="G1206" s="54" t="n">
        <f aca="false">(G1200+G1202)*Assumptions!$D$70/Assumptions!$D$69/4</f>
        <v>0</v>
      </c>
      <c r="H1206" s="54" t="n">
        <f aca="false">(H1200+H1202)*Assumptions!$D$70/Assumptions!$D$69/4</f>
        <v>0</v>
      </c>
      <c r="I1206" s="54" t="n">
        <f aca="false">(I1200+I1202)*Assumptions!$D$70/Assumptions!$D$69/4</f>
        <v>0</v>
      </c>
      <c r="J1206" s="54" t="n">
        <f aca="false">(J1200+J1202)*Assumptions!$D$70/Assumptions!$D$69/4</f>
        <v>0</v>
      </c>
      <c r="K1206" s="54" t="n">
        <f aca="false">(K1200+K1202)*Assumptions!$D$70/Assumptions!$D$69/4</f>
        <v>0</v>
      </c>
      <c r="L1206" s="54" t="n">
        <f aca="false">(L1200+L1202)*Assumptions!$D$70/Assumptions!$D$69/4</f>
        <v>0</v>
      </c>
      <c r="M1206" s="54" t="n">
        <f aca="false">(M1200+M1202)*Assumptions!$D$70/Assumptions!$D$69/4</f>
        <v>0</v>
      </c>
      <c r="N1206" s="54" t="n">
        <f aca="false">(N1200+N1202)*Assumptions!$D$70/Assumptions!$D$69/4</f>
        <v>0</v>
      </c>
      <c r="P1206" s="55" t="n">
        <f aca="false">SUM(C1206:F1206)</f>
        <v>0</v>
      </c>
      <c r="Q1206" s="55" t="n">
        <f aca="false">SUM(G1206:J1206)</f>
        <v>0</v>
      </c>
      <c r="R1206" s="55" t="n">
        <f aca="false">SUM(K1206:N1206)</f>
        <v>0</v>
      </c>
      <c r="S1206" s="56" t="n">
        <f aca="false">SUM(P1206:R1206)</f>
        <v>0</v>
      </c>
    </row>
    <row r="1207" customFormat="false" ht="15" hidden="false" customHeight="false" outlineLevel="0" collapsed="false">
      <c r="A1207" s="4" t="s">
        <v>555</v>
      </c>
      <c r="B1207" s="36" t="s">
        <v>125</v>
      </c>
      <c r="C1207" s="54" t="n">
        <f aca="false">C1201*$C$1136/4</f>
        <v>0</v>
      </c>
      <c r="D1207" s="54" t="n">
        <f aca="false">D1201*$C$1136/4</f>
        <v>0</v>
      </c>
      <c r="E1207" s="54" t="n">
        <f aca="false">E1201*$C$1136/4</f>
        <v>0</v>
      </c>
      <c r="F1207" s="54" t="n">
        <f aca="false">F1201*$C$1136/4</f>
        <v>0</v>
      </c>
      <c r="G1207" s="54" t="n">
        <f aca="false">G1201*$C$1136/4</f>
        <v>0</v>
      </c>
      <c r="H1207" s="54" t="n">
        <f aca="false">H1201*$C$1136/4</f>
        <v>0</v>
      </c>
      <c r="I1207" s="54" t="n">
        <f aca="false">I1201*$C$1136/4</f>
        <v>0</v>
      </c>
      <c r="J1207" s="54" t="n">
        <f aca="false">J1201*$C$1136/4</f>
        <v>0</v>
      </c>
      <c r="K1207" s="54" t="n">
        <f aca="false">K1201*$C$1136/4</f>
        <v>0</v>
      </c>
      <c r="L1207" s="54" t="n">
        <f aca="false">L1201*$C$1136/4</f>
        <v>0</v>
      </c>
      <c r="M1207" s="54" t="n">
        <f aca="false">M1201*$C$1136/4</f>
        <v>0</v>
      </c>
      <c r="N1207" s="54" t="n">
        <f aca="false">N1201*$C$1136/4</f>
        <v>0</v>
      </c>
      <c r="P1207" s="55" t="n">
        <f aca="false">SUM(C1207:F1207)</f>
        <v>0</v>
      </c>
      <c r="Q1207" s="55" t="n">
        <f aca="false">SUM(G1207:J1207)</f>
        <v>0</v>
      </c>
      <c r="R1207" s="55" t="n">
        <f aca="false">SUM(K1207:N1207)</f>
        <v>0</v>
      </c>
      <c r="S1207" s="56" t="n">
        <f aca="false">SUM(P1207:R1207)</f>
        <v>0</v>
      </c>
    </row>
    <row r="1208" customFormat="false" ht="15" hidden="false" customHeight="false" outlineLevel="0" collapsed="false">
      <c r="A1208" s="4" t="s">
        <v>556</v>
      </c>
      <c r="B1208" s="36" t="s">
        <v>125</v>
      </c>
      <c r="C1208" s="54" t="n">
        <f aca="false">MAX(0,(C1196-C1177*$C$1132)-C1156*$C$1137)*$C$1138*Assumptions!$F$105</f>
        <v>0</v>
      </c>
      <c r="D1208" s="54" t="n">
        <f aca="false">MAX(0,(D1196-D1177*$C$1132)-D1156*$C$1137)*$C$1138*Assumptions!$F$105</f>
        <v>472.586581198759</v>
      </c>
      <c r="E1208" s="54" t="n">
        <f aca="false">MAX(0,(E1196-E1177*$C$1132)-E1156*$C$1137)*$C$1138*Assumptions!$F$105</f>
        <v>1045.83404447912</v>
      </c>
      <c r="F1208" s="54" t="n">
        <f aca="false">MAX(0,(F1196-F1177*$C$1132)-F1156*$C$1137)*$C$1138*Assumptions!$F$105</f>
        <v>1322.38811871096</v>
      </c>
      <c r="G1208" s="54" t="n">
        <f aca="false">MAX(0,(G1196-G1177*$C$1132)-G1156*$C$1137)*$C$1138*Assumptions!$F$105</f>
        <v>1512.68940574134</v>
      </c>
      <c r="H1208" s="54" t="n">
        <f aca="false">MAX(0,(H1196-H1177*$C$1132)-H1156*$C$1137)*$C$1138*Assumptions!$F$105</f>
        <v>1710.13418644009</v>
      </c>
      <c r="I1208" s="54" t="n">
        <f aca="false">MAX(0,(I1196-I1177*$C$1132)-I1156*$C$1137)*$C$1138*Assumptions!$F$105</f>
        <v>1726.15971034384</v>
      </c>
      <c r="J1208" s="54" t="n">
        <f aca="false">MAX(0,(J1196-J1177*$C$1132)-J1156*$C$1137)*$C$1138*Assumptions!$F$105</f>
        <v>1887.68346158115</v>
      </c>
      <c r="K1208" s="54" t="n">
        <f aca="false">MAX(0,(K1196-K1177*$C$1132)-K1156*$C$1137)*$C$1138*Assumptions!$F$105</f>
        <v>2045.03561417565</v>
      </c>
      <c r="L1208" s="54" t="n">
        <f aca="false">MAX(0,(L1196-L1177*$C$1132)-L1156*$C$1137)*$C$1138*Assumptions!$F$105</f>
        <v>2005.89145261461</v>
      </c>
      <c r="M1208" s="54" t="n">
        <f aca="false">MAX(0,(M1196-M1177*$C$1132)-M1156*$C$1137)*$C$1138*Assumptions!$F$105</f>
        <v>1938.32149466137</v>
      </c>
      <c r="N1208" s="54" t="n">
        <f aca="false">MAX(0,(N1196-N1177*$C$1132)-N1156*$C$1137)*$C$1138*Assumptions!$F$105</f>
        <v>1878.85238161209</v>
      </c>
      <c r="P1208" s="55" t="n">
        <f aca="false">SUM(C1208:F1208)</f>
        <v>2840.80874438884</v>
      </c>
      <c r="Q1208" s="55" t="n">
        <f aca="false">SUM(G1208:J1208)</f>
        <v>6836.66676410642</v>
      </c>
      <c r="R1208" s="55" t="n">
        <f aca="false">SUM(K1208:N1208)</f>
        <v>7868.10094306372</v>
      </c>
      <c r="S1208" s="56" t="n">
        <f aca="false">SUM(P1208:R1208)</f>
        <v>17545.576451559</v>
      </c>
    </row>
    <row r="1209" customFormat="false" ht="15" hidden="false" customHeight="false" outlineLevel="0" collapsed="false">
      <c r="A1209" s="4" t="s">
        <v>557</v>
      </c>
      <c r="B1209" s="36" t="s">
        <v>125</v>
      </c>
      <c r="C1209" s="54" t="n">
        <f aca="false">C1204*Assumptions!$D$71/Assumptions!$D$69/4</f>
        <v>7390.35714285714</v>
      </c>
      <c r="D1209" s="54" t="n">
        <f aca="false">D1204*Assumptions!$D$71/Assumptions!$D$69/4</f>
        <v>7390.35714285714</v>
      </c>
      <c r="E1209" s="54" t="n">
        <f aca="false">E1204*Assumptions!$D$71/Assumptions!$D$69/4</f>
        <v>7390.35714285714</v>
      </c>
      <c r="F1209" s="54" t="n">
        <f aca="false">F1204*Assumptions!$D$71/Assumptions!$D$69/4</f>
        <v>7390.35714285714</v>
      </c>
      <c r="G1209" s="54" t="n">
        <f aca="false">G1204*Assumptions!$D$71/Assumptions!$D$69/4</f>
        <v>7390.35714285714</v>
      </c>
      <c r="H1209" s="54" t="n">
        <f aca="false">H1204*Assumptions!$D$71/Assumptions!$D$69/4</f>
        <v>7390.35714285714</v>
      </c>
      <c r="I1209" s="54" t="n">
        <f aca="false">I1204*Assumptions!$D$71/Assumptions!$D$69/4</f>
        <v>7390.35714285714</v>
      </c>
      <c r="J1209" s="54" t="n">
        <f aca="false">J1204*Assumptions!$D$71/Assumptions!$D$69/4</f>
        <v>7390.35714285714</v>
      </c>
      <c r="K1209" s="54" t="n">
        <f aca="false">K1204*Assumptions!$D$71/Assumptions!$D$69/4</f>
        <v>7390.35714285714</v>
      </c>
      <c r="L1209" s="54" t="n">
        <f aca="false">L1204*Assumptions!$D$71/Assumptions!$D$69/4</f>
        <v>7390.35714285714</v>
      </c>
      <c r="M1209" s="54" t="n">
        <f aca="false">M1204*Assumptions!$D$71/Assumptions!$D$69/4</f>
        <v>7390.35714285714</v>
      </c>
      <c r="N1209" s="54" t="n">
        <f aca="false">N1204*Assumptions!$D$71/Assumptions!$D$69/4</f>
        <v>7390.35714285714</v>
      </c>
      <c r="P1209" s="55" t="n">
        <f aca="false">SUM(C1209:F1209)</f>
        <v>29561.4285714286</v>
      </c>
      <c r="Q1209" s="55" t="n">
        <f aca="false">SUM(G1209:J1209)</f>
        <v>29561.4285714286</v>
      </c>
      <c r="R1209" s="55" t="n">
        <f aca="false">SUM(K1209:N1209)</f>
        <v>29561.4285714286</v>
      </c>
      <c r="S1209" s="56" t="n">
        <f aca="false">SUM(P1209:R1209)</f>
        <v>88684.2857142857</v>
      </c>
    </row>
    <row r="1210" customFormat="false" ht="15" hidden="false" customHeight="false" outlineLevel="0" collapsed="false">
      <c r="A1210" s="4" t="s">
        <v>558</v>
      </c>
      <c r="B1210" s="36" t="s">
        <v>125</v>
      </c>
      <c r="C1210" s="54" t="n">
        <f aca="false">(Assumptions!$F$103+Assumptions!$D$77*((C1141=Assumptions!$D$13)+(C1141=Assumptions!$D$14)+(C1141=Assumptions!$D$15)))*C1142</f>
        <v>50000</v>
      </c>
      <c r="D1210" s="54" t="n">
        <f aca="false">(Assumptions!$F$103+Assumptions!$D$77*((D1141=Assumptions!$D$13)+(D1141=Assumptions!$D$14)+(D1141=Assumptions!$D$15)))*D1142</f>
        <v>10000</v>
      </c>
      <c r="E1210" s="54" t="n">
        <f aca="false">(Assumptions!$F$103+Assumptions!$D$77*((E1141=Assumptions!$D$13)+(E1141=Assumptions!$D$14)+(E1141=Assumptions!$D$15)))*E1142</f>
        <v>10000</v>
      </c>
      <c r="F1210" s="54" t="n">
        <f aca="false">(Assumptions!$F$103+Assumptions!$D$77*((F1141=Assumptions!$D$13)+(F1141=Assumptions!$D$14)+(F1141=Assumptions!$D$15)))*F1142</f>
        <v>10000</v>
      </c>
      <c r="G1210" s="54" t="n">
        <f aca="false">(Assumptions!$F$103+Assumptions!$D$77*((G1141=Assumptions!$D$13)+(G1141=Assumptions!$D$14)+(G1141=Assumptions!$D$15)))*G1142</f>
        <v>10000</v>
      </c>
      <c r="H1210" s="54" t="n">
        <f aca="false">(Assumptions!$F$103+Assumptions!$D$77*((H1141=Assumptions!$D$13)+(H1141=Assumptions!$D$14)+(H1141=Assumptions!$D$15)))*H1142</f>
        <v>10000</v>
      </c>
      <c r="I1210" s="54" t="n">
        <f aca="false">(Assumptions!$F$103+Assumptions!$D$77*((I1141=Assumptions!$D$13)+(I1141=Assumptions!$D$14)+(I1141=Assumptions!$D$15)))*I1142</f>
        <v>50000</v>
      </c>
      <c r="J1210" s="54" t="n">
        <f aca="false">(Assumptions!$F$103+Assumptions!$D$77*((J1141=Assumptions!$D$13)+(J1141=Assumptions!$D$14)+(J1141=Assumptions!$D$15)))*J1142</f>
        <v>10000</v>
      </c>
      <c r="K1210" s="54" t="n">
        <f aca="false">(Assumptions!$F$103+Assumptions!$D$77*((K1141=Assumptions!$D$13)+(K1141=Assumptions!$D$14)+(K1141=Assumptions!$D$15)))*K1142</f>
        <v>10000</v>
      </c>
      <c r="L1210" s="54" t="n">
        <f aca="false">(Assumptions!$F$103+Assumptions!$D$77*((L1141=Assumptions!$D$13)+(L1141=Assumptions!$D$14)+(L1141=Assumptions!$D$15)))*L1142</f>
        <v>10000</v>
      </c>
      <c r="M1210" s="54" t="n">
        <f aca="false">(Assumptions!$F$103+Assumptions!$D$77*((M1141=Assumptions!$D$13)+(M1141=Assumptions!$D$14)+(M1141=Assumptions!$D$15)))*M1142</f>
        <v>10000</v>
      </c>
      <c r="N1210" s="54" t="n">
        <f aca="false">(Assumptions!$F$103+Assumptions!$D$77*((N1141=Assumptions!$D$13)+(N1141=Assumptions!$D$14)+(N1141=Assumptions!$D$15)))*N1142</f>
        <v>10000</v>
      </c>
      <c r="P1210" s="55" t="n">
        <f aca="false">SUM(C1210:F1210)</f>
        <v>80000</v>
      </c>
      <c r="Q1210" s="55" t="n">
        <f aca="false">SUM(G1210:J1210)</f>
        <v>80000</v>
      </c>
      <c r="R1210" s="55" t="n">
        <f aca="false">SUM(K1210:N1210)</f>
        <v>40000</v>
      </c>
      <c r="S1210" s="56" t="n">
        <f aca="false">SUM(P1210:R1210)</f>
        <v>200000</v>
      </c>
    </row>
    <row r="1211" customFormat="false" ht="15" hidden="false" customHeight="false" outlineLevel="0" collapsed="false">
      <c r="A1211" s="4" t="s">
        <v>559</v>
      </c>
      <c r="B1211" s="36" t="s">
        <v>125</v>
      </c>
      <c r="C1211" s="54" t="n">
        <f aca="false">C1196*C1176*Assumptions!$D$79</f>
        <v>0</v>
      </c>
      <c r="D1211" s="54" t="n">
        <f aca="false">D1196*D1176*Assumptions!$D$79</f>
        <v>86.7621904570229</v>
      </c>
      <c r="E1211" s="54" t="n">
        <f aca="false">E1196*E1176*Assumptions!$D$79</f>
        <v>201.353326013232</v>
      </c>
      <c r="F1211" s="54" t="n">
        <f aca="false">F1196*F1176*Assumptions!$D$79</f>
        <v>328.25050097171</v>
      </c>
      <c r="G1211" s="54" t="n">
        <f aca="false">G1196*G1176*Assumptions!$D$79</f>
        <v>438.879416051721</v>
      </c>
      <c r="H1211" s="54" t="n">
        <f aca="false">H1196*H1176*Assumptions!$D$79</f>
        <v>549.910708946171</v>
      </c>
      <c r="I1211" s="54" t="n">
        <f aca="false">I1196*I1176*Assumptions!$D$79</f>
        <v>568.135685518215</v>
      </c>
      <c r="J1211" s="54" t="n">
        <f aca="false">J1196*J1176*Assumptions!$D$79</f>
        <v>549.966991218819</v>
      </c>
      <c r="K1211" s="54" t="n">
        <f aca="false">K1196*K1176*Assumptions!$D$79</f>
        <v>545.689617480988</v>
      </c>
      <c r="L1211" s="54" t="n">
        <f aca="false">L1196*L1176*Assumptions!$D$79</f>
        <v>554.597997977139</v>
      </c>
      <c r="M1211" s="54" t="n">
        <f aca="false">M1196*M1176*Assumptions!$D$79</f>
        <v>554.209340455262</v>
      </c>
      <c r="N1211" s="54" t="n">
        <f aca="false">N1196*N1176*Assumptions!$D$79</f>
        <v>553.844683553755</v>
      </c>
      <c r="P1211" s="55" t="n">
        <f aca="false">SUM(C1211:F1211)</f>
        <v>616.366017441965</v>
      </c>
      <c r="Q1211" s="55" t="n">
        <f aca="false">SUM(G1211:J1211)</f>
        <v>2106.89280173493</v>
      </c>
      <c r="R1211" s="55" t="n">
        <f aca="false">SUM(K1211:N1211)</f>
        <v>2208.34163946714</v>
      </c>
      <c r="S1211" s="56" t="n">
        <f aca="false">SUM(P1211:R1211)</f>
        <v>4931.60045864403</v>
      </c>
    </row>
    <row r="1212" customFormat="false" ht="15" hidden="false" customHeight="false" outlineLevel="0" collapsed="false">
      <c r="A1212" s="4" t="s">
        <v>560</v>
      </c>
      <c r="B1212" s="36" t="s">
        <v>125</v>
      </c>
      <c r="C1212" s="54" t="n">
        <f aca="false">C1161*Assumptions!$D$80</f>
        <v>1000</v>
      </c>
      <c r="D1212" s="54" t="n">
        <f aca="false">D1161*Assumptions!$D$80</f>
        <v>2000</v>
      </c>
      <c r="E1212" s="54" t="n">
        <f aca="false">E1161*Assumptions!$D$80</f>
        <v>3000</v>
      </c>
      <c r="F1212" s="54" t="n">
        <f aca="false">F1161*Assumptions!$D$80</f>
        <v>4000</v>
      </c>
      <c r="G1212" s="54" t="n">
        <f aca="false">G1161*Assumptions!$D$80</f>
        <v>5000</v>
      </c>
      <c r="H1212" s="54" t="n">
        <f aca="false">H1161*Assumptions!$D$80</f>
        <v>5000</v>
      </c>
      <c r="I1212" s="54" t="n">
        <f aca="false">I1161*Assumptions!$D$80</f>
        <v>5000</v>
      </c>
      <c r="J1212" s="54" t="n">
        <f aca="false">J1161*Assumptions!$D$80</f>
        <v>5000</v>
      </c>
      <c r="K1212" s="54" t="n">
        <f aca="false">K1161*Assumptions!$D$80</f>
        <v>5000</v>
      </c>
      <c r="L1212" s="54" t="n">
        <f aca="false">L1161*Assumptions!$D$80</f>
        <v>5000</v>
      </c>
      <c r="M1212" s="54" t="n">
        <f aca="false">M1161*Assumptions!$D$80</f>
        <v>5000</v>
      </c>
      <c r="N1212" s="54" t="n">
        <f aca="false">N1161*Assumptions!$D$80</f>
        <v>5000</v>
      </c>
      <c r="P1212" s="55" t="n">
        <f aca="false">SUM(C1212:F1212)</f>
        <v>10000</v>
      </c>
      <c r="Q1212" s="55" t="n">
        <f aca="false">SUM(G1212:J1212)</f>
        <v>20000</v>
      </c>
      <c r="R1212" s="55" t="n">
        <f aca="false">SUM(K1212:N1212)</f>
        <v>20000</v>
      </c>
      <c r="S1212" s="56" t="n">
        <f aca="false">SUM(P1212:R1212)</f>
        <v>50000</v>
      </c>
    </row>
    <row r="1213" customFormat="false" ht="15" hidden="false" customHeight="false" outlineLevel="0" collapsed="false">
      <c r="A1213" s="4" t="s">
        <v>561</v>
      </c>
      <c r="B1213" s="36" t="s">
        <v>125</v>
      </c>
      <c r="C1213" s="54" t="n">
        <f aca="false">(C1184*$C$1133+C1185*$C$1134)*Assumptions!$D$81</f>
        <v>0</v>
      </c>
      <c r="D1213" s="54" t="n">
        <f aca="false">(D1184*$C$1133+D1185*$C$1134)*Assumptions!$D$81</f>
        <v>71.0875192263179</v>
      </c>
      <c r="E1213" s="54" t="n">
        <f aca="false">(E1184*$C$1133+E1185*$C$1134)*Assumptions!$D$81</f>
        <v>186.505652837162</v>
      </c>
      <c r="F1213" s="54" t="n">
        <f aca="false">(F1184*$C$1133+F1185*$C$1134)*Assumptions!$D$81</f>
        <v>253.842624793211</v>
      </c>
      <c r="G1213" s="54" t="n">
        <f aca="false">(G1184*$C$1133+G1185*$C$1134)*Assumptions!$D$81</f>
        <v>291.023671437788</v>
      </c>
      <c r="H1213" s="54" t="n">
        <f aca="false">(H1184*$C$1133+H1185*$C$1134)*Assumptions!$D$81</f>
        <v>329.643484147103</v>
      </c>
      <c r="I1213" s="54" t="n">
        <f aca="false">(I1184*$C$1133+I1185*$C$1134)*Assumptions!$D$81</f>
        <v>341.294370352148</v>
      </c>
      <c r="J1213" s="54" t="n">
        <f aca="false">(J1184*$C$1133+J1185*$C$1134)*Assumptions!$D$81</f>
        <v>361.099219877346</v>
      </c>
      <c r="K1213" s="54" t="n">
        <f aca="false">(K1184*$C$1133+K1185*$C$1134)*Assumptions!$D$81</f>
        <v>386.885634507638</v>
      </c>
      <c r="L1213" s="54" t="n">
        <f aca="false">(L1184*$C$1133+L1185*$C$1134)*Assumptions!$D$81</f>
        <v>384.600703242562</v>
      </c>
      <c r="M1213" s="54" t="n">
        <f aca="false">(M1184*$C$1133+M1185*$C$1134)*Assumptions!$D$81</f>
        <v>371.432838966068</v>
      </c>
      <c r="N1213" s="54" t="n">
        <f aca="false">(N1184*$C$1133+N1185*$C$1134)*Assumptions!$D$81</f>
        <v>359.843647067824</v>
      </c>
      <c r="P1213" s="55" t="n">
        <f aca="false">SUM(C1213:F1213)</f>
        <v>511.43579685669</v>
      </c>
      <c r="Q1213" s="55" t="n">
        <f aca="false">SUM(G1213:J1213)</f>
        <v>1323.06074581439</v>
      </c>
      <c r="R1213" s="55" t="n">
        <f aca="false">SUM(K1213:N1213)</f>
        <v>1502.76282378409</v>
      </c>
      <c r="S1213" s="56" t="n">
        <f aca="false">SUM(P1213:R1213)</f>
        <v>3337.25936645517</v>
      </c>
    </row>
    <row r="1214" customFormat="false" ht="15" hidden="false" customHeight="false" outlineLevel="0" collapsed="false">
      <c r="A1214" s="9" t="s">
        <v>562</v>
      </c>
      <c r="B1214" s="36" t="s">
        <v>125</v>
      </c>
      <c r="C1214" s="55" t="n">
        <f aca="false">C1206+C1207+C1208+C1209+C1210+C1211+C1212+C1213</f>
        <v>58390.3571428571</v>
      </c>
      <c r="D1214" s="55" t="n">
        <f aca="false">D1206+D1207+D1208+D1209+D1210+D1211+D1212+D1213</f>
        <v>20020.7934337392</v>
      </c>
      <c r="E1214" s="55" t="n">
        <f aca="false">E1206+E1207+E1208+E1209+E1210+E1211+E1212+E1213</f>
        <v>21824.0501661867</v>
      </c>
      <c r="F1214" s="55" t="n">
        <f aca="false">F1206+F1207+F1208+F1209+F1210+F1211+F1212+F1213</f>
        <v>23294.838387333</v>
      </c>
      <c r="G1214" s="55" t="n">
        <f aca="false">G1206+G1207+G1208+G1209+G1210+G1211+G1212+G1213</f>
        <v>24632.949636088</v>
      </c>
      <c r="H1214" s="55" t="n">
        <f aca="false">H1206+H1207+H1208+H1209+H1210+H1211+H1212+H1213</f>
        <v>24980.0455223905</v>
      </c>
      <c r="I1214" s="55" t="n">
        <f aca="false">I1206+I1207+I1208+I1209+I1210+I1211+I1212+I1213</f>
        <v>65025.9469090714</v>
      </c>
      <c r="J1214" s="55" t="n">
        <f aca="false">J1206+J1207+J1208+J1209+J1210+J1211+J1212+J1213</f>
        <v>25189.1068155345</v>
      </c>
      <c r="K1214" s="55" t="n">
        <f aca="false">K1206+K1207+K1208+K1209+K1210+K1211+K1212+K1213</f>
        <v>25367.9680090214</v>
      </c>
      <c r="L1214" s="55" t="n">
        <f aca="false">L1206+L1207+L1208+L1209+L1210+L1211+L1212+L1213</f>
        <v>25335.4472966915</v>
      </c>
      <c r="M1214" s="55" t="n">
        <f aca="false">M1206+M1207+M1208+M1209+M1210+M1211+M1212+M1213</f>
        <v>25254.3208169398</v>
      </c>
      <c r="N1214" s="55" t="n">
        <f aca="false">N1206+N1207+N1208+N1209+N1210+N1211+N1212+N1213</f>
        <v>25182.8978550908</v>
      </c>
      <c r="P1214" s="55" t="n">
        <f aca="false">SUM(C1214:F1214)</f>
        <v>123530.039130116</v>
      </c>
      <c r="Q1214" s="55" t="n">
        <f aca="false">SUM(G1214:J1214)</f>
        <v>139828.048883084</v>
      </c>
      <c r="R1214" s="55" t="n">
        <f aca="false">SUM(K1214:N1214)</f>
        <v>101140.633977744</v>
      </c>
      <c r="S1214" s="56" t="n">
        <f aca="false">SUM(P1214:R1214)</f>
        <v>364498.721990944</v>
      </c>
    </row>
    <row r="1215" customFormat="false" ht="15" hidden="false" customHeight="false" outlineLevel="0" collapsed="false">
      <c r="A1215" s="4" t="s">
        <v>563</v>
      </c>
      <c r="B1215" s="36" t="s">
        <v>125</v>
      </c>
      <c r="C1215" s="54" t="n">
        <f aca="false">C1203*Assumptions!$D$72/Assumptions!$D$69/4</f>
        <v>28267.8571428571</v>
      </c>
      <c r="D1215" s="54" t="n">
        <f aca="false">D1203*Assumptions!$D$72/Assumptions!$D$69/4</f>
        <v>28267.8571428571</v>
      </c>
      <c r="E1215" s="54" t="n">
        <f aca="false">E1203*Assumptions!$D$72/Assumptions!$D$69/4</f>
        <v>28267.8571428571</v>
      </c>
      <c r="F1215" s="54" t="n">
        <f aca="false">F1203*Assumptions!$D$72/Assumptions!$D$69/4</f>
        <v>28267.8571428571</v>
      </c>
      <c r="G1215" s="54" t="n">
        <f aca="false">G1203*Assumptions!$D$72/Assumptions!$D$69/4</f>
        <v>14133.9285714286</v>
      </c>
      <c r="H1215" s="54" t="n">
        <f aca="false">H1203*Assumptions!$D$72/Assumptions!$D$69/4</f>
        <v>14133.9285714286</v>
      </c>
      <c r="I1215" s="54" t="n">
        <f aca="false">I1203*Assumptions!$D$72/Assumptions!$D$69/4</f>
        <v>14133.9285714286</v>
      </c>
      <c r="J1215" s="54" t="n">
        <f aca="false">J1203*Assumptions!$D$72/Assumptions!$D$69/4</f>
        <v>14133.9285714286</v>
      </c>
      <c r="K1215" s="54" t="n">
        <f aca="false">K1203*Assumptions!$D$72/Assumptions!$D$69/4</f>
        <v>14133.9285714286</v>
      </c>
      <c r="L1215" s="54" t="n">
        <f aca="false">L1203*Assumptions!$D$72/Assumptions!$D$69/4</f>
        <v>14133.9285714286</v>
      </c>
      <c r="M1215" s="54" t="n">
        <f aca="false">M1203*Assumptions!$D$72/Assumptions!$D$69/4</f>
        <v>14133.9285714286</v>
      </c>
      <c r="N1215" s="54" t="n">
        <f aca="false">N1203*Assumptions!$D$72/Assumptions!$D$69/4</f>
        <v>14133.9285714286</v>
      </c>
      <c r="P1215" s="55" t="n">
        <f aca="false">SUM(C1215:F1215)</f>
        <v>113071.428571429</v>
      </c>
      <c r="Q1215" s="55" t="n">
        <f aca="false">SUM(G1215:J1215)</f>
        <v>56535.7142857143</v>
      </c>
      <c r="R1215" s="55" t="n">
        <f aca="false">SUM(K1215:N1215)</f>
        <v>56535.7142857143</v>
      </c>
      <c r="S1215" s="56" t="n">
        <f aca="false">SUM(P1215:R1215)</f>
        <v>226142.857142857</v>
      </c>
    </row>
    <row r="1216" customFormat="false" ht="15" hidden="false" customHeight="false" outlineLevel="0" collapsed="false">
      <c r="A1216" s="4" t="s">
        <v>564</v>
      </c>
      <c r="B1216" s="36" t="s">
        <v>125</v>
      </c>
      <c r="C1216" s="54" t="n">
        <f aca="false">IF(C1141&lt;=Assumptions!$D$83,Assumptions!$D$82*Assumptions!$F$108/Assumptions!$D$83,0)</f>
        <v>37500</v>
      </c>
      <c r="D1216" s="54" t="n">
        <f aca="false">IF(D1141&lt;=Assumptions!$D$83,Assumptions!$D$82*Assumptions!$F$108/Assumptions!$D$83,0)</f>
        <v>37500</v>
      </c>
      <c r="E1216" s="54" t="n">
        <f aca="false">IF(E1141&lt;=Assumptions!$D$83,Assumptions!$D$82*Assumptions!$F$108/Assumptions!$D$83,0)</f>
        <v>37500</v>
      </c>
      <c r="F1216" s="54" t="n">
        <f aca="false">IF(F1141&lt;=Assumptions!$D$83,Assumptions!$D$82*Assumptions!$F$108/Assumptions!$D$83,0)</f>
        <v>37500</v>
      </c>
      <c r="G1216" s="54" t="n">
        <f aca="false">IF(G1141&lt;=Assumptions!$D$83,Assumptions!$D$82*Assumptions!$F$108/Assumptions!$D$83,0)</f>
        <v>0</v>
      </c>
      <c r="H1216" s="54" t="n">
        <f aca="false">IF(H1141&lt;=Assumptions!$D$83,Assumptions!$D$82*Assumptions!$F$108/Assumptions!$D$83,0)</f>
        <v>0</v>
      </c>
      <c r="I1216" s="54" t="n">
        <f aca="false">IF(I1141&lt;=Assumptions!$D$83,Assumptions!$D$82*Assumptions!$F$108/Assumptions!$D$83,0)</f>
        <v>0</v>
      </c>
      <c r="J1216" s="54" t="n">
        <f aca="false">IF(J1141&lt;=Assumptions!$D$83,Assumptions!$D$82*Assumptions!$F$108/Assumptions!$D$83,0)</f>
        <v>0</v>
      </c>
      <c r="K1216" s="54" t="n">
        <f aca="false">IF(K1141&lt;=Assumptions!$D$83,Assumptions!$D$82*Assumptions!$F$108/Assumptions!$D$83,0)</f>
        <v>0</v>
      </c>
      <c r="L1216" s="54" t="n">
        <f aca="false">IF(L1141&lt;=Assumptions!$D$83,Assumptions!$D$82*Assumptions!$F$108/Assumptions!$D$83,0)</f>
        <v>0</v>
      </c>
      <c r="M1216" s="54" t="n">
        <f aca="false">IF(M1141&lt;=Assumptions!$D$83,Assumptions!$D$82*Assumptions!$F$108/Assumptions!$D$83,0)</f>
        <v>0</v>
      </c>
      <c r="N1216" s="54" t="n">
        <f aca="false">IF(N1141&lt;=Assumptions!$D$83,Assumptions!$D$82*Assumptions!$F$108/Assumptions!$D$83,0)</f>
        <v>0</v>
      </c>
      <c r="P1216" s="55" t="n">
        <f aca="false">SUM(C1216:F1216)</f>
        <v>150000</v>
      </c>
      <c r="Q1216" s="55" t="n">
        <f aca="false">SUM(G1216:J1216)</f>
        <v>0</v>
      </c>
      <c r="R1216" s="55" t="n">
        <f aca="false">SUM(K1216:N1216)</f>
        <v>0</v>
      </c>
      <c r="S1216" s="56" t="n">
        <f aca="false">SUM(P1216:R1216)</f>
        <v>150000</v>
      </c>
    </row>
    <row r="1217" customFormat="false" ht="15" hidden="false" customHeight="false" outlineLevel="0" collapsed="false">
      <c r="A1217" s="4" t="s">
        <v>565</v>
      </c>
      <c r="B1217" s="36" t="s">
        <v>125</v>
      </c>
      <c r="C1217" s="54" t="n">
        <f aca="false">C1205*Assumptions!$D$73/Assumptions!$D$69/4</f>
        <v>0</v>
      </c>
      <c r="D1217" s="54" t="n">
        <f aca="false">D1205*Assumptions!$D$73/Assumptions!$D$69/4</f>
        <v>64.3106406865552</v>
      </c>
      <c r="E1217" s="54" t="n">
        <f aca="false">E1205*Assumptions!$D$73/Assumptions!$D$69/4</f>
        <v>188.620012263326</v>
      </c>
      <c r="F1217" s="54" t="n">
        <f aca="false">F1205*Assumptions!$D$73/Assumptions!$D$69/4</f>
        <v>332.171387924332</v>
      </c>
      <c r="G1217" s="54" t="n">
        <f aca="false">G1205*Assumptions!$D$73/Assumptions!$D$69/4</f>
        <v>491.707397402582</v>
      </c>
      <c r="H1217" s="54" t="n">
        <f aca="false">H1205*Assumptions!$D$73/Assumptions!$D$69/4</f>
        <v>667.411832705736</v>
      </c>
      <c r="I1217" s="54" t="n">
        <f aca="false">I1205*Assumptions!$D$73/Assumptions!$D$69/4</f>
        <v>833.825031003636</v>
      </c>
      <c r="J1217" s="54" t="n">
        <f aca="false">J1205*Assumptions!$D$73/Assumptions!$D$69/4</f>
        <v>1015.91361853903</v>
      </c>
      <c r="K1217" s="54" t="n">
        <f aca="false">K1205*Assumptions!$D$73/Assumptions!$D$69/4</f>
        <v>1209.65040665045</v>
      </c>
      <c r="L1217" s="54" t="n">
        <f aca="false">L1205*Assumptions!$D$73/Assumptions!$D$69/4</f>
        <v>1389.07956419192</v>
      </c>
      <c r="M1217" s="54" t="n">
        <f aca="false">M1205*Assumptions!$D$73/Assumptions!$D$69/4</f>
        <v>1554.38306196685</v>
      </c>
      <c r="N1217" s="54" t="n">
        <f aca="false">N1205*Assumptions!$D$73/Assumptions!$D$69/4</f>
        <v>1706.98037734931</v>
      </c>
      <c r="P1217" s="55" t="n">
        <f aca="false">SUM(C1217:F1217)</f>
        <v>585.102040874213</v>
      </c>
      <c r="Q1217" s="55" t="n">
        <f aca="false">SUM(G1217:J1217)</f>
        <v>3008.85787965098</v>
      </c>
      <c r="R1217" s="55" t="n">
        <f aca="false">SUM(K1217:N1217)</f>
        <v>5860.09341015854</v>
      </c>
      <c r="S1217" s="56" t="n">
        <f aca="false">SUM(P1217:R1217)</f>
        <v>9454.05333068374</v>
      </c>
    </row>
    <row r="1218" customFormat="false" ht="15" hidden="false" customHeight="false" outlineLevel="0" collapsed="false">
      <c r="A1218" s="9" t="s">
        <v>566</v>
      </c>
      <c r="B1218" s="36" t="s">
        <v>125</v>
      </c>
      <c r="C1218" s="55" t="n">
        <f aca="false">C1214+C1215+C1216+C1217</f>
        <v>124158.214285714</v>
      </c>
      <c r="D1218" s="55" t="n">
        <f aca="false">D1214+D1215+D1216+D1217</f>
        <v>85852.9612172829</v>
      </c>
      <c r="E1218" s="55" t="n">
        <f aca="false">E1214+E1215+E1216+E1217</f>
        <v>87780.5273213071</v>
      </c>
      <c r="F1218" s="55" t="n">
        <f aca="false">F1214+F1215+F1216+F1217</f>
        <v>89394.8669181145</v>
      </c>
      <c r="G1218" s="55" t="n">
        <f aca="false">G1214+G1215+G1216+G1217</f>
        <v>39258.5856049192</v>
      </c>
      <c r="H1218" s="55" t="n">
        <f aca="false">H1214+H1215+H1216+H1217</f>
        <v>39781.3859265248</v>
      </c>
      <c r="I1218" s="55" t="n">
        <f aca="false">I1214+I1215+I1216+I1217</f>
        <v>79993.7005115036</v>
      </c>
      <c r="J1218" s="55" t="n">
        <f aca="false">J1214+J1215+J1216+J1217</f>
        <v>40338.9490055021</v>
      </c>
      <c r="K1218" s="55" t="n">
        <f aca="false">K1214+K1215+K1216+K1217</f>
        <v>40711.5469871004</v>
      </c>
      <c r="L1218" s="55" t="n">
        <f aca="false">L1214+L1215+L1216+L1217</f>
        <v>40858.455432312</v>
      </c>
      <c r="M1218" s="55" t="n">
        <f aca="false">M1214+M1215+M1216+M1217</f>
        <v>40942.6324503353</v>
      </c>
      <c r="N1218" s="55" t="n">
        <f aca="false">N1214+N1215+N1216+N1217</f>
        <v>41023.8068038687</v>
      </c>
      <c r="P1218" s="55" t="n">
        <f aca="false">SUM(C1218:F1218)</f>
        <v>387186.569742419</v>
      </c>
      <c r="Q1218" s="55" t="n">
        <f aca="false">SUM(G1218:J1218)</f>
        <v>199372.62104845</v>
      </c>
      <c r="R1218" s="55" t="n">
        <f aca="false">SUM(K1218:N1218)</f>
        <v>163536.441673616</v>
      </c>
      <c r="S1218" s="56" t="n">
        <f aca="false">SUM(P1218:R1218)</f>
        <v>750095.632464485</v>
      </c>
    </row>
    <row r="1219" customFormat="false" ht="15" hidden="false" customHeight="false" outlineLevel="0" collapsed="false">
      <c r="A1219" s="35" t="s">
        <v>567</v>
      </c>
      <c r="B1219" s="35" t="s">
        <v>444</v>
      </c>
      <c r="C1219" s="6" t="s">
        <v>354</v>
      </c>
      <c r="D1219" s="6" t="s">
        <v>355</v>
      </c>
      <c r="E1219" s="6" t="s">
        <v>356</v>
      </c>
      <c r="F1219" s="6" t="s">
        <v>357</v>
      </c>
      <c r="G1219" s="6" t="s">
        <v>358</v>
      </c>
      <c r="H1219" s="6" t="s">
        <v>359</v>
      </c>
      <c r="I1219" s="6" t="s">
        <v>360</v>
      </c>
      <c r="J1219" s="6" t="s">
        <v>361</v>
      </c>
      <c r="K1219" s="6" t="s">
        <v>362</v>
      </c>
      <c r="L1219" s="6" t="s">
        <v>363</v>
      </c>
      <c r="M1219" s="6" t="s">
        <v>364</v>
      </c>
      <c r="N1219" s="6" t="s">
        <v>365</v>
      </c>
      <c r="P1219" s="6" t="s">
        <v>445</v>
      </c>
      <c r="Q1219" s="6" t="s">
        <v>446</v>
      </c>
      <c r="R1219" s="6" t="s">
        <v>447</v>
      </c>
      <c r="S1219" s="6" t="s">
        <v>448</v>
      </c>
    </row>
    <row r="1220" customFormat="false" ht="15" hidden="false" customHeight="false" outlineLevel="0" collapsed="false">
      <c r="A1220" s="9" t="s">
        <v>568</v>
      </c>
      <c r="B1220" s="36" t="s">
        <v>125</v>
      </c>
      <c r="C1220" s="55" t="n">
        <f aca="false">C1198-C1218</f>
        <v>-124158.214285714</v>
      </c>
      <c r="D1220" s="55" t="n">
        <f aca="false">D1198-D1218</f>
        <v>-85792.8901053994</v>
      </c>
      <c r="E1220" s="55" t="n">
        <f aca="false">E1198-E1218</f>
        <v>-87530.0766311293</v>
      </c>
      <c r="F1220" s="55" t="n">
        <f aca="false">F1198-F1218</f>
        <v>-88851.5841194323</v>
      </c>
      <c r="G1220" s="55" t="n">
        <f aca="false">G1198-G1218</f>
        <v>-38367.9850588458</v>
      </c>
      <c r="H1220" s="55" t="n">
        <f aca="false">H1198-H1218</f>
        <v>-38498.1992401075</v>
      </c>
      <c r="I1220" s="55" t="n">
        <f aca="false">I1198-I1218</f>
        <v>-78295.1718033732</v>
      </c>
      <c r="J1220" s="55" t="n">
        <f aca="false">J1198-J1218</f>
        <v>-38206.0547806593</v>
      </c>
      <c r="K1220" s="55" t="n">
        <f aca="false">K1198-K1218</f>
        <v>-38106.9848672706</v>
      </c>
      <c r="L1220" s="55" t="n">
        <f aca="false">L1198-L1218</f>
        <v>-37771.3956284308</v>
      </c>
      <c r="M1220" s="55" t="n">
        <f aca="false">M1198-M1218</f>
        <v>-37390.5120447292</v>
      </c>
      <c r="N1220" s="55" t="n">
        <f aca="false">N1198-N1218</f>
        <v>-37025.9539549759</v>
      </c>
      <c r="P1220" s="55" t="n">
        <f aca="false">SUM(C1220:F1220)</f>
        <v>-386332.765141675</v>
      </c>
      <c r="Q1220" s="55" t="n">
        <f aca="false">SUM(G1220:J1220)</f>
        <v>-193367.410882986</v>
      </c>
      <c r="R1220" s="55" t="n">
        <f aca="false">SUM(K1220:N1220)</f>
        <v>-150294.846495406</v>
      </c>
      <c r="S1220" s="56" t="n">
        <f aca="false">SUM(P1220:R1220)</f>
        <v>-729995.022520067</v>
      </c>
    </row>
    <row r="1221" customFormat="false" ht="15" hidden="false" customHeight="false" outlineLevel="0" collapsed="false">
      <c r="A1221" s="9" t="s">
        <v>569</v>
      </c>
      <c r="B1221" s="36" t="s">
        <v>125</v>
      </c>
      <c r="C1221" s="55" t="n">
        <f aca="false">0+C1220</f>
        <v>-124158.214285714</v>
      </c>
      <c r="D1221" s="55" t="n">
        <f aca="false">C1221+D1220</f>
        <v>-209951.104391114</v>
      </c>
      <c r="E1221" s="55" t="n">
        <f aca="false">D1221+E1220</f>
        <v>-297481.181022243</v>
      </c>
      <c r="F1221" s="55" t="n">
        <f aca="false">E1221+F1220</f>
        <v>-386332.765141675</v>
      </c>
      <c r="G1221" s="55" t="n">
        <f aca="false">F1221+G1220</f>
        <v>-424700.750200521</v>
      </c>
      <c r="H1221" s="55" t="n">
        <f aca="false">G1221+H1220</f>
        <v>-463198.949440629</v>
      </c>
      <c r="I1221" s="55" t="n">
        <f aca="false">H1221+I1220</f>
        <v>-541494.121244002</v>
      </c>
      <c r="J1221" s="55" t="n">
        <f aca="false">I1221+J1220</f>
        <v>-579700.176024661</v>
      </c>
      <c r="K1221" s="55" t="n">
        <f aca="false">J1221+K1220</f>
        <v>-617807.160891932</v>
      </c>
      <c r="L1221" s="55" t="n">
        <f aca="false">K1221+L1220</f>
        <v>-655578.556520362</v>
      </c>
      <c r="M1221" s="55" t="n">
        <f aca="false">L1221+M1220</f>
        <v>-692969.068565092</v>
      </c>
      <c r="N1221" s="55" t="n">
        <f aca="false">M1221+N1220</f>
        <v>-729995.022520068</v>
      </c>
      <c r="P1221" s="55" t="n">
        <f aca="false">F1221</f>
        <v>-386332.765141675</v>
      </c>
      <c r="Q1221" s="55" t="n">
        <f aca="false">J1221</f>
        <v>-579700.176024661</v>
      </c>
      <c r="R1221" s="55" t="n">
        <f aca="false">N1221</f>
        <v>-729995.022520068</v>
      </c>
      <c r="S1221" s="56" t="n">
        <f aca="false">R1221</f>
        <v>-729995.022520068</v>
      </c>
    </row>
    <row r="1222" customFormat="false" ht="15" hidden="false" customHeight="false" outlineLevel="0" collapsed="false">
      <c r="A1222" s="4" t="s">
        <v>570</v>
      </c>
      <c r="B1222" s="36" t="s">
        <v>107</v>
      </c>
      <c r="C1222" s="57" t="n">
        <f aca="false">1/(1+Assumptions!$D$87)^(C1141/4)</f>
        <v>0.972065420906982</v>
      </c>
      <c r="D1222" s="57" t="n">
        <f aca="false">1/(1+Assumptions!$D$87)^(D1141/4)</f>
        <v>0.944911182523068</v>
      </c>
      <c r="E1222" s="57" t="n">
        <f aca="false">1/(1+Assumptions!$D$87)^(E1141/4)</f>
        <v>0.918515486359</v>
      </c>
      <c r="F1222" s="57" t="n">
        <f aca="false">1/(1+Assumptions!$D$87)^(F1141/4)</f>
        <v>0.892857142857143</v>
      </c>
      <c r="G1222" s="57" t="n">
        <f aca="false">1/(1+Assumptions!$D$87)^(G1141/4)</f>
        <v>0.867915554381234</v>
      </c>
      <c r="H1222" s="57" t="n">
        <f aca="false">1/(1+Assumptions!$D$87)^(H1141/4)</f>
        <v>0.843670698681311</v>
      </c>
      <c r="I1222" s="57" t="n">
        <f aca="false">1/(1+Assumptions!$D$87)^(I1141/4)</f>
        <v>0.820103112820536</v>
      </c>
      <c r="J1222" s="57" t="n">
        <f aca="false">1/(1+Assumptions!$D$87)^(J1141/4)</f>
        <v>0.79719387755102</v>
      </c>
      <c r="K1222" s="57" t="n">
        <f aca="false">1/(1+Assumptions!$D$87)^(K1141/4)</f>
        <v>0.774924602126102</v>
      </c>
      <c r="L1222" s="57" t="n">
        <f aca="false">1/(1+Assumptions!$D$87)^(L1141/4)</f>
        <v>0.753277409536885</v>
      </c>
      <c r="M1222" s="57" t="n">
        <f aca="false">1/(1+Assumptions!$D$87)^(M1141/4)</f>
        <v>0.732234922161193</v>
      </c>
      <c r="N1222" s="57" t="n">
        <f aca="false">1/(1+Assumptions!$D$87)^(N1141/4)</f>
        <v>0.711780247813411</v>
      </c>
      <c r="P1222" s="58"/>
      <c r="Q1222" s="58"/>
      <c r="R1222" s="58"/>
      <c r="S1222" s="59"/>
    </row>
    <row r="1223" customFormat="false" ht="15" hidden="false" customHeight="false" outlineLevel="0" collapsed="false">
      <c r="A1223" s="4" t="s">
        <v>571</v>
      </c>
      <c r="B1223" s="36" t="s">
        <v>125</v>
      </c>
      <c r="C1223" s="54" t="n">
        <f aca="false">(C1198*(1-Assumptions!$D$88)-C1218)*C1222</f>
        <v>-120689.906828702</v>
      </c>
      <c r="D1223" s="54" t="n">
        <f aca="false">(D1198*(1-Assumptions!$D$88)-D1218)*D1222</f>
        <v>-81083.6898011742</v>
      </c>
      <c r="E1223" s="54" t="n">
        <f aca="false">(E1198*(1-Assumptions!$D$88)-E1218)*E1222</f>
        <v>-80466.7437591316</v>
      </c>
      <c r="F1223" s="54" t="n">
        <f aca="false">(F1198*(1-Assumptions!$D$88)-F1218)*F1222</f>
        <v>-79477.2937134258</v>
      </c>
      <c r="G1223" s="54" t="n">
        <f aca="false">(G1198*(1-Assumptions!$D$88)-G1218)*G1222</f>
        <v>-33532.0608428423</v>
      </c>
      <c r="H1223" s="54" t="n">
        <f aca="false">(H1198*(1-Assumptions!$D$88)-H1218)*H1222</f>
        <v>-32804.5787533542</v>
      </c>
      <c r="I1223" s="54" t="n">
        <f aca="false">(I1198*(1-Assumptions!$D$88)-I1218)*I1222</f>
        <v>-64628.0047189908</v>
      </c>
      <c r="J1223" s="54" t="n">
        <f aca="false">(J1198*(1-Assumptions!$D$88)-J1218)*J1222</f>
        <v>-30967.7320217731</v>
      </c>
      <c r="K1223" s="54" t="n">
        <f aca="false">(K1198*(1-Assumptions!$D$88)-K1218)*K1222</f>
        <v>-30135.5418658216</v>
      </c>
      <c r="L1223" s="54" t="n">
        <f aca="false">(L1198*(1-Assumptions!$D$88)-L1218)*L1222</f>
        <v>-29149.9627772231</v>
      </c>
      <c r="M1223" s="54" t="n">
        <f aca="false">(M1198*(1-Assumptions!$D$88)-M1218)*M1222</f>
        <v>-28158.9346592513</v>
      </c>
      <c r="N1223" s="54" t="n">
        <f aca="false">(N1198*(1-Assumptions!$D$88)-N1218)*N1222</f>
        <v>-27208.0204890526</v>
      </c>
      <c r="P1223" s="55" t="n">
        <f aca="false">SUM(C1223:F1223)</f>
        <v>-361717.634102434</v>
      </c>
      <c r="Q1223" s="55" t="n">
        <f aca="false">SUM(G1223:J1223)</f>
        <v>-161932.37633696</v>
      </c>
      <c r="R1223" s="55" t="n">
        <f aca="false">SUM(K1223:N1223)</f>
        <v>-114652.459791349</v>
      </c>
      <c r="S1223" s="56" t="n">
        <f aca="false">SUM(P1223:R1223)</f>
        <v>-638302.470230743</v>
      </c>
    </row>
    <row r="1224" customFormat="false" ht="15" hidden="false" customHeight="false" outlineLevel="0" collapsed="false">
      <c r="A1224" s="4" t="s">
        <v>572</v>
      </c>
      <c r="B1224" s="36" t="s">
        <v>125</v>
      </c>
      <c r="C1224" s="54" t="n">
        <f aca="false">(C1218-C1217)*12/(Assumptions!$D$89*Assumptions!$D$76)*Assumptions!$D$90</f>
        <v>101583.993506493</v>
      </c>
      <c r="D1224" s="54" t="n">
        <f aca="false">(D1218-D1217)*12/(Assumptions!$D$89*Assumptions!$D$76)*Assumptions!$D$90</f>
        <v>70190.7141081243</v>
      </c>
      <c r="E1224" s="54" t="n">
        <f aca="false">(E1218-E1217)*12/(Assumptions!$D$89*Assumptions!$D$76)*Assumptions!$D$90</f>
        <v>71666.1059801267</v>
      </c>
      <c r="F1224" s="54" t="n">
        <f aca="false">(F1218-F1217)*12/(Assumptions!$D$89*Assumptions!$D$76)*Assumptions!$D$90</f>
        <v>72869.4781610647</v>
      </c>
      <c r="G1224" s="54" t="n">
        <f aca="false">(G1218-G1217)*12/(Assumptions!$D$89*Assumptions!$D$76)*Assumptions!$D$90</f>
        <v>31718.354897059</v>
      </c>
      <c r="H1224" s="54" t="n">
        <f aca="false">(H1218-H1217)*12/(Assumptions!$D$89*Assumptions!$D$76)*Assumptions!$D$90</f>
        <v>32002.3424403974</v>
      </c>
      <c r="I1224" s="54" t="n">
        <f aca="false">(I1218-I1217)*12/(Assumptions!$D$89*Assumptions!$D$76)*Assumptions!$D$90</f>
        <v>64767.1708476817</v>
      </c>
      <c r="J1224" s="54" t="n">
        <f aca="false">(J1218-J1217)*12/(Assumptions!$D$89*Assumptions!$D$76)*Assumptions!$D$90</f>
        <v>32173.3925893334</v>
      </c>
      <c r="K1224" s="54" t="n">
        <f aca="false">(K1218-K1217)*12/(Assumptions!$D$89*Assumptions!$D$76)*Assumptions!$D$90</f>
        <v>32319.7335658227</v>
      </c>
      <c r="L1224" s="54" t="n">
        <f aca="false">(L1218-L1217)*12/(Assumptions!$D$89*Assumptions!$D$76)*Assumptions!$D$90</f>
        <v>32293.12571028</v>
      </c>
      <c r="M1224" s="54" t="n">
        <f aca="false">(M1218-M1217)*12/(Assumptions!$D$89*Assumptions!$D$76)*Assumptions!$D$90</f>
        <v>32226.7494995742</v>
      </c>
      <c r="N1224" s="54" t="n">
        <f aca="false">(N1218-N1217)*12/(Assumptions!$D$89*Assumptions!$D$76)*Assumptions!$D$90</f>
        <v>32168.3125307886</v>
      </c>
      <c r="P1224" s="55" t="n">
        <f aca="false">SUM(C1224:F1224)</f>
        <v>316310.291755809</v>
      </c>
      <c r="Q1224" s="55" t="n">
        <f aca="false">SUM(G1224:J1224)</f>
        <v>160661.260774472</v>
      </c>
      <c r="R1224" s="55" t="n">
        <f aca="false">SUM(K1224:N1224)</f>
        <v>129007.921306465</v>
      </c>
      <c r="S1224" s="56" t="n">
        <f aca="false">SUM(P1224:R1224)</f>
        <v>605979.473836746</v>
      </c>
    </row>
    <row r="1225" customFormat="false" ht="15" hidden="false" customHeight="false" outlineLevel="0" collapsed="false">
      <c r="A1225" s="4" t="s">
        <v>573</v>
      </c>
      <c r="B1225" s="36" t="s">
        <v>125</v>
      </c>
      <c r="C1225" s="54" t="n">
        <f aca="false">0*Assumptions!$D$92^(1/4)+C1224</f>
        <v>101583.993506493</v>
      </c>
      <c r="D1225" s="54" t="n">
        <f aca="false">C1225*Assumptions!$D$92^(1/4)+D1224</f>
        <v>172027.720765911</v>
      </c>
      <c r="E1225" s="54" t="n">
        <f aca="false">D1225*Assumptions!$D$92^(1/4)+E1224</f>
        <v>244122.292631639</v>
      </c>
      <c r="F1225" s="54" t="n">
        <f aca="false">E1225*Assumptions!$D$92^(1/4)+F1224</f>
        <v>317599.801137126</v>
      </c>
      <c r="G1225" s="54" t="n">
        <f aca="false">F1225*Assumptions!$D$92^(1/4)+G1224</f>
        <v>350109.19528911</v>
      </c>
      <c r="H1225" s="54" t="n">
        <f aca="false">G1225*Assumptions!$D$92^(1/4)+H1224</f>
        <v>382983.547459967</v>
      </c>
      <c r="I1225" s="54" t="n">
        <f aca="false">H1225*Assumptions!$D$92^(1/4)+I1224</f>
        <v>448704.607507033</v>
      </c>
      <c r="J1225" s="54" t="n">
        <f aca="false">I1225*Assumptions!$D$92^(1/4)+J1224</f>
        <v>481995.579380524</v>
      </c>
      <c r="K1225" s="54" t="n">
        <f aca="false">J1225*Assumptions!$D$92^(1/4)+K1224</f>
        <v>515515.809365505</v>
      </c>
      <c r="L1225" s="54" t="n">
        <f aca="false">K1225*Assumptions!$D$92^(1/4)+L1224</f>
        <v>549092.919638377</v>
      </c>
      <c r="M1225" s="54" t="n">
        <f aca="false">L1225*Assumptions!$D$92^(1/4)+M1224</f>
        <v>582687.283514534</v>
      </c>
      <c r="N1225" s="54" t="n">
        <f aca="false">M1225*Assumptions!$D$92^(1/4)+N1224</f>
        <v>616306.883209091</v>
      </c>
      <c r="P1225" s="55" t="n">
        <f aca="false">F1225</f>
        <v>317599.801137126</v>
      </c>
      <c r="Q1225" s="55" t="n">
        <f aca="false">J1225</f>
        <v>481995.579380524</v>
      </c>
      <c r="R1225" s="55" t="n">
        <f aca="false">N1225</f>
        <v>616306.883209091</v>
      </c>
      <c r="S1225" s="56" t="n">
        <f aca="false">R1225</f>
        <v>616306.883209091</v>
      </c>
    </row>
    <row r="1226" customFormat="false" ht="15" hidden="false" customHeight="false" outlineLevel="0" collapsed="false">
      <c r="A1226" s="4" t="s">
        <v>574</v>
      </c>
      <c r="B1226" s="36" t="s">
        <v>125</v>
      </c>
      <c r="C1226" s="54" t="n">
        <f aca="false">(0+C1225)/8*Assumptions!$D$76-(C1218-C1217)-C1225*Assumptions!$D$93/4</f>
        <v>-118444.114650974</v>
      </c>
      <c r="D1226" s="54" t="n">
        <f aca="false">(C1225+D1225)/8*Assumptions!$D$76-(D1218-D1217)-D1225*Assumptions!$D$93/4</f>
        <v>-69128.1917299425</v>
      </c>
      <c r="E1226" s="54" t="n">
        <f aca="false">(D1225+E1225)/8*Assumptions!$D$76-(E1218-E1217)-E1225*Assumptions!$D$93/4</f>
        <v>-62033.1225458578</v>
      </c>
      <c r="F1226" s="54" t="n">
        <f aca="false">(E1225+F1225)/8*Assumptions!$D$76-(F1218-F1217)-F1225*Assumptions!$D$93/4</f>
        <v>-54414.2990978017</v>
      </c>
      <c r="G1226" s="54" t="n">
        <f aca="false">(F1225+G1225)/8*Assumptions!$D$76-(G1218-G1217)-G1225*Assumptions!$D$93/4</f>
        <v>2761.75035567324</v>
      </c>
      <c r="H1226" s="54" t="n">
        <f aca="false">(G1225+H1225)/8*Assumptions!$D$76-(H1218-H1217)-H1225*Assumptions!$D$93/4</f>
        <v>6498.85762693035</v>
      </c>
      <c r="I1226" s="54" t="n">
        <f aca="false">(H1225+I1225)/8*Assumptions!$D$76-(I1218-I1217)-I1225*Assumptions!$D$93/4</f>
        <v>-27590.1224203566</v>
      </c>
      <c r="J1226" s="54" t="n">
        <f aca="false">(I1225+J1225)/8*Assumptions!$D$76-(J1218-J1217)-J1225*Assumptions!$D$93/4</f>
        <v>18637.6577193</v>
      </c>
      <c r="K1226" s="54" t="n">
        <f aca="false">(J1225+K1225)/8*Assumptions!$D$76-(K1218-K1217)-K1225*Assumptions!$D$93/4</f>
        <v>22633.0637787707</v>
      </c>
      <c r="L1226" s="54" t="n">
        <f aca="false">(K1225+L1225)/8*Assumptions!$D$76-(L1218-L1217)-L1225*Assumptions!$D$93/4</f>
        <v>26858.8127554171</v>
      </c>
      <c r="M1226" s="54" t="n">
        <f aca="false">(L1225+M1225)/8*Assumptions!$D$76-(M1218-M1217)-M1225*Assumptions!$D$93/4</f>
        <v>31138.0485344625</v>
      </c>
      <c r="N1226" s="54" t="n">
        <f aca="false">(M1225+N1225)/8*Assumptions!$D$76-(N1218-N1217)-N1225*Assumptions!$D$93/4</f>
        <v>35410.1864956162</v>
      </c>
      <c r="P1226" s="55" t="n">
        <f aca="false">SUM(C1226:F1226)</f>
        <v>-304019.728024576</v>
      </c>
      <c r="Q1226" s="55" t="n">
        <f aca="false">SUM(G1226:J1226)</f>
        <v>308.143281546978</v>
      </c>
      <c r="R1226" s="55" t="n">
        <f aca="false">SUM(K1226:N1226)</f>
        <v>116040.111564267</v>
      </c>
      <c r="S1226" s="56" t="n">
        <f aca="false">SUM(P1226:R1226)</f>
        <v>-187671.473178762</v>
      </c>
    </row>
    <row r="1227" customFormat="false" ht="15" hidden="false" customHeight="false" outlineLevel="0" collapsed="false">
      <c r="A1227" s="4" t="s">
        <v>575</v>
      </c>
      <c r="B1227" s="36" t="s">
        <v>125</v>
      </c>
      <c r="C1227" s="54" t="n">
        <f aca="false">C1226*C1222</f>
        <v>-115135.428162154</v>
      </c>
      <c r="D1227" s="54" t="n">
        <f aca="false">D1226*D1222</f>
        <v>-65320.0013932213</v>
      </c>
      <c r="E1227" s="54" t="n">
        <f aca="false">E1226*E1222</f>
        <v>-56978.383725576</v>
      </c>
      <c r="F1227" s="54" t="n">
        <f aca="false">F1226*F1222</f>
        <v>-48584.1956230372</v>
      </c>
      <c r="G1227" s="54" t="n">
        <f aca="false">G1226*G1222</f>
        <v>2396.96609100671</v>
      </c>
      <c r="H1227" s="54" t="n">
        <f aca="false">H1226*H1222</f>
        <v>5482.89575474269</v>
      </c>
      <c r="I1227" s="54" t="n">
        <f aca="false">I1226*I1222</f>
        <v>-22626.7452800341</v>
      </c>
      <c r="J1227" s="54" t="n">
        <f aca="false">J1226*J1222</f>
        <v>14857.8266257175</v>
      </c>
      <c r="K1227" s="54" t="n">
        <f aca="false">K1226*K1222</f>
        <v>17538.9179436586</v>
      </c>
      <c r="L1227" s="54" t="n">
        <f aca="false">L1226*L1222</f>
        <v>20232.1368956368</v>
      </c>
      <c r="M1227" s="54" t="n">
        <f aca="false">M1226*M1222</f>
        <v>22800.3665448836</v>
      </c>
      <c r="N1227" s="54" t="n">
        <f aca="false">N1226*N1222</f>
        <v>25204.2713189688</v>
      </c>
      <c r="P1227" s="55" t="n">
        <f aca="false">SUM(C1227:F1227)</f>
        <v>-286018.008903988</v>
      </c>
      <c r="Q1227" s="55" t="n">
        <f aca="false">SUM(G1227:J1227)</f>
        <v>110.943191432765</v>
      </c>
      <c r="R1227" s="55" t="n">
        <f aca="false">SUM(K1227:N1227)</f>
        <v>85775.6927031478</v>
      </c>
      <c r="S1227" s="56" t="n">
        <f aca="false">SUM(P1227:R1227)</f>
        <v>-200131.373009408</v>
      </c>
    </row>
    <row r="1228" customFormat="false" ht="15" hidden="false" customHeight="false" outlineLevel="0" collapsed="false">
      <c r="A1228" s="4" t="s">
        <v>576</v>
      </c>
      <c r="B1228" s="36"/>
      <c r="C1228" s="37" t="n">
        <f aca="false">IFERROR((S1183*$C$1132*Assumptions!$D$59+S1184*$C$1133*Assumptions!$D$60+S1185*$C$1134*Assumptions!$D$61)/(S1183*$C$1132+S1184*$C$1133+S1185*$C$1134),0.9)</f>
        <v>0.859310572153421</v>
      </c>
    </row>
    <row r="1229" customFormat="false" ht="15" hidden="false" customHeight="false" outlineLevel="0" collapsed="false">
      <c r="A1229" s="4" t="s">
        <v>577</v>
      </c>
      <c r="B1229" s="36"/>
      <c r="C1229" s="37" t="n">
        <f aca="false">IFERROR(N1217*4/N1195,0)</f>
        <v>0.222675842153493</v>
      </c>
    </row>
    <row r="1230" customFormat="false" ht="15" hidden="false" customHeight="false" outlineLevel="0" collapsed="false">
      <c r="A1230" s="4" t="s">
        <v>578</v>
      </c>
      <c r="B1230" s="36"/>
      <c r="C1230" s="60" t="n">
        <f aca="false">$C$1228/(1+Assumptions!$D$87)</f>
        <v>0.76724158227984</v>
      </c>
    </row>
    <row r="1231" customFormat="false" ht="15" hidden="false" customHeight="false" outlineLevel="0" collapsed="false">
      <c r="A1231" s="4" t="s">
        <v>579</v>
      </c>
      <c r="B1231" s="36"/>
      <c r="C1231" s="60" t="n">
        <f aca="false">Assumptions!$D$91/(1+Assumptions!$D$87)</f>
        <v>0.803571428571429</v>
      </c>
    </row>
    <row r="1232" customFormat="false" ht="15" hidden="false" customHeight="false" outlineLevel="0" collapsed="false">
      <c r="A1232" s="35" t="s">
        <v>580</v>
      </c>
      <c r="B1232" s="35" t="s">
        <v>444</v>
      </c>
      <c r="C1232" s="6" t="s">
        <v>354</v>
      </c>
      <c r="D1232" s="6" t="s">
        <v>355</v>
      </c>
      <c r="E1232" s="6" t="s">
        <v>356</v>
      </c>
      <c r="F1232" s="6" t="s">
        <v>357</v>
      </c>
      <c r="G1232" s="6" t="s">
        <v>358</v>
      </c>
      <c r="H1232" s="6" t="s">
        <v>359</v>
      </c>
      <c r="I1232" s="6" t="s">
        <v>360</v>
      </c>
      <c r="J1232" s="6" t="s">
        <v>361</v>
      </c>
      <c r="K1232" s="6" t="s">
        <v>362</v>
      </c>
      <c r="L1232" s="6" t="s">
        <v>363</v>
      </c>
      <c r="M1232" s="6" t="s">
        <v>364</v>
      </c>
      <c r="N1232" s="6" t="s">
        <v>365</v>
      </c>
      <c r="P1232" s="6" t="s">
        <v>445</v>
      </c>
      <c r="Q1232" s="6" t="s">
        <v>446</v>
      </c>
      <c r="R1232" s="6" t="s">
        <v>447</v>
      </c>
      <c r="S1232" s="6" t="s">
        <v>448</v>
      </c>
    </row>
    <row r="1233" customFormat="false" ht="15" hidden="false" customHeight="false" outlineLevel="0" collapsed="false">
      <c r="A1233" s="9" t="s">
        <v>581</v>
      </c>
      <c r="C1233" s="61" t="n">
        <f aca="false">N1195</f>
        <v>30663.054615016</v>
      </c>
      <c r="D1233" s="61"/>
    </row>
    <row r="1234" customFormat="false" ht="15" hidden="false" customHeight="false" outlineLevel="0" collapsed="false">
      <c r="A1234" s="9" t="s">
        <v>582</v>
      </c>
      <c r="C1234" s="62" t="n">
        <f aca="false">N1191</f>
        <v>3.71063941389807</v>
      </c>
      <c r="D1234" s="62"/>
    </row>
    <row r="1235" customFormat="false" ht="15" hidden="false" customHeight="false" outlineLevel="0" collapsed="false">
      <c r="A1235" s="9" t="s">
        <v>583</v>
      </c>
      <c r="C1235" s="63" t="n">
        <f aca="false">S1186</f>
        <v>4.36255472040268</v>
      </c>
      <c r="D1235" s="63"/>
    </row>
    <row r="1236" customFormat="false" ht="15" hidden="false" customHeight="false" outlineLevel="0" collapsed="false">
      <c r="A1236" s="9" t="s">
        <v>584</v>
      </c>
      <c r="C1236" s="61" t="n">
        <f aca="false">S1197</f>
        <v>36546.5635353042</v>
      </c>
      <c r="D1236" s="61"/>
    </row>
    <row r="1237" customFormat="false" ht="15" hidden="false" customHeight="false" outlineLevel="0" collapsed="false">
      <c r="A1237" s="9" t="s">
        <v>22</v>
      </c>
      <c r="C1237" s="61" t="n">
        <f aca="false">IFERROR(S1196/S1186,0)</f>
        <v>7294.80438558972</v>
      </c>
      <c r="D1237" s="61"/>
    </row>
    <row r="1238" customFormat="false" ht="15" hidden="false" customHeight="false" outlineLevel="0" collapsed="false">
      <c r="A1238" s="9" t="s">
        <v>585</v>
      </c>
      <c r="C1238" s="61" t="n">
        <f aca="false">IFERROR(S1214/S1186,0)</f>
        <v>83551.6676240796</v>
      </c>
      <c r="D1238" s="61"/>
    </row>
    <row r="1239" customFormat="false" ht="23.85" hidden="false" customHeight="false" outlineLevel="0" collapsed="false">
      <c r="A1239" s="9" t="s">
        <v>586</v>
      </c>
      <c r="C1239" s="61" t="n">
        <f aca="false">IFERROR((S1208+S1210+S1211+S1212+S1213)/S1186,0)</f>
        <v>63223.1465170481</v>
      </c>
      <c r="D1239" s="61"/>
    </row>
    <row r="1240" customFormat="false" ht="15" hidden="false" customHeight="false" outlineLevel="0" collapsed="false">
      <c r="A1240" s="9" t="s">
        <v>587</v>
      </c>
      <c r="C1240" s="64" t="n">
        <f aca="false">IFERROR('Engine Runs'!$C$1238/('Engine Runs'!$C$1237*Assumptions!$D$76/12),0)</f>
        <v>249.896416555808</v>
      </c>
      <c r="D1240" s="64"/>
    </row>
    <row r="1241" customFormat="false" ht="15" hidden="false" customHeight="false" outlineLevel="0" collapsed="false">
      <c r="A1241" s="9" t="s">
        <v>588</v>
      </c>
      <c r="C1241" s="64" t="n">
        <f aca="false">IFERROR((R1214/R1186)/((R1196/R1186)*Assumptions!$D$76/12),0)</f>
        <v>154.68712616772</v>
      </c>
      <c r="D1241" s="64"/>
    </row>
    <row r="1242" customFormat="false" ht="15" hidden="false" customHeight="false" outlineLevel="0" collapsed="false">
      <c r="A1242" s="9" t="s">
        <v>589</v>
      </c>
      <c r="C1242" s="61" t="n">
        <f aca="false">S1218</f>
        <v>750095.632464485</v>
      </c>
      <c r="D1242" s="61"/>
    </row>
    <row r="1243" customFormat="false" ht="15" hidden="false" customHeight="false" outlineLevel="0" collapsed="false">
      <c r="A1243" s="9" t="s">
        <v>590</v>
      </c>
      <c r="C1243" s="61" t="n">
        <f aca="false">N1221</f>
        <v>-729995.022520068</v>
      </c>
      <c r="D1243" s="61"/>
    </row>
    <row r="1244" customFormat="false" ht="15" hidden="false" customHeight="false" outlineLevel="0" collapsed="false">
      <c r="A1244" s="9" t="s">
        <v>591</v>
      </c>
      <c r="C1244" s="61" t="n">
        <f aca="false">MIN($C$1221:$N$1221)</f>
        <v>-729995.022520068</v>
      </c>
      <c r="D1244" s="61"/>
    </row>
    <row r="1245" customFormat="false" ht="15" hidden="false" customHeight="false" outlineLevel="0" collapsed="false">
      <c r="A1245" s="9" t="s">
        <v>592</v>
      </c>
      <c r="C1245" s="61" t="n">
        <f aca="false">N1195*(Assumptions!$D$76-$C$1229)*$C$1228*(1-$C$1228^Assumptions!$D$85)/(1-$C$1228)</f>
        <v>32579.8540412552</v>
      </c>
      <c r="D1245" s="61"/>
    </row>
    <row r="1246" customFormat="false" ht="15" hidden="false" customHeight="false" outlineLevel="0" collapsed="false">
      <c r="A1246" s="9" t="s">
        <v>593</v>
      </c>
      <c r="C1246" s="61" t="n">
        <f aca="false">N1195*(Assumptions!$D$76-$C$1229)*(1-Assumptions!$D$88)/(1+Assumptions!$D$87)^2.5*$C$1230*(1-$C$1230^Assumptions!$D$85)/(1-$C$1230)</f>
        <v>12807.0559908983</v>
      </c>
      <c r="D1246" s="61"/>
    </row>
    <row r="1247" customFormat="false" ht="15" hidden="false" customHeight="false" outlineLevel="0" collapsed="false">
      <c r="A1247" s="9" t="s">
        <v>594</v>
      </c>
      <c r="C1247" s="61" t="n">
        <f aca="false">SUM($C$1223:$N$1223)+'Engine Runs'!$C$1246</f>
        <v>-625495.414239844</v>
      </c>
      <c r="D1247" s="61"/>
    </row>
    <row r="1248" customFormat="false" ht="15" hidden="false" customHeight="false" outlineLevel="0" collapsed="false">
      <c r="A1248" s="9" t="s">
        <v>595</v>
      </c>
      <c r="C1248" s="61" t="n">
        <f aca="false">SUM($C$1227:$N$1227)+N1225*(Assumptions!$D$76-Assumptions!$D$93)/(1+Assumptions!$D$87)^2.5*$C$1231*(1-$C$1231^Assumptions!$D$85)/(1-$C$1231)</f>
        <v>431297.34369598</v>
      </c>
      <c r="D1248" s="61"/>
    </row>
    <row r="1249" customFormat="false" ht="15" hidden="false" customHeight="false" outlineLevel="0" collapsed="false">
      <c r="A1249" s="9" t="s">
        <v>596</v>
      </c>
      <c r="C1249" s="61" t="n">
        <f aca="false">'Engine Runs'!$C$1247-'Engine Runs'!$C$1248</f>
        <v>-1056792.75793582</v>
      </c>
      <c r="D1249" s="61"/>
    </row>
    <row r="1250" customFormat="false" ht="15" hidden="false" customHeight="false" outlineLevel="0" collapsed="false">
      <c r="A1250" s="9" t="s">
        <v>597</v>
      </c>
      <c r="C1250" s="61" t="n">
        <f aca="false">S1182</f>
        <v>0</v>
      </c>
      <c r="D1250" s="61"/>
    </row>
    <row r="1251" customFormat="false" ht="15" hidden="false" customHeight="false" outlineLevel="0" collapsed="false">
      <c r="A1251" s="9" t="s">
        <v>598</v>
      </c>
      <c r="C1251" s="63" t="n">
        <f aca="false">P1166</f>
        <v>7.5903563847742</v>
      </c>
      <c r="D1251" s="63"/>
    </row>
    <row r="1252" customFormat="false" ht="15" hidden="false" customHeight="false" outlineLevel="0" collapsed="false">
      <c r="A1252" s="9" t="s">
        <v>599</v>
      </c>
      <c r="C1252" s="63" t="n">
        <f aca="false">P1186</f>
        <v>0.751478427343154</v>
      </c>
      <c r="D1252" s="63"/>
    </row>
    <row r="1253" customFormat="false" ht="15" hidden="false" customHeight="false" outlineLevel="0" collapsed="false">
      <c r="A1253" s="9" t="s">
        <v>600</v>
      </c>
      <c r="C1253" s="63" t="n">
        <f aca="false">P1162</f>
        <v>10</v>
      </c>
      <c r="D1253" s="63"/>
    </row>
    <row r="1254" customFormat="false" ht="15" hidden="false" customHeight="false" outlineLevel="0" collapsed="false">
      <c r="A1254" s="9" t="s">
        <v>601</v>
      </c>
      <c r="C1254" s="61" t="n">
        <f aca="false">IFERROR(P1196/P1186,0)</f>
        <v>6890.59016441463</v>
      </c>
      <c r="D1254" s="61"/>
    </row>
    <row r="1257" customFormat="false" ht="15" hidden="false" customHeight="true" outlineLevel="0" collapsed="false">
      <c r="A1257" s="77" t="s">
        <v>781</v>
      </c>
      <c r="B1257" s="77"/>
      <c r="C1257" s="77"/>
      <c r="D1257" s="77"/>
      <c r="E1257" s="77"/>
      <c r="F1257" s="77"/>
      <c r="G1257" s="77"/>
      <c r="H1257" s="77"/>
      <c r="I1257" s="77"/>
      <c r="J1257" s="77"/>
      <c r="K1257" s="77"/>
      <c r="L1257" s="77"/>
      <c r="M1257" s="77"/>
      <c r="N1257" s="77"/>
    </row>
    <row r="1258" customFormat="false" ht="23.85" hidden="false" customHeight="false" outlineLevel="0" collapsed="false">
      <c r="A1258" s="35" t="s">
        <v>782</v>
      </c>
      <c r="B1258" s="35" t="s">
        <v>444</v>
      </c>
      <c r="C1258" s="6" t="s">
        <v>354</v>
      </c>
      <c r="D1258" s="6" t="s">
        <v>355</v>
      </c>
      <c r="E1258" s="6" t="s">
        <v>356</v>
      </c>
      <c r="F1258" s="6" t="s">
        <v>357</v>
      </c>
      <c r="G1258" s="6" t="s">
        <v>358</v>
      </c>
      <c r="H1258" s="6" t="s">
        <v>359</v>
      </c>
      <c r="I1258" s="6" t="s">
        <v>360</v>
      </c>
      <c r="J1258" s="6" t="s">
        <v>361</v>
      </c>
      <c r="K1258" s="6" t="s">
        <v>362</v>
      </c>
      <c r="L1258" s="6" t="s">
        <v>363</v>
      </c>
      <c r="M1258" s="6" t="s">
        <v>364</v>
      </c>
      <c r="N1258" s="6" t="s">
        <v>365</v>
      </c>
      <c r="P1258" s="6" t="s">
        <v>445</v>
      </c>
      <c r="Q1258" s="6" t="s">
        <v>446</v>
      </c>
      <c r="R1258" s="6" t="s">
        <v>447</v>
      </c>
      <c r="S1258" s="6" t="s">
        <v>448</v>
      </c>
    </row>
    <row r="1259" customFormat="false" ht="15" hidden="false" customHeight="false" outlineLevel="0" collapsed="false">
      <c r="A1259" s="4" t="s">
        <v>449</v>
      </c>
      <c r="B1259" s="36" t="s">
        <v>450</v>
      </c>
      <c r="C1259" s="34" t="n">
        <f aca="false">'Market Sizing'!$C$17*Assumptions!$E$10*Assumptions!$E$11*(1-Assumptions!$E$12)</f>
        <v>843.03944704</v>
      </c>
    </row>
    <row r="1260" customFormat="false" ht="15" hidden="false" customHeight="false" outlineLevel="0" collapsed="false">
      <c r="A1260" s="4" t="s">
        <v>451</v>
      </c>
      <c r="B1260" s="36" t="s">
        <v>450</v>
      </c>
      <c r="C1260" s="34" t="n">
        <f aca="false">'Market Sizing'!$D$17*Assumptions!$E$10*Assumptions!$E$11*(1-Assumptions!$E$12)</f>
        <v>211.19616</v>
      </c>
    </row>
    <row r="1261" customFormat="false" ht="15" hidden="false" customHeight="false" outlineLevel="0" collapsed="false">
      <c r="A1261" s="4" t="s">
        <v>452</v>
      </c>
      <c r="B1261" s="36" t="s">
        <v>450</v>
      </c>
      <c r="C1261" s="34" t="n">
        <f aca="false">'Market Sizing'!$E$17*Assumptions!$E$10*Assumptions!$E$11*(1-Assumptions!$E$12)</f>
        <v>49.53984</v>
      </c>
    </row>
    <row r="1262" customFormat="false" ht="15" hidden="false" customHeight="false" outlineLevel="0" collapsed="false">
      <c r="A1262" s="4" t="s">
        <v>453</v>
      </c>
      <c r="B1262" s="36"/>
      <c r="C1262" s="34" t="n">
        <f aca="false">$C$1259+$C$1260+$C$1261</f>
        <v>1103.77544704</v>
      </c>
    </row>
    <row r="1263" customFormat="false" ht="15" hidden="false" customHeight="false" outlineLevel="0" collapsed="false">
      <c r="A1263" s="4" t="s">
        <v>454</v>
      </c>
      <c r="B1263" s="36" t="s">
        <v>450</v>
      </c>
      <c r="C1263" s="34" t="n">
        <f aca="false">'Market Sizing'!$C$18*Assumptions!$E$10*Assumptions!$E$11*(1-Assumptions!$E$12)</f>
        <v>612.57706944</v>
      </c>
    </row>
    <row r="1264" customFormat="false" ht="15" hidden="false" customHeight="false" outlineLevel="0" collapsed="false">
      <c r="A1264" s="4" t="s">
        <v>455</v>
      </c>
      <c r="B1264" s="36" t="s">
        <v>450</v>
      </c>
      <c r="C1264" s="34" t="n">
        <f aca="false">'Market Sizing'!$D$18*Assumptions!$E$10*Assumptions!$E$11*(1-Assumptions!$E$12)</f>
        <v>142.10112</v>
      </c>
    </row>
    <row r="1265" customFormat="false" ht="15" hidden="false" customHeight="false" outlineLevel="0" collapsed="false">
      <c r="A1265" s="4" t="s">
        <v>456</v>
      </c>
      <c r="B1265" s="36" t="s">
        <v>450</v>
      </c>
      <c r="C1265" s="34" t="n">
        <f aca="false">'Market Sizing'!$E$18*Assumptions!$E$10*Assumptions!$E$11*(1-Assumptions!$E$12)</f>
        <v>24.76992</v>
      </c>
    </row>
    <row r="1266" customFormat="false" ht="15" hidden="false" customHeight="false" outlineLevel="0" collapsed="false">
      <c r="A1266" s="4" t="s">
        <v>457</v>
      </c>
      <c r="B1266" s="36"/>
      <c r="C1266" s="34" t="n">
        <f aca="false">$C$1263+$C$1264+$C$1265</f>
        <v>779.44810944</v>
      </c>
    </row>
    <row r="1267" customFormat="false" ht="15" hidden="false" customHeight="false" outlineLevel="0" collapsed="false">
      <c r="A1267" s="4" t="s">
        <v>458</v>
      </c>
      <c r="B1267" s="36" t="s">
        <v>450</v>
      </c>
      <c r="C1267" s="34" t="n">
        <f aca="false">'Market Sizing'!$C$19*Assumptions!$E$10*Assumptions!$E$11*(1-Assumptions!$E$12)</f>
        <v>2060.77303936</v>
      </c>
    </row>
    <row r="1268" customFormat="false" ht="15" hidden="false" customHeight="false" outlineLevel="0" collapsed="false">
      <c r="A1268" s="4" t="s">
        <v>459</v>
      </c>
      <c r="B1268" s="36" t="s">
        <v>450</v>
      </c>
      <c r="C1268" s="34" t="n">
        <f aca="false">'Market Sizing'!$D$19*Assumptions!$E$10*Assumptions!$E$11*(1-Assumptions!$E$12)</f>
        <v>428.47616</v>
      </c>
    </row>
    <row r="1269" customFormat="false" ht="15" hidden="false" customHeight="false" outlineLevel="0" collapsed="false">
      <c r="A1269" s="4" t="s">
        <v>460</v>
      </c>
      <c r="B1269" s="36" t="s">
        <v>450</v>
      </c>
      <c r="C1269" s="34" t="n">
        <f aca="false">'Market Sizing'!$E$19*Assumptions!$E$10*Assumptions!$E$11*(1-Assumptions!$E$12)</f>
        <v>79.52448</v>
      </c>
    </row>
    <row r="1270" customFormat="false" ht="15" hidden="false" customHeight="false" outlineLevel="0" collapsed="false">
      <c r="A1270" s="4" t="s">
        <v>461</v>
      </c>
      <c r="B1270" s="36"/>
      <c r="C1270" s="34" t="n">
        <f aca="false">$C$1267+$C$1268+$C$1269</f>
        <v>2568.77367936</v>
      </c>
    </row>
    <row r="1271" customFormat="false" ht="15" hidden="false" customHeight="false" outlineLevel="0" collapsed="false">
      <c r="A1271" s="4" t="s">
        <v>462</v>
      </c>
      <c r="B1271" s="36" t="s">
        <v>463</v>
      </c>
      <c r="C1271" s="33" t="n">
        <f aca="false">MAX((Assumptions!$E$51+Assumptions!$E$53)*12,(((('Market Sizing'!$E$25*Assumptions!$E$41*Assumptions!$E$42*Assumptions!$E$43)*Assumptions!$E$44)*Assumptions!$E$45*Assumptions!$E$46+('Market Sizing'!$E$25*Assumptions!$E$41*Assumptions!$E$42*Assumptions!$E$43)*Assumptions!$E$47+('Market Sizing'!$E$25*Assumptions!$E$41*Assumptions!$E$42*Assumptions!$E$43)*Assumptions!$E$48*Assumptions!$E$49)*(Assumptions!$E$51*12/Assumptions!$E$52)+((('Market Sizing'!$E$25*Assumptions!$E$41*Assumptions!$E$42*Assumptions!$E$43)*Assumptions!$E$44)*Assumptions!$E$45+('Market Sizing'!$E$25*Assumptions!$E$41*Assumptions!$E$42*Assumptions!$E$43)+('Market Sizing'!$E$25*Assumptions!$E$41*Assumptions!$E$42*Assumptions!$E$43)*Assumptions!$E$48)*Assumptions!$E$50*(Assumptions!$E$53*12/Assumptions!$E$54)))</f>
        <v>5352</v>
      </c>
    </row>
    <row r="1272" customFormat="false" ht="15" hidden="false" customHeight="false" outlineLevel="0" collapsed="false">
      <c r="A1272" s="4" t="s">
        <v>464</v>
      </c>
      <c r="B1272" s="36" t="s">
        <v>463</v>
      </c>
      <c r="C1272" s="33" t="n">
        <f aca="false">MAX((Assumptions!$E$51+Assumptions!$E$53)*12,(((('Market Sizing'!$E$26*Assumptions!$E$41*Assumptions!$E$42*Assumptions!$E$43)*Assumptions!$E$44)*Assumptions!$E$45*Assumptions!$E$46+('Market Sizing'!$E$26*Assumptions!$E$41*Assumptions!$E$42*Assumptions!$E$43)*Assumptions!$E$47+('Market Sizing'!$E$26*Assumptions!$E$41*Assumptions!$E$42*Assumptions!$E$43)*Assumptions!$E$48*Assumptions!$E$49)*(Assumptions!$E$51*12/Assumptions!$E$52)+((('Market Sizing'!$E$26*Assumptions!$E$41*Assumptions!$E$42*Assumptions!$E$43)*Assumptions!$E$44)*Assumptions!$E$45+('Market Sizing'!$E$26*Assumptions!$E$41*Assumptions!$E$42*Assumptions!$E$43)+('Market Sizing'!$E$26*Assumptions!$E$41*Assumptions!$E$42*Assumptions!$E$43)*Assumptions!$E$48)*Assumptions!$E$50*(Assumptions!$E$53*12/Assumptions!$E$54)))</f>
        <v>9766.72012875208</v>
      </c>
    </row>
    <row r="1273" customFormat="false" ht="15" hidden="false" customHeight="false" outlineLevel="0" collapsed="false">
      <c r="A1273" s="4" t="s">
        <v>465</v>
      </c>
      <c r="B1273" s="36" t="s">
        <v>463</v>
      </c>
      <c r="C1273" s="33" t="n">
        <f aca="false">MAX(Assumptions!$E$55*(Assumptions!$E$51*12/Assumptions!$E$52)+Assumptions!$E$56*(Assumptions!$E$53*12/Assumptions!$E$54),(((('Market Sizing'!$E$27*Assumptions!$E$41*Assumptions!$E$42*Assumptions!$E$43)*Assumptions!$E$44)*Assumptions!$E$45*Assumptions!$E$46+('Market Sizing'!$E$27*Assumptions!$E$41*Assumptions!$E$42*Assumptions!$E$43)*Assumptions!$E$47+('Market Sizing'!$E$27*Assumptions!$E$41*Assumptions!$E$42*Assumptions!$E$43)*Assumptions!$E$48*Assumptions!$E$49)*(Assumptions!$E$51*12/Assumptions!$E$52)+((('Market Sizing'!$E$27*Assumptions!$E$41*Assumptions!$E$42*Assumptions!$E$43)*Assumptions!$E$44)*Assumptions!$E$45+('Market Sizing'!$E$27*Assumptions!$E$41*Assumptions!$E$42*Assumptions!$E$43)+('Market Sizing'!$E$27*Assumptions!$E$41*Assumptions!$E$42*Assumptions!$E$43)*Assumptions!$E$48)*Assumptions!$E$50*(Assumptions!$E$53*12/Assumptions!$E$54)))*(1-Assumptions!$E$57)</f>
        <v>61778.2562194386</v>
      </c>
    </row>
    <row r="1274" customFormat="false" ht="23.85" hidden="false" customHeight="false" outlineLevel="0" collapsed="false">
      <c r="A1274" s="4" t="s">
        <v>466</v>
      </c>
      <c r="B1274" s="36" t="s">
        <v>467</v>
      </c>
      <c r="C1274" s="37" t="n">
        <f aca="false">Assumptions!$E$17*Assumptions!$F$106</f>
        <v>0.2</v>
      </c>
    </row>
    <row r="1275" customFormat="false" ht="23.85" hidden="false" customHeight="false" outlineLevel="0" collapsed="false">
      <c r="A1275" s="4" t="s">
        <v>468</v>
      </c>
      <c r="B1275" s="36" t="s">
        <v>469</v>
      </c>
      <c r="C1275" s="33" t="n">
        <f aca="false">Assumptions!$E$68/Assumptions!$E$69</f>
        <v>285714.285714286</v>
      </c>
    </row>
    <row r="1276" customFormat="false" ht="23.85" hidden="false" customHeight="false" outlineLevel="0" collapsed="false">
      <c r="A1276" s="4" t="s">
        <v>470</v>
      </c>
      <c r="B1276" s="36" t="s">
        <v>471</v>
      </c>
      <c r="C1276" s="33" t="n">
        <f aca="false">Assumptions!$E$66*Assumptions!$E$67/4</f>
        <v>153125</v>
      </c>
    </row>
    <row r="1277" customFormat="false" ht="15" hidden="false" customHeight="false" outlineLevel="0" collapsed="false">
      <c r="A1277" s="4" t="s">
        <v>472</v>
      </c>
      <c r="B1277" s="36"/>
      <c r="C1277" s="38" t="n">
        <f aca="false">$C$1275/Assumptions!$E$66/Assumptions!$E$67</f>
        <v>0.466472303206997</v>
      </c>
    </row>
    <row r="1278" customFormat="false" ht="15" hidden="false" customHeight="false" outlineLevel="0" collapsed="false">
      <c r="A1278" s="4" t="s">
        <v>473</v>
      </c>
      <c r="B1278" s="36"/>
      <c r="C1278" s="33" t="n">
        <f aca="false">MAX(0,Assumptions!$F$103-Assumptions!$E$78)</f>
        <v>0</v>
      </c>
    </row>
    <row r="1279" customFormat="false" ht="15" hidden="false" customHeight="false" outlineLevel="0" collapsed="false">
      <c r="A1279" s="35" t="s">
        <v>474</v>
      </c>
      <c r="B1279" s="35" t="s">
        <v>444</v>
      </c>
      <c r="C1279" s="6" t="s">
        <v>354</v>
      </c>
      <c r="D1279" s="6" t="s">
        <v>355</v>
      </c>
      <c r="E1279" s="6" t="s">
        <v>356</v>
      </c>
      <c r="F1279" s="6" t="s">
        <v>357</v>
      </c>
      <c r="G1279" s="6" t="s">
        <v>358</v>
      </c>
      <c r="H1279" s="6" t="s">
        <v>359</v>
      </c>
      <c r="I1279" s="6" t="s">
        <v>360</v>
      </c>
      <c r="J1279" s="6" t="s">
        <v>361</v>
      </c>
      <c r="K1279" s="6" t="s">
        <v>362</v>
      </c>
      <c r="L1279" s="6" t="s">
        <v>363</v>
      </c>
      <c r="M1279" s="6" t="s">
        <v>364</v>
      </c>
      <c r="N1279" s="6" t="s">
        <v>365</v>
      </c>
      <c r="P1279" s="6" t="s">
        <v>445</v>
      </c>
      <c r="Q1279" s="6" t="s">
        <v>446</v>
      </c>
      <c r="R1279" s="6" t="s">
        <v>447</v>
      </c>
      <c r="S1279" s="6" t="s">
        <v>448</v>
      </c>
    </row>
    <row r="1280" customFormat="false" ht="15" hidden="false" customHeight="false" outlineLevel="0" collapsed="false">
      <c r="A1280" s="4" t="s">
        <v>475</v>
      </c>
      <c r="B1280" s="36" t="s">
        <v>133</v>
      </c>
      <c r="C1280" s="39" t="n">
        <v>1</v>
      </c>
      <c r="D1280" s="39" t="n">
        <v>2</v>
      </c>
      <c r="E1280" s="39" t="n">
        <v>3</v>
      </c>
      <c r="F1280" s="39" t="n">
        <v>4</v>
      </c>
      <c r="G1280" s="39" t="n">
        <v>5</v>
      </c>
      <c r="H1280" s="39" t="n">
        <v>6</v>
      </c>
      <c r="I1280" s="39" t="n">
        <v>7</v>
      </c>
      <c r="J1280" s="39" t="n">
        <v>8</v>
      </c>
      <c r="K1280" s="39" t="n">
        <v>9</v>
      </c>
      <c r="L1280" s="39" t="n">
        <v>10</v>
      </c>
      <c r="M1280" s="39" t="n">
        <v>11</v>
      </c>
      <c r="N1280" s="39" t="n">
        <v>12</v>
      </c>
      <c r="P1280" s="40"/>
      <c r="Q1280" s="40"/>
      <c r="R1280" s="40"/>
      <c r="S1280" s="41"/>
    </row>
    <row r="1281" customFormat="false" ht="15" hidden="false" customHeight="false" outlineLevel="0" collapsed="false">
      <c r="A1281" s="4" t="s">
        <v>476</v>
      </c>
      <c r="B1281" s="36" t="s">
        <v>343</v>
      </c>
      <c r="C1281" s="39" t="n">
        <f aca="false">IF(C1280&lt;=Assumptions!$E$84,1,0)</f>
        <v>1</v>
      </c>
      <c r="D1281" s="39" t="n">
        <f aca="false">IF(D1280&lt;=Assumptions!$E$84,1,0)</f>
        <v>1</v>
      </c>
      <c r="E1281" s="39" t="n">
        <f aca="false">IF(E1280&lt;=Assumptions!$E$84,1,0)</f>
        <v>1</v>
      </c>
      <c r="F1281" s="39" t="n">
        <f aca="false">IF(F1280&lt;=Assumptions!$E$84,1,0)</f>
        <v>1</v>
      </c>
      <c r="G1281" s="39" t="n">
        <f aca="false">IF(G1280&lt;=Assumptions!$E$84,1,0)</f>
        <v>1</v>
      </c>
      <c r="H1281" s="39" t="n">
        <f aca="false">IF(H1280&lt;=Assumptions!$E$84,1,0)</f>
        <v>1</v>
      </c>
      <c r="I1281" s="39" t="n">
        <f aca="false">IF(I1280&lt;=Assumptions!$E$84,1,0)</f>
        <v>1</v>
      </c>
      <c r="J1281" s="39" t="n">
        <f aca="false">IF(J1280&lt;=Assumptions!$E$84,1,0)</f>
        <v>1</v>
      </c>
      <c r="K1281" s="39" t="n">
        <f aca="false">IF(K1280&lt;=Assumptions!$E$84,1,0)</f>
        <v>1</v>
      </c>
      <c r="L1281" s="39" t="n">
        <f aca="false">IF(L1280&lt;=Assumptions!$E$84,1,0)</f>
        <v>1</v>
      </c>
      <c r="M1281" s="39" t="n">
        <f aca="false">IF(M1280&lt;=Assumptions!$E$84,1,0)</f>
        <v>1</v>
      </c>
      <c r="N1281" s="39" t="n">
        <f aca="false">IF(N1280&lt;=Assumptions!$E$84,1,0)</f>
        <v>1</v>
      </c>
      <c r="P1281" s="40"/>
      <c r="Q1281" s="40"/>
      <c r="R1281" s="40"/>
      <c r="S1281" s="41"/>
    </row>
    <row r="1282" customFormat="false" ht="15" hidden="false" customHeight="false" outlineLevel="0" collapsed="false">
      <c r="A1282" s="4" t="s">
        <v>477</v>
      </c>
      <c r="B1282" s="36" t="s">
        <v>478</v>
      </c>
      <c r="C1282" s="42" t="n">
        <f aca="false">IF(C1280=Assumptions!$E$13,0.5,IF(C1280&gt;Assumptions!$E$13,1,0))</f>
        <v>0.5</v>
      </c>
      <c r="D1282" s="42" t="n">
        <f aca="false">IF(D1280=Assumptions!$E$13,0.5,IF(D1280&gt;Assumptions!$E$13,1,0))</f>
        <v>1</v>
      </c>
      <c r="E1282" s="42" t="n">
        <f aca="false">IF(E1280=Assumptions!$E$13,0.5,IF(E1280&gt;Assumptions!$E$13,1,0))</f>
        <v>1</v>
      </c>
      <c r="F1282" s="42" t="n">
        <f aca="false">IF(F1280=Assumptions!$E$13,0.5,IF(F1280&gt;Assumptions!$E$13,1,0))</f>
        <v>1</v>
      </c>
      <c r="G1282" s="42" t="n">
        <f aca="false">IF(G1280=Assumptions!$E$13,0.5,IF(G1280&gt;Assumptions!$E$13,1,0))</f>
        <v>1</v>
      </c>
      <c r="H1282" s="42" t="n">
        <f aca="false">IF(H1280=Assumptions!$E$13,0.5,IF(H1280&gt;Assumptions!$E$13,1,0))</f>
        <v>1</v>
      </c>
      <c r="I1282" s="42" t="n">
        <f aca="false">IF(I1280=Assumptions!$E$13,0.5,IF(I1280&gt;Assumptions!$E$13,1,0))</f>
        <v>1</v>
      </c>
      <c r="J1282" s="42" t="n">
        <f aca="false">IF(J1280=Assumptions!$E$13,0.5,IF(J1280&gt;Assumptions!$E$13,1,0))</f>
        <v>1</v>
      </c>
      <c r="K1282" s="42" t="n">
        <f aca="false">IF(K1280=Assumptions!$E$13,0.5,IF(K1280&gt;Assumptions!$E$13,1,0))</f>
        <v>1</v>
      </c>
      <c r="L1282" s="42" t="n">
        <f aca="false">IF(L1280=Assumptions!$E$13,0.5,IF(L1280&gt;Assumptions!$E$13,1,0))</f>
        <v>1</v>
      </c>
      <c r="M1282" s="42" t="n">
        <f aca="false">IF(M1280=Assumptions!$E$13,0.5,IF(M1280&gt;Assumptions!$E$13,1,0))</f>
        <v>1</v>
      </c>
      <c r="N1282" s="42" t="n">
        <f aca="false">IF(N1280=Assumptions!$E$13,0.5,IF(N1280&gt;Assumptions!$E$13,1,0))</f>
        <v>1</v>
      </c>
      <c r="P1282" s="43"/>
      <c r="Q1282" s="43"/>
      <c r="R1282" s="43"/>
      <c r="S1282" s="44"/>
    </row>
    <row r="1283" customFormat="false" ht="15" hidden="false" customHeight="false" outlineLevel="0" collapsed="false">
      <c r="A1283" s="4" t="s">
        <v>479</v>
      </c>
      <c r="B1283" s="36" t="s">
        <v>478</v>
      </c>
      <c r="C1283" s="42" t="n">
        <f aca="false">IF(C1280=Assumptions!$E$14,0.5,IF(C1280&gt;Assumptions!$E$14,1,0))</f>
        <v>0</v>
      </c>
      <c r="D1283" s="42" t="n">
        <f aca="false">IF(D1280=Assumptions!$E$14,0.5,IF(D1280&gt;Assumptions!$E$14,1,0))</f>
        <v>0</v>
      </c>
      <c r="E1283" s="42" t="n">
        <f aca="false">IF(E1280=Assumptions!$E$14,0.5,IF(E1280&gt;Assumptions!$E$14,1,0))</f>
        <v>0</v>
      </c>
      <c r="F1283" s="42" t="n">
        <f aca="false">IF(F1280=Assumptions!$E$14,0.5,IF(F1280&gt;Assumptions!$E$14,1,0))</f>
        <v>0</v>
      </c>
      <c r="G1283" s="42" t="n">
        <f aca="false">IF(G1280=Assumptions!$E$14,0.5,IF(G1280&gt;Assumptions!$E$14,1,0))</f>
        <v>0.5</v>
      </c>
      <c r="H1283" s="42" t="n">
        <f aca="false">IF(H1280=Assumptions!$E$14,0.5,IF(H1280&gt;Assumptions!$E$14,1,0))</f>
        <v>1</v>
      </c>
      <c r="I1283" s="42" t="n">
        <f aca="false">IF(I1280=Assumptions!$E$14,0.5,IF(I1280&gt;Assumptions!$E$14,1,0))</f>
        <v>1</v>
      </c>
      <c r="J1283" s="42" t="n">
        <f aca="false">IF(J1280=Assumptions!$E$14,0.5,IF(J1280&gt;Assumptions!$E$14,1,0))</f>
        <v>1</v>
      </c>
      <c r="K1283" s="42" t="n">
        <f aca="false">IF(K1280=Assumptions!$E$14,0.5,IF(K1280&gt;Assumptions!$E$14,1,0))</f>
        <v>1</v>
      </c>
      <c r="L1283" s="42" t="n">
        <f aca="false">IF(L1280=Assumptions!$E$14,0.5,IF(L1280&gt;Assumptions!$E$14,1,0))</f>
        <v>1</v>
      </c>
      <c r="M1283" s="42" t="n">
        <f aca="false">IF(M1280=Assumptions!$E$14,0.5,IF(M1280&gt;Assumptions!$E$14,1,0))</f>
        <v>1</v>
      </c>
      <c r="N1283" s="42" t="n">
        <f aca="false">IF(N1280=Assumptions!$E$14,0.5,IF(N1280&gt;Assumptions!$E$14,1,0))</f>
        <v>1</v>
      </c>
      <c r="P1283" s="43"/>
      <c r="Q1283" s="43"/>
      <c r="R1283" s="43"/>
      <c r="S1283" s="44"/>
    </row>
    <row r="1284" customFormat="false" ht="15" hidden="false" customHeight="false" outlineLevel="0" collapsed="false">
      <c r="A1284" s="4" t="s">
        <v>480</v>
      </c>
      <c r="B1284" s="36" t="s">
        <v>478</v>
      </c>
      <c r="C1284" s="42" t="n">
        <f aca="false">IF(C1280=Assumptions!$E$15,0.5,IF(C1280&gt;Assumptions!$E$15,1,0))</f>
        <v>0</v>
      </c>
      <c r="D1284" s="42" t="n">
        <f aca="false">IF(D1280=Assumptions!$E$15,0.5,IF(D1280&gt;Assumptions!$E$15,1,0))</f>
        <v>0</v>
      </c>
      <c r="E1284" s="42" t="n">
        <f aca="false">IF(E1280=Assumptions!$E$15,0.5,IF(E1280&gt;Assumptions!$E$15,1,0))</f>
        <v>0</v>
      </c>
      <c r="F1284" s="42" t="n">
        <f aca="false">IF(F1280=Assumptions!$E$15,0.5,IF(F1280&gt;Assumptions!$E$15,1,0))</f>
        <v>0</v>
      </c>
      <c r="G1284" s="42" t="n">
        <f aca="false">IF(G1280=Assumptions!$E$15,0.5,IF(G1280&gt;Assumptions!$E$15,1,0))</f>
        <v>0</v>
      </c>
      <c r="H1284" s="42" t="n">
        <f aca="false">IF(H1280=Assumptions!$E$15,0.5,IF(H1280&gt;Assumptions!$E$15,1,0))</f>
        <v>0</v>
      </c>
      <c r="I1284" s="42" t="n">
        <f aca="false">IF(I1280=Assumptions!$E$15,0.5,IF(I1280&gt;Assumptions!$E$15,1,0))</f>
        <v>0.5</v>
      </c>
      <c r="J1284" s="42" t="n">
        <f aca="false">IF(J1280=Assumptions!$E$15,0.5,IF(J1280&gt;Assumptions!$E$15,1,0))</f>
        <v>1</v>
      </c>
      <c r="K1284" s="42" t="n">
        <f aca="false">IF(K1280=Assumptions!$E$15,0.5,IF(K1280&gt;Assumptions!$E$15,1,0))</f>
        <v>1</v>
      </c>
      <c r="L1284" s="42" t="n">
        <f aca="false">IF(L1280=Assumptions!$E$15,0.5,IF(L1280&gt;Assumptions!$E$15,1,0))</f>
        <v>1</v>
      </c>
      <c r="M1284" s="42" t="n">
        <f aca="false">IF(M1280=Assumptions!$E$15,0.5,IF(M1280&gt;Assumptions!$E$15,1,0))</f>
        <v>1</v>
      </c>
      <c r="N1284" s="42" t="n">
        <f aca="false">IF(N1280=Assumptions!$E$15,0.5,IF(N1280&gt;Assumptions!$E$15,1,0))</f>
        <v>1</v>
      </c>
      <c r="P1284" s="43"/>
      <c r="Q1284" s="43"/>
      <c r="R1284" s="43"/>
      <c r="S1284" s="44"/>
    </row>
    <row r="1285" customFormat="false" ht="15" hidden="false" customHeight="false" outlineLevel="0" collapsed="false">
      <c r="A1285" s="4" t="s">
        <v>481</v>
      </c>
      <c r="B1285" s="36" t="s">
        <v>478</v>
      </c>
      <c r="C1285" s="45" t="n">
        <f aca="false">Assumptions!$E$21^(MAX(0,C1280-Assumptions!$E$13)/4)</f>
        <v>1</v>
      </c>
      <c r="D1285" s="45" t="n">
        <f aca="false">Assumptions!$E$21^(MAX(0,D1280-Assumptions!$E$13)/4)</f>
        <v>0.9306048591021</v>
      </c>
      <c r="E1285" s="45" t="n">
        <f aca="false">Assumptions!$E$21^(MAX(0,E1280-Assumptions!$E$13)/4)</f>
        <v>0.866025403784439</v>
      </c>
      <c r="F1285" s="45" t="n">
        <f aca="false">Assumptions!$E$21^(MAX(0,F1280-Assumptions!$E$13)/4)</f>
        <v>0.805927448867656</v>
      </c>
      <c r="G1285" s="45" t="n">
        <f aca="false">Assumptions!$E$21^(MAX(0,G1280-Assumptions!$E$13)/4)</f>
        <v>0.75</v>
      </c>
      <c r="H1285" s="45" t="n">
        <f aca="false">Assumptions!$E$21^(MAX(0,H1280-Assumptions!$E$13)/4)</f>
        <v>0.697953644326575</v>
      </c>
      <c r="I1285" s="45" t="n">
        <f aca="false">Assumptions!$E$21^(MAX(0,I1280-Assumptions!$E$13)/4)</f>
        <v>0.649519052838329</v>
      </c>
      <c r="J1285" s="45" t="n">
        <f aca="false">Assumptions!$E$21^(MAX(0,J1280-Assumptions!$E$13)/4)</f>
        <v>0.604445586650742</v>
      </c>
      <c r="K1285" s="45" t="n">
        <f aca="false">Assumptions!$E$21^(MAX(0,K1280-Assumptions!$E$13)/4)</f>
        <v>0.5625</v>
      </c>
      <c r="L1285" s="45" t="n">
        <f aca="false">Assumptions!$E$21^(MAX(0,L1280-Assumptions!$E$13)/4)</f>
        <v>0.523465233244931</v>
      </c>
      <c r="M1285" s="45" t="n">
        <f aca="false">Assumptions!$E$21^(MAX(0,M1280-Assumptions!$E$13)/4)</f>
        <v>0.487139289628747</v>
      </c>
      <c r="N1285" s="45" t="n">
        <f aca="false">Assumptions!$E$21^(MAX(0,N1280-Assumptions!$E$13)/4)</f>
        <v>0.453334189988057</v>
      </c>
      <c r="P1285" s="46"/>
      <c r="Q1285" s="46"/>
      <c r="R1285" s="46"/>
      <c r="S1285" s="47"/>
    </row>
    <row r="1286" customFormat="false" ht="15" hidden="false" customHeight="false" outlineLevel="0" collapsed="false">
      <c r="A1286" s="4" t="s">
        <v>482</v>
      </c>
      <c r="B1286" s="36" t="s">
        <v>478</v>
      </c>
      <c r="C1286" s="45" t="n">
        <f aca="false">Assumptions!$E$21^(MAX(0,C1280-Assumptions!$E$14)/4)</f>
        <v>1</v>
      </c>
      <c r="D1286" s="45" t="n">
        <f aca="false">Assumptions!$E$21^(MAX(0,D1280-Assumptions!$E$14)/4)</f>
        <v>1</v>
      </c>
      <c r="E1286" s="45" t="n">
        <f aca="false">Assumptions!$E$21^(MAX(0,E1280-Assumptions!$E$14)/4)</f>
        <v>1</v>
      </c>
      <c r="F1286" s="45" t="n">
        <f aca="false">Assumptions!$E$21^(MAX(0,F1280-Assumptions!$E$14)/4)</f>
        <v>1</v>
      </c>
      <c r="G1286" s="45" t="n">
        <f aca="false">Assumptions!$E$21^(MAX(0,G1280-Assumptions!$E$14)/4)</f>
        <v>1</v>
      </c>
      <c r="H1286" s="45" t="n">
        <f aca="false">Assumptions!$E$21^(MAX(0,H1280-Assumptions!$E$14)/4)</f>
        <v>0.9306048591021</v>
      </c>
      <c r="I1286" s="45" t="n">
        <f aca="false">Assumptions!$E$21^(MAX(0,I1280-Assumptions!$E$14)/4)</f>
        <v>0.866025403784439</v>
      </c>
      <c r="J1286" s="45" t="n">
        <f aca="false">Assumptions!$E$21^(MAX(0,J1280-Assumptions!$E$14)/4)</f>
        <v>0.805927448867656</v>
      </c>
      <c r="K1286" s="45" t="n">
        <f aca="false">Assumptions!$E$21^(MAX(0,K1280-Assumptions!$E$14)/4)</f>
        <v>0.75</v>
      </c>
      <c r="L1286" s="45" t="n">
        <f aca="false">Assumptions!$E$21^(MAX(0,L1280-Assumptions!$E$14)/4)</f>
        <v>0.697953644326575</v>
      </c>
      <c r="M1286" s="45" t="n">
        <f aca="false">Assumptions!$E$21^(MAX(0,M1280-Assumptions!$E$14)/4)</f>
        <v>0.649519052838329</v>
      </c>
      <c r="N1286" s="45" t="n">
        <f aca="false">Assumptions!$E$21^(MAX(0,N1280-Assumptions!$E$14)/4)</f>
        <v>0.604445586650742</v>
      </c>
      <c r="P1286" s="46"/>
      <c r="Q1286" s="46"/>
      <c r="R1286" s="46"/>
      <c r="S1286" s="47"/>
    </row>
    <row r="1287" customFormat="false" ht="15" hidden="false" customHeight="false" outlineLevel="0" collapsed="false">
      <c r="A1287" s="4" t="s">
        <v>483</v>
      </c>
      <c r="B1287" s="36" t="s">
        <v>478</v>
      </c>
      <c r="C1287" s="45" t="n">
        <f aca="false">Assumptions!$E$21^(MAX(0,C1280-Assumptions!$E$15)/4)</f>
        <v>1</v>
      </c>
      <c r="D1287" s="45" t="n">
        <f aca="false">Assumptions!$E$21^(MAX(0,D1280-Assumptions!$E$15)/4)</f>
        <v>1</v>
      </c>
      <c r="E1287" s="45" t="n">
        <f aca="false">Assumptions!$E$21^(MAX(0,E1280-Assumptions!$E$15)/4)</f>
        <v>1</v>
      </c>
      <c r="F1287" s="45" t="n">
        <f aca="false">Assumptions!$E$21^(MAX(0,F1280-Assumptions!$E$15)/4)</f>
        <v>1</v>
      </c>
      <c r="G1287" s="45" t="n">
        <f aca="false">Assumptions!$E$21^(MAX(0,G1280-Assumptions!$E$15)/4)</f>
        <v>1</v>
      </c>
      <c r="H1287" s="45" t="n">
        <f aca="false">Assumptions!$E$21^(MAX(0,H1280-Assumptions!$E$15)/4)</f>
        <v>1</v>
      </c>
      <c r="I1287" s="45" t="n">
        <f aca="false">Assumptions!$E$21^(MAX(0,I1280-Assumptions!$E$15)/4)</f>
        <v>1</v>
      </c>
      <c r="J1287" s="45" t="n">
        <f aca="false">Assumptions!$E$21^(MAX(0,J1280-Assumptions!$E$15)/4)</f>
        <v>0.9306048591021</v>
      </c>
      <c r="K1287" s="45" t="n">
        <f aca="false">Assumptions!$E$21^(MAX(0,K1280-Assumptions!$E$15)/4)</f>
        <v>0.866025403784439</v>
      </c>
      <c r="L1287" s="45" t="n">
        <f aca="false">Assumptions!$E$21^(MAX(0,L1280-Assumptions!$E$15)/4)</f>
        <v>0.805927448867656</v>
      </c>
      <c r="M1287" s="45" t="n">
        <f aca="false">Assumptions!$E$21^(MAX(0,M1280-Assumptions!$E$15)/4)</f>
        <v>0.75</v>
      </c>
      <c r="N1287" s="45" t="n">
        <f aca="false">Assumptions!$E$21^(MAX(0,N1280-Assumptions!$E$15)/4)</f>
        <v>0.697953644326575</v>
      </c>
      <c r="P1287" s="46"/>
      <c r="Q1287" s="46"/>
      <c r="R1287" s="46"/>
      <c r="S1287" s="47"/>
    </row>
    <row r="1288" customFormat="false" ht="15" hidden="false" customHeight="false" outlineLevel="0" collapsed="false">
      <c r="A1288" s="4" t="s">
        <v>484</v>
      </c>
      <c r="B1288" s="36" t="s">
        <v>485</v>
      </c>
      <c r="C1288" s="39" t="n">
        <f aca="false">$C$1259*C1282+$C$1263*C1283+$C$1267*C1284</f>
        <v>421.51972352</v>
      </c>
      <c r="D1288" s="39" t="n">
        <f aca="false">$C$1259*D1282+$C$1263*D1283+$C$1267*D1284</f>
        <v>843.03944704</v>
      </c>
      <c r="E1288" s="39" t="n">
        <f aca="false">$C$1259*E1282+$C$1263*E1283+$C$1267*E1284</f>
        <v>843.03944704</v>
      </c>
      <c r="F1288" s="39" t="n">
        <f aca="false">$C$1259*F1282+$C$1263*F1283+$C$1267*F1284</f>
        <v>843.03944704</v>
      </c>
      <c r="G1288" s="39" t="n">
        <f aca="false">$C$1259*G1282+$C$1263*G1283+$C$1267*G1284</f>
        <v>1149.32798176</v>
      </c>
      <c r="H1288" s="39" t="n">
        <f aca="false">$C$1259*H1282+$C$1263*H1283+$C$1267*H1284</f>
        <v>1455.61651648</v>
      </c>
      <c r="I1288" s="39" t="n">
        <f aca="false">$C$1259*I1282+$C$1263*I1283+$C$1267*I1284</f>
        <v>2486.00303616</v>
      </c>
      <c r="J1288" s="39" t="n">
        <f aca="false">$C$1259*J1282+$C$1263*J1283+$C$1267*J1284</f>
        <v>3516.38955584</v>
      </c>
      <c r="K1288" s="39" t="n">
        <f aca="false">$C$1259*K1282+$C$1263*K1283+$C$1267*K1284</f>
        <v>3516.38955584</v>
      </c>
      <c r="L1288" s="39" t="n">
        <f aca="false">$C$1259*L1282+$C$1263*L1283+$C$1267*L1284</f>
        <v>3516.38955584</v>
      </c>
      <c r="M1288" s="39" t="n">
        <f aca="false">$C$1259*M1282+$C$1263*M1283+$C$1267*M1284</f>
        <v>3516.38955584</v>
      </c>
      <c r="N1288" s="39" t="n">
        <f aca="false">$C$1259*N1282+$C$1263*N1283+$C$1267*N1284</f>
        <v>3516.38955584</v>
      </c>
      <c r="P1288" s="40" t="n">
        <f aca="false">F1288</f>
        <v>843.03944704</v>
      </c>
      <c r="Q1288" s="40" t="n">
        <f aca="false">J1288</f>
        <v>3516.38955584</v>
      </c>
      <c r="R1288" s="40" t="n">
        <f aca="false">N1288</f>
        <v>3516.38955584</v>
      </c>
      <c r="S1288" s="41" t="n">
        <f aca="false">R1288</f>
        <v>3516.38955584</v>
      </c>
    </row>
    <row r="1289" customFormat="false" ht="15" hidden="false" customHeight="false" outlineLevel="0" collapsed="false">
      <c r="A1289" s="4" t="s">
        <v>486</v>
      </c>
      <c r="B1289" s="36" t="s">
        <v>485</v>
      </c>
      <c r="C1289" s="39" t="n">
        <f aca="false">$C$1260*C1282+$C$1264*C1283+$C$1268*C1284</f>
        <v>105.59808</v>
      </c>
      <c r="D1289" s="39" t="n">
        <f aca="false">$C$1260*D1282+$C$1264*D1283+$C$1268*D1284</f>
        <v>211.19616</v>
      </c>
      <c r="E1289" s="39" t="n">
        <f aca="false">$C$1260*E1282+$C$1264*E1283+$C$1268*E1284</f>
        <v>211.19616</v>
      </c>
      <c r="F1289" s="39" t="n">
        <f aca="false">$C$1260*F1282+$C$1264*F1283+$C$1268*F1284</f>
        <v>211.19616</v>
      </c>
      <c r="G1289" s="39" t="n">
        <f aca="false">$C$1260*G1282+$C$1264*G1283+$C$1268*G1284</f>
        <v>282.24672</v>
      </c>
      <c r="H1289" s="39" t="n">
        <f aca="false">$C$1260*H1282+$C$1264*H1283+$C$1268*H1284</f>
        <v>353.29728</v>
      </c>
      <c r="I1289" s="39" t="n">
        <f aca="false">$C$1260*I1282+$C$1264*I1283+$C$1268*I1284</f>
        <v>567.53536</v>
      </c>
      <c r="J1289" s="39" t="n">
        <f aca="false">$C$1260*J1282+$C$1264*J1283+$C$1268*J1284</f>
        <v>781.77344</v>
      </c>
      <c r="K1289" s="39" t="n">
        <f aca="false">$C$1260*K1282+$C$1264*K1283+$C$1268*K1284</f>
        <v>781.77344</v>
      </c>
      <c r="L1289" s="39" t="n">
        <f aca="false">$C$1260*L1282+$C$1264*L1283+$C$1268*L1284</f>
        <v>781.77344</v>
      </c>
      <c r="M1289" s="39" t="n">
        <f aca="false">$C$1260*M1282+$C$1264*M1283+$C$1268*M1284</f>
        <v>781.77344</v>
      </c>
      <c r="N1289" s="39" t="n">
        <f aca="false">$C$1260*N1282+$C$1264*N1283+$C$1268*N1284</f>
        <v>781.77344</v>
      </c>
      <c r="P1289" s="40" t="n">
        <f aca="false">F1289</f>
        <v>211.19616</v>
      </c>
      <c r="Q1289" s="40" t="n">
        <f aca="false">J1289</f>
        <v>781.77344</v>
      </c>
      <c r="R1289" s="40" t="n">
        <f aca="false">N1289</f>
        <v>781.77344</v>
      </c>
      <c r="S1289" s="41" t="n">
        <f aca="false">R1289</f>
        <v>781.77344</v>
      </c>
    </row>
    <row r="1290" customFormat="false" ht="15" hidden="false" customHeight="false" outlineLevel="0" collapsed="false">
      <c r="A1290" s="4" t="s">
        <v>487</v>
      </c>
      <c r="B1290" s="36" t="s">
        <v>485</v>
      </c>
      <c r="C1290" s="39" t="n">
        <f aca="false">$C$1261*C1282+$C$1265*C1283+$C$1269*C1284</f>
        <v>24.76992</v>
      </c>
      <c r="D1290" s="39" t="n">
        <f aca="false">$C$1261*D1282+$C$1265*D1283+$C$1269*D1284</f>
        <v>49.53984</v>
      </c>
      <c r="E1290" s="39" t="n">
        <f aca="false">$C$1261*E1282+$C$1265*E1283+$C$1269*E1284</f>
        <v>49.53984</v>
      </c>
      <c r="F1290" s="39" t="n">
        <f aca="false">$C$1261*F1282+$C$1265*F1283+$C$1269*F1284</f>
        <v>49.53984</v>
      </c>
      <c r="G1290" s="39" t="n">
        <f aca="false">$C$1261*G1282+$C$1265*G1283+$C$1269*G1284</f>
        <v>61.9248</v>
      </c>
      <c r="H1290" s="39" t="n">
        <f aca="false">$C$1261*H1282+$C$1265*H1283+$C$1269*H1284</f>
        <v>74.30976</v>
      </c>
      <c r="I1290" s="39" t="n">
        <f aca="false">$C$1261*I1282+$C$1265*I1283+$C$1269*I1284</f>
        <v>114.072</v>
      </c>
      <c r="J1290" s="39" t="n">
        <f aca="false">$C$1261*J1282+$C$1265*J1283+$C$1269*J1284</f>
        <v>153.83424</v>
      </c>
      <c r="K1290" s="39" t="n">
        <f aca="false">$C$1261*K1282+$C$1265*K1283+$C$1269*K1284</f>
        <v>153.83424</v>
      </c>
      <c r="L1290" s="39" t="n">
        <f aca="false">$C$1261*L1282+$C$1265*L1283+$C$1269*L1284</f>
        <v>153.83424</v>
      </c>
      <c r="M1290" s="39" t="n">
        <f aca="false">$C$1261*M1282+$C$1265*M1283+$C$1269*M1284</f>
        <v>153.83424</v>
      </c>
      <c r="N1290" s="39" t="n">
        <f aca="false">$C$1261*N1282+$C$1265*N1283+$C$1269*N1284</f>
        <v>153.83424</v>
      </c>
      <c r="P1290" s="40" t="n">
        <f aca="false">F1290</f>
        <v>49.53984</v>
      </c>
      <c r="Q1290" s="40" t="n">
        <f aca="false">J1290</f>
        <v>153.83424</v>
      </c>
      <c r="R1290" s="40" t="n">
        <f aca="false">N1290</f>
        <v>153.83424</v>
      </c>
      <c r="S1290" s="41" t="n">
        <f aca="false">R1290</f>
        <v>153.83424</v>
      </c>
    </row>
    <row r="1291" customFormat="false" ht="15" hidden="false" customHeight="false" outlineLevel="0" collapsed="false">
      <c r="A1291" s="4" t="s">
        <v>488</v>
      </c>
      <c r="B1291" s="36" t="s">
        <v>485</v>
      </c>
      <c r="C1291" s="39" t="n">
        <f aca="false">C1288+C1289+C1290</f>
        <v>551.88772352</v>
      </c>
      <c r="D1291" s="39" t="n">
        <f aca="false">D1288+D1289+D1290</f>
        <v>1103.77544704</v>
      </c>
      <c r="E1291" s="39" t="n">
        <f aca="false">E1288+E1289+E1290</f>
        <v>1103.77544704</v>
      </c>
      <c r="F1291" s="39" t="n">
        <f aca="false">F1288+F1289+F1290</f>
        <v>1103.77544704</v>
      </c>
      <c r="G1291" s="39" t="n">
        <f aca="false">G1288+G1289+G1290</f>
        <v>1493.49950176</v>
      </c>
      <c r="H1291" s="39" t="n">
        <f aca="false">H1288+H1289+H1290</f>
        <v>1883.22355648</v>
      </c>
      <c r="I1291" s="39" t="n">
        <f aca="false">I1288+I1289+I1290</f>
        <v>3167.61039616</v>
      </c>
      <c r="J1291" s="39" t="n">
        <f aca="false">J1288+J1289+J1290</f>
        <v>4451.99723584</v>
      </c>
      <c r="K1291" s="39" t="n">
        <f aca="false">K1288+K1289+K1290</f>
        <v>4451.99723584</v>
      </c>
      <c r="L1291" s="39" t="n">
        <f aca="false">L1288+L1289+L1290</f>
        <v>4451.99723584</v>
      </c>
      <c r="M1291" s="39" t="n">
        <f aca="false">M1288+M1289+M1290</f>
        <v>4451.99723584</v>
      </c>
      <c r="N1291" s="39" t="n">
        <f aca="false">N1288+N1289+N1290</f>
        <v>4451.99723584</v>
      </c>
      <c r="P1291" s="40" t="n">
        <f aca="false">F1291</f>
        <v>1103.77544704</v>
      </c>
      <c r="Q1291" s="40" t="n">
        <f aca="false">J1291</f>
        <v>4451.99723584</v>
      </c>
      <c r="R1291" s="40" t="n">
        <f aca="false">N1291</f>
        <v>4451.99723584</v>
      </c>
      <c r="S1291" s="41" t="n">
        <f aca="false">R1291</f>
        <v>4451.99723584</v>
      </c>
    </row>
    <row r="1292" customFormat="false" ht="15" hidden="false" customHeight="false" outlineLevel="0" collapsed="false">
      <c r="A1292" s="4" t="s">
        <v>489</v>
      </c>
      <c r="B1292" s="36" t="s">
        <v>485</v>
      </c>
      <c r="C1292" s="39" t="n">
        <f aca="false">$C$1262*C1282*C1285+$C$1266*C1283*C1286+$C$1270*C1284*C1287</f>
        <v>551.88772352</v>
      </c>
      <c r="D1292" s="39" t="n">
        <f aca="false">$C$1262*D1282*D1285+$C$1266*D1283*D1286+$C$1270*D1284*D1287</f>
        <v>1027.17879437302</v>
      </c>
      <c r="E1292" s="39" t="n">
        <f aca="false">$C$1262*E1282*E1285+$C$1266*E1283*E1286+$C$1270*E1284*E1287</f>
        <v>955.897577210165</v>
      </c>
      <c r="F1292" s="39" t="n">
        <f aca="false">$C$1262*F1282*F1285+$C$1266*F1283*F1286+$C$1270*F1284*F1287</f>
        <v>889.562930155704</v>
      </c>
      <c r="G1292" s="39" t="n">
        <f aca="false">$C$1262*G1282*G1285+$C$1266*G1283*G1286+$C$1270*G1284*G1287</f>
        <v>1217.55564</v>
      </c>
      <c r="H1292" s="39" t="n">
        <f aca="false">$C$1262*H1282*H1285+$C$1266*H1283*H1286+$C$1270*H1284*H1287</f>
        <v>1495.74229384257</v>
      </c>
      <c r="I1292" s="39" t="n">
        <f aca="false">$C$1262*I1282*I1285+$C$1266*I1283*I1286+$C$1270*I1284*I1287</f>
        <v>2676.33188629442</v>
      </c>
      <c r="J1292" s="39" t="n">
        <f aca="false">$C$1262*J1282*J1285+$C$1266*J1283*J1286+$C$1270*J1284*J1287</f>
        <v>3685.86409192847</v>
      </c>
      <c r="K1292" s="39" t="n">
        <f aca="false">$C$1262*K1282*K1285+$C$1266*K1283*K1286+$C$1270*K1284*K1287</f>
        <v>3430.08303393858</v>
      </c>
      <c r="L1292" s="39" t="n">
        <f aca="false">$C$1262*L1282*L1285+$C$1266*L1283*L1286+$C$1270*L1284*L1287</f>
        <v>3192.05193850692</v>
      </c>
      <c r="M1292" s="39" t="n">
        <f aca="false">$C$1262*M1282*M1285+$C$1266*M1283*M1286+$C$1270*M1284*M1287</f>
        <v>2970.53904448081</v>
      </c>
      <c r="N1292" s="39" t="n">
        <f aca="false">$C$1262*N1282*N1285+$C$1266*N1283*N1286+$C$1270*N1284*N1287</f>
        <v>2764.39806894635</v>
      </c>
      <c r="P1292" s="40"/>
      <c r="Q1292" s="40"/>
      <c r="R1292" s="40"/>
      <c r="S1292" s="41"/>
    </row>
    <row r="1293" customFormat="false" ht="15" hidden="false" customHeight="false" outlineLevel="0" collapsed="false">
      <c r="A1293" s="4" t="s">
        <v>490</v>
      </c>
      <c r="B1293" s="36" t="s">
        <v>491</v>
      </c>
      <c r="C1293" s="48" t="n">
        <f aca="false">$C$1274*Assumptions!$E$20*C1281*C1292</f>
        <v>3.31132634112</v>
      </c>
      <c r="D1293" s="48" t="n">
        <f aca="false">$C$1274*Assumptions!$E$20*D1281*D1292</f>
        <v>6.1630727662381</v>
      </c>
      <c r="E1293" s="48" t="n">
        <f aca="false">$C$1274*Assumptions!$E$20*E1281*E1292</f>
        <v>5.73538546326099</v>
      </c>
      <c r="F1293" s="48" t="n">
        <f aca="false">$C$1274*Assumptions!$E$20*F1281*F1292</f>
        <v>5.33737758093423</v>
      </c>
      <c r="G1293" s="48" t="n">
        <f aca="false">$C$1274*Assumptions!$E$20*G1281*G1292</f>
        <v>7.30533384</v>
      </c>
      <c r="H1293" s="48" t="n">
        <f aca="false">$C$1274*Assumptions!$E$20*H1281*H1292</f>
        <v>8.97445376305543</v>
      </c>
      <c r="I1293" s="48" t="n">
        <f aca="false">$C$1274*Assumptions!$E$20*I1281*I1292</f>
        <v>16.0579913177665</v>
      </c>
      <c r="J1293" s="48" t="n">
        <f aca="false">$C$1274*Assumptions!$E$20*J1281*J1292</f>
        <v>22.1151845515708</v>
      </c>
      <c r="K1293" s="48" t="n">
        <f aca="false">$C$1274*Assumptions!$E$20*K1281*K1292</f>
        <v>20.5804982036315</v>
      </c>
      <c r="L1293" s="48" t="n">
        <f aca="false">$C$1274*Assumptions!$E$20*L1281*L1292</f>
        <v>19.1523116310415</v>
      </c>
      <c r="M1293" s="48" t="n">
        <f aca="false">$C$1274*Assumptions!$E$20*M1281*M1292</f>
        <v>17.8232342668849</v>
      </c>
      <c r="N1293" s="48" t="n">
        <f aca="false">$C$1274*Assumptions!$E$20*N1281*N1292</f>
        <v>16.5863884136781</v>
      </c>
      <c r="P1293" s="49" t="n">
        <f aca="false">SUM(C1293:F1293)</f>
        <v>20.5471621515533</v>
      </c>
      <c r="Q1293" s="49" t="n">
        <f aca="false">SUM(G1293:J1293)</f>
        <v>54.4529634723928</v>
      </c>
      <c r="R1293" s="49" t="n">
        <f aca="false">SUM(K1293:N1293)</f>
        <v>74.142432515236</v>
      </c>
      <c r="S1293" s="50" t="n">
        <f aca="false">SUM(P1293:R1293)</f>
        <v>149.142558139182</v>
      </c>
    </row>
    <row r="1294" customFormat="false" ht="15" hidden="false" customHeight="false" outlineLevel="0" collapsed="false">
      <c r="A1294" s="4" t="s">
        <v>492</v>
      </c>
      <c r="B1294" s="36" t="s">
        <v>321</v>
      </c>
      <c r="C1294" s="48" t="n">
        <f aca="false">Assumptions!$D$113</f>
        <v>0</v>
      </c>
      <c r="D1294" s="48" t="n">
        <f aca="false">Assumptions!$E$113</f>
        <v>0</v>
      </c>
      <c r="E1294" s="48" t="n">
        <f aca="false">Assumptions!$F$113</f>
        <v>0</v>
      </c>
      <c r="F1294" s="48" t="n">
        <f aca="false">Assumptions!$G$113</f>
        <v>0</v>
      </c>
      <c r="G1294" s="48" t="n">
        <f aca="false">Assumptions!$H$113</f>
        <v>0</v>
      </c>
      <c r="H1294" s="48" t="n">
        <f aca="false">Assumptions!$I$113</f>
        <v>0</v>
      </c>
      <c r="I1294" s="48" t="n">
        <f aca="false">Assumptions!$J$113</f>
        <v>0</v>
      </c>
      <c r="J1294" s="48" t="n">
        <f aca="false">Assumptions!$K$113</f>
        <v>0</v>
      </c>
      <c r="K1294" s="48" t="n">
        <f aca="false">Assumptions!$L$113</f>
        <v>0</v>
      </c>
      <c r="L1294" s="48" t="n">
        <f aca="false">Assumptions!$M$113</f>
        <v>0</v>
      </c>
      <c r="M1294" s="48" t="n">
        <f aca="false">Assumptions!$N$113</f>
        <v>0</v>
      </c>
      <c r="N1294" s="48" t="n">
        <f aca="false">Assumptions!$O$113</f>
        <v>0</v>
      </c>
      <c r="P1294" s="49" t="n">
        <f aca="false">F1294</f>
        <v>0</v>
      </c>
      <c r="Q1294" s="49" t="n">
        <f aca="false">J1294</f>
        <v>0</v>
      </c>
      <c r="R1294" s="49" t="n">
        <f aca="false">N1294</f>
        <v>0</v>
      </c>
      <c r="S1294" s="50" t="n">
        <f aca="false">R1294</f>
        <v>0</v>
      </c>
    </row>
    <row r="1295" customFormat="false" ht="15" hidden="false" customHeight="false" outlineLevel="0" collapsed="false">
      <c r="A1295" s="4" t="s">
        <v>493</v>
      </c>
      <c r="B1295" s="36" t="s">
        <v>321</v>
      </c>
      <c r="C1295" s="48" t="n">
        <f aca="false">0</f>
        <v>0</v>
      </c>
      <c r="D1295" s="48" t="n">
        <f aca="false">0.5*C1294</f>
        <v>0</v>
      </c>
      <c r="E1295" s="48" t="n">
        <f aca="false">C1294+0.5*(D1294-C1294)</f>
        <v>0</v>
      </c>
      <c r="F1295" s="48" t="n">
        <f aca="false">D1294+0.5*(E1294-D1294)</f>
        <v>0</v>
      </c>
      <c r="G1295" s="48" t="n">
        <f aca="false">E1294+0.5*(F1294-E1294)</f>
        <v>0</v>
      </c>
      <c r="H1295" s="48" t="n">
        <f aca="false">F1294+0.5*(G1294-F1294)</f>
        <v>0</v>
      </c>
      <c r="I1295" s="48" t="n">
        <f aca="false">G1294+0.5*(H1294-G1294)</f>
        <v>0</v>
      </c>
      <c r="J1295" s="48" t="n">
        <f aca="false">H1294+0.5*(I1294-H1294)</f>
        <v>0</v>
      </c>
      <c r="K1295" s="48" t="n">
        <f aca="false">I1294+0.5*(J1294-I1294)</f>
        <v>0</v>
      </c>
      <c r="L1295" s="48" t="n">
        <f aca="false">J1294+0.5*(K1294-J1294)</f>
        <v>0</v>
      </c>
      <c r="M1295" s="48" t="n">
        <f aca="false">K1294+0.5*(L1294-K1294)</f>
        <v>0</v>
      </c>
      <c r="N1295" s="48" t="n">
        <f aca="false">L1294+0.5*(M1294-L1294)</f>
        <v>0</v>
      </c>
      <c r="P1295" s="49" t="n">
        <f aca="false">F1295</f>
        <v>0</v>
      </c>
      <c r="Q1295" s="49" t="n">
        <f aca="false">J1295</f>
        <v>0</v>
      </c>
      <c r="R1295" s="49" t="n">
        <f aca="false">N1295</f>
        <v>0</v>
      </c>
      <c r="S1295" s="50" t="n">
        <f aca="false">R1295</f>
        <v>0</v>
      </c>
    </row>
    <row r="1296" customFormat="false" ht="15" hidden="false" customHeight="false" outlineLevel="0" collapsed="false">
      <c r="A1296" s="4" t="s">
        <v>494</v>
      </c>
      <c r="B1296" s="36" t="s">
        <v>485</v>
      </c>
      <c r="C1296" s="39" t="n">
        <f aca="false">MIN(C1295*Assumptions!$E$38,C1291*(1-$C$1274))</f>
        <v>0</v>
      </c>
      <c r="D1296" s="39" t="n">
        <f aca="false">MIN(D1295*Assumptions!$E$38,D1291*(1-$C$1274))</f>
        <v>0</v>
      </c>
      <c r="E1296" s="39" t="n">
        <f aca="false">MIN(E1295*Assumptions!$E$38,E1291*(1-$C$1274))</f>
        <v>0</v>
      </c>
      <c r="F1296" s="39" t="n">
        <f aca="false">MIN(F1295*Assumptions!$E$38,F1291*(1-$C$1274))</f>
        <v>0</v>
      </c>
      <c r="G1296" s="39" t="n">
        <f aca="false">MIN(G1295*Assumptions!$E$38,G1291*(1-$C$1274))</f>
        <v>0</v>
      </c>
      <c r="H1296" s="39" t="n">
        <f aca="false">MIN(H1295*Assumptions!$E$38,H1291*(1-$C$1274))</f>
        <v>0</v>
      </c>
      <c r="I1296" s="39" t="n">
        <f aca="false">MIN(I1295*Assumptions!$E$38,I1291*(1-$C$1274))</f>
        <v>0</v>
      </c>
      <c r="J1296" s="39" t="n">
        <f aca="false">MIN(J1295*Assumptions!$E$38,J1291*(1-$C$1274))</f>
        <v>0</v>
      </c>
      <c r="K1296" s="39" t="n">
        <f aca="false">MIN(K1295*Assumptions!$E$38,K1291*(1-$C$1274))</f>
        <v>0</v>
      </c>
      <c r="L1296" s="39" t="n">
        <f aca="false">MIN(L1295*Assumptions!$E$38,L1291*(1-$C$1274))</f>
        <v>0</v>
      </c>
      <c r="M1296" s="39" t="n">
        <f aca="false">MIN(M1295*Assumptions!$E$38,M1291*(1-$C$1274))</f>
        <v>0</v>
      </c>
      <c r="N1296" s="39" t="n">
        <f aca="false">MIN(N1295*Assumptions!$E$38,N1291*(1-$C$1274))</f>
        <v>0</v>
      </c>
      <c r="P1296" s="40" t="n">
        <f aca="false">SUM(C1296:F1296)</f>
        <v>0</v>
      </c>
      <c r="Q1296" s="40" t="n">
        <f aca="false">SUM(G1296:J1296)</f>
        <v>0</v>
      </c>
      <c r="R1296" s="40" t="n">
        <f aca="false">SUM(K1296:N1296)</f>
        <v>0</v>
      </c>
      <c r="S1296" s="41" t="n">
        <f aca="false">SUM(P1296:R1296)</f>
        <v>0</v>
      </c>
    </row>
    <row r="1297" customFormat="false" ht="15" hidden="false" customHeight="false" outlineLevel="0" collapsed="false">
      <c r="A1297" s="4" t="s">
        <v>495</v>
      </c>
      <c r="B1297" s="36" t="s">
        <v>491</v>
      </c>
      <c r="C1297" s="48" t="n">
        <f aca="false">C1296*Assumptions!$E$20*Assumptions!$E$39*IF(C1291&gt;0,C1292/C1291,0)*C1281</f>
        <v>0</v>
      </c>
      <c r="D1297" s="48" t="n">
        <f aca="false">D1296*Assumptions!$E$20*Assumptions!$E$39*IF(D1291&gt;0,D1292/D1291,0)*D1281</f>
        <v>0</v>
      </c>
      <c r="E1297" s="48" t="n">
        <f aca="false">E1296*Assumptions!$E$20*Assumptions!$E$39*IF(E1291&gt;0,E1292/E1291,0)*E1281</f>
        <v>0</v>
      </c>
      <c r="F1297" s="48" t="n">
        <f aca="false">F1296*Assumptions!$E$20*Assumptions!$E$39*IF(F1291&gt;0,F1292/F1291,0)*F1281</f>
        <v>0</v>
      </c>
      <c r="G1297" s="48" t="n">
        <f aca="false">G1296*Assumptions!$E$20*Assumptions!$E$39*IF(G1291&gt;0,G1292/G1291,0)*G1281</f>
        <v>0</v>
      </c>
      <c r="H1297" s="48" t="n">
        <f aca="false">H1296*Assumptions!$E$20*Assumptions!$E$39*IF(H1291&gt;0,H1292/H1291,0)*H1281</f>
        <v>0</v>
      </c>
      <c r="I1297" s="48" t="n">
        <f aca="false">I1296*Assumptions!$E$20*Assumptions!$E$39*IF(I1291&gt;0,I1292/I1291,0)*I1281</f>
        <v>0</v>
      </c>
      <c r="J1297" s="48" t="n">
        <f aca="false">J1296*Assumptions!$E$20*Assumptions!$E$39*IF(J1291&gt;0,J1292/J1291,0)*J1281</f>
        <v>0</v>
      </c>
      <c r="K1297" s="48" t="n">
        <f aca="false">K1296*Assumptions!$E$20*Assumptions!$E$39*IF(K1291&gt;0,K1292/K1291,0)*K1281</f>
        <v>0</v>
      </c>
      <c r="L1297" s="48" t="n">
        <f aca="false">L1296*Assumptions!$E$20*Assumptions!$E$39*IF(L1291&gt;0,L1292/L1291,0)*L1281</f>
        <v>0</v>
      </c>
      <c r="M1297" s="48" t="n">
        <f aca="false">M1296*Assumptions!$E$20*Assumptions!$E$39*IF(M1291&gt;0,M1292/M1291,0)*M1281</f>
        <v>0</v>
      </c>
      <c r="N1297" s="48" t="n">
        <f aca="false">N1296*Assumptions!$E$20*Assumptions!$E$39*IF(N1291&gt;0,N1292/N1291,0)*N1281</f>
        <v>0</v>
      </c>
      <c r="P1297" s="49" t="n">
        <f aca="false">SUM(C1297:F1297)</f>
        <v>0</v>
      </c>
      <c r="Q1297" s="49" t="n">
        <f aca="false">SUM(G1297:J1297)</f>
        <v>0</v>
      </c>
      <c r="R1297" s="49" t="n">
        <f aca="false">SUM(K1297:N1297)</f>
        <v>0</v>
      </c>
      <c r="S1297" s="50" t="n">
        <f aca="false">SUM(P1297:R1297)</f>
        <v>0</v>
      </c>
    </row>
    <row r="1298" customFormat="false" ht="15" hidden="false" customHeight="false" outlineLevel="0" collapsed="false">
      <c r="A1298" s="4" t="s">
        <v>496</v>
      </c>
      <c r="B1298" s="36" t="s">
        <v>497</v>
      </c>
      <c r="C1298" s="48" t="n">
        <f aca="false">IF(AND(C1291&gt;0,$C$1278&gt;0),C1291*Assumptions!$E$24*(1-EXP(-$C$1278/(Assumptions!$E$23*C1291*Assumptions!$E$24))),0)</f>
        <v>0</v>
      </c>
      <c r="D1298" s="48" t="n">
        <f aca="false">IF(AND(D1291&gt;0,$C$1278&gt;0),D1291*Assumptions!$E$24*(1-EXP(-$C$1278/(Assumptions!$E$23*D1291*Assumptions!$E$24))),0)</f>
        <v>0</v>
      </c>
      <c r="E1298" s="48" t="n">
        <f aca="false">IF(AND(E1291&gt;0,$C$1278&gt;0),E1291*Assumptions!$E$24*(1-EXP(-$C$1278/(Assumptions!$E$23*E1291*Assumptions!$E$24))),0)</f>
        <v>0</v>
      </c>
      <c r="F1298" s="48" t="n">
        <f aca="false">IF(AND(F1291&gt;0,$C$1278&gt;0),F1291*Assumptions!$E$24*(1-EXP(-$C$1278/(Assumptions!$E$23*F1291*Assumptions!$E$24))),0)</f>
        <v>0</v>
      </c>
      <c r="G1298" s="48" t="n">
        <f aca="false">IF(AND(G1291&gt;0,$C$1278&gt;0),G1291*Assumptions!$E$24*(1-EXP(-$C$1278/(Assumptions!$E$23*G1291*Assumptions!$E$24))),0)</f>
        <v>0</v>
      </c>
      <c r="H1298" s="48" t="n">
        <f aca="false">IF(AND(H1291&gt;0,$C$1278&gt;0),H1291*Assumptions!$E$24*(1-EXP(-$C$1278/(Assumptions!$E$23*H1291*Assumptions!$E$24))),0)</f>
        <v>0</v>
      </c>
      <c r="I1298" s="48" t="n">
        <f aca="false">IF(AND(I1291&gt;0,$C$1278&gt;0),I1291*Assumptions!$E$24*(1-EXP(-$C$1278/(Assumptions!$E$23*I1291*Assumptions!$E$24))),0)</f>
        <v>0</v>
      </c>
      <c r="J1298" s="48" t="n">
        <f aca="false">IF(AND(J1291&gt;0,$C$1278&gt;0),J1291*Assumptions!$E$24*(1-EXP(-$C$1278/(Assumptions!$E$23*J1291*Assumptions!$E$24))),0)</f>
        <v>0</v>
      </c>
      <c r="K1298" s="48" t="n">
        <f aca="false">IF(AND(K1291&gt;0,$C$1278&gt;0),K1291*Assumptions!$E$24*(1-EXP(-$C$1278/(Assumptions!$E$23*K1291*Assumptions!$E$24))),0)</f>
        <v>0</v>
      </c>
      <c r="L1298" s="48" t="n">
        <f aca="false">IF(AND(L1291&gt;0,$C$1278&gt;0),L1291*Assumptions!$E$24*(1-EXP(-$C$1278/(Assumptions!$E$23*L1291*Assumptions!$E$24))),0)</f>
        <v>0</v>
      </c>
      <c r="M1298" s="48" t="n">
        <f aca="false">IF(AND(M1291&gt;0,$C$1278&gt;0),M1291*Assumptions!$E$24*(1-EXP(-$C$1278/(Assumptions!$E$23*M1291*Assumptions!$E$24))),0)</f>
        <v>0</v>
      </c>
      <c r="N1298" s="48" t="n">
        <f aca="false">IF(AND(N1291&gt;0,$C$1278&gt;0),N1291*Assumptions!$E$24*(1-EXP(-$C$1278/(Assumptions!$E$23*N1291*Assumptions!$E$24))),0)</f>
        <v>0</v>
      </c>
      <c r="P1298" s="49" t="n">
        <f aca="false">SUM(C1298:F1298)</f>
        <v>0</v>
      </c>
      <c r="Q1298" s="49" t="n">
        <f aca="false">SUM(G1298:J1298)</f>
        <v>0</v>
      </c>
      <c r="R1298" s="49" t="n">
        <f aca="false">SUM(K1298:N1298)</f>
        <v>0</v>
      </c>
      <c r="S1298" s="50" t="n">
        <f aca="false">SUM(P1298:R1298)</f>
        <v>0</v>
      </c>
    </row>
    <row r="1299" customFormat="false" ht="15" hidden="false" customHeight="false" outlineLevel="0" collapsed="false">
      <c r="A1299" s="4" t="s">
        <v>498</v>
      </c>
      <c r="B1299" s="36" t="s">
        <v>497</v>
      </c>
      <c r="C1299" s="48" t="n">
        <f aca="false">(C1291*Assumptions!$E$22*MIN(1,Assumptions!$F$103/Assumptions!$E$78)+C1298)*C1281</f>
        <v>2.20755089408</v>
      </c>
      <c r="D1299" s="48" t="n">
        <f aca="false">(D1291*Assumptions!$E$22*MIN(1,Assumptions!$F$103/Assumptions!$E$78)+D1298)*D1281</f>
        <v>4.41510178816</v>
      </c>
      <c r="E1299" s="48" t="n">
        <f aca="false">(E1291*Assumptions!$E$22*MIN(1,Assumptions!$F$103/Assumptions!$E$78)+E1298)*E1281</f>
        <v>4.41510178816</v>
      </c>
      <c r="F1299" s="48" t="n">
        <f aca="false">(F1291*Assumptions!$E$22*MIN(1,Assumptions!$F$103/Assumptions!$E$78)+F1298)*F1281</f>
        <v>4.41510178816</v>
      </c>
      <c r="G1299" s="48" t="n">
        <f aca="false">(G1291*Assumptions!$E$22*MIN(1,Assumptions!$F$103/Assumptions!$E$78)+G1298)*G1281</f>
        <v>5.97399800704</v>
      </c>
      <c r="H1299" s="48" t="n">
        <f aca="false">(H1291*Assumptions!$E$22*MIN(1,Assumptions!$F$103/Assumptions!$E$78)+H1298)*H1281</f>
        <v>7.53289422592</v>
      </c>
      <c r="I1299" s="48" t="n">
        <f aca="false">(I1291*Assumptions!$E$22*MIN(1,Assumptions!$F$103/Assumptions!$E$78)+I1298)*I1281</f>
        <v>12.67044158464</v>
      </c>
      <c r="J1299" s="48" t="n">
        <f aca="false">(J1291*Assumptions!$E$22*MIN(1,Assumptions!$F$103/Assumptions!$E$78)+J1298)*J1281</f>
        <v>17.80798894336</v>
      </c>
      <c r="K1299" s="48" t="n">
        <f aca="false">(K1291*Assumptions!$E$22*MIN(1,Assumptions!$F$103/Assumptions!$E$78)+K1298)*K1281</f>
        <v>17.80798894336</v>
      </c>
      <c r="L1299" s="48" t="n">
        <f aca="false">(L1291*Assumptions!$E$22*MIN(1,Assumptions!$F$103/Assumptions!$E$78)+L1298)*L1281</f>
        <v>17.80798894336</v>
      </c>
      <c r="M1299" s="48" t="n">
        <f aca="false">(M1291*Assumptions!$E$22*MIN(1,Assumptions!$F$103/Assumptions!$E$78)+M1298)*M1281</f>
        <v>17.80798894336</v>
      </c>
      <c r="N1299" s="48" t="n">
        <f aca="false">(N1291*Assumptions!$E$22*MIN(1,Assumptions!$F$103/Assumptions!$E$78)+N1298)*N1281</f>
        <v>17.80798894336</v>
      </c>
      <c r="P1299" s="49" t="n">
        <f aca="false">SUM(C1299:F1299)</f>
        <v>15.45285625856</v>
      </c>
      <c r="Q1299" s="49" t="n">
        <f aca="false">SUM(G1299:J1299)</f>
        <v>43.98532276096</v>
      </c>
      <c r="R1299" s="49" t="n">
        <f aca="false">SUM(K1299:N1299)</f>
        <v>71.23195577344</v>
      </c>
      <c r="S1299" s="50" t="n">
        <f aca="false">SUM(P1299:R1299)</f>
        <v>130.67013479296</v>
      </c>
    </row>
    <row r="1300" customFormat="false" ht="15" hidden="false" customHeight="false" outlineLevel="0" collapsed="false">
      <c r="A1300" s="4" t="s">
        <v>499</v>
      </c>
      <c r="B1300" s="36" t="s">
        <v>500</v>
      </c>
      <c r="C1300" s="48" t="n">
        <f aca="false">C1281*MIN(Assumptions!$E$27,Assumptions!$E$25+Assumptions!$E$26*(C1280-1))*Assumptions!$F$107</f>
        <v>1</v>
      </c>
      <c r="D1300" s="48" t="n">
        <f aca="false">D1281*MIN(Assumptions!$E$27,Assumptions!$E$25+Assumptions!$E$26*(D1280-1))*Assumptions!$F$107</f>
        <v>1.5</v>
      </c>
      <c r="E1300" s="48" t="n">
        <f aca="false">E1281*MIN(Assumptions!$E$27,Assumptions!$E$25+Assumptions!$E$26*(E1280-1))*Assumptions!$F$107</f>
        <v>2</v>
      </c>
      <c r="F1300" s="48" t="n">
        <f aca="false">F1281*MIN(Assumptions!$E$27,Assumptions!$E$25+Assumptions!$E$26*(F1280-1))*Assumptions!$F$107</f>
        <v>2.5</v>
      </c>
      <c r="G1300" s="48" t="n">
        <f aca="false">G1281*MIN(Assumptions!$E$27,Assumptions!$E$25+Assumptions!$E$26*(G1280-1))*Assumptions!$F$107</f>
        <v>3</v>
      </c>
      <c r="H1300" s="48" t="n">
        <f aca="false">H1281*MIN(Assumptions!$E$27,Assumptions!$E$25+Assumptions!$E$26*(H1280-1))*Assumptions!$F$107</f>
        <v>3.5</v>
      </c>
      <c r="I1300" s="48" t="n">
        <f aca="false">I1281*MIN(Assumptions!$E$27,Assumptions!$E$25+Assumptions!$E$26*(I1280-1))*Assumptions!$F$107</f>
        <v>4</v>
      </c>
      <c r="J1300" s="48" t="n">
        <f aca="false">J1281*MIN(Assumptions!$E$27,Assumptions!$E$25+Assumptions!$E$26*(J1280-1))*Assumptions!$F$107</f>
        <v>4.5</v>
      </c>
      <c r="K1300" s="48" t="n">
        <f aca="false">K1281*MIN(Assumptions!$E$27,Assumptions!$E$25+Assumptions!$E$26*(K1280-1))*Assumptions!$F$107</f>
        <v>5</v>
      </c>
      <c r="L1300" s="48" t="n">
        <f aca="false">L1281*MIN(Assumptions!$E$27,Assumptions!$E$25+Assumptions!$E$26*(L1280-1))*Assumptions!$F$107</f>
        <v>5</v>
      </c>
      <c r="M1300" s="48" t="n">
        <f aca="false">M1281*MIN(Assumptions!$E$27,Assumptions!$E$25+Assumptions!$E$26*(M1280-1))*Assumptions!$F$107</f>
        <v>5</v>
      </c>
      <c r="N1300" s="48" t="n">
        <f aca="false">N1281*MIN(Assumptions!$E$27,Assumptions!$E$25+Assumptions!$E$26*(N1280-1))*Assumptions!$F$107</f>
        <v>5</v>
      </c>
      <c r="P1300" s="49" t="n">
        <f aca="false">F1300</f>
        <v>2.5</v>
      </c>
      <c r="Q1300" s="49" t="n">
        <f aca="false">J1300</f>
        <v>4.5</v>
      </c>
      <c r="R1300" s="49" t="n">
        <f aca="false">N1300</f>
        <v>5</v>
      </c>
      <c r="S1300" s="50" t="n">
        <f aca="false">R1300</f>
        <v>5</v>
      </c>
    </row>
    <row r="1301" customFormat="false" ht="15" hidden="false" customHeight="false" outlineLevel="0" collapsed="false">
      <c r="A1301" s="4" t="s">
        <v>501</v>
      </c>
      <c r="B1301" s="36" t="s">
        <v>502</v>
      </c>
      <c r="C1301" s="48" t="n">
        <f aca="false">C1300*Assumptions!$E$28</f>
        <v>3</v>
      </c>
      <c r="D1301" s="48" t="n">
        <f aca="false">D1300*Assumptions!$E$28</f>
        <v>4.5</v>
      </c>
      <c r="E1301" s="48" t="n">
        <f aca="false">E1300*Assumptions!$E$28</f>
        <v>6</v>
      </c>
      <c r="F1301" s="48" t="n">
        <f aca="false">F1300*Assumptions!$E$28</f>
        <v>7.5</v>
      </c>
      <c r="G1301" s="48" t="n">
        <f aca="false">G1300*Assumptions!$E$28</f>
        <v>9</v>
      </c>
      <c r="H1301" s="48" t="n">
        <f aca="false">H1300*Assumptions!$E$28</f>
        <v>10.5</v>
      </c>
      <c r="I1301" s="48" t="n">
        <f aca="false">I1300*Assumptions!$E$28</f>
        <v>12</v>
      </c>
      <c r="J1301" s="48" t="n">
        <f aca="false">J1300*Assumptions!$E$28</f>
        <v>13.5</v>
      </c>
      <c r="K1301" s="48" t="n">
        <f aca="false">K1300*Assumptions!$E$28</f>
        <v>15</v>
      </c>
      <c r="L1301" s="48" t="n">
        <f aca="false">L1300*Assumptions!$E$28</f>
        <v>15</v>
      </c>
      <c r="M1301" s="48" t="n">
        <f aca="false">M1300*Assumptions!$E$28</f>
        <v>15</v>
      </c>
      <c r="N1301" s="48" t="n">
        <f aca="false">N1300*Assumptions!$E$28</f>
        <v>15</v>
      </c>
      <c r="P1301" s="49" t="n">
        <f aca="false">SUM(C1301:F1301)</f>
        <v>21</v>
      </c>
      <c r="Q1301" s="49" t="n">
        <f aca="false">SUM(G1301:J1301)</f>
        <v>45</v>
      </c>
      <c r="R1301" s="49" t="n">
        <f aca="false">SUM(K1301:N1301)</f>
        <v>60</v>
      </c>
      <c r="S1301" s="50" t="n">
        <f aca="false">SUM(P1301:R1301)</f>
        <v>126</v>
      </c>
    </row>
    <row r="1302" customFormat="false" ht="15" hidden="false" customHeight="false" outlineLevel="0" collapsed="false">
      <c r="A1302" s="4" t="s">
        <v>503</v>
      </c>
      <c r="B1302" s="36" t="s">
        <v>504</v>
      </c>
      <c r="C1302" s="48" t="n">
        <f aca="false">(C1293+C1297)*Assumptions!$E$29</f>
        <v>1.324530536448</v>
      </c>
      <c r="D1302" s="48" t="n">
        <f aca="false">(D1293+D1297)*Assumptions!$E$29</f>
        <v>2.46522910649524</v>
      </c>
      <c r="E1302" s="48" t="n">
        <f aca="false">(E1293+E1297)*Assumptions!$E$29</f>
        <v>2.2941541853044</v>
      </c>
      <c r="F1302" s="48" t="n">
        <f aca="false">(F1293+F1297)*Assumptions!$E$29</f>
        <v>2.13495103237369</v>
      </c>
      <c r="G1302" s="48" t="n">
        <f aca="false">(G1293+G1297)*Assumptions!$E$29</f>
        <v>2.922133536</v>
      </c>
      <c r="H1302" s="48" t="n">
        <f aca="false">(H1293+H1297)*Assumptions!$E$29</f>
        <v>3.58978150522217</v>
      </c>
      <c r="I1302" s="48" t="n">
        <f aca="false">(I1293+I1297)*Assumptions!$E$29</f>
        <v>6.4231965271066</v>
      </c>
      <c r="J1302" s="48" t="n">
        <f aca="false">(J1293+J1297)*Assumptions!$E$29</f>
        <v>8.84607382062833</v>
      </c>
      <c r="K1302" s="48" t="n">
        <f aca="false">(K1293+K1297)*Assumptions!$E$29</f>
        <v>8.2321992814526</v>
      </c>
      <c r="L1302" s="48" t="n">
        <f aca="false">(L1293+L1297)*Assumptions!$E$29</f>
        <v>7.6609246524166</v>
      </c>
      <c r="M1302" s="48" t="n">
        <f aca="false">(M1293+M1297)*Assumptions!$E$29</f>
        <v>7.12929370675395</v>
      </c>
      <c r="N1302" s="48" t="n">
        <f aca="false">(N1293+N1297)*Assumptions!$E$29</f>
        <v>6.63455536547125</v>
      </c>
      <c r="P1302" s="49" t="n">
        <f aca="false">SUM(C1302:F1302)</f>
        <v>8.21886486062133</v>
      </c>
      <c r="Q1302" s="49" t="n">
        <f aca="false">SUM(G1302:J1302)</f>
        <v>21.7811853889571</v>
      </c>
      <c r="R1302" s="49" t="n">
        <f aca="false">SUM(K1302:N1302)</f>
        <v>29.6569730060944</v>
      </c>
      <c r="S1302" s="50" t="n">
        <f aca="false">SUM(P1302:R1302)</f>
        <v>59.6570232556728</v>
      </c>
    </row>
    <row r="1303" customFormat="false" ht="15" hidden="false" customHeight="false" outlineLevel="0" collapsed="false">
      <c r="A1303" s="4" t="s">
        <v>505</v>
      </c>
      <c r="B1303" s="36" t="s">
        <v>504</v>
      </c>
      <c r="C1303" s="48" t="n">
        <f aca="false">C1299*Assumptions!$E$31</f>
        <v>0.3532081430528</v>
      </c>
      <c r="D1303" s="48" t="n">
        <f aca="false">D1299*Assumptions!$E$31</f>
        <v>0.7064162861056</v>
      </c>
      <c r="E1303" s="48" t="n">
        <f aca="false">E1299*Assumptions!$E$31</f>
        <v>0.7064162861056</v>
      </c>
      <c r="F1303" s="48" t="n">
        <f aca="false">F1299*Assumptions!$E$31</f>
        <v>0.7064162861056</v>
      </c>
      <c r="G1303" s="48" t="n">
        <f aca="false">G1299*Assumptions!$E$31</f>
        <v>0.9558396811264</v>
      </c>
      <c r="H1303" s="48" t="n">
        <f aca="false">H1299*Assumptions!$E$31</f>
        <v>1.2052630761472</v>
      </c>
      <c r="I1303" s="48" t="n">
        <f aca="false">I1299*Assumptions!$E$31</f>
        <v>2.0272706535424</v>
      </c>
      <c r="J1303" s="48" t="n">
        <f aca="false">J1299*Assumptions!$E$31</f>
        <v>2.8492782309376</v>
      </c>
      <c r="K1303" s="48" t="n">
        <f aca="false">K1299*Assumptions!$E$31</f>
        <v>2.8492782309376</v>
      </c>
      <c r="L1303" s="48" t="n">
        <f aca="false">L1299*Assumptions!$E$31</f>
        <v>2.8492782309376</v>
      </c>
      <c r="M1303" s="48" t="n">
        <f aca="false">M1299*Assumptions!$E$31</f>
        <v>2.8492782309376</v>
      </c>
      <c r="N1303" s="48" t="n">
        <f aca="false">N1299*Assumptions!$E$31</f>
        <v>2.8492782309376</v>
      </c>
      <c r="P1303" s="49" t="n">
        <f aca="false">SUM(C1303:F1303)</f>
        <v>2.4724570013696</v>
      </c>
      <c r="Q1303" s="49" t="n">
        <f aca="false">SUM(G1303:J1303)</f>
        <v>7.0376516417536</v>
      </c>
      <c r="R1303" s="49" t="n">
        <f aca="false">SUM(K1303:N1303)</f>
        <v>11.3971129237504</v>
      </c>
      <c r="S1303" s="50" t="n">
        <f aca="false">SUM(P1303:R1303)</f>
        <v>20.9072215668736</v>
      </c>
    </row>
    <row r="1304" customFormat="false" ht="15" hidden="false" customHeight="false" outlineLevel="0" collapsed="false">
      <c r="A1304" s="4" t="s">
        <v>506</v>
      </c>
      <c r="B1304" s="36" t="s">
        <v>504</v>
      </c>
      <c r="C1304" s="48" t="n">
        <f aca="false">C1301*Assumptions!$E$30</f>
        <v>1.5</v>
      </c>
      <c r="D1304" s="48" t="n">
        <f aca="false">D1301*Assumptions!$E$30</f>
        <v>2.25</v>
      </c>
      <c r="E1304" s="48" t="n">
        <f aca="false">E1301*Assumptions!$E$30</f>
        <v>3</v>
      </c>
      <c r="F1304" s="48" t="n">
        <f aca="false">F1301*Assumptions!$E$30</f>
        <v>3.75</v>
      </c>
      <c r="G1304" s="48" t="n">
        <f aca="false">G1301*Assumptions!$E$30</f>
        <v>4.5</v>
      </c>
      <c r="H1304" s="48" t="n">
        <f aca="false">H1301*Assumptions!$E$30</f>
        <v>5.25</v>
      </c>
      <c r="I1304" s="48" t="n">
        <f aca="false">I1301*Assumptions!$E$30</f>
        <v>6</v>
      </c>
      <c r="J1304" s="48" t="n">
        <f aca="false">J1301*Assumptions!$E$30</f>
        <v>6.75</v>
      </c>
      <c r="K1304" s="48" t="n">
        <f aca="false">K1301*Assumptions!$E$30</f>
        <v>7.5</v>
      </c>
      <c r="L1304" s="48" t="n">
        <f aca="false">L1301*Assumptions!$E$30</f>
        <v>7.5</v>
      </c>
      <c r="M1304" s="48" t="n">
        <f aca="false">M1301*Assumptions!$E$30</f>
        <v>7.5</v>
      </c>
      <c r="N1304" s="48" t="n">
        <f aca="false">N1301*Assumptions!$E$30</f>
        <v>7.5</v>
      </c>
      <c r="P1304" s="49" t="n">
        <f aca="false">SUM(C1304:F1304)</f>
        <v>10.5</v>
      </c>
      <c r="Q1304" s="49" t="n">
        <f aca="false">SUM(G1304:J1304)</f>
        <v>22.5</v>
      </c>
      <c r="R1304" s="49" t="n">
        <f aca="false">SUM(K1304:N1304)</f>
        <v>30</v>
      </c>
      <c r="S1304" s="50" t="n">
        <f aca="false">SUM(P1304:R1304)</f>
        <v>63</v>
      </c>
    </row>
    <row r="1305" customFormat="false" ht="15" hidden="false" customHeight="false" outlineLevel="0" collapsed="false">
      <c r="A1305" s="9" t="s">
        <v>507</v>
      </c>
      <c r="B1305" s="36" t="s">
        <v>504</v>
      </c>
      <c r="C1305" s="49" t="n">
        <f aca="false">C1302+C1303+C1304</f>
        <v>3.1777386795008</v>
      </c>
      <c r="D1305" s="49" t="n">
        <f aca="false">D1302+D1303+D1304</f>
        <v>5.42164539260084</v>
      </c>
      <c r="E1305" s="49" t="n">
        <f aca="false">E1302+E1303+E1304</f>
        <v>6.00057047141</v>
      </c>
      <c r="F1305" s="49" t="n">
        <f aca="false">F1302+F1303+F1304</f>
        <v>6.59136731847929</v>
      </c>
      <c r="G1305" s="49" t="n">
        <f aca="false">G1302+G1303+G1304</f>
        <v>8.3779732171264</v>
      </c>
      <c r="H1305" s="49" t="n">
        <f aca="false">H1302+H1303+H1304</f>
        <v>10.0450445813694</v>
      </c>
      <c r="I1305" s="49" t="n">
        <f aca="false">I1302+I1303+I1304</f>
        <v>14.450467180649</v>
      </c>
      <c r="J1305" s="49" t="n">
        <f aca="false">J1302+J1303+J1304</f>
        <v>18.4453520515659</v>
      </c>
      <c r="K1305" s="49" t="n">
        <f aca="false">K1302+K1303+K1304</f>
        <v>18.5814775123902</v>
      </c>
      <c r="L1305" s="49" t="n">
        <f aca="false">L1302+L1303+L1304</f>
        <v>18.0102028833542</v>
      </c>
      <c r="M1305" s="49" t="n">
        <f aca="false">M1302+M1303+M1304</f>
        <v>17.4785719376916</v>
      </c>
      <c r="N1305" s="49" t="n">
        <f aca="false">N1302+N1303+N1304</f>
        <v>16.9838335964089</v>
      </c>
      <c r="P1305" s="49" t="n">
        <f aca="false">SUM(C1305:F1305)</f>
        <v>21.1913218619909</v>
      </c>
      <c r="Q1305" s="49" t="n">
        <f aca="false">SUM(G1305:J1305)</f>
        <v>51.3188370307107</v>
      </c>
      <c r="R1305" s="49" t="n">
        <f aca="false">SUM(K1305:N1305)</f>
        <v>71.0540859298448</v>
      </c>
      <c r="S1305" s="50" t="n">
        <f aca="false">SUM(P1305:R1305)</f>
        <v>143.564244822546</v>
      </c>
    </row>
    <row r="1306" customFormat="false" ht="15" hidden="false" customHeight="false" outlineLevel="0" collapsed="false">
      <c r="A1306" s="4" t="s">
        <v>508</v>
      </c>
      <c r="B1306" s="36" t="s">
        <v>509</v>
      </c>
      <c r="C1306" s="48" t="n">
        <f aca="false">C1288</f>
        <v>421.51972352</v>
      </c>
      <c r="D1306" s="48" t="n">
        <f aca="false">D1288</f>
        <v>843.03944704</v>
      </c>
      <c r="E1306" s="48" t="n">
        <f aca="false">E1288</f>
        <v>843.03944704</v>
      </c>
      <c r="F1306" s="48" t="n">
        <f aca="false">F1288</f>
        <v>843.03944704</v>
      </c>
      <c r="G1306" s="48" t="n">
        <f aca="false">G1288</f>
        <v>1149.32798176</v>
      </c>
      <c r="H1306" s="48" t="n">
        <f aca="false">H1288</f>
        <v>1455.61651648</v>
      </c>
      <c r="I1306" s="48" t="n">
        <f aca="false">I1288</f>
        <v>2486.00303616</v>
      </c>
      <c r="J1306" s="48" t="n">
        <f aca="false">J1288</f>
        <v>3516.38955584</v>
      </c>
      <c r="K1306" s="48" t="n">
        <f aca="false">K1288</f>
        <v>3516.38955584</v>
      </c>
      <c r="L1306" s="48" t="n">
        <f aca="false">L1288</f>
        <v>3516.38955584</v>
      </c>
      <c r="M1306" s="48" t="n">
        <f aca="false">M1288</f>
        <v>3516.38955584</v>
      </c>
      <c r="N1306" s="48" t="n">
        <f aca="false">N1288</f>
        <v>3516.38955584</v>
      </c>
      <c r="P1306" s="49"/>
      <c r="Q1306" s="49"/>
      <c r="R1306" s="49"/>
      <c r="S1306" s="50"/>
    </row>
    <row r="1307" customFormat="false" ht="15" hidden="false" customHeight="false" outlineLevel="0" collapsed="false">
      <c r="A1307" s="4" t="s">
        <v>510</v>
      </c>
      <c r="B1307" s="36" t="s">
        <v>509</v>
      </c>
      <c r="C1307" s="48" t="n">
        <f aca="false">C1289*Assumptions!$E$18*Assumptions!$E$33</f>
        <v>211.19616</v>
      </c>
      <c r="D1307" s="48" t="n">
        <f aca="false">D1289*Assumptions!$E$18*Assumptions!$E$33</f>
        <v>422.39232</v>
      </c>
      <c r="E1307" s="48" t="n">
        <f aca="false">E1289*Assumptions!$E$18*Assumptions!$E$33</f>
        <v>422.39232</v>
      </c>
      <c r="F1307" s="48" t="n">
        <f aca="false">F1289*Assumptions!$E$18*Assumptions!$E$33</f>
        <v>422.39232</v>
      </c>
      <c r="G1307" s="48" t="n">
        <f aca="false">G1289*Assumptions!$E$18*Assumptions!$E$33</f>
        <v>564.49344</v>
      </c>
      <c r="H1307" s="48" t="n">
        <f aca="false">H1289*Assumptions!$E$18*Assumptions!$E$33</f>
        <v>706.59456</v>
      </c>
      <c r="I1307" s="48" t="n">
        <f aca="false">I1289*Assumptions!$E$18*Assumptions!$E$33</f>
        <v>1135.07072</v>
      </c>
      <c r="J1307" s="48" t="n">
        <f aca="false">J1289*Assumptions!$E$18*Assumptions!$E$33</f>
        <v>1563.54688</v>
      </c>
      <c r="K1307" s="48" t="n">
        <f aca="false">K1289*Assumptions!$E$18*Assumptions!$E$33</f>
        <v>1563.54688</v>
      </c>
      <c r="L1307" s="48" t="n">
        <f aca="false">L1289*Assumptions!$E$18*Assumptions!$E$33</f>
        <v>1563.54688</v>
      </c>
      <c r="M1307" s="48" t="n">
        <f aca="false">M1289*Assumptions!$E$18*Assumptions!$E$33</f>
        <v>1563.54688</v>
      </c>
      <c r="N1307" s="48" t="n">
        <f aca="false">N1289*Assumptions!$E$18*Assumptions!$E$33</f>
        <v>1563.54688</v>
      </c>
      <c r="P1307" s="49"/>
      <c r="Q1307" s="49"/>
      <c r="R1307" s="49"/>
      <c r="S1307" s="50"/>
    </row>
    <row r="1308" customFormat="false" ht="15" hidden="false" customHeight="false" outlineLevel="0" collapsed="false">
      <c r="A1308" s="4" t="s">
        <v>511</v>
      </c>
      <c r="B1308" s="36" t="s">
        <v>509</v>
      </c>
      <c r="C1308" s="48" t="n">
        <f aca="false">C1290*Assumptions!$E$19*Assumptions!$E$34</f>
        <v>34.677888</v>
      </c>
      <c r="D1308" s="48" t="n">
        <f aca="false">D1290*Assumptions!$E$19*Assumptions!$E$34</f>
        <v>69.355776</v>
      </c>
      <c r="E1308" s="48" t="n">
        <f aca="false">E1290*Assumptions!$E$19*Assumptions!$E$34</f>
        <v>69.355776</v>
      </c>
      <c r="F1308" s="48" t="n">
        <f aca="false">F1290*Assumptions!$E$19*Assumptions!$E$34</f>
        <v>69.355776</v>
      </c>
      <c r="G1308" s="48" t="n">
        <f aca="false">G1290*Assumptions!$E$19*Assumptions!$E$34</f>
        <v>86.69472</v>
      </c>
      <c r="H1308" s="48" t="n">
        <f aca="false">H1290*Assumptions!$E$19*Assumptions!$E$34</f>
        <v>104.033664</v>
      </c>
      <c r="I1308" s="48" t="n">
        <f aca="false">I1290*Assumptions!$E$19*Assumptions!$E$34</f>
        <v>159.7008</v>
      </c>
      <c r="J1308" s="48" t="n">
        <f aca="false">J1290*Assumptions!$E$19*Assumptions!$E$34</f>
        <v>215.367936</v>
      </c>
      <c r="K1308" s="48" t="n">
        <f aca="false">K1290*Assumptions!$E$19*Assumptions!$E$34</f>
        <v>215.367936</v>
      </c>
      <c r="L1308" s="48" t="n">
        <f aca="false">L1290*Assumptions!$E$19*Assumptions!$E$34</f>
        <v>215.367936</v>
      </c>
      <c r="M1308" s="48" t="n">
        <f aca="false">M1290*Assumptions!$E$19*Assumptions!$E$34</f>
        <v>215.367936</v>
      </c>
      <c r="N1308" s="48" t="n">
        <f aca="false">N1290*Assumptions!$E$19*Assumptions!$E$34</f>
        <v>215.367936</v>
      </c>
      <c r="P1308" s="49"/>
      <c r="Q1308" s="49"/>
      <c r="R1308" s="49"/>
      <c r="S1308" s="50"/>
    </row>
    <row r="1309" customFormat="false" ht="15" hidden="false" customHeight="false" outlineLevel="0" collapsed="false">
      <c r="A1309" s="4" t="s">
        <v>512</v>
      </c>
      <c r="B1309" s="36" t="s">
        <v>77</v>
      </c>
      <c r="C1309" s="51" t="n">
        <f aca="false">IFERROR(C1306/(C1306+C1307+C1308),0)</f>
        <v>0.631590736245533</v>
      </c>
      <c r="D1309" s="51" t="n">
        <f aca="false">IFERROR(D1306/(D1306+D1307+D1308),0)</f>
        <v>0.631590736245533</v>
      </c>
      <c r="E1309" s="51" t="n">
        <f aca="false">IFERROR(E1306/(E1306+E1307+E1308),0)</f>
        <v>0.631590736245533</v>
      </c>
      <c r="F1309" s="51" t="n">
        <f aca="false">IFERROR(F1306/(F1306+F1307+F1308),0)</f>
        <v>0.631590736245533</v>
      </c>
      <c r="G1309" s="51" t="n">
        <f aca="false">IFERROR(G1306/(G1306+G1307+G1308),0)</f>
        <v>0.638332506498128</v>
      </c>
      <c r="H1309" s="51" t="n">
        <f aca="false">IFERROR(H1306/(H1306+H1307+H1308),0)</f>
        <v>0.642303318118984</v>
      </c>
      <c r="I1309" s="51" t="n">
        <f aca="false">IFERROR(I1306/(I1306+I1307+I1308),0)</f>
        <v>0.657538025405288</v>
      </c>
      <c r="J1309" s="51" t="n">
        <f aca="false">IFERROR(J1306/(J1306+J1307+J1308),0)</f>
        <v>0.664058061428891</v>
      </c>
      <c r="K1309" s="51" t="n">
        <f aca="false">IFERROR(K1306/(K1306+K1307+K1308),0)</f>
        <v>0.664058061428891</v>
      </c>
      <c r="L1309" s="51" t="n">
        <f aca="false">IFERROR(L1306/(L1306+L1307+L1308),0)</f>
        <v>0.664058061428891</v>
      </c>
      <c r="M1309" s="51" t="n">
        <f aca="false">IFERROR(M1306/(M1306+M1307+M1308),0)</f>
        <v>0.664058061428891</v>
      </c>
      <c r="N1309" s="51" t="n">
        <f aca="false">IFERROR(N1306/(N1306+N1307+N1308),0)</f>
        <v>0.664058061428891</v>
      </c>
      <c r="P1309" s="52"/>
      <c r="Q1309" s="52"/>
      <c r="R1309" s="52"/>
      <c r="S1309" s="53"/>
    </row>
    <row r="1310" customFormat="false" ht="15" hidden="false" customHeight="false" outlineLevel="0" collapsed="false">
      <c r="A1310" s="4" t="s">
        <v>513</v>
      </c>
      <c r="B1310" s="36" t="s">
        <v>77</v>
      </c>
      <c r="C1310" s="51" t="n">
        <f aca="false">IFERROR(C1307/(C1306+C1307+C1308),0)</f>
        <v>0.316449102482628</v>
      </c>
      <c r="D1310" s="51" t="n">
        <f aca="false">IFERROR(D1307/(D1306+D1307+D1308),0)</f>
        <v>0.316449102482628</v>
      </c>
      <c r="E1310" s="51" t="n">
        <f aca="false">IFERROR(E1307/(E1306+E1307+E1308),0)</f>
        <v>0.316449102482628</v>
      </c>
      <c r="F1310" s="51" t="n">
        <f aca="false">IFERROR(F1307/(F1306+F1307+F1308),0)</f>
        <v>0.316449102482628</v>
      </c>
      <c r="G1310" s="51" t="n">
        <f aca="false">IFERROR(G1307/(G1306+G1307+G1308),0)</f>
        <v>0.313517566939561</v>
      </c>
      <c r="H1310" s="51" t="n">
        <f aca="false">IFERROR(H1307/(H1306+H1307+H1308),0)</f>
        <v>0.311790932099567</v>
      </c>
      <c r="I1310" s="51" t="n">
        <f aca="false">IFERROR(I1307/(I1306+I1307+I1308),0)</f>
        <v>0.300221741111391</v>
      </c>
      <c r="J1310" s="51" t="n">
        <f aca="false">IFERROR(J1307/(J1306+J1307+J1308),0)</f>
        <v>0.295270445324128</v>
      </c>
      <c r="K1310" s="51" t="n">
        <f aca="false">IFERROR(K1307/(K1306+K1307+K1308),0)</f>
        <v>0.295270445324128</v>
      </c>
      <c r="L1310" s="51" t="n">
        <f aca="false">IFERROR(L1307/(L1306+L1307+L1308),0)</f>
        <v>0.295270445324128</v>
      </c>
      <c r="M1310" s="51" t="n">
        <f aca="false">IFERROR(M1307/(M1306+M1307+M1308),0)</f>
        <v>0.295270445324128</v>
      </c>
      <c r="N1310" s="51" t="n">
        <f aca="false">IFERROR(N1307/(N1306+N1307+N1308),0)</f>
        <v>0.295270445324128</v>
      </c>
      <c r="P1310" s="52"/>
      <c r="Q1310" s="52"/>
      <c r="R1310" s="52"/>
      <c r="S1310" s="53"/>
    </row>
    <row r="1311" customFormat="false" ht="15" hidden="false" customHeight="false" outlineLevel="0" collapsed="false">
      <c r="A1311" s="4" t="s">
        <v>514</v>
      </c>
      <c r="B1311" s="36" t="s">
        <v>77</v>
      </c>
      <c r="C1311" s="51" t="n">
        <f aca="false">IFERROR(C1308/(C1306+C1307+C1308),0)</f>
        <v>0.0519601612718389</v>
      </c>
      <c r="D1311" s="51" t="n">
        <f aca="false">IFERROR(D1308/(D1306+D1307+D1308),0)</f>
        <v>0.0519601612718389</v>
      </c>
      <c r="E1311" s="51" t="n">
        <f aca="false">IFERROR(E1308/(E1306+E1307+E1308),0)</f>
        <v>0.0519601612718389</v>
      </c>
      <c r="F1311" s="51" t="n">
        <f aca="false">IFERROR(F1308/(F1306+F1307+F1308),0)</f>
        <v>0.0519601612718389</v>
      </c>
      <c r="G1311" s="51" t="n">
        <f aca="false">IFERROR(G1308/(G1306+G1307+G1308),0)</f>
        <v>0.0481499265623113</v>
      </c>
      <c r="H1311" s="51" t="n">
        <f aca="false">IFERROR(H1308/(H1306+H1307+H1308),0)</f>
        <v>0.0459057497814491</v>
      </c>
      <c r="I1311" s="51" t="n">
        <f aca="false">IFERROR(I1308/(I1306+I1307+I1308),0)</f>
        <v>0.0422402334833216</v>
      </c>
      <c r="J1311" s="51" t="n">
        <f aca="false">IFERROR(J1308/(J1306+J1307+J1308),0)</f>
        <v>0.0406714932469811</v>
      </c>
      <c r="K1311" s="51" t="n">
        <f aca="false">IFERROR(K1308/(K1306+K1307+K1308),0)</f>
        <v>0.0406714932469811</v>
      </c>
      <c r="L1311" s="51" t="n">
        <f aca="false">IFERROR(L1308/(L1306+L1307+L1308),0)</f>
        <v>0.0406714932469811</v>
      </c>
      <c r="M1311" s="51" t="n">
        <f aca="false">IFERROR(M1308/(M1306+M1307+M1308),0)</f>
        <v>0.0406714932469811</v>
      </c>
      <c r="N1311" s="51" t="n">
        <f aca="false">IFERROR(N1308/(N1306+N1307+N1308),0)</f>
        <v>0.0406714932469811</v>
      </c>
      <c r="P1311" s="52"/>
      <c r="Q1311" s="52"/>
      <c r="R1311" s="52"/>
      <c r="S1311" s="53"/>
    </row>
    <row r="1312" customFormat="false" ht="15" hidden="false" customHeight="false" outlineLevel="0" collapsed="false">
      <c r="A1312" s="4" t="s">
        <v>515</v>
      </c>
      <c r="B1312" s="36" t="s">
        <v>516</v>
      </c>
      <c r="C1312" s="48" t="n">
        <f aca="false">IF(C1280-Assumptions!$E$35&lt;1,0,INDEX($C$1305:$N$1305,1,C1280-Assumptions!$E$35)*INDEX($C$1309:$N$1309,1,C1280-Assumptions!$E$35)*Assumptions!$E$32)</f>
        <v>0</v>
      </c>
      <c r="D1312" s="48" t="n">
        <f aca="false">IF(D1280-Assumptions!$E$35&lt;1,0,INDEX($C$1305:$N$1305,1,D1280-Assumptions!$E$35)*INDEX($C$1309:$N$1309,1,D1280-Assumptions!$E$35)*Assumptions!$E$32)</f>
        <v>0.421476365558182</v>
      </c>
      <c r="E1312" s="48" t="n">
        <f aca="false">IF(E1280-Assumptions!$E$35&lt;1,0,INDEX($C$1305:$N$1305,1,E1280-Assumptions!$E$35)*INDEX($C$1309:$N$1309,1,E1280-Assumptions!$E$35)*Assumptions!$E$32)</f>
        <v>0.719094811086743</v>
      </c>
      <c r="F1312" s="48" t="n">
        <f aca="false">IF(F1280-Assumptions!$E$35&lt;1,0,INDEX($C$1305:$N$1305,1,F1280-Assumptions!$E$35)*INDEX($C$1309:$N$1309,1,F1280-Assumptions!$E$35)*Assumptions!$E$32)</f>
        <v>0.79587999160552</v>
      </c>
      <c r="G1312" s="48" t="n">
        <f aca="false">IF(G1280-Assumptions!$E$35&lt;1,0,INDEX($C$1305:$N$1305,1,G1280-Assumptions!$E$35)*INDEX($C$1309:$N$1309,1,G1280-Assumptions!$E$35)*Assumptions!$E$32)</f>
        <v>0.874239772884047</v>
      </c>
      <c r="H1312" s="48" t="n">
        <f aca="false">IF(H1280-Assumptions!$E$35&lt;1,0,INDEX($C$1305:$N$1305,1,H1280-Assumptions!$E$35)*INDEX($C$1309:$N$1309,1,H1280-Assumptions!$E$35)*Assumptions!$E$32)</f>
        <v>1.12306585504312</v>
      </c>
      <c r="I1312" s="48" t="n">
        <f aca="false">IF(I1280-Assumptions!$E$35&lt;1,0,INDEX($C$1305:$N$1305,1,I1280-Assumptions!$E$35)*INDEX($C$1309:$N$1309,1,I1280-Assumptions!$E$35)*Assumptions!$E$32)</f>
        <v>1.354912747706</v>
      </c>
      <c r="J1312" s="48" t="n">
        <f aca="false">IF(J1280-Assumptions!$E$35&lt;1,0,INDEX($C$1305:$N$1305,1,J1280-Assumptions!$E$35)*INDEX($C$1309:$N$1309,1,J1280-Assumptions!$E$35)*Assumptions!$E$32)</f>
        <v>1.99536364779105</v>
      </c>
      <c r="K1312" s="48" t="n">
        <f aca="false">IF(K1280-Assumptions!$E$35&lt;1,0,INDEX($C$1305:$N$1305,1,K1280-Assumptions!$E$35)*INDEX($C$1309:$N$1309,1,K1280-Assumptions!$E$35)*Assumptions!$E$32)</f>
        <v>2.57224479240462</v>
      </c>
      <c r="L1312" s="48" t="n">
        <f aca="false">IF(L1280-Assumptions!$E$35&lt;1,0,INDEX($C$1305:$N$1305,1,L1280-Assumptions!$E$35)*INDEX($C$1309:$N$1309,1,L1280-Assumptions!$E$35)*Assumptions!$E$32)</f>
        <v>2.5912277864261</v>
      </c>
      <c r="M1312" s="48" t="n">
        <f aca="false">IF(M1280-Assumptions!$E$35&lt;1,0,INDEX($C$1305:$N$1305,1,M1280-Assumptions!$E$35)*INDEX($C$1309:$N$1309,1,M1280-Assumptions!$E$35)*Assumptions!$E$32)</f>
        <v>2.51156228665885</v>
      </c>
      <c r="N1312" s="48" t="n">
        <f aca="false">IF(N1280-Assumptions!$E$35&lt;1,0,INDEX($C$1305:$N$1305,1,N1280-Assumptions!$E$35)*INDEX($C$1309:$N$1309,1,N1280-Assumptions!$E$35)*Assumptions!$E$32)</f>
        <v>2.43742518547266</v>
      </c>
      <c r="P1312" s="49" t="n">
        <f aca="false">SUM(C1312:F1312)</f>
        <v>1.93645116825045</v>
      </c>
      <c r="Q1312" s="49" t="n">
        <f aca="false">SUM(G1312:J1312)</f>
        <v>5.34758202342422</v>
      </c>
      <c r="R1312" s="49" t="n">
        <f aca="false">SUM(K1312:N1312)</f>
        <v>10.1124600509622</v>
      </c>
      <c r="S1312" s="50" t="n">
        <f aca="false">SUM(P1312:R1312)</f>
        <v>17.3964932426369</v>
      </c>
    </row>
    <row r="1313" customFormat="false" ht="15" hidden="false" customHeight="false" outlineLevel="0" collapsed="false">
      <c r="A1313" s="4" t="s">
        <v>517</v>
      </c>
      <c r="B1313" s="36" t="s">
        <v>516</v>
      </c>
      <c r="C1313" s="48" t="n">
        <f aca="false">IF(C1280-Assumptions!$E$35&lt;1,0,INDEX($C$1305:$N$1305,1,C1280-Assumptions!$E$35)*INDEX($C$1310:$N$1310,1,C1280-Assumptions!$E$35)*Assumptions!$E$32)</f>
        <v>0</v>
      </c>
      <c r="D1313" s="48" t="n">
        <f aca="false">IF(D1280-Assumptions!$E$35&lt;1,0,INDEX($C$1305:$N$1305,1,D1280-Assumptions!$E$35)*INDEX($C$1310:$N$1310,1,D1280-Assumptions!$E$35)*Assumptions!$E$32)</f>
        <v>0.211174436140995</v>
      </c>
      <c r="E1313" s="48" t="n">
        <f aca="false">IF(E1280-Assumptions!$E$35&lt;1,0,INDEX($C$1305:$N$1305,1,E1280-Assumptions!$E$35)*INDEX($C$1310:$N$1310,1,E1280-Assumptions!$E$35)*Assumptions!$E$32)</f>
        <v>0.360291711878198</v>
      </c>
      <c r="F1313" s="48" t="n">
        <f aca="false">IF(F1280-Assumptions!$E$35&lt;1,0,INDEX($C$1305:$N$1305,1,F1280-Assumptions!$E$35)*INDEX($C$1310:$N$1310,1,F1280-Assumptions!$E$35)*Assumptions!$E$32)</f>
        <v>0.398763779412905</v>
      </c>
      <c r="G1313" s="48" t="n">
        <f aca="false">IF(G1280-Assumptions!$E$35&lt;1,0,INDEX($C$1305:$N$1305,1,G1280-Assumptions!$E$35)*INDEX($C$1310:$N$1310,1,G1280-Assumptions!$E$35)*Assumptions!$E$32)</f>
        <v>0.43802477713388</v>
      </c>
      <c r="H1313" s="48" t="n">
        <f aca="false">IF(H1280-Assumptions!$E$35&lt;1,0,INDEX($C$1305:$N$1305,1,H1280-Assumptions!$E$35)*INDEX($C$1310:$N$1310,1,H1280-Assumptions!$E$35)*Assumptions!$E$32)</f>
        <v>0.551594773572837</v>
      </c>
      <c r="I1313" s="48" t="n">
        <f aca="false">IF(I1280-Assumptions!$E$35&lt;1,0,INDEX($C$1305:$N$1305,1,I1280-Assumptions!$E$35)*INDEX($C$1310:$N$1310,1,I1280-Assumptions!$E$35)*Assumptions!$E$32)</f>
        <v>0.65771030073144</v>
      </c>
      <c r="J1313" s="48" t="n">
        <f aca="false">IF(J1280-Assumptions!$E$35&lt;1,0,INDEX($C$1305:$N$1305,1,J1280-Assumptions!$E$35)*INDEX($C$1310:$N$1310,1,J1280-Assumptions!$E$35)*Assumptions!$E$32)</f>
        <v>0.911052327537965</v>
      </c>
      <c r="K1313" s="48" t="n">
        <f aca="false">IF(K1280-Assumptions!$E$35&lt;1,0,INDEX($C$1305:$N$1305,1,K1280-Assumptions!$E$35)*INDEX($C$1310:$N$1310,1,K1280-Assumptions!$E$35)*Assumptions!$E$32)</f>
        <v>1.1437371360295</v>
      </c>
      <c r="L1313" s="48" t="n">
        <f aca="false">IF(L1280-Assumptions!$E$35&lt;1,0,INDEX($C$1305:$N$1305,1,L1280-Assumptions!$E$35)*INDEX($C$1310:$N$1310,1,L1280-Assumptions!$E$35)*Assumptions!$E$32)</f>
        <v>1.15217783937138</v>
      </c>
      <c r="M1313" s="48" t="n">
        <f aca="false">IF(M1280-Assumptions!$E$35&lt;1,0,INDEX($C$1305:$N$1305,1,M1280-Assumptions!$E$35)*INDEX($C$1310:$N$1310,1,M1280-Assumptions!$E$35)*Assumptions!$E$32)</f>
        <v>1.11675493140664</v>
      </c>
      <c r="N1313" s="48" t="n">
        <f aca="false">IF(N1280-Assumptions!$E$35&lt;1,0,INDEX($C$1305:$N$1305,1,N1280-Assumptions!$E$35)*INDEX($C$1310:$N$1310,1,N1280-Assumptions!$E$35)*Assumptions!$E$32)</f>
        <v>1.08379020113112</v>
      </c>
      <c r="P1313" s="49" t="n">
        <f aca="false">SUM(C1313:F1313)</f>
        <v>0.970229927432099</v>
      </c>
      <c r="Q1313" s="49" t="n">
        <f aca="false">SUM(G1313:J1313)</f>
        <v>2.55838217897612</v>
      </c>
      <c r="R1313" s="49" t="n">
        <f aca="false">SUM(K1313:N1313)</f>
        <v>4.49646010793864</v>
      </c>
      <c r="S1313" s="50" t="n">
        <f aca="false">SUM(P1313:R1313)</f>
        <v>8.02507221434686</v>
      </c>
    </row>
    <row r="1314" customFormat="false" ht="15" hidden="false" customHeight="false" outlineLevel="0" collapsed="false">
      <c r="A1314" s="4" t="s">
        <v>518</v>
      </c>
      <c r="B1314" s="36" t="s">
        <v>516</v>
      </c>
      <c r="C1314" s="48" t="n">
        <f aca="false">IF(C1280-Assumptions!$E$36&lt;1,0,INDEX($C$1305:$N$1305,1,C1280-Assumptions!$E$36)*INDEX($C$1311:$N$1311,1,C1280-Assumptions!$E$36)*Assumptions!$E$32)</f>
        <v>0</v>
      </c>
      <c r="D1314" s="48" t="n">
        <f aca="false">IF(D1280-Assumptions!$E$36&lt;1,0,INDEX($C$1305:$N$1305,1,D1280-Assumptions!$E$36)*INDEX($C$1311:$N$1311,1,D1280-Assumptions!$E$36)*Assumptions!$E$32)</f>
        <v>0</v>
      </c>
      <c r="E1314" s="48" t="n">
        <f aca="false">IF(E1280-Assumptions!$E$36&lt;1,0,INDEX($C$1305:$N$1305,1,E1280-Assumptions!$E$36)*INDEX($C$1311:$N$1311,1,E1280-Assumptions!$E$36)*Assumptions!$E$32)</f>
        <v>0.0346743209959906</v>
      </c>
      <c r="F1314" s="48" t="n">
        <f aca="false">IF(F1280-Assumptions!$E$36&lt;1,0,INDEX($C$1305:$N$1305,1,F1280-Assumptions!$E$36)*INDEX($C$1311:$N$1311,1,F1280-Assumptions!$E$36)*Assumptions!$E$32)</f>
        <v>0.059159009481235</v>
      </c>
      <c r="G1314" s="48" t="n">
        <f aca="false">IF(G1280-Assumptions!$E$36&lt;1,0,INDEX($C$1305:$N$1305,1,G1280-Assumptions!$E$36)*INDEX($C$1311:$N$1311,1,G1280-Assumptions!$E$36)*Assumptions!$E$32)</f>
        <v>0.0654760279776745</v>
      </c>
      <c r="H1314" s="48" t="n">
        <f aca="false">IF(H1280-Assumptions!$E$36&lt;1,0,INDEX($C$1305:$N$1305,1,H1280-Assumptions!$E$36)*INDEX($C$1311:$N$1311,1,H1280-Assumptions!$E$36)*Assumptions!$E$32)</f>
        <v>0.0719225868627236</v>
      </c>
      <c r="I1314" s="48" t="n">
        <f aca="false">IF(I1280-Assumptions!$E$36&lt;1,0,INDEX($C$1305:$N$1305,1,I1280-Assumptions!$E$36)*INDEX($C$1311:$N$1311,1,I1280-Assumptions!$E$36)*Assumptions!$E$32)</f>
        <v>0.0847137469805858</v>
      </c>
      <c r="J1314" s="48" t="n">
        <f aca="false">IF(J1280-Assumptions!$E$36&lt;1,0,INDEX($C$1305:$N$1305,1,J1280-Assumptions!$E$36)*INDEX($C$1311:$N$1311,1,J1280-Assumptions!$E$36)*Assumptions!$E$32)</f>
        <v>0.0968363136501272</v>
      </c>
      <c r="K1314" s="48" t="n">
        <f aca="false">IF(K1280-Assumptions!$E$36&lt;1,0,INDEX($C$1305:$N$1305,1,K1280-Assumptions!$E$36)*INDEX($C$1311:$N$1311,1,K1280-Assumptions!$E$36)*Assumptions!$E$32)</f>
        <v>0.128182132607275</v>
      </c>
      <c r="L1314" s="48" t="n">
        <f aca="false">IF(L1280-Assumptions!$E$36&lt;1,0,INDEX($C$1305:$N$1305,1,L1280-Assumptions!$E$36)*INDEX($C$1311:$N$1311,1,L1280-Assumptions!$E$36)*Assumptions!$E$32)</f>
        <v>0.157542002394725</v>
      </c>
      <c r="M1314" s="48" t="n">
        <f aca="false">IF(M1280-Assumptions!$E$36&lt;1,0,INDEX($C$1305:$N$1305,1,M1280-Assumptions!$E$36)*INDEX($C$1311:$N$1311,1,M1280-Assumptions!$E$36)*Assumptions!$E$32)</f>
        <v>0.158704651804463</v>
      </c>
      <c r="N1314" s="48" t="n">
        <f aca="false">IF(N1280-Assumptions!$E$36&lt;1,0,INDEX($C$1305:$N$1305,1,N1280-Assumptions!$E$36)*INDEX($C$1311:$N$1311,1,N1280-Assumptions!$E$36)*Assumptions!$E$32)</f>
        <v>0.153825387438891</v>
      </c>
      <c r="P1314" s="49" t="n">
        <f aca="false">SUM(C1314:F1314)</f>
        <v>0.0938333304772256</v>
      </c>
      <c r="Q1314" s="49" t="n">
        <f aca="false">SUM(G1314:J1314)</f>
        <v>0.318948675471111</v>
      </c>
      <c r="R1314" s="49" t="n">
        <f aca="false">SUM(K1314:N1314)</f>
        <v>0.598254174245354</v>
      </c>
      <c r="S1314" s="50" t="n">
        <f aca="false">SUM(P1314:R1314)</f>
        <v>1.01103618019369</v>
      </c>
    </row>
    <row r="1315" customFormat="false" ht="15" hidden="false" customHeight="false" outlineLevel="0" collapsed="false">
      <c r="A1315" s="4" t="s">
        <v>519</v>
      </c>
      <c r="B1315" s="36" t="s">
        <v>77</v>
      </c>
      <c r="C1315" s="51" t="n">
        <f aca="false">IF(C1280-Assumptions!$E$35&lt;1,0,IFERROR(INDEX($C$1304:$N$1304,1,C1280-Assumptions!$E$35)/INDEX($C$1305:$N$1305,1,C1280-Assumptions!$E$35),0))</f>
        <v>0</v>
      </c>
      <c r="D1315" s="51" t="n">
        <f aca="false">IF(D1280-Assumptions!$E$35&lt;1,0,IFERROR(INDEX($C$1304:$N$1304,1,D1280-Assumptions!$E$35)/INDEX($C$1305:$N$1305,1,D1280-Assumptions!$E$35),0))</f>
        <v>0.472033779768083</v>
      </c>
      <c r="E1315" s="51" t="n">
        <f aca="false">IF(E1280-Assumptions!$E$35&lt;1,0,IFERROR(INDEX($C$1304:$N$1304,1,E1280-Assumptions!$E$35)/INDEX($C$1305:$N$1305,1,E1280-Assumptions!$E$35),0))</f>
        <v>0.415003165472732</v>
      </c>
      <c r="F1315" s="51" t="n">
        <f aca="false">IF(F1280-Assumptions!$E$35&lt;1,0,IFERROR(INDEX($C$1304:$N$1304,1,F1280-Assumptions!$E$35)/INDEX($C$1305:$N$1305,1,F1280-Assumptions!$E$35),0))</f>
        <v>0.499952465235371</v>
      </c>
      <c r="G1315" s="51" t="n">
        <f aca="false">IF(G1280-Assumptions!$E$35&lt;1,0,IFERROR(INDEX($C$1304:$N$1304,1,G1280-Assumptions!$E$35)/INDEX($C$1305:$N$1305,1,G1280-Assumptions!$E$35),0))</f>
        <v>0.568925963128569</v>
      </c>
      <c r="H1315" s="51" t="n">
        <f aca="false">IF(H1280-Assumptions!$E$35&lt;1,0,IFERROR(INDEX($C$1304:$N$1304,1,H1280-Assumptions!$E$35)/INDEX($C$1305:$N$1305,1,H1280-Assumptions!$E$35),0))</f>
        <v>0.537122748351716</v>
      </c>
      <c r="I1315" s="51" t="n">
        <f aca="false">IF(I1280-Assumptions!$E$35&lt;1,0,IFERROR(INDEX($C$1304:$N$1304,1,I1280-Assumptions!$E$35)/INDEX($C$1305:$N$1305,1,I1280-Assumptions!$E$35),0))</f>
        <v>0.522645764035455</v>
      </c>
      <c r="J1315" s="51" t="n">
        <f aca="false">IF(J1280-Assumptions!$E$35&lt;1,0,IFERROR(INDEX($C$1304:$N$1304,1,J1280-Assumptions!$E$35)/INDEX($C$1305:$N$1305,1,J1280-Assumptions!$E$35),0))</f>
        <v>0.415211489358265</v>
      </c>
      <c r="K1315" s="51" t="n">
        <f aca="false">IF(K1280-Assumptions!$E$35&lt;1,0,IFERROR(INDEX($C$1304:$N$1304,1,K1280-Assumptions!$E$35)/INDEX($C$1305:$N$1305,1,K1280-Assumptions!$E$35),0))</f>
        <v>0.365945848099275</v>
      </c>
      <c r="L1315" s="51" t="n">
        <f aca="false">IF(L1280-Assumptions!$E$35&lt;1,0,IFERROR(INDEX($C$1304:$N$1304,1,L1280-Assumptions!$E$35)/INDEX($C$1305:$N$1305,1,L1280-Assumptions!$E$35),0))</f>
        <v>0.403627752152592</v>
      </c>
      <c r="M1315" s="51" t="n">
        <f aca="false">IF(M1280-Assumptions!$E$35&lt;1,0,IFERROR(INDEX($C$1304:$N$1304,1,M1280-Assumptions!$E$35)/INDEX($C$1305:$N$1305,1,M1280-Assumptions!$E$35),0))</f>
        <v>0.416430622607357</v>
      </c>
      <c r="N1315" s="51" t="n">
        <f aca="false">IF(N1280-Assumptions!$E$35&lt;1,0,IFERROR(INDEX($C$1304:$N$1304,1,N1280-Assumptions!$E$35)/INDEX($C$1305:$N$1305,1,N1280-Assumptions!$E$35),0))</f>
        <v>0.429096840790904</v>
      </c>
      <c r="P1315" s="52"/>
      <c r="Q1315" s="52"/>
      <c r="R1315" s="52"/>
      <c r="S1315" s="53"/>
    </row>
    <row r="1316" customFormat="false" ht="15" hidden="false" customHeight="false" outlineLevel="0" collapsed="false">
      <c r="A1316" s="4" t="s">
        <v>520</v>
      </c>
      <c r="B1316" s="36" t="s">
        <v>516</v>
      </c>
      <c r="C1316" s="48" t="n">
        <f aca="false">C1312*Assumptions!$E$37</f>
        <v>0</v>
      </c>
      <c r="D1316" s="48" t="n">
        <f aca="false">D1312*Assumptions!$E$37</f>
        <v>0.126442909667455</v>
      </c>
      <c r="E1316" s="48" t="n">
        <f aca="false">E1312*Assumptions!$E$37</f>
        <v>0.215728443326023</v>
      </c>
      <c r="F1316" s="48" t="n">
        <f aca="false">F1312*Assumptions!$E$37</f>
        <v>0.238763997481656</v>
      </c>
      <c r="G1316" s="48" t="n">
        <f aca="false">G1312*Assumptions!$E$37</f>
        <v>0.262271931865214</v>
      </c>
      <c r="H1316" s="48" t="n">
        <f aca="false">H1312*Assumptions!$E$37</f>
        <v>0.336919756512936</v>
      </c>
      <c r="I1316" s="48" t="n">
        <f aca="false">I1312*Assumptions!$E$37</f>
        <v>0.4064738243118</v>
      </c>
      <c r="J1316" s="48" t="n">
        <f aca="false">J1312*Assumptions!$E$37</f>
        <v>0.598609094337315</v>
      </c>
      <c r="K1316" s="48" t="n">
        <f aca="false">K1312*Assumptions!$E$37</f>
        <v>0.771673437721386</v>
      </c>
      <c r="L1316" s="48" t="n">
        <f aca="false">L1312*Assumptions!$E$37</f>
        <v>0.777368335927829</v>
      </c>
      <c r="M1316" s="48" t="n">
        <f aca="false">M1312*Assumptions!$E$37</f>
        <v>0.753468685997656</v>
      </c>
      <c r="N1316" s="48" t="n">
        <f aca="false">N1312*Assumptions!$E$37</f>
        <v>0.731227555641798</v>
      </c>
      <c r="P1316" s="49" t="n">
        <f aca="false">SUM(C1316:F1316)</f>
        <v>0.580935350475134</v>
      </c>
      <c r="Q1316" s="49" t="n">
        <f aca="false">SUM(G1316:J1316)</f>
        <v>1.60427460702727</v>
      </c>
      <c r="R1316" s="49" t="n">
        <f aca="false">SUM(K1316:N1316)</f>
        <v>3.03373801528867</v>
      </c>
      <c r="S1316" s="50" t="n">
        <f aca="false">SUM(P1316:R1316)</f>
        <v>5.21894797279107</v>
      </c>
    </row>
    <row r="1317" customFormat="false" ht="15" hidden="false" customHeight="false" outlineLevel="0" collapsed="false">
      <c r="A1317" s="4" t="s">
        <v>521</v>
      </c>
      <c r="B1317" s="36" t="s">
        <v>516</v>
      </c>
      <c r="C1317" s="48" t="n">
        <f aca="false">C1312*(1-Assumptions!$E$37)</f>
        <v>0</v>
      </c>
      <c r="D1317" s="48" t="n">
        <f aca="false">D1312*(1-Assumptions!$E$37)</f>
        <v>0.295033455890727</v>
      </c>
      <c r="E1317" s="48" t="n">
        <f aca="false">E1312*(1-Assumptions!$E$37)</f>
        <v>0.50336636776072</v>
      </c>
      <c r="F1317" s="48" t="n">
        <f aca="false">F1312*(1-Assumptions!$E$37)</f>
        <v>0.557115994123864</v>
      </c>
      <c r="G1317" s="48" t="n">
        <f aca="false">G1312*(1-Assumptions!$E$37)</f>
        <v>0.611967841018833</v>
      </c>
      <c r="H1317" s="48" t="n">
        <f aca="false">H1312*(1-Assumptions!$E$37)</f>
        <v>0.786146098530185</v>
      </c>
      <c r="I1317" s="48" t="n">
        <f aca="false">I1312*(1-Assumptions!$E$37)</f>
        <v>0.9484389233942</v>
      </c>
      <c r="J1317" s="48" t="n">
        <f aca="false">J1312*(1-Assumptions!$E$37)</f>
        <v>1.39675455345374</v>
      </c>
      <c r="K1317" s="48" t="n">
        <f aca="false">K1312*(1-Assumptions!$E$37)</f>
        <v>1.80057135468323</v>
      </c>
      <c r="L1317" s="48" t="n">
        <f aca="false">L1312*(1-Assumptions!$E$37)</f>
        <v>1.81385945049827</v>
      </c>
      <c r="M1317" s="48" t="n">
        <f aca="false">M1312*(1-Assumptions!$E$37)</f>
        <v>1.7580936006612</v>
      </c>
      <c r="N1317" s="48" t="n">
        <f aca="false">N1312*(1-Assumptions!$E$37)</f>
        <v>1.70619762983086</v>
      </c>
      <c r="P1317" s="49" t="n">
        <f aca="false">SUM(C1317:F1317)</f>
        <v>1.35551581777531</v>
      </c>
      <c r="Q1317" s="49" t="n">
        <f aca="false">SUM(G1317:J1317)</f>
        <v>3.74330741639695</v>
      </c>
      <c r="R1317" s="49" t="n">
        <f aca="false">SUM(K1317:N1317)</f>
        <v>7.07872203567356</v>
      </c>
      <c r="S1317" s="50" t="n">
        <f aca="false">SUM(P1317:R1317)</f>
        <v>12.1775452698458</v>
      </c>
    </row>
    <row r="1318" customFormat="false" ht="15" hidden="false" customHeight="false" outlineLevel="0" collapsed="false">
      <c r="A1318" s="4" t="s">
        <v>522</v>
      </c>
      <c r="B1318" s="36" t="s">
        <v>125</v>
      </c>
      <c r="C1318" s="54" t="n">
        <f aca="false">C1317*$C$1271+C1313*$C$1272+C1314*$C$1273</f>
        <v>0</v>
      </c>
      <c r="D1318" s="54" t="n">
        <f aca="false">D1317*$C$1271+D1313*$C$1272+D1314*$C$1273</f>
        <v>3641.5006720633</v>
      </c>
      <c r="E1318" s="54" t="n">
        <f aca="false">E1317*$C$1271+E1313*$C$1272+E1314*$C$1273</f>
        <v>8355.00420160408</v>
      </c>
      <c r="F1318" s="54" t="n">
        <f aca="false">F1317*$C$1271+F1313*$C$1272+F1314*$C$1273</f>
        <v>10531.0394769801</v>
      </c>
      <c r="G1318" s="54" t="n">
        <f aca="false">G1317*$C$1271+G1313*$C$1272+G1314*$C$1273</f>
        <v>11598.3121254943</v>
      </c>
      <c r="H1318" s="54" t="n">
        <f aca="false">H1317*$C$1271+H1313*$C$1272+H1314*$C$1273</f>
        <v>14037.977696472</v>
      </c>
      <c r="I1318" s="54" t="n">
        <f aca="false">I1317*$C$1271+I1313*$C$1272+I1314*$C$1273</f>
        <v>16733.1851173224</v>
      </c>
      <c r="J1318" s="54" t="n">
        <f aca="false">J1317*$C$1271+J1313*$C$1272+J1314*$C$1273</f>
        <v>22355.8020718193</v>
      </c>
      <c r="K1318" s="54" t="n">
        <f aca="false">K1317*$C$1271+K1313*$C$1272+K1314*$C$1273</f>
        <v>28726.0870296915</v>
      </c>
      <c r="L1318" s="54" t="n">
        <f aca="false">L1317*$C$1271+L1313*$C$1272+L1314*$C$1273</f>
        <v>30693.444464022</v>
      </c>
      <c r="M1318" s="54" t="n">
        <f aca="false">M1317*$C$1271+M1313*$C$1272+M1314*$C$1273</f>
        <v>30120.846460584</v>
      </c>
      <c r="N1318" s="54" t="n">
        <f aca="false">N1317*$C$1271+N1313*$C$1272+N1314*$C$1273</f>
        <v>29219.7094858406</v>
      </c>
      <c r="P1318" s="55" t="n">
        <f aca="false">SUM(C1318:F1318)</f>
        <v>22527.5443506475</v>
      </c>
      <c r="Q1318" s="55" t="n">
        <f aca="false">SUM(G1318:J1318)</f>
        <v>64725.2770111081</v>
      </c>
      <c r="R1318" s="55" t="n">
        <f aca="false">SUM(K1318:N1318)</f>
        <v>118760.087440138</v>
      </c>
      <c r="S1318" s="56" t="n">
        <f aca="false">SUM(P1318:R1318)</f>
        <v>206012.908801894</v>
      </c>
    </row>
    <row r="1319" customFormat="false" ht="15" hidden="false" customHeight="false" outlineLevel="0" collapsed="false">
      <c r="A1319" s="4" t="s">
        <v>523</v>
      </c>
      <c r="B1319" s="36" t="s">
        <v>125</v>
      </c>
      <c r="C1319" s="54" t="n">
        <f aca="false">(C1295+Assumptions!$F$104*C1281)*$C$1276</f>
        <v>306250</v>
      </c>
      <c r="D1319" s="54" t="n">
        <f aca="false">(D1295+Assumptions!$F$104*D1281)*$C$1276</f>
        <v>306250</v>
      </c>
      <c r="E1319" s="54" t="n">
        <f aca="false">(E1295+Assumptions!$F$104*E1281)*$C$1276</f>
        <v>306250</v>
      </c>
      <c r="F1319" s="54" t="n">
        <f aca="false">(F1295+Assumptions!$F$104*F1281)*$C$1276</f>
        <v>306250</v>
      </c>
      <c r="G1319" s="54" t="n">
        <f aca="false">(G1295+Assumptions!$F$104*G1281)*$C$1276</f>
        <v>306250</v>
      </c>
      <c r="H1319" s="54" t="n">
        <f aca="false">(H1295+Assumptions!$F$104*H1281)*$C$1276</f>
        <v>306250</v>
      </c>
      <c r="I1319" s="54" t="n">
        <f aca="false">(I1295+Assumptions!$F$104*I1281)*$C$1276</f>
        <v>306250</v>
      </c>
      <c r="J1319" s="54" t="n">
        <f aca="false">(J1295+Assumptions!$F$104*J1281)*$C$1276</f>
        <v>306250</v>
      </c>
      <c r="K1319" s="54" t="n">
        <f aca="false">(K1295+Assumptions!$F$104*K1281)*$C$1276</f>
        <v>306250</v>
      </c>
      <c r="L1319" s="54" t="n">
        <f aca="false">(L1295+Assumptions!$F$104*L1281)*$C$1276</f>
        <v>306250</v>
      </c>
      <c r="M1319" s="54" t="n">
        <f aca="false">(M1295+Assumptions!$F$104*M1281)*$C$1276</f>
        <v>306250</v>
      </c>
      <c r="N1319" s="54" t="n">
        <f aca="false">(N1295+Assumptions!$F$104*N1281)*$C$1276</f>
        <v>306250</v>
      </c>
      <c r="P1319" s="55" t="n">
        <f aca="false">SUM(C1319:F1319)</f>
        <v>1225000</v>
      </c>
      <c r="Q1319" s="55" t="n">
        <f aca="false">SUM(G1319:J1319)</f>
        <v>1225000</v>
      </c>
      <c r="R1319" s="55" t="n">
        <f aca="false">SUM(K1319:N1319)</f>
        <v>1225000</v>
      </c>
      <c r="S1319" s="56" t="n">
        <f aca="false">SUM(P1319:R1319)</f>
        <v>3675000</v>
      </c>
    </row>
    <row r="1320" customFormat="false" ht="15" hidden="false" customHeight="false" outlineLevel="0" collapsed="false">
      <c r="A1320" s="4" t="s">
        <v>524</v>
      </c>
      <c r="B1320" s="36" t="s">
        <v>77</v>
      </c>
      <c r="C1320" s="51" t="n">
        <f aca="false">IF(C1318&gt;0,MIN(1,C1319/C1318),1)</f>
        <v>1</v>
      </c>
      <c r="D1320" s="51" t="n">
        <f aca="false">IF(D1318&gt;0,MIN(1,D1319/D1318),1)</f>
        <v>1</v>
      </c>
      <c r="E1320" s="51" t="n">
        <f aca="false">IF(E1318&gt;0,MIN(1,E1319/E1318),1)</f>
        <v>1</v>
      </c>
      <c r="F1320" s="51" t="n">
        <f aca="false">IF(F1318&gt;0,MIN(1,F1319/F1318),1)</f>
        <v>1</v>
      </c>
      <c r="G1320" s="51" t="n">
        <f aca="false">IF(G1318&gt;0,MIN(1,G1319/G1318),1)</f>
        <v>1</v>
      </c>
      <c r="H1320" s="51" t="n">
        <f aca="false">IF(H1318&gt;0,MIN(1,H1319/H1318),1)</f>
        <v>1</v>
      </c>
      <c r="I1320" s="51" t="n">
        <f aca="false">IF(I1318&gt;0,MIN(1,I1319/I1318),1)</f>
        <v>1</v>
      </c>
      <c r="J1320" s="51" t="n">
        <f aca="false">IF(J1318&gt;0,MIN(1,J1319/J1318),1)</f>
        <v>1</v>
      </c>
      <c r="K1320" s="51" t="n">
        <f aca="false">IF(K1318&gt;0,MIN(1,K1319/K1318),1)</f>
        <v>1</v>
      </c>
      <c r="L1320" s="51" t="n">
        <f aca="false">IF(L1318&gt;0,MIN(1,L1319/L1318),1)</f>
        <v>1</v>
      </c>
      <c r="M1320" s="51" t="n">
        <f aca="false">IF(M1318&gt;0,MIN(1,M1319/M1318),1)</f>
        <v>1</v>
      </c>
      <c r="N1320" s="51" t="n">
        <f aca="false">IF(N1318&gt;0,MIN(1,N1319/N1318),1)</f>
        <v>1</v>
      </c>
      <c r="P1320" s="52"/>
      <c r="Q1320" s="52"/>
      <c r="R1320" s="52"/>
      <c r="S1320" s="53"/>
    </row>
    <row r="1321" customFormat="false" ht="15" hidden="false" customHeight="false" outlineLevel="0" collapsed="false">
      <c r="A1321" s="4" t="s">
        <v>525</v>
      </c>
      <c r="B1321" s="36" t="s">
        <v>125</v>
      </c>
      <c r="C1321" s="54" t="n">
        <f aca="false">C1318*(1-C1320)</f>
        <v>0</v>
      </c>
      <c r="D1321" s="54" t="n">
        <f aca="false">D1318*(1-D1320)</f>
        <v>0</v>
      </c>
      <c r="E1321" s="54" t="n">
        <f aca="false">E1318*(1-E1320)</f>
        <v>0</v>
      </c>
      <c r="F1321" s="54" t="n">
        <f aca="false">F1318*(1-F1320)</f>
        <v>0</v>
      </c>
      <c r="G1321" s="54" t="n">
        <f aca="false">G1318*(1-G1320)</f>
        <v>0</v>
      </c>
      <c r="H1321" s="54" t="n">
        <f aca="false">H1318*(1-H1320)</f>
        <v>0</v>
      </c>
      <c r="I1321" s="54" t="n">
        <f aca="false">I1318*(1-I1320)</f>
        <v>0</v>
      </c>
      <c r="J1321" s="54" t="n">
        <f aca="false">J1318*(1-J1320)</f>
        <v>0</v>
      </c>
      <c r="K1321" s="54" t="n">
        <f aca="false">K1318*(1-K1320)</f>
        <v>0</v>
      </c>
      <c r="L1321" s="54" t="n">
        <f aca="false">L1318*(1-L1320)</f>
        <v>0</v>
      </c>
      <c r="M1321" s="54" t="n">
        <f aca="false">M1318*(1-M1320)</f>
        <v>0</v>
      </c>
      <c r="N1321" s="54" t="n">
        <f aca="false">N1318*(1-N1320)</f>
        <v>0</v>
      </c>
      <c r="P1321" s="55" t="n">
        <f aca="false">SUM(C1321:F1321)</f>
        <v>0</v>
      </c>
      <c r="Q1321" s="55" t="n">
        <f aca="false">SUM(G1321:J1321)</f>
        <v>0</v>
      </c>
      <c r="R1321" s="55" t="n">
        <f aca="false">SUM(K1321:N1321)</f>
        <v>0</v>
      </c>
      <c r="S1321" s="56" t="n">
        <f aca="false">SUM(P1321:R1321)</f>
        <v>0</v>
      </c>
    </row>
    <row r="1322" customFormat="false" ht="15" hidden="false" customHeight="false" outlineLevel="0" collapsed="false">
      <c r="A1322" s="4" t="s">
        <v>526</v>
      </c>
      <c r="B1322" s="36" t="s">
        <v>527</v>
      </c>
      <c r="C1322" s="48" t="n">
        <f aca="false">C1316+C1317*C1320</f>
        <v>0</v>
      </c>
      <c r="D1322" s="48" t="n">
        <f aca="false">D1316+D1317*D1320</f>
        <v>0.421476365558182</v>
      </c>
      <c r="E1322" s="48" t="n">
        <f aca="false">E1316+E1317*E1320</f>
        <v>0.719094811086743</v>
      </c>
      <c r="F1322" s="48" t="n">
        <f aca="false">F1316+F1317*F1320</f>
        <v>0.79587999160552</v>
      </c>
      <c r="G1322" s="48" t="n">
        <f aca="false">G1316+G1317*G1320</f>
        <v>0.874239772884047</v>
      </c>
      <c r="H1322" s="48" t="n">
        <f aca="false">H1316+H1317*H1320</f>
        <v>1.12306585504312</v>
      </c>
      <c r="I1322" s="48" t="n">
        <f aca="false">I1316+I1317*I1320</f>
        <v>1.354912747706</v>
      </c>
      <c r="J1322" s="48" t="n">
        <f aca="false">J1316+J1317*J1320</f>
        <v>1.99536364779105</v>
      </c>
      <c r="K1322" s="48" t="n">
        <f aca="false">K1316+K1317*K1320</f>
        <v>2.57224479240462</v>
      </c>
      <c r="L1322" s="48" t="n">
        <f aca="false">L1316+L1317*L1320</f>
        <v>2.5912277864261</v>
      </c>
      <c r="M1322" s="48" t="n">
        <f aca="false">M1316+M1317*M1320</f>
        <v>2.51156228665885</v>
      </c>
      <c r="N1322" s="48" t="n">
        <f aca="false">N1316+N1317*N1320</f>
        <v>2.43742518547266</v>
      </c>
      <c r="P1322" s="49" t="n">
        <f aca="false">SUM(C1322:F1322)</f>
        <v>1.93645116825044</v>
      </c>
      <c r="Q1322" s="49" t="n">
        <f aca="false">SUM(G1322:J1322)</f>
        <v>5.34758202342422</v>
      </c>
      <c r="R1322" s="49" t="n">
        <f aca="false">SUM(K1322:N1322)</f>
        <v>10.1124600509622</v>
      </c>
      <c r="S1322" s="50" t="n">
        <f aca="false">SUM(P1322:R1322)</f>
        <v>17.3964932426369</v>
      </c>
    </row>
    <row r="1323" customFormat="false" ht="15" hidden="false" customHeight="false" outlineLevel="0" collapsed="false">
      <c r="A1323" s="4" t="s">
        <v>528</v>
      </c>
      <c r="B1323" s="36" t="s">
        <v>527</v>
      </c>
      <c r="C1323" s="48" t="n">
        <f aca="false">C1313*C1320</f>
        <v>0</v>
      </c>
      <c r="D1323" s="48" t="n">
        <f aca="false">D1313*D1320</f>
        <v>0.211174436140995</v>
      </c>
      <c r="E1323" s="48" t="n">
        <f aca="false">E1313*E1320</f>
        <v>0.360291711878198</v>
      </c>
      <c r="F1323" s="48" t="n">
        <f aca="false">F1313*F1320</f>
        <v>0.398763779412905</v>
      </c>
      <c r="G1323" s="48" t="n">
        <f aca="false">G1313*G1320</f>
        <v>0.43802477713388</v>
      </c>
      <c r="H1323" s="48" t="n">
        <f aca="false">H1313*H1320</f>
        <v>0.551594773572837</v>
      </c>
      <c r="I1323" s="48" t="n">
        <f aca="false">I1313*I1320</f>
        <v>0.65771030073144</v>
      </c>
      <c r="J1323" s="48" t="n">
        <f aca="false">J1313*J1320</f>
        <v>0.911052327537965</v>
      </c>
      <c r="K1323" s="48" t="n">
        <f aca="false">K1313*K1320</f>
        <v>1.1437371360295</v>
      </c>
      <c r="L1323" s="48" t="n">
        <f aca="false">L1313*L1320</f>
        <v>1.15217783937138</v>
      </c>
      <c r="M1323" s="48" t="n">
        <f aca="false">M1313*M1320</f>
        <v>1.11675493140664</v>
      </c>
      <c r="N1323" s="48" t="n">
        <f aca="false">N1313*N1320</f>
        <v>1.08379020113112</v>
      </c>
      <c r="P1323" s="49" t="n">
        <f aca="false">SUM(C1323:F1323)</f>
        <v>0.970229927432099</v>
      </c>
      <c r="Q1323" s="49" t="n">
        <f aca="false">SUM(G1323:J1323)</f>
        <v>2.55838217897612</v>
      </c>
      <c r="R1323" s="49" t="n">
        <f aca="false">SUM(K1323:N1323)</f>
        <v>4.49646010793864</v>
      </c>
      <c r="S1323" s="50" t="n">
        <f aca="false">SUM(P1323:R1323)</f>
        <v>8.02507221434686</v>
      </c>
    </row>
    <row r="1324" customFormat="false" ht="15" hidden="false" customHeight="false" outlineLevel="0" collapsed="false">
      <c r="A1324" s="4" t="s">
        <v>529</v>
      </c>
      <c r="B1324" s="36" t="s">
        <v>527</v>
      </c>
      <c r="C1324" s="48" t="n">
        <f aca="false">C1314*C1320</f>
        <v>0</v>
      </c>
      <c r="D1324" s="48" t="n">
        <f aca="false">D1314*D1320</f>
        <v>0</v>
      </c>
      <c r="E1324" s="48" t="n">
        <f aca="false">E1314*E1320</f>
        <v>0.0346743209959906</v>
      </c>
      <c r="F1324" s="48" t="n">
        <f aca="false">F1314*F1320</f>
        <v>0.059159009481235</v>
      </c>
      <c r="G1324" s="48" t="n">
        <f aca="false">G1314*G1320</f>
        <v>0.0654760279776745</v>
      </c>
      <c r="H1324" s="48" t="n">
        <f aca="false">H1314*H1320</f>
        <v>0.0719225868627236</v>
      </c>
      <c r="I1324" s="48" t="n">
        <f aca="false">I1314*I1320</f>
        <v>0.0847137469805858</v>
      </c>
      <c r="J1324" s="48" t="n">
        <f aca="false">J1314*J1320</f>
        <v>0.0968363136501272</v>
      </c>
      <c r="K1324" s="48" t="n">
        <f aca="false">K1314*K1320</f>
        <v>0.128182132607275</v>
      </c>
      <c r="L1324" s="48" t="n">
        <f aca="false">L1314*L1320</f>
        <v>0.157542002394725</v>
      </c>
      <c r="M1324" s="48" t="n">
        <f aca="false">M1314*M1320</f>
        <v>0.158704651804463</v>
      </c>
      <c r="N1324" s="48" t="n">
        <f aca="false">N1314*N1320</f>
        <v>0.153825387438891</v>
      </c>
      <c r="P1324" s="49" t="n">
        <f aca="false">SUM(C1324:F1324)</f>
        <v>0.0938333304772256</v>
      </c>
      <c r="Q1324" s="49" t="n">
        <f aca="false">SUM(G1324:J1324)</f>
        <v>0.318948675471111</v>
      </c>
      <c r="R1324" s="49" t="n">
        <f aca="false">SUM(K1324:N1324)</f>
        <v>0.598254174245354</v>
      </c>
      <c r="S1324" s="50" t="n">
        <f aca="false">SUM(P1324:R1324)</f>
        <v>1.01103618019369</v>
      </c>
    </row>
    <row r="1325" customFormat="false" ht="15" hidden="false" customHeight="false" outlineLevel="0" collapsed="false">
      <c r="A1325" s="9" t="s">
        <v>530</v>
      </c>
      <c r="B1325" s="36" t="s">
        <v>527</v>
      </c>
      <c r="C1325" s="49" t="n">
        <f aca="false">C1322+C1323+C1324</f>
        <v>0</v>
      </c>
      <c r="D1325" s="49" t="n">
        <f aca="false">D1322+D1323+D1324</f>
        <v>0.632650801699177</v>
      </c>
      <c r="E1325" s="49" t="n">
        <f aca="false">E1322+E1323+E1324</f>
        <v>1.11406084396093</v>
      </c>
      <c r="F1325" s="49" t="n">
        <f aca="false">F1322+F1323+F1324</f>
        <v>1.25380278049966</v>
      </c>
      <c r="G1325" s="49" t="n">
        <f aca="false">G1322+G1323+G1324</f>
        <v>1.3777405779956</v>
      </c>
      <c r="H1325" s="49" t="n">
        <f aca="false">H1322+H1323+H1324</f>
        <v>1.74658321547868</v>
      </c>
      <c r="I1325" s="49" t="n">
        <f aca="false">I1322+I1323+I1324</f>
        <v>2.09733679541803</v>
      </c>
      <c r="J1325" s="49" t="n">
        <f aca="false">J1322+J1323+J1324</f>
        <v>3.00325228897914</v>
      </c>
      <c r="K1325" s="49" t="n">
        <f aca="false">K1322+K1323+K1324</f>
        <v>3.8441640610414</v>
      </c>
      <c r="L1325" s="49" t="n">
        <f aca="false">L1322+L1323+L1324</f>
        <v>3.9009476281922</v>
      </c>
      <c r="M1325" s="49" t="n">
        <f aca="false">M1322+M1323+M1324</f>
        <v>3.78702186986995</v>
      </c>
      <c r="N1325" s="49" t="n">
        <f aca="false">N1322+N1323+N1324</f>
        <v>3.67504077404267</v>
      </c>
      <c r="P1325" s="49" t="n">
        <f aca="false">SUM(C1325:F1325)</f>
        <v>3.00051442615977</v>
      </c>
      <c r="Q1325" s="49" t="n">
        <f aca="false">SUM(G1325:J1325)</f>
        <v>8.22491287787145</v>
      </c>
      <c r="R1325" s="49" t="n">
        <f aca="false">SUM(K1325:N1325)</f>
        <v>15.2071743331462</v>
      </c>
      <c r="S1325" s="50" t="n">
        <f aca="false">SUM(P1325:R1325)</f>
        <v>26.4326016371775</v>
      </c>
    </row>
    <row r="1326" customFormat="false" ht="15" hidden="false" customHeight="false" outlineLevel="0" collapsed="false">
      <c r="A1326" s="35" t="s">
        <v>533</v>
      </c>
      <c r="B1326" s="35" t="s">
        <v>444</v>
      </c>
      <c r="C1326" s="6" t="s">
        <v>354</v>
      </c>
      <c r="D1326" s="6" t="s">
        <v>355</v>
      </c>
      <c r="E1326" s="6" t="s">
        <v>356</v>
      </c>
      <c r="F1326" s="6" t="s">
        <v>357</v>
      </c>
      <c r="G1326" s="6" t="s">
        <v>358</v>
      </c>
      <c r="H1326" s="6" t="s">
        <v>359</v>
      </c>
      <c r="I1326" s="6" t="s">
        <v>360</v>
      </c>
      <c r="J1326" s="6" t="s">
        <v>361</v>
      </c>
      <c r="K1326" s="6" t="s">
        <v>362</v>
      </c>
      <c r="L1326" s="6" t="s">
        <v>363</v>
      </c>
      <c r="M1326" s="6" t="s">
        <v>364</v>
      </c>
      <c r="N1326" s="6" t="s">
        <v>365</v>
      </c>
      <c r="P1326" s="6" t="s">
        <v>445</v>
      </c>
      <c r="Q1326" s="6" t="s">
        <v>446</v>
      </c>
      <c r="R1326" s="6" t="s">
        <v>447</v>
      </c>
      <c r="S1326" s="6" t="s">
        <v>448</v>
      </c>
    </row>
    <row r="1327" customFormat="false" ht="15" hidden="false" customHeight="false" outlineLevel="0" collapsed="false">
      <c r="A1327" s="4" t="s">
        <v>534</v>
      </c>
      <c r="B1327" s="36" t="s">
        <v>527</v>
      </c>
      <c r="C1327" s="48" t="n">
        <f aca="false">0*Assumptions!$E$59^(1/4)+C1322</f>
        <v>0</v>
      </c>
      <c r="D1327" s="48" t="n">
        <f aca="false">C1327*Assumptions!$E$59^(1/4)+D1322</f>
        <v>0.421476365558182</v>
      </c>
      <c r="E1327" s="48" t="n">
        <f aca="false">D1327*Assumptions!$E$59^(1/4)+E1322</f>
        <v>1.127314450222</v>
      </c>
      <c r="F1327" s="48" t="n">
        <f aca="false">E1327*Assumptions!$E$59^(1/4)+F1322</f>
        <v>1.88773693938983</v>
      </c>
      <c r="G1327" s="48" t="n">
        <f aca="false">F1327*Assumptions!$E$59^(1/4)+G1322</f>
        <v>2.70260158662287</v>
      </c>
      <c r="H1327" s="48" t="n">
        <f aca="false">G1327*Assumptions!$E$59^(1/4)+H1322</f>
        <v>3.74066231969056</v>
      </c>
      <c r="I1327" s="48" t="n">
        <f aca="false">H1327*Assumptions!$E$59^(1/4)+I1322</f>
        <v>4.97791974656493</v>
      </c>
      <c r="J1327" s="48" t="n">
        <f aca="false">I1327*Assumptions!$E$59^(1/4)+J1322</f>
        <v>6.81671252673898</v>
      </c>
      <c r="K1327" s="48" t="n">
        <f aca="false">J1327*Assumptions!$E$59^(1/4)+K1322</f>
        <v>9.17455077003366</v>
      </c>
      <c r="L1327" s="48" t="n">
        <f aca="false">K1327*Assumptions!$E$59^(1/4)+L1322</f>
        <v>11.4772107515948</v>
      </c>
      <c r="M1327" s="48" t="n">
        <f aca="false">L1327*Assumptions!$E$59^(1/4)+M1322</f>
        <v>13.6277795034662</v>
      </c>
      <c r="N1327" s="48" t="n">
        <f aca="false">M1327*Assumptions!$E$59^(1/4)+N1322</f>
        <v>15.6365691606093</v>
      </c>
      <c r="P1327" s="49" t="n">
        <f aca="false">F1327</f>
        <v>1.88773693938983</v>
      </c>
      <c r="Q1327" s="49" t="n">
        <f aca="false">J1327</f>
        <v>6.81671252673898</v>
      </c>
      <c r="R1327" s="49" t="n">
        <f aca="false">N1327</f>
        <v>15.6365691606093</v>
      </c>
      <c r="S1327" s="50" t="n">
        <f aca="false">R1327</f>
        <v>15.6365691606093</v>
      </c>
    </row>
    <row r="1328" customFormat="false" ht="15" hidden="false" customHeight="false" outlineLevel="0" collapsed="false">
      <c r="A1328" s="4" t="s">
        <v>535</v>
      </c>
      <c r="B1328" s="36" t="s">
        <v>527</v>
      </c>
      <c r="C1328" s="48" t="n">
        <f aca="false">0*Assumptions!$E$60^(1/4)+C1323</f>
        <v>0</v>
      </c>
      <c r="D1328" s="48" t="n">
        <f aca="false">C1328*Assumptions!$E$60^(1/4)+D1323</f>
        <v>0.211174436140995</v>
      </c>
      <c r="E1328" s="48" t="n">
        <f aca="false">D1328*Assumptions!$E$60^(1/4)+E1323</f>
        <v>0.565976403828777</v>
      </c>
      <c r="F1328" s="48" t="n">
        <f aca="false">E1328*Assumptions!$E$60^(1/4)+F1323</f>
        <v>0.950026917130451</v>
      </c>
      <c r="G1328" s="48" t="n">
        <f aca="false">F1328*Assumptions!$E$60^(1/4)+G1323</f>
        <v>1.36335455362381</v>
      </c>
      <c r="H1328" s="48" t="n">
        <f aca="false">G1328*Assumptions!$E$60^(1/4)+H1323</f>
        <v>1.87950721650842</v>
      </c>
      <c r="I1328" s="48" t="n">
        <f aca="false">H1328*Assumptions!$E$60^(1/4)+I1323</f>
        <v>2.48835737104402</v>
      </c>
      <c r="J1328" s="48" t="n">
        <f aca="false">I1328*Assumptions!$E$60^(1/4)+J1323</f>
        <v>3.33472172937985</v>
      </c>
      <c r="K1328" s="48" t="n">
        <f aca="false">J1328*Assumptions!$E$60^(1/4)+K1323</f>
        <v>4.39176859373132</v>
      </c>
      <c r="L1328" s="48" t="n">
        <f aca="false">K1328*Assumptions!$E$60^(1/4)+L1323</f>
        <v>5.42977690309864</v>
      </c>
      <c r="M1328" s="48" t="n">
        <f aca="false">L1328*Assumptions!$E$60^(1/4)+M1323</f>
        <v>6.40537797727826</v>
      </c>
      <c r="N1328" s="48" t="n">
        <f aca="false">M1328*Assumptions!$E$60^(1/4)+N1323</f>
        <v>7.32265234827023</v>
      </c>
      <c r="P1328" s="49" t="n">
        <f aca="false">F1328</f>
        <v>0.950026917130451</v>
      </c>
      <c r="Q1328" s="49" t="n">
        <f aca="false">J1328</f>
        <v>3.33472172937985</v>
      </c>
      <c r="R1328" s="49" t="n">
        <f aca="false">N1328</f>
        <v>7.32265234827023</v>
      </c>
      <c r="S1328" s="50" t="n">
        <f aca="false">R1328</f>
        <v>7.32265234827023</v>
      </c>
    </row>
    <row r="1329" customFormat="false" ht="15" hidden="false" customHeight="false" outlineLevel="0" collapsed="false">
      <c r="A1329" s="4" t="s">
        <v>536</v>
      </c>
      <c r="B1329" s="36" t="s">
        <v>527</v>
      </c>
      <c r="C1329" s="48" t="n">
        <f aca="false">0*Assumptions!$E$61^(1/4)+C1324</f>
        <v>0</v>
      </c>
      <c r="D1329" s="48" t="n">
        <f aca="false">C1329*Assumptions!$E$61^(1/4)+D1324</f>
        <v>0</v>
      </c>
      <c r="E1329" s="48" t="n">
        <f aca="false">D1329*Assumptions!$E$61^(1/4)+E1324</f>
        <v>0.0346743209959906</v>
      </c>
      <c r="F1329" s="48" t="n">
        <f aca="false">E1329*Assumptions!$E$61^(1/4)+F1324</f>
        <v>0.0931180117641435</v>
      </c>
      <c r="G1329" s="48" t="n">
        <f aca="false">F1329*Assumptions!$E$61^(1/4)+G1324</f>
        <v>0.156673048805973</v>
      </c>
      <c r="H1329" s="48" t="n">
        <f aca="false">G1329*Assumptions!$E$61^(1/4)+H1324</f>
        <v>0.225363527283373</v>
      </c>
      <c r="I1329" s="48" t="n">
        <f aca="false">H1329*Assumptions!$E$61^(1/4)+I1324</f>
        <v>0.305428106127959</v>
      </c>
      <c r="J1329" s="48" t="n">
        <f aca="false">I1329*Assumptions!$E$61^(1/4)+J1324</f>
        <v>0.395963548310702</v>
      </c>
      <c r="K1329" s="48" t="n">
        <f aca="false">J1329*Assumptions!$E$61^(1/4)+K1324</f>
        <v>0.515977095992037</v>
      </c>
      <c r="L1329" s="48" t="n">
        <f aca="false">K1329*Assumptions!$E$61^(1/4)+L1324</f>
        <v>0.662874677337319</v>
      </c>
      <c r="M1329" s="48" t="n">
        <f aca="false">L1329*Assumptions!$E$61^(1/4)+M1324</f>
        <v>0.807904464068505</v>
      </c>
      <c r="N1329" s="48" t="n">
        <f aca="false">M1329*Assumptions!$E$61^(1/4)+N1324</f>
        <v>0.945063074338274</v>
      </c>
      <c r="P1329" s="49" t="n">
        <f aca="false">F1329</f>
        <v>0.0931180117641435</v>
      </c>
      <c r="Q1329" s="49" t="n">
        <f aca="false">J1329</f>
        <v>0.395963548310702</v>
      </c>
      <c r="R1329" s="49" t="n">
        <f aca="false">N1329</f>
        <v>0.945063074338274</v>
      </c>
      <c r="S1329" s="50" t="n">
        <f aca="false">R1329</f>
        <v>0.945063074338274</v>
      </c>
    </row>
    <row r="1330" customFormat="false" ht="15" hidden="false" customHeight="false" outlineLevel="0" collapsed="false">
      <c r="A1330" s="9" t="s">
        <v>537</v>
      </c>
      <c r="B1330" s="36" t="s">
        <v>527</v>
      </c>
      <c r="C1330" s="49" t="n">
        <f aca="false">C1327+C1328+C1329</f>
        <v>0</v>
      </c>
      <c r="D1330" s="49" t="n">
        <f aca="false">D1327+D1328+D1329</f>
        <v>0.632650801699177</v>
      </c>
      <c r="E1330" s="49" t="n">
        <f aca="false">E1327+E1328+E1329</f>
        <v>1.72796517504676</v>
      </c>
      <c r="F1330" s="49" t="n">
        <f aca="false">F1327+F1328+F1329</f>
        <v>2.93088186828442</v>
      </c>
      <c r="G1330" s="49" t="n">
        <f aca="false">G1327+G1328+G1329</f>
        <v>4.22262918905265</v>
      </c>
      <c r="H1330" s="49" t="n">
        <f aca="false">H1327+H1328+H1329</f>
        <v>5.84553306348235</v>
      </c>
      <c r="I1330" s="49" t="n">
        <f aca="false">I1327+I1328+I1329</f>
        <v>7.77170522373692</v>
      </c>
      <c r="J1330" s="49" t="n">
        <f aca="false">J1327+J1328+J1329</f>
        <v>10.5473978044295</v>
      </c>
      <c r="K1330" s="49" t="n">
        <f aca="false">K1327+K1328+K1329</f>
        <v>14.082296459757</v>
      </c>
      <c r="L1330" s="49" t="n">
        <f aca="false">L1327+L1328+L1329</f>
        <v>17.5698623320307</v>
      </c>
      <c r="M1330" s="49" t="n">
        <f aca="false">M1327+M1328+M1329</f>
        <v>20.841061944813</v>
      </c>
      <c r="N1330" s="49" t="n">
        <f aca="false">N1327+N1328+N1329</f>
        <v>23.9042845832178</v>
      </c>
      <c r="P1330" s="49" t="n">
        <f aca="false">F1330</f>
        <v>2.93088186828442</v>
      </c>
      <c r="Q1330" s="49" t="n">
        <f aca="false">J1330</f>
        <v>10.5473978044295</v>
      </c>
      <c r="R1330" s="49" t="n">
        <f aca="false">N1330</f>
        <v>23.9042845832178</v>
      </c>
      <c r="S1330" s="50" t="n">
        <f aca="false">R1330</f>
        <v>23.9042845832178</v>
      </c>
    </row>
    <row r="1331" customFormat="false" ht="15" hidden="false" customHeight="false" outlineLevel="0" collapsed="false">
      <c r="A1331" s="4" t="s">
        <v>538</v>
      </c>
      <c r="B1331" s="36" t="s">
        <v>125</v>
      </c>
      <c r="C1331" s="54" t="n">
        <f aca="false">0*Assumptions!$E$62^(1/4)+C1322*$C$1271</f>
        <v>0</v>
      </c>
      <c r="D1331" s="54" t="n">
        <f aca="false">C1331*Assumptions!$E$62^(1/4)+D1322*$C$1271</f>
        <v>2255.74150846739</v>
      </c>
      <c r="E1331" s="54" t="n">
        <f aca="false">D1331*Assumptions!$E$62^(1/4)+E1322*$C$1271</f>
        <v>6104.33693740364</v>
      </c>
      <c r="F1331" s="54" t="n">
        <f aca="false">E1331*Assumptions!$E$62^(1/4)+F1322*$C$1271</f>
        <v>10363.8866524764</v>
      </c>
      <c r="G1331" s="54" t="n">
        <f aca="false">F1331*Assumptions!$E$62^(1/4)+G1322*$C$1271</f>
        <v>15042.8179169518</v>
      </c>
      <c r="H1331" s="54" t="n">
        <f aca="false">G1331*Assumptions!$E$62^(1/4)+H1322*$C$1271</f>
        <v>21053.4663731426</v>
      </c>
      <c r="I1331" s="54" t="n">
        <f aca="false">H1331*Assumptions!$E$62^(1/4)+I1322*$C$1271</f>
        <v>28304.9593988651</v>
      </c>
      <c r="J1331" s="54" t="n">
        <f aca="false">I1331*Assumptions!$E$62^(1/4)+J1322*$C$1271</f>
        <v>38984.1456418428</v>
      </c>
      <c r="K1331" s="54" t="n">
        <f aca="false">J1331*Assumptions!$E$62^(1/4)+K1322*$C$1271</f>
        <v>52750.7997707923</v>
      </c>
      <c r="L1331" s="54" t="n">
        <f aca="false">K1331*Assumptions!$E$62^(1/4)+L1322*$C$1271</f>
        <v>66619.0508837448</v>
      </c>
      <c r="M1331" s="54" t="n">
        <f aca="false">L1331*Assumptions!$E$62^(1/4)+M1322*$C$1271</f>
        <v>80060.932241943</v>
      </c>
      <c r="N1331" s="54" t="n">
        <f aca="false">M1331*Assumptions!$E$62^(1/4)+N1322*$C$1271</f>
        <v>93106.0318345927</v>
      </c>
      <c r="P1331" s="55" t="n">
        <f aca="false">F1331</f>
        <v>10363.8866524764</v>
      </c>
      <c r="Q1331" s="55" t="n">
        <f aca="false">J1331</f>
        <v>38984.1456418428</v>
      </c>
      <c r="R1331" s="55" t="n">
        <f aca="false">N1331</f>
        <v>93106.0318345927</v>
      </c>
      <c r="S1331" s="56" t="n">
        <f aca="false">R1331</f>
        <v>93106.0318345927</v>
      </c>
    </row>
    <row r="1332" customFormat="false" ht="15" hidden="false" customHeight="false" outlineLevel="0" collapsed="false">
      <c r="A1332" s="4" t="s">
        <v>539</v>
      </c>
      <c r="B1332" s="36" t="s">
        <v>125</v>
      </c>
      <c r="C1332" s="54" t="n">
        <f aca="false">0*Assumptions!$E$63^(1/4)+C1323*$C$1272</f>
        <v>0</v>
      </c>
      <c r="D1332" s="54" t="n">
        <f aca="false">C1332*Assumptions!$E$63^(1/4)+D1323*$C$1272</f>
        <v>2062.48161613613</v>
      </c>
      <c r="E1332" s="54" t="n">
        <f aca="false">D1332*Assumptions!$E$63^(1/4)+E1323*$C$1272</f>
        <v>5611.61446872034</v>
      </c>
      <c r="F1332" s="54" t="n">
        <f aca="false">E1332*Assumptions!$E$63^(1/4)+F1323*$C$1272</f>
        <v>9588.57266720144</v>
      </c>
      <c r="G1332" s="54" t="n">
        <f aca="false">F1332*Assumptions!$E$63^(1/4)+G1323*$C$1272</f>
        <v>14007.3393152226</v>
      </c>
      <c r="H1332" s="54" t="n">
        <f aca="false">G1332*Assumptions!$E$63^(1/4)+H1323*$C$1272</f>
        <v>19600.1526355346</v>
      </c>
      <c r="I1332" s="54" t="n">
        <f aca="false">H1332*Assumptions!$E$63^(1/4)+I1323*$C$1272</f>
        <v>26311.4346932321</v>
      </c>
      <c r="J1332" s="54" t="n">
        <f aca="false">I1332*Assumptions!$E$63^(1/4)+J1323*$C$1272</f>
        <v>35595.5177441088</v>
      </c>
      <c r="K1332" s="54" t="n">
        <f aca="false">J1332*Assumptions!$E$63^(1/4)+K1323*$C$1272</f>
        <v>47288.4014042402</v>
      </c>
      <c r="L1332" s="54" t="n">
        <f aca="false">K1332*Assumptions!$E$63^(1/4)+L1323*$C$1272</f>
        <v>59235.3026276984</v>
      </c>
      <c r="M1332" s="54" t="n">
        <f aca="false">L1332*Assumptions!$E$63^(1/4)+M1323*$C$1272</f>
        <v>71011.5452136636</v>
      </c>
      <c r="N1332" s="54" t="n">
        <f aca="false">M1332*Assumptions!$E$63^(1/4)+N1323*$C$1272</f>
        <v>82638.6332770592</v>
      </c>
      <c r="P1332" s="55" t="n">
        <f aca="false">F1332</f>
        <v>9588.57266720144</v>
      </c>
      <c r="Q1332" s="55" t="n">
        <f aca="false">J1332</f>
        <v>35595.5177441088</v>
      </c>
      <c r="R1332" s="55" t="n">
        <f aca="false">N1332</f>
        <v>82638.6332770592</v>
      </c>
      <c r="S1332" s="56" t="n">
        <f aca="false">R1332</f>
        <v>82638.6332770592</v>
      </c>
    </row>
    <row r="1333" customFormat="false" ht="15" hidden="false" customHeight="false" outlineLevel="0" collapsed="false">
      <c r="A1333" s="4" t="s">
        <v>540</v>
      </c>
      <c r="B1333" s="36" t="s">
        <v>125</v>
      </c>
      <c r="C1333" s="54" t="n">
        <f aca="false">0*Assumptions!$E$64^(1/4)+C1324*$C$1273</f>
        <v>0</v>
      </c>
      <c r="D1333" s="54" t="n">
        <f aca="false">C1333*Assumptions!$E$64^(1/4)+D1324*$C$1273</f>
        <v>0</v>
      </c>
      <c r="E1333" s="54" t="n">
        <f aca="false">D1333*Assumptions!$E$64^(1/4)+E1324*$C$1273</f>
        <v>2142.11908672537</v>
      </c>
      <c r="F1333" s="54" t="n">
        <f aca="false">E1333*Assumptions!$E$64^(1/4)+F1324*$C$1273</f>
        <v>5873.02916616392</v>
      </c>
      <c r="G1333" s="54" t="n">
        <f aca="false">F1333*Assumptions!$E$64^(1/4)+G1324*$C$1273</f>
        <v>10126.8576182469</v>
      </c>
      <c r="H1333" s="54" t="n">
        <f aca="false">G1333*Assumptions!$E$64^(1/4)+H1324*$C$1273</f>
        <v>14930.2011937074</v>
      </c>
      <c r="I1333" s="54" t="n">
        <f aca="false">H1333*Assumptions!$E$64^(1/4)+I1324*$C$1273</f>
        <v>20694.5579938243</v>
      </c>
      <c r="J1333" s="54" t="n">
        <f aca="false">I1333*Assumptions!$E$64^(1/4)+J1324*$C$1273</f>
        <v>27412.7952628483</v>
      </c>
      <c r="K1333" s="54" t="n">
        <f aca="false">J1333*Assumptions!$E$64^(1/4)+K1324*$C$1273</f>
        <v>36306.4101605082</v>
      </c>
      <c r="L1333" s="54" t="n">
        <f aca="false">K1333*Assumptions!$E$64^(1/4)+L1324*$C$1273</f>
        <v>47330.0664539505</v>
      </c>
      <c r="M1333" s="54" t="n">
        <f aca="false">L1333*Assumptions!$E$64^(1/4)+M1324*$C$1273</f>
        <v>58817.5292125671</v>
      </c>
      <c r="N1333" s="54" t="n">
        <f aca="false">M1333*Assumptions!$E$64^(1/4)+N1324*$C$1273</f>
        <v>70412.0316047873</v>
      </c>
      <c r="P1333" s="55" t="n">
        <f aca="false">F1333</f>
        <v>5873.02916616392</v>
      </c>
      <c r="Q1333" s="55" t="n">
        <f aca="false">J1333</f>
        <v>27412.7952628483</v>
      </c>
      <c r="R1333" s="55" t="n">
        <f aca="false">N1333</f>
        <v>70412.0316047873</v>
      </c>
      <c r="S1333" s="56" t="n">
        <f aca="false">R1333</f>
        <v>70412.0316047873</v>
      </c>
    </row>
    <row r="1334" customFormat="false" ht="15" hidden="false" customHeight="false" outlineLevel="0" collapsed="false">
      <c r="A1334" s="9" t="s">
        <v>541</v>
      </c>
      <c r="B1334" s="36" t="s">
        <v>125</v>
      </c>
      <c r="C1334" s="55" t="n">
        <f aca="false">C1331+C1332+C1333</f>
        <v>0</v>
      </c>
      <c r="D1334" s="55" t="n">
        <f aca="false">D1331+D1332+D1333</f>
        <v>4318.22312460352</v>
      </c>
      <c r="E1334" s="55" t="n">
        <f aca="false">E1331+E1332+E1333</f>
        <v>13858.0704928493</v>
      </c>
      <c r="F1334" s="55" t="n">
        <f aca="false">F1331+F1332+F1333</f>
        <v>25825.4884858417</v>
      </c>
      <c r="G1334" s="55" t="n">
        <f aca="false">G1331+G1332+G1333</f>
        <v>39177.0148504212</v>
      </c>
      <c r="H1334" s="55" t="n">
        <f aca="false">H1331+H1332+H1333</f>
        <v>55583.8202023846</v>
      </c>
      <c r="I1334" s="55" t="n">
        <f aca="false">I1331+I1332+I1333</f>
        <v>75310.9520859215</v>
      </c>
      <c r="J1334" s="55" t="n">
        <f aca="false">J1331+J1332+J1333</f>
        <v>101992.4586488</v>
      </c>
      <c r="K1334" s="55" t="n">
        <f aca="false">K1331+K1332+K1333</f>
        <v>136345.611335541</v>
      </c>
      <c r="L1334" s="55" t="n">
        <f aca="false">L1331+L1332+L1333</f>
        <v>173184.419965394</v>
      </c>
      <c r="M1334" s="55" t="n">
        <f aca="false">M1331+M1332+M1333</f>
        <v>209890.006668174</v>
      </c>
      <c r="N1334" s="55" t="n">
        <f aca="false">N1331+N1332+N1333</f>
        <v>246156.696716439</v>
      </c>
      <c r="P1334" s="55" t="n">
        <f aca="false">F1334</f>
        <v>25825.4884858417</v>
      </c>
      <c r="Q1334" s="55" t="n">
        <f aca="false">J1334</f>
        <v>101992.4586488</v>
      </c>
      <c r="R1334" s="55" t="n">
        <f aca="false">N1334</f>
        <v>246156.696716439</v>
      </c>
      <c r="S1334" s="56" t="n">
        <f aca="false">R1334</f>
        <v>246156.696716439</v>
      </c>
    </row>
    <row r="1335" customFormat="false" ht="15" hidden="false" customHeight="false" outlineLevel="0" collapsed="false">
      <c r="A1335" s="4" t="s">
        <v>542</v>
      </c>
      <c r="B1335" s="36" t="s">
        <v>125</v>
      </c>
      <c r="C1335" s="54" t="n">
        <f aca="false">C1322*$C$1271+C1323*$C$1272+C1324*$C$1273</f>
        <v>0</v>
      </c>
      <c r="D1335" s="54" t="n">
        <f aca="false">D1322*$C$1271+D1323*$C$1272+D1324*$C$1273</f>
        <v>4318.22312460352</v>
      </c>
      <c r="E1335" s="54" t="n">
        <f aca="false">E1322*$C$1271+E1323*$C$1272+E1324*$C$1273</f>
        <v>9509.58283028496</v>
      </c>
      <c r="F1335" s="54" t="n">
        <f aca="false">F1322*$C$1271+F1323*$C$1272+F1324*$C$1273</f>
        <v>11808.9043915019</v>
      </c>
      <c r="G1335" s="54" t="n">
        <f aca="false">G1322*$C$1271+G1323*$C$1272+G1324*$C$1273</f>
        <v>13001.9915048369</v>
      </c>
      <c r="H1335" s="54" t="n">
        <f aca="false">H1322*$C$1271+H1323*$C$1272+H1324*$C$1273</f>
        <v>15841.1722333292</v>
      </c>
      <c r="I1335" s="54" t="n">
        <f aca="false">I1322*$C$1271+I1323*$C$1272+I1324*$C$1273</f>
        <v>18908.6330250392</v>
      </c>
      <c r="J1335" s="54" t="n">
        <f aca="false">J1322*$C$1271+J1323*$C$1272+J1324*$C$1273</f>
        <v>25559.5579447127</v>
      </c>
      <c r="K1335" s="54" t="n">
        <f aca="false">K1322*$C$1271+K1323*$C$1272+K1324*$C$1273</f>
        <v>32856.0832683764</v>
      </c>
      <c r="L1335" s="54" t="n">
        <f aca="false">L1322*$C$1271+L1323*$C$1272+L1324*$C$1273</f>
        <v>34853.9197979078</v>
      </c>
      <c r="M1335" s="54" t="n">
        <f aca="false">M1322*$C$1271+M1323*$C$1272+M1324*$C$1273</f>
        <v>34153.4108680434</v>
      </c>
      <c r="N1335" s="54" t="n">
        <f aca="false">N1322*$C$1271+N1323*$C$1272+N1324*$C$1273</f>
        <v>33133.2393636355</v>
      </c>
      <c r="P1335" s="55" t="n">
        <f aca="false">SUM(C1335:F1335)</f>
        <v>25636.7103463904</v>
      </c>
      <c r="Q1335" s="55" t="n">
        <f aca="false">SUM(G1335:J1335)</f>
        <v>73311.354707918</v>
      </c>
      <c r="R1335" s="55" t="n">
        <f aca="false">SUM(K1335:N1335)</f>
        <v>134996.653297963</v>
      </c>
      <c r="S1335" s="56" t="n">
        <f aca="false">SUM(P1335:R1335)</f>
        <v>233944.718352271</v>
      </c>
    </row>
    <row r="1336" customFormat="false" ht="15" hidden="false" customHeight="false" outlineLevel="0" collapsed="false">
      <c r="A1336" s="9" t="s">
        <v>543</v>
      </c>
      <c r="B1336" s="36" t="s">
        <v>125</v>
      </c>
      <c r="C1336" s="55" t="n">
        <f aca="false">(0+C1334)/8</f>
        <v>0</v>
      </c>
      <c r="D1336" s="55" t="n">
        <f aca="false">(C1334+D1334)/8</f>
        <v>539.77789057544</v>
      </c>
      <c r="E1336" s="55" t="n">
        <f aca="false">(D1334+E1334)/8</f>
        <v>2272.03670218161</v>
      </c>
      <c r="F1336" s="55" t="n">
        <f aca="false">(E1334+F1334)/8</f>
        <v>4960.44487233639</v>
      </c>
      <c r="G1336" s="55" t="n">
        <f aca="false">(F1334+G1334)/8</f>
        <v>8125.31291703287</v>
      </c>
      <c r="H1336" s="55" t="n">
        <f aca="false">(G1334+H1334)/8</f>
        <v>11845.1043816007</v>
      </c>
      <c r="I1336" s="55" t="n">
        <f aca="false">(H1334+I1334)/8</f>
        <v>16361.8465360383</v>
      </c>
      <c r="J1336" s="55" t="n">
        <f aca="false">(I1334+J1334)/8</f>
        <v>22162.9263418402</v>
      </c>
      <c r="K1336" s="55" t="n">
        <f aca="false">(J1334+K1334)/8</f>
        <v>29792.2587480426</v>
      </c>
      <c r="L1336" s="55" t="n">
        <f aca="false">(K1334+L1334)/8</f>
        <v>38691.2539126168</v>
      </c>
      <c r="M1336" s="55" t="n">
        <f aca="false">(L1334+M1334)/8</f>
        <v>47884.3033291959</v>
      </c>
      <c r="N1336" s="55" t="n">
        <f aca="false">(M1334+N1334)/8</f>
        <v>57005.8379230766</v>
      </c>
      <c r="P1336" s="55" t="n">
        <f aca="false">SUM(C1336:F1336)</f>
        <v>7772.25946509344</v>
      </c>
      <c r="Q1336" s="55" t="n">
        <f aca="false">SUM(G1336:J1336)</f>
        <v>58495.190176512</v>
      </c>
      <c r="R1336" s="55" t="n">
        <f aca="false">SUM(K1336:N1336)</f>
        <v>173373.653912932</v>
      </c>
      <c r="S1336" s="56" t="n">
        <f aca="false">SUM(P1336:R1336)</f>
        <v>239641.103554537</v>
      </c>
    </row>
    <row r="1337" customFormat="false" ht="15" hidden="false" customHeight="false" outlineLevel="0" collapsed="false">
      <c r="A1337" s="4" t="s">
        <v>544</v>
      </c>
      <c r="B1337" s="36" t="s">
        <v>125</v>
      </c>
      <c r="C1337" s="54" t="n">
        <f aca="false">C1336*Assumptions!$E$76</f>
        <v>0</v>
      </c>
      <c r="D1337" s="54" t="n">
        <f aca="false">D1336*Assumptions!$E$76</f>
        <v>350.855628874036</v>
      </c>
      <c r="E1337" s="54" t="n">
        <f aca="false">E1336*Assumptions!$E$76</f>
        <v>1476.82385641805</v>
      </c>
      <c r="F1337" s="54" t="n">
        <f aca="false">F1336*Assumptions!$E$76</f>
        <v>3224.28916701865</v>
      </c>
      <c r="G1337" s="54" t="n">
        <f aca="false">G1336*Assumptions!$E$76</f>
        <v>5281.45339607137</v>
      </c>
      <c r="H1337" s="54" t="n">
        <f aca="false">H1336*Assumptions!$E$76</f>
        <v>7699.31784804047</v>
      </c>
      <c r="I1337" s="54" t="n">
        <f aca="false">I1336*Assumptions!$E$76</f>
        <v>10635.2002484249</v>
      </c>
      <c r="J1337" s="54" t="n">
        <f aca="false">J1336*Assumptions!$E$76</f>
        <v>14405.9021221961</v>
      </c>
      <c r="K1337" s="54" t="n">
        <f aca="false">K1336*Assumptions!$E$76</f>
        <v>19364.9681862277</v>
      </c>
      <c r="L1337" s="54" t="n">
        <f aca="false">L1336*Assumptions!$E$76</f>
        <v>25149.3150432009</v>
      </c>
      <c r="M1337" s="54" t="n">
        <f aca="false">M1336*Assumptions!$E$76</f>
        <v>31124.7971639773</v>
      </c>
      <c r="N1337" s="54" t="n">
        <f aca="false">N1336*Assumptions!$E$76</f>
        <v>37053.7946499998</v>
      </c>
      <c r="P1337" s="55" t="n">
        <f aca="false">SUM(C1337:F1337)</f>
        <v>5051.96865231073</v>
      </c>
      <c r="Q1337" s="55" t="n">
        <f aca="false">SUM(G1337:J1337)</f>
        <v>38021.8736147328</v>
      </c>
      <c r="R1337" s="55" t="n">
        <f aca="false">SUM(K1337:N1337)</f>
        <v>112692.875043406</v>
      </c>
      <c r="S1337" s="56" t="n">
        <f aca="false">SUM(P1337:R1337)</f>
        <v>155766.717310449</v>
      </c>
    </row>
    <row r="1338" customFormat="false" ht="15" hidden="false" customHeight="false" outlineLevel="0" collapsed="false">
      <c r="A1338" s="35" t="s">
        <v>547</v>
      </c>
      <c r="B1338" s="35" t="s">
        <v>444</v>
      </c>
      <c r="C1338" s="6" t="s">
        <v>354</v>
      </c>
      <c r="D1338" s="6" t="s">
        <v>355</v>
      </c>
      <c r="E1338" s="6" t="s">
        <v>356</v>
      </c>
      <c r="F1338" s="6" t="s">
        <v>357</v>
      </c>
      <c r="G1338" s="6" t="s">
        <v>358</v>
      </c>
      <c r="H1338" s="6" t="s">
        <v>359</v>
      </c>
      <c r="I1338" s="6" t="s">
        <v>360</v>
      </c>
      <c r="J1338" s="6" t="s">
        <v>361</v>
      </c>
      <c r="K1338" s="6" t="s">
        <v>362</v>
      </c>
      <c r="L1338" s="6" t="s">
        <v>363</v>
      </c>
      <c r="M1338" s="6" t="s">
        <v>364</v>
      </c>
      <c r="N1338" s="6" t="s">
        <v>365</v>
      </c>
      <c r="P1338" s="6" t="s">
        <v>445</v>
      </c>
      <c r="Q1338" s="6" t="s">
        <v>446</v>
      </c>
      <c r="R1338" s="6" t="s">
        <v>447</v>
      </c>
      <c r="S1338" s="6" t="s">
        <v>448</v>
      </c>
    </row>
    <row r="1339" customFormat="false" ht="15" hidden="false" customHeight="false" outlineLevel="0" collapsed="false">
      <c r="A1339" s="4" t="s">
        <v>548</v>
      </c>
      <c r="B1339" s="36" t="s">
        <v>321</v>
      </c>
      <c r="C1339" s="48" t="n">
        <f aca="false">Assumptions!$F$97*C1281</f>
        <v>0</v>
      </c>
      <c r="D1339" s="48" t="n">
        <f aca="false">Assumptions!$F$97*D1281</f>
        <v>0</v>
      </c>
      <c r="E1339" s="48" t="n">
        <f aca="false">Assumptions!$F$97*E1281</f>
        <v>0</v>
      </c>
      <c r="F1339" s="48" t="n">
        <f aca="false">Assumptions!$F$97*F1281</f>
        <v>0</v>
      </c>
      <c r="G1339" s="48" t="n">
        <f aca="false">Assumptions!$F$97*G1281</f>
        <v>0</v>
      </c>
      <c r="H1339" s="48" t="n">
        <f aca="false">Assumptions!$F$97*H1281</f>
        <v>0</v>
      </c>
      <c r="I1339" s="48" t="n">
        <f aca="false">Assumptions!$F$97*I1281</f>
        <v>0</v>
      </c>
      <c r="J1339" s="48" t="n">
        <f aca="false">Assumptions!$F$97*J1281</f>
        <v>0</v>
      </c>
      <c r="K1339" s="48" t="n">
        <f aca="false">Assumptions!$F$97*K1281</f>
        <v>0</v>
      </c>
      <c r="L1339" s="48" t="n">
        <f aca="false">Assumptions!$F$97*L1281</f>
        <v>0</v>
      </c>
      <c r="M1339" s="48" t="n">
        <f aca="false">Assumptions!$F$97*M1281</f>
        <v>0</v>
      </c>
      <c r="N1339" s="48" t="n">
        <f aca="false">Assumptions!$F$97*N1281</f>
        <v>0</v>
      </c>
      <c r="P1339" s="49" t="n">
        <f aca="false">AVERAGE(C1339:F1339)</f>
        <v>0</v>
      </c>
      <c r="Q1339" s="49" t="n">
        <f aca="false">AVERAGE(G1339:J1339)</f>
        <v>0</v>
      </c>
      <c r="R1339" s="49" t="n">
        <f aca="false">AVERAGE(K1339:N1339)</f>
        <v>0</v>
      </c>
      <c r="S1339" s="50"/>
    </row>
    <row r="1340" customFormat="false" ht="15" hidden="false" customHeight="false" outlineLevel="0" collapsed="false">
      <c r="A1340" s="4" t="s">
        <v>549</v>
      </c>
      <c r="B1340" s="36" t="s">
        <v>321</v>
      </c>
      <c r="C1340" s="48" t="n">
        <f aca="false">C1294*C1281</f>
        <v>0</v>
      </c>
      <c r="D1340" s="48" t="n">
        <f aca="false">D1294*D1281</f>
        <v>0</v>
      </c>
      <c r="E1340" s="48" t="n">
        <f aca="false">E1294*E1281</f>
        <v>0</v>
      </c>
      <c r="F1340" s="48" t="n">
        <f aca="false">F1294*F1281</f>
        <v>0</v>
      </c>
      <c r="G1340" s="48" t="n">
        <f aca="false">G1294*G1281</f>
        <v>0</v>
      </c>
      <c r="H1340" s="48" t="n">
        <f aca="false">H1294*H1281</f>
        <v>0</v>
      </c>
      <c r="I1340" s="48" t="n">
        <f aca="false">I1294*I1281</f>
        <v>0</v>
      </c>
      <c r="J1340" s="48" t="n">
        <f aca="false">J1294*J1281</f>
        <v>0</v>
      </c>
      <c r="K1340" s="48" t="n">
        <f aca="false">K1294*K1281</f>
        <v>0</v>
      </c>
      <c r="L1340" s="48" t="n">
        <f aca="false">L1294*L1281</f>
        <v>0</v>
      </c>
      <c r="M1340" s="48" t="n">
        <f aca="false">M1294*M1281</f>
        <v>0</v>
      </c>
      <c r="N1340" s="48" t="n">
        <f aca="false">N1294*N1281</f>
        <v>0</v>
      </c>
      <c r="P1340" s="49" t="n">
        <f aca="false">AVERAGE(C1340:F1340)</f>
        <v>0</v>
      </c>
      <c r="Q1340" s="49" t="n">
        <f aca="false">AVERAGE(G1340:J1340)</f>
        <v>0</v>
      </c>
      <c r="R1340" s="49" t="n">
        <f aca="false">AVERAGE(K1340:N1340)</f>
        <v>0</v>
      </c>
      <c r="S1340" s="50"/>
    </row>
    <row r="1341" customFormat="false" ht="15" hidden="false" customHeight="false" outlineLevel="0" collapsed="false">
      <c r="A1341" s="4" t="s">
        <v>550</v>
      </c>
      <c r="B1341" s="36" t="s">
        <v>321</v>
      </c>
      <c r="C1341" s="48" t="n">
        <f aca="false">IF(C1280&lt;=4,Assumptions!$F$98,Assumptions!$F$99)*C1281</f>
        <v>0</v>
      </c>
      <c r="D1341" s="48" t="n">
        <f aca="false">IF(D1280&lt;=4,Assumptions!$F$98,Assumptions!$F$99)*D1281</f>
        <v>0</v>
      </c>
      <c r="E1341" s="48" t="n">
        <f aca="false">IF(E1280&lt;=4,Assumptions!$F$98,Assumptions!$F$99)*E1281</f>
        <v>0</v>
      </c>
      <c r="F1341" s="48" t="n">
        <f aca="false">IF(F1280&lt;=4,Assumptions!$F$98,Assumptions!$F$99)*F1281</f>
        <v>0</v>
      </c>
      <c r="G1341" s="48" t="n">
        <f aca="false">IF(G1280&lt;=4,Assumptions!$F$98,Assumptions!$F$99)*G1281</f>
        <v>0</v>
      </c>
      <c r="H1341" s="48" t="n">
        <f aca="false">IF(H1280&lt;=4,Assumptions!$F$98,Assumptions!$F$99)*H1281</f>
        <v>0</v>
      </c>
      <c r="I1341" s="48" t="n">
        <f aca="false">IF(I1280&lt;=4,Assumptions!$F$98,Assumptions!$F$99)*I1281</f>
        <v>0</v>
      </c>
      <c r="J1341" s="48" t="n">
        <f aca="false">IF(J1280&lt;=4,Assumptions!$F$98,Assumptions!$F$99)*J1281</f>
        <v>0</v>
      </c>
      <c r="K1341" s="48" t="n">
        <f aca="false">IF(K1280&lt;=4,Assumptions!$F$98,Assumptions!$F$99)*K1281</f>
        <v>0</v>
      </c>
      <c r="L1341" s="48" t="n">
        <f aca="false">IF(L1280&lt;=4,Assumptions!$F$98,Assumptions!$F$99)*L1281</f>
        <v>0</v>
      </c>
      <c r="M1341" s="48" t="n">
        <f aca="false">IF(M1280&lt;=4,Assumptions!$F$98,Assumptions!$F$99)*M1281</f>
        <v>0</v>
      </c>
      <c r="N1341" s="48" t="n">
        <f aca="false">IF(N1280&lt;=4,Assumptions!$F$98,Assumptions!$F$99)*N1281</f>
        <v>0</v>
      </c>
      <c r="P1341" s="49" t="n">
        <f aca="false">AVERAGE(C1341:F1341)</f>
        <v>0</v>
      </c>
      <c r="Q1341" s="49" t="n">
        <f aca="false">AVERAGE(G1341:J1341)</f>
        <v>0</v>
      </c>
      <c r="R1341" s="49" t="n">
        <f aca="false">AVERAGE(K1341:N1341)</f>
        <v>0</v>
      </c>
      <c r="S1341" s="50"/>
    </row>
    <row r="1342" customFormat="false" ht="15" hidden="false" customHeight="false" outlineLevel="0" collapsed="false">
      <c r="A1342" s="4" t="s">
        <v>551</v>
      </c>
      <c r="B1342" s="36" t="s">
        <v>321</v>
      </c>
      <c r="C1342" s="48" t="n">
        <f aca="false">IF(C1280&lt;=4,Assumptions!$F$100,Assumptions!$F$101)*C1281</f>
        <v>0.5</v>
      </c>
      <c r="D1342" s="48" t="n">
        <f aca="false">IF(D1280&lt;=4,Assumptions!$F$100,Assumptions!$F$101)*D1281</f>
        <v>0.5</v>
      </c>
      <c r="E1342" s="48" t="n">
        <f aca="false">IF(E1280&lt;=4,Assumptions!$F$100,Assumptions!$F$101)*E1281</f>
        <v>0.5</v>
      </c>
      <c r="F1342" s="48" t="n">
        <f aca="false">IF(F1280&lt;=4,Assumptions!$F$100,Assumptions!$F$101)*F1281</f>
        <v>0.5</v>
      </c>
      <c r="G1342" s="48" t="n">
        <f aca="false">IF(G1280&lt;=4,Assumptions!$F$100,Assumptions!$F$101)*G1281</f>
        <v>0.25</v>
      </c>
      <c r="H1342" s="48" t="n">
        <f aca="false">IF(H1280&lt;=4,Assumptions!$F$100,Assumptions!$F$101)*H1281</f>
        <v>0.25</v>
      </c>
      <c r="I1342" s="48" t="n">
        <f aca="false">IF(I1280&lt;=4,Assumptions!$F$100,Assumptions!$F$101)*I1281</f>
        <v>0.25</v>
      </c>
      <c r="J1342" s="48" t="n">
        <f aca="false">IF(J1280&lt;=4,Assumptions!$F$100,Assumptions!$F$101)*J1281</f>
        <v>0.25</v>
      </c>
      <c r="K1342" s="48" t="n">
        <f aca="false">IF(K1280&lt;=4,Assumptions!$F$100,Assumptions!$F$101)*K1281</f>
        <v>0.25</v>
      </c>
      <c r="L1342" s="48" t="n">
        <f aca="false">IF(L1280&lt;=4,Assumptions!$F$100,Assumptions!$F$101)*L1281</f>
        <v>0.25</v>
      </c>
      <c r="M1342" s="48" t="n">
        <f aca="false">IF(M1280&lt;=4,Assumptions!$F$100,Assumptions!$F$101)*M1281</f>
        <v>0.25</v>
      </c>
      <c r="N1342" s="48" t="n">
        <f aca="false">IF(N1280&lt;=4,Assumptions!$F$100,Assumptions!$F$101)*N1281</f>
        <v>0.25</v>
      </c>
      <c r="P1342" s="49" t="n">
        <f aca="false">AVERAGE(C1342:F1342)</f>
        <v>0.5</v>
      </c>
      <c r="Q1342" s="49" t="n">
        <f aca="false">AVERAGE(G1342:J1342)</f>
        <v>0.25</v>
      </c>
      <c r="R1342" s="49" t="n">
        <f aca="false">AVERAGE(K1342:N1342)</f>
        <v>0.25</v>
      </c>
      <c r="S1342" s="50"/>
    </row>
    <row r="1343" customFormat="false" ht="15" hidden="false" customHeight="false" outlineLevel="0" collapsed="false">
      <c r="A1343" s="4" t="s">
        <v>552</v>
      </c>
      <c r="B1343" s="36" t="s">
        <v>321</v>
      </c>
      <c r="C1343" s="48" t="n">
        <f aca="false">Assumptions!$F$102*C1281</f>
        <v>0.1</v>
      </c>
      <c r="D1343" s="48" t="n">
        <f aca="false">Assumptions!$F$102*D1281</f>
        <v>0.1</v>
      </c>
      <c r="E1343" s="48" t="n">
        <f aca="false">Assumptions!$F$102*E1281</f>
        <v>0.1</v>
      </c>
      <c r="F1343" s="48" t="n">
        <f aca="false">Assumptions!$F$102*F1281</f>
        <v>0.1</v>
      </c>
      <c r="G1343" s="48" t="n">
        <f aca="false">Assumptions!$F$102*G1281</f>
        <v>0.1</v>
      </c>
      <c r="H1343" s="48" t="n">
        <f aca="false">Assumptions!$F$102*H1281</f>
        <v>0.1</v>
      </c>
      <c r="I1343" s="48" t="n">
        <f aca="false">Assumptions!$F$102*I1281</f>
        <v>0.1</v>
      </c>
      <c r="J1343" s="48" t="n">
        <f aca="false">Assumptions!$F$102*J1281</f>
        <v>0.1</v>
      </c>
      <c r="K1343" s="48" t="n">
        <f aca="false">Assumptions!$F$102*K1281</f>
        <v>0.1</v>
      </c>
      <c r="L1343" s="48" t="n">
        <f aca="false">Assumptions!$F$102*L1281</f>
        <v>0.1</v>
      </c>
      <c r="M1343" s="48" t="n">
        <f aca="false">Assumptions!$F$102*M1281</f>
        <v>0.1</v>
      </c>
      <c r="N1343" s="48" t="n">
        <f aca="false">Assumptions!$F$102*N1281</f>
        <v>0.1</v>
      </c>
      <c r="P1343" s="49" t="n">
        <f aca="false">AVERAGE(C1343:F1343)</f>
        <v>0.1</v>
      </c>
      <c r="Q1343" s="49" t="n">
        <f aca="false">AVERAGE(G1343:J1343)</f>
        <v>0.1</v>
      </c>
      <c r="R1343" s="49" t="n">
        <f aca="false">AVERAGE(K1343:N1343)</f>
        <v>0.1</v>
      </c>
      <c r="S1343" s="50"/>
    </row>
    <row r="1344" customFormat="false" ht="15" hidden="false" customHeight="false" outlineLevel="0" collapsed="false">
      <c r="A1344" s="4" t="s">
        <v>553</v>
      </c>
      <c r="B1344" s="36" t="s">
        <v>321</v>
      </c>
      <c r="C1344" s="48" t="n">
        <f aca="false">(C1328+C1329)/Assumptions!$E$74+C1327/Assumptions!$E$75</f>
        <v>0</v>
      </c>
      <c r="D1344" s="48" t="n">
        <f aca="false">(D1328+D1329)/Assumptions!$E$74+D1327/Assumptions!$E$75</f>
        <v>0.00696526636575761</v>
      </c>
      <c r="E1344" s="48" t="n">
        <f aca="false">(E1328+E1329)/Assumptions!$E$74+E1327/Assumptions!$E$75</f>
        <v>0.0195255259215072</v>
      </c>
      <c r="F1344" s="48" t="n">
        <f aca="false">(F1328+F1329)/Assumptions!$E$74+F1327/Assumptions!$E$75</f>
        <v>0.0336295709799242</v>
      </c>
      <c r="G1344" s="48" t="n">
        <f aca="false">(G1328+G1329)/Assumptions!$E$74+G1327/Assumptions!$E$75</f>
        <v>0.0488110964072361</v>
      </c>
      <c r="H1344" s="48" t="n">
        <f aca="false">(H1328+H1329)/Assumptions!$E$74+H1327/Assumptions!$E$75</f>
        <v>0.0675844178735571</v>
      </c>
      <c r="I1344" s="48" t="n">
        <f aca="false">(I1328+I1329)/Assumptions!$E$74+I1327/Assumptions!$E$75</f>
        <v>0.0897563159155593</v>
      </c>
      <c r="J1344" s="48" t="n">
        <f aca="false">(J1328+J1329)/Assumptions!$E$74+J1327/Assumptions!$E$75</f>
        <v>0.12053398204922</v>
      </c>
      <c r="K1344" s="48" t="n">
        <f aca="false">(K1328+K1329)/Assumptions!$E$74+K1327/Assumptions!$E$75</f>
        <v>0.159391845323218</v>
      </c>
      <c r="L1344" s="48" t="n">
        <f aca="false">(L1328+L1329)/Assumptions!$E$74+L1327/Assumptions!$E$75</f>
        <v>0.198225132517278</v>
      </c>
      <c r="M1344" s="48" t="n">
        <f aca="false">(M1328+M1329)/Assumptions!$E$74+M1327/Assumptions!$E$75</f>
        <v>0.234843179047534</v>
      </c>
      <c r="N1344" s="48" t="n">
        <f aca="false">(N1328+N1329)/Assumptions!$E$74+N1327/Assumptions!$E$75</f>
        <v>0.26923916220765</v>
      </c>
      <c r="P1344" s="49" t="n">
        <f aca="false">AVERAGE(C1344:F1344)</f>
        <v>0.0150300908167972</v>
      </c>
      <c r="Q1344" s="49" t="n">
        <f aca="false">AVERAGE(G1344:J1344)</f>
        <v>0.081671453061393</v>
      </c>
      <c r="R1344" s="49" t="n">
        <f aca="false">AVERAGE(K1344:N1344)</f>
        <v>0.21542482977392</v>
      </c>
      <c r="S1344" s="50"/>
    </row>
    <row r="1345" customFormat="false" ht="15" hidden="false" customHeight="false" outlineLevel="0" collapsed="false">
      <c r="A1345" s="4" t="s">
        <v>554</v>
      </c>
      <c r="B1345" s="36" t="s">
        <v>125</v>
      </c>
      <c r="C1345" s="54" t="n">
        <f aca="false">(C1339+C1341)*Assumptions!$E$70/Assumptions!$E$69/4</f>
        <v>0</v>
      </c>
      <c r="D1345" s="54" t="n">
        <f aca="false">(D1339+D1341)*Assumptions!$E$70/Assumptions!$E$69/4</f>
        <v>0</v>
      </c>
      <c r="E1345" s="54" t="n">
        <f aca="false">(E1339+E1341)*Assumptions!$E$70/Assumptions!$E$69/4</f>
        <v>0</v>
      </c>
      <c r="F1345" s="54" t="n">
        <f aca="false">(F1339+F1341)*Assumptions!$E$70/Assumptions!$E$69/4</f>
        <v>0</v>
      </c>
      <c r="G1345" s="54" t="n">
        <f aca="false">(G1339+G1341)*Assumptions!$E$70/Assumptions!$E$69/4</f>
        <v>0</v>
      </c>
      <c r="H1345" s="54" t="n">
        <f aca="false">(H1339+H1341)*Assumptions!$E$70/Assumptions!$E$69/4</f>
        <v>0</v>
      </c>
      <c r="I1345" s="54" t="n">
        <f aca="false">(I1339+I1341)*Assumptions!$E$70/Assumptions!$E$69/4</f>
        <v>0</v>
      </c>
      <c r="J1345" s="54" t="n">
        <f aca="false">(J1339+J1341)*Assumptions!$E$70/Assumptions!$E$69/4</f>
        <v>0</v>
      </c>
      <c r="K1345" s="54" t="n">
        <f aca="false">(K1339+K1341)*Assumptions!$E$70/Assumptions!$E$69/4</f>
        <v>0</v>
      </c>
      <c r="L1345" s="54" t="n">
        <f aca="false">(L1339+L1341)*Assumptions!$E$70/Assumptions!$E$69/4</f>
        <v>0</v>
      </c>
      <c r="M1345" s="54" t="n">
        <f aca="false">(M1339+M1341)*Assumptions!$E$70/Assumptions!$E$69/4</f>
        <v>0</v>
      </c>
      <c r="N1345" s="54" t="n">
        <f aca="false">(N1339+N1341)*Assumptions!$E$70/Assumptions!$E$69/4</f>
        <v>0</v>
      </c>
      <c r="P1345" s="55" t="n">
        <f aca="false">SUM(C1345:F1345)</f>
        <v>0</v>
      </c>
      <c r="Q1345" s="55" t="n">
        <f aca="false">SUM(G1345:J1345)</f>
        <v>0</v>
      </c>
      <c r="R1345" s="55" t="n">
        <f aca="false">SUM(K1345:N1345)</f>
        <v>0</v>
      </c>
      <c r="S1345" s="56" t="n">
        <f aca="false">SUM(P1345:R1345)</f>
        <v>0</v>
      </c>
    </row>
    <row r="1346" customFormat="false" ht="15" hidden="false" customHeight="false" outlineLevel="0" collapsed="false">
      <c r="A1346" s="4" t="s">
        <v>555</v>
      </c>
      <c r="B1346" s="36" t="s">
        <v>125</v>
      </c>
      <c r="C1346" s="54" t="n">
        <f aca="false">C1340*$C$1275/4</f>
        <v>0</v>
      </c>
      <c r="D1346" s="54" t="n">
        <f aca="false">D1340*$C$1275/4</f>
        <v>0</v>
      </c>
      <c r="E1346" s="54" t="n">
        <f aca="false">E1340*$C$1275/4</f>
        <v>0</v>
      </c>
      <c r="F1346" s="54" t="n">
        <f aca="false">F1340*$C$1275/4</f>
        <v>0</v>
      </c>
      <c r="G1346" s="54" t="n">
        <f aca="false">G1340*$C$1275/4</f>
        <v>0</v>
      </c>
      <c r="H1346" s="54" t="n">
        <f aca="false">H1340*$C$1275/4</f>
        <v>0</v>
      </c>
      <c r="I1346" s="54" t="n">
        <f aca="false">I1340*$C$1275/4</f>
        <v>0</v>
      </c>
      <c r="J1346" s="54" t="n">
        <f aca="false">J1340*$C$1275/4</f>
        <v>0</v>
      </c>
      <c r="K1346" s="54" t="n">
        <f aca="false">K1340*$C$1275/4</f>
        <v>0</v>
      </c>
      <c r="L1346" s="54" t="n">
        <f aca="false">L1340*$C$1275/4</f>
        <v>0</v>
      </c>
      <c r="M1346" s="54" t="n">
        <f aca="false">M1340*$C$1275/4</f>
        <v>0</v>
      </c>
      <c r="N1346" s="54" t="n">
        <f aca="false">N1340*$C$1275/4</f>
        <v>0</v>
      </c>
      <c r="P1346" s="55" t="n">
        <f aca="false">SUM(C1346:F1346)</f>
        <v>0</v>
      </c>
      <c r="Q1346" s="55" t="n">
        <f aca="false">SUM(G1346:J1346)</f>
        <v>0</v>
      </c>
      <c r="R1346" s="55" t="n">
        <f aca="false">SUM(K1346:N1346)</f>
        <v>0</v>
      </c>
      <c r="S1346" s="56" t="n">
        <f aca="false">SUM(P1346:R1346)</f>
        <v>0</v>
      </c>
    </row>
    <row r="1347" customFormat="false" ht="15" hidden="false" customHeight="false" outlineLevel="0" collapsed="false">
      <c r="A1347" s="4" t="s">
        <v>556</v>
      </c>
      <c r="B1347" s="36" t="s">
        <v>125</v>
      </c>
      <c r="C1347" s="54" t="n">
        <f aca="false">MAX(0,(C1335-C1316*$C$1271)-C1295*$C$1276)*$C$1277*Assumptions!$F$105</f>
        <v>0</v>
      </c>
      <c r="D1347" s="54" t="n">
        <f aca="false">MAX(0,(D1335-D1316*$C$1271)-D1295*$C$1276)*$C$1277*Assumptions!$F$105</f>
        <v>1698.6592056272</v>
      </c>
      <c r="E1347" s="54" t="n">
        <f aca="false">MAX(0,(E1335-E1316*$C$1271)-E1295*$C$1276)*$C$1277*Assumptions!$F$105</f>
        <v>3897.3780532264</v>
      </c>
      <c r="F1347" s="54" t="n">
        <f aca="false">MAX(0,(F1335-F1316*$C$1271)-F1295*$C$1276)*$C$1277*Assumptions!$F$105</f>
        <v>4912.43823999073</v>
      </c>
      <c r="G1347" s="54" t="n">
        <f aca="false">MAX(0,(G1335-G1316*$C$1271)-G1295*$C$1276)*$C$1277*Assumptions!$F$105</f>
        <v>5410.29137049298</v>
      </c>
      <c r="H1347" s="54" t="n">
        <f aca="false">MAX(0,(H1335-H1316*$C$1271)-H1295*$C$1276)*$C$1277*Assumptions!$F$105</f>
        <v>6548.32778844174</v>
      </c>
      <c r="I1347" s="54" t="n">
        <f aca="false">MAX(0,(I1335-I1316*$C$1271)-I1295*$C$1276)*$C$1277*Assumptions!$F$105</f>
        <v>7805.56740166644</v>
      </c>
      <c r="J1347" s="54" t="n">
        <f aca="false">MAX(0,(J1335-J1316*$C$1271)-J1295*$C$1276)*$C$1277*Assumptions!$F$105</f>
        <v>10428.3624824813</v>
      </c>
      <c r="K1347" s="54" t="n">
        <f aca="false">MAX(0,(K1335-K1316*$C$1271)-K1295*$C$1276)*$C$1277*Assumptions!$F$105</f>
        <v>13399.9239788649</v>
      </c>
      <c r="L1347" s="54" t="n">
        <f aca="false">MAX(0,(L1335-L1316*$C$1271)-L1295*$C$1276)*$C$1277*Assumptions!$F$105</f>
        <v>14317.6417324884</v>
      </c>
      <c r="M1347" s="54" t="n">
        <f aca="false">MAX(0,(M1335-M1316*$C$1271)-M1295*$C$1276)*$C$1277*Assumptions!$F$105</f>
        <v>14050.5406230129</v>
      </c>
      <c r="N1347" s="54" t="n">
        <f aca="false">MAX(0,(N1335-N1316*$C$1271)-N1295*$C$1276)*$C$1277*Assumptions!$F$105</f>
        <v>13630.1851828994</v>
      </c>
      <c r="P1347" s="55" t="n">
        <f aca="false">SUM(C1347:F1347)</f>
        <v>10508.4754988443</v>
      </c>
      <c r="Q1347" s="55" t="n">
        <f aca="false">SUM(G1347:J1347)</f>
        <v>30192.5490430825</v>
      </c>
      <c r="R1347" s="55" t="n">
        <f aca="false">SUM(K1347:N1347)</f>
        <v>55398.2915172656</v>
      </c>
      <c r="S1347" s="56" t="n">
        <f aca="false">SUM(P1347:R1347)</f>
        <v>96099.3160591924</v>
      </c>
    </row>
    <row r="1348" customFormat="false" ht="15" hidden="false" customHeight="false" outlineLevel="0" collapsed="false">
      <c r="A1348" s="4" t="s">
        <v>557</v>
      </c>
      <c r="B1348" s="36" t="s">
        <v>125</v>
      </c>
      <c r="C1348" s="54" t="n">
        <f aca="false">C1343*Assumptions!$E$71/Assumptions!$E$69/4</f>
        <v>7390.35714285714</v>
      </c>
      <c r="D1348" s="54" t="n">
        <f aca="false">D1343*Assumptions!$E$71/Assumptions!$E$69/4</f>
        <v>7390.35714285714</v>
      </c>
      <c r="E1348" s="54" t="n">
        <f aca="false">E1343*Assumptions!$E$71/Assumptions!$E$69/4</f>
        <v>7390.35714285714</v>
      </c>
      <c r="F1348" s="54" t="n">
        <f aca="false">F1343*Assumptions!$E$71/Assumptions!$E$69/4</f>
        <v>7390.35714285714</v>
      </c>
      <c r="G1348" s="54" t="n">
        <f aca="false">G1343*Assumptions!$E$71/Assumptions!$E$69/4</f>
        <v>7390.35714285714</v>
      </c>
      <c r="H1348" s="54" t="n">
        <f aca="false">H1343*Assumptions!$E$71/Assumptions!$E$69/4</f>
        <v>7390.35714285714</v>
      </c>
      <c r="I1348" s="54" t="n">
        <f aca="false">I1343*Assumptions!$E$71/Assumptions!$E$69/4</f>
        <v>7390.35714285714</v>
      </c>
      <c r="J1348" s="54" t="n">
        <f aca="false">J1343*Assumptions!$E$71/Assumptions!$E$69/4</f>
        <v>7390.35714285714</v>
      </c>
      <c r="K1348" s="54" t="n">
        <f aca="false">K1343*Assumptions!$E$71/Assumptions!$E$69/4</f>
        <v>7390.35714285714</v>
      </c>
      <c r="L1348" s="54" t="n">
        <f aca="false">L1343*Assumptions!$E$71/Assumptions!$E$69/4</f>
        <v>7390.35714285714</v>
      </c>
      <c r="M1348" s="54" t="n">
        <f aca="false">M1343*Assumptions!$E$71/Assumptions!$E$69/4</f>
        <v>7390.35714285714</v>
      </c>
      <c r="N1348" s="54" t="n">
        <f aca="false">N1343*Assumptions!$E$71/Assumptions!$E$69/4</f>
        <v>7390.35714285714</v>
      </c>
      <c r="P1348" s="55" t="n">
        <f aca="false">SUM(C1348:F1348)</f>
        <v>29561.4285714286</v>
      </c>
      <c r="Q1348" s="55" t="n">
        <f aca="false">SUM(G1348:J1348)</f>
        <v>29561.4285714286</v>
      </c>
      <c r="R1348" s="55" t="n">
        <f aca="false">SUM(K1348:N1348)</f>
        <v>29561.4285714286</v>
      </c>
      <c r="S1348" s="56" t="n">
        <f aca="false">SUM(P1348:R1348)</f>
        <v>88684.2857142857</v>
      </c>
    </row>
    <row r="1349" customFormat="false" ht="15" hidden="false" customHeight="false" outlineLevel="0" collapsed="false">
      <c r="A1349" s="4" t="s">
        <v>558</v>
      </c>
      <c r="B1349" s="36" t="s">
        <v>125</v>
      </c>
      <c r="C1349" s="54" t="n">
        <f aca="false">(Assumptions!$F$103+Assumptions!$E$77*((C1280=Assumptions!$E$13)+(C1280=Assumptions!$E$14)+(C1280=Assumptions!$E$15)))*C1281</f>
        <v>50000</v>
      </c>
      <c r="D1349" s="54" t="n">
        <f aca="false">(Assumptions!$F$103+Assumptions!$E$77*((D1280=Assumptions!$E$13)+(D1280=Assumptions!$E$14)+(D1280=Assumptions!$E$15)))*D1281</f>
        <v>10000</v>
      </c>
      <c r="E1349" s="54" t="n">
        <f aca="false">(Assumptions!$F$103+Assumptions!$E$77*((E1280=Assumptions!$E$13)+(E1280=Assumptions!$E$14)+(E1280=Assumptions!$E$15)))*E1281</f>
        <v>10000</v>
      </c>
      <c r="F1349" s="54" t="n">
        <f aca="false">(Assumptions!$F$103+Assumptions!$E$77*((F1280=Assumptions!$E$13)+(F1280=Assumptions!$E$14)+(F1280=Assumptions!$E$15)))*F1281</f>
        <v>10000</v>
      </c>
      <c r="G1349" s="54" t="n">
        <f aca="false">(Assumptions!$F$103+Assumptions!$E$77*((G1280=Assumptions!$E$13)+(G1280=Assumptions!$E$14)+(G1280=Assumptions!$E$15)))*G1281</f>
        <v>50000</v>
      </c>
      <c r="H1349" s="54" t="n">
        <f aca="false">(Assumptions!$F$103+Assumptions!$E$77*((H1280=Assumptions!$E$13)+(H1280=Assumptions!$E$14)+(H1280=Assumptions!$E$15)))*H1281</f>
        <v>10000</v>
      </c>
      <c r="I1349" s="54" t="n">
        <f aca="false">(Assumptions!$F$103+Assumptions!$E$77*((I1280=Assumptions!$E$13)+(I1280=Assumptions!$E$14)+(I1280=Assumptions!$E$15)))*I1281</f>
        <v>50000</v>
      </c>
      <c r="J1349" s="54" t="n">
        <f aca="false">(Assumptions!$F$103+Assumptions!$E$77*((J1280=Assumptions!$E$13)+(J1280=Assumptions!$E$14)+(J1280=Assumptions!$E$15)))*J1281</f>
        <v>10000</v>
      </c>
      <c r="K1349" s="54" t="n">
        <f aca="false">(Assumptions!$F$103+Assumptions!$E$77*((K1280=Assumptions!$E$13)+(K1280=Assumptions!$E$14)+(K1280=Assumptions!$E$15)))*K1281</f>
        <v>10000</v>
      </c>
      <c r="L1349" s="54" t="n">
        <f aca="false">(Assumptions!$F$103+Assumptions!$E$77*((L1280=Assumptions!$E$13)+(L1280=Assumptions!$E$14)+(L1280=Assumptions!$E$15)))*L1281</f>
        <v>10000</v>
      </c>
      <c r="M1349" s="54" t="n">
        <f aca="false">(Assumptions!$F$103+Assumptions!$E$77*((M1280=Assumptions!$E$13)+(M1280=Assumptions!$E$14)+(M1280=Assumptions!$E$15)))*M1281</f>
        <v>10000</v>
      </c>
      <c r="N1349" s="54" t="n">
        <f aca="false">(Assumptions!$F$103+Assumptions!$E$77*((N1280=Assumptions!$E$13)+(N1280=Assumptions!$E$14)+(N1280=Assumptions!$E$15)))*N1281</f>
        <v>10000</v>
      </c>
      <c r="P1349" s="55" t="n">
        <f aca="false">SUM(C1349:F1349)</f>
        <v>80000</v>
      </c>
      <c r="Q1349" s="55" t="n">
        <f aca="false">SUM(G1349:J1349)</f>
        <v>120000</v>
      </c>
      <c r="R1349" s="55" t="n">
        <f aca="false">SUM(K1349:N1349)</f>
        <v>40000</v>
      </c>
      <c r="S1349" s="56" t="n">
        <f aca="false">SUM(P1349:R1349)</f>
        <v>240000</v>
      </c>
    </row>
    <row r="1350" customFormat="false" ht="15" hidden="false" customHeight="false" outlineLevel="0" collapsed="false">
      <c r="A1350" s="4" t="s">
        <v>559</v>
      </c>
      <c r="B1350" s="36" t="s">
        <v>125</v>
      </c>
      <c r="C1350" s="54" t="n">
        <f aca="false">C1335*C1315*Assumptions!$E$79</f>
        <v>0</v>
      </c>
      <c r="D1350" s="54" t="n">
        <f aca="false">D1335*D1315*Assumptions!$E$79</f>
        <v>407.669436677709</v>
      </c>
      <c r="E1350" s="54" t="n">
        <f aca="false">E1335*E1315*Assumptions!$E$79</f>
        <v>789.30139537868</v>
      </c>
      <c r="F1350" s="54" t="n">
        <f aca="false">F1335*F1315*Assumptions!$E$79</f>
        <v>1180.77817245204</v>
      </c>
      <c r="G1350" s="54" t="n">
        <f aca="false">G1335*G1315*Assumptions!$E$79</f>
        <v>1479.43410789576</v>
      </c>
      <c r="H1350" s="54" t="n">
        <f aca="false">H1335*H1315*Assumptions!$E$79</f>
        <v>1701.73079341574</v>
      </c>
      <c r="I1350" s="54" t="n">
        <f aca="false">I1335*I1315*Assumptions!$E$79</f>
        <v>1976.50339084753</v>
      </c>
      <c r="J1350" s="54" t="n">
        <f aca="false">J1335*J1315*Assumptions!$E$79</f>
        <v>2122.5244243126</v>
      </c>
      <c r="K1350" s="54" t="n">
        <f aca="false">K1335*K1315*Assumptions!$E$79</f>
        <v>2404.70945137328</v>
      </c>
      <c r="L1350" s="54" t="n">
        <f aca="false">L1335*L1315*Assumptions!$E$79</f>
        <v>2813.60186034725</v>
      </c>
      <c r="M1350" s="54" t="n">
        <f aca="false">M1335*M1315*Assumptions!$E$79</f>
        <v>2844.50523038884</v>
      </c>
      <c r="N1350" s="54" t="n">
        <f aca="false">N1335*N1315*Assumptions!$E$79</f>
        <v>2843.47366722096</v>
      </c>
      <c r="P1350" s="55" t="n">
        <f aca="false">SUM(C1350:F1350)</f>
        <v>2377.74900450843</v>
      </c>
      <c r="Q1350" s="55" t="n">
        <f aca="false">SUM(G1350:J1350)</f>
        <v>7280.19271647163</v>
      </c>
      <c r="R1350" s="55" t="n">
        <f aca="false">SUM(K1350:N1350)</f>
        <v>10906.2902093303</v>
      </c>
      <c r="S1350" s="56" t="n">
        <f aca="false">SUM(P1350:R1350)</f>
        <v>20564.2319303104</v>
      </c>
    </row>
    <row r="1351" customFormat="false" ht="15" hidden="false" customHeight="false" outlineLevel="0" collapsed="false">
      <c r="A1351" s="4" t="s">
        <v>560</v>
      </c>
      <c r="B1351" s="36" t="s">
        <v>125</v>
      </c>
      <c r="C1351" s="54" t="n">
        <f aca="false">C1300*Assumptions!$E$80</f>
        <v>2000</v>
      </c>
      <c r="D1351" s="54" t="n">
        <f aca="false">D1300*Assumptions!$E$80</f>
        <v>3000</v>
      </c>
      <c r="E1351" s="54" t="n">
        <f aca="false">E1300*Assumptions!$E$80</f>
        <v>4000</v>
      </c>
      <c r="F1351" s="54" t="n">
        <f aca="false">F1300*Assumptions!$E$80</f>
        <v>5000</v>
      </c>
      <c r="G1351" s="54" t="n">
        <f aca="false">G1300*Assumptions!$E$80</f>
        <v>6000</v>
      </c>
      <c r="H1351" s="54" t="n">
        <f aca="false">H1300*Assumptions!$E$80</f>
        <v>7000</v>
      </c>
      <c r="I1351" s="54" t="n">
        <f aca="false">I1300*Assumptions!$E$80</f>
        <v>8000</v>
      </c>
      <c r="J1351" s="54" t="n">
        <f aca="false">J1300*Assumptions!$E$80</f>
        <v>9000</v>
      </c>
      <c r="K1351" s="54" t="n">
        <f aca="false">K1300*Assumptions!$E$80</f>
        <v>10000</v>
      </c>
      <c r="L1351" s="54" t="n">
        <f aca="false">L1300*Assumptions!$E$80</f>
        <v>10000</v>
      </c>
      <c r="M1351" s="54" t="n">
        <f aca="false">M1300*Assumptions!$E$80</f>
        <v>10000</v>
      </c>
      <c r="N1351" s="54" t="n">
        <f aca="false">N1300*Assumptions!$E$80</f>
        <v>10000</v>
      </c>
      <c r="P1351" s="55" t="n">
        <f aca="false">SUM(C1351:F1351)</f>
        <v>14000</v>
      </c>
      <c r="Q1351" s="55" t="n">
        <f aca="false">SUM(G1351:J1351)</f>
        <v>30000</v>
      </c>
      <c r="R1351" s="55" t="n">
        <f aca="false">SUM(K1351:N1351)</f>
        <v>40000</v>
      </c>
      <c r="S1351" s="56" t="n">
        <f aca="false">SUM(P1351:R1351)</f>
        <v>84000</v>
      </c>
    </row>
    <row r="1352" customFormat="false" ht="15" hidden="false" customHeight="false" outlineLevel="0" collapsed="false">
      <c r="A1352" s="4" t="s">
        <v>561</v>
      </c>
      <c r="B1352" s="36" t="s">
        <v>125</v>
      </c>
      <c r="C1352" s="54" t="n">
        <f aca="false">(C1323*$C$1272+C1324*$C$1273)*Assumptions!$E$81</f>
        <v>0</v>
      </c>
      <c r="D1352" s="54" t="n">
        <f aca="false">(D1323*$C$1272+D1324*$C$1273)*Assumptions!$E$81</f>
        <v>309.37224242042</v>
      </c>
      <c r="E1352" s="54" t="n">
        <f aca="false">(E1323*$C$1272+E1324*$C$1273)*Assumptions!$E$81</f>
        <v>849.148110202306</v>
      </c>
      <c r="F1352" s="54" t="n">
        <f aca="false">(F1323*$C$1272+F1324*$C$1273)*Assumptions!$E$81</f>
        <v>1132.40320146438</v>
      </c>
      <c r="G1352" s="54" t="n">
        <f aca="false">(G1323*$C$1272+G1324*$C$1273)*Assumptions!$E$81</f>
        <v>1248.45903605423</v>
      </c>
      <c r="H1352" s="54" t="n">
        <f aca="false">(H1323*$C$1272+H1324*$C$1273)*Assumptions!$E$81</f>
        <v>1474.57856657077</v>
      </c>
      <c r="I1352" s="54" t="n">
        <f aca="false">(I1323*$C$1272+I1324*$C$1273)*Assumptions!$E$81</f>
        <v>1748.5709998975</v>
      </c>
      <c r="J1352" s="54" t="n">
        <f aca="false">(J1323*$C$1272+J1324*$C$1273)*Assumptions!$E$81</f>
        <v>2232.05575526024</v>
      </c>
      <c r="K1352" s="54" t="n">
        <f aca="false">(K1323*$C$1272+K1324*$C$1273)*Assumptions!$E$81</f>
        <v>2863.41437091403</v>
      </c>
      <c r="L1352" s="54" t="n">
        <f aca="false">(L1323*$C$1272+L1324*$C$1273)*Assumptions!$E$81</f>
        <v>3147.85030274329</v>
      </c>
      <c r="M1352" s="54" t="n">
        <f aca="false">(M1323*$C$1272+M1324*$C$1273)*Assumptions!$E$81</f>
        <v>3106.72942647679</v>
      </c>
      <c r="N1352" s="54" t="n">
        <f aca="false">(N1323*$C$1272+N1324*$C$1273)*Assumptions!$E$81</f>
        <v>3013.22096564787</v>
      </c>
      <c r="P1352" s="55" t="n">
        <f aca="false">SUM(C1352:F1352)</f>
        <v>2290.92355408711</v>
      </c>
      <c r="Q1352" s="55" t="n">
        <f aca="false">SUM(G1352:J1352)</f>
        <v>6703.66435778273</v>
      </c>
      <c r="R1352" s="55" t="n">
        <f aca="false">SUM(K1352:N1352)</f>
        <v>12131.215065782</v>
      </c>
      <c r="S1352" s="56" t="n">
        <f aca="false">SUM(P1352:R1352)</f>
        <v>21125.8029776518</v>
      </c>
    </row>
    <row r="1353" customFormat="false" ht="15" hidden="false" customHeight="false" outlineLevel="0" collapsed="false">
      <c r="A1353" s="9" t="s">
        <v>562</v>
      </c>
      <c r="B1353" s="36" t="s">
        <v>125</v>
      </c>
      <c r="C1353" s="55" t="n">
        <f aca="false">C1345+C1346+C1347+C1348+C1349+C1350+C1351+C1352</f>
        <v>59390.3571428571</v>
      </c>
      <c r="D1353" s="55" t="n">
        <f aca="false">D1345+D1346+D1347+D1348+D1349+D1350+D1351+D1352</f>
        <v>22806.0580275825</v>
      </c>
      <c r="E1353" s="55" t="n">
        <f aca="false">E1345+E1346+E1347+E1348+E1349+E1350+E1351+E1352</f>
        <v>26926.1847016645</v>
      </c>
      <c r="F1353" s="55" t="n">
        <f aca="false">F1345+F1346+F1347+F1348+F1349+F1350+F1351+F1352</f>
        <v>29615.9767567643</v>
      </c>
      <c r="G1353" s="55" t="n">
        <f aca="false">G1345+G1346+G1347+G1348+G1349+G1350+G1351+G1352</f>
        <v>71528.5416573001</v>
      </c>
      <c r="H1353" s="55" t="n">
        <f aca="false">H1345+H1346+H1347+H1348+H1349+H1350+H1351+H1352</f>
        <v>34114.9942912854</v>
      </c>
      <c r="I1353" s="55" t="n">
        <f aca="false">I1345+I1346+I1347+I1348+I1349+I1350+I1351+I1352</f>
        <v>76920.9989352686</v>
      </c>
      <c r="J1353" s="55" t="n">
        <f aca="false">J1345+J1346+J1347+J1348+J1349+J1350+J1351+J1352</f>
        <v>41173.2998049113</v>
      </c>
      <c r="K1353" s="55" t="n">
        <f aca="false">K1345+K1346+K1347+K1348+K1349+K1350+K1351+K1352</f>
        <v>46058.4049440093</v>
      </c>
      <c r="L1353" s="55" t="n">
        <f aca="false">L1345+L1346+L1347+L1348+L1349+L1350+L1351+L1352</f>
        <v>47669.4510384361</v>
      </c>
      <c r="M1353" s="55" t="n">
        <f aca="false">M1345+M1346+M1347+M1348+M1349+M1350+M1351+M1352</f>
        <v>47392.1324227357</v>
      </c>
      <c r="N1353" s="55" t="n">
        <f aca="false">N1345+N1346+N1347+N1348+N1349+N1350+N1351+N1352</f>
        <v>46877.2369586254</v>
      </c>
      <c r="P1353" s="55" t="n">
        <f aca="false">SUM(C1353:F1353)</f>
        <v>138738.576628868</v>
      </c>
      <c r="Q1353" s="55" t="n">
        <f aca="false">SUM(G1353:J1353)</f>
        <v>223737.834688765</v>
      </c>
      <c r="R1353" s="55" t="n">
        <f aca="false">SUM(K1353:N1353)</f>
        <v>187997.225363806</v>
      </c>
      <c r="S1353" s="56" t="n">
        <f aca="false">SUM(P1353:R1353)</f>
        <v>550473.63668144</v>
      </c>
    </row>
    <row r="1354" customFormat="false" ht="15" hidden="false" customHeight="false" outlineLevel="0" collapsed="false">
      <c r="A1354" s="4" t="s">
        <v>563</v>
      </c>
      <c r="B1354" s="36" t="s">
        <v>125</v>
      </c>
      <c r="C1354" s="54" t="n">
        <f aca="false">C1342*Assumptions!$E$72/Assumptions!$E$69/4</f>
        <v>28267.8571428571</v>
      </c>
      <c r="D1354" s="54" t="n">
        <f aca="false">D1342*Assumptions!$E$72/Assumptions!$E$69/4</f>
        <v>28267.8571428571</v>
      </c>
      <c r="E1354" s="54" t="n">
        <f aca="false">E1342*Assumptions!$E$72/Assumptions!$E$69/4</f>
        <v>28267.8571428571</v>
      </c>
      <c r="F1354" s="54" t="n">
        <f aca="false">F1342*Assumptions!$E$72/Assumptions!$E$69/4</f>
        <v>28267.8571428571</v>
      </c>
      <c r="G1354" s="54" t="n">
        <f aca="false">G1342*Assumptions!$E$72/Assumptions!$E$69/4</f>
        <v>14133.9285714286</v>
      </c>
      <c r="H1354" s="54" t="n">
        <f aca="false">H1342*Assumptions!$E$72/Assumptions!$E$69/4</f>
        <v>14133.9285714286</v>
      </c>
      <c r="I1354" s="54" t="n">
        <f aca="false">I1342*Assumptions!$E$72/Assumptions!$E$69/4</f>
        <v>14133.9285714286</v>
      </c>
      <c r="J1354" s="54" t="n">
        <f aca="false">J1342*Assumptions!$E$72/Assumptions!$E$69/4</f>
        <v>14133.9285714286</v>
      </c>
      <c r="K1354" s="54" t="n">
        <f aca="false">K1342*Assumptions!$E$72/Assumptions!$E$69/4</f>
        <v>14133.9285714286</v>
      </c>
      <c r="L1354" s="54" t="n">
        <f aca="false">L1342*Assumptions!$E$72/Assumptions!$E$69/4</f>
        <v>14133.9285714286</v>
      </c>
      <c r="M1354" s="54" t="n">
        <f aca="false">M1342*Assumptions!$E$72/Assumptions!$E$69/4</f>
        <v>14133.9285714286</v>
      </c>
      <c r="N1354" s="54" t="n">
        <f aca="false">N1342*Assumptions!$E$72/Assumptions!$E$69/4</f>
        <v>14133.9285714286</v>
      </c>
      <c r="P1354" s="55" t="n">
        <f aca="false">SUM(C1354:F1354)</f>
        <v>113071.428571429</v>
      </c>
      <c r="Q1354" s="55" t="n">
        <f aca="false">SUM(G1354:J1354)</f>
        <v>56535.7142857143</v>
      </c>
      <c r="R1354" s="55" t="n">
        <f aca="false">SUM(K1354:N1354)</f>
        <v>56535.7142857143</v>
      </c>
      <c r="S1354" s="56" t="n">
        <f aca="false">SUM(P1354:R1354)</f>
        <v>226142.857142857</v>
      </c>
    </row>
    <row r="1355" customFormat="false" ht="15" hidden="false" customHeight="false" outlineLevel="0" collapsed="false">
      <c r="A1355" s="4" t="s">
        <v>564</v>
      </c>
      <c r="B1355" s="36" t="s">
        <v>125</v>
      </c>
      <c r="C1355" s="54" t="n">
        <f aca="false">IF(C1280&lt;=Assumptions!$E$83,Assumptions!$E$82*Assumptions!$F$108/Assumptions!$E$83,0)</f>
        <v>37500</v>
      </c>
      <c r="D1355" s="54" t="n">
        <f aca="false">IF(D1280&lt;=Assumptions!$E$83,Assumptions!$E$82*Assumptions!$F$108/Assumptions!$E$83,0)</f>
        <v>37500</v>
      </c>
      <c r="E1355" s="54" t="n">
        <f aca="false">IF(E1280&lt;=Assumptions!$E$83,Assumptions!$E$82*Assumptions!$F$108/Assumptions!$E$83,0)</f>
        <v>37500</v>
      </c>
      <c r="F1355" s="54" t="n">
        <f aca="false">IF(F1280&lt;=Assumptions!$E$83,Assumptions!$E$82*Assumptions!$F$108/Assumptions!$E$83,0)</f>
        <v>37500</v>
      </c>
      <c r="G1355" s="54" t="n">
        <f aca="false">IF(G1280&lt;=Assumptions!$E$83,Assumptions!$E$82*Assumptions!$F$108/Assumptions!$E$83,0)</f>
        <v>0</v>
      </c>
      <c r="H1355" s="54" t="n">
        <f aca="false">IF(H1280&lt;=Assumptions!$E$83,Assumptions!$E$82*Assumptions!$F$108/Assumptions!$E$83,0)</f>
        <v>0</v>
      </c>
      <c r="I1355" s="54" t="n">
        <f aca="false">IF(I1280&lt;=Assumptions!$E$83,Assumptions!$E$82*Assumptions!$F$108/Assumptions!$E$83,0)</f>
        <v>0</v>
      </c>
      <c r="J1355" s="54" t="n">
        <f aca="false">IF(J1280&lt;=Assumptions!$E$83,Assumptions!$E$82*Assumptions!$F$108/Assumptions!$E$83,0)</f>
        <v>0</v>
      </c>
      <c r="K1355" s="54" t="n">
        <f aca="false">IF(K1280&lt;=Assumptions!$E$83,Assumptions!$E$82*Assumptions!$F$108/Assumptions!$E$83,0)</f>
        <v>0</v>
      </c>
      <c r="L1355" s="54" t="n">
        <f aca="false">IF(L1280&lt;=Assumptions!$E$83,Assumptions!$E$82*Assumptions!$F$108/Assumptions!$E$83,0)</f>
        <v>0</v>
      </c>
      <c r="M1355" s="54" t="n">
        <f aca="false">IF(M1280&lt;=Assumptions!$E$83,Assumptions!$E$82*Assumptions!$F$108/Assumptions!$E$83,0)</f>
        <v>0</v>
      </c>
      <c r="N1355" s="54" t="n">
        <f aca="false">IF(N1280&lt;=Assumptions!$E$83,Assumptions!$E$82*Assumptions!$F$108/Assumptions!$E$83,0)</f>
        <v>0</v>
      </c>
      <c r="P1355" s="55" t="n">
        <f aca="false">SUM(C1355:F1355)</f>
        <v>150000</v>
      </c>
      <c r="Q1355" s="55" t="n">
        <f aca="false">SUM(G1355:J1355)</f>
        <v>0</v>
      </c>
      <c r="R1355" s="55" t="n">
        <f aca="false">SUM(K1355:N1355)</f>
        <v>0</v>
      </c>
      <c r="S1355" s="56" t="n">
        <f aca="false">SUM(P1355:R1355)</f>
        <v>150000</v>
      </c>
    </row>
    <row r="1356" customFormat="false" ht="15" hidden="false" customHeight="false" outlineLevel="0" collapsed="false">
      <c r="A1356" s="4" t="s">
        <v>565</v>
      </c>
      <c r="B1356" s="36" t="s">
        <v>125</v>
      </c>
      <c r="C1356" s="54" t="n">
        <f aca="false">C1344*Assumptions!$E$73/Assumptions!$E$69/4</f>
        <v>0</v>
      </c>
      <c r="D1356" s="54" t="n">
        <f aca="false">D1344*Assumptions!$E$73/Assumptions!$E$69/4</f>
        <v>279.879328146925</v>
      </c>
      <c r="E1356" s="54" t="n">
        <f aca="false">E1344*Assumptions!$E$73/Assumptions!$E$69/4</f>
        <v>784.577471938848</v>
      </c>
      <c r="F1356" s="54" t="n">
        <f aca="false">F1344*Assumptions!$E$73/Assumptions!$E$69/4</f>
        <v>1351.30822533974</v>
      </c>
      <c r="G1356" s="54" t="n">
        <f aca="false">G1344*Assumptions!$E$73/Assumptions!$E$69/4</f>
        <v>1961.33444884934</v>
      </c>
      <c r="H1356" s="54" t="n">
        <f aca="false">H1344*Assumptions!$E$73/Assumptions!$E$69/4</f>
        <v>2715.68673391211</v>
      </c>
      <c r="I1356" s="54" t="n">
        <f aca="false">I1344*Assumptions!$E$73/Assumptions!$E$69/4</f>
        <v>3606.60110844985</v>
      </c>
      <c r="J1356" s="54" t="n">
        <f aca="false">J1344*Assumptions!$E$73/Assumptions!$E$69/4</f>
        <v>4843.31368584204</v>
      </c>
      <c r="K1356" s="54" t="n">
        <f aca="false">K1344*Assumptions!$E$73/Assumptions!$E$69/4</f>
        <v>6404.70589904118</v>
      </c>
      <c r="L1356" s="54" t="n">
        <f aca="false">L1344*Assumptions!$E$73/Assumptions!$E$69/4</f>
        <v>7965.11059268534</v>
      </c>
      <c r="M1356" s="54" t="n">
        <f aca="false">M1344*Assumptions!$E$73/Assumptions!$E$69/4</f>
        <v>9436.50216951359</v>
      </c>
      <c r="N1356" s="54" t="n">
        <f aca="false">N1344*Assumptions!$E$73/Assumptions!$E$69/4</f>
        <v>10818.6064785653</v>
      </c>
      <c r="P1356" s="55" t="n">
        <f aca="false">SUM(C1356:F1356)</f>
        <v>2415.76502542551</v>
      </c>
      <c r="Q1356" s="55" t="n">
        <f aca="false">SUM(G1356:J1356)</f>
        <v>13126.9359770533</v>
      </c>
      <c r="R1356" s="55" t="n">
        <f aca="false">SUM(K1356:N1356)</f>
        <v>34624.9251398054</v>
      </c>
      <c r="S1356" s="56" t="n">
        <f aca="false">SUM(P1356:R1356)</f>
        <v>50167.6261422842</v>
      </c>
    </row>
    <row r="1357" customFormat="false" ht="15" hidden="false" customHeight="false" outlineLevel="0" collapsed="false">
      <c r="A1357" s="9" t="s">
        <v>566</v>
      </c>
      <c r="B1357" s="36" t="s">
        <v>125</v>
      </c>
      <c r="C1357" s="55" t="n">
        <f aca="false">C1353+C1354+C1355+C1356</f>
        <v>125158.214285714</v>
      </c>
      <c r="D1357" s="55" t="n">
        <f aca="false">D1353+D1354+D1355+D1356</f>
        <v>88853.7944985866</v>
      </c>
      <c r="E1357" s="55" t="n">
        <f aca="false">E1353+E1354+E1355+E1356</f>
        <v>93478.6193164605</v>
      </c>
      <c r="F1357" s="55" t="n">
        <f aca="false">F1353+F1354+F1355+F1356</f>
        <v>96735.1421249612</v>
      </c>
      <c r="G1357" s="55" t="n">
        <f aca="false">G1353+G1354+G1355+G1356</f>
        <v>87623.804677578</v>
      </c>
      <c r="H1357" s="55" t="n">
        <f aca="false">H1353+H1354+H1355+H1356</f>
        <v>50964.6095966261</v>
      </c>
      <c r="I1357" s="55" t="n">
        <f aca="false">I1353+I1354+I1355+I1356</f>
        <v>94661.528615147</v>
      </c>
      <c r="J1357" s="55" t="n">
        <f aca="false">J1353+J1354+J1355+J1356</f>
        <v>60150.5420621819</v>
      </c>
      <c r="K1357" s="55" t="n">
        <f aca="false">K1353+K1354+K1355+K1356</f>
        <v>66597.0394144791</v>
      </c>
      <c r="L1357" s="55" t="n">
        <f aca="false">L1353+L1354+L1355+L1356</f>
        <v>69768.49020255</v>
      </c>
      <c r="M1357" s="55" t="n">
        <f aca="false">M1353+M1354+M1355+M1356</f>
        <v>70962.5631636779</v>
      </c>
      <c r="N1357" s="55" t="n">
        <f aca="false">N1353+N1354+N1355+N1356</f>
        <v>71829.7720086192</v>
      </c>
      <c r="P1357" s="55" t="n">
        <f aca="false">SUM(C1357:F1357)</f>
        <v>404225.770225723</v>
      </c>
      <c r="Q1357" s="55" t="n">
        <f aca="false">SUM(G1357:J1357)</f>
        <v>293400.484951533</v>
      </c>
      <c r="R1357" s="55" t="n">
        <f aca="false">SUM(K1357:N1357)</f>
        <v>279157.864789326</v>
      </c>
      <c r="S1357" s="56" t="n">
        <f aca="false">SUM(P1357:R1357)</f>
        <v>976784.119966582</v>
      </c>
    </row>
    <row r="1358" customFormat="false" ht="15" hidden="false" customHeight="false" outlineLevel="0" collapsed="false">
      <c r="A1358" s="35" t="s">
        <v>567</v>
      </c>
      <c r="B1358" s="35" t="s">
        <v>444</v>
      </c>
      <c r="C1358" s="6" t="s">
        <v>354</v>
      </c>
      <c r="D1358" s="6" t="s">
        <v>355</v>
      </c>
      <c r="E1358" s="6" t="s">
        <v>356</v>
      </c>
      <c r="F1358" s="6" t="s">
        <v>357</v>
      </c>
      <c r="G1358" s="6" t="s">
        <v>358</v>
      </c>
      <c r="H1358" s="6" t="s">
        <v>359</v>
      </c>
      <c r="I1358" s="6" t="s">
        <v>360</v>
      </c>
      <c r="J1358" s="6" t="s">
        <v>361</v>
      </c>
      <c r="K1358" s="6" t="s">
        <v>362</v>
      </c>
      <c r="L1358" s="6" t="s">
        <v>363</v>
      </c>
      <c r="M1358" s="6" t="s">
        <v>364</v>
      </c>
      <c r="N1358" s="6" t="s">
        <v>365</v>
      </c>
      <c r="P1358" s="6" t="s">
        <v>445</v>
      </c>
      <c r="Q1358" s="6" t="s">
        <v>446</v>
      </c>
      <c r="R1358" s="6" t="s">
        <v>447</v>
      </c>
      <c r="S1358" s="6" t="s">
        <v>448</v>
      </c>
    </row>
    <row r="1359" customFormat="false" ht="15" hidden="false" customHeight="false" outlineLevel="0" collapsed="false">
      <c r="A1359" s="9" t="s">
        <v>568</v>
      </c>
      <c r="B1359" s="36" t="s">
        <v>125</v>
      </c>
      <c r="C1359" s="55" t="n">
        <f aca="false">C1337-C1357</f>
        <v>-125158.214285714</v>
      </c>
      <c r="D1359" s="55" t="n">
        <f aca="false">D1337-D1357</f>
        <v>-88502.9388697125</v>
      </c>
      <c r="E1359" s="55" t="n">
        <f aca="false">E1337-E1357</f>
        <v>-92001.7954600425</v>
      </c>
      <c r="F1359" s="55" t="n">
        <f aca="false">F1337-F1357</f>
        <v>-93510.8529579425</v>
      </c>
      <c r="G1359" s="55" t="n">
        <f aca="false">G1337-G1357</f>
        <v>-82342.3512815067</v>
      </c>
      <c r="H1359" s="55" t="n">
        <f aca="false">H1337-H1357</f>
        <v>-43265.2917485856</v>
      </c>
      <c r="I1359" s="55" t="n">
        <f aca="false">I1337-I1357</f>
        <v>-84026.3283667221</v>
      </c>
      <c r="J1359" s="55" t="n">
        <f aca="false">J1337-J1357</f>
        <v>-45744.6399399858</v>
      </c>
      <c r="K1359" s="55" t="n">
        <f aca="false">K1337-K1357</f>
        <v>-47232.0712282514</v>
      </c>
      <c r="L1359" s="55" t="n">
        <f aca="false">L1337-L1357</f>
        <v>-44619.1751593491</v>
      </c>
      <c r="M1359" s="55" t="n">
        <f aca="false">M1337-M1357</f>
        <v>-39837.7659997005</v>
      </c>
      <c r="N1359" s="55" t="n">
        <f aca="false">N1337-N1357</f>
        <v>-34775.9773586194</v>
      </c>
      <c r="P1359" s="55" t="n">
        <f aca="false">SUM(C1359:F1359)</f>
        <v>-399173.801573412</v>
      </c>
      <c r="Q1359" s="55" t="n">
        <f aca="false">SUM(G1359:J1359)</f>
        <v>-255378.6113368</v>
      </c>
      <c r="R1359" s="55" t="n">
        <f aca="false">SUM(K1359:N1359)</f>
        <v>-166464.98974592</v>
      </c>
      <c r="S1359" s="56" t="n">
        <f aca="false">SUM(P1359:R1359)</f>
        <v>-821017.402656133</v>
      </c>
    </row>
    <row r="1360" customFormat="false" ht="15" hidden="false" customHeight="false" outlineLevel="0" collapsed="false">
      <c r="A1360" s="9" t="s">
        <v>569</v>
      </c>
      <c r="B1360" s="36" t="s">
        <v>125</v>
      </c>
      <c r="C1360" s="55" t="n">
        <f aca="false">0+C1359</f>
        <v>-125158.214285714</v>
      </c>
      <c r="D1360" s="55" t="n">
        <f aca="false">C1360+D1359</f>
        <v>-213661.153155427</v>
      </c>
      <c r="E1360" s="55" t="n">
        <f aca="false">D1360+E1359</f>
        <v>-305662.948615469</v>
      </c>
      <c r="F1360" s="55" t="n">
        <f aca="false">E1360+F1359</f>
        <v>-399173.801573412</v>
      </c>
      <c r="G1360" s="55" t="n">
        <f aca="false">F1360+G1359</f>
        <v>-481516.152854918</v>
      </c>
      <c r="H1360" s="55" t="n">
        <f aca="false">G1360+H1359</f>
        <v>-524781.444603504</v>
      </c>
      <c r="I1360" s="55" t="n">
        <f aca="false">H1360+I1359</f>
        <v>-608807.772970226</v>
      </c>
      <c r="J1360" s="55" t="n">
        <f aca="false">I1360+J1359</f>
        <v>-654552.412910212</v>
      </c>
      <c r="K1360" s="55" t="n">
        <f aca="false">J1360+K1359</f>
        <v>-701784.484138463</v>
      </c>
      <c r="L1360" s="55" t="n">
        <f aca="false">K1360+L1359</f>
        <v>-746403.659297813</v>
      </c>
      <c r="M1360" s="55" t="n">
        <f aca="false">L1360+M1359</f>
        <v>-786241.425297513</v>
      </c>
      <c r="N1360" s="55" t="n">
        <f aca="false">M1360+N1359</f>
        <v>-821017.402656132</v>
      </c>
      <c r="P1360" s="55" t="n">
        <f aca="false">F1360</f>
        <v>-399173.801573412</v>
      </c>
      <c r="Q1360" s="55" t="n">
        <f aca="false">J1360</f>
        <v>-654552.412910212</v>
      </c>
      <c r="R1360" s="55" t="n">
        <f aca="false">N1360</f>
        <v>-821017.402656132</v>
      </c>
      <c r="S1360" s="56" t="n">
        <f aca="false">R1360</f>
        <v>-821017.402656132</v>
      </c>
    </row>
    <row r="1361" customFormat="false" ht="15" hidden="false" customHeight="false" outlineLevel="0" collapsed="false">
      <c r="A1361" s="4" t="s">
        <v>570</v>
      </c>
      <c r="B1361" s="36" t="s">
        <v>107</v>
      </c>
      <c r="C1361" s="57" t="n">
        <f aca="false">1/(1+Assumptions!$E$87)^(C1280/4)</f>
        <v>0.972065420906982</v>
      </c>
      <c r="D1361" s="57" t="n">
        <f aca="false">1/(1+Assumptions!$E$87)^(D1280/4)</f>
        <v>0.944911182523068</v>
      </c>
      <c r="E1361" s="57" t="n">
        <f aca="false">1/(1+Assumptions!$E$87)^(E1280/4)</f>
        <v>0.918515486359</v>
      </c>
      <c r="F1361" s="57" t="n">
        <f aca="false">1/(1+Assumptions!$E$87)^(F1280/4)</f>
        <v>0.892857142857143</v>
      </c>
      <c r="G1361" s="57" t="n">
        <f aca="false">1/(1+Assumptions!$E$87)^(G1280/4)</f>
        <v>0.867915554381234</v>
      </c>
      <c r="H1361" s="57" t="n">
        <f aca="false">1/(1+Assumptions!$E$87)^(H1280/4)</f>
        <v>0.843670698681311</v>
      </c>
      <c r="I1361" s="57" t="n">
        <f aca="false">1/(1+Assumptions!$E$87)^(I1280/4)</f>
        <v>0.820103112820536</v>
      </c>
      <c r="J1361" s="57" t="n">
        <f aca="false">1/(1+Assumptions!$E$87)^(J1280/4)</f>
        <v>0.79719387755102</v>
      </c>
      <c r="K1361" s="57" t="n">
        <f aca="false">1/(1+Assumptions!$E$87)^(K1280/4)</f>
        <v>0.774924602126102</v>
      </c>
      <c r="L1361" s="57" t="n">
        <f aca="false">1/(1+Assumptions!$E$87)^(L1280/4)</f>
        <v>0.753277409536885</v>
      </c>
      <c r="M1361" s="57" t="n">
        <f aca="false">1/(1+Assumptions!$E$87)^(M1280/4)</f>
        <v>0.732234922161193</v>
      </c>
      <c r="N1361" s="57" t="n">
        <f aca="false">1/(1+Assumptions!$E$87)^(N1280/4)</f>
        <v>0.711780247813411</v>
      </c>
      <c r="P1361" s="58"/>
      <c r="Q1361" s="58"/>
      <c r="R1361" s="58"/>
      <c r="S1361" s="59"/>
    </row>
    <row r="1362" customFormat="false" ht="15" hidden="false" customHeight="false" outlineLevel="0" collapsed="false">
      <c r="A1362" s="4" t="s">
        <v>571</v>
      </c>
      <c r="B1362" s="36" t="s">
        <v>125</v>
      </c>
      <c r="C1362" s="54" t="n">
        <f aca="false">(C1337*(1-Assumptions!$E$88)-C1357)*C1361</f>
        <v>-121661.972249609</v>
      </c>
      <c r="D1362" s="54" t="n">
        <f aca="false">(D1337*(1-Assumptions!$E$88)-D1357)*D1361</f>
        <v>-83693.7221055817</v>
      </c>
      <c r="E1362" s="54" t="n">
        <f aca="false">(E1337*(1-Assumptions!$E$88)-E1357)*E1361</f>
        <v>-84776.371019431</v>
      </c>
      <c r="F1362" s="54" t="n">
        <f aca="false">(F1337*(1-Assumptions!$E$88)-F1357)*F1361</f>
        <v>-84067.5989208449</v>
      </c>
      <c r="G1362" s="54" t="n">
        <f aca="false">(G1337*(1-Assumptions!$E$88)-G1357)*G1361</f>
        <v>-72382.9785719811</v>
      </c>
      <c r="H1362" s="54" t="n">
        <f aca="false">(H1337*(1-Assumptions!$E$88)-H1357)*H1361</f>
        <v>-37800.7966918251</v>
      </c>
      <c r="I1362" s="54" t="n">
        <f aca="false">(I1337*(1-Assumptions!$E$88)-I1357)*I1361</f>
        <v>-70654.6456182699</v>
      </c>
      <c r="J1362" s="54" t="n">
        <f aca="false">(J1337*(1-Assumptions!$E$88)-J1357)*J1361</f>
        <v>-38764.2062854154</v>
      </c>
      <c r="K1362" s="54" t="n">
        <f aca="false">(K1337*(1-Assumptions!$E$88)-K1357)*K1361</f>
        <v>-39602.5720575238</v>
      </c>
      <c r="L1362" s="54" t="n">
        <f aca="false">(L1337*(1-Assumptions!$E$88)-L1357)*L1361</f>
        <v>-37399.4988571809</v>
      </c>
      <c r="M1362" s="54" t="n">
        <f aca="false">(M1337*(1-Assumptions!$E$88)-M1357)*M1361</f>
        <v>-33728.7361715961</v>
      </c>
      <c r="N1362" s="54" t="n">
        <f aca="false">(N1337*(1-Assumptions!$E$88)-N1357)*N1361</f>
        <v>-30027.6856099525</v>
      </c>
      <c r="P1362" s="55" t="n">
        <f aca="false">SUM(C1362:F1362)</f>
        <v>-374199.664295467</v>
      </c>
      <c r="Q1362" s="55" t="n">
        <f aca="false">SUM(G1362:J1362)</f>
        <v>-219602.627167492</v>
      </c>
      <c r="R1362" s="55" t="n">
        <f aca="false">SUM(K1362:N1362)</f>
        <v>-140758.492696253</v>
      </c>
      <c r="S1362" s="56" t="n">
        <f aca="false">SUM(P1362:R1362)</f>
        <v>-734560.784159211</v>
      </c>
    </row>
    <row r="1363" customFormat="false" ht="15" hidden="false" customHeight="false" outlineLevel="0" collapsed="false">
      <c r="A1363" s="4" t="s">
        <v>572</v>
      </c>
      <c r="B1363" s="36" t="s">
        <v>125</v>
      </c>
      <c r="C1363" s="54" t="n">
        <f aca="false">(C1357-C1356)*12/(Assumptions!$E$89*Assumptions!$E$76)*Assumptions!$E$90</f>
        <v>86647.9945054945</v>
      </c>
      <c r="D1363" s="54" t="n">
        <f aca="false">(D1357-D1356)*12/(Assumptions!$E$89*Assumptions!$E$76)*Assumptions!$E$90</f>
        <v>61320.4028103043</v>
      </c>
      <c r="E1363" s="54" t="n">
        <f aca="false">(E1357-E1356)*12/(Assumptions!$E$89*Assumptions!$E$76)*Assumptions!$E$90</f>
        <v>64172.7982000535</v>
      </c>
      <c r="F1363" s="54" t="n">
        <f aca="false">(F1357-F1356)*12/(Assumptions!$E$89*Assumptions!$E$76)*Assumptions!$E$90</f>
        <v>66034.9619305072</v>
      </c>
      <c r="G1363" s="54" t="n">
        <f aca="false">(G1357-G1356)*12/(Assumptions!$E$89*Assumptions!$E$76)*Assumptions!$E$90</f>
        <v>59304.7870814276</v>
      </c>
      <c r="H1363" s="54" t="n">
        <f aca="false">(H1357-H1356)*12/(Assumptions!$E$89*Assumptions!$E$76)*Assumptions!$E$90</f>
        <v>33403.1004434174</v>
      </c>
      <c r="I1363" s="54" t="n">
        <f aca="false">(I1357-I1356)*12/(Assumptions!$E$89*Assumptions!$E$76)*Assumptions!$E$90</f>
        <v>63038.0267354057</v>
      </c>
      <c r="J1363" s="54" t="n">
        <f aca="false">(J1357-J1356)*12/(Assumptions!$E$89*Assumptions!$E$76)*Assumptions!$E$90</f>
        <v>38289.6196451584</v>
      </c>
      <c r="K1363" s="54" t="n">
        <f aca="false">(K1357-K1356)*12/(Assumptions!$E$89*Assumptions!$E$76)*Assumptions!$E$90</f>
        <v>41671.6155106878</v>
      </c>
      <c r="L1363" s="54" t="n">
        <f aca="false">(L1357-L1356)*12/(Assumptions!$E$89*Assumptions!$E$76)*Assumptions!$E$90</f>
        <v>42786.9551145217</v>
      </c>
      <c r="M1363" s="54" t="n">
        <f aca="false">(M1357-M1356)*12/(Assumptions!$E$89*Assumptions!$E$76)*Assumptions!$E$90</f>
        <v>42594.9653036522</v>
      </c>
      <c r="N1363" s="54" t="n">
        <f aca="false">(N1357-N1356)*12/(Assumptions!$E$89*Assumptions!$E$76)*Assumptions!$E$90</f>
        <v>42238.4992131143</v>
      </c>
      <c r="P1363" s="55" t="n">
        <f aca="false">SUM(C1363:F1363)</f>
        <v>278176.157446359</v>
      </c>
      <c r="Q1363" s="55" t="n">
        <f aca="false">SUM(G1363:J1363)</f>
        <v>194035.533905409</v>
      </c>
      <c r="R1363" s="55" t="n">
        <f aca="false">SUM(K1363:N1363)</f>
        <v>169292.035141976</v>
      </c>
      <c r="S1363" s="56" t="n">
        <f aca="false">SUM(P1363:R1363)</f>
        <v>641503.726493744</v>
      </c>
    </row>
    <row r="1364" customFormat="false" ht="15" hidden="false" customHeight="false" outlineLevel="0" collapsed="false">
      <c r="A1364" s="4" t="s">
        <v>573</v>
      </c>
      <c r="B1364" s="36" t="s">
        <v>125</v>
      </c>
      <c r="C1364" s="54" t="n">
        <f aca="false">0*Assumptions!$E$92^(1/4)+C1363</f>
        <v>86647.9945054945</v>
      </c>
      <c r="D1364" s="54" t="n">
        <f aca="false">C1364*Assumptions!$E$92^(1/4)+D1363</f>
        <v>148184.209683341</v>
      </c>
      <c r="E1364" s="54" t="n">
        <f aca="false">D1364*Assumptions!$E$92^(1/4)+E1363</f>
        <v>212726.087229162</v>
      </c>
      <c r="F1364" s="54" t="n">
        <f aca="false">E1364*Assumptions!$E$92^(1/4)+F1363</f>
        <v>279290.881624747</v>
      </c>
      <c r="G1364" s="54" t="n">
        <f aca="false">F1364*Assumptions!$E$92^(1/4)+G1363</f>
        <v>339291.292727716</v>
      </c>
      <c r="H1364" s="54" t="n">
        <f aca="false">G1364*Assumptions!$E$92^(1/4)+H1363</f>
        <v>373539.45897546</v>
      </c>
      <c r="I1364" s="54" t="n">
        <f aca="false">H1364*Assumptions!$E$92^(1/4)+I1363</f>
        <v>437507.852714418</v>
      </c>
      <c r="J1364" s="54" t="n">
        <f aca="false">I1364*Assumptions!$E$92^(1/4)+J1363</f>
        <v>476887.164118185</v>
      </c>
      <c r="K1364" s="54" t="n">
        <f aca="false">J1364*Assumptions!$E$92^(1/4)+K1363</f>
        <v>519746.552623808</v>
      </c>
      <c r="L1364" s="54" t="n">
        <f aca="false">K1364*Assumptions!$E$92^(1/4)+L1363</f>
        <v>563828.029725639</v>
      </c>
      <c r="M1364" s="54" t="n">
        <f aca="false">L1364*Assumptions!$E$92^(1/4)+M1363</f>
        <v>607827.309839763</v>
      </c>
      <c r="N1364" s="54" t="n">
        <f aca="false">M1364*Assumptions!$E$92^(1/4)+N1363</f>
        <v>651579.711960175</v>
      </c>
      <c r="P1364" s="55" t="n">
        <f aca="false">F1364</f>
        <v>279290.881624747</v>
      </c>
      <c r="Q1364" s="55" t="n">
        <f aca="false">J1364</f>
        <v>476887.164118185</v>
      </c>
      <c r="R1364" s="55" t="n">
        <f aca="false">N1364</f>
        <v>651579.711960175</v>
      </c>
      <c r="S1364" s="56" t="n">
        <f aca="false">R1364</f>
        <v>651579.711960175</v>
      </c>
    </row>
    <row r="1365" customFormat="false" ht="15" hidden="false" customHeight="false" outlineLevel="0" collapsed="false">
      <c r="A1365" s="4" t="s">
        <v>574</v>
      </c>
      <c r="B1365" s="36" t="s">
        <v>125</v>
      </c>
      <c r="C1365" s="54" t="n">
        <f aca="false">(0+C1364)/8*Assumptions!$E$76-(C1357-C1356)-C1364*Assumptions!$E$93/4</f>
        <v>-119201.164663462</v>
      </c>
      <c r="D1365" s="54" t="n">
        <f aca="false">(C1364+D1364)/8*Assumptions!$E$76-(D1357-D1356)-D1364*Assumptions!$E$93/4</f>
        <v>-71346.1012011385</v>
      </c>
      <c r="E1365" s="54" t="n">
        <f aca="false">(D1364+E1364)/8*Assumptions!$E$76-(E1357-E1356)-E1364*Assumptions!$E$93/4</f>
        <v>-66029.1563107453</v>
      </c>
      <c r="F1365" s="54" t="n">
        <f aca="false">(E1364+F1364)/8*Assumptions!$E$76-(F1357-F1356)-F1364*Assumptions!$E$93/4</f>
        <v>-58898.5912005507</v>
      </c>
      <c r="G1365" s="54" t="n">
        <f aca="false">(F1364+G1364)/8*Assumptions!$E$76-(G1357-G1356)-G1364*Assumptions!$E$93/4</f>
        <v>-39643.8097216875</v>
      </c>
      <c r="H1365" s="54" t="n">
        <f aca="false">(G1364+H1364)/8*Assumptions!$E$76-(H1357-H1356)-H1364*Assumptions!$E$93/4</f>
        <v>4999.33247597582</v>
      </c>
      <c r="I1365" s="54" t="n">
        <f aca="false">(H1364+I1364)/8*Assumptions!$E$76-(I1357-I1356)-I1364*Assumptions!$E$93/4</f>
        <v>-30626.1815908248</v>
      </c>
      <c r="J1365" s="54" t="n">
        <f aca="false">(I1364+J1364)/8*Assumptions!$E$76-(J1357-J1356)-J1364*Assumptions!$E$93/4</f>
        <v>13026.2771898319</v>
      </c>
      <c r="K1365" s="54" t="n">
        <f aca="false">(J1364+K1364)/8*Assumptions!$E$76-(K1357-K1356)-K1364*Assumptions!$E$93/4</f>
        <v>14287.3240620515</v>
      </c>
      <c r="L1365" s="54" t="n">
        <f aca="false">(K1364+L1364)/8*Assumptions!$E$76-(L1357-L1356)-L1364*Assumptions!$E$93/4</f>
        <v>19189.2048344574</v>
      </c>
      <c r="M1365" s="54" t="n">
        <f aca="false">(L1364+M1364)/8*Assumptions!$E$76-(M1357-M1356)-M1364*Assumptions!$E$93/4</f>
        <v>26073.0939725276</v>
      </c>
      <c r="N1365" s="54" t="n">
        <f aca="false">(M1364+N1364)/8*Assumptions!$E$76-(N1357-N1356)-N1364*Assumptions!$E$93/4</f>
        <v>33170.9085916889</v>
      </c>
      <c r="P1365" s="55" t="n">
        <f aca="false">SUM(C1365:F1365)</f>
        <v>-315475.013375896</v>
      </c>
      <c r="Q1365" s="55" t="n">
        <f aca="false">SUM(G1365:J1365)</f>
        <v>-52244.3816467047</v>
      </c>
      <c r="R1365" s="55" t="n">
        <f aca="false">SUM(K1365:N1365)</f>
        <v>92720.5314607254</v>
      </c>
      <c r="S1365" s="56" t="n">
        <f aca="false">SUM(P1365:R1365)</f>
        <v>-274998.863561875</v>
      </c>
    </row>
    <row r="1366" customFormat="false" ht="15" hidden="false" customHeight="false" outlineLevel="0" collapsed="false">
      <c r="A1366" s="4" t="s">
        <v>575</v>
      </c>
      <c r="B1366" s="36" t="s">
        <v>125</v>
      </c>
      <c r="C1366" s="54" t="n">
        <f aca="false">C1365*C1361</f>
        <v>-115871.33030119</v>
      </c>
      <c r="D1366" s="54" t="n">
        <f aca="false">D1365*D1361</f>
        <v>-67415.7288543783</v>
      </c>
      <c r="E1366" s="54" t="n">
        <f aca="false">E1365*E1361</f>
        <v>-60648.8026226387</v>
      </c>
      <c r="F1366" s="54" t="n">
        <f aca="false">F1365*F1361</f>
        <v>-52588.0278576345</v>
      </c>
      <c r="G1366" s="54" t="n">
        <f aca="false">G1365*G1361</f>
        <v>-34407.4790923826</v>
      </c>
      <c r="H1366" s="54" t="n">
        <f aca="false">H1365*H1361</f>
        <v>4217.79032294669</v>
      </c>
      <c r="I1366" s="54" t="n">
        <f aca="false">I1365*I1361</f>
        <v>-25116.6268564424</v>
      </c>
      <c r="J1366" s="54" t="n">
        <f aca="false">J1365*J1361</f>
        <v>10384.4684230165</v>
      </c>
      <c r="K1366" s="54" t="n">
        <f aca="false">K1365*K1361</f>
        <v>11071.5989142319</v>
      </c>
      <c r="L1366" s="54" t="n">
        <f aca="false">L1365*L1361</f>
        <v>14454.7945087727</v>
      </c>
      <c r="M1366" s="54" t="n">
        <f aca="false">M1365*M1361</f>
        <v>19091.6299354752</v>
      </c>
      <c r="N1366" s="54" t="n">
        <f aca="false">N1365*N1361</f>
        <v>23610.3975375883</v>
      </c>
      <c r="P1366" s="55" t="n">
        <f aca="false">SUM(C1366:F1366)</f>
        <v>-296523.889635842</v>
      </c>
      <c r="Q1366" s="55" t="n">
        <f aca="false">SUM(G1366:J1366)</f>
        <v>-44921.8472028618</v>
      </c>
      <c r="R1366" s="55" t="n">
        <f aca="false">SUM(K1366:N1366)</f>
        <v>68228.4208960682</v>
      </c>
      <c r="S1366" s="56" t="n">
        <f aca="false">SUM(P1366:R1366)</f>
        <v>-273217.315942635</v>
      </c>
    </row>
    <row r="1367" customFormat="false" ht="15" hidden="false" customHeight="false" outlineLevel="0" collapsed="false">
      <c r="A1367" s="4" t="s">
        <v>576</v>
      </c>
      <c r="B1367" s="36"/>
      <c r="C1367" s="37" t="n">
        <f aca="false">IFERROR((S1322*$C$1271*Assumptions!$E$59+S1323*$C$1272*Assumptions!$E$60+S1324*$C$1273*Assumptions!$E$61)/(S1322*$C$1271+S1323*$C$1272+S1324*$C$1273),0.9)</f>
        <v>0.897380066550482</v>
      </c>
    </row>
    <row r="1368" customFormat="false" ht="15" hidden="false" customHeight="false" outlineLevel="0" collapsed="false">
      <c r="A1368" s="4" t="s">
        <v>577</v>
      </c>
      <c r="B1368" s="36"/>
      <c r="C1368" s="37" t="n">
        <f aca="false">IFERROR(N1356*4/N1334,0)</f>
        <v>0.175800319436814</v>
      </c>
    </row>
    <row r="1369" customFormat="false" ht="15" hidden="false" customHeight="false" outlineLevel="0" collapsed="false">
      <c r="A1369" s="4" t="s">
        <v>578</v>
      </c>
      <c r="B1369" s="36"/>
      <c r="C1369" s="60" t="n">
        <f aca="false">$C$1367/(1+Assumptions!$E$87)</f>
        <v>0.801232202277216</v>
      </c>
    </row>
    <row r="1370" customFormat="false" ht="15" hidden="false" customHeight="false" outlineLevel="0" collapsed="false">
      <c r="A1370" s="4" t="s">
        <v>579</v>
      </c>
      <c r="B1370" s="36"/>
      <c r="C1370" s="60" t="n">
        <f aca="false">Assumptions!$E$91/(1+Assumptions!$E$87)</f>
        <v>0.803571428571429</v>
      </c>
    </row>
    <row r="1371" customFormat="false" ht="15" hidden="false" customHeight="false" outlineLevel="0" collapsed="false">
      <c r="A1371" s="35" t="s">
        <v>580</v>
      </c>
      <c r="B1371" s="35" t="s">
        <v>444</v>
      </c>
      <c r="C1371" s="6" t="s">
        <v>354</v>
      </c>
      <c r="D1371" s="6" t="s">
        <v>355</v>
      </c>
      <c r="E1371" s="6" t="s">
        <v>356</v>
      </c>
      <c r="F1371" s="6" t="s">
        <v>357</v>
      </c>
      <c r="G1371" s="6" t="s">
        <v>358</v>
      </c>
      <c r="H1371" s="6" t="s">
        <v>359</v>
      </c>
      <c r="I1371" s="6" t="s">
        <v>360</v>
      </c>
      <c r="J1371" s="6" t="s">
        <v>361</v>
      </c>
      <c r="K1371" s="6" t="s">
        <v>362</v>
      </c>
      <c r="L1371" s="6" t="s">
        <v>363</v>
      </c>
      <c r="M1371" s="6" t="s">
        <v>364</v>
      </c>
      <c r="N1371" s="6" t="s">
        <v>365</v>
      </c>
      <c r="P1371" s="6" t="s">
        <v>445</v>
      </c>
      <c r="Q1371" s="6" t="s">
        <v>446</v>
      </c>
      <c r="R1371" s="6" t="s">
        <v>447</v>
      </c>
      <c r="S1371" s="6" t="s">
        <v>448</v>
      </c>
    </row>
    <row r="1372" customFormat="false" ht="15" hidden="false" customHeight="false" outlineLevel="0" collapsed="false">
      <c r="A1372" s="9" t="s">
        <v>581</v>
      </c>
      <c r="C1372" s="61" t="n">
        <f aca="false">N1334</f>
        <v>246156.696716439</v>
      </c>
      <c r="D1372" s="61"/>
    </row>
    <row r="1373" customFormat="false" ht="15" hidden="false" customHeight="false" outlineLevel="0" collapsed="false">
      <c r="A1373" s="9" t="s">
        <v>582</v>
      </c>
      <c r="C1373" s="62" t="n">
        <f aca="false">N1330</f>
        <v>23.9042845832178</v>
      </c>
      <c r="D1373" s="62"/>
    </row>
    <row r="1374" customFormat="false" ht="15" hidden="false" customHeight="false" outlineLevel="0" collapsed="false">
      <c r="A1374" s="9" t="s">
        <v>583</v>
      </c>
      <c r="C1374" s="63" t="n">
        <f aca="false">S1325</f>
        <v>26.4326016371775</v>
      </c>
      <c r="D1374" s="63"/>
    </row>
    <row r="1375" customFormat="false" ht="15" hidden="false" customHeight="false" outlineLevel="0" collapsed="false">
      <c r="A1375" s="9" t="s">
        <v>584</v>
      </c>
      <c r="C1375" s="61" t="n">
        <f aca="false">S1336</f>
        <v>239641.103554537</v>
      </c>
      <c r="D1375" s="61"/>
    </row>
    <row r="1376" customFormat="false" ht="15" hidden="false" customHeight="false" outlineLevel="0" collapsed="false">
      <c r="A1376" s="9" t="s">
        <v>22</v>
      </c>
      <c r="C1376" s="61" t="n">
        <f aca="false">IFERROR(S1335/S1325,0)</f>
        <v>8850.61264734639</v>
      </c>
      <c r="D1376" s="61"/>
    </row>
    <row r="1377" customFormat="false" ht="15" hidden="false" customHeight="false" outlineLevel="0" collapsed="false">
      <c r="A1377" s="9" t="s">
        <v>585</v>
      </c>
      <c r="C1377" s="61" t="n">
        <f aca="false">IFERROR(S1353/S1325,0)</f>
        <v>20825.5564184495</v>
      </c>
      <c r="D1377" s="61"/>
    </row>
    <row r="1378" customFormat="false" ht="23.85" hidden="false" customHeight="false" outlineLevel="0" collapsed="false">
      <c r="A1378" s="9" t="s">
        <v>586</v>
      </c>
      <c r="C1378" s="61" t="n">
        <f aca="false">IFERROR((S1347+S1349+S1350+S1351+S1352)/S1325,0)</f>
        <v>17470.446432244</v>
      </c>
      <c r="D1378" s="61"/>
    </row>
    <row r="1379" customFormat="false" ht="15" hidden="false" customHeight="false" outlineLevel="0" collapsed="false">
      <c r="A1379" s="9" t="s">
        <v>587</v>
      </c>
      <c r="C1379" s="64" t="n">
        <f aca="false">IFERROR('Engine Runs'!$C$1377/('Engine Runs'!$C$1376*Assumptions!$E$76/12),0)</f>
        <v>43.4401352902297</v>
      </c>
      <c r="D1379" s="64"/>
    </row>
    <row r="1380" customFormat="false" ht="15" hidden="false" customHeight="false" outlineLevel="0" collapsed="false">
      <c r="A1380" s="9" t="s">
        <v>588</v>
      </c>
      <c r="C1380" s="64" t="n">
        <f aca="false">IFERROR((R1353/R1325)/((R1335/R1325)*Assumptions!$E$76/12),0)</f>
        <v>25.7096596243456</v>
      </c>
      <c r="D1380" s="64"/>
    </row>
    <row r="1381" customFormat="false" ht="15" hidden="false" customHeight="false" outlineLevel="0" collapsed="false">
      <c r="A1381" s="9" t="s">
        <v>589</v>
      </c>
      <c r="C1381" s="61" t="n">
        <f aca="false">S1357</f>
        <v>976784.119966582</v>
      </c>
      <c r="D1381" s="61"/>
    </row>
    <row r="1382" customFormat="false" ht="15" hidden="false" customHeight="false" outlineLevel="0" collapsed="false">
      <c r="A1382" s="9" t="s">
        <v>590</v>
      </c>
      <c r="C1382" s="61" t="n">
        <f aca="false">N1360</f>
        <v>-821017.402656132</v>
      </c>
      <c r="D1382" s="61"/>
    </row>
    <row r="1383" customFormat="false" ht="15" hidden="false" customHeight="false" outlineLevel="0" collapsed="false">
      <c r="A1383" s="9" t="s">
        <v>591</v>
      </c>
      <c r="C1383" s="61" t="n">
        <f aca="false">MIN($C$1360:$N$1360)</f>
        <v>-821017.402656132</v>
      </c>
      <c r="D1383" s="61"/>
    </row>
    <row r="1384" customFormat="false" ht="15" hidden="false" customHeight="false" outlineLevel="0" collapsed="false">
      <c r="A1384" s="9" t="s">
        <v>592</v>
      </c>
      <c r="C1384" s="61" t="n">
        <f aca="false">N1334*(Assumptions!$E$76-$C$1368)*$C$1367*(1-$C$1367^Assumptions!$E$85)/(1-$C$1367)</f>
        <v>426727.679844827</v>
      </c>
      <c r="D1384" s="61"/>
    </row>
    <row r="1385" customFormat="false" ht="15" hidden="false" customHeight="false" outlineLevel="0" collapsed="false">
      <c r="A1385" s="9" t="s">
        <v>593</v>
      </c>
      <c r="C1385" s="61" t="n">
        <f aca="false">N1334*(Assumptions!$E$76-$C$1368)*(1-Assumptions!$E$88)/(1+Assumptions!$E$87)^2.5*$C$1369*(1-$C$1369^Assumptions!$E$85)/(1-$C$1369)</f>
        <v>189918.820916102</v>
      </c>
      <c r="D1385" s="61"/>
    </row>
    <row r="1386" customFormat="false" ht="15" hidden="false" customHeight="false" outlineLevel="0" collapsed="false">
      <c r="A1386" s="9" t="s">
        <v>594</v>
      </c>
      <c r="C1386" s="61" t="n">
        <f aca="false">SUM($C$1362:$N$1362)+'Engine Runs'!$C$1385</f>
        <v>-544641.96324311</v>
      </c>
      <c r="D1386" s="61"/>
    </row>
    <row r="1387" customFormat="false" ht="15" hidden="false" customHeight="false" outlineLevel="0" collapsed="false">
      <c r="A1387" s="9" t="s">
        <v>595</v>
      </c>
      <c r="C1387" s="61" t="n">
        <f aca="false">SUM($C$1366:$N$1366)+N1364*(Assumptions!$E$76-Assumptions!$E$93)/(1+Assumptions!$E$87)^2.5*$C$1370*(1-$C$1370^Assumptions!$E$85)/(1-$C$1370)</f>
        <v>527863.092334481</v>
      </c>
      <c r="D1387" s="61"/>
    </row>
    <row r="1388" customFormat="false" ht="15" hidden="false" customHeight="false" outlineLevel="0" collapsed="false">
      <c r="A1388" s="9" t="s">
        <v>596</v>
      </c>
      <c r="C1388" s="61" t="n">
        <f aca="false">'Engine Runs'!$C$1386-'Engine Runs'!$C$1387</f>
        <v>-1072505.05557759</v>
      </c>
      <c r="D1388" s="61"/>
    </row>
    <row r="1389" customFormat="false" ht="15" hidden="false" customHeight="false" outlineLevel="0" collapsed="false">
      <c r="A1389" s="9" t="s">
        <v>597</v>
      </c>
      <c r="C1389" s="61" t="n">
        <f aca="false">S1321</f>
        <v>0</v>
      </c>
      <c r="D1389" s="61"/>
    </row>
    <row r="1390" customFormat="false" ht="15" hidden="false" customHeight="false" outlineLevel="0" collapsed="false">
      <c r="A1390" s="9" t="s">
        <v>598</v>
      </c>
      <c r="C1390" s="63" t="n">
        <f aca="false">P1305</f>
        <v>21.1913218619909</v>
      </c>
      <c r="D1390" s="63"/>
    </row>
    <row r="1391" customFormat="false" ht="15" hidden="false" customHeight="false" outlineLevel="0" collapsed="false">
      <c r="A1391" s="9" t="s">
        <v>599</v>
      </c>
      <c r="C1391" s="63" t="n">
        <f aca="false">P1325</f>
        <v>3.00051442615977</v>
      </c>
      <c r="D1391" s="63"/>
    </row>
    <row r="1392" customFormat="false" ht="15" hidden="false" customHeight="false" outlineLevel="0" collapsed="false">
      <c r="A1392" s="9" t="s">
        <v>600</v>
      </c>
      <c r="C1392" s="63" t="n">
        <f aca="false">P1301</f>
        <v>21</v>
      </c>
      <c r="D1392" s="63"/>
    </row>
    <row r="1393" customFormat="false" ht="15" hidden="false" customHeight="false" outlineLevel="0" collapsed="false">
      <c r="A1393" s="9" t="s">
        <v>601</v>
      </c>
      <c r="C1393" s="61" t="n">
        <f aca="false">IFERROR(P1335/P1325,0)</f>
        <v>8544.10501175352</v>
      </c>
      <c r="D1393" s="61"/>
    </row>
    <row r="1396" customFormat="false" ht="15" hidden="false" customHeight="true" outlineLevel="0" collapsed="false">
      <c r="A1396" s="77" t="s">
        <v>783</v>
      </c>
      <c r="B1396" s="77"/>
      <c r="C1396" s="77"/>
      <c r="D1396" s="77"/>
      <c r="E1396" s="77"/>
      <c r="F1396" s="77"/>
      <c r="G1396" s="77"/>
      <c r="H1396" s="77"/>
      <c r="I1396" s="77"/>
      <c r="J1396" s="77"/>
      <c r="K1396" s="77"/>
      <c r="L1396" s="77"/>
      <c r="M1396" s="77"/>
      <c r="N1396" s="77"/>
    </row>
    <row r="1397" customFormat="false" ht="23.85" hidden="false" customHeight="false" outlineLevel="0" collapsed="false">
      <c r="A1397" s="35" t="s">
        <v>784</v>
      </c>
      <c r="B1397" s="35" t="s">
        <v>444</v>
      </c>
      <c r="C1397" s="6" t="s">
        <v>354</v>
      </c>
      <c r="D1397" s="6" t="s">
        <v>355</v>
      </c>
      <c r="E1397" s="6" t="s">
        <v>356</v>
      </c>
      <c r="F1397" s="6" t="s">
        <v>357</v>
      </c>
      <c r="G1397" s="6" t="s">
        <v>358</v>
      </c>
      <c r="H1397" s="6" t="s">
        <v>359</v>
      </c>
      <c r="I1397" s="6" t="s">
        <v>360</v>
      </c>
      <c r="J1397" s="6" t="s">
        <v>361</v>
      </c>
      <c r="K1397" s="6" t="s">
        <v>362</v>
      </c>
      <c r="L1397" s="6" t="s">
        <v>363</v>
      </c>
      <c r="M1397" s="6" t="s">
        <v>364</v>
      </c>
      <c r="N1397" s="6" t="s">
        <v>365</v>
      </c>
      <c r="P1397" s="6" t="s">
        <v>445</v>
      </c>
      <c r="Q1397" s="6" t="s">
        <v>446</v>
      </c>
      <c r="R1397" s="6" t="s">
        <v>447</v>
      </c>
      <c r="S1397" s="6" t="s">
        <v>448</v>
      </c>
    </row>
    <row r="1398" customFormat="false" ht="15" hidden="false" customHeight="false" outlineLevel="0" collapsed="false">
      <c r="A1398" s="4" t="s">
        <v>449</v>
      </c>
      <c r="B1398" s="36" t="s">
        <v>450</v>
      </c>
      <c r="C1398" s="34" t="n">
        <f aca="false">'Market Sizing'!$C$17*Assumptions!$F$10*Assumptions!$F$11*(1-Assumptions!$F$12)</f>
        <v>843.03944704</v>
      </c>
    </row>
    <row r="1399" customFormat="false" ht="15" hidden="false" customHeight="false" outlineLevel="0" collapsed="false">
      <c r="A1399" s="4" t="s">
        <v>451</v>
      </c>
      <c r="B1399" s="36" t="s">
        <v>450</v>
      </c>
      <c r="C1399" s="34" t="n">
        <f aca="false">'Market Sizing'!$D$17*Assumptions!$F$10*Assumptions!$F$11*(1-Assumptions!$F$12)</f>
        <v>211.19616</v>
      </c>
    </row>
    <row r="1400" customFormat="false" ht="15" hidden="false" customHeight="false" outlineLevel="0" collapsed="false">
      <c r="A1400" s="4" t="s">
        <v>452</v>
      </c>
      <c r="B1400" s="36" t="s">
        <v>450</v>
      </c>
      <c r="C1400" s="34" t="n">
        <f aca="false">'Market Sizing'!$E$17*Assumptions!$F$10*Assumptions!$F$11*(1-Assumptions!$F$12)</f>
        <v>49.53984</v>
      </c>
    </row>
    <row r="1401" customFormat="false" ht="15" hidden="false" customHeight="false" outlineLevel="0" collapsed="false">
      <c r="A1401" s="4" t="s">
        <v>453</v>
      </c>
      <c r="B1401" s="36"/>
      <c r="C1401" s="34" t="n">
        <f aca="false">$C$1398+$C$1399+$C$1400</f>
        <v>1103.77544704</v>
      </c>
    </row>
    <row r="1402" customFormat="false" ht="15" hidden="false" customHeight="false" outlineLevel="0" collapsed="false">
      <c r="A1402" s="4" t="s">
        <v>454</v>
      </c>
      <c r="B1402" s="36" t="s">
        <v>450</v>
      </c>
      <c r="C1402" s="34" t="n">
        <f aca="false">'Market Sizing'!$C$18*Assumptions!$F$10*Assumptions!$F$11*(1-Assumptions!$F$12)</f>
        <v>612.57706944</v>
      </c>
    </row>
    <row r="1403" customFormat="false" ht="15" hidden="false" customHeight="false" outlineLevel="0" collapsed="false">
      <c r="A1403" s="4" t="s">
        <v>455</v>
      </c>
      <c r="B1403" s="36" t="s">
        <v>450</v>
      </c>
      <c r="C1403" s="34" t="n">
        <f aca="false">'Market Sizing'!$D$18*Assumptions!$F$10*Assumptions!$F$11*(1-Assumptions!$F$12)</f>
        <v>142.10112</v>
      </c>
    </row>
    <row r="1404" customFormat="false" ht="15" hidden="false" customHeight="false" outlineLevel="0" collapsed="false">
      <c r="A1404" s="4" t="s">
        <v>456</v>
      </c>
      <c r="B1404" s="36" t="s">
        <v>450</v>
      </c>
      <c r="C1404" s="34" t="n">
        <f aca="false">'Market Sizing'!$E$18*Assumptions!$F$10*Assumptions!$F$11*(1-Assumptions!$F$12)</f>
        <v>24.76992</v>
      </c>
    </row>
    <row r="1405" customFormat="false" ht="15" hidden="false" customHeight="false" outlineLevel="0" collapsed="false">
      <c r="A1405" s="4" t="s">
        <v>457</v>
      </c>
      <c r="B1405" s="36"/>
      <c r="C1405" s="34" t="n">
        <f aca="false">$C$1402+$C$1403+$C$1404</f>
        <v>779.44810944</v>
      </c>
    </row>
    <row r="1406" customFormat="false" ht="15" hidden="false" customHeight="false" outlineLevel="0" collapsed="false">
      <c r="A1406" s="4" t="s">
        <v>458</v>
      </c>
      <c r="B1406" s="36" t="s">
        <v>450</v>
      </c>
      <c r="C1406" s="34" t="n">
        <f aca="false">'Market Sizing'!$C$19*Assumptions!$F$10*Assumptions!$F$11*(1-Assumptions!$F$12)</f>
        <v>2060.77303936</v>
      </c>
    </row>
    <row r="1407" customFormat="false" ht="15" hidden="false" customHeight="false" outlineLevel="0" collapsed="false">
      <c r="A1407" s="4" t="s">
        <v>459</v>
      </c>
      <c r="B1407" s="36" t="s">
        <v>450</v>
      </c>
      <c r="C1407" s="34" t="n">
        <f aca="false">'Market Sizing'!$D$19*Assumptions!$F$10*Assumptions!$F$11*(1-Assumptions!$F$12)</f>
        <v>428.47616</v>
      </c>
    </row>
    <row r="1408" customFormat="false" ht="15" hidden="false" customHeight="false" outlineLevel="0" collapsed="false">
      <c r="A1408" s="4" t="s">
        <v>460</v>
      </c>
      <c r="B1408" s="36" t="s">
        <v>450</v>
      </c>
      <c r="C1408" s="34" t="n">
        <f aca="false">'Market Sizing'!$E$19*Assumptions!$F$10*Assumptions!$F$11*(1-Assumptions!$F$12)</f>
        <v>79.52448</v>
      </c>
    </row>
    <row r="1409" customFormat="false" ht="15" hidden="false" customHeight="false" outlineLevel="0" collapsed="false">
      <c r="A1409" s="4" t="s">
        <v>461</v>
      </c>
      <c r="B1409" s="36"/>
      <c r="C1409" s="34" t="n">
        <f aca="false">$C$1406+$C$1407+$C$1408</f>
        <v>2568.77367936</v>
      </c>
    </row>
    <row r="1410" customFormat="false" ht="15" hidden="false" customHeight="false" outlineLevel="0" collapsed="false">
      <c r="A1410" s="4" t="s">
        <v>462</v>
      </c>
      <c r="B1410" s="36" t="s">
        <v>463</v>
      </c>
      <c r="C1410" s="33" t="n">
        <f aca="false">MAX((Assumptions!$F$51+Assumptions!$F$53)*12,(((('Market Sizing'!$E$25*Assumptions!$F$41*Assumptions!$F$42*Assumptions!$F$43)*Assumptions!$F$44)*Assumptions!$F$45*Assumptions!$F$46+('Market Sizing'!$E$25*Assumptions!$F$41*Assumptions!$F$42*Assumptions!$F$43)*Assumptions!$F$47+('Market Sizing'!$E$25*Assumptions!$F$41*Assumptions!$F$42*Assumptions!$F$43)*Assumptions!$F$48*Assumptions!$F$49)*(Assumptions!$F$51*12/Assumptions!$F$52)+((('Market Sizing'!$E$25*Assumptions!$F$41*Assumptions!$F$42*Assumptions!$F$43)*Assumptions!$F$44)*Assumptions!$F$45+('Market Sizing'!$E$25*Assumptions!$F$41*Assumptions!$F$42*Assumptions!$F$43)+('Market Sizing'!$E$25*Assumptions!$F$41*Assumptions!$F$42*Assumptions!$F$43)*Assumptions!$F$48)*Assumptions!$F$50*(Assumptions!$F$53*12/Assumptions!$F$54)))</f>
        <v>5352</v>
      </c>
    </row>
    <row r="1411" customFormat="false" ht="15" hidden="false" customHeight="false" outlineLevel="0" collapsed="false">
      <c r="A1411" s="4" t="s">
        <v>464</v>
      </c>
      <c r="B1411" s="36" t="s">
        <v>463</v>
      </c>
      <c r="C1411" s="33" t="n">
        <f aca="false">MAX((Assumptions!$F$51+Assumptions!$F$53)*12,(((('Market Sizing'!$E$26*Assumptions!$F$41*Assumptions!$F$42*Assumptions!$F$43)*Assumptions!$F$44)*Assumptions!$F$45*Assumptions!$F$46+('Market Sizing'!$E$26*Assumptions!$F$41*Assumptions!$F$42*Assumptions!$F$43)*Assumptions!$F$47+('Market Sizing'!$E$26*Assumptions!$F$41*Assumptions!$F$42*Assumptions!$F$43)*Assumptions!$F$48*Assumptions!$F$49)*(Assumptions!$F$51*12/Assumptions!$F$52)+((('Market Sizing'!$E$26*Assumptions!$F$41*Assumptions!$F$42*Assumptions!$F$43)*Assumptions!$F$44)*Assumptions!$F$45+('Market Sizing'!$E$26*Assumptions!$F$41*Assumptions!$F$42*Assumptions!$F$43)+('Market Sizing'!$E$26*Assumptions!$F$41*Assumptions!$F$42*Assumptions!$F$43)*Assumptions!$F$48)*Assumptions!$F$50*(Assumptions!$F$53*12/Assumptions!$F$54)))</f>
        <v>14650.0801931281</v>
      </c>
    </row>
    <row r="1412" customFormat="false" ht="15" hidden="false" customHeight="false" outlineLevel="0" collapsed="false">
      <c r="A1412" s="4" t="s">
        <v>465</v>
      </c>
      <c r="B1412" s="36" t="s">
        <v>463</v>
      </c>
      <c r="C1412" s="33" t="n">
        <f aca="false">MAX(Assumptions!$F$55*(Assumptions!$F$51*12/Assumptions!$F$52)+Assumptions!$F$56*(Assumptions!$F$53*12/Assumptions!$F$54),(((('Market Sizing'!$E$27*Assumptions!$F$41*Assumptions!$F$42*Assumptions!$F$43)*Assumptions!$F$44)*Assumptions!$F$45*Assumptions!$F$46+('Market Sizing'!$E$27*Assumptions!$F$41*Assumptions!$F$42*Assumptions!$F$43)*Assumptions!$F$47+('Market Sizing'!$E$27*Assumptions!$F$41*Assumptions!$F$42*Assumptions!$F$43)*Assumptions!$F$48*Assumptions!$F$49)*(Assumptions!$F$51*12/Assumptions!$F$52)+((('Market Sizing'!$E$27*Assumptions!$F$41*Assumptions!$F$42*Assumptions!$F$43)*Assumptions!$F$44)*Assumptions!$F$45+('Market Sizing'!$E$27*Assumptions!$F$41*Assumptions!$F$42*Assumptions!$F$43)+('Market Sizing'!$E$27*Assumptions!$F$41*Assumptions!$F$42*Assumptions!$F$43)*Assumptions!$F$48)*Assumptions!$F$50*(Assumptions!$F$53*12/Assumptions!$F$54)))*(1-Assumptions!$F$57)</f>
        <v>92667.3843291578</v>
      </c>
    </row>
    <row r="1413" customFormat="false" ht="23.85" hidden="false" customHeight="false" outlineLevel="0" collapsed="false">
      <c r="A1413" s="4" t="s">
        <v>466</v>
      </c>
      <c r="B1413" s="36" t="s">
        <v>467</v>
      </c>
      <c r="C1413" s="37" t="n">
        <f aca="false">Assumptions!$F$17*Assumptions!$F$106</f>
        <v>0.25</v>
      </c>
    </row>
    <row r="1414" customFormat="false" ht="23.85" hidden="false" customHeight="false" outlineLevel="0" collapsed="false">
      <c r="A1414" s="4" t="s">
        <v>468</v>
      </c>
      <c r="B1414" s="36" t="s">
        <v>469</v>
      </c>
      <c r="C1414" s="33" t="n">
        <f aca="false">Assumptions!$F$68/Assumptions!$F$69</f>
        <v>285714.285714286</v>
      </c>
    </row>
    <row r="1415" customFormat="false" ht="23.85" hidden="false" customHeight="false" outlineLevel="0" collapsed="false">
      <c r="A1415" s="4" t="s">
        <v>470</v>
      </c>
      <c r="B1415" s="36" t="s">
        <v>471</v>
      </c>
      <c r="C1415" s="33" t="n">
        <f aca="false">Assumptions!$F$66*Assumptions!$F$67/4</f>
        <v>185937.5</v>
      </c>
    </row>
    <row r="1416" customFormat="false" ht="15" hidden="false" customHeight="false" outlineLevel="0" collapsed="false">
      <c r="A1416" s="4" t="s">
        <v>472</v>
      </c>
      <c r="B1416" s="36"/>
      <c r="C1416" s="38" t="n">
        <f aca="false">$C$1414/Assumptions!$F$66/Assumptions!$F$67</f>
        <v>0.384153661464586</v>
      </c>
    </row>
    <row r="1417" customFormat="false" ht="15" hidden="false" customHeight="false" outlineLevel="0" collapsed="false">
      <c r="A1417" s="4" t="s">
        <v>473</v>
      </c>
      <c r="B1417" s="36"/>
      <c r="C1417" s="33" t="n">
        <f aca="false">MAX(0,Assumptions!$F$103-Assumptions!$F$78)</f>
        <v>0</v>
      </c>
    </row>
    <row r="1418" customFormat="false" ht="15" hidden="false" customHeight="false" outlineLevel="0" collapsed="false">
      <c r="A1418" s="35" t="s">
        <v>474</v>
      </c>
      <c r="B1418" s="35" t="s">
        <v>444</v>
      </c>
      <c r="C1418" s="6" t="s">
        <v>354</v>
      </c>
      <c r="D1418" s="6" t="s">
        <v>355</v>
      </c>
      <c r="E1418" s="6" t="s">
        <v>356</v>
      </c>
      <c r="F1418" s="6" t="s">
        <v>357</v>
      </c>
      <c r="G1418" s="6" t="s">
        <v>358</v>
      </c>
      <c r="H1418" s="6" t="s">
        <v>359</v>
      </c>
      <c r="I1418" s="6" t="s">
        <v>360</v>
      </c>
      <c r="J1418" s="6" t="s">
        <v>361</v>
      </c>
      <c r="K1418" s="6" t="s">
        <v>362</v>
      </c>
      <c r="L1418" s="6" t="s">
        <v>363</v>
      </c>
      <c r="M1418" s="6" t="s">
        <v>364</v>
      </c>
      <c r="N1418" s="6" t="s">
        <v>365</v>
      </c>
      <c r="P1418" s="6" t="s">
        <v>445</v>
      </c>
      <c r="Q1418" s="6" t="s">
        <v>446</v>
      </c>
      <c r="R1418" s="6" t="s">
        <v>447</v>
      </c>
      <c r="S1418" s="6" t="s">
        <v>448</v>
      </c>
    </row>
    <row r="1419" customFormat="false" ht="15" hidden="false" customHeight="false" outlineLevel="0" collapsed="false">
      <c r="A1419" s="4" t="s">
        <v>475</v>
      </c>
      <c r="B1419" s="36" t="s">
        <v>133</v>
      </c>
      <c r="C1419" s="39" t="n">
        <v>1</v>
      </c>
      <c r="D1419" s="39" t="n">
        <v>2</v>
      </c>
      <c r="E1419" s="39" t="n">
        <v>3</v>
      </c>
      <c r="F1419" s="39" t="n">
        <v>4</v>
      </c>
      <c r="G1419" s="39" t="n">
        <v>5</v>
      </c>
      <c r="H1419" s="39" t="n">
        <v>6</v>
      </c>
      <c r="I1419" s="39" t="n">
        <v>7</v>
      </c>
      <c r="J1419" s="39" t="n">
        <v>8</v>
      </c>
      <c r="K1419" s="39" t="n">
        <v>9</v>
      </c>
      <c r="L1419" s="39" t="n">
        <v>10</v>
      </c>
      <c r="M1419" s="39" t="n">
        <v>11</v>
      </c>
      <c r="N1419" s="39" t="n">
        <v>12</v>
      </c>
      <c r="P1419" s="40"/>
      <c r="Q1419" s="40"/>
      <c r="R1419" s="40"/>
      <c r="S1419" s="41"/>
    </row>
    <row r="1420" customFormat="false" ht="15" hidden="false" customHeight="false" outlineLevel="0" collapsed="false">
      <c r="A1420" s="4" t="s">
        <v>476</v>
      </c>
      <c r="B1420" s="36" t="s">
        <v>343</v>
      </c>
      <c r="C1420" s="39" t="n">
        <f aca="false">IF(C1419&lt;=Assumptions!$F$84,1,0)</f>
        <v>1</v>
      </c>
      <c r="D1420" s="39" t="n">
        <f aca="false">IF(D1419&lt;=Assumptions!$F$84,1,0)</f>
        <v>1</v>
      </c>
      <c r="E1420" s="39" t="n">
        <f aca="false">IF(E1419&lt;=Assumptions!$F$84,1,0)</f>
        <v>1</v>
      </c>
      <c r="F1420" s="39" t="n">
        <f aca="false">IF(F1419&lt;=Assumptions!$F$84,1,0)</f>
        <v>1</v>
      </c>
      <c r="G1420" s="39" t="n">
        <f aca="false">IF(G1419&lt;=Assumptions!$F$84,1,0)</f>
        <v>1</v>
      </c>
      <c r="H1420" s="39" t="n">
        <f aca="false">IF(H1419&lt;=Assumptions!$F$84,1,0)</f>
        <v>1</v>
      </c>
      <c r="I1420" s="39" t="n">
        <f aca="false">IF(I1419&lt;=Assumptions!$F$84,1,0)</f>
        <v>1</v>
      </c>
      <c r="J1420" s="39" t="n">
        <f aca="false">IF(J1419&lt;=Assumptions!$F$84,1,0)</f>
        <v>1</v>
      </c>
      <c r="K1420" s="39" t="n">
        <f aca="false">IF(K1419&lt;=Assumptions!$F$84,1,0)</f>
        <v>1</v>
      </c>
      <c r="L1420" s="39" t="n">
        <f aca="false">IF(L1419&lt;=Assumptions!$F$84,1,0)</f>
        <v>1</v>
      </c>
      <c r="M1420" s="39" t="n">
        <f aca="false">IF(M1419&lt;=Assumptions!$F$84,1,0)</f>
        <v>1</v>
      </c>
      <c r="N1420" s="39" t="n">
        <f aca="false">IF(N1419&lt;=Assumptions!$F$84,1,0)</f>
        <v>1</v>
      </c>
      <c r="P1420" s="40"/>
      <c r="Q1420" s="40"/>
      <c r="R1420" s="40"/>
      <c r="S1420" s="41"/>
    </row>
    <row r="1421" customFormat="false" ht="15" hidden="false" customHeight="false" outlineLevel="0" collapsed="false">
      <c r="A1421" s="4" t="s">
        <v>477</v>
      </c>
      <c r="B1421" s="36" t="s">
        <v>478</v>
      </c>
      <c r="C1421" s="42" t="n">
        <f aca="false">IF(C1419=Assumptions!$F$13,0.5,IF(C1419&gt;Assumptions!$F$13,1,0))</f>
        <v>0.5</v>
      </c>
      <c r="D1421" s="42" t="n">
        <f aca="false">IF(D1419=Assumptions!$F$13,0.5,IF(D1419&gt;Assumptions!$F$13,1,0))</f>
        <v>1</v>
      </c>
      <c r="E1421" s="42" t="n">
        <f aca="false">IF(E1419=Assumptions!$F$13,0.5,IF(E1419&gt;Assumptions!$F$13,1,0))</f>
        <v>1</v>
      </c>
      <c r="F1421" s="42" t="n">
        <f aca="false">IF(F1419=Assumptions!$F$13,0.5,IF(F1419&gt;Assumptions!$F$13,1,0))</f>
        <v>1</v>
      </c>
      <c r="G1421" s="42" t="n">
        <f aca="false">IF(G1419=Assumptions!$F$13,0.5,IF(G1419&gt;Assumptions!$F$13,1,0))</f>
        <v>1</v>
      </c>
      <c r="H1421" s="42" t="n">
        <f aca="false">IF(H1419=Assumptions!$F$13,0.5,IF(H1419&gt;Assumptions!$F$13,1,0))</f>
        <v>1</v>
      </c>
      <c r="I1421" s="42" t="n">
        <f aca="false">IF(I1419=Assumptions!$F$13,0.5,IF(I1419&gt;Assumptions!$F$13,1,0))</f>
        <v>1</v>
      </c>
      <c r="J1421" s="42" t="n">
        <f aca="false">IF(J1419=Assumptions!$F$13,0.5,IF(J1419&gt;Assumptions!$F$13,1,0))</f>
        <v>1</v>
      </c>
      <c r="K1421" s="42" t="n">
        <f aca="false">IF(K1419=Assumptions!$F$13,0.5,IF(K1419&gt;Assumptions!$F$13,1,0))</f>
        <v>1</v>
      </c>
      <c r="L1421" s="42" t="n">
        <f aca="false">IF(L1419=Assumptions!$F$13,0.5,IF(L1419&gt;Assumptions!$F$13,1,0))</f>
        <v>1</v>
      </c>
      <c r="M1421" s="42" t="n">
        <f aca="false">IF(M1419=Assumptions!$F$13,0.5,IF(M1419&gt;Assumptions!$F$13,1,0))</f>
        <v>1</v>
      </c>
      <c r="N1421" s="42" t="n">
        <f aca="false">IF(N1419=Assumptions!$F$13,0.5,IF(N1419&gt;Assumptions!$F$13,1,0))</f>
        <v>1</v>
      </c>
      <c r="P1421" s="43"/>
      <c r="Q1421" s="43"/>
      <c r="R1421" s="43"/>
      <c r="S1421" s="44"/>
    </row>
    <row r="1422" customFormat="false" ht="15" hidden="false" customHeight="false" outlineLevel="0" collapsed="false">
      <c r="A1422" s="4" t="s">
        <v>479</v>
      </c>
      <c r="B1422" s="36" t="s">
        <v>478</v>
      </c>
      <c r="C1422" s="42" t="n">
        <f aca="false">IF(C1419=Assumptions!$F$14,0.5,IF(C1419&gt;Assumptions!$F$14,1,0))</f>
        <v>0</v>
      </c>
      <c r="D1422" s="42" t="n">
        <f aca="false">IF(D1419=Assumptions!$F$14,0.5,IF(D1419&gt;Assumptions!$F$14,1,0))</f>
        <v>0</v>
      </c>
      <c r="E1422" s="42" t="n">
        <f aca="false">IF(E1419=Assumptions!$F$14,0.5,IF(E1419&gt;Assumptions!$F$14,1,0))</f>
        <v>0</v>
      </c>
      <c r="F1422" s="42" t="n">
        <f aca="false">IF(F1419=Assumptions!$F$14,0.5,IF(F1419&gt;Assumptions!$F$14,1,0))</f>
        <v>0.5</v>
      </c>
      <c r="G1422" s="42" t="n">
        <f aca="false">IF(G1419=Assumptions!$F$14,0.5,IF(G1419&gt;Assumptions!$F$14,1,0))</f>
        <v>1</v>
      </c>
      <c r="H1422" s="42" t="n">
        <f aca="false">IF(H1419=Assumptions!$F$14,0.5,IF(H1419&gt;Assumptions!$F$14,1,0))</f>
        <v>1</v>
      </c>
      <c r="I1422" s="42" t="n">
        <f aca="false">IF(I1419=Assumptions!$F$14,0.5,IF(I1419&gt;Assumptions!$F$14,1,0))</f>
        <v>1</v>
      </c>
      <c r="J1422" s="42" t="n">
        <f aca="false">IF(J1419=Assumptions!$F$14,0.5,IF(J1419&gt;Assumptions!$F$14,1,0))</f>
        <v>1</v>
      </c>
      <c r="K1422" s="42" t="n">
        <f aca="false">IF(K1419=Assumptions!$F$14,0.5,IF(K1419&gt;Assumptions!$F$14,1,0))</f>
        <v>1</v>
      </c>
      <c r="L1422" s="42" t="n">
        <f aca="false">IF(L1419=Assumptions!$F$14,0.5,IF(L1419&gt;Assumptions!$F$14,1,0))</f>
        <v>1</v>
      </c>
      <c r="M1422" s="42" t="n">
        <f aca="false">IF(M1419=Assumptions!$F$14,0.5,IF(M1419&gt;Assumptions!$F$14,1,0))</f>
        <v>1</v>
      </c>
      <c r="N1422" s="42" t="n">
        <f aca="false">IF(N1419=Assumptions!$F$14,0.5,IF(N1419&gt;Assumptions!$F$14,1,0))</f>
        <v>1</v>
      </c>
      <c r="P1422" s="43"/>
      <c r="Q1422" s="43"/>
      <c r="R1422" s="43"/>
      <c r="S1422" s="44"/>
    </row>
    <row r="1423" customFormat="false" ht="15" hidden="false" customHeight="false" outlineLevel="0" collapsed="false">
      <c r="A1423" s="4" t="s">
        <v>480</v>
      </c>
      <c r="B1423" s="36" t="s">
        <v>478</v>
      </c>
      <c r="C1423" s="42" t="n">
        <f aca="false">IF(C1419=Assumptions!$F$15,0.5,IF(C1419&gt;Assumptions!$F$15,1,0))</f>
        <v>0</v>
      </c>
      <c r="D1423" s="42" t="n">
        <f aca="false">IF(D1419=Assumptions!$F$15,0.5,IF(D1419&gt;Assumptions!$F$15,1,0))</f>
        <v>0</v>
      </c>
      <c r="E1423" s="42" t="n">
        <f aca="false">IF(E1419=Assumptions!$F$15,0.5,IF(E1419&gt;Assumptions!$F$15,1,0))</f>
        <v>0</v>
      </c>
      <c r="F1423" s="42" t="n">
        <f aca="false">IF(F1419=Assumptions!$F$15,0.5,IF(F1419&gt;Assumptions!$F$15,1,0))</f>
        <v>0</v>
      </c>
      <c r="G1423" s="42" t="n">
        <f aca="false">IF(G1419=Assumptions!$F$15,0.5,IF(G1419&gt;Assumptions!$F$15,1,0))</f>
        <v>0</v>
      </c>
      <c r="H1423" s="42" t="n">
        <f aca="false">IF(H1419=Assumptions!$F$15,0.5,IF(H1419&gt;Assumptions!$F$15,1,0))</f>
        <v>0.5</v>
      </c>
      <c r="I1423" s="42" t="n">
        <f aca="false">IF(I1419=Assumptions!$F$15,0.5,IF(I1419&gt;Assumptions!$F$15,1,0))</f>
        <v>1</v>
      </c>
      <c r="J1423" s="42" t="n">
        <f aca="false">IF(J1419=Assumptions!$F$15,0.5,IF(J1419&gt;Assumptions!$F$15,1,0))</f>
        <v>1</v>
      </c>
      <c r="K1423" s="42" t="n">
        <f aca="false">IF(K1419=Assumptions!$F$15,0.5,IF(K1419&gt;Assumptions!$F$15,1,0))</f>
        <v>1</v>
      </c>
      <c r="L1423" s="42" t="n">
        <f aca="false">IF(L1419=Assumptions!$F$15,0.5,IF(L1419&gt;Assumptions!$F$15,1,0))</f>
        <v>1</v>
      </c>
      <c r="M1423" s="42" t="n">
        <f aca="false">IF(M1419=Assumptions!$F$15,0.5,IF(M1419&gt;Assumptions!$F$15,1,0))</f>
        <v>1</v>
      </c>
      <c r="N1423" s="42" t="n">
        <f aca="false">IF(N1419=Assumptions!$F$15,0.5,IF(N1419&gt;Assumptions!$F$15,1,0))</f>
        <v>1</v>
      </c>
      <c r="P1423" s="43"/>
      <c r="Q1423" s="43"/>
      <c r="R1423" s="43"/>
      <c r="S1423" s="44"/>
    </row>
    <row r="1424" customFormat="false" ht="15" hidden="false" customHeight="false" outlineLevel="0" collapsed="false">
      <c r="A1424" s="4" t="s">
        <v>481</v>
      </c>
      <c r="B1424" s="36" t="s">
        <v>478</v>
      </c>
      <c r="C1424" s="45" t="n">
        <f aca="false">Assumptions!$F$21^(MAX(0,C1419-Assumptions!$F$13)/4)</f>
        <v>1</v>
      </c>
      <c r="D1424" s="45" t="n">
        <f aca="false">Assumptions!$F$21^(MAX(0,D1419-Assumptions!$F$13)/4)</f>
        <v>0.960184589404188</v>
      </c>
      <c r="E1424" s="45" t="n">
        <f aca="false">Assumptions!$F$21^(MAX(0,E1419-Assumptions!$F$13)/4)</f>
        <v>0.921954445729289</v>
      </c>
      <c r="F1424" s="45" t="n">
        <f aca="false">Assumptions!$F$21^(MAX(0,F1419-Assumptions!$F$13)/4)</f>
        <v>0.885246450921943</v>
      </c>
      <c r="G1424" s="45" t="n">
        <f aca="false">Assumptions!$F$21^(MAX(0,G1419-Assumptions!$F$13)/4)</f>
        <v>0.85</v>
      </c>
      <c r="H1424" s="45" t="n">
        <f aca="false">Assumptions!$F$21^(MAX(0,H1419-Assumptions!$F$13)/4)</f>
        <v>0.81615690099356</v>
      </c>
      <c r="I1424" s="45" t="n">
        <f aca="false">Assumptions!$F$21^(MAX(0,I1419-Assumptions!$F$13)/4)</f>
        <v>0.783661278869895</v>
      </c>
      <c r="J1424" s="45" t="n">
        <f aca="false">Assumptions!$F$21^(MAX(0,J1419-Assumptions!$F$13)/4)</f>
        <v>0.752459483283651</v>
      </c>
      <c r="K1424" s="45" t="n">
        <f aca="false">Assumptions!$F$21^(MAX(0,K1419-Assumptions!$F$13)/4)</f>
        <v>0.7225</v>
      </c>
      <c r="L1424" s="45" t="n">
        <f aca="false">Assumptions!$F$21^(MAX(0,L1419-Assumptions!$F$13)/4)</f>
        <v>0.693733365844526</v>
      </c>
      <c r="M1424" s="45" t="n">
        <f aca="false">Assumptions!$F$21^(MAX(0,M1419-Assumptions!$F$13)/4)</f>
        <v>0.666112087039411</v>
      </c>
      <c r="N1424" s="45" t="n">
        <f aca="false">Assumptions!$F$21^(MAX(0,N1419-Assumptions!$F$13)/4)</f>
        <v>0.639590560791104</v>
      </c>
      <c r="P1424" s="46"/>
      <c r="Q1424" s="46"/>
      <c r="R1424" s="46"/>
      <c r="S1424" s="47"/>
    </row>
    <row r="1425" customFormat="false" ht="15" hidden="false" customHeight="false" outlineLevel="0" collapsed="false">
      <c r="A1425" s="4" t="s">
        <v>482</v>
      </c>
      <c r="B1425" s="36" t="s">
        <v>478</v>
      </c>
      <c r="C1425" s="45" t="n">
        <f aca="false">Assumptions!$F$21^(MAX(0,C1419-Assumptions!$F$14)/4)</f>
        <v>1</v>
      </c>
      <c r="D1425" s="45" t="n">
        <f aca="false">Assumptions!$F$21^(MAX(0,D1419-Assumptions!$F$14)/4)</f>
        <v>1</v>
      </c>
      <c r="E1425" s="45" t="n">
        <f aca="false">Assumptions!$F$21^(MAX(0,E1419-Assumptions!$F$14)/4)</f>
        <v>1</v>
      </c>
      <c r="F1425" s="45" t="n">
        <f aca="false">Assumptions!$F$21^(MAX(0,F1419-Assumptions!$F$14)/4)</f>
        <v>1</v>
      </c>
      <c r="G1425" s="45" t="n">
        <f aca="false">Assumptions!$F$21^(MAX(0,G1419-Assumptions!$F$14)/4)</f>
        <v>0.960184589404188</v>
      </c>
      <c r="H1425" s="45" t="n">
        <f aca="false">Assumptions!$F$21^(MAX(0,H1419-Assumptions!$F$14)/4)</f>
        <v>0.921954445729289</v>
      </c>
      <c r="I1425" s="45" t="n">
        <f aca="false">Assumptions!$F$21^(MAX(0,I1419-Assumptions!$F$14)/4)</f>
        <v>0.885246450921943</v>
      </c>
      <c r="J1425" s="45" t="n">
        <f aca="false">Assumptions!$F$21^(MAX(0,J1419-Assumptions!$F$14)/4)</f>
        <v>0.85</v>
      </c>
      <c r="K1425" s="45" t="n">
        <f aca="false">Assumptions!$F$21^(MAX(0,K1419-Assumptions!$F$14)/4)</f>
        <v>0.81615690099356</v>
      </c>
      <c r="L1425" s="45" t="n">
        <f aca="false">Assumptions!$F$21^(MAX(0,L1419-Assumptions!$F$14)/4)</f>
        <v>0.783661278869895</v>
      </c>
      <c r="M1425" s="45" t="n">
        <f aca="false">Assumptions!$F$21^(MAX(0,M1419-Assumptions!$F$14)/4)</f>
        <v>0.752459483283651</v>
      </c>
      <c r="N1425" s="45" t="n">
        <f aca="false">Assumptions!$F$21^(MAX(0,N1419-Assumptions!$F$14)/4)</f>
        <v>0.7225</v>
      </c>
      <c r="P1425" s="46"/>
      <c r="Q1425" s="46"/>
      <c r="R1425" s="46"/>
      <c r="S1425" s="47"/>
    </row>
    <row r="1426" customFormat="false" ht="15" hidden="false" customHeight="false" outlineLevel="0" collapsed="false">
      <c r="A1426" s="4" t="s">
        <v>483</v>
      </c>
      <c r="B1426" s="36" t="s">
        <v>478</v>
      </c>
      <c r="C1426" s="45" t="n">
        <f aca="false">Assumptions!$F$21^(MAX(0,C1419-Assumptions!$F$15)/4)</f>
        <v>1</v>
      </c>
      <c r="D1426" s="45" t="n">
        <f aca="false">Assumptions!$F$21^(MAX(0,D1419-Assumptions!$F$15)/4)</f>
        <v>1</v>
      </c>
      <c r="E1426" s="45" t="n">
        <f aca="false">Assumptions!$F$21^(MAX(0,E1419-Assumptions!$F$15)/4)</f>
        <v>1</v>
      </c>
      <c r="F1426" s="45" t="n">
        <f aca="false">Assumptions!$F$21^(MAX(0,F1419-Assumptions!$F$15)/4)</f>
        <v>1</v>
      </c>
      <c r="G1426" s="45" t="n">
        <f aca="false">Assumptions!$F$21^(MAX(0,G1419-Assumptions!$F$15)/4)</f>
        <v>1</v>
      </c>
      <c r="H1426" s="45" t="n">
        <f aca="false">Assumptions!$F$21^(MAX(0,H1419-Assumptions!$F$15)/4)</f>
        <v>1</v>
      </c>
      <c r="I1426" s="45" t="n">
        <f aca="false">Assumptions!$F$21^(MAX(0,I1419-Assumptions!$F$15)/4)</f>
        <v>0.960184589404188</v>
      </c>
      <c r="J1426" s="45" t="n">
        <f aca="false">Assumptions!$F$21^(MAX(0,J1419-Assumptions!$F$15)/4)</f>
        <v>0.921954445729289</v>
      </c>
      <c r="K1426" s="45" t="n">
        <f aca="false">Assumptions!$F$21^(MAX(0,K1419-Assumptions!$F$15)/4)</f>
        <v>0.885246450921943</v>
      </c>
      <c r="L1426" s="45" t="n">
        <f aca="false">Assumptions!$F$21^(MAX(0,L1419-Assumptions!$F$15)/4)</f>
        <v>0.85</v>
      </c>
      <c r="M1426" s="45" t="n">
        <f aca="false">Assumptions!$F$21^(MAX(0,M1419-Assumptions!$F$15)/4)</f>
        <v>0.81615690099356</v>
      </c>
      <c r="N1426" s="45" t="n">
        <f aca="false">Assumptions!$F$21^(MAX(0,N1419-Assumptions!$F$15)/4)</f>
        <v>0.783661278869895</v>
      </c>
      <c r="P1426" s="46"/>
      <c r="Q1426" s="46"/>
      <c r="R1426" s="46"/>
      <c r="S1426" s="47"/>
    </row>
    <row r="1427" customFormat="false" ht="15" hidden="false" customHeight="false" outlineLevel="0" collapsed="false">
      <c r="A1427" s="4" t="s">
        <v>484</v>
      </c>
      <c r="B1427" s="36" t="s">
        <v>485</v>
      </c>
      <c r="C1427" s="39" t="n">
        <f aca="false">$C$1398*C1421+$C$1402*C1422+$C$1406*C1423</f>
        <v>421.51972352</v>
      </c>
      <c r="D1427" s="39" t="n">
        <f aca="false">$C$1398*D1421+$C$1402*D1422+$C$1406*D1423</f>
        <v>843.03944704</v>
      </c>
      <c r="E1427" s="39" t="n">
        <f aca="false">$C$1398*E1421+$C$1402*E1422+$C$1406*E1423</f>
        <v>843.03944704</v>
      </c>
      <c r="F1427" s="39" t="n">
        <f aca="false">$C$1398*F1421+$C$1402*F1422+$C$1406*F1423</f>
        <v>1149.32798176</v>
      </c>
      <c r="G1427" s="39" t="n">
        <f aca="false">$C$1398*G1421+$C$1402*G1422+$C$1406*G1423</f>
        <v>1455.61651648</v>
      </c>
      <c r="H1427" s="39" t="n">
        <f aca="false">$C$1398*H1421+$C$1402*H1422+$C$1406*H1423</f>
        <v>2486.00303616</v>
      </c>
      <c r="I1427" s="39" t="n">
        <f aca="false">$C$1398*I1421+$C$1402*I1422+$C$1406*I1423</f>
        <v>3516.38955584</v>
      </c>
      <c r="J1427" s="39" t="n">
        <f aca="false">$C$1398*J1421+$C$1402*J1422+$C$1406*J1423</f>
        <v>3516.38955584</v>
      </c>
      <c r="K1427" s="39" t="n">
        <f aca="false">$C$1398*K1421+$C$1402*K1422+$C$1406*K1423</f>
        <v>3516.38955584</v>
      </c>
      <c r="L1427" s="39" t="n">
        <f aca="false">$C$1398*L1421+$C$1402*L1422+$C$1406*L1423</f>
        <v>3516.38955584</v>
      </c>
      <c r="M1427" s="39" t="n">
        <f aca="false">$C$1398*M1421+$C$1402*M1422+$C$1406*M1423</f>
        <v>3516.38955584</v>
      </c>
      <c r="N1427" s="39" t="n">
        <f aca="false">$C$1398*N1421+$C$1402*N1422+$C$1406*N1423</f>
        <v>3516.38955584</v>
      </c>
      <c r="P1427" s="40" t="n">
        <f aca="false">F1427</f>
        <v>1149.32798176</v>
      </c>
      <c r="Q1427" s="40" t="n">
        <f aca="false">J1427</f>
        <v>3516.38955584</v>
      </c>
      <c r="R1427" s="40" t="n">
        <f aca="false">N1427</f>
        <v>3516.38955584</v>
      </c>
      <c r="S1427" s="41" t="n">
        <f aca="false">R1427</f>
        <v>3516.38955584</v>
      </c>
    </row>
    <row r="1428" customFormat="false" ht="15" hidden="false" customHeight="false" outlineLevel="0" collapsed="false">
      <c r="A1428" s="4" t="s">
        <v>486</v>
      </c>
      <c r="B1428" s="36" t="s">
        <v>485</v>
      </c>
      <c r="C1428" s="39" t="n">
        <f aca="false">$C$1399*C1421+$C$1403*C1422+$C$1407*C1423</f>
        <v>105.59808</v>
      </c>
      <c r="D1428" s="39" t="n">
        <f aca="false">$C$1399*D1421+$C$1403*D1422+$C$1407*D1423</f>
        <v>211.19616</v>
      </c>
      <c r="E1428" s="39" t="n">
        <f aca="false">$C$1399*E1421+$C$1403*E1422+$C$1407*E1423</f>
        <v>211.19616</v>
      </c>
      <c r="F1428" s="39" t="n">
        <f aca="false">$C$1399*F1421+$C$1403*F1422+$C$1407*F1423</f>
        <v>282.24672</v>
      </c>
      <c r="G1428" s="39" t="n">
        <f aca="false">$C$1399*G1421+$C$1403*G1422+$C$1407*G1423</f>
        <v>353.29728</v>
      </c>
      <c r="H1428" s="39" t="n">
        <f aca="false">$C$1399*H1421+$C$1403*H1422+$C$1407*H1423</f>
        <v>567.53536</v>
      </c>
      <c r="I1428" s="39" t="n">
        <f aca="false">$C$1399*I1421+$C$1403*I1422+$C$1407*I1423</f>
        <v>781.77344</v>
      </c>
      <c r="J1428" s="39" t="n">
        <f aca="false">$C$1399*J1421+$C$1403*J1422+$C$1407*J1423</f>
        <v>781.77344</v>
      </c>
      <c r="K1428" s="39" t="n">
        <f aca="false">$C$1399*K1421+$C$1403*K1422+$C$1407*K1423</f>
        <v>781.77344</v>
      </c>
      <c r="L1428" s="39" t="n">
        <f aca="false">$C$1399*L1421+$C$1403*L1422+$C$1407*L1423</f>
        <v>781.77344</v>
      </c>
      <c r="M1428" s="39" t="n">
        <f aca="false">$C$1399*M1421+$C$1403*M1422+$C$1407*M1423</f>
        <v>781.77344</v>
      </c>
      <c r="N1428" s="39" t="n">
        <f aca="false">$C$1399*N1421+$C$1403*N1422+$C$1407*N1423</f>
        <v>781.77344</v>
      </c>
      <c r="P1428" s="40" t="n">
        <f aca="false">F1428</f>
        <v>282.24672</v>
      </c>
      <c r="Q1428" s="40" t="n">
        <f aca="false">J1428</f>
        <v>781.77344</v>
      </c>
      <c r="R1428" s="40" t="n">
        <f aca="false">N1428</f>
        <v>781.77344</v>
      </c>
      <c r="S1428" s="41" t="n">
        <f aca="false">R1428</f>
        <v>781.77344</v>
      </c>
    </row>
    <row r="1429" customFormat="false" ht="15" hidden="false" customHeight="false" outlineLevel="0" collapsed="false">
      <c r="A1429" s="4" t="s">
        <v>487</v>
      </c>
      <c r="B1429" s="36" t="s">
        <v>485</v>
      </c>
      <c r="C1429" s="39" t="n">
        <f aca="false">$C$1400*C1421+$C$1404*C1422+$C$1408*C1423</f>
        <v>24.76992</v>
      </c>
      <c r="D1429" s="39" t="n">
        <f aca="false">$C$1400*D1421+$C$1404*D1422+$C$1408*D1423</f>
        <v>49.53984</v>
      </c>
      <c r="E1429" s="39" t="n">
        <f aca="false">$C$1400*E1421+$C$1404*E1422+$C$1408*E1423</f>
        <v>49.53984</v>
      </c>
      <c r="F1429" s="39" t="n">
        <f aca="false">$C$1400*F1421+$C$1404*F1422+$C$1408*F1423</f>
        <v>61.9248</v>
      </c>
      <c r="G1429" s="39" t="n">
        <f aca="false">$C$1400*G1421+$C$1404*G1422+$C$1408*G1423</f>
        <v>74.30976</v>
      </c>
      <c r="H1429" s="39" t="n">
        <f aca="false">$C$1400*H1421+$C$1404*H1422+$C$1408*H1423</f>
        <v>114.072</v>
      </c>
      <c r="I1429" s="39" t="n">
        <f aca="false">$C$1400*I1421+$C$1404*I1422+$C$1408*I1423</f>
        <v>153.83424</v>
      </c>
      <c r="J1429" s="39" t="n">
        <f aca="false">$C$1400*J1421+$C$1404*J1422+$C$1408*J1423</f>
        <v>153.83424</v>
      </c>
      <c r="K1429" s="39" t="n">
        <f aca="false">$C$1400*K1421+$C$1404*K1422+$C$1408*K1423</f>
        <v>153.83424</v>
      </c>
      <c r="L1429" s="39" t="n">
        <f aca="false">$C$1400*L1421+$C$1404*L1422+$C$1408*L1423</f>
        <v>153.83424</v>
      </c>
      <c r="M1429" s="39" t="n">
        <f aca="false">$C$1400*M1421+$C$1404*M1422+$C$1408*M1423</f>
        <v>153.83424</v>
      </c>
      <c r="N1429" s="39" t="n">
        <f aca="false">$C$1400*N1421+$C$1404*N1422+$C$1408*N1423</f>
        <v>153.83424</v>
      </c>
      <c r="P1429" s="40" t="n">
        <f aca="false">F1429</f>
        <v>61.9248</v>
      </c>
      <c r="Q1429" s="40" t="n">
        <f aca="false">J1429</f>
        <v>153.83424</v>
      </c>
      <c r="R1429" s="40" t="n">
        <f aca="false">N1429</f>
        <v>153.83424</v>
      </c>
      <c r="S1429" s="41" t="n">
        <f aca="false">R1429</f>
        <v>153.83424</v>
      </c>
    </row>
    <row r="1430" customFormat="false" ht="15" hidden="false" customHeight="false" outlineLevel="0" collapsed="false">
      <c r="A1430" s="4" t="s">
        <v>488</v>
      </c>
      <c r="B1430" s="36" t="s">
        <v>485</v>
      </c>
      <c r="C1430" s="39" t="n">
        <f aca="false">C1427+C1428+C1429</f>
        <v>551.88772352</v>
      </c>
      <c r="D1430" s="39" t="n">
        <f aca="false">D1427+D1428+D1429</f>
        <v>1103.77544704</v>
      </c>
      <c r="E1430" s="39" t="n">
        <f aca="false">E1427+E1428+E1429</f>
        <v>1103.77544704</v>
      </c>
      <c r="F1430" s="39" t="n">
        <f aca="false">F1427+F1428+F1429</f>
        <v>1493.49950176</v>
      </c>
      <c r="G1430" s="39" t="n">
        <f aca="false">G1427+G1428+G1429</f>
        <v>1883.22355648</v>
      </c>
      <c r="H1430" s="39" t="n">
        <f aca="false">H1427+H1428+H1429</f>
        <v>3167.61039616</v>
      </c>
      <c r="I1430" s="39" t="n">
        <f aca="false">I1427+I1428+I1429</f>
        <v>4451.99723584</v>
      </c>
      <c r="J1430" s="39" t="n">
        <f aca="false">J1427+J1428+J1429</f>
        <v>4451.99723584</v>
      </c>
      <c r="K1430" s="39" t="n">
        <f aca="false">K1427+K1428+K1429</f>
        <v>4451.99723584</v>
      </c>
      <c r="L1430" s="39" t="n">
        <f aca="false">L1427+L1428+L1429</f>
        <v>4451.99723584</v>
      </c>
      <c r="M1430" s="39" t="n">
        <f aca="false">M1427+M1428+M1429</f>
        <v>4451.99723584</v>
      </c>
      <c r="N1430" s="39" t="n">
        <f aca="false">N1427+N1428+N1429</f>
        <v>4451.99723584</v>
      </c>
      <c r="P1430" s="40" t="n">
        <f aca="false">F1430</f>
        <v>1493.49950176</v>
      </c>
      <c r="Q1430" s="40" t="n">
        <f aca="false">J1430</f>
        <v>4451.99723584</v>
      </c>
      <c r="R1430" s="40" t="n">
        <f aca="false">N1430</f>
        <v>4451.99723584</v>
      </c>
      <c r="S1430" s="41" t="n">
        <f aca="false">R1430</f>
        <v>4451.99723584</v>
      </c>
    </row>
    <row r="1431" customFormat="false" ht="15" hidden="false" customHeight="false" outlineLevel="0" collapsed="false">
      <c r="A1431" s="4" t="s">
        <v>489</v>
      </c>
      <c r="B1431" s="36" t="s">
        <v>485</v>
      </c>
      <c r="C1431" s="39" t="n">
        <f aca="false">$C$1401*C1421*C1424+$C$1405*C1422*C1425+$C$1409*C1423*C1426</f>
        <v>551.88772352</v>
      </c>
      <c r="D1431" s="39" t="n">
        <f aca="false">$C$1401*D1421*D1424+$C$1405*D1422*D1425+$C$1409*D1423*D1426</f>
        <v>1059.82817441053</v>
      </c>
      <c r="E1431" s="39" t="n">
        <f aca="false">$C$1401*E1421*E1424+$C$1405*E1422*E1425+$C$1409*E1423*E1426</f>
        <v>1017.63068048536</v>
      </c>
      <c r="F1431" s="39" t="n">
        <f aca="false">$C$1401*F1421*F1424+$C$1405*F1422*F1425+$C$1409*F1423*F1426</f>
        <v>1366.83735182694</v>
      </c>
      <c r="G1431" s="39" t="n">
        <f aca="false">$C$1401*G1421*G1424+$C$1405*G1422*G1425+$C$1409*G1423*G1426</f>
        <v>1686.62319290852</v>
      </c>
      <c r="H1431" s="39" t="n">
        <f aca="false">$C$1401*H1421*H1424+$C$1405*H1422*H1425+$C$1409*H1423*H1426</f>
        <v>2903.85643764244</v>
      </c>
      <c r="I1431" s="39" t="n">
        <f aca="false">$C$1401*I1421*I1424+$C$1405*I1422*I1425+$C$1409*I1423*I1426</f>
        <v>4021.4866515607</v>
      </c>
      <c r="J1431" s="39" t="n">
        <f aca="false">$C$1401*J1421*J1424+$C$1405*J1422*J1425+$C$1409*J1423*J1426</f>
        <v>3861.36950932324</v>
      </c>
      <c r="K1431" s="39" t="n">
        <f aca="false">$C$1401*K1421*K1424+$C$1405*K1422*K1425+$C$1409*K1423*K1426</f>
        <v>3707.62749684738</v>
      </c>
      <c r="L1431" s="39" t="n">
        <f aca="false">$C$1401*L1421*L1424+$C$1405*L1422*L1425+$C$1409*L1423*L1426</f>
        <v>3560.00678572408</v>
      </c>
      <c r="M1431" s="39" t="n">
        <f aca="false">$C$1401*M1421*M1424+$C$1405*M1422*M1425+$C$1409*M1423*M1426</f>
        <v>3418.2636538266</v>
      </c>
      <c r="N1431" s="39" t="n">
        <f aca="false">$C$1401*N1421*N1424+$C$1405*N1422*N1425+$C$1409*N1423*N1426</f>
        <v>3282.16408292475</v>
      </c>
      <c r="P1431" s="40"/>
      <c r="Q1431" s="40"/>
      <c r="R1431" s="40"/>
      <c r="S1431" s="41"/>
    </row>
    <row r="1432" customFormat="false" ht="15" hidden="false" customHeight="false" outlineLevel="0" collapsed="false">
      <c r="A1432" s="4" t="s">
        <v>490</v>
      </c>
      <c r="B1432" s="36" t="s">
        <v>491</v>
      </c>
      <c r="C1432" s="48" t="n">
        <f aca="false">$C$1413*Assumptions!$F$20*C1420*C1431</f>
        <v>6.2087368896</v>
      </c>
      <c r="D1432" s="48" t="n">
        <f aca="false">$C$1413*Assumptions!$F$20*D1420*D1431</f>
        <v>11.9230669621184</v>
      </c>
      <c r="E1432" s="48" t="n">
        <f aca="false">$C$1413*Assumptions!$F$20*E1420*E1431</f>
        <v>11.4483451554603</v>
      </c>
      <c r="F1432" s="48" t="n">
        <f aca="false">$C$1413*Assumptions!$F$20*F1420*F1431</f>
        <v>15.3769202080531</v>
      </c>
      <c r="G1432" s="48" t="n">
        <f aca="false">$C$1413*Assumptions!$F$20*G1420*G1431</f>
        <v>18.9745109202208</v>
      </c>
      <c r="H1432" s="48" t="n">
        <f aca="false">$C$1413*Assumptions!$F$20*H1420*H1431</f>
        <v>32.6683849234775</v>
      </c>
      <c r="I1432" s="48" t="n">
        <f aca="false">$C$1413*Assumptions!$F$20*I1420*I1431</f>
        <v>45.2417248300579</v>
      </c>
      <c r="J1432" s="48" t="n">
        <f aca="false">$C$1413*Assumptions!$F$20*J1420*J1431</f>
        <v>43.4404069798864</v>
      </c>
      <c r="K1432" s="48" t="n">
        <f aca="false">$C$1413*Assumptions!$F$20*K1420*K1431</f>
        <v>41.710809339533</v>
      </c>
      <c r="L1432" s="48" t="n">
        <f aca="false">$C$1413*Assumptions!$F$20*L1420*L1431</f>
        <v>40.0500763393959</v>
      </c>
      <c r="M1432" s="48" t="n">
        <f aca="false">$C$1413*Assumptions!$F$20*M1420*M1431</f>
        <v>38.4554661055492</v>
      </c>
      <c r="N1432" s="48" t="n">
        <f aca="false">$C$1413*Assumptions!$F$20*N1420*N1431</f>
        <v>36.9243459329034</v>
      </c>
      <c r="P1432" s="49" t="n">
        <f aca="false">SUM(C1432:F1432)</f>
        <v>44.9570692152318</v>
      </c>
      <c r="Q1432" s="49" t="n">
        <f aca="false">SUM(G1432:J1432)</f>
        <v>140.325027653643</v>
      </c>
      <c r="R1432" s="49" t="n">
        <f aca="false">SUM(K1432:N1432)</f>
        <v>157.140697717382</v>
      </c>
      <c r="S1432" s="50" t="n">
        <f aca="false">SUM(P1432:R1432)</f>
        <v>342.422794586256</v>
      </c>
    </row>
    <row r="1433" customFormat="false" ht="15" hidden="false" customHeight="false" outlineLevel="0" collapsed="false">
      <c r="A1433" s="4" t="s">
        <v>492</v>
      </c>
      <c r="B1433" s="36" t="s">
        <v>321</v>
      </c>
      <c r="C1433" s="48" t="n">
        <f aca="false">Assumptions!$D$113</f>
        <v>0</v>
      </c>
      <c r="D1433" s="48" t="n">
        <f aca="false">Assumptions!$E$113</f>
        <v>0</v>
      </c>
      <c r="E1433" s="48" t="n">
        <f aca="false">Assumptions!$F$113</f>
        <v>0</v>
      </c>
      <c r="F1433" s="48" t="n">
        <f aca="false">Assumptions!$G$113</f>
        <v>0</v>
      </c>
      <c r="G1433" s="48" t="n">
        <f aca="false">Assumptions!$H$113</f>
        <v>0</v>
      </c>
      <c r="H1433" s="48" t="n">
        <f aca="false">Assumptions!$I$113</f>
        <v>0</v>
      </c>
      <c r="I1433" s="48" t="n">
        <f aca="false">Assumptions!$J$113</f>
        <v>0</v>
      </c>
      <c r="J1433" s="48" t="n">
        <f aca="false">Assumptions!$K$113</f>
        <v>0</v>
      </c>
      <c r="K1433" s="48" t="n">
        <f aca="false">Assumptions!$L$113</f>
        <v>0</v>
      </c>
      <c r="L1433" s="48" t="n">
        <f aca="false">Assumptions!$M$113</f>
        <v>0</v>
      </c>
      <c r="M1433" s="48" t="n">
        <f aca="false">Assumptions!$N$113</f>
        <v>0</v>
      </c>
      <c r="N1433" s="48" t="n">
        <f aca="false">Assumptions!$O$113</f>
        <v>0</v>
      </c>
      <c r="P1433" s="49" t="n">
        <f aca="false">F1433</f>
        <v>0</v>
      </c>
      <c r="Q1433" s="49" t="n">
        <f aca="false">J1433</f>
        <v>0</v>
      </c>
      <c r="R1433" s="49" t="n">
        <f aca="false">N1433</f>
        <v>0</v>
      </c>
      <c r="S1433" s="50" t="n">
        <f aca="false">R1433</f>
        <v>0</v>
      </c>
    </row>
    <row r="1434" customFormat="false" ht="15" hidden="false" customHeight="false" outlineLevel="0" collapsed="false">
      <c r="A1434" s="4" t="s">
        <v>493</v>
      </c>
      <c r="B1434" s="36" t="s">
        <v>321</v>
      </c>
      <c r="C1434" s="48" t="n">
        <f aca="false">0</f>
        <v>0</v>
      </c>
      <c r="D1434" s="48" t="n">
        <f aca="false">0.5*C1433</f>
        <v>0</v>
      </c>
      <c r="E1434" s="48" t="n">
        <f aca="false">C1433+0.5*(D1433-C1433)</f>
        <v>0</v>
      </c>
      <c r="F1434" s="48" t="n">
        <f aca="false">D1433+0.5*(E1433-D1433)</f>
        <v>0</v>
      </c>
      <c r="G1434" s="48" t="n">
        <f aca="false">E1433+0.5*(F1433-E1433)</f>
        <v>0</v>
      </c>
      <c r="H1434" s="48" t="n">
        <f aca="false">F1433+0.5*(G1433-F1433)</f>
        <v>0</v>
      </c>
      <c r="I1434" s="48" t="n">
        <f aca="false">G1433+0.5*(H1433-G1433)</f>
        <v>0</v>
      </c>
      <c r="J1434" s="48" t="n">
        <f aca="false">H1433+0.5*(I1433-H1433)</f>
        <v>0</v>
      </c>
      <c r="K1434" s="48" t="n">
        <f aca="false">I1433+0.5*(J1433-I1433)</f>
        <v>0</v>
      </c>
      <c r="L1434" s="48" t="n">
        <f aca="false">J1433+0.5*(K1433-J1433)</f>
        <v>0</v>
      </c>
      <c r="M1434" s="48" t="n">
        <f aca="false">K1433+0.5*(L1433-K1433)</f>
        <v>0</v>
      </c>
      <c r="N1434" s="48" t="n">
        <f aca="false">L1433+0.5*(M1433-L1433)</f>
        <v>0</v>
      </c>
      <c r="P1434" s="49" t="n">
        <f aca="false">F1434</f>
        <v>0</v>
      </c>
      <c r="Q1434" s="49" t="n">
        <f aca="false">J1434</f>
        <v>0</v>
      </c>
      <c r="R1434" s="49" t="n">
        <f aca="false">N1434</f>
        <v>0</v>
      </c>
      <c r="S1434" s="50" t="n">
        <f aca="false">R1434</f>
        <v>0</v>
      </c>
    </row>
    <row r="1435" customFormat="false" ht="15" hidden="false" customHeight="false" outlineLevel="0" collapsed="false">
      <c r="A1435" s="4" t="s">
        <v>494</v>
      </c>
      <c r="B1435" s="36" t="s">
        <v>485</v>
      </c>
      <c r="C1435" s="39" t="n">
        <f aca="false">MIN(C1434*Assumptions!$F$38,C1430*(1-$C$1413))</f>
        <v>0</v>
      </c>
      <c r="D1435" s="39" t="n">
        <f aca="false">MIN(D1434*Assumptions!$F$38,D1430*(1-$C$1413))</f>
        <v>0</v>
      </c>
      <c r="E1435" s="39" t="n">
        <f aca="false">MIN(E1434*Assumptions!$F$38,E1430*(1-$C$1413))</f>
        <v>0</v>
      </c>
      <c r="F1435" s="39" t="n">
        <f aca="false">MIN(F1434*Assumptions!$F$38,F1430*(1-$C$1413))</f>
        <v>0</v>
      </c>
      <c r="G1435" s="39" t="n">
        <f aca="false">MIN(G1434*Assumptions!$F$38,G1430*(1-$C$1413))</f>
        <v>0</v>
      </c>
      <c r="H1435" s="39" t="n">
        <f aca="false">MIN(H1434*Assumptions!$F$38,H1430*(1-$C$1413))</f>
        <v>0</v>
      </c>
      <c r="I1435" s="39" t="n">
        <f aca="false">MIN(I1434*Assumptions!$F$38,I1430*(1-$C$1413))</f>
        <v>0</v>
      </c>
      <c r="J1435" s="39" t="n">
        <f aca="false">MIN(J1434*Assumptions!$F$38,J1430*(1-$C$1413))</f>
        <v>0</v>
      </c>
      <c r="K1435" s="39" t="n">
        <f aca="false">MIN(K1434*Assumptions!$F$38,K1430*(1-$C$1413))</f>
        <v>0</v>
      </c>
      <c r="L1435" s="39" t="n">
        <f aca="false">MIN(L1434*Assumptions!$F$38,L1430*(1-$C$1413))</f>
        <v>0</v>
      </c>
      <c r="M1435" s="39" t="n">
        <f aca="false">MIN(M1434*Assumptions!$F$38,M1430*(1-$C$1413))</f>
        <v>0</v>
      </c>
      <c r="N1435" s="39" t="n">
        <f aca="false">MIN(N1434*Assumptions!$F$38,N1430*(1-$C$1413))</f>
        <v>0</v>
      </c>
      <c r="P1435" s="40" t="n">
        <f aca="false">SUM(C1435:F1435)</f>
        <v>0</v>
      </c>
      <c r="Q1435" s="40" t="n">
        <f aca="false">SUM(G1435:J1435)</f>
        <v>0</v>
      </c>
      <c r="R1435" s="40" t="n">
        <f aca="false">SUM(K1435:N1435)</f>
        <v>0</v>
      </c>
      <c r="S1435" s="41" t="n">
        <f aca="false">SUM(P1435:R1435)</f>
        <v>0</v>
      </c>
    </row>
    <row r="1436" customFormat="false" ht="15" hidden="false" customHeight="false" outlineLevel="0" collapsed="false">
      <c r="A1436" s="4" t="s">
        <v>495</v>
      </c>
      <c r="B1436" s="36" t="s">
        <v>491</v>
      </c>
      <c r="C1436" s="48" t="n">
        <f aca="false">C1435*Assumptions!$F$20*Assumptions!$F$39*IF(C1430&gt;0,C1431/C1430,0)*C1420</f>
        <v>0</v>
      </c>
      <c r="D1436" s="48" t="n">
        <f aca="false">D1435*Assumptions!$F$20*Assumptions!$F$39*IF(D1430&gt;0,D1431/D1430,0)*D1420</f>
        <v>0</v>
      </c>
      <c r="E1436" s="48" t="n">
        <f aca="false">E1435*Assumptions!$F$20*Assumptions!$F$39*IF(E1430&gt;0,E1431/E1430,0)*E1420</f>
        <v>0</v>
      </c>
      <c r="F1436" s="48" t="n">
        <f aca="false">F1435*Assumptions!$F$20*Assumptions!$F$39*IF(F1430&gt;0,F1431/F1430,0)*F1420</f>
        <v>0</v>
      </c>
      <c r="G1436" s="48" t="n">
        <f aca="false">G1435*Assumptions!$F$20*Assumptions!$F$39*IF(G1430&gt;0,G1431/G1430,0)*G1420</f>
        <v>0</v>
      </c>
      <c r="H1436" s="48" t="n">
        <f aca="false">H1435*Assumptions!$F$20*Assumptions!$F$39*IF(H1430&gt;0,H1431/H1430,0)*H1420</f>
        <v>0</v>
      </c>
      <c r="I1436" s="48" t="n">
        <f aca="false">I1435*Assumptions!$F$20*Assumptions!$F$39*IF(I1430&gt;0,I1431/I1430,0)*I1420</f>
        <v>0</v>
      </c>
      <c r="J1436" s="48" t="n">
        <f aca="false">J1435*Assumptions!$F$20*Assumptions!$F$39*IF(J1430&gt;0,J1431/J1430,0)*J1420</f>
        <v>0</v>
      </c>
      <c r="K1436" s="48" t="n">
        <f aca="false">K1435*Assumptions!$F$20*Assumptions!$F$39*IF(K1430&gt;0,K1431/K1430,0)*K1420</f>
        <v>0</v>
      </c>
      <c r="L1436" s="48" t="n">
        <f aca="false">L1435*Assumptions!$F$20*Assumptions!$F$39*IF(L1430&gt;0,L1431/L1430,0)*L1420</f>
        <v>0</v>
      </c>
      <c r="M1436" s="48" t="n">
        <f aca="false">M1435*Assumptions!$F$20*Assumptions!$F$39*IF(M1430&gt;0,M1431/M1430,0)*M1420</f>
        <v>0</v>
      </c>
      <c r="N1436" s="48" t="n">
        <f aca="false">N1435*Assumptions!$F$20*Assumptions!$F$39*IF(N1430&gt;0,N1431/N1430,0)*N1420</f>
        <v>0</v>
      </c>
      <c r="P1436" s="49" t="n">
        <f aca="false">SUM(C1436:F1436)</f>
        <v>0</v>
      </c>
      <c r="Q1436" s="49" t="n">
        <f aca="false">SUM(G1436:J1436)</f>
        <v>0</v>
      </c>
      <c r="R1436" s="49" t="n">
        <f aca="false">SUM(K1436:N1436)</f>
        <v>0</v>
      </c>
      <c r="S1436" s="50" t="n">
        <f aca="false">SUM(P1436:R1436)</f>
        <v>0</v>
      </c>
    </row>
    <row r="1437" customFormat="false" ht="15" hidden="false" customHeight="false" outlineLevel="0" collapsed="false">
      <c r="A1437" s="4" t="s">
        <v>496</v>
      </c>
      <c r="B1437" s="36" t="s">
        <v>497</v>
      </c>
      <c r="C1437" s="48" t="n">
        <f aca="false">IF(AND(C1430&gt;0,$C$1417&gt;0),C1430*Assumptions!$F$24*(1-EXP(-$C$1417/(Assumptions!$F$23*C1430*Assumptions!$F$24))),0)</f>
        <v>0</v>
      </c>
      <c r="D1437" s="48" t="n">
        <f aca="false">IF(AND(D1430&gt;0,$C$1417&gt;0),D1430*Assumptions!$F$24*(1-EXP(-$C$1417/(Assumptions!$F$23*D1430*Assumptions!$F$24))),0)</f>
        <v>0</v>
      </c>
      <c r="E1437" s="48" t="n">
        <f aca="false">IF(AND(E1430&gt;0,$C$1417&gt;0),E1430*Assumptions!$F$24*(1-EXP(-$C$1417/(Assumptions!$F$23*E1430*Assumptions!$F$24))),0)</f>
        <v>0</v>
      </c>
      <c r="F1437" s="48" t="n">
        <f aca="false">IF(AND(F1430&gt;0,$C$1417&gt;0),F1430*Assumptions!$F$24*(1-EXP(-$C$1417/(Assumptions!$F$23*F1430*Assumptions!$F$24))),0)</f>
        <v>0</v>
      </c>
      <c r="G1437" s="48" t="n">
        <f aca="false">IF(AND(G1430&gt;0,$C$1417&gt;0),G1430*Assumptions!$F$24*(1-EXP(-$C$1417/(Assumptions!$F$23*G1430*Assumptions!$F$24))),0)</f>
        <v>0</v>
      </c>
      <c r="H1437" s="48" t="n">
        <f aca="false">IF(AND(H1430&gt;0,$C$1417&gt;0),H1430*Assumptions!$F$24*(1-EXP(-$C$1417/(Assumptions!$F$23*H1430*Assumptions!$F$24))),0)</f>
        <v>0</v>
      </c>
      <c r="I1437" s="48" t="n">
        <f aca="false">IF(AND(I1430&gt;0,$C$1417&gt;0),I1430*Assumptions!$F$24*(1-EXP(-$C$1417/(Assumptions!$F$23*I1430*Assumptions!$F$24))),0)</f>
        <v>0</v>
      </c>
      <c r="J1437" s="48" t="n">
        <f aca="false">IF(AND(J1430&gt;0,$C$1417&gt;0),J1430*Assumptions!$F$24*(1-EXP(-$C$1417/(Assumptions!$F$23*J1430*Assumptions!$F$24))),0)</f>
        <v>0</v>
      </c>
      <c r="K1437" s="48" t="n">
        <f aca="false">IF(AND(K1430&gt;0,$C$1417&gt;0),K1430*Assumptions!$F$24*(1-EXP(-$C$1417/(Assumptions!$F$23*K1430*Assumptions!$F$24))),0)</f>
        <v>0</v>
      </c>
      <c r="L1437" s="48" t="n">
        <f aca="false">IF(AND(L1430&gt;0,$C$1417&gt;0),L1430*Assumptions!$F$24*(1-EXP(-$C$1417/(Assumptions!$F$23*L1430*Assumptions!$F$24))),0)</f>
        <v>0</v>
      </c>
      <c r="M1437" s="48" t="n">
        <f aca="false">IF(AND(M1430&gt;0,$C$1417&gt;0),M1430*Assumptions!$F$24*(1-EXP(-$C$1417/(Assumptions!$F$23*M1430*Assumptions!$F$24))),0)</f>
        <v>0</v>
      </c>
      <c r="N1437" s="48" t="n">
        <f aca="false">IF(AND(N1430&gt;0,$C$1417&gt;0),N1430*Assumptions!$F$24*(1-EXP(-$C$1417/(Assumptions!$F$23*N1430*Assumptions!$F$24))),0)</f>
        <v>0</v>
      </c>
      <c r="P1437" s="49" t="n">
        <f aca="false">SUM(C1437:F1437)</f>
        <v>0</v>
      </c>
      <c r="Q1437" s="49" t="n">
        <f aca="false">SUM(G1437:J1437)</f>
        <v>0</v>
      </c>
      <c r="R1437" s="49" t="n">
        <f aca="false">SUM(K1437:N1437)</f>
        <v>0</v>
      </c>
      <c r="S1437" s="50" t="n">
        <f aca="false">SUM(P1437:R1437)</f>
        <v>0</v>
      </c>
    </row>
    <row r="1438" customFormat="false" ht="15" hidden="false" customHeight="false" outlineLevel="0" collapsed="false">
      <c r="A1438" s="4" t="s">
        <v>498</v>
      </c>
      <c r="B1438" s="36" t="s">
        <v>497</v>
      </c>
      <c r="C1438" s="48" t="n">
        <f aca="false">(C1430*Assumptions!$F$22*MIN(1,Assumptions!$F$103/Assumptions!$F$78)+C1437)*C1420</f>
        <v>3.31132634112</v>
      </c>
      <c r="D1438" s="48" t="n">
        <f aca="false">(D1430*Assumptions!$F$22*MIN(1,Assumptions!$F$103/Assumptions!$F$78)+D1437)*D1420</f>
        <v>6.62265268224</v>
      </c>
      <c r="E1438" s="48" t="n">
        <f aca="false">(E1430*Assumptions!$F$22*MIN(1,Assumptions!$F$103/Assumptions!$F$78)+E1437)*E1420</f>
        <v>6.62265268224</v>
      </c>
      <c r="F1438" s="48" t="n">
        <f aca="false">(F1430*Assumptions!$F$22*MIN(1,Assumptions!$F$103/Assumptions!$F$78)+F1437)*F1420</f>
        <v>8.96099701056</v>
      </c>
      <c r="G1438" s="48" t="n">
        <f aca="false">(G1430*Assumptions!$F$22*MIN(1,Assumptions!$F$103/Assumptions!$F$78)+G1437)*G1420</f>
        <v>11.29934133888</v>
      </c>
      <c r="H1438" s="48" t="n">
        <f aca="false">(H1430*Assumptions!$F$22*MIN(1,Assumptions!$F$103/Assumptions!$F$78)+H1437)*H1420</f>
        <v>19.00566237696</v>
      </c>
      <c r="I1438" s="48" t="n">
        <f aca="false">(I1430*Assumptions!$F$22*MIN(1,Assumptions!$F$103/Assumptions!$F$78)+I1437)*I1420</f>
        <v>26.71198341504</v>
      </c>
      <c r="J1438" s="48" t="n">
        <f aca="false">(J1430*Assumptions!$F$22*MIN(1,Assumptions!$F$103/Assumptions!$F$78)+J1437)*J1420</f>
        <v>26.71198341504</v>
      </c>
      <c r="K1438" s="48" t="n">
        <f aca="false">(K1430*Assumptions!$F$22*MIN(1,Assumptions!$F$103/Assumptions!$F$78)+K1437)*K1420</f>
        <v>26.71198341504</v>
      </c>
      <c r="L1438" s="48" t="n">
        <f aca="false">(L1430*Assumptions!$F$22*MIN(1,Assumptions!$F$103/Assumptions!$F$78)+L1437)*L1420</f>
        <v>26.71198341504</v>
      </c>
      <c r="M1438" s="48" t="n">
        <f aca="false">(M1430*Assumptions!$F$22*MIN(1,Assumptions!$F$103/Assumptions!$F$78)+M1437)*M1420</f>
        <v>26.71198341504</v>
      </c>
      <c r="N1438" s="48" t="n">
        <f aca="false">(N1430*Assumptions!$F$22*MIN(1,Assumptions!$F$103/Assumptions!$F$78)+N1437)*N1420</f>
        <v>26.71198341504</v>
      </c>
      <c r="P1438" s="49" t="n">
        <f aca="false">SUM(C1438:F1438)</f>
        <v>25.51762871616</v>
      </c>
      <c r="Q1438" s="49" t="n">
        <f aca="false">SUM(G1438:J1438)</f>
        <v>83.72897054592</v>
      </c>
      <c r="R1438" s="49" t="n">
        <f aca="false">SUM(K1438:N1438)</f>
        <v>106.84793366016</v>
      </c>
      <c r="S1438" s="50" t="n">
        <f aca="false">SUM(P1438:R1438)</f>
        <v>216.09453292224</v>
      </c>
    </row>
    <row r="1439" customFormat="false" ht="15" hidden="false" customHeight="false" outlineLevel="0" collapsed="false">
      <c r="A1439" s="4" t="s">
        <v>499</v>
      </c>
      <c r="B1439" s="36" t="s">
        <v>500</v>
      </c>
      <c r="C1439" s="48" t="n">
        <f aca="false">C1420*MIN(Assumptions!$F$27,Assumptions!$F$25+Assumptions!$F$26*(C1419-1))*Assumptions!$F$107</f>
        <v>1.5</v>
      </c>
      <c r="D1439" s="48" t="n">
        <f aca="false">D1420*MIN(Assumptions!$F$27,Assumptions!$F$25+Assumptions!$F$26*(D1419-1))*Assumptions!$F$107</f>
        <v>2.5</v>
      </c>
      <c r="E1439" s="48" t="n">
        <f aca="false">E1420*MIN(Assumptions!$F$27,Assumptions!$F$25+Assumptions!$F$26*(E1419-1))*Assumptions!$F$107</f>
        <v>3.5</v>
      </c>
      <c r="F1439" s="48" t="n">
        <f aca="false">F1420*MIN(Assumptions!$F$27,Assumptions!$F$25+Assumptions!$F$26*(F1419-1))*Assumptions!$F$107</f>
        <v>4.5</v>
      </c>
      <c r="G1439" s="48" t="n">
        <f aca="false">G1420*MIN(Assumptions!$F$27,Assumptions!$F$25+Assumptions!$F$26*(G1419-1))*Assumptions!$F$107</f>
        <v>5.5</v>
      </c>
      <c r="H1439" s="48" t="n">
        <f aca="false">H1420*MIN(Assumptions!$F$27,Assumptions!$F$25+Assumptions!$F$26*(H1419-1))*Assumptions!$F$107</f>
        <v>6.5</v>
      </c>
      <c r="I1439" s="48" t="n">
        <f aca="false">I1420*MIN(Assumptions!$F$27,Assumptions!$F$25+Assumptions!$F$26*(I1419-1))*Assumptions!$F$107</f>
        <v>7.5</v>
      </c>
      <c r="J1439" s="48" t="n">
        <f aca="false">J1420*MIN(Assumptions!$F$27,Assumptions!$F$25+Assumptions!$F$26*(J1419-1))*Assumptions!$F$107</f>
        <v>7.5</v>
      </c>
      <c r="K1439" s="48" t="n">
        <f aca="false">K1420*MIN(Assumptions!$F$27,Assumptions!$F$25+Assumptions!$F$26*(K1419-1))*Assumptions!$F$107</f>
        <v>7.5</v>
      </c>
      <c r="L1439" s="48" t="n">
        <f aca="false">L1420*MIN(Assumptions!$F$27,Assumptions!$F$25+Assumptions!$F$26*(L1419-1))*Assumptions!$F$107</f>
        <v>7.5</v>
      </c>
      <c r="M1439" s="48" t="n">
        <f aca="false">M1420*MIN(Assumptions!$F$27,Assumptions!$F$25+Assumptions!$F$26*(M1419-1))*Assumptions!$F$107</f>
        <v>7.5</v>
      </c>
      <c r="N1439" s="48" t="n">
        <f aca="false">N1420*MIN(Assumptions!$F$27,Assumptions!$F$25+Assumptions!$F$26*(N1419-1))*Assumptions!$F$107</f>
        <v>7.5</v>
      </c>
      <c r="P1439" s="49" t="n">
        <f aca="false">F1439</f>
        <v>4.5</v>
      </c>
      <c r="Q1439" s="49" t="n">
        <f aca="false">J1439</f>
        <v>7.5</v>
      </c>
      <c r="R1439" s="49" t="n">
        <f aca="false">N1439</f>
        <v>7.5</v>
      </c>
      <c r="S1439" s="50" t="n">
        <f aca="false">R1439</f>
        <v>7.5</v>
      </c>
    </row>
    <row r="1440" customFormat="false" ht="15" hidden="false" customHeight="false" outlineLevel="0" collapsed="false">
      <c r="A1440" s="4" t="s">
        <v>501</v>
      </c>
      <c r="B1440" s="36" t="s">
        <v>502</v>
      </c>
      <c r="C1440" s="48" t="n">
        <f aca="false">C1439*Assumptions!$F$28</f>
        <v>6</v>
      </c>
      <c r="D1440" s="48" t="n">
        <f aca="false">D1439*Assumptions!$F$28</f>
        <v>10</v>
      </c>
      <c r="E1440" s="48" t="n">
        <f aca="false">E1439*Assumptions!$F$28</f>
        <v>14</v>
      </c>
      <c r="F1440" s="48" t="n">
        <f aca="false">F1439*Assumptions!$F$28</f>
        <v>18</v>
      </c>
      <c r="G1440" s="48" t="n">
        <f aca="false">G1439*Assumptions!$F$28</f>
        <v>22</v>
      </c>
      <c r="H1440" s="48" t="n">
        <f aca="false">H1439*Assumptions!$F$28</f>
        <v>26</v>
      </c>
      <c r="I1440" s="48" t="n">
        <f aca="false">I1439*Assumptions!$F$28</f>
        <v>30</v>
      </c>
      <c r="J1440" s="48" t="n">
        <f aca="false">J1439*Assumptions!$F$28</f>
        <v>30</v>
      </c>
      <c r="K1440" s="48" t="n">
        <f aca="false">K1439*Assumptions!$F$28</f>
        <v>30</v>
      </c>
      <c r="L1440" s="48" t="n">
        <f aca="false">L1439*Assumptions!$F$28</f>
        <v>30</v>
      </c>
      <c r="M1440" s="48" t="n">
        <f aca="false">M1439*Assumptions!$F$28</f>
        <v>30</v>
      </c>
      <c r="N1440" s="48" t="n">
        <f aca="false">N1439*Assumptions!$F$28</f>
        <v>30</v>
      </c>
      <c r="P1440" s="49" t="n">
        <f aca="false">SUM(C1440:F1440)</f>
        <v>48</v>
      </c>
      <c r="Q1440" s="49" t="n">
        <f aca="false">SUM(G1440:J1440)</f>
        <v>108</v>
      </c>
      <c r="R1440" s="49" t="n">
        <f aca="false">SUM(K1440:N1440)</f>
        <v>120</v>
      </c>
      <c r="S1440" s="50" t="n">
        <f aca="false">SUM(P1440:R1440)</f>
        <v>276</v>
      </c>
    </row>
    <row r="1441" customFormat="false" ht="15" hidden="false" customHeight="false" outlineLevel="0" collapsed="false">
      <c r="A1441" s="4" t="s">
        <v>503</v>
      </c>
      <c r="B1441" s="36" t="s">
        <v>504</v>
      </c>
      <c r="C1441" s="48" t="n">
        <f aca="false">(C1432+C1436)*Assumptions!$F$29</f>
        <v>3.1043684448</v>
      </c>
      <c r="D1441" s="48" t="n">
        <f aca="false">(D1432+D1436)*Assumptions!$F$29</f>
        <v>5.96153348105921</v>
      </c>
      <c r="E1441" s="48" t="n">
        <f aca="false">(E1432+E1436)*Assumptions!$F$29</f>
        <v>5.72417257773016</v>
      </c>
      <c r="F1441" s="48" t="n">
        <f aca="false">(F1432+F1436)*Assumptions!$F$29</f>
        <v>7.68846010402654</v>
      </c>
      <c r="G1441" s="48" t="n">
        <f aca="false">(G1432+G1436)*Assumptions!$F$29</f>
        <v>9.48725546011041</v>
      </c>
      <c r="H1441" s="48" t="n">
        <f aca="false">(H1432+H1436)*Assumptions!$F$29</f>
        <v>16.3341924617388</v>
      </c>
      <c r="I1441" s="48" t="n">
        <f aca="false">(I1432+I1436)*Assumptions!$F$29</f>
        <v>22.6208624150289</v>
      </c>
      <c r="J1441" s="48" t="n">
        <f aca="false">(J1432+J1436)*Assumptions!$F$29</f>
        <v>21.7202034899432</v>
      </c>
      <c r="K1441" s="48" t="n">
        <f aca="false">(K1432+K1436)*Assumptions!$F$29</f>
        <v>20.8554046697665</v>
      </c>
      <c r="L1441" s="48" t="n">
        <f aca="false">(L1432+L1436)*Assumptions!$F$29</f>
        <v>20.0250381696979</v>
      </c>
      <c r="M1441" s="48" t="n">
        <f aca="false">(M1432+M1436)*Assumptions!$F$29</f>
        <v>19.2277330527746</v>
      </c>
      <c r="N1441" s="48" t="n">
        <f aca="false">(N1432+N1436)*Assumptions!$F$29</f>
        <v>18.4621729664517</v>
      </c>
      <c r="P1441" s="49" t="n">
        <f aca="false">SUM(C1441:F1441)</f>
        <v>22.4785346076159</v>
      </c>
      <c r="Q1441" s="49" t="n">
        <f aca="false">SUM(G1441:J1441)</f>
        <v>70.1625138268213</v>
      </c>
      <c r="R1441" s="49" t="n">
        <f aca="false">SUM(K1441:N1441)</f>
        <v>78.5703488586908</v>
      </c>
      <c r="S1441" s="50" t="n">
        <f aca="false">SUM(P1441:R1441)</f>
        <v>171.211397293128</v>
      </c>
    </row>
    <row r="1442" customFormat="false" ht="15" hidden="false" customHeight="false" outlineLevel="0" collapsed="false">
      <c r="A1442" s="4" t="s">
        <v>505</v>
      </c>
      <c r="B1442" s="36" t="s">
        <v>504</v>
      </c>
      <c r="C1442" s="48" t="n">
        <f aca="false">C1438*Assumptions!$F$31</f>
        <v>0.7284917950464</v>
      </c>
      <c r="D1442" s="48" t="n">
        <f aca="false">D1438*Assumptions!$F$31</f>
        <v>1.4569835900928</v>
      </c>
      <c r="E1442" s="48" t="n">
        <f aca="false">E1438*Assumptions!$F$31</f>
        <v>1.4569835900928</v>
      </c>
      <c r="F1442" s="48" t="n">
        <f aca="false">F1438*Assumptions!$F$31</f>
        <v>1.9714193423232</v>
      </c>
      <c r="G1442" s="48" t="n">
        <f aca="false">G1438*Assumptions!$F$31</f>
        <v>2.4858550945536</v>
      </c>
      <c r="H1442" s="48" t="n">
        <f aca="false">H1438*Assumptions!$F$31</f>
        <v>4.1812457229312</v>
      </c>
      <c r="I1442" s="48" t="n">
        <f aca="false">I1438*Assumptions!$F$31</f>
        <v>5.8766363513088</v>
      </c>
      <c r="J1442" s="48" t="n">
        <f aca="false">J1438*Assumptions!$F$31</f>
        <v>5.8766363513088</v>
      </c>
      <c r="K1442" s="48" t="n">
        <f aca="false">K1438*Assumptions!$F$31</f>
        <v>5.8766363513088</v>
      </c>
      <c r="L1442" s="48" t="n">
        <f aca="false">L1438*Assumptions!$F$31</f>
        <v>5.8766363513088</v>
      </c>
      <c r="M1442" s="48" t="n">
        <f aca="false">M1438*Assumptions!$F$31</f>
        <v>5.8766363513088</v>
      </c>
      <c r="N1442" s="48" t="n">
        <f aca="false">N1438*Assumptions!$F$31</f>
        <v>5.8766363513088</v>
      </c>
      <c r="P1442" s="49" t="n">
        <f aca="false">SUM(C1442:F1442)</f>
        <v>5.6138783175552</v>
      </c>
      <c r="Q1442" s="49" t="n">
        <f aca="false">SUM(G1442:J1442)</f>
        <v>18.4203735201024</v>
      </c>
      <c r="R1442" s="49" t="n">
        <f aca="false">SUM(K1442:N1442)</f>
        <v>23.5065454052352</v>
      </c>
      <c r="S1442" s="50" t="n">
        <f aca="false">SUM(P1442:R1442)</f>
        <v>47.5407972428928</v>
      </c>
    </row>
    <row r="1443" customFormat="false" ht="15" hidden="false" customHeight="false" outlineLevel="0" collapsed="false">
      <c r="A1443" s="4" t="s">
        <v>506</v>
      </c>
      <c r="B1443" s="36" t="s">
        <v>504</v>
      </c>
      <c r="C1443" s="48" t="n">
        <f aca="false">C1440*Assumptions!$F$30</f>
        <v>3.6</v>
      </c>
      <c r="D1443" s="48" t="n">
        <f aca="false">D1440*Assumptions!$F$30</f>
        <v>6</v>
      </c>
      <c r="E1443" s="48" t="n">
        <f aca="false">E1440*Assumptions!$F$30</f>
        <v>8.4</v>
      </c>
      <c r="F1443" s="48" t="n">
        <f aca="false">F1440*Assumptions!$F$30</f>
        <v>10.8</v>
      </c>
      <c r="G1443" s="48" t="n">
        <f aca="false">G1440*Assumptions!$F$30</f>
        <v>13.2</v>
      </c>
      <c r="H1443" s="48" t="n">
        <f aca="false">H1440*Assumptions!$F$30</f>
        <v>15.6</v>
      </c>
      <c r="I1443" s="48" t="n">
        <f aca="false">I1440*Assumptions!$F$30</f>
        <v>18</v>
      </c>
      <c r="J1443" s="48" t="n">
        <f aca="false">J1440*Assumptions!$F$30</f>
        <v>18</v>
      </c>
      <c r="K1443" s="48" t="n">
        <f aca="false">K1440*Assumptions!$F$30</f>
        <v>18</v>
      </c>
      <c r="L1443" s="48" t="n">
        <f aca="false">L1440*Assumptions!$F$30</f>
        <v>18</v>
      </c>
      <c r="M1443" s="48" t="n">
        <f aca="false">M1440*Assumptions!$F$30</f>
        <v>18</v>
      </c>
      <c r="N1443" s="48" t="n">
        <f aca="false">N1440*Assumptions!$F$30</f>
        <v>18</v>
      </c>
      <c r="P1443" s="49" t="n">
        <f aca="false">SUM(C1443:F1443)</f>
        <v>28.8</v>
      </c>
      <c r="Q1443" s="49" t="n">
        <f aca="false">SUM(G1443:J1443)</f>
        <v>64.8</v>
      </c>
      <c r="R1443" s="49" t="n">
        <f aca="false">SUM(K1443:N1443)</f>
        <v>72</v>
      </c>
      <c r="S1443" s="50" t="n">
        <f aca="false">SUM(P1443:R1443)</f>
        <v>165.6</v>
      </c>
    </row>
    <row r="1444" customFormat="false" ht="15" hidden="false" customHeight="false" outlineLevel="0" collapsed="false">
      <c r="A1444" s="9" t="s">
        <v>507</v>
      </c>
      <c r="B1444" s="36" t="s">
        <v>504</v>
      </c>
      <c r="C1444" s="49" t="n">
        <f aca="false">C1441+C1442+C1443</f>
        <v>7.4328602398464</v>
      </c>
      <c r="D1444" s="49" t="n">
        <f aca="false">D1441+D1442+D1443</f>
        <v>13.418517071152</v>
      </c>
      <c r="E1444" s="49" t="n">
        <f aca="false">E1441+E1442+E1443</f>
        <v>15.581156167823</v>
      </c>
      <c r="F1444" s="49" t="n">
        <f aca="false">F1441+F1442+F1443</f>
        <v>20.4598794463497</v>
      </c>
      <c r="G1444" s="49" t="n">
        <f aca="false">G1441+G1442+G1443</f>
        <v>25.173110554664</v>
      </c>
      <c r="H1444" s="49" t="n">
        <f aca="false">H1441+H1442+H1443</f>
        <v>36.11543818467</v>
      </c>
      <c r="I1444" s="49" t="n">
        <f aca="false">I1441+I1442+I1443</f>
        <v>46.4974987663377</v>
      </c>
      <c r="J1444" s="49" t="n">
        <f aca="false">J1441+J1442+J1443</f>
        <v>45.596839841252</v>
      </c>
      <c r="K1444" s="49" t="n">
        <f aca="false">K1441+K1442+K1443</f>
        <v>44.7320410210753</v>
      </c>
      <c r="L1444" s="49" t="n">
        <f aca="false">L1441+L1442+L1443</f>
        <v>43.9016745210067</v>
      </c>
      <c r="M1444" s="49" t="n">
        <f aca="false">M1441+M1442+M1443</f>
        <v>43.1043694040834</v>
      </c>
      <c r="N1444" s="49" t="n">
        <f aca="false">N1441+N1442+N1443</f>
        <v>42.3388093177605</v>
      </c>
      <c r="P1444" s="49" t="n">
        <f aca="false">SUM(C1444:F1444)</f>
        <v>56.8924129251711</v>
      </c>
      <c r="Q1444" s="49" t="n">
        <f aca="false">SUM(G1444:J1444)</f>
        <v>153.382887346924</v>
      </c>
      <c r="R1444" s="49" t="n">
        <f aca="false">SUM(K1444:N1444)</f>
        <v>174.076894263926</v>
      </c>
      <c r="S1444" s="50" t="n">
        <f aca="false">SUM(P1444:R1444)</f>
        <v>384.352194536021</v>
      </c>
    </row>
    <row r="1445" customFormat="false" ht="15" hidden="false" customHeight="false" outlineLevel="0" collapsed="false">
      <c r="A1445" s="4" t="s">
        <v>508</v>
      </c>
      <c r="B1445" s="36" t="s">
        <v>509</v>
      </c>
      <c r="C1445" s="48" t="n">
        <f aca="false">C1427</f>
        <v>421.51972352</v>
      </c>
      <c r="D1445" s="48" t="n">
        <f aca="false">D1427</f>
        <v>843.03944704</v>
      </c>
      <c r="E1445" s="48" t="n">
        <f aca="false">E1427</f>
        <v>843.03944704</v>
      </c>
      <c r="F1445" s="48" t="n">
        <f aca="false">F1427</f>
        <v>1149.32798176</v>
      </c>
      <c r="G1445" s="48" t="n">
        <f aca="false">G1427</f>
        <v>1455.61651648</v>
      </c>
      <c r="H1445" s="48" t="n">
        <f aca="false">H1427</f>
        <v>2486.00303616</v>
      </c>
      <c r="I1445" s="48" t="n">
        <f aca="false">I1427</f>
        <v>3516.38955584</v>
      </c>
      <c r="J1445" s="48" t="n">
        <f aca="false">J1427</f>
        <v>3516.38955584</v>
      </c>
      <c r="K1445" s="48" t="n">
        <f aca="false">K1427</f>
        <v>3516.38955584</v>
      </c>
      <c r="L1445" s="48" t="n">
        <f aca="false">L1427</f>
        <v>3516.38955584</v>
      </c>
      <c r="M1445" s="48" t="n">
        <f aca="false">M1427</f>
        <v>3516.38955584</v>
      </c>
      <c r="N1445" s="48" t="n">
        <f aca="false">N1427</f>
        <v>3516.38955584</v>
      </c>
      <c r="P1445" s="49"/>
      <c r="Q1445" s="49"/>
      <c r="R1445" s="49"/>
      <c r="S1445" s="50"/>
    </row>
    <row r="1446" customFormat="false" ht="15" hidden="false" customHeight="false" outlineLevel="0" collapsed="false">
      <c r="A1446" s="4" t="s">
        <v>510</v>
      </c>
      <c r="B1446" s="36" t="s">
        <v>509</v>
      </c>
      <c r="C1446" s="48" t="n">
        <f aca="false">C1428*Assumptions!$F$18*Assumptions!$F$33</f>
        <v>211.19616</v>
      </c>
      <c r="D1446" s="48" t="n">
        <f aca="false">D1428*Assumptions!$F$18*Assumptions!$F$33</f>
        <v>422.39232</v>
      </c>
      <c r="E1446" s="48" t="n">
        <f aca="false">E1428*Assumptions!$F$18*Assumptions!$F$33</f>
        <v>422.39232</v>
      </c>
      <c r="F1446" s="48" t="n">
        <f aca="false">F1428*Assumptions!$F$18*Assumptions!$F$33</f>
        <v>564.49344</v>
      </c>
      <c r="G1446" s="48" t="n">
        <f aca="false">G1428*Assumptions!$F$18*Assumptions!$F$33</f>
        <v>706.59456</v>
      </c>
      <c r="H1446" s="48" t="n">
        <f aca="false">H1428*Assumptions!$F$18*Assumptions!$F$33</f>
        <v>1135.07072</v>
      </c>
      <c r="I1446" s="48" t="n">
        <f aca="false">I1428*Assumptions!$F$18*Assumptions!$F$33</f>
        <v>1563.54688</v>
      </c>
      <c r="J1446" s="48" t="n">
        <f aca="false">J1428*Assumptions!$F$18*Assumptions!$F$33</f>
        <v>1563.54688</v>
      </c>
      <c r="K1446" s="48" t="n">
        <f aca="false">K1428*Assumptions!$F$18*Assumptions!$F$33</f>
        <v>1563.54688</v>
      </c>
      <c r="L1446" s="48" t="n">
        <f aca="false">L1428*Assumptions!$F$18*Assumptions!$F$33</f>
        <v>1563.54688</v>
      </c>
      <c r="M1446" s="48" t="n">
        <f aca="false">M1428*Assumptions!$F$18*Assumptions!$F$33</f>
        <v>1563.54688</v>
      </c>
      <c r="N1446" s="48" t="n">
        <f aca="false">N1428*Assumptions!$F$18*Assumptions!$F$33</f>
        <v>1563.54688</v>
      </c>
      <c r="P1446" s="49"/>
      <c r="Q1446" s="49"/>
      <c r="R1446" s="49"/>
      <c r="S1446" s="50"/>
    </row>
    <row r="1447" customFormat="false" ht="15" hidden="false" customHeight="false" outlineLevel="0" collapsed="false">
      <c r="A1447" s="4" t="s">
        <v>511</v>
      </c>
      <c r="B1447" s="36" t="s">
        <v>509</v>
      </c>
      <c r="C1447" s="48" t="n">
        <f aca="false">C1429*Assumptions!$F$19*Assumptions!$F$34</f>
        <v>44.585856</v>
      </c>
      <c r="D1447" s="48" t="n">
        <f aca="false">D1429*Assumptions!$F$19*Assumptions!$F$34</f>
        <v>89.171712</v>
      </c>
      <c r="E1447" s="48" t="n">
        <f aca="false">E1429*Assumptions!$F$19*Assumptions!$F$34</f>
        <v>89.171712</v>
      </c>
      <c r="F1447" s="48" t="n">
        <f aca="false">F1429*Assumptions!$F$19*Assumptions!$F$34</f>
        <v>111.46464</v>
      </c>
      <c r="G1447" s="48" t="n">
        <f aca="false">G1429*Assumptions!$F$19*Assumptions!$F$34</f>
        <v>133.757568</v>
      </c>
      <c r="H1447" s="48" t="n">
        <f aca="false">H1429*Assumptions!$F$19*Assumptions!$F$34</f>
        <v>205.3296</v>
      </c>
      <c r="I1447" s="48" t="n">
        <f aca="false">I1429*Assumptions!$F$19*Assumptions!$F$34</f>
        <v>276.901632</v>
      </c>
      <c r="J1447" s="48" t="n">
        <f aca="false">J1429*Assumptions!$F$19*Assumptions!$F$34</f>
        <v>276.901632</v>
      </c>
      <c r="K1447" s="48" t="n">
        <f aca="false">K1429*Assumptions!$F$19*Assumptions!$F$34</f>
        <v>276.901632</v>
      </c>
      <c r="L1447" s="48" t="n">
        <f aca="false">L1429*Assumptions!$F$19*Assumptions!$F$34</f>
        <v>276.901632</v>
      </c>
      <c r="M1447" s="48" t="n">
        <f aca="false">M1429*Assumptions!$F$19*Assumptions!$F$34</f>
        <v>276.901632</v>
      </c>
      <c r="N1447" s="48" t="n">
        <f aca="false">N1429*Assumptions!$F$19*Assumptions!$F$34</f>
        <v>276.901632</v>
      </c>
      <c r="P1447" s="49"/>
      <c r="Q1447" s="49"/>
      <c r="R1447" s="49"/>
      <c r="S1447" s="50"/>
    </row>
    <row r="1448" customFormat="false" ht="15" hidden="false" customHeight="false" outlineLevel="0" collapsed="false">
      <c r="A1448" s="4" t="s">
        <v>512</v>
      </c>
      <c r="B1448" s="36" t="s">
        <v>77</v>
      </c>
      <c r="C1448" s="51" t="n">
        <f aca="false">IFERROR(C1445/(C1445+C1446+C1447),0)</f>
        <v>0.622351455672813</v>
      </c>
      <c r="D1448" s="51" t="n">
        <f aca="false">IFERROR(D1445/(D1445+D1446+D1447),0)</f>
        <v>0.622351455672813</v>
      </c>
      <c r="E1448" s="51" t="n">
        <f aca="false">IFERROR(E1445/(E1445+E1446+E1447),0)</f>
        <v>0.622351455672813</v>
      </c>
      <c r="F1448" s="51" t="n">
        <f aca="false">IFERROR(F1445/(F1445+F1446+F1447),0)</f>
        <v>0.629670058758779</v>
      </c>
      <c r="G1448" s="51" t="n">
        <f aca="false">IFERROR(G1445/(G1445+G1446+G1447),0)</f>
        <v>0.633987977135321</v>
      </c>
      <c r="H1448" s="51" t="n">
        <f aca="false">IFERROR(H1445/(H1445+H1446+H1447),0)</f>
        <v>0.649697066609004</v>
      </c>
      <c r="I1448" s="51" t="n">
        <f aca="false">IFERROR(I1445/(I1445+I1446+I1447),0)</f>
        <v>0.656430064024297</v>
      </c>
      <c r="J1448" s="51" t="n">
        <f aca="false">IFERROR(J1445/(J1445+J1446+J1447),0)</f>
        <v>0.656430064024297</v>
      </c>
      <c r="K1448" s="51" t="n">
        <f aca="false">IFERROR(K1445/(K1445+K1446+K1447),0)</f>
        <v>0.656430064024297</v>
      </c>
      <c r="L1448" s="51" t="n">
        <f aca="false">IFERROR(L1445/(L1445+L1446+L1447),0)</f>
        <v>0.656430064024297</v>
      </c>
      <c r="M1448" s="51" t="n">
        <f aca="false">IFERROR(M1445/(M1445+M1446+M1447),0)</f>
        <v>0.656430064024297</v>
      </c>
      <c r="N1448" s="51" t="n">
        <f aca="false">IFERROR(N1445/(N1445+N1446+N1447),0)</f>
        <v>0.656430064024297</v>
      </c>
      <c r="P1448" s="52"/>
      <c r="Q1448" s="52"/>
      <c r="R1448" s="52"/>
      <c r="S1448" s="53"/>
    </row>
    <row r="1449" customFormat="false" ht="15" hidden="false" customHeight="false" outlineLevel="0" collapsed="false">
      <c r="A1449" s="4" t="s">
        <v>513</v>
      </c>
      <c r="B1449" s="36" t="s">
        <v>77</v>
      </c>
      <c r="C1449" s="51" t="n">
        <f aca="false">IFERROR(C1446/(C1445+C1446+C1447),0)</f>
        <v>0.311819898985751</v>
      </c>
      <c r="D1449" s="51" t="n">
        <f aca="false">IFERROR(D1446/(D1445+D1446+D1447),0)</f>
        <v>0.311819898985751</v>
      </c>
      <c r="E1449" s="51" t="n">
        <f aca="false">IFERROR(E1446/(E1445+E1446+E1447),0)</f>
        <v>0.311819898985751</v>
      </c>
      <c r="F1449" s="51" t="n">
        <f aca="false">IFERROR(F1446/(F1445+F1446+F1447),0)</f>
        <v>0.309262998182157</v>
      </c>
      <c r="G1449" s="51" t="n">
        <f aca="false">IFERROR(G1446/(G1445+G1446+G1447),0)</f>
        <v>0.307754446777313</v>
      </c>
      <c r="H1449" s="51" t="n">
        <f aca="false">IFERROR(H1446/(H1445+H1446+H1447),0)</f>
        <v>0.296641680018571</v>
      </c>
      <c r="I1449" s="51" t="n">
        <f aca="false">IFERROR(I1446/(I1445+I1446+I1447),0)</f>
        <v>0.291878690413813</v>
      </c>
      <c r="J1449" s="51" t="n">
        <f aca="false">IFERROR(J1446/(J1445+J1446+J1447),0)</f>
        <v>0.291878690413813</v>
      </c>
      <c r="K1449" s="51" t="n">
        <f aca="false">IFERROR(K1446/(K1445+K1446+K1447),0)</f>
        <v>0.291878690413813</v>
      </c>
      <c r="L1449" s="51" t="n">
        <f aca="false">IFERROR(L1446/(L1445+L1446+L1447),0)</f>
        <v>0.291878690413813</v>
      </c>
      <c r="M1449" s="51" t="n">
        <f aca="false">IFERROR(M1446/(M1445+M1446+M1447),0)</f>
        <v>0.291878690413813</v>
      </c>
      <c r="N1449" s="51" t="n">
        <f aca="false">IFERROR(N1446/(N1445+N1446+N1447),0)</f>
        <v>0.291878690413813</v>
      </c>
      <c r="P1449" s="52"/>
      <c r="Q1449" s="52"/>
      <c r="R1449" s="52"/>
      <c r="S1449" s="53"/>
    </row>
    <row r="1450" customFormat="false" ht="15" hidden="false" customHeight="false" outlineLevel="0" collapsed="false">
      <c r="A1450" s="4" t="s">
        <v>514</v>
      </c>
      <c r="B1450" s="36" t="s">
        <v>77</v>
      </c>
      <c r="C1450" s="51" t="n">
        <f aca="false">IFERROR(C1447/(C1445+C1446+C1447),0)</f>
        <v>0.0658286453414364</v>
      </c>
      <c r="D1450" s="51" t="n">
        <f aca="false">IFERROR(D1447/(D1445+D1446+D1447),0)</f>
        <v>0.0658286453414364</v>
      </c>
      <c r="E1450" s="51" t="n">
        <f aca="false">IFERROR(E1447/(E1445+E1446+E1447),0)</f>
        <v>0.0658286453414364</v>
      </c>
      <c r="F1450" s="51" t="n">
        <f aca="false">IFERROR(F1447/(F1445+F1446+F1447),0)</f>
        <v>0.0610669430590634</v>
      </c>
      <c r="G1450" s="51" t="n">
        <f aca="false">IFERROR(G1447/(G1445+G1446+G1447),0)</f>
        <v>0.0582575760873659</v>
      </c>
      <c r="H1450" s="51" t="n">
        <f aca="false">IFERROR(H1447/(H1445+H1446+H1447),0)</f>
        <v>0.0536612533724252</v>
      </c>
      <c r="I1450" s="51" t="n">
        <f aca="false">IFERROR(I1447/(I1445+I1446+I1447),0)</f>
        <v>0.0516912455618904</v>
      </c>
      <c r="J1450" s="51" t="n">
        <f aca="false">IFERROR(J1447/(J1445+J1446+J1447),0)</f>
        <v>0.0516912455618904</v>
      </c>
      <c r="K1450" s="51" t="n">
        <f aca="false">IFERROR(K1447/(K1445+K1446+K1447),0)</f>
        <v>0.0516912455618904</v>
      </c>
      <c r="L1450" s="51" t="n">
        <f aca="false">IFERROR(L1447/(L1445+L1446+L1447),0)</f>
        <v>0.0516912455618904</v>
      </c>
      <c r="M1450" s="51" t="n">
        <f aca="false">IFERROR(M1447/(M1445+M1446+M1447),0)</f>
        <v>0.0516912455618904</v>
      </c>
      <c r="N1450" s="51" t="n">
        <f aca="false">IFERROR(N1447/(N1445+N1446+N1447),0)</f>
        <v>0.0516912455618904</v>
      </c>
      <c r="P1450" s="52"/>
      <c r="Q1450" s="52"/>
      <c r="R1450" s="52"/>
      <c r="S1450" s="53"/>
    </row>
    <row r="1451" customFormat="false" ht="15" hidden="false" customHeight="false" outlineLevel="0" collapsed="false">
      <c r="A1451" s="4" t="s">
        <v>515</v>
      </c>
      <c r="B1451" s="36" t="s">
        <v>516</v>
      </c>
      <c r="C1451" s="48" t="n">
        <f aca="false">IF(C1419-Assumptions!$F$35&lt;1,0,INDEX($C$1444:$N$1444,1,C1419-Assumptions!$F$35)*INDEX($C$1448:$N$1448,1,C1419-Assumptions!$F$35)*Assumptions!$F$32)</f>
        <v>0</v>
      </c>
      <c r="D1451" s="48" t="n">
        <f aca="false">IF(D1419-Assumptions!$F$35&lt;1,0,INDEX($C$1444:$N$1444,1,D1419-Assumptions!$F$35)*INDEX($C$1448:$N$1448,1,D1419-Assumptions!$F$35)*Assumptions!$F$32)</f>
        <v>1.38775541702429</v>
      </c>
      <c r="E1451" s="48" t="n">
        <f aca="false">IF(E1419-Assumptions!$F$35&lt;1,0,INDEX($C$1444:$N$1444,1,E1419-Assumptions!$F$35)*INDEX($C$1448:$N$1448,1,E1419-Assumptions!$F$35)*Assumptions!$F$32)</f>
        <v>2.50531008966058</v>
      </c>
      <c r="F1451" s="48" t="n">
        <f aca="false">IF(F1419-Assumptions!$F$35&lt;1,0,INDEX($C$1444:$N$1444,1,F1419-Assumptions!$F$35)*INDEX($C$1448:$N$1448,1,F1419-Assumptions!$F$35)*Assumptions!$F$32)</f>
        <v>2.90908656663301</v>
      </c>
      <c r="G1451" s="48" t="n">
        <f aca="false">IF(G1419-Assumptions!$F$35&lt;1,0,INDEX($C$1444:$N$1444,1,G1419-Assumptions!$F$35)*INDEX($C$1448:$N$1448,1,G1419-Assumptions!$F$35)*Assumptions!$F$32)</f>
        <v>3.86489204795417</v>
      </c>
      <c r="H1451" s="48" t="n">
        <f aca="false">IF(H1419-Assumptions!$F$35&lt;1,0,INDEX($C$1444:$N$1444,1,H1419-Assumptions!$F$35)*INDEX($C$1448:$N$1448,1,H1419-Assumptions!$F$35)*Assumptions!$F$32)</f>
        <v>4.78783483162657</v>
      </c>
      <c r="I1451" s="48" t="n">
        <f aca="false">IF(I1419-Assumptions!$F$35&lt;1,0,INDEX($C$1444:$N$1444,1,I1419-Assumptions!$F$35)*INDEX($C$1448:$N$1448,1,I1419-Assumptions!$F$35)*Assumptions!$F$32)</f>
        <v>7.03922827436366</v>
      </c>
      <c r="J1451" s="48" t="n">
        <f aca="false">IF(J1419-Assumptions!$F$35&lt;1,0,INDEX($C$1444:$N$1444,1,J1419-Assumptions!$F$35)*INDEX($C$1448:$N$1448,1,J1419-Assumptions!$F$35)*Assumptions!$F$32)</f>
        <v>9.15670682764702</v>
      </c>
      <c r="K1451" s="48" t="n">
        <f aca="false">IF(K1419-Assumptions!$F$35&lt;1,0,INDEX($C$1444:$N$1444,1,K1419-Assumptions!$F$35)*INDEX($C$1448:$N$1448,1,K1419-Assumptions!$F$35)*Assumptions!$F$32)</f>
        <v>8.97934094888959</v>
      </c>
      <c r="L1451" s="48" t="n">
        <f aca="false">IF(L1419-Assumptions!$F$35&lt;1,0,INDEX($C$1444:$N$1444,1,L1419-Assumptions!$F$35)*INDEX($C$1448:$N$1448,1,L1419-Assumptions!$F$35)*Assumptions!$F$32)</f>
        <v>8.80903696542058</v>
      </c>
      <c r="M1451" s="48" t="n">
        <f aca="false">IF(M1419-Assumptions!$F$35&lt;1,0,INDEX($C$1444:$N$1444,1,M1419-Assumptions!$F$35)*INDEX($C$1448:$N$1448,1,M1419-Assumptions!$F$35)*Assumptions!$F$32)</f>
        <v>8.64551370497948</v>
      </c>
      <c r="N1451" s="48" t="n">
        <f aca="false">IF(N1419-Assumptions!$F$35&lt;1,0,INDEX($C$1444:$N$1444,1,N1419-Assumptions!$F$35)*INDEX($C$1448:$N$1448,1,N1419-Assumptions!$F$35)*Assumptions!$F$32)</f>
        <v>8.48850119029482</v>
      </c>
      <c r="P1451" s="49" t="n">
        <f aca="false">SUM(C1451:F1451)</f>
        <v>6.80215207331789</v>
      </c>
      <c r="Q1451" s="49" t="n">
        <f aca="false">SUM(G1451:J1451)</f>
        <v>24.8486619815914</v>
      </c>
      <c r="R1451" s="49" t="n">
        <f aca="false">SUM(K1451:N1451)</f>
        <v>34.9223928095845</v>
      </c>
      <c r="S1451" s="50" t="n">
        <f aca="false">SUM(P1451:R1451)</f>
        <v>66.5732068644938</v>
      </c>
    </row>
    <row r="1452" customFormat="false" ht="15" hidden="false" customHeight="false" outlineLevel="0" collapsed="false">
      <c r="A1452" s="4" t="s">
        <v>517</v>
      </c>
      <c r="B1452" s="36" t="s">
        <v>516</v>
      </c>
      <c r="C1452" s="48" t="n">
        <f aca="false">IF(C1419-Assumptions!$F$35&lt;1,0,INDEX($C$1444:$N$1444,1,C1419-Assumptions!$F$35)*INDEX($C$1449:$N$1449,1,C1419-Assumptions!$F$35)*Assumptions!$F$32)</f>
        <v>0</v>
      </c>
      <c r="D1452" s="48" t="n">
        <f aca="false">IF(D1419-Assumptions!$F$35&lt;1,0,INDEX($C$1444:$N$1444,1,D1419-Assumptions!$F$35)*INDEX($C$1449:$N$1449,1,D1419-Assumptions!$F$35)*Assumptions!$F$32)</f>
        <v>0.695314118749233</v>
      </c>
      <c r="E1452" s="48" t="n">
        <f aca="false">IF(E1419-Assumptions!$F$35&lt;1,0,INDEX($C$1444:$N$1444,1,E1419-Assumptions!$F$35)*INDEX($C$1449:$N$1449,1,E1419-Assumptions!$F$35)*Assumptions!$F$32)</f>
        <v>1.25524819129956</v>
      </c>
      <c r="F1452" s="48" t="n">
        <f aca="false">IF(F1419-Assumptions!$F$35&lt;1,0,INDEX($C$1444:$N$1444,1,F1419-Assumptions!$F$35)*INDEX($C$1449:$N$1449,1,F1419-Assumptions!$F$35)*Assumptions!$F$32)</f>
        <v>1.45755436269953</v>
      </c>
      <c r="G1452" s="48" t="n">
        <f aca="false">IF(G1419-Assumptions!$F$35&lt;1,0,INDEX($C$1444:$N$1444,1,G1419-Assumptions!$F$35)*INDEX($C$1449:$N$1449,1,G1419-Assumptions!$F$35)*Assumptions!$F$32)</f>
        <v>1.89824509800709</v>
      </c>
      <c r="H1452" s="48" t="n">
        <f aca="false">IF(H1419-Assumptions!$F$35&lt;1,0,INDEX($C$1444:$N$1444,1,H1419-Assumptions!$F$35)*INDEX($C$1449:$N$1449,1,H1419-Assumptions!$F$35)*Assumptions!$F$32)</f>
        <v>2.32414101372443</v>
      </c>
      <c r="I1452" s="48" t="n">
        <f aca="false">IF(I1419-Assumptions!$F$35&lt;1,0,INDEX($C$1444:$N$1444,1,I1419-Assumptions!$F$35)*INDEX($C$1449:$N$1449,1,I1419-Assumptions!$F$35)*Assumptions!$F$32)</f>
        <v>3.2140032773122</v>
      </c>
      <c r="J1452" s="48" t="n">
        <f aca="false">IF(J1419-Assumptions!$F$35&lt;1,0,INDEX($C$1444:$N$1444,1,J1419-Assumptions!$F$35)*INDEX($C$1449:$N$1449,1,J1419-Assumptions!$F$35)*Assumptions!$F$32)</f>
        <v>4.07148871423096</v>
      </c>
      <c r="K1452" s="48" t="n">
        <f aca="false">IF(K1419-Assumptions!$F$35&lt;1,0,INDEX($C$1444:$N$1444,1,K1419-Assumptions!$F$35)*INDEX($C$1449:$N$1449,1,K1419-Assumptions!$F$35)*Assumptions!$F$32)</f>
        <v>3.9926237699619</v>
      </c>
      <c r="L1452" s="48" t="n">
        <f aca="false">IF(L1419-Assumptions!$F$35&lt;1,0,INDEX($C$1444:$N$1444,1,L1419-Assumptions!$F$35)*INDEX($C$1449:$N$1449,1,L1419-Assumptions!$F$35)*Assumptions!$F$32)</f>
        <v>3.91689886583053</v>
      </c>
      <c r="M1452" s="48" t="n">
        <f aca="false">IF(M1419-Assumptions!$F$35&lt;1,0,INDEX($C$1444:$N$1444,1,M1419-Assumptions!$F$35)*INDEX($C$1449:$N$1449,1,M1419-Assumptions!$F$35)*Assumptions!$F$32)</f>
        <v>3.84418897984947</v>
      </c>
      <c r="N1452" s="48" t="n">
        <f aca="false">IF(N1419-Assumptions!$F$35&lt;1,0,INDEX($C$1444:$N$1444,1,N1419-Assumptions!$F$35)*INDEX($C$1449:$N$1449,1,N1419-Assumptions!$F$35)*Assumptions!$F$32)</f>
        <v>3.77437406783313</v>
      </c>
      <c r="P1452" s="49" t="n">
        <f aca="false">SUM(C1452:F1452)</f>
        <v>3.40811667274832</v>
      </c>
      <c r="Q1452" s="49" t="n">
        <f aca="false">SUM(G1452:J1452)</f>
        <v>11.5078781032747</v>
      </c>
      <c r="R1452" s="49" t="n">
        <f aca="false">SUM(K1452:N1452)</f>
        <v>15.528085683475</v>
      </c>
      <c r="S1452" s="50" t="n">
        <f aca="false">SUM(P1452:R1452)</f>
        <v>30.444080459498</v>
      </c>
    </row>
    <row r="1453" customFormat="false" ht="15" hidden="false" customHeight="false" outlineLevel="0" collapsed="false">
      <c r="A1453" s="4" t="s">
        <v>518</v>
      </c>
      <c r="B1453" s="36" t="s">
        <v>516</v>
      </c>
      <c r="C1453" s="48" t="n">
        <f aca="false">IF(C1419-Assumptions!$F$36&lt;1,0,INDEX($C$1444:$N$1444,1,C1419-Assumptions!$F$36)*INDEX($C$1450:$N$1450,1,C1419-Assumptions!$F$36)*Assumptions!$F$32)</f>
        <v>0</v>
      </c>
      <c r="D1453" s="48" t="n">
        <f aca="false">IF(D1419-Assumptions!$F$36&lt;1,0,INDEX($C$1444:$N$1444,1,D1419-Assumptions!$F$36)*INDEX($C$1450:$N$1450,1,D1419-Assumptions!$F$36)*Assumptions!$F$32)</f>
        <v>0</v>
      </c>
      <c r="E1453" s="48" t="n">
        <f aca="false">IF(E1419-Assumptions!$F$36&lt;1,0,INDEX($C$1444:$N$1444,1,E1419-Assumptions!$F$36)*INDEX($C$1450:$N$1450,1,E1419-Assumptions!$F$36)*Assumptions!$F$32)</f>
        <v>0.146788536180394</v>
      </c>
      <c r="F1453" s="48" t="n">
        <f aca="false">IF(F1419-Assumptions!$F$36&lt;1,0,INDEX($C$1444:$N$1444,1,F1419-Assumptions!$F$36)*INDEX($C$1450:$N$1450,1,F1419-Assumptions!$F$36)*Assumptions!$F$32)</f>
        <v>0.264996840385463</v>
      </c>
      <c r="G1453" s="48" t="n">
        <f aca="false">IF(G1419-Assumptions!$F$36&lt;1,0,INDEX($C$1444:$N$1444,1,G1419-Assumptions!$F$36)*INDEX($C$1450:$N$1450,1,G1419-Assumptions!$F$36)*Assumptions!$F$32)</f>
        <v>0.307705921014345</v>
      </c>
      <c r="H1453" s="48" t="n">
        <f aca="false">IF(H1419-Assumptions!$F$36&lt;1,0,INDEX($C$1444:$N$1444,1,H1419-Assumptions!$F$36)*INDEX($C$1450:$N$1450,1,H1419-Assumptions!$F$36)*Assumptions!$F$32)</f>
        <v>0.374826687943662</v>
      </c>
      <c r="I1453" s="48" t="n">
        <f aca="false">IF(I1419-Assumptions!$F$36&lt;1,0,INDEX($C$1444:$N$1444,1,I1419-Assumptions!$F$36)*INDEX($C$1450:$N$1450,1,I1419-Assumptions!$F$36)*Assumptions!$F$32)</f>
        <v>0.439957321048204</v>
      </c>
      <c r="J1453" s="48" t="n">
        <f aca="false">IF(J1419-Assumptions!$F$36&lt;1,0,INDEX($C$1444:$N$1444,1,J1419-Assumptions!$F$36)*INDEX($C$1450:$N$1450,1,J1419-Assumptions!$F$36)*Assumptions!$F$32)</f>
        <v>0.581399903725121</v>
      </c>
      <c r="K1453" s="48" t="n">
        <f aca="false">IF(K1419-Assumptions!$F$36&lt;1,0,INDEX($C$1444:$N$1444,1,K1419-Assumptions!$F$36)*INDEX($C$1450:$N$1450,1,K1419-Assumptions!$F$36)*Assumptions!$F$32)</f>
        <v>0.721054088023338</v>
      </c>
      <c r="L1453" s="48" t="n">
        <f aca="false">IF(L1419-Assumptions!$F$36&lt;1,0,INDEX($C$1444:$N$1444,1,L1419-Assumptions!$F$36)*INDEX($C$1450:$N$1450,1,L1419-Assumptions!$F$36)*Assumptions!$F$32)</f>
        <v>0.707087233524103</v>
      </c>
      <c r="M1453" s="48" t="n">
        <f aca="false">IF(M1419-Assumptions!$F$36&lt;1,0,INDEX($C$1444:$N$1444,1,M1419-Assumptions!$F$36)*INDEX($C$1450:$N$1450,1,M1419-Assumptions!$F$36)*Assumptions!$F$32)</f>
        <v>0.693676475071488</v>
      </c>
      <c r="N1453" s="48" t="n">
        <f aca="false">IF(N1419-Assumptions!$F$36&lt;1,0,INDEX($C$1444:$N$1444,1,N1419-Assumptions!$F$36)*INDEX($C$1450:$N$1450,1,N1419-Assumptions!$F$36)*Assumptions!$F$32)</f>
        <v>0.680799671473064</v>
      </c>
      <c r="P1453" s="49" t="n">
        <f aca="false">SUM(C1453:F1453)</f>
        <v>0.411785376565856</v>
      </c>
      <c r="Q1453" s="49" t="n">
        <f aca="false">SUM(G1453:J1453)</f>
        <v>1.70388983373133</v>
      </c>
      <c r="R1453" s="49" t="n">
        <f aca="false">SUM(K1453:N1453)</f>
        <v>2.80261746809199</v>
      </c>
      <c r="S1453" s="50" t="n">
        <f aca="false">SUM(P1453:R1453)</f>
        <v>4.91829267838918</v>
      </c>
    </row>
    <row r="1454" customFormat="false" ht="15" hidden="false" customHeight="false" outlineLevel="0" collapsed="false">
      <c r="A1454" s="4" t="s">
        <v>519</v>
      </c>
      <c r="B1454" s="36" t="s">
        <v>77</v>
      </c>
      <c r="C1454" s="51" t="n">
        <f aca="false">IF(C1419-Assumptions!$F$35&lt;1,0,IFERROR(INDEX($C$1443:$N$1443,1,C1419-Assumptions!$F$35)/INDEX($C$1444:$N$1444,1,C1419-Assumptions!$F$35),0))</f>
        <v>0</v>
      </c>
      <c r="D1454" s="51" t="n">
        <f aca="false">IF(D1419-Assumptions!$F$35&lt;1,0,IFERROR(INDEX($C$1443:$N$1443,1,D1419-Assumptions!$F$35)/INDEX($C$1444:$N$1444,1,D1419-Assumptions!$F$35),0))</f>
        <v>0.484335758218749</v>
      </c>
      <c r="E1454" s="51" t="n">
        <f aca="false">IF(E1419-Assumptions!$F$35&lt;1,0,IFERROR(INDEX($C$1443:$N$1443,1,E1419-Assumptions!$F$35)/INDEX($C$1444:$N$1444,1,E1419-Assumptions!$F$35),0))</f>
        <v>0.447143299679455</v>
      </c>
      <c r="F1454" s="51" t="n">
        <f aca="false">IF(F1419-Assumptions!$F$35&lt;1,0,IFERROR(INDEX($C$1443:$N$1443,1,F1419-Assumptions!$F$35)/INDEX($C$1444:$N$1444,1,F1419-Assumptions!$F$35),0))</f>
        <v>0.53911275322091</v>
      </c>
      <c r="G1454" s="51" t="n">
        <f aca="false">IF(G1419-Assumptions!$F$35&lt;1,0,IFERROR(INDEX($C$1443:$N$1443,1,G1419-Assumptions!$F$35)/INDEX($C$1444:$N$1444,1,G1419-Assumptions!$F$35),0))</f>
        <v>0.52786234778753</v>
      </c>
      <c r="H1454" s="51" t="n">
        <f aca="false">IF(H1419-Assumptions!$F$35&lt;1,0,IFERROR(INDEX($C$1443:$N$1443,1,H1419-Assumptions!$F$35)/INDEX($C$1444:$N$1444,1,H1419-Assumptions!$F$35),0))</f>
        <v>0.52436904733469</v>
      </c>
      <c r="I1454" s="51" t="n">
        <f aca="false">IF(I1419-Assumptions!$F$35&lt;1,0,IFERROR(INDEX($C$1443:$N$1443,1,I1419-Assumptions!$F$35)/INDEX($C$1444:$N$1444,1,I1419-Assumptions!$F$35),0))</f>
        <v>0.431948241088261</v>
      </c>
      <c r="J1454" s="51" t="n">
        <f aca="false">IF(J1419-Assumptions!$F$35&lt;1,0,IFERROR(INDEX($C$1443:$N$1443,1,J1419-Assumptions!$F$35)/INDEX($C$1444:$N$1444,1,J1419-Assumptions!$F$35),0))</f>
        <v>0.387117597237967</v>
      </c>
      <c r="K1454" s="51" t="n">
        <f aca="false">IF(K1419-Assumptions!$F$35&lt;1,0,IFERROR(INDEX($C$1443:$N$1443,1,K1419-Assumptions!$F$35)/INDEX($C$1444:$N$1444,1,K1419-Assumptions!$F$35),0))</f>
        <v>0.39476419994605</v>
      </c>
      <c r="L1454" s="51" t="n">
        <f aca="false">IF(L1419-Assumptions!$F$35&lt;1,0,IFERROR(INDEX($C$1443:$N$1443,1,L1419-Assumptions!$F$35)/INDEX($C$1444:$N$1444,1,L1419-Assumptions!$F$35),0))</f>
        <v>0.402396125665703</v>
      </c>
      <c r="M1454" s="51" t="n">
        <f aca="false">IF(M1419-Assumptions!$F$35&lt;1,0,IFERROR(INDEX($C$1443:$N$1443,1,M1419-Assumptions!$F$35)/INDEX($C$1444:$N$1444,1,M1419-Assumptions!$F$35),0))</f>
        <v>0.410007139736483</v>
      </c>
      <c r="N1454" s="51" t="n">
        <f aca="false">IF(N1419-Assumptions!$F$35&lt;1,0,IFERROR(INDEX($C$1443:$N$1443,1,N1419-Assumptions!$F$35)/INDEX($C$1444:$N$1444,1,N1419-Assumptions!$F$35),0))</f>
        <v>0.417591076005738</v>
      </c>
      <c r="P1454" s="52"/>
      <c r="Q1454" s="52"/>
      <c r="R1454" s="52"/>
      <c r="S1454" s="53"/>
    </row>
    <row r="1455" customFormat="false" ht="15" hidden="false" customHeight="false" outlineLevel="0" collapsed="false">
      <c r="A1455" s="4" t="s">
        <v>520</v>
      </c>
      <c r="B1455" s="36" t="s">
        <v>516</v>
      </c>
      <c r="C1455" s="48" t="n">
        <f aca="false">C1451*Assumptions!$F$37</f>
        <v>0</v>
      </c>
      <c r="D1455" s="48" t="n">
        <f aca="false">D1451*Assumptions!$F$37</f>
        <v>0.555102166809717</v>
      </c>
      <c r="E1455" s="48" t="n">
        <f aca="false">E1451*Assumptions!$F$37</f>
        <v>1.00212403586423</v>
      </c>
      <c r="F1455" s="48" t="n">
        <f aca="false">F1451*Assumptions!$F$37</f>
        <v>1.1636346266532</v>
      </c>
      <c r="G1455" s="48" t="n">
        <f aca="false">G1451*Assumptions!$F$37</f>
        <v>1.54595681918167</v>
      </c>
      <c r="H1455" s="48" t="n">
        <f aca="false">H1451*Assumptions!$F$37</f>
        <v>1.91513393265063</v>
      </c>
      <c r="I1455" s="48" t="n">
        <f aca="false">I1451*Assumptions!$F$37</f>
        <v>2.81569130974547</v>
      </c>
      <c r="J1455" s="48" t="n">
        <f aca="false">J1451*Assumptions!$F$37</f>
        <v>3.66268273105881</v>
      </c>
      <c r="K1455" s="48" t="n">
        <f aca="false">K1451*Assumptions!$F$37</f>
        <v>3.59173637955584</v>
      </c>
      <c r="L1455" s="48" t="n">
        <f aca="false">L1451*Assumptions!$F$37</f>
        <v>3.52361478616823</v>
      </c>
      <c r="M1455" s="48" t="n">
        <f aca="false">M1451*Assumptions!$F$37</f>
        <v>3.45820548199179</v>
      </c>
      <c r="N1455" s="48" t="n">
        <f aca="false">N1451*Assumptions!$F$37</f>
        <v>3.39540047611793</v>
      </c>
      <c r="P1455" s="49" t="n">
        <f aca="false">SUM(C1455:F1455)</f>
        <v>2.72086082932715</v>
      </c>
      <c r="Q1455" s="49" t="n">
        <f aca="false">SUM(G1455:J1455)</f>
        <v>9.93946479263657</v>
      </c>
      <c r="R1455" s="49" t="n">
        <f aca="false">SUM(K1455:N1455)</f>
        <v>13.9689571238338</v>
      </c>
      <c r="S1455" s="50" t="n">
        <f aca="false">SUM(P1455:R1455)</f>
        <v>26.6292827457975</v>
      </c>
    </row>
    <row r="1456" customFormat="false" ht="15" hidden="false" customHeight="false" outlineLevel="0" collapsed="false">
      <c r="A1456" s="4" t="s">
        <v>521</v>
      </c>
      <c r="B1456" s="36" t="s">
        <v>516</v>
      </c>
      <c r="C1456" s="48" t="n">
        <f aca="false">C1451*(1-Assumptions!$F$37)</f>
        <v>0</v>
      </c>
      <c r="D1456" s="48" t="n">
        <f aca="false">D1451*(1-Assumptions!$F$37)</f>
        <v>0.832653250214576</v>
      </c>
      <c r="E1456" s="48" t="n">
        <f aca="false">E1451*(1-Assumptions!$F$37)</f>
        <v>1.50318605379635</v>
      </c>
      <c r="F1456" s="48" t="n">
        <f aca="false">F1451*(1-Assumptions!$F$37)</f>
        <v>1.74545193997981</v>
      </c>
      <c r="G1456" s="48" t="n">
        <f aca="false">G1451*(1-Assumptions!$F$37)</f>
        <v>2.3189352287725</v>
      </c>
      <c r="H1456" s="48" t="n">
        <f aca="false">H1451*(1-Assumptions!$F$37)</f>
        <v>2.87270089897594</v>
      </c>
      <c r="I1456" s="48" t="n">
        <f aca="false">I1451*(1-Assumptions!$F$37)</f>
        <v>4.2235369646182</v>
      </c>
      <c r="J1456" s="48" t="n">
        <f aca="false">J1451*(1-Assumptions!$F$37)</f>
        <v>5.49402409658821</v>
      </c>
      <c r="K1456" s="48" t="n">
        <f aca="false">K1451*(1-Assumptions!$F$37)</f>
        <v>5.38760456933376</v>
      </c>
      <c r="L1456" s="48" t="n">
        <f aca="false">L1451*(1-Assumptions!$F$37)</f>
        <v>5.28542217925235</v>
      </c>
      <c r="M1456" s="48" t="n">
        <f aca="false">M1451*(1-Assumptions!$F$37)</f>
        <v>5.18730822298769</v>
      </c>
      <c r="N1456" s="48" t="n">
        <f aca="false">N1451*(1-Assumptions!$F$37)</f>
        <v>5.09310071417689</v>
      </c>
      <c r="P1456" s="49" t="n">
        <f aca="false">SUM(C1456:F1456)</f>
        <v>4.08129124399073</v>
      </c>
      <c r="Q1456" s="49" t="n">
        <f aca="false">SUM(G1456:J1456)</f>
        <v>14.9091971889549</v>
      </c>
      <c r="R1456" s="49" t="n">
        <f aca="false">SUM(K1456:N1456)</f>
        <v>20.9534356857507</v>
      </c>
      <c r="S1456" s="50" t="n">
        <f aca="false">SUM(P1456:R1456)</f>
        <v>39.9439241186963</v>
      </c>
    </row>
    <row r="1457" customFormat="false" ht="15" hidden="false" customHeight="false" outlineLevel="0" collapsed="false">
      <c r="A1457" s="4" t="s">
        <v>522</v>
      </c>
      <c r="B1457" s="36" t="s">
        <v>125</v>
      </c>
      <c r="C1457" s="54" t="n">
        <f aca="false">C1456*$C$1410+C1452*$C$1411+C1453*$C$1412</f>
        <v>0</v>
      </c>
      <c r="D1457" s="54" t="n">
        <f aca="false">D1456*$C$1410+D1452*$C$1411+D1453*$C$1412</f>
        <v>14642.7677942389</v>
      </c>
      <c r="E1457" s="54" t="n">
        <f aca="false">E1456*$C$1410+E1452*$C$1411+E1453*$C$1412</f>
        <v>40037.0481220787</v>
      </c>
      <c r="F1457" s="54" t="n">
        <f aca="false">F1456*$C$1410+F1452*$C$1411+F1453*$C$1412</f>
        <v>55251.511136176</v>
      </c>
      <c r="G1457" s="54" t="n">
        <f aca="false">G1456*$C$1410+G1452*$C$1411+G1453*$C$1412</f>
        <v>68734.6870994004</v>
      </c>
      <c r="H1457" s="54" t="n">
        <f aca="false">H1456*$C$1410+H1452*$C$1411+H1453*$C$1412</f>
        <v>84157.7561910209</v>
      </c>
      <c r="I1457" s="54" t="n">
        <f aca="false">I1456*$C$1410+I1452*$C$1411+I1453*$C$1412</f>
        <v>110459.469746238</v>
      </c>
      <c r="J1457" s="54" t="n">
        <f aca="false">J1456*$C$1410+J1452*$C$1411+J1453*$C$1412</f>
        <v>142928.461461271</v>
      </c>
      <c r="K1457" s="54" t="n">
        <f aca="false">K1456*$C$1410+K1452*$C$1411+K1453*$C$1412</f>
        <v>154144.914362975</v>
      </c>
      <c r="L1457" s="54" t="n">
        <f aca="false">L1456*$C$1410+L1452*$C$1411+L1453*$C$1412</f>
        <v>151194.386419367</v>
      </c>
      <c r="M1457" s="54" t="n">
        <f aca="false">M1456*$C$1410+M1452*$C$1411+M1453*$C$1412</f>
        <v>148361.334957309</v>
      </c>
      <c r="N1457" s="54" t="n">
        <f aca="false">N1456*$C$1410+N1452*$C$1411+N1453*$C$1412</f>
        <v>145641.082602452</v>
      </c>
      <c r="P1457" s="55" t="n">
        <f aca="false">SUM(C1457:F1457)</f>
        <v>109931.327052494</v>
      </c>
      <c r="Q1457" s="55" t="n">
        <f aca="false">SUM(G1457:J1457)</f>
        <v>406280.37449793</v>
      </c>
      <c r="R1457" s="55" t="n">
        <f aca="false">SUM(K1457:N1457)</f>
        <v>599341.718342103</v>
      </c>
      <c r="S1457" s="56" t="n">
        <f aca="false">SUM(P1457:R1457)</f>
        <v>1115553.41989253</v>
      </c>
    </row>
    <row r="1458" customFormat="false" ht="15" hidden="false" customHeight="false" outlineLevel="0" collapsed="false">
      <c r="A1458" s="4" t="s">
        <v>523</v>
      </c>
      <c r="B1458" s="36" t="s">
        <v>125</v>
      </c>
      <c r="C1458" s="54" t="n">
        <f aca="false">(C1434+Assumptions!$F$104*C1420)*$C$1415</f>
        <v>371875</v>
      </c>
      <c r="D1458" s="54" t="n">
        <f aca="false">(D1434+Assumptions!$F$104*D1420)*$C$1415</f>
        <v>371875</v>
      </c>
      <c r="E1458" s="54" t="n">
        <f aca="false">(E1434+Assumptions!$F$104*E1420)*$C$1415</f>
        <v>371875</v>
      </c>
      <c r="F1458" s="54" t="n">
        <f aca="false">(F1434+Assumptions!$F$104*F1420)*$C$1415</f>
        <v>371875</v>
      </c>
      <c r="G1458" s="54" t="n">
        <f aca="false">(G1434+Assumptions!$F$104*G1420)*$C$1415</f>
        <v>371875</v>
      </c>
      <c r="H1458" s="54" t="n">
        <f aca="false">(H1434+Assumptions!$F$104*H1420)*$C$1415</f>
        <v>371875</v>
      </c>
      <c r="I1458" s="54" t="n">
        <f aca="false">(I1434+Assumptions!$F$104*I1420)*$C$1415</f>
        <v>371875</v>
      </c>
      <c r="J1458" s="54" t="n">
        <f aca="false">(J1434+Assumptions!$F$104*J1420)*$C$1415</f>
        <v>371875</v>
      </c>
      <c r="K1458" s="54" t="n">
        <f aca="false">(K1434+Assumptions!$F$104*K1420)*$C$1415</f>
        <v>371875</v>
      </c>
      <c r="L1458" s="54" t="n">
        <f aca="false">(L1434+Assumptions!$F$104*L1420)*$C$1415</f>
        <v>371875</v>
      </c>
      <c r="M1458" s="54" t="n">
        <f aca="false">(M1434+Assumptions!$F$104*M1420)*$C$1415</f>
        <v>371875</v>
      </c>
      <c r="N1458" s="54" t="n">
        <f aca="false">(N1434+Assumptions!$F$104*N1420)*$C$1415</f>
        <v>371875</v>
      </c>
      <c r="P1458" s="55" t="n">
        <f aca="false">SUM(C1458:F1458)</f>
        <v>1487500</v>
      </c>
      <c r="Q1458" s="55" t="n">
        <f aca="false">SUM(G1458:J1458)</f>
        <v>1487500</v>
      </c>
      <c r="R1458" s="55" t="n">
        <f aca="false">SUM(K1458:N1458)</f>
        <v>1487500</v>
      </c>
      <c r="S1458" s="56" t="n">
        <f aca="false">SUM(P1458:R1458)</f>
        <v>4462500</v>
      </c>
    </row>
    <row r="1459" customFormat="false" ht="15" hidden="false" customHeight="false" outlineLevel="0" collapsed="false">
      <c r="A1459" s="4" t="s">
        <v>524</v>
      </c>
      <c r="B1459" s="36" t="s">
        <v>77</v>
      </c>
      <c r="C1459" s="51" t="n">
        <f aca="false">IF(C1457&gt;0,MIN(1,C1458/C1457),1)</f>
        <v>1</v>
      </c>
      <c r="D1459" s="51" t="n">
        <f aca="false">IF(D1457&gt;0,MIN(1,D1458/D1457),1)</f>
        <v>1</v>
      </c>
      <c r="E1459" s="51" t="n">
        <f aca="false">IF(E1457&gt;0,MIN(1,E1458/E1457),1)</f>
        <v>1</v>
      </c>
      <c r="F1459" s="51" t="n">
        <f aca="false">IF(F1457&gt;0,MIN(1,F1458/F1457),1)</f>
        <v>1</v>
      </c>
      <c r="G1459" s="51" t="n">
        <f aca="false">IF(G1457&gt;0,MIN(1,G1458/G1457),1)</f>
        <v>1</v>
      </c>
      <c r="H1459" s="51" t="n">
        <f aca="false">IF(H1457&gt;0,MIN(1,H1458/H1457),1)</f>
        <v>1</v>
      </c>
      <c r="I1459" s="51" t="n">
        <f aca="false">IF(I1457&gt;0,MIN(1,I1458/I1457),1)</f>
        <v>1</v>
      </c>
      <c r="J1459" s="51" t="n">
        <f aca="false">IF(J1457&gt;0,MIN(1,J1458/J1457),1)</f>
        <v>1</v>
      </c>
      <c r="K1459" s="51" t="n">
        <f aca="false">IF(K1457&gt;0,MIN(1,K1458/K1457),1)</f>
        <v>1</v>
      </c>
      <c r="L1459" s="51" t="n">
        <f aca="false">IF(L1457&gt;0,MIN(1,L1458/L1457),1)</f>
        <v>1</v>
      </c>
      <c r="M1459" s="51" t="n">
        <f aca="false">IF(M1457&gt;0,MIN(1,M1458/M1457),1)</f>
        <v>1</v>
      </c>
      <c r="N1459" s="51" t="n">
        <f aca="false">IF(N1457&gt;0,MIN(1,N1458/N1457),1)</f>
        <v>1</v>
      </c>
      <c r="P1459" s="52"/>
      <c r="Q1459" s="52"/>
      <c r="R1459" s="52"/>
      <c r="S1459" s="53"/>
    </row>
    <row r="1460" customFormat="false" ht="15" hidden="false" customHeight="false" outlineLevel="0" collapsed="false">
      <c r="A1460" s="4" t="s">
        <v>525</v>
      </c>
      <c r="B1460" s="36" t="s">
        <v>125</v>
      </c>
      <c r="C1460" s="54" t="n">
        <f aca="false">C1457*(1-C1459)</f>
        <v>0</v>
      </c>
      <c r="D1460" s="54" t="n">
        <f aca="false">D1457*(1-D1459)</f>
        <v>0</v>
      </c>
      <c r="E1460" s="54" t="n">
        <f aca="false">E1457*(1-E1459)</f>
        <v>0</v>
      </c>
      <c r="F1460" s="54" t="n">
        <f aca="false">F1457*(1-F1459)</f>
        <v>0</v>
      </c>
      <c r="G1460" s="54" t="n">
        <f aca="false">G1457*(1-G1459)</f>
        <v>0</v>
      </c>
      <c r="H1460" s="54" t="n">
        <f aca="false">H1457*(1-H1459)</f>
        <v>0</v>
      </c>
      <c r="I1460" s="54" t="n">
        <f aca="false">I1457*(1-I1459)</f>
        <v>0</v>
      </c>
      <c r="J1460" s="54" t="n">
        <f aca="false">J1457*(1-J1459)</f>
        <v>0</v>
      </c>
      <c r="K1460" s="54" t="n">
        <f aca="false">K1457*(1-K1459)</f>
        <v>0</v>
      </c>
      <c r="L1460" s="54" t="n">
        <f aca="false">L1457*(1-L1459)</f>
        <v>0</v>
      </c>
      <c r="M1460" s="54" t="n">
        <f aca="false">M1457*(1-M1459)</f>
        <v>0</v>
      </c>
      <c r="N1460" s="54" t="n">
        <f aca="false">N1457*(1-N1459)</f>
        <v>0</v>
      </c>
      <c r="P1460" s="55" t="n">
        <f aca="false">SUM(C1460:F1460)</f>
        <v>0</v>
      </c>
      <c r="Q1460" s="55" t="n">
        <f aca="false">SUM(G1460:J1460)</f>
        <v>0</v>
      </c>
      <c r="R1460" s="55" t="n">
        <f aca="false">SUM(K1460:N1460)</f>
        <v>0</v>
      </c>
      <c r="S1460" s="56" t="n">
        <f aca="false">SUM(P1460:R1460)</f>
        <v>0</v>
      </c>
    </row>
    <row r="1461" customFormat="false" ht="15" hidden="false" customHeight="false" outlineLevel="0" collapsed="false">
      <c r="A1461" s="4" t="s">
        <v>526</v>
      </c>
      <c r="B1461" s="36" t="s">
        <v>527</v>
      </c>
      <c r="C1461" s="48" t="n">
        <f aca="false">C1455+C1456*C1459</f>
        <v>0</v>
      </c>
      <c r="D1461" s="48" t="n">
        <f aca="false">D1455+D1456*D1459</f>
        <v>1.38775541702429</v>
      </c>
      <c r="E1461" s="48" t="n">
        <f aca="false">E1455+E1456*E1459</f>
        <v>2.50531008966058</v>
      </c>
      <c r="F1461" s="48" t="n">
        <f aca="false">F1455+F1456*F1459</f>
        <v>2.90908656663301</v>
      </c>
      <c r="G1461" s="48" t="n">
        <f aca="false">G1455+G1456*G1459</f>
        <v>3.86489204795417</v>
      </c>
      <c r="H1461" s="48" t="n">
        <f aca="false">H1455+H1456*H1459</f>
        <v>4.78783483162657</v>
      </c>
      <c r="I1461" s="48" t="n">
        <f aca="false">I1455+I1456*I1459</f>
        <v>7.03922827436366</v>
      </c>
      <c r="J1461" s="48" t="n">
        <f aca="false">J1455+J1456*J1459</f>
        <v>9.15670682764702</v>
      </c>
      <c r="K1461" s="48" t="n">
        <f aca="false">K1455+K1456*K1459</f>
        <v>8.97934094888959</v>
      </c>
      <c r="L1461" s="48" t="n">
        <f aca="false">L1455+L1456*L1459</f>
        <v>8.80903696542058</v>
      </c>
      <c r="M1461" s="48" t="n">
        <f aca="false">M1455+M1456*M1459</f>
        <v>8.64551370497948</v>
      </c>
      <c r="N1461" s="48" t="n">
        <f aca="false">N1455+N1456*N1459</f>
        <v>8.48850119029482</v>
      </c>
      <c r="P1461" s="49" t="n">
        <f aca="false">SUM(C1461:F1461)</f>
        <v>6.80215207331789</v>
      </c>
      <c r="Q1461" s="49" t="n">
        <f aca="false">SUM(G1461:J1461)</f>
        <v>24.8486619815914</v>
      </c>
      <c r="R1461" s="49" t="n">
        <f aca="false">SUM(K1461:N1461)</f>
        <v>34.9223928095845</v>
      </c>
      <c r="S1461" s="50" t="n">
        <f aca="false">SUM(P1461:R1461)</f>
        <v>66.5732068644938</v>
      </c>
    </row>
    <row r="1462" customFormat="false" ht="15" hidden="false" customHeight="false" outlineLevel="0" collapsed="false">
      <c r="A1462" s="4" t="s">
        <v>528</v>
      </c>
      <c r="B1462" s="36" t="s">
        <v>527</v>
      </c>
      <c r="C1462" s="48" t="n">
        <f aca="false">C1452*C1459</f>
        <v>0</v>
      </c>
      <c r="D1462" s="48" t="n">
        <f aca="false">D1452*D1459</f>
        <v>0.695314118749233</v>
      </c>
      <c r="E1462" s="48" t="n">
        <f aca="false">E1452*E1459</f>
        <v>1.25524819129956</v>
      </c>
      <c r="F1462" s="48" t="n">
        <f aca="false">F1452*F1459</f>
        <v>1.45755436269953</v>
      </c>
      <c r="G1462" s="48" t="n">
        <f aca="false">G1452*G1459</f>
        <v>1.89824509800709</v>
      </c>
      <c r="H1462" s="48" t="n">
        <f aca="false">H1452*H1459</f>
        <v>2.32414101372443</v>
      </c>
      <c r="I1462" s="48" t="n">
        <f aca="false">I1452*I1459</f>
        <v>3.2140032773122</v>
      </c>
      <c r="J1462" s="48" t="n">
        <f aca="false">J1452*J1459</f>
        <v>4.07148871423096</v>
      </c>
      <c r="K1462" s="48" t="n">
        <f aca="false">K1452*K1459</f>
        <v>3.9926237699619</v>
      </c>
      <c r="L1462" s="48" t="n">
        <f aca="false">L1452*L1459</f>
        <v>3.91689886583053</v>
      </c>
      <c r="M1462" s="48" t="n">
        <f aca="false">M1452*M1459</f>
        <v>3.84418897984947</v>
      </c>
      <c r="N1462" s="48" t="n">
        <f aca="false">N1452*N1459</f>
        <v>3.77437406783313</v>
      </c>
      <c r="P1462" s="49" t="n">
        <f aca="false">SUM(C1462:F1462)</f>
        <v>3.40811667274832</v>
      </c>
      <c r="Q1462" s="49" t="n">
        <f aca="false">SUM(G1462:J1462)</f>
        <v>11.5078781032747</v>
      </c>
      <c r="R1462" s="49" t="n">
        <f aca="false">SUM(K1462:N1462)</f>
        <v>15.528085683475</v>
      </c>
      <c r="S1462" s="50" t="n">
        <f aca="false">SUM(P1462:R1462)</f>
        <v>30.444080459498</v>
      </c>
    </row>
    <row r="1463" customFormat="false" ht="15" hidden="false" customHeight="false" outlineLevel="0" collapsed="false">
      <c r="A1463" s="4" t="s">
        <v>529</v>
      </c>
      <c r="B1463" s="36" t="s">
        <v>527</v>
      </c>
      <c r="C1463" s="48" t="n">
        <f aca="false">C1453*C1459</f>
        <v>0</v>
      </c>
      <c r="D1463" s="48" t="n">
        <f aca="false">D1453*D1459</f>
        <v>0</v>
      </c>
      <c r="E1463" s="48" t="n">
        <f aca="false">E1453*E1459</f>
        <v>0.146788536180394</v>
      </c>
      <c r="F1463" s="48" t="n">
        <f aca="false">F1453*F1459</f>
        <v>0.264996840385463</v>
      </c>
      <c r="G1463" s="48" t="n">
        <f aca="false">G1453*G1459</f>
        <v>0.307705921014345</v>
      </c>
      <c r="H1463" s="48" t="n">
        <f aca="false">H1453*H1459</f>
        <v>0.374826687943662</v>
      </c>
      <c r="I1463" s="48" t="n">
        <f aca="false">I1453*I1459</f>
        <v>0.439957321048204</v>
      </c>
      <c r="J1463" s="48" t="n">
        <f aca="false">J1453*J1459</f>
        <v>0.581399903725121</v>
      </c>
      <c r="K1463" s="48" t="n">
        <f aca="false">K1453*K1459</f>
        <v>0.721054088023338</v>
      </c>
      <c r="L1463" s="48" t="n">
        <f aca="false">L1453*L1459</f>
        <v>0.707087233524103</v>
      </c>
      <c r="M1463" s="48" t="n">
        <f aca="false">M1453*M1459</f>
        <v>0.693676475071488</v>
      </c>
      <c r="N1463" s="48" t="n">
        <f aca="false">N1453*N1459</f>
        <v>0.680799671473064</v>
      </c>
      <c r="P1463" s="49" t="n">
        <f aca="false">SUM(C1463:F1463)</f>
        <v>0.411785376565856</v>
      </c>
      <c r="Q1463" s="49" t="n">
        <f aca="false">SUM(G1463:J1463)</f>
        <v>1.70388983373133</v>
      </c>
      <c r="R1463" s="49" t="n">
        <f aca="false">SUM(K1463:N1463)</f>
        <v>2.80261746809199</v>
      </c>
      <c r="S1463" s="50" t="n">
        <f aca="false">SUM(P1463:R1463)</f>
        <v>4.91829267838918</v>
      </c>
    </row>
    <row r="1464" customFormat="false" ht="15" hidden="false" customHeight="false" outlineLevel="0" collapsed="false">
      <c r="A1464" s="9" t="s">
        <v>530</v>
      </c>
      <c r="B1464" s="36" t="s">
        <v>527</v>
      </c>
      <c r="C1464" s="49" t="n">
        <f aca="false">C1461+C1462+C1463</f>
        <v>0</v>
      </c>
      <c r="D1464" s="49" t="n">
        <f aca="false">D1461+D1462+D1463</f>
        <v>2.08306953577353</v>
      </c>
      <c r="E1464" s="49" t="n">
        <f aca="false">E1461+E1462+E1463</f>
        <v>3.90734681714054</v>
      </c>
      <c r="F1464" s="49" t="n">
        <f aca="false">F1461+F1462+F1463</f>
        <v>4.631637769718</v>
      </c>
      <c r="G1464" s="49" t="n">
        <f aca="false">G1461+G1462+G1463</f>
        <v>6.0708430669756</v>
      </c>
      <c r="H1464" s="49" t="n">
        <f aca="false">H1461+H1462+H1463</f>
        <v>7.48680253329466</v>
      </c>
      <c r="I1464" s="49" t="n">
        <f aca="false">I1461+I1462+I1463</f>
        <v>10.6931888727241</v>
      </c>
      <c r="J1464" s="49" t="n">
        <f aca="false">J1461+J1462+J1463</f>
        <v>13.8095954456031</v>
      </c>
      <c r="K1464" s="49" t="n">
        <f aca="false">K1461+K1462+K1463</f>
        <v>13.6930188068748</v>
      </c>
      <c r="L1464" s="49" t="n">
        <f aca="false">L1461+L1462+L1463</f>
        <v>13.4330230647752</v>
      </c>
      <c r="M1464" s="49" t="n">
        <f aca="false">M1461+M1462+M1463</f>
        <v>13.1833791599004</v>
      </c>
      <c r="N1464" s="49" t="n">
        <f aca="false">N1461+N1462+N1463</f>
        <v>12.943674929601</v>
      </c>
      <c r="P1464" s="49" t="n">
        <f aca="false">SUM(C1464:F1464)</f>
        <v>10.6220541226321</v>
      </c>
      <c r="Q1464" s="49" t="n">
        <f aca="false">SUM(G1464:J1464)</f>
        <v>38.0604299185974</v>
      </c>
      <c r="R1464" s="49" t="n">
        <f aca="false">SUM(K1464:N1464)</f>
        <v>53.2530959611515</v>
      </c>
      <c r="S1464" s="50" t="n">
        <f aca="false">SUM(P1464:R1464)</f>
        <v>101.935580002381</v>
      </c>
    </row>
    <row r="1465" customFormat="false" ht="15" hidden="false" customHeight="false" outlineLevel="0" collapsed="false">
      <c r="A1465" s="35" t="s">
        <v>533</v>
      </c>
      <c r="B1465" s="35" t="s">
        <v>444</v>
      </c>
      <c r="C1465" s="6" t="s">
        <v>354</v>
      </c>
      <c r="D1465" s="6" t="s">
        <v>355</v>
      </c>
      <c r="E1465" s="6" t="s">
        <v>356</v>
      </c>
      <c r="F1465" s="6" t="s">
        <v>357</v>
      </c>
      <c r="G1465" s="6" t="s">
        <v>358</v>
      </c>
      <c r="H1465" s="6" t="s">
        <v>359</v>
      </c>
      <c r="I1465" s="6" t="s">
        <v>360</v>
      </c>
      <c r="J1465" s="6" t="s">
        <v>361</v>
      </c>
      <c r="K1465" s="6" t="s">
        <v>362</v>
      </c>
      <c r="L1465" s="6" t="s">
        <v>363</v>
      </c>
      <c r="M1465" s="6" t="s">
        <v>364</v>
      </c>
      <c r="N1465" s="6" t="s">
        <v>365</v>
      </c>
      <c r="P1465" s="6" t="s">
        <v>445</v>
      </c>
      <c r="Q1465" s="6" t="s">
        <v>446</v>
      </c>
      <c r="R1465" s="6" t="s">
        <v>447</v>
      </c>
      <c r="S1465" s="6" t="s">
        <v>448</v>
      </c>
    </row>
    <row r="1466" customFormat="false" ht="15" hidden="false" customHeight="false" outlineLevel="0" collapsed="false">
      <c r="A1466" s="4" t="s">
        <v>534</v>
      </c>
      <c r="B1466" s="36" t="s">
        <v>527</v>
      </c>
      <c r="C1466" s="48" t="n">
        <f aca="false">0*Assumptions!$F$59^(1/4)+C1461</f>
        <v>0</v>
      </c>
      <c r="D1466" s="48" t="n">
        <f aca="false">C1466*Assumptions!$F$59^(1/4)+D1461</f>
        <v>1.38775541702429</v>
      </c>
      <c r="E1466" s="48" t="n">
        <f aca="false">D1466*Assumptions!$F$59^(1/4)+E1461</f>
        <v>3.86072818498287</v>
      </c>
      <c r="F1466" s="48" t="n">
        <f aca="false">E1466*Assumptions!$F$59^(1/4)+F1461</f>
        <v>6.67985249472951</v>
      </c>
      <c r="G1466" s="48" t="n">
        <f aca="false">F1466*Assumptions!$F$59^(1/4)+G1461</f>
        <v>10.3890913660546</v>
      </c>
      <c r="H1466" s="48" t="n">
        <f aca="false">G1466*Assumptions!$F$59^(1/4)+H1461</f>
        <v>14.9348407512298</v>
      </c>
      <c r="I1466" s="48" t="n">
        <f aca="false">H1466*Assumptions!$F$59^(1/4)+I1461</f>
        <v>21.6260590347722</v>
      </c>
      <c r="J1466" s="48" t="n">
        <f aca="false">I1466*Assumptions!$F$59^(1/4)+J1461</f>
        <v>30.2788378506277</v>
      </c>
      <c r="K1466" s="48" t="n">
        <f aca="false">J1466*Assumptions!$F$59^(1/4)+K1461</f>
        <v>38.5526247023565</v>
      </c>
      <c r="L1466" s="48" t="n">
        <f aca="false">K1466*Assumptions!$F$59^(1/4)+L1461</f>
        <v>46.463312713658</v>
      </c>
      <c r="M1466" s="48" t="n">
        <f aca="false">L1466*Assumptions!$F$59^(1/4)+M1461</f>
        <v>54.0261434961783</v>
      </c>
      <c r="N1466" s="48" t="n">
        <f aca="false">M1466*Assumptions!$F$59^(1/4)+N1461</f>
        <v>61.2557335259598</v>
      </c>
      <c r="P1466" s="49" t="n">
        <f aca="false">F1466</f>
        <v>6.67985249472951</v>
      </c>
      <c r="Q1466" s="49" t="n">
        <f aca="false">J1466</f>
        <v>30.2788378506277</v>
      </c>
      <c r="R1466" s="49" t="n">
        <f aca="false">N1466</f>
        <v>61.2557335259598</v>
      </c>
      <c r="S1466" s="50" t="n">
        <f aca="false">R1466</f>
        <v>61.2557335259598</v>
      </c>
    </row>
    <row r="1467" customFormat="false" ht="15" hidden="false" customHeight="false" outlineLevel="0" collapsed="false">
      <c r="A1467" s="4" t="s">
        <v>535</v>
      </c>
      <c r="B1467" s="36" t="s">
        <v>527</v>
      </c>
      <c r="C1467" s="48" t="n">
        <f aca="false">0*Assumptions!$F$60^(1/4)+C1462</f>
        <v>0</v>
      </c>
      <c r="D1467" s="48" t="n">
        <f aca="false">C1467*Assumptions!$F$60^(1/4)+D1462</f>
        <v>0.695314118749233</v>
      </c>
      <c r="E1467" s="48" t="n">
        <f aca="false">D1467*Assumptions!$F$60^(1/4)+E1462</f>
        <v>1.93806119791113</v>
      </c>
      <c r="F1467" s="48" t="n">
        <f aca="false">E1467*Assumptions!$F$60^(1/4)+F1462</f>
        <v>3.36077099221857</v>
      </c>
      <c r="G1467" s="48" t="n">
        <f aca="false">F1467*Assumptions!$F$60^(1/4)+G1462</f>
        <v>5.19859250049859</v>
      </c>
      <c r="H1467" s="48" t="n">
        <f aca="false">G1467*Assumptions!$F$60^(1/4)+H1462</f>
        <v>7.42926757407547</v>
      </c>
      <c r="I1467" s="48" t="n">
        <f aca="false">H1467*Assumptions!$F$60^(1/4)+I1462</f>
        <v>10.509699412897</v>
      </c>
      <c r="J1467" s="48" t="n">
        <f aca="false">I1467*Assumptions!$F$60^(1/4)+J1462</f>
        <v>14.3922333405775</v>
      </c>
      <c r="K1467" s="48" t="n">
        <f aca="false">J1467*Assumptions!$F$60^(1/4)+K1462</f>
        <v>18.1260979137239</v>
      </c>
      <c r="L1467" s="48" t="n">
        <f aca="false">K1467*Assumptions!$F$60^(1/4)+L1462</f>
        <v>21.7171061115418</v>
      </c>
      <c r="M1467" s="48" t="n">
        <f aca="false">L1467*Assumptions!$F$60^(1/4)+M1462</f>
        <v>25.1708413791981</v>
      </c>
      <c r="N1467" s="48" t="n">
        <f aca="false">M1467*Assumptions!$F$60^(1/4)+N1462</f>
        <v>28.4926667324348</v>
      </c>
      <c r="P1467" s="49" t="n">
        <f aca="false">F1467</f>
        <v>3.36077099221857</v>
      </c>
      <c r="Q1467" s="49" t="n">
        <f aca="false">J1467</f>
        <v>14.3922333405775</v>
      </c>
      <c r="R1467" s="49" t="n">
        <f aca="false">N1467</f>
        <v>28.4926667324348</v>
      </c>
      <c r="S1467" s="50" t="n">
        <f aca="false">R1467</f>
        <v>28.4926667324348</v>
      </c>
    </row>
    <row r="1468" customFormat="false" ht="15" hidden="false" customHeight="false" outlineLevel="0" collapsed="false">
      <c r="A1468" s="4" t="s">
        <v>536</v>
      </c>
      <c r="B1468" s="36" t="s">
        <v>527</v>
      </c>
      <c r="C1468" s="48" t="n">
        <f aca="false">0*Assumptions!$F$61^(1/4)+C1463</f>
        <v>0</v>
      </c>
      <c r="D1468" s="48" t="n">
        <f aca="false">C1468*Assumptions!$F$61^(1/4)+D1463</f>
        <v>0</v>
      </c>
      <c r="E1468" s="48" t="n">
        <f aca="false">D1468*Assumptions!$F$61^(1/4)+E1463</f>
        <v>0.146788536180394</v>
      </c>
      <c r="F1468" s="48" t="n">
        <f aca="false">E1468*Assumptions!$F$61^(1/4)+F1463</f>
        <v>0.40991507702313</v>
      </c>
      <c r="G1468" s="48" t="n">
        <f aca="false">F1468*Assumptions!$F$61^(1/4)+G1463</f>
        <v>0.712398083489359</v>
      </c>
      <c r="H1468" s="48" t="n">
        <f aca="false">G1468*Assumptions!$F$61^(1/4)+H1463</f>
        <v>1.07814778323994</v>
      </c>
      <c r="I1468" s="48" t="n">
        <f aca="false">H1468*Assumptions!$F$61^(1/4)+I1463</f>
        <v>1.50436793271837</v>
      </c>
      <c r="J1468" s="48" t="n">
        <f aca="false">I1468*Assumptions!$F$61^(1/4)+J1463</f>
        <v>2.06659999997704</v>
      </c>
      <c r="K1468" s="48" t="n">
        <f aca="false">J1468*Assumptions!$F$61^(1/4)+K1463</f>
        <v>2.76132259689397</v>
      </c>
      <c r="L1468" s="48" t="n">
        <f aca="false">K1468*Assumptions!$F$61^(1/4)+L1463</f>
        <v>3.43322656253709</v>
      </c>
      <c r="M1468" s="48" t="n">
        <f aca="false">L1468*Assumptions!$F$61^(1/4)+M1463</f>
        <v>4.08315873551881</v>
      </c>
      <c r="N1468" s="48" t="n">
        <f aca="false">M1468*Assumptions!$F$61^(1/4)+N1463</f>
        <v>4.71193302330294</v>
      </c>
      <c r="P1468" s="49" t="n">
        <f aca="false">F1468</f>
        <v>0.40991507702313</v>
      </c>
      <c r="Q1468" s="49" t="n">
        <f aca="false">J1468</f>
        <v>2.06659999997704</v>
      </c>
      <c r="R1468" s="49" t="n">
        <f aca="false">N1468</f>
        <v>4.71193302330294</v>
      </c>
      <c r="S1468" s="50" t="n">
        <f aca="false">R1468</f>
        <v>4.71193302330294</v>
      </c>
    </row>
    <row r="1469" customFormat="false" ht="15" hidden="false" customHeight="false" outlineLevel="0" collapsed="false">
      <c r="A1469" s="9" t="s">
        <v>537</v>
      </c>
      <c r="B1469" s="36" t="s">
        <v>527</v>
      </c>
      <c r="C1469" s="49" t="n">
        <f aca="false">C1466+C1467+C1468</f>
        <v>0</v>
      </c>
      <c r="D1469" s="49" t="n">
        <f aca="false">D1466+D1467+D1468</f>
        <v>2.08306953577353</v>
      </c>
      <c r="E1469" s="49" t="n">
        <f aca="false">E1466+E1467+E1468</f>
        <v>5.94557791907439</v>
      </c>
      <c r="F1469" s="49" t="n">
        <f aca="false">F1466+F1467+F1468</f>
        <v>10.4505385639712</v>
      </c>
      <c r="G1469" s="49" t="n">
        <f aca="false">G1466+G1467+G1468</f>
        <v>16.3000819500426</v>
      </c>
      <c r="H1469" s="49" t="n">
        <f aca="false">H1466+H1467+H1468</f>
        <v>23.4422561085452</v>
      </c>
      <c r="I1469" s="49" t="n">
        <f aca="false">I1466+I1467+I1468</f>
        <v>33.6401263803876</v>
      </c>
      <c r="J1469" s="49" t="n">
        <f aca="false">J1466+J1467+J1468</f>
        <v>46.7376711911822</v>
      </c>
      <c r="K1469" s="49" t="n">
        <f aca="false">K1466+K1467+K1468</f>
        <v>59.4400452129744</v>
      </c>
      <c r="L1469" s="49" t="n">
        <f aca="false">L1466+L1467+L1468</f>
        <v>71.613645387737</v>
      </c>
      <c r="M1469" s="49" t="n">
        <f aca="false">M1466+M1467+M1468</f>
        <v>83.2801436108952</v>
      </c>
      <c r="N1469" s="49" t="n">
        <f aca="false">N1466+N1467+N1468</f>
        <v>94.4603332816976</v>
      </c>
      <c r="P1469" s="49" t="n">
        <f aca="false">F1469</f>
        <v>10.4505385639712</v>
      </c>
      <c r="Q1469" s="49" t="n">
        <f aca="false">J1469</f>
        <v>46.7376711911822</v>
      </c>
      <c r="R1469" s="49" t="n">
        <f aca="false">N1469</f>
        <v>94.4603332816976</v>
      </c>
      <c r="S1469" s="50" t="n">
        <f aca="false">R1469</f>
        <v>94.4603332816976</v>
      </c>
    </row>
    <row r="1470" customFormat="false" ht="15" hidden="false" customHeight="false" outlineLevel="0" collapsed="false">
      <c r="A1470" s="4" t="s">
        <v>538</v>
      </c>
      <c r="B1470" s="36" t="s">
        <v>125</v>
      </c>
      <c r="C1470" s="54" t="n">
        <f aca="false">0*Assumptions!$F$62^(1/4)+C1461*$C$1410</f>
        <v>0</v>
      </c>
      <c r="D1470" s="54" t="n">
        <f aca="false">C1470*Assumptions!$F$62^(1/4)+D1461*$C$1410</f>
        <v>7427.26699191402</v>
      </c>
      <c r="E1470" s="54" t="n">
        <f aca="false">D1470*Assumptions!$F$62^(1/4)+E1461*$C$1410</f>
        <v>20944.6731650704</v>
      </c>
      <c r="F1470" s="54" t="n">
        <f aca="false">E1470*Assumptions!$F$62^(1/4)+F1461*$C$1410</f>
        <v>36821.4433817673</v>
      </c>
      <c r="G1470" s="54" t="n">
        <f aca="false">F1470*Assumptions!$F$62^(1/4)+G1461*$C$1410</f>
        <v>58046.6578183101</v>
      </c>
      <c r="H1470" s="54" t="n">
        <f aca="false">G1470*Assumptions!$F$62^(1/4)+H1461*$C$1410</f>
        <v>84522.9175646062</v>
      </c>
      <c r="I1470" s="54" t="n">
        <f aca="false">H1470*Assumptions!$F$62^(1/4)+I1461*$C$1410</f>
        <v>123437.14357907</v>
      </c>
      <c r="J1470" s="54" t="n">
        <f aca="false">I1470*Assumptions!$F$62^(1/4)+J1461*$C$1410</f>
        <v>174255.136177015</v>
      </c>
      <c r="K1470" s="54" t="n">
        <f aca="false">J1470*Assumptions!$F$62^(1/4)+K1461*$C$1410</f>
        <v>224869.561997832</v>
      </c>
      <c r="L1470" s="54" t="n">
        <f aca="false">K1470*Assumptions!$F$62^(1/4)+L1461*$C$1410</f>
        <v>275315.229197533</v>
      </c>
      <c r="M1470" s="54" t="n">
        <f aca="false">L1470*Assumptions!$F$62^(1/4)+M1461*$C$1410</f>
        <v>325625.951867717</v>
      </c>
      <c r="N1470" s="54" t="n">
        <f aca="false">M1470*Assumptions!$F$62^(1/4)+N1461*$C$1410</f>
        <v>375834.595364405</v>
      </c>
      <c r="P1470" s="55" t="n">
        <f aca="false">F1470</f>
        <v>36821.4433817673</v>
      </c>
      <c r="Q1470" s="55" t="n">
        <f aca="false">J1470</f>
        <v>174255.136177015</v>
      </c>
      <c r="R1470" s="55" t="n">
        <f aca="false">N1470</f>
        <v>375834.595364405</v>
      </c>
      <c r="S1470" s="56" t="n">
        <f aca="false">R1470</f>
        <v>375834.595364405</v>
      </c>
    </row>
    <row r="1471" customFormat="false" ht="15" hidden="false" customHeight="false" outlineLevel="0" collapsed="false">
      <c r="A1471" s="4" t="s">
        <v>539</v>
      </c>
      <c r="B1471" s="36" t="s">
        <v>125</v>
      </c>
      <c r="C1471" s="54" t="n">
        <f aca="false">0*Assumptions!$F$63^(1/4)+C1462*$C$1411</f>
        <v>0</v>
      </c>
      <c r="D1471" s="54" t="n">
        <f aca="false">C1471*Assumptions!$F$63^(1/4)+D1462*$C$1411</f>
        <v>10186.4075990905</v>
      </c>
      <c r="E1471" s="54" t="n">
        <f aca="false">D1471*Assumptions!$F$63^(1/4)+E1462*$C$1411</f>
        <v>28938.1033229634</v>
      </c>
      <c r="F1471" s="54" t="n">
        <f aca="false">E1471*Assumptions!$F$63^(1/4)+F1462*$C$1411</f>
        <v>51320.3749094949</v>
      </c>
      <c r="G1471" s="54" t="n">
        <f aca="false">F1471*Assumptions!$F$63^(1/4)+G1462*$C$1411</f>
        <v>80954.6716304236</v>
      </c>
      <c r="H1471" s="54" t="n">
        <f aca="false">G1471*Assumptions!$F$63^(1/4)+H1462*$C$1411</f>
        <v>117882.11625567</v>
      </c>
      <c r="I1471" s="54" t="n">
        <f aca="false">H1471*Assumptions!$F$63^(1/4)+I1462*$C$1411</f>
        <v>169159.183298402</v>
      </c>
      <c r="J1471" s="54" t="n">
        <f aca="false">I1471*Assumptions!$F$63^(1/4)+J1462*$C$1411</f>
        <v>234821.794620912</v>
      </c>
      <c r="K1471" s="54" t="n">
        <f aca="false">J1471*Assumptions!$F$63^(1/4)+K1462*$C$1411</f>
        <v>301663.864331651</v>
      </c>
      <c r="L1471" s="54" t="n">
        <f aca="false">K1471*Assumptions!$F$63^(1/4)+L1462*$C$1411</f>
        <v>369773.333541854</v>
      </c>
      <c r="M1471" s="54" t="n">
        <f aca="false">L1471*Assumptions!$F$63^(1/4)+M1462*$C$1411</f>
        <v>439239.438797366</v>
      </c>
      <c r="N1471" s="54" t="n">
        <f aca="false">M1471*Assumptions!$F$63^(1/4)+N1462*$C$1411</f>
        <v>510152.831066992</v>
      </c>
      <c r="P1471" s="55" t="n">
        <f aca="false">F1471</f>
        <v>51320.3749094949</v>
      </c>
      <c r="Q1471" s="55" t="n">
        <f aca="false">J1471</f>
        <v>234821.794620912</v>
      </c>
      <c r="R1471" s="55" t="n">
        <f aca="false">N1471</f>
        <v>510152.831066992</v>
      </c>
      <c r="S1471" s="56" t="n">
        <f aca="false">R1471</f>
        <v>510152.831066992</v>
      </c>
    </row>
    <row r="1472" customFormat="false" ht="15" hidden="false" customHeight="false" outlineLevel="0" collapsed="false">
      <c r="A1472" s="4" t="s">
        <v>540</v>
      </c>
      <c r="B1472" s="36" t="s">
        <v>125</v>
      </c>
      <c r="C1472" s="54" t="n">
        <f aca="false">0*Assumptions!$F$64^(1/4)+C1463*$C$1412</f>
        <v>0</v>
      </c>
      <c r="D1472" s="54" t="n">
        <f aca="false">C1472*Assumptions!$F$64^(1/4)+D1463*$C$1412</f>
        <v>0</v>
      </c>
      <c r="E1472" s="54" t="n">
        <f aca="false">D1472*Assumptions!$F$64^(1/4)+E1463*$C$1412</f>
        <v>13602.509697343</v>
      </c>
      <c r="F1472" s="54" t="n">
        <f aca="false">E1472*Assumptions!$F$64^(1/4)+F1463*$C$1412</f>
        <v>39081.1875079339</v>
      </c>
      <c r="G1472" s="54" t="n">
        <f aca="false">F1472*Assumptions!$F$64^(1/4)+G1463*$C$1412</f>
        <v>70244.8029723728</v>
      </c>
      <c r="H1472" s="54" t="n">
        <f aca="false">G1472*Assumptions!$F$64^(1/4)+H1463*$C$1412</f>
        <v>109740.904973678</v>
      </c>
      <c r="I1472" s="54" t="n">
        <f aca="false">H1472*Assumptions!$F$64^(1/4)+I1463*$C$1412</f>
        <v>157949.932047971</v>
      </c>
      <c r="J1472" s="54" t="n">
        <f aca="false">I1472*Assumptions!$F$64^(1/4)+J1463*$C$1412</f>
        <v>222534.161905163</v>
      </c>
      <c r="K1472" s="54" t="n">
        <f aca="false">J1472*Assumptions!$F$64^(1/4)+K1463*$C$1412</f>
        <v>304437.942889607</v>
      </c>
      <c r="L1472" s="54" t="n">
        <f aca="false">K1472*Assumptions!$F$64^(1/4)+L1463*$C$1412</f>
        <v>390599.707050436</v>
      </c>
      <c r="M1472" s="54" t="n">
        <f aca="false">L1472*Assumptions!$F$64^(1/4)+M1463*$C$1412</f>
        <v>481359.634915613</v>
      </c>
      <c r="N1472" s="54" t="n">
        <f aca="false">M1472*Assumptions!$F$64^(1/4)+N1463*$C$1412</f>
        <v>577078.91607531</v>
      </c>
      <c r="P1472" s="55" t="n">
        <f aca="false">F1472</f>
        <v>39081.1875079339</v>
      </c>
      <c r="Q1472" s="55" t="n">
        <f aca="false">J1472</f>
        <v>222534.161905163</v>
      </c>
      <c r="R1472" s="55" t="n">
        <f aca="false">N1472</f>
        <v>577078.91607531</v>
      </c>
      <c r="S1472" s="56" t="n">
        <f aca="false">R1472</f>
        <v>577078.91607531</v>
      </c>
    </row>
    <row r="1473" customFormat="false" ht="15" hidden="false" customHeight="false" outlineLevel="0" collapsed="false">
      <c r="A1473" s="9" t="s">
        <v>541</v>
      </c>
      <c r="B1473" s="36" t="s">
        <v>125</v>
      </c>
      <c r="C1473" s="55" t="n">
        <f aca="false">C1470+C1471+C1472</f>
        <v>0</v>
      </c>
      <c r="D1473" s="55" t="n">
        <f aca="false">D1470+D1471+D1472</f>
        <v>17613.6745910045</v>
      </c>
      <c r="E1473" s="55" t="n">
        <f aca="false">E1470+E1471+E1472</f>
        <v>63485.2861853768</v>
      </c>
      <c r="F1473" s="55" t="n">
        <f aca="false">F1470+F1471+F1472</f>
        <v>127223.005799196</v>
      </c>
      <c r="G1473" s="55" t="n">
        <f aca="false">G1470+G1471+G1472</f>
        <v>209246.132421106</v>
      </c>
      <c r="H1473" s="55" t="n">
        <f aca="false">H1470+H1471+H1472</f>
        <v>312145.938793954</v>
      </c>
      <c r="I1473" s="55" t="n">
        <f aca="false">I1470+I1471+I1472</f>
        <v>450546.258925442</v>
      </c>
      <c r="J1473" s="55" t="n">
        <f aca="false">J1470+J1471+J1472</f>
        <v>631611.09270309</v>
      </c>
      <c r="K1473" s="55" t="n">
        <f aca="false">K1470+K1471+K1472</f>
        <v>830971.36921909</v>
      </c>
      <c r="L1473" s="55" t="n">
        <f aca="false">L1470+L1471+L1472</f>
        <v>1035688.26978982</v>
      </c>
      <c r="M1473" s="55" t="n">
        <f aca="false">M1470+M1471+M1472</f>
        <v>1246225.0255807</v>
      </c>
      <c r="N1473" s="55" t="n">
        <f aca="false">N1470+N1471+N1472</f>
        <v>1463066.34250671</v>
      </c>
      <c r="P1473" s="55" t="n">
        <f aca="false">F1473</f>
        <v>127223.005799196</v>
      </c>
      <c r="Q1473" s="55" t="n">
        <f aca="false">J1473</f>
        <v>631611.09270309</v>
      </c>
      <c r="R1473" s="55" t="n">
        <f aca="false">N1473</f>
        <v>1463066.34250671</v>
      </c>
      <c r="S1473" s="56" t="n">
        <f aca="false">R1473</f>
        <v>1463066.34250671</v>
      </c>
    </row>
    <row r="1474" customFormat="false" ht="15" hidden="false" customHeight="false" outlineLevel="0" collapsed="false">
      <c r="A1474" s="4" t="s">
        <v>542</v>
      </c>
      <c r="B1474" s="36" t="s">
        <v>125</v>
      </c>
      <c r="C1474" s="54" t="n">
        <f aca="false">C1461*$C$1410+C1462*$C$1411+C1463*$C$1412</f>
        <v>0</v>
      </c>
      <c r="D1474" s="54" t="n">
        <f aca="false">D1461*$C$1410+D1462*$C$1411+D1463*$C$1412</f>
        <v>17613.6745910045</v>
      </c>
      <c r="E1474" s="54" t="n">
        <f aca="false">E1461*$C$1410+E1462*$C$1411+E1463*$C$1412</f>
        <v>45400.415962024</v>
      </c>
      <c r="F1474" s="54" t="n">
        <f aca="false">F1461*$C$1410+F1462*$C$1411+F1463*$C$1412</f>
        <v>61479.2836580239</v>
      </c>
      <c r="G1474" s="54" t="n">
        <f aca="false">G1461*$C$1410+G1462*$C$1411+G1463*$C$1412</f>
        <v>77008.6479956607</v>
      </c>
      <c r="H1474" s="54" t="n">
        <f aca="false">H1461*$C$1410+H1462*$C$1411+H1463*$C$1412</f>
        <v>94407.552998567</v>
      </c>
      <c r="I1474" s="54" t="n">
        <f aca="false">I1461*$C$1410+I1462*$C$1411+I1463*$C$1412</f>
        <v>125529.049635995</v>
      </c>
      <c r="J1474" s="54" t="n">
        <f aca="false">J1461*$C$1410+J1462*$C$1411+J1463*$C$1412</f>
        <v>162531.139437898</v>
      </c>
      <c r="K1474" s="54" t="n">
        <f aca="false">K1461*$C$1410+K1462*$C$1411+K1463*$C$1412</f>
        <v>173367.887466358</v>
      </c>
      <c r="L1474" s="54" t="n">
        <f aca="false">L1461*$C$1410+L1462*$C$1411+L1463*$C$1412</f>
        <v>170052.77275494</v>
      </c>
      <c r="M1474" s="54" t="n">
        <f aca="false">M1461*$C$1410+M1462*$C$1411+M1463*$C$1412</f>
        <v>166869.650696929</v>
      </c>
      <c r="N1474" s="54" t="n">
        <f aca="false">N1461*$C$1410+N1462*$C$1411+N1463*$C$1412</f>
        <v>163813.265950635</v>
      </c>
      <c r="P1474" s="55" t="n">
        <f aca="false">SUM(C1474:F1474)</f>
        <v>124493.374211052</v>
      </c>
      <c r="Q1474" s="55" t="n">
        <f aca="false">SUM(G1474:J1474)</f>
        <v>459476.390068121</v>
      </c>
      <c r="R1474" s="55" t="n">
        <f aca="false">SUM(K1474:N1474)</f>
        <v>674103.576868862</v>
      </c>
      <c r="S1474" s="56" t="n">
        <f aca="false">SUM(P1474:R1474)</f>
        <v>1258073.34114804</v>
      </c>
    </row>
    <row r="1475" customFormat="false" ht="15" hidden="false" customHeight="false" outlineLevel="0" collapsed="false">
      <c r="A1475" s="9" t="s">
        <v>543</v>
      </c>
      <c r="B1475" s="36" t="s">
        <v>125</v>
      </c>
      <c r="C1475" s="55" t="n">
        <f aca="false">(0+C1473)/8</f>
        <v>0</v>
      </c>
      <c r="D1475" s="55" t="n">
        <f aca="false">(C1473+D1473)/8</f>
        <v>2201.70932387556</v>
      </c>
      <c r="E1475" s="55" t="n">
        <f aca="false">(D1473+E1473)/8</f>
        <v>10137.3700970477</v>
      </c>
      <c r="F1475" s="55" t="n">
        <f aca="false">(E1473+F1473)/8</f>
        <v>23838.5364980716</v>
      </c>
      <c r="G1475" s="55" t="n">
        <f aca="false">(F1473+G1473)/8</f>
        <v>42058.6422775378</v>
      </c>
      <c r="H1475" s="55" t="n">
        <f aca="false">(G1473+H1473)/8</f>
        <v>65174.0089018826</v>
      </c>
      <c r="I1475" s="55" t="n">
        <f aca="false">(H1473+I1473)/8</f>
        <v>95336.5247149246</v>
      </c>
      <c r="J1475" s="55" t="n">
        <f aca="false">(I1473+J1473)/8</f>
        <v>135269.668953567</v>
      </c>
      <c r="K1475" s="55" t="n">
        <f aca="false">(J1473+K1473)/8</f>
        <v>182822.807740273</v>
      </c>
      <c r="L1475" s="55" t="n">
        <f aca="false">(K1473+L1473)/8</f>
        <v>233332.454876114</v>
      </c>
      <c r="M1475" s="55" t="n">
        <f aca="false">(L1473+M1473)/8</f>
        <v>285239.161921315</v>
      </c>
      <c r="N1475" s="55" t="n">
        <f aca="false">(M1473+N1473)/8</f>
        <v>338661.421010925</v>
      </c>
      <c r="P1475" s="55" t="n">
        <f aca="false">SUM(C1475:F1475)</f>
        <v>36177.6159189948</v>
      </c>
      <c r="Q1475" s="55" t="n">
        <f aca="false">SUM(G1475:J1475)</f>
        <v>337838.844847912</v>
      </c>
      <c r="R1475" s="55" t="n">
        <f aca="false">SUM(K1475:N1475)</f>
        <v>1040055.84554863</v>
      </c>
      <c r="S1475" s="56" t="n">
        <f aca="false">SUM(P1475:R1475)</f>
        <v>1414072.30631553</v>
      </c>
    </row>
    <row r="1476" customFormat="false" ht="15" hidden="false" customHeight="false" outlineLevel="0" collapsed="false">
      <c r="A1476" s="4" t="s">
        <v>544</v>
      </c>
      <c r="B1476" s="36" t="s">
        <v>125</v>
      </c>
      <c r="C1476" s="54" t="n">
        <f aca="false">C1475*Assumptions!$F$76</f>
        <v>0</v>
      </c>
      <c r="D1476" s="54" t="n">
        <f aca="false">D1475*Assumptions!$F$76</f>
        <v>1585.2307131904</v>
      </c>
      <c r="E1476" s="54" t="n">
        <f aca="false">E1475*Assumptions!$F$76</f>
        <v>7298.90646987432</v>
      </c>
      <c r="F1476" s="54" t="n">
        <f aca="false">F1475*Assumptions!$F$76</f>
        <v>17163.7462786116</v>
      </c>
      <c r="G1476" s="54" t="n">
        <f aca="false">G1475*Assumptions!$F$76</f>
        <v>30282.2224398272</v>
      </c>
      <c r="H1476" s="54" t="n">
        <f aca="false">H1475*Assumptions!$F$76</f>
        <v>46925.2864093555</v>
      </c>
      <c r="I1476" s="54" t="n">
        <f aca="false">I1475*Assumptions!$F$76</f>
        <v>68642.2977947457</v>
      </c>
      <c r="J1476" s="54" t="n">
        <f aca="false">J1475*Assumptions!$F$76</f>
        <v>97394.1616465679</v>
      </c>
      <c r="K1476" s="54" t="n">
        <f aca="false">K1475*Assumptions!$F$76</f>
        <v>131632.421572996</v>
      </c>
      <c r="L1476" s="54" t="n">
        <f aca="false">L1475*Assumptions!$F$76</f>
        <v>167999.367510802</v>
      </c>
      <c r="M1476" s="54" t="n">
        <f aca="false">M1475*Assumptions!$F$76</f>
        <v>205372.196583347</v>
      </c>
      <c r="N1476" s="54" t="n">
        <f aca="false">N1475*Assumptions!$F$76</f>
        <v>243836.223127866</v>
      </c>
      <c r="P1476" s="55" t="n">
        <f aca="false">SUM(C1476:F1476)</f>
        <v>26047.8834616763</v>
      </c>
      <c r="Q1476" s="55" t="n">
        <f aca="false">SUM(G1476:J1476)</f>
        <v>243243.968290496</v>
      </c>
      <c r="R1476" s="55" t="n">
        <f aca="false">SUM(K1476:N1476)</f>
        <v>748840.208795011</v>
      </c>
      <c r="S1476" s="56" t="n">
        <f aca="false">SUM(P1476:R1476)</f>
        <v>1018132.06054718</v>
      </c>
    </row>
    <row r="1477" customFormat="false" ht="15" hidden="false" customHeight="false" outlineLevel="0" collapsed="false">
      <c r="A1477" s="35" t="s">
        <v>547</v>
      </c>
      <c r="B1477" s="35" t="s">
        <v>444</v>
      </c>
      <c r="C1477" s="6" t="s">
        <v>354</v>
      </c>
      <c r="D1477" s="6" t="s">
        <v>355</v>
      </c>
      <c r="E1477" s="6" t="s">
        <v>356</v>
      </c>
      <c r="F1477" s="6" t="s">
        <v>357</v>
      </c>
      <c r="G1477" s="6" t="s">
        <v>358</v>
      </c>
      <c r="H1477" s="6" t="s">
        <v>359</v>
      </c>
      <c r="I1477" s="6" t="s">
        <v>360</v>
      </c>
      <c r="J1477" s="6" t="s">
        <v>361</v>
      </c>
      <c r="K1477" s="6" t="s">
        <v>362</v>
      </c>
      <c r="L1477" s="6" t="s">
        <v>363</v>
      </c>
      <c r="M1477" s="6" t="s">
        <v>364</v>
      </c>
      <c r="N1477" s="6" t="s">
        <v>365</v>
      </c>
      <c r="P1477" s="6" t="s">
        <v>445</v>
      </c>
      <c r="Q1477" s="6" t="s">
        <v>446</v>
      </c>
      <c r="R1477" s="6" t="s">
        <v>447</v>
      </c>
      <c r="S1477" s="6" t="s">
        <v>448</v>
      </c>
    </row>
    <row r="1478" customFormat="false" ht="15" hidden="false" customHeight="false" outlineLevel="0" collapsed="false">
      <c r="A1478" s="4" t="s">
        <v>548</v>
      </c>
      <c r="B1478" s="36" t="s">
        <v>321</v>
      </c>
      <c r="C1478" s="48" t="n">
        <f aca="false">Assumptions!$F$97*C1420</f>
        <v>0</v>
      </c>
      <c r="D1478" s="48" t="n">
        <f aca="false">Assumptions!$F$97*D1420</f>
        <v>0</v>
      </c>
      <c r="E1478" s="48" t="n">
        <f aca="false">Assumptions!$F$97*E1420</f>
        <v>0</v>
      </c>
      <c r="F1478" s="48" t="n">
        <f aca="false">Assumptions!$F$97*F1420</f>
        <v>0</v>
      </c>
      <c r="G1478" s="48" t="n">
        <f aca="false">Assumptions!$F$97*G1420</f>
        <v>0</v>
      </c>
      <c r="H1478" s="48" t="n">
        <f aca="false">Assumptions!$F$97*H1420</f>
        <v>0</v>
      </c>
      <c r="I1478" s="48" t="n">
        <f aca="false">Assumptions!$F$97*I1420</f>
        <v>0</v>
      </c>
      <c r="J1478" s="48" t="n">
        <f aca="false">Assumptions!$F$97*J1420</f>
        <v>0</v>
      </c>
      <c r="K1478" s="48" t="n">
        <f aca="false">Assumptions!$F$97*K1420</f>
        <v>0</v>
      </c>
      <c r="L1478" s="48" t="n">
        <f aca="false">Assumptions!$F$97*L1420</f>
        <v>0</v>
      </c>
      <c r="M1478" s="48" t="n">
        <f aca="false">Assumptions!$F$97*M1420</f>
        <v>0</v>
      </c>
      <c r="N1478" s="48" t="n">
        <f aca="false">Assumptions!$F$97*N1420</f>
        <v>0</v>
      </c>
      <c r="P1478" s="49" t="n">
        <f aca="false">AVERAGE(C1478:F1478)</f>
        <v>0</v>
      </c>
      <c r="Q1478" s="49" t="n">
        <f aca="false">AVERAGE(G1478:J1478)</f>
        <v>0</v>
      </c>
      <c r="R1478" s="49" t="n">
        <f aca="false">AVERAGE(K1478:N1478)</f>
        <v>0</v>
      </c>
      <c r="S1478" s="50"/>
    </row>
    <row r="1479" customFormat="false" ht="15" hidden="false" customHeight="false" outlineLevel="0" collapsed="false">
      <c r="A1479" s="4" t="s">
        <v>549</v>
      </c>
      <c r="B1479" s="36" t="s">
        <v>321</v>
      </c>
      <c r="C1479" s="48" t="n">
        <f aca="false">C1433*C1420</f>
        <v>0</v>
      </c>
      <c r="D1479" s="48" t="n">
        <f aca="false">D1433*D1420</f>
        <v>0</v>
      </c>
      <c r="E1479" s="48" t="n">
        <f aca="false">E1433*E1420</f>
        <v>0</v>
      </c>
      <c r="F1479" s="48" t="n">
        <f aca="false">F1433*F1420</f>
        <v>0</v>
      </c>
      <c r="G1479" s="48" t="n">
        <f aca="false">G1433*G1420</f>
        <v>0</v>
      </c>
      <c r="H1479" s="48" t="n">
        <f aca="false">H1433*H1420</f>
        <v>0</v>
      </c>
      <c r="I1479" s="48" t="n">
        <f aca="false">I1433*I1420</f>
        <v>0</v>
      </c>
      <c r="J1479" s="48" t="n">
        <f aca="false">J1433*J1420</f>
        <v>0</v>
      </c>
      <c r="K1479" s="48" t="n">
        <f aca="false">K1433*K1420</f>
        <v>0</v>
      </c>
      <c r="L1479" s="48" t="n">
        <f aca="false">L1433*L1420</f>
        <v>0</v>
      </c>
      <c r="M1479" s="48" t="n">
        <f aca="false">M1433*M1420</f>
        <v>0</v>
      </c>
      <c r="N1479" s="48" t="n">
        <f aca="false">N1433*N1420</f>
        <v>0</v>
      </c>
      <c r="P1479" s="49" t="n">
        <f aca="false">AVERAGE(C1479:F1479)</f>
        <v>0</v>
      </c>
      <c r="Q1479" s="49" t="n">
        <f aca="false">AVERAGE(G1479:J1479)</f>
        <v>0</v>
      </c>
      <c r="R1479" s="49" t="n">
        <f aca="false">AVERAGE(K1479:N1479)</f>
        <v>0</v>
      </c>
      <c r="S1479" s="50"/>
    </row>
    <row r="1480" customFormat="false" ht="15" hidden="false" customHeight="false" outlineLevel="0" collapsed="false">
      <c r="A1480" s="4" t="s">
        <v>550</v>
      </c>
      <c r="B1480" s="36" t="s">
        <v>321</v>
      </c>
      <c r="C1480" s="48" t="n">
        <f aca="false">IF(C1419&lt;=4,Assumptions!$F$98,Assumptions!$F$99)*C1420</f>
        <v>0</v>
      </c>
      <c r="D1480" s="48" t="n">
        <f aca="false">IF(D1419&lt;=4,Assumptions!$F$98,Assumptions!$F$99)*D1420</f>
        <v>0</v>
      </c>
      <c r="E1480" s="48" t="n">
        <f aca="false">IF(E1419&lt;=4,Assumptions!$F$98,Assumptions!$F$99)*E1420</f>
        <v>0</v>
      </c>
      <c r="F1480" s="48" t="n">
        <f aca="false">IF(F1419&lt;=4,Assumptions!$F$98,Assumptions!$F$99)*F1420</f>
        <v>0</v>
      </c>
      <c r="G1480" s="48" t="n">
        <f aca="false">IF(G1419&lt;=4,Assumptions!$F$98,Assumptions!$F$99)*G1420</f>
        <v>0</v>
      </c>
      <c r="H1480" s="48" t="n">
        <f aca="false">IF(H1419&lt;=4,Assumptions!$F$98,Assumptions!$F$99)*H1420</f>
        <v>0</v>
      </c>
      <c r="I1480" s="48" t="n">
        <f aca="false">IF(I1419&lt;=4,Assumptions!$F$98,Assumptions!$F$99)*I1420</f>
        <v>0</v>
      </c>
      <c r="J1480" s="48" t="n">
        <f aca="false">IF(J1419&lt;=4,Assumptions!$F$98,Assumptions!$F$99)*J1420</f>
        <v>0</v>
      </c>
      <c r="K1480" s="48" t="n">
        <f aca="false">IF(K1419&lt;=4,Assumptions!$F$98,Assumptions!$F$99)*K1420</f>
        <v>0</v>
      </c>
      <c r="L1480" s="48" t="n">
        <f aca="false">IF(L1419&lt;=4,Assumptions!$F$98,Assumptions!$F$99)*L1420</f>
        <v>0</v>
      </c>
      <c r="M1480" s="48" t="n">
        <f aca="false">IF(M1419&lt;=4,Assumptions!$F$98,Assumptions!$F$99)*M1420</f>
        <v>0</v>
      </c>
      <c r="N1480" s="48" t="n">
        <f aca="false">IF(N1419&lt;=4,Assumptions!$F$98,Assumptions!$F$99)*N1420</f>
        <v>0</v>
      </c>
      <c r="P1480" s="49" t="n">
        <f aca="false">AVERAGE(C1480:F1480)</f>
        <v>0</v>
      </c>
      <c r="Q1480" s="49" t="n">
        <f aca="false">AVERAGE(G1480:J1480)</f>
        <v>0</v>
      </c>
      <c r="R1480" s="49" t="n">
        <f aca="false">AVERAGE(K1480:N1480)</f>
        <v>0</v>
      </c>
      <c r="S1480" s="50"/>
    </row>
    <row r="1481" customFormat="false" ht="15" hidden="false" customHeight="false" outlineLevel="0" collapsed="false">
      <c r="A1481" s="4" t="s">
        <v>551</v>
      </c>
      <c r="B1481" s="36" t="s">
        <v>321</v>
      </c>
      <c r="C1481" s="48" t="n">
        <f aca="false">IF(C1419&lt;=4,Assumptions!$F$100,Assumptions!$F$101)*C1420</f>
        <v>0.5</v>
      </c>
      <c r="D1481" s="48" t="n">
        <f aca="false">IF(D1419&lt;=4,Assumptions!$F$100,Assumptions!$F$101)*D1420</f>
        <v>0.5</v>
      </c>
      <c r="E1481" s="48" t="n">
        <f aca="false">IF(E1419&lt;=4,Assumptions!$F$100,Assumptions!$F$101)*E1420</f>
        <v>0.5</v>
      </c>
      <c r="F1481" s="48" t="n">
        <f aca="false">IF(F1419&lt;=4,Assumptions!$F$100,Assumptions!$F$101)*F1420</f>
        <v>0.5</v>
      </c>
      <c r="G1481" s="48" t="n">
        <f aca="false">IF(G1419&lt;=4,Assumptions!$F$100,Assumptions!$F$101)*G1420</f>
        <v>0.25</v>
      </c>
      <c r="H1481" s="48" t="n">
        <f aca="false">IF(H1419&lt;=4,Assumptions!$F$100,Assumptions!$F$101)*H1420</f>
        <v>0.25</v>
      </c>
      <c r="I1481" s="48" t="n">
        <f aca="false">IF(I1419&lt;=4,Assumptions!$F$100,Assumptions!$F$101)*I1420</f>
        <v>0.25</v>
      </c>
      <c r="J1481" s="48" t="n">
        <f aca="false">IF(J1419&lt;=4,Assumptions!$F$100,Assumptions!$F$101)*J1420</f>
        <v>0.25</v>
      </c>
      <c r="K1481" s="48" t="n">
        <f aca="false">IF(K1419&lt;=4,Assumptions!$F$100,Assumptions!$F$101)*K1420</f>
        <v>0.25</v>
      </c>
      <c r="L1481" s="48" t="n">
        <f aca="false">IF(L1419&lt;=4,Assumptions!$F$100,Assumptions!$F$101)*L1420</f>
        <v>0.25</v>
      </c>
      <c r="M1481" s="48" t="n">
        <f aca="false">IF(M1419&lt;=4,Assumptions!$F$100,Assumptions!$F$101)*M1420</f>
        <v>0.25</v>
      </c>
      <c r="N1481" s="48" t="n">
        <f aca="false">IF(N1419&lt;=4,Assumptions!$F$100,Assumptions!$F$101)*N1420</f>
        <v>0.25</v>
      </c>
      <c r="P1481" s="49" t="n">
        <f aca="false">AVERAGE(C1481:F1481)</f>
        <v>0.5</v>
      </c>
      <c r="Q1481" s="49" t="n">
        <f aca="false">AVERAGE(G1481:J1481)</f>
        <v>0.25</v>
      </c>
      <c r="R1481" s="49" t="n">
        <f aca="false">AVERAGE(K1481:N1481)</f>
        <v>0.25</v>
      </c>
      <c r="S1481" s="50"/>
    </row>
    <row r="1482" customFormat="false" ht="15" hidden="false" customHeight="false" outlineLevel="0" collapsed="false">
      <c r="A1482" s="4" t="s">
        <v>552</v>
      </c>
      <c r="B1482" s="36" t="s">
        <v>321</v>
      </c>
      <c r="C1482" s="48" t="n">
        <f aca="false">Assumptions!$F$102*C1420</f>
        <v>0.1</v>
      </c>
      <c r="D1482" s="48" t="n">
        <f aca="false">Assumptions!$F$102*D1420</f>
        <v>0.1</v>
      </c>
      <c r="E1482" s="48" t="n">
        <f aca="false">Assumptions!$F$102*E1420</f>
        <v>0.1</v>
      </c>
      <c r="F1482" s="48" t="n">
        <f aca="false">Assumptions!$F$102*F1420</f>
        <v>0.1</v>
      </c>
      <c r="G1482" s="48" t="n">
        <f aca="false">Assumptions!$F$102*G1420</f>
        <v>0.1</v>
      </c>
      <c r="H1482" s="48" t="n">
        <f aca="false">Assumptions!$F$102*H1420</f>
        <v>0.1</v>
      </c>
      <c r="I1482" s="48" t="n">
        <f aca="false">Assumptions!$F$102*I1420</f>
        <v>0.1</v>
      </c>
      <c r="J1482" s="48" t="n">
        <f aca="false">Assumptions!$F$102*J1420</f>
        <v>0.1</v>
      </c>
      <c r="K1482" s="48" t="n">
        <f aca="false">Assumptions!$F$102*K1420</f>
        <v>0.1</v>
      </c>
      <c r="L1482" s="48" t="n">
        <f aca="false">Assumptions!$F$102*L1420</f>
        <v>0.1</v>
      </c>
      <c r="M1482" s="48" t="n">
        <f aca="false">Assumptions!$F$102*M1420</f>
        <v>0.1</v>
      </c>
      <c r="N1482" s="48" t="n">
        <f aca="false">Assumptions!$F$102*N1420</f>
        <v>0.1</v>
      </c>
      <c r="P1482" s="49" t="n">
        <f aca="false">AVERAGE(C1482:F1482)</f>
        <v>0.1</v>
      </c>
      <c r="Q1482" s="49" t="n">
        <f aca="false">AVERAGE(G1482:J1482)</f>
        <v>0.1</v>
      </c>
      <c r="R1482" s="49" t="n">
        <f aca="false">AVERAGE(K1482:N1482)</f>
        <v>0.1</v>
      </c>
      <c r="S1482" s="50"/>
    </row>
    <row r="1483" customFormat="false" ht="15" hidden="false" customHeight="false" outlineLevel="0" collapsed="false">
      <c r="A1483" s="4" t="s">
        <v>553</v>
      </c>
      <c r="B1483" s="36" t="s">
        <v>321</v>
      </c>
      <c r="C1483" s="48" t="n">
        <f aca="false">(C1467+C1468)/Assumptions!$F$74+C1466/Assumptions!$F$75</f>
        <v>0</v>
      </c>
      <c r="D1483" s="48" t="n">
        <f aca="false">(D1467+D1468)/Assumptions!$F$74+D1466/Assumptions!$F$75</f>
        <v>0.022933874636828</v>
      </c>
      <c r="E1483" s="48" t="n">
        <f aca="false">(E1467+E1468)/Assumptions!$F$74+E1466/Assumptions!$F$75</f>
        <v>0.0675641560922195</v>
      </c>
      <c r="F1483" s="48" t="n">
        <f aca="false">(F1467+F1468)/Assumptions!$F$74+F1466/Assumptions!$F$75</f>
        <v>0.12098656170996</v>
      </c>
      <c r="G1483" s="48" t="n">
        <f aca="false">(G1467+G1468)/Assumptions!$F$74+G1466/Assumptions!$F$75</f>
        <v>0.189331130063917</v>
      </c>
      <c r="H1483" s="48" t="n">
        <f aca="false">(H1467+H1468)/Assumptions!$F$74+H1466/Assumptions!$F$75</f>
        <v>0.272424746937805</v>
      </c>
      <c r="I1483" s="48" t="n">
        <f aca="false">(I1467+I1468)/Assumptions!$F$74+I1466/Assumptions!$F$75</f>
        <v>0.386855919779472</v>
      </c>
      <c r="J1483" s="48" t="n">
        <f aca="false">(J1467+J1468)/Assumptions!$F$74+J1466/Assumptions!$F$75</f>
        <v>0.532586184916373</v>
      </c>
      <c r="K1483" s="48" t="n">
        <f aca="false">(K1467+K1468)/Assumptions!$F$74+K1466/Assumptions!$F$75</f>
        <v>0.676396011574873</v>
      </c>
      <c r="L1483" s="48" t="n">
        <f aca="false">(L1467+L1468)/Assumptions!$F$74+L1466/Assumptions!$F$75</f>
        <v>0.814611567706605</v>
      </c>
      <c r="M1483" s="48" t="n">
        <f aca="false">(M1467+M1468)/Assumptions!$F$74+M1466/Assumptions!$F$75</f>
        <v>0.947454576852637</v>
      </c>
      <c r="N1483" s="48" t="n">
        <f aca="false">(N1467+N1468)/Assumptions!$F$74+N1466/Assumptions!$F$75</f>
        <v>1.07513792799728</v>
      </c>
      <c r="P1483" s="49" t="n">
        <f aca="false">AVERAGE(C1483:F1483)</f>
        <v>0.052871148109752</v>
      </c>
      <c r="Q1483" s="49" t="n">
        <f aca="false">AVERAGE(G1483:J1483)</f>
        <v>0.345299495424392</v>
      </c>
      <c r="R1483" s="49" t="n">
        <f aca="false">AVERAGE(K1483:N1483)</f>
        <v>0.878400021032849</v>
      </c>
      <c r="S1483" s="50"/>
    </row>
    <row r="1484" customFormat="false" ht="15" hidden="false" customHeight="false" outlineLevel="0" collapsed="false">
      <c r="A1484" s="4" t="s">
        <v>554</v>
      </c>
      <c r="B1484" s="36" t="s">
        <v>125</v>
      </c>
      <c r="C1484" s="54" t="n">
        <f aca="false">(C1478+C1480)*Assumptions!$F$70/Assumptions!$F$69/4</f>
        <v>0</v>
      </c>
      <c r="D1484" s="54" t="n">
        <f aca="false">(D1478+D1480)*Assumptions!$F$70/Assumptions!$F$69/4</f>
        <v>0</v>
      </c>
      <c r="E1484" s="54" t="n">
        <f aca="false">(E1478+E1480)*Assumptions!$F$70/Assumptions!$F$69/4</f>
        <v>0</v>
      </c>
      <c r="F1484" s="54" t="n">
        <f aca="false">(F1478+F1480)*Assumptions!$F$70/Assumptions!$F$69/4</f>
        <v>0</v>
      </c>
      <c r="G1484" s="54" t="n">
        <f aca="false">(G1478+G1480)*Assumptions!$F$70/Assumptions!$F$69/4</f>
        <v>0</v>
      </c>
      <c r="H1484" s="54" t="n">
        <f aca="false">(H1478+H1480)*Assumptions!$F$70/Assumptions!$F$69/4</f>
        <v>0</v>
      </c>
      <c r="I1484" s="54" t="n">
        <f aca="false">(I1478+I1480)*Assumptions!$F$70/Assumptions!$F$69/4</f>
        <v>0</v>
      </c>
      <c r="J1484" s="54" t="n">
        <f aca="false">(J1478+J1480)*Assumptions!$F$70/Assumptions!$F$69/4</f>
        <v>0</v>
      </c>
      <c r="K1484" s="54" t="n">
        <f aca="false">(K1478+K1480)*Assumptions!$F$70/Assumptions!$F$69/4</f>
        <v>0</v>
      </c>
      <c r="L1484" s="54" t="n">
        <f aca="false">(L1478+L1480)*Assumptions!$F$70/Assumptions!$F$69/4</f>
        <v>0</v>
      </c>
      <c r="M1484" s="54" t="n">
        <f aca="false">(M1478+M1480)*Assumptions!$F$70/Assumptions!$F$69/4</f>
        <v>0</v>
      </c>
      <c r="N1484" s="54" t="n">
        <f aca="false">(N1478+N1480)*Assumptions!$F$70/Assumptions!$F$69/4</f>
        <v>0</v>
      </c>
      <c r="P1484" s="55" t="n">
        <f aca="false">SUM(C1484:F1484)</f>
        <v>0</v>
      </c>
      <c r="Q1484" s="55" t="n">
        <f aca="false">SUM(G1484:J1484)</f>
        <v>0</v>
      </c>
      <c r="R1484" s="55" t="n">
        <f aca="false">SUM(K1484:N1484)</f>
        <v>0</v>
      </c>
      <c r="S1484" s="56" t="n">
        <f aca="false">SUM(P1484:R1484)</f>
        <v>0</v>
      </c>
    </row>
    <row r="1485" customFormat="false" ht="15" hidden="false" customHeight="false" outlineLevel="0" collapsed="false">
      <c r="A1485" s="4" t="s">
        <v>555</v>
      </c>
      <c r="B1485" s="36" t="s">
        <v>125</v>
      </c>
      <c r="C1485" s="54" t="n">
        <f aca="false">C1479*$C$1414/4</f>
        <v>0</v>
      </c>
      <c r="D1485" s="54" t="n">
        <f aca="false">D1479*$C$1414/4</f>
        <v>0</v>
      </c>
      <c r="E1485" s="54" t="n">
        <f aca="false">E1479*$C$1414/4</f>
        <v>0</v>
      </c>
      <c r="F1485" s="54" t="n">
        <f aca="false">F1479*$C$1414/4</f>
        <v>0</v>
      </c>
      <c r="G1485" s="54" t="n">
        <f aca="false">G1479*$C$1414/4</f>
        <v>0</v>
      </c>
      <c r="H1485" s="54" t="n">
        <f aca="false">H1479*$C$1414/4</f>
        <v>0</v>
      </c>
      <c r="I1485" s="54" t="n">
        <f aca="false">I1479*$C$1414/4</f>
        <v>0</v>
      </c>
      <c r="J1485" s="54" t="n">
        <f aca="false">J1479*$C$1414/4</f>
        <v>0</v>
      </c>
      <c r="K1485" s="54" t="n">
        <f aca="false">K1479*$C$1414/4</f>
        <v>0</v>
      </c>
      <c r="L1485" s="54" t="n">
        <f aca="false">L1479*$C$1414/4</f>
        <v>0</v>
      </c>
      <c r="M1485" s="54" t="n">
        <f aca="false">M1479*$C$1414/4</f>
        <v>0</v>
      </c>
      <c r="N1485" s="54" t="n">
        <f aca="false">N1479*$C$1414/4</f>
        <v>0</v>
      </c>
      <c r="P1485" s="55" t="n">
        <f aca="false">SUM(C1485:F1485)</f>
        <v>0</v>
      </c>
      <c r="Q1485" s="55" t="n">
        <f aca="false">SUM(G1485:J1485)</f>
        <v>0</v>
      </c>
      <c r="R1485" s="55" t="n">
        <f aca="false">SUM(K1485:N1485)</f>
        <v>0</v>
      </c>
      <c r="S1485" s="56" t="n">
        <f aca="false">SUM(P1485:R1485)</f>
        <v>0</v>
      </c>
    </row>
    <row r="1486" customFormat="false" ht="15" hidden="false" customHeight="false" outlineLevel="0" collapsed="false">
      <c r="A1486" s="4" t="s">
        <v>556</v>
      </c>
      <c r="B1486" s="36" t="s">
        <v>125</v>
      </c>
      <c r="C1486" s="54" t="n">
        <f aca="false">MAX(0,(C1474-C1455*$C$1410)-C1434*$C$1415)*$C$1416*Assumptions!$F$105</f>
        <v>0</v>
      </c>
      <c r="D1486" s="54" t="n">
        <f aca="false">MAX(0,(D1474-D1455*$C$1410)-D1434*$C$1415)*$C$1416*Assumptions!$F$105</f>
        <v>5625.07286213259</v>
      </c>
      <c r="E1486" s="54" t="n">
        <f aca="false">MAX(0,(E1474-E1455*$C$1410)-E1434*$C$1415)*$C$1416*Assumptions!$F$105</f>
        <v>15380.3786303303</v>
      </c>
      <c r="F1486" s="54" t="n">
        <f aca="false">MAX(0,(F1474-F1455*$C$1410)-F1434*$C$1415)*$C$1416*Assumptions!$F$105</f>
        <v>21225.0703044133</v>
      </c>
      <c r="G1486" s="54" t="n">
        <f aca="false">MAX(0,(G1474-G1455*$C$1410)-G1434*$C$1415)*$C$1416*Assumptions!$F$105</f>
        <v>26404.6817188573</v>
      </c>
      <c r="H1486" s="54" t="n">
        <f aca="false">MAX(0,(H1474-H1455*$C$1410)-H1434*$C$1415)*$C$1416*Assumptions!$F$105</f>
        <v>32329.5101814246</v>
      </c>
      <c r="I1486" s="54" t="n">
        <f aca="false">MAX(0,(I1474-I1455*$C$1410)-I1434*$C$1415)*$C$1416*Assumptions!$F$105</f>
        <v>42433.4097464538</v>
      </c>
      <c r="J1486" s="54" t="n">
        <f aca="false">MAX(0,(J1474-J1455*$C$1410)-J1434*$C$1415)*$C$1416*Assumptions!$F$105</f>
        <v>54906.4917978472</v>
      </c>
      <c r="K1486" s="54" t="n">
        <f aca="false">MAX(0,(K1474-K1455*$C$1410)-K1434*$C$1415)*$C$1416*Assumptions!$F$105</f>
        <v>59215.3332486818</v>
      </c>
      <c r="L1486" s="54" t="n">
        <f aca="false">MAX(0,(L1474-L1455*$C$1410)-L1434*$C$1415)*$C$1416*Assumptions!$F$105</f>
        <v>58081.8771358915</v>
      </c>
      <c r="M1486" s="54" t="n">
        <f aca="false">MAX(0,(M1474-M1455*$C$1410)-M1434*$C$1415)*$C$1416*Assumptions!$F$105</f>
        <v>56993.5500436242</v>
      </c>
      <c r="N1486" s="54" t="n">
        <f aca="false">MAX(0,(N1474-N1455*$C$1410)-N1434*$C$1415)*$C$1416*Assumptions!$F$105</f>
        <v>55948.5551413982</v>
      </c>
      <c r="P1486" s="55" t="n">
        <f aca="false">SUM(C1486:F1486)</f>
        <v>42230.5217968763</v>
      </c>
      <c r="Q1486" s="55" t="n">
        <f aca="false">SUM(G1486:J1486)</f>
        <v>156074.093444583</v>
      </c>
      <c r="R1486" s="55" t="n">
        <f aca="false">SUM(K1486:N1486)</f>
        <v>230239.315569596</v>
      </c>
      <c r="S1486" s="56" t="n">
        <f aca="false">SUM(P1486:R1486)</f>
        <v>428543.930811055</v>
      </c>
    </row>
    <row r="1487" customFormat="false" ht="15" hidden="false" customHeight="false" outlineLevel="0" collapsed="false">
      <c r="A1487" s="4" t="s">
        <v>557</v>
      </c>
      <c r="B1487" s="36" t="s">
        <v>125</v>
      </c>
      <c r="C1487" s="54" t="n">
        <f aca="false">C1482*Assumptions!$F$71/Assumptions!$F$69/4</f>
        <v>7390.35714285714</v>
      </c>
      <c r="D1487" s="54" t="n">
        <f aca="false">D1482*Assumptions!$F$71/Assumptions!$F$69/4</f>
        <v>7390.35714285714</v>
      </c>
      <c r="E1487" s="54" t="n">
        <f aca="false">E1482*Assumptions!$F$71/Assumptions!$F$69/4</f>
        <v>7390.35714285714</v>
      </c>
      <c r="F1487" s="54" t="n">
        <f aca="false">F1482*Assumptions!$F$71/Assumptions!$F$69/4</f>
        <v>7390.35714285714</v>
      </c>
      <c r="G1487" s="54" t="n">
        <f aca="false">G1482*Assumptions!$F$71/Assumptions!$F$69/4</f>
        <v>7390.35714285714</v>
      </c>
      <c r="H1487" s="54" t="n">
        <f aca="false">H1482*Assumptions!$F$71/Assumptions!$F$69/4</f>
        <v>7390.35714285714</v>
      </c>
      <c r="I1487" s="54" t="n">
        <f aca="false">I1482*Assumptions!$F$71/Assumptions!$F$69/4</f>
        <v>7390.35714285714</v>
      </c>
      <c r="J1487" s="54" t="n">
        <f aca="false">J1482*Assumptions!$F$71/Assumptions!$F$69/4</f>
        <v>7390.35714285714</v>
      </c>
      <c r="K1487" s="54" t="n">
        <f aca="false">K1482*Assumptions!$F$71/Assumptions!$F$69/4</f>
        <v>7390.35714285714</v>
      </c>
      <c r="L1487" s="54" t="n">
        <f aca="false">L1482*Assumptions!$F$71/Assumptions!$F$69/4</f>
        <v>7390.35714285714</v>
      </c>
      <c r="M1487" s="54" t="n">
        <f aca="false">M1482*Assumptions!$F$71/Assumptions!$F$69/4</f>
        <v>7390.35714285714</v>
      </c>
      <c r="N1487" s="54" t="n">
        <f aca="false">N1482*Assumptions!$F$71/Assumptions!$F$69/4</f>
        <v>7390.35714285714</v>
      </c>
      <c r="P1487" s="55" t="n">
        <f aca="false">SUM(C1487:F1487)</f>
        <v>29561.4285714286</v>
      </c>
      <c r="Q1487" s="55" t="n">
        <f aca="false">SUM(G1487:J1487)</f>
        <v>29561.4285714286</v>
      </c>
      <c r="R1487" s="55" t="n">
        <f aca="false">SUM(K1487:N1487)</f>
        <v>29561.4285714286</v>
      </c>
      <c r="S1487" s="56" t="n">
        <f aca="false">SUM(P1487:R1487)</f>
        <v>88684.2857142857</v>
      </c>
    </row>
    <row r="1488" customFormat="false" ht="15" hidden="false" customHeight="false" outlineLevel="0" collapsed="false">
      <c r="A1488" s="4" t="s">
        <v>558</v>
      </c>
      <c r="B1488" s="36" t="s">
        <v>125</v>
      </c>
      <c r="C1488" s="54" t="n">
        <f aca="false">(Assumptions!$F$103+Assumptions!$F$77*((C1419=Assumptions!$F$13)+(C1419=Assumptions!$F$14)+(C1419=Assumptions!$F$15)))*C1420</f>
        <v>50000</v>
      </c>
      <c r="D1488" s="54" t="n">
        <f aca="false">(Assumptions!$F$103+Assumptions!$F$77*((D1419=Assumptions!$F$13)+(D1419=Assumptions!$F$14)+(D1419=Assumptions!$F$15)))*D1420</f>
        <v>10000</v>
      </c>
      <c r="E1488" s="54" t="n">
        <f aca="false">(Assumptions!$F$103+Assumptions!$F$77*((E1419=Assumptions!$F$13)+(E1419=Assumptions!$F$14)+(E1419=Assumptions!$F$15)))*E1420</f>
        <v>10000</v>
      </c>
      <c r="F1488" s="54" t="n">
        <f aca="false">(Assumptions!$F$103+Assumptions!$F$77*((F1419=Assumptions!$F$13)+(F1419=Assumptions!$F$14)+(F1419=Assumptions!$F$15)))*F1420</f>
        <v>50000</v>
      </c>
      <c r="G1488" s="54" t="n">
        <f aca="false">(Assumptions!$F$103+Assumptions!$F$77*((G1419=Assumptions!$F$13)+(G1419=Assumptions!$F$14)+(G1419=Assumptions!$F$15)))*G1420</f>
        <v>10000</v>
      </c>
      <c r="H1488" s="54" t="n">
        <f aca="false">(Assumptions!$F$103+Assumptions!$F$77*((H1419=Assumptions!$F$13)+(H1419=Assumptions!$F$14)+(H1419=Assumptions!$F$15)))*H1420</f>
        <v>50000</v>
      </c>
      <c r="I1488" s="54" t="n">
        <f aca="false">(Assumptions!$F$103+Assumptions!$F$77*((I1419=Assumptions!$F$13)+(I1419=Assumptions!$F$14)+(I1419=Assumptions!$F$15)))*I1420</f>
        <v>10000</v>
      </c>
      <c r="J1488" s="54" t="n">
        <f aca="false">(Assumptions!$F$103+Assumptions!$F$77*((J1419=Assumptions!$F$13)+(J1419=Assumptions!$F$14)+(J1419=Assumptions!$F$15)))*J1420</f>
        <v>10000</v>
      </c>
      <c r="K1488" s="54" t="n">
        <f aca="false">(Assumptions!$F$103+Assumptions!$F$77*((K1419=Assumptions!$F$13)+(K1419=Assumptions!$F$14)+(K1419=Assumptions!$F$15)))*K1420</f>
        <v>10000</v>
      </c>
      <c r="L1488" s="54" t="n">
        <f aca="false">(Assumptions!$F$103+Assumptions!$F$77*((L1419=Assumptions!$F$13)+(L1419=Assumptions!$F$14)+(L1419=Assumptions!$F$15)))*L1420</f>
        <v>10000</v>
      </c>
      <c r="M1488" s="54" t="n">
        <f aca="false">(Assumptions!$F$103+Assumptions!$F$77*((M1419=Assumptions!$F$13)+(M1419=Assumptions!$F$14)+(M1419=Assumptions!$F$15)))*M1420</f>
        <v>10000</v>
      </c>
      <c r="N1488" s="54" t="n">
        <f aca="false">(Assumptions!$F$103+Assumptions!$F$77*((N1419=Assumptions!$F$13)+(N1419=Assumptions!$F$14)+(N1419=Assumptions!$F$15)))*N1420</f>
        <v>10000</v>
      </c>
      <c r="P1488" s="55" t="n">
        <f aca="false">SUM(C1488:F1488)</f>
        <v>120000</v>
      </c>
      <c r="Q1488" s="55" t="n">
        <f aca="false">SUM(G1488:J1488)</f>
        <v>80000</v>
      </c>
      <c r="R1488" s="55" t="n">
        <f aca="false">SUM(K1488:N1488)</f>
        <v>40000</v>
      </c>
      <c r="S1488" s="56" t="n">
        <f aca="false">SUM(P1488:R1488)</f>
        <v>240000</v>
      </c>
    </row>
    <row r="1489" customFormat="false" ht="15" hidden="false" customHeight="false" outlineLevel="0" collapsed="false">
      <c r="A1489" s="4" t="s">
        <v>559</v>
      </c>
      <c r="B1489" s="36" t="s">
        <v>125</v>
      </c>
      <c r="C1489" s="54" t="n">
        <f aca="false">C1474*C1454*Assumptions!$F$79</f>
        <v>0</v>
      </c>
      <c r="D1489" s="54" t="n">
        <f aca="false">D1474*D1454*Assumptions!$F$79</f>
        <v>1279.63986570787</v>
      </c>
      <c r="E1489" s="54" t="n">
        <f aca="false">E1474*E1454*Assumptions!$F$79</f>
        <v>3045.07377001188</v>
      </c>
      <c r="F1489" s="54" t="n">
        <f aca="false">F1474*F1454*Assumptions!$F$79</f>
        <v>4971.63988183899</v>
      </c>
      <c r="G1489" s="54" t="n">
        <f aca="false">G1474*G1454*Assumptions!$F$79</f>
        <v>6097.49485963994</v>
      </c>
      <c r="H1489" s="54" t="n">
        <f aca="false">H1474*H1454*Assumptions!$F$79</f>
        <v>7425.65979405868</v>
      </c>
      <c r="I1489" s="54" t="n">
        <f aca="false">I1474*I1454*Assumptions!$F$79</f>
        <v>8133.30782936237</v>
      </c>
      <c r="J1489" s="54" t="n">
        <f aca="false">J1474*J1454*Assumptions!$F$79</f>
        <v>9437.79962633219</v>
      </c>
      <c r="K1489" s="54" t="n">
        <f aca="false">K1474*K1454*Assumptions!$F$79</f>
        <v>10265.915308799</v>
      </c>
      <c r="L1489" s="54" t="n">
        <f aca="false">L1474*L1454*Assumptions!$F$79</f>
        <v>10264.2865372947</v>
      </c>
      <c r="M1489" s="54" t="n">
        <f aca="false">M1474*M1454*Assumptions!$F$79</f>
        <v>10262.6622286611</v>
      </c>
      <c r="N1489" s="54" t="n">
        <f aca="false">N1474*N1454*Assumptions!$F$79</f>
        <v>10261.043698851</v>
      </c>
      <c r="P1489" s="55" t="n">
        <f aca="false">SUM(C1489:F1489)</f>
        <v>9296.35351755874</v>
      </c>
      <c r="Q1489" s="55" t="n">
        <f aca="false">SUM(G1489:J1489)</f>
        <v>31094.2621093932</v>
      </c>
      <c r="R1489" s="55" t="n">
        <f aca="false">SUM(K1489:N1489)</f>
        <v>41053.9077736058</v>
      </c>
      <c r="S1489" s="56" t="n">
        <f aca="false">SUM(P1489:R1489)</f>
        <v>81444.5234005577</v>
      </c>
    </row>
    <row r="1490" customFormat="false" ht="15" hidden="false" customHeight="false" outlineLevel="0" collapsed="false">
      <c r="A1490" s="4" t="s">
        <v>560</v>
      </c>
      <c r="B1490" s="36" t="s">
        <v>125</v>
      </c>
      <c r="C1490" s="54" t="n">
        <f aca="false">C1439*Assumptions!$F$80</f>
        <v>3000</v>
      </c>
      <c r="D1490" s="54" t="n">
        <f aca="false">D1439*Assumptions!$F$80</f>
        <v>5000</v>
      </c>
      <c r="E1490" s="54" t="n">
        <f aca="false">E1439*Assumptions!$F$80</f>
        <v>7000</v>
      </c>
      <c r="F1490" s="54" t="n">
        <f aca="false">F1439*Assumptions!$F$80</f>
        <v>9000</v>
      </c>
      <c r="G1490" s="54" t="n">
        <f aca="false">G1439*Assumptions!$F$80</f>
        <v>11000</v>
      </c>
      <c r="H1490" s="54" t="n">
        <f aca="false">H1439*Assumptions!$F$80</f>
        <v>13000</v>
      </c>
      <c r="I1490" s="54" t="n">
        <f aca="false">I1439*Assumptions!$F$80</f>
        <v>15000</v>
      </c>
      <c r="J1490" s="54" t="n">
        <f aca="false">J1439*Assumptions!$F$80</f>
        <v>15000</v>
      </c>
      <c r="K1490" s="54" t="n">
        <f aca="false">K1439*Assumptions!$F$80</f>
        <v>15000</v>
      </c>
      <c r="L1490" s="54" t="n">
        <f aca="false">L1439*Assumptions!$F$80</f>
        <v>15000</v>
      </c>
      <c r="M1490" s="54" t="n">
        <f aca="false">M1439*Assumptions!$F$80</f>
        <v>15000</v>
      </c>
      <c r="N1490" s="54" t="n">
        <f aca="false">N1439*Assumptions!$F$80</f>
        <v>15000</v>
      </c>
      <c r="P1490" s="55" t="n">
        <f aca="false">SUM(C1490:F1490)</f>
        <v>24000</v>
      </c>
      <c r="Q1490" s="55" t="n">
        <f aca="false">SUM(G1490:J1490)</f>
        <v>54000</v>
      </c>
      <c r="R1490" s="55" t="n">
        <f aca="false">SUM(K1490:N1490)</f>
        <v>60000</v>
      </c>
      <c r="S1490" s="56" t="n">
        <f aca="false">SUM(P1490:R1490)</f>
        <v>138000</v>
      </c>
    </row>
    <row r="1491" customFormat="false" ht="15" hidden="false" customHeight="false" outlineLevel="0" collapsed="false">
      <c r="A1491" s="4" t="s">
        <v>561</v>
      </c>
      <c r="B1491" s="36" t="s">
        <v>125</v>
      </c>
      <c r="C1491" s="54" t="n">
        <f aca="false">(C1462*$C$1411+C1463*$C$1412)*Assumptions!$F$81</f>
        <v>0</v>
      </c>
      <c r="D1491" s="54" t="n">
        <f aca="false">(D1462*$C$1411+D1463*$C$1412)*Assumptions!$F$81</f>
        <v>1018.64075990905</v>
      </c>
      <c r="E1491" s="54" t="n">
        <f aca="false">(E1462*$C$1411+E1463*$C$1412)*Assumptions!$F$81</f>
        <v>3199.19963621606</v>
      </c>
      <c r="F1491" s="54" t="n">
        <f aca="false">(F1462*$C$1411+F1463*$C$1412)*Assumptions!$F$81</f>
        <v>4590.9852353404</v>
      </c>
      <c r="G1491" s="54" t="n">
        <f aca="false">(G1462*$C$1411+G1463*$C$1412)*Assumptions!$F$81</f>
        <v>5632.374575501</v>
      </c>
      <c r="H1491" s="54" t="n">
        <f aca="false">(H1462*$C$1411+H1463*$C$1412)*Assumptions!$F$81</f>
        <v>6878.30609797016</v>
      </c>
      <c r="I1491" s="54" t="n">
        <f aca="false">(I1462*$C$1411+I1463*$C$1412)*Assumptions!$F$81</f>
        <v>8785.50999116009</v>
      </c>
      <c r="J1491" s="54" t="n">
        <f aca="false">(J1462*$C$1411+J1463*$C$1412)*Assumptions!$F$81</f>
        <v>11352.4444496331</v>
      </c>
      <c r="K1491" s="54" t="n">
        <f aca="false">(K1462*$C$1411+K1463*$C$1412)*Assumptions!$F$81</f>
        <v>12531.04547079</v>
      </c>
      <c r="L1491" s="54" t="n">
        <f aca="false">(L1462*$C$1411+L1463*$C$1412)*Assumptions!$F$81</f>
        <v>12290.6806916009</v>
      </c>
      <c r="M1491" s="54" t="n">
        <f aca="false">(M1462*$C$1411+M1463*$C$1412)*Assumptions!$F$81</f>
        <v>12059.8861347879</v>
      </c>
      <c r="N1491" s="54" t="n">
        <f aca="false">(N1462*$C$1411+N1463*$C$1412)*Assumptions!$F$81</f>
        <v>11838.2807580177</v>
      </c>
      <c r="P1491" s="55" t="n">
        <f aca="false">SUM(C1491:F1491)</f>
        <v>8808.82563146551</v>
      </c>
      <c r="Q1491" s="55" t="n">
        <f aca="false">SUM(G1491:J1491)</f>
        <v>32648.6351142643</v>
      </c>
      <c r="R1491" s="55" t="n">
        <f aca="false">SUM(K1491:N1491)</f>
        <v>48719.8930551966</v>
      </c>
      <c r="S1491" s="56" t="n">
        <f aca="false">SUM(P1491:R1491)</f>
        <v>90177.3538009264</v>
      </c>
    </row>
    <row r="1492" customFormat="false" ht="15" hidden="false" customHeight="false" outlineLevel="0" collapsed="false">
      <c r="A1492" s="9" t="s">
        <v>562</v>
      </c>
      <c r="B1492" s="36" t="s">
        <v>125</v>
      </c>
      <c r="C1492" s="55" t="n">
        <f aca="false">C1484+C1485+C1486+C1487+C1488+C1489+C1490+C1491</f>
        <v>60390.3571428571</v>
      </c>
      <c r="D1492" s="55" t="n">
        <f aca="false">D1484+D1485+D1486+D1487+D1488+D1489+D1490+D1491</f>
        <v>30313.7106306067</v>
      </c>
      <c r="E1492" s="55" t="n">
        <f aca="false">E1484+E1485+E1486+E1487+E1488+E1489+E1490+E1491</f>
        <v>46015.0091794154</v>
      </c>
      <c r="F1492" s="55" t="n">
        <f aca="false">F1484+F1485+F1486+F1487+F1488+F1489+F1490+F1491</f>
        <v>97178.0525644499</v>
      </c>
      <c r="G1492" s="55" t="n">
        <f aca="false">G1484+G1485+G1486+G1487+G1488+G1489+G1490+G1491</f>
        <v>66524.9082968554</v>
      </c>
      <c r="H1492" s="55" t="n">
        <f aca="false">H1484+H1485+H1486+H1487+H1488+H1489+H1490+H1491</f>
        <v>117023.833216311</v>
      </c>
      <c r="I1492" s="55" t="n">
        <f aca="false">I1484+I1485+I1486+I1487+I1488+I1489+I1490+I1491</f>
        <v>91742.5847098334</v>
      </c>
      <c r="J1492" s="55" t="n">
        <f aca="false">J1484+J1485+J1486+J1487+J1488+J1489+J1490+J1491</f>
        <v>108087.09301667</v>
      </c>
      <c r="K1492" s="55" t="n">
        <f aca="false">K1484+K1485+K1486+K1487+K1488+K1489+K1490+K1491</f>
        <v>114402.651171128</v>
      </c>
      <c r="L1492" s="55" t="n">
        <f aca="false">L1484+L1485+L1486+L1487+L1488+L1489+L1490+L1491</f>
        <v>113027.201507644</v>
      </c>
      <c r="M1492" s="55" t="n">
        <f aca="false">M1484+M1485+M1486+M1487+M1488+M1489+M1490+M1491</f>
        <v>111706.45554993</v>
      </c>
      <c r="N1492" s="55" t="n">
        <f aca="false">N1484+N1485+N1486+N1487+N1488+N1489+N1490+N1491</f>
        <v>110438.236741124</v>
      </c>
      <c r="P1492" s="55" t="n">
        <f aca="false">SUM(C1492:F1492)</f>
        <v>233897.129517329</v>
      </c>
      <c r="Q1492" s="55" t="n">
        <f aca="false">SUM(G1492:J1492)</f>
        <v>383378.419239669</v>
      </c>
      <c r="R1492" s="55" t="n">
        <f aca="false">SUM(K1492:N1492)</f>
        <v>449574.544969827</v>
      </c>
      <c r="S1492" s="56" t="n">
        <f aca="false">SUM(P1492:R1492)</f>
        <v>1066850.09372682</v>
      </c>
    </row>
    <row r="1493" customFormat="false" ht="15" hidden="false" customHeight="false" outlineLevel="0" collapsed="false">
      <c r="A1493" s="4" t="s">
        <v>563</v>
      </c>
      <c r="B1493" s="36" t="s">
        <v>125</v>
      </c>
      <c r="C1493" s="54" t="n">
        <f aca="false">C1481*Assumptions!$F$72/Assumptions!$F$69/4</f>
        <v>28267.8571428571</v>
      </c>
      <c r="D1493" s="54" t="n">
        <f aca="false">D1481*Assumptions!$F$72/Assumptions!$F$69/4</f>
        <v>28267.8571428571</v>
      </c>
      <c r="E1493" s="54" t="n">
        <f aca="false">E1481*Assumptions!$F$72/Assumptions!$F$69/4</f>
        <v>28267.8571428571</v>
      </c>
      <c r="F1493" s="54" t="n">
        <f aca="false">F1481*Assumptions!$F$72/Assumptions!$F$69/4</f>
        <v>28267.8571428571</v>
      </c>
      <c r="G1493" s="54" t="n">
        <f aca="false">G1481*Assumptions!$F$72/Assumptions!$F$69/4</f>
        <v>14133.9285714286</v>
      </c>
      <c r="H1493" s="54" t="n">
        <f aca="false">H1481*Assumptions!$F$72/Assumptions!$F$69/4</f>
        <v>14133.9285714286</v>
      </c>
      <c r="I1493" s="54" t="n">
        <f aca="false">I1481*Assumptions!$F$72/Assumptions!$F$69/4</f>
        <v>14133.9285714286</v>
      </c>
      <c r="J1493" s="54" t="n">
        <f aca="false">J1481*Assumptions!$F$72/Assumptions!$F$69/4</f>
        <v>14133.9285714286</v>
      </c>
      <c r="K1493" s="54" t="n">
        <f aca="false">K1481*Assumptions!$F$72/Assumptions!$F$69/4</f>
        <v>14133.9285714286</v>
      </c>
      <c r="L1493" s="54" t="n">
        <f aca="false">L1481*Assumptions!$F$72/Assumptions!$F$69/4</f>
        <v>14133.9285714286</v>
      </c>
      <c r="M1493" s="54" t="n">
        <f aca="false">M1481*Assumptions!$F$72/Assumptions!$F$69/4</f>
        <v>14133.9285714286</v>
      </c>
      <c r="N1493" s="54" t="n">
        <f aca="false">N1481*Assumptions!$F$72/Assumptions!$F$69/4</f>
        <v>14133.9285714286</v>
      </c>
      <c r="P1493" s="55" t="n">
        <f aca="false">SUM(C1493:F1493)</f>
        <v>113071.428571429</v>
      </c>
      <c r="Q1493" s="55" t="n">
        <f aca="false">SUM(G1493:J1493)</f>
        <v>56535.7142857143</v>
      </c>
      <c r="R1493" s="55" t="n">
        <f aca="false">SUM(K1493:N1493)</f>
        <v>56535.7142857143</v>
      </c>
      <c r="S1493" s="56" t="n">
        <f aca="false">SUM(P1493:R1493)</f>
        <v>226142.857142857</v>
      </c>
    </row>
    <row r="1494" customFormat="false" ht="15" hidden="false" customHeight="false" outlineLevel="0" collapsed="false">
      <c r="A1494" s="4" t="s">
        <v>564</v>
      </c>
      <c r="B1494" s="36" t="s">
        <v>125</v>
      </c>
      <c r="C1494" s="54" t="n">
        <f aca="false">IF(C1419&lt;=Assumptions!$F$83,Assumptions!$F$82*Assumptions!$F$108/Assumptions!$F$83,0)</f>
        <v>37500</v>
      </c>
      <c r="D1494" s="54" t="n">
        <f aca="false">IF(D1419&lt;=Assumptions!$F$83,Assumptions!$F$82*Assumptions!$F$108/Assumptions!$F$83,0)</f>
        <v>37500</v>
      </c>
      <c r="E1494" s="54" t="n">
        <f aca="false">IF(E1419&lt;=Assumptions!$F$83,Assumptions!$F$82*Assumptions!$F$108/Assumptions!$F$83,0)</f>
        <v>37500</v>
      </c>
      <c r="F1494" s="54" t="n">
        <f aca="false">IF(F1419&lt;=Assumptions!$F$83,Assumptions!$F$82*Assumptions!$F$108/Assumptions!$F$83,0)</f>
        <v>37500</v>
      </c>
      <c r="G1494" s="54" t="n">
        <f aca="false">IF(G1419&lt;=Assumptions!$F$83,Assumptions!$F$82*Assumptions!$F$108/Assumptions!$F$83,0)</f>
        <v>0</v>
      </c>
      <c r="H1494" s="54" t="n">
        <f aca="false">IF(H1419&lt;=Assumptions!$F$83,Assumptions!$F$82*Assumptions!$F$108/Assumptions!$F$83,0)</f>
        <v>0</v>
      </c>
      <c r="I1494" s="54" t="n">
        <f aca="false">IF(I1419&lt;=Assumptions!$F$83,Assumptions!$F$82*Assumptions!$F$108/Assumptions!$F$83,0)</f>
        <v>0</v>
      </c>
      <c r="J1494" s="54" t="n">
        <f aca="false">IF(J1419&lt;=Assumptions!$F$83,Assumptions!$F$82*Assumptions!$F$108/Assumptions!$F$83,0)</f>
        <v>0</v>
      </c>
      <c r="K1494" s="54" t="n">
        <f aca="false">IF(K1419&lt;=Assumptions!$F$83,Assumptions!$F$82*Assumptions!$F$108/Assumptions!$F$83,0)</f>
        <v>0</v>
      </c>
      <c r="L1494" s="54" t="n">
        <f aca="false">IF(L1419&lt;=Assumptions!$F$83,Assumptions!$F$82*Assumptions!$F$108/Assumptions!$F$83,0)</f>
        <v>0</v>
      </c>
      <c r="M1494" s="54" t="n">
        <f aca="false">IF(M1419&lt;=Assumptions!$F$83,Assumptions!$F$82*Assumptions!$F$108/Assumptions!$F$83,0)</f>
        <v>0</v>
      </c>
      <c r="N1494" s="54" t="n">
        <f aca="false">IF(N1419&lt;=Assumptions!$F$83,Assumptions!$F$82*Assumptions!$F$108/Assumptions!$F$83,0)</f>
        <v>0</v>
      </c>
      <c r="P1494" s="55" t="n">
        <f aca="false">SUM(C1494:F1494)</f>
        <v>150000</v>
      </c>
      <c r="Q1494" s="55" t="n">
        <f aca="false">SUM(G1494:J1494)</f>
        <v>0</v>
      </c>
      <c r="R1494" s="55" t="n">
        <f aca="false">SUM(K1494:N1494)</f>
        <v>0</v>
      </c>
      <c r="S1494" s="56" t="n">
        <f aca="false">SUM(P1494:R1494)</f>
        <v>150000</v>
      </c>
    </row>
    <row r="1495" customFormat="false" ht="15" hidden="false" customHeight="false" outlineLevel="0" collapsed="false">
      <c r="A1495" s="4" t="s">
        <v>565</v>
      </c>
      <c r="B1495" s="36" t="s">
        <v>125</v>
      </c>
      <c r="C1495" s="54" t="n">
        <f aca="false">C1483*Assumptions!$F$73/Assumptions!$F$69/4</f>
        <v>0</v>
      </c>
      <c r="D1495" s="54" t="n">
        <f aca="false">D1483*Assumptions!$F$73/Assumptions!$F$69/4</f>
        <v>921.532226924828</v>
      </c>
      <c r="E1495" s="54" t="n">
        <f aca="false">E1483*Assumptions!$F$73/Assumptions!$F$69/4</f>
        <v>2714.87257211986</v>
      </c>
      <c r="F1495" s="54" t="n">
        <f aca="false">F1483*Assumptions!$F$73/Assumptions!$F$69/4</f>
        <v>4861.49930642416</v>
      </c>
      <c r="G1495" s="54" t="n">
        <f aca="false">G1483*Assumptions!$F$73/Assumptions!$F$69/4</f>
        <v>7607.73051553262</v>
      </c>
      <c r="H1495" s="54" t="n">
        <f aca="false">H1483*Assumptions!$F$73/Assumptions!$F$69/4</f>
        <v>10946.6100992759</v>
      </c>
      <c r="I1495" s="54" t="n">
        <f aca="false">I1483*Assumptions!$F$73/Assumptions!$F$69/4</f>
        <v>15544.6998337101</v>
      </c>
      <c r="J1495" s="54" t="n">
        <f aca="false">J1483*Assumptions!$F$73/Assumptions!$F$69/4</f>
        <v>21400.4541660504</v>
      </c>
      <c r="K1495" s="54" t="n">
        <f aca="false">K1483*Assumptions!$F$73/Assumptions!$F$69/4</f>
        <v>27179.0411651032</v>
      </c>
      <c r="L1495" s="54" t="n">
        <f aca="false">L1483*Assumptions!$F$73/Assumptions!$F$69/4</f>
        <v>32732.8383866679</v>
      </c>
      <c r="M1495" s="54" t="n">
        <f aca="false">M1483*Assumptions!$F$73/Assumptions!$F$69/4</f>
        <v>38070.7551577465</v>
      </c>
      <c r="N1495" s="54" t="n">
        <f aca="false">N1483*Assumptions!$F$73/Assumptions!$F$69/4</f>
        <v>43201.3458139194</v>
      </c>
      <c r="P1495" s="55" t="n">
        <f aca="false">SUM(C1495:F1495)</f>
        <v>8497.90410546885</v>
      </c>
      <c r="Q1495" s="55" t="n">
        <f aca="false">SUM(G1495:J1495)</f>
        <v>55499.494614569</v>
      </c>
      <c r="R1495" s="55" t="n">
        <f aca="false">SUM(K1495:N1495)</f>
        <v>141183.980523437</v>
      </c>
      <c r="S1495" s="56" t="n">
        <f aca="false">SUM(P1495:R1495)</f>
        <v>205181.379243475</v>
      </c>
    </row>
    <row r="1496" customFormat="false" ht="15" hidden="false" customHeight="false" outlineLevel="0" collapsed="false">
      <c r="A1496" s="9" t="s">
        <v>566</v>
      </c>
      <c r="B1496" s="36" t="s">
        <v>125</v>
      </c>
      <c r="C1496" s="55" t="n">
        <f aca="false">C1492+C1493+C1494+C1495</f>
        <v>126158.214285714</v>
      </c>
      <c r="D1496" s="55" t="n">
        <f aca="false">D1492+D1493+D1494+D1495</f>
        <v>97003.1000003886</v>
      </c>
      <c r="E1496" s="55" t="n">
        <f aca="false">E1492+E1493+E1494+E1495</f>
        <v>114497.738894392</v>
      </c>
      <c r="F1496" s="55" t="n">
        <f aca="false">F1492+F1493+F1494+F1495</f>
        <v>167807.409013731</v>
      </c>
      <c r="G1496" s="55" t="n">
        <f aca="false">G1492+G1493+G1494+G1495</f>
        <v>88266.5673838166</v>
      </c>
      <c r="H1496" s="55" t="n">
        <f aca="false">H1492+H1493+H1494+H1495</f>
        <v>142104.371887015</v>
      </c>
      <c r="I1496" s="55" t="n">
        <f aca="false">I1492+I1493+I1494+I1495</f>
        <v>121421.213114972</v>
      </c>
      <c r="J1496" s="55" t="n">
        <f aca="false">J1492+J1493+J1494+J1495</f>
        <v>143621.475754149</v>
      </c>
      <c r="K1496" s="55" t="n">
        <f aca="false">K1492+K1493+K1494+K1495</f>
        <v>155715.62090766</v>
      </c>
      <c r="L1496" s="55" t="n">
        <f aca="false">L1492+L1493+L1494+L1495</f>
        <v>159893.968465741</v>
      </c>
      <c r="M1496" s="55" t="n">
        <f aca="false">M1492+M1493+M1494+M1495</f>
        <v>163911.139279105</v>
      </c>
      <c r="N1496" s="55" t="n">
        <f aca="false">N1492+N1493+N1494+N1495</f>
        <v>167773.511126472</v>
      </c>
      <c r="P1496" s="55" t="n">
        <f aca="false">SUM(C1496:F1496)</f>
        <v>505466.462194227</v>
      </c>
      <c r="Q1496" s="55" t="n">
        <f aca="false">SUM(G1496:J1496)</f>
        <v>495413.628139952</v>
      </c>
      <c r="R1496" s="55" t="n">
        <f aca="false">SUM(K1496:N1496)</f>
        <v>647294.239778978</v>
      </c>
      <c r="S1496" s="56" t="n">
        <f aca="false">SUM(P1496:R1496)</f>
        <v>1648174.33011316</v>
      </c>
    </row>
    <row r="1497" customFormat="false" ht="15" hidden="false" customHeight="false" outlineLevel="0" collapsed="false">
      <c r="A1497" s="35" t="s">
        <v>567</v>
      </c>
      <c r="B1497" s="35" t="s">
        <v>444</v>
      </c>
      <c r="C1497" s="6" t="s">
        <v>354</v>
      </c>
      <c r="D1497" s="6" t="s">
        <v>355</v>
      </c>
      <c r="E1497" s="6" t="s">
        <v>356</v>
      </c>
      <c r="F1497" s="6" t="s">
        <v>357</v>
      </c>
      <c r="G1497" s="6" t="s">
        <v>358</v>
      </c>
      <c r="H1497" s="6" t="s">
        <v>359</v>
      </c>
      <c r="I1497" s="6" t="s">
        <v>360</v>
      </c>
      <c r="J1497" s="6" t="s">
        <v>361</v>
      </c>
      <c r="K1497" s="6" t="s">
        <v>362</v>
      </c>
      <c r="L1497" s="6" t="s">
        <v>363</v>
      </c>
      <c r="M1497" s="6" t="s">
        <v>364</v>
      </c>
      <c r="N1497" s="6" t="s">
        <v>365</v>
      </c>
      <c r="P1497" s="6" t="s">
        <v>445</v>
      </c>
      <c r="Q1497" s="6" t="s">
        <v>446</v>
      </c>
      <c r="R1497" s="6" t="s">
        <v>447</v>
      </c>
      <c r="S1497" s="6" t="s">
        <v>448</v>
      </c>
    </row>
    <row r="1498" customFormat="false" ht="15" hidden="false" customHeight="false" outlineLevel="0" collapsed="false">
      <c r="A1498" s="9" t="s">
        <v>568</v>
      </c>
      <c r="B1498" s="36" t="s">
        <v>125</v>
      </c>
      <c r="C1498" s="55" t="n">
        <f aca="false">C1476-C1496</f>
        <v>-126158.214285714</v>
      </c>
      <c r="D1498" s="55" t="n">
        <f aca="false">D1476-D1496</f>
        <v>-95417.8692871982</v>
      </c>
      <c r="E1498" s="55" t="n">
        <f aca="false">E1476-E1496</f>
        <v>-107198.832424518</v>
      </c>
      <c r="F1498" s="55" t="n">
        <f aca="false">F1476-F1496</f>
        <v>-150643.66273512</v>
      </c>
      <c r="G1498" s="55" t="n">
        <f aca="false">G1476-G1496</f>
        <v>-57984.3449439893</v>
      </c>
      <c r="H1498" s="55" t="n">
        <f aca="false">H1476-H1496</f>
        <v>-95179.0854776596</v>
      </c>
      <c r="I1498" s="55" t="n">
        <f aca="false">I1476-I1496</f>
        <v>-52778.9153202264</v>
      </c>
      <c r="J1498" s="55" t="n">
        <f aca="false">J1476-J1496</f>
        <v>-46227.3141075807</v>
      </c>
      <c r="K1498" s="55" t="n">
        <f aca="false">K1476-K1496</f>
        <v>-24083.1993346635</v>
      </c>
      <c r="L1498" s="55" t="n">
        <f aca="false">L1476-L1496</f>
        <v>8105.39904506147</v>
      </c>
      <c r="M1498" s="55" t="n">
        <f aca="false">M1476-M1496</f>
        <v>41461.0573042412</v>
      </c>
      <c r="N1498" s="55" t="n">
        <f aca="false">N1476-N1496</f>
        <v>76062.7120013943</v>
      </c>
      <c r="P1498" s="55" t="n">
        <f aca="false">SUM(C1498:F1498)</f>
        <v>-479418.57873255</v>
      </c>
      <c r="Q1498" s="55" t="n">
        <f aca="false">SUM(G1498:J1498)</f>
        <v>-252169.659849456</v>
      </c>
      <c r="R1498" s="55" t="n">
        <f aca="false">SUM(K1498:N1498)</f>
        <v>101545.969016033</v>
      </c>
      <c r="S1498" s="56" t="n">
        <f aca="false">SUM(P1498:R1498)</f>
        <v>-630042.269565973</v>
      </c>
    </row>
    <row r="1499" customFormat="false" ht="15" hidden="false" customHeight="false" outlineLevel="0" collapsed="false">
      <c r="A1499" s="9" t="s">
        <v>569</v>
      </c>
      <c r="B1499" s="36" t="s">
        <v>125</v>
      </c>
      <c r="C1499" s="55" t="n">
        <f aca="false">0+C1498</f>
        <v>-126158.214285714</v>
      </c>
      <c r="D1499" s="55" t="n">
        <f aca="false">C1499+D1498</f>
        <v>-221576.083572913</v>
      </c>
      <c r="E1499" s="55" t="n">
        <f aca="false">D1499+E1498</f>
        <v>-328774.915997431</v>
      </c>
      <c r="F1499" s="55" t="n">
        <f aca="false">E1499+F1498</f>
        <v>-479418.57873255</v>
      </c>
      <c r="G1499" s="55" t="n">
        <f aca="false">F1499+G1498</f>
        <v>-537402.92367654</v>
      </c>
      <c r="H1499" s="55" t="n">
        <f aca="false">G1499+H1498</f>
        <v>-632582.009154199</v>
      </c>
      <c r="I1499" s="55" t="n">
        <f aca="false">H1499+I1498</f>
        <v>-685360.924474426</v>
      </c>
      <c r="J1499" s="55" t="n">
        <f aca="false">I1499+J1498</f>
        <v>-731588.238582006</v>
      </c>
      <c r="K1499" s="55" t="n">
        <f aca="false">J1499+K1498</f>
        <v>-755671.43791667</v>
      </c>
      <c r="L1499" s="55" t="n">
        <f aca="false">K1499+L1498</f>
        <v>-747566.038871608</v>
      </c>
      <c r="M1499" s="55" t="n">
        <f aca="false">L1499+M1498</f>
        <v>-706104.981567367</v>
      </c>
      <c r="N1499" s="55" t="n">
        <f aca="false">M1499+N1498</f>
        <v>-630042.269565973</v>
      </c>
      <c r="P1499" s="55" t="n">
        <f aca="false">F1499</f>
        <v>-479418.57873255</v>
      </c>
      <c r="Q1499" s="55" t="n">
        <f aca="false">J1499</f>
        <v>-731588.238582006</v>
      </c>
      <c r="R1499" s="55" t="n">
        <f aca="false">N1499</f>
        <v>-630042.269565973</v>
      </c>
      <c r="S1499" s="56" t="n">
        <f aca="false">R1499</f>
        <v>-630042.269565973</v>
      </c>
    </row>
    <row r="1500" customFormat="false" ht="15" hidden="false" customHeight="false" outlineLevel="0" collapsed="false">
      <c r="A1500" s="4" t="s">
        <v>570</v>
      </c>
      <c r="B1500" s="36" t="s">
        <v>107</v>
      </c>
      <c r="C1500" s="57" t="n">
        <f aca="false">1/(1+Assumptions!$F$87)^(C1419/4)</f>
        <v>0.972065420906982</v>
      </c>
      <c r="D1500" s="57" t="n">
        <f aca="false">1/(1+Assumptions!$F$87)^(D1419/4)</f>
        <v>0.944911182523068</v>
      </c>
      <c r="E1500" s="57" t="n">
        <f aca="false">1/(1+Assumptions!$F$87)^(E1419/4)</f>
        <v>0.918515486359</v>
      </c>
      <c r="F1500" s="57" t="n">
        <f aca="false">1/(1+Assumptions!$F$87)^(F1419/4)</f>
        <v>0.892857142857143</v>
      </c>
      <c r="G1500" s="57" t="n">
        <f aca="false">1/(1+Assumptions!$F$87)^(G1419/4)</f>
        <v>0.867915554381234</v>
      </c>
      <c r="H1500" s="57" t="n">
        <f aca="false">1/(1+Assumptions!$F$87)^(H1419/4)</f>
        <v>0.843670698681311</v>
      </c>
      <c r="I1500" s="57" t="n">
        <f aca="false">1/(1+Assumptions!$F$87)^(I1419/4)</f>
        <v>0.820103112820536</v>
      </c>
      <c r="J1500" s="57" t="n">
        <f aca="false">1/(1+Assumptions!$F$87)^(J1419/4)</f>
        <v>0.79719387755102</v>
      </c>
      <c r="K1500" s="57" t="n">
        <f aca="false">1/(1+Assumptions!$F$87)^(K1419/4)</f>
        <v>0.774924602126102</v>
      </c>
      <c r="L1500" s="57" t="n">
        <f aca="false">1/(1+Assumptions!$F$87)^(L1419/4)</f>
        <v>0.753277409536885</v>
      </c>
      <c r="M1500" s="57" t="n">
        <f aca="false">1/(1+Assumptions!$F$87)^(M1419/4)</f>
        <v>0.732234922161193</v>
      </c>
      <c r="N1500" s="57" t="n">
        <f aca="false">1/(1+Assumptions!$F$87)^(N1419/4)</f>
        <v>0.711780247813411</v>
      </c>
      <c r="P1500" s="58"/>
      <c r="Q1500" s="58"/>
      <c r="R1500" s="58"/>
      <c r="S1500" s="59"/>
    </row>
    <row r="1501" customFormat="false" ht="15" hidden="false" customHeight="false" outlineLevel="0" collapsed="false">
      <c r="A1501" s="4" t="s">
        <v>571</v>
      </c>
      <c r="B1501" s="36" t="s">
        <v>125</v>
      </c>
      <c r="C1501" s="54" t="n">
        <f aca="false">(C1476*(1-Assumptions!$F$88)-C1496)*C1500</f>
        <v>-122634.037670516</v>
      </c>
      <c r="D1501" s="54" t="n">
        <f aca="false">(D1476*(1-Assumptions!$F$88)-D1496)*D1500</f>
        <v>-90311.2019247753</v>
      </c>
      <c r="E1501" s="54" t="n">
        <f aca="false">(E1476*(1-Assumptions!$F$88)-E1496)*E1500</f>
        <v>-99134.2035641298</v>
      </c>
      <c r="F1501" s="54" t="n">
        <f aca="false">(F1476*(1-Assumptions!$F$88)-F1496)*F1500</f>
        <v>-136035.747645519</v>
      </c>
      <c r="G1501" s="54" t="n">
        <f aca="false">(G1476*(1-Assumptions!$F$88)-G1496)*G1500</f>
        <v>-52953.756075171</v>
      </c>
      <c r="H1501" s="54" t="n">
        <f aca="false">(H1476*(1-Assumptions!$F$88)-H1496)*H1500</f>
        <v>-84258.7544618654</v>
      </c>
      <c r="I1501" s="54" t="n">
        <f aca="false">(I1476*(1-Assumptions!$F$88)-I1496)*I1500</f>
        <v>-48913.5289546716</v>
      </c>
      <c r="J1501" s="54" t="n">
        <f aca="false">(J1476*(1-Assumptions!$F$88)-J1496)*J1500</f>
        <v>-44616.3347195771</v>
      </c>
      <c r="K1501" s="54" t="n">
        <f aca="false">(K1476*(1-Assumptions!$F$88)-K1496)*K1500</f>
        <v>-28863.1838537727</v>
      </c>
      <c r="L1501" s="54" t="n">
        <f aca="false">(L1476*(1-Assumptions!$F$88)-L1496)*L1500</f>
        <v>-6549.39884031057</v>
      </c>
      <c r="M1501" s="54" t="n">
        <f aca="false">(M1476*(1-Assumptions!$F$88)-M1496)*M1500</f>
        <v>15321.1646299638</v>
      </c>
      <c r="N1501" s="54" t="n">
        <f aca="false">(N1476*(1-Assumptions!$F$88)-N1496)*N1500</f>
        <v>36784.1552653286</v>
      </c>
      <c r="P1501" s="55" t="n">
        <f aca="false">SUM(C1501:F1501)</f>
        <v>-448115.19080494</v>
      </c>
      <c r="Q1501" s="55" t="n">
        <f aca="false">SUM(G1501:J1501)</f>
        <v>-230742.374211285</v>
      </c>
      <c r="R1501" s="55" t="n">
        <f aca="false">SUM(K1501:N1501)</f>
        <v>16692.7372012092</v>
      </c>
      <c r="S1501" s="56" t="n">
        <f aca="false">SUM(P1501:R1501)</f>
        <v>-662164.827815016</v>
      </c>
    </row>
    <row r="1502" customFormat="false" ht="15" hidden="false" customHeight="false" outlineLevel="0" collapsed="false">
      <c r="A1502" s="4" t="s">
        <v>572</v>
      </c>
      <c r="B1502" s="36" t="s">
        <v>125</v>
      </c>
      <c r="C1502" s="54" t="n">
        <f aca="false">(C1496-C1495)*12/(Assumptions!$F$89*Assumptions!$F$76)*Assumptions!$F$90</f>
        <v>78848.8839285714</v>
      </c>
      <c r="D1502" s="54" t="n">
        <f aca="false">(D1496-D1495)*12/(Assumptions!$F$89*Assumptions!$F$76)*Assumptions!$F$90</f>
        <v>60050.9798584149</v>
      </c>
      <c r="E1502" s="54" t="n">
        <f aca="false">(E1496-E1495)*12/(Assumptions!$F$89*Assumptions!$F$76)*Assumptions!$F$90</f>
        <v>69864.2914514204</v>
      </c>
      <c r="F1502" s="54" t="n">
        <f aca="false">(F1496-F1495)*12/(Assumptions!$F$89*Assumptions!$F$76)*Assumptions!$F$90</f>
        <v>101841.193567067</v>
      </c>
      <c r="G1502" s="54" t="n">
        <f aca="false">(G1496-G1495)*12/(Assumptions!$F$89*Assumptions!$F$76)*Assumptions!$F$90</f>
        <v>50411.7730426775</v>
      </c>
      <c r="H1502" s="54" t="n">
        <f aca="false">(H1496-H1495)*12/(Assumptions!$F$89*Assumptions!$F$76)*Assumptions!$F$90</f>
        <v>81973.601117337</v>
      </c>
      <c r="I1502" s="54" t="n">
        <f aca="false">(I1496-I1495)*12/(Assumptions!$F$89*Assumptions!$F$76)*Assumptions!$F$90</f>
        <v>66172.8208007887</v>
      </c>
      <c r="J1502" s="54" t="n">
        <f aca="false">(J1496-J1495)*12/(Assumptions!$F$89*Assumptions!$F$76)*Assumptions!$F$90</f>
        <v>76388.1384925614</v>
      </c>
      <c r="K1502" s="54" t="n">
        <f aca="false">(K1496-K1495)*12/(Assumptions!$F$89*Assumptions!$F$76)*Assumptions!$F$90</f>
        <v>80335.3623390978</v>
      </c>
      <c r="L1502" s="54" t="n">
        <f aca="false">(L1496-L1495)*12/(Assumptions!$F$89*Assumptions!$F$76)*Assumptions!$F$90</f>
        <v>79475.7062994205</v>
      </c>
      <c r="M1502" s="54" t="n">
        <f aca="false">(M1496-M1495)*12/(Assumptions!$F$89*Assumptions!$F$76)*Assumptions!$F$90</f>
        <v>78650.2400758494</v>
      </c>
      <c r="N1502" s="54" t="n">
        <f aca="false">(N1496-N1495)*12/(Assumptions!$F$89*Assumptions!$F$76)*Assumptions!$F$90</f>
        <v>77857.6033203454</v>
      </c>
      <c r="P1502" s="55" t="n">
        <f aca="false">SUM(C1502:F1502)</f>
        <v>310605.348805474</v>
      </c>
      <c r="Q1502" s="55" t="n">
        <f aca="false">SUM(G1502:J1502)</f>
        <v>274946.333453365</v>
      </c>
      <c r="R1502" s="55" t="n">
        <f aca="false">SUM(K1502:N1502)</f>
        <v>316318.912034713</v>
      </c>
      <c r="S1502" s="56" t="n">
        <f aca="false">SUM(P1502:R1502)</f>
        <v>901870.594293551</v>
      </c>
    </row>
    <row r="1503" customFormat="false" ht="15" hidden="false" customHeight="false" outlineLevel="0" collapsed="false">
      <c r="A1503" s="4" t="s">
        <v>573</v>
      </c>
      <c r="B1503" s="36" t="s">
        <v>125</v>
      </c>
      <c r="C1503" s="54" t="n">
        <f aca="false">0*Assumptions!$F$92^(1/4)+C1502</f>
        <v>78848.8839285714</v>
      </c>
      <c r="D1503" s="54" t="n">
        <f aca="false">C1503*Assumptions!$F$92^(1/4)+D1502</f>
        <v>139096.251071145</v>
      </c>
      <c r="E1503" s="54" t="n">
        <f aca="false">D1503*Assumptions!$F$92^(1/4)+E1502</f>
        <v>209306.986677807</v>
      </c>
      <c r="F1503" s="54" t="n">
        <f aca="false">E1503*Assumptions!$F$92^(1/4)+F1502</f>
        <v>311669.496826936</v>
      </c>
      <c r="G1503" s="54" t="n">
        <f aca="false">F1503*Assumptions!$F$92^(1/4)+G1502</f>
        <v>362857.538638265</v>
      </c>
      <c r="H1503" s="54" t="n">
        <f aca="false">G1503*Assumptions!$F$92^(1/4)+H1502</f>
        <v>445734.901521134</v>
      </c>
      <c r="I1503" s="54" t="n">
        <f aca="false">H1503*Assumptions!$F$92^(1/4)+I1502</f>
        <v>513017.905020812</v>
      </c>
      <c r="J1503" s="54" t="n">
        <f aca="false">I1503*Assumptions!$F$92^(1/4)+J1502</f>
        <v>590683.806597285</v>
      </c>
      <c r="K1503" s="54" t="n">
        <f aca="false">J1503*Assumptions!$F$92^(1/4)+K1502</f>
        <v>672490.372874779</v>
      </c>
      <c r="L1503" s="54" t="n">
        <f aca="false">K1503*Assumptions!$F$92^(1/4)+L1502</f>
        <v>753641.037034999</v>
      </c>
      <c r="M1503" s="54" t="n">
        <f aca="false">L1503*Assumptions!$F$92^(1/4)+M1502</f>
        <v>834168.355252215</v>
      </c>
      <c r="N1503" s="54" t="n">
        <f aca="false">M1503*Assumptions!$F$92^(1/4)+N1502</f>
        <v>914103.604439648</v>
      </c>
      <c r="P1503" s="55" t="n">
        <f aca="false">F1503</f>
        <v>311669.496826936</v>
      </c>
      <c r="Q1503" s="55" t="n">
        <f aca="false">J1503</f>
        <v>590683.806597285</v>
      </c>
      <c r="R1503" s="55" t="n">
        <f aca="false">N1503</f>
        <v>914103.604439648</v>
      </c>
      <c r="S1503" s="56" t="n">
        <f aca="false">R1503</f>
        <v>914103.604439648</v>
      </c>
    </row>
    <row r="1504" customFormat="false" ht="15" hidden="false" customHeight="false" outlineLevel="0" collapsed="false">
      <c r="A1504" s="4" t="s">
        <v>574</v>
      </c>
      <c r="B1504" s="36" t="s">
        <v>125</v>
      </c>
      <c r="C1504" s="54" t="n">
        <f aca="false">(0+C1503)/8*Assumptions!$F$76-(C1496-C1495)-C1503*Assumptions!$F$93/4</f>
        <v>-120047.42578125</v>
      </c>
      <c r="D1504" s="54" t="n">
        <f aca="false">(C1503+D1503)/8*Assumptions!$F$76-(D1496-D1495)-D1503*Assumptions!$F$93/4</f>
        <v>-78205.2087618787</v>
      </c>
      <c r="E1504" s="54" t="n">
        <f aca="false">(D1503+E1503)/8*Assumptions!$F$76-(E1496-E1495)-E1503*Assumptions!$F$93/4</f>
        <v>-83042.9122583395</v>
      </c>
      <c r="F1504" s="54" t="n">
        <f aca="false">(E1503+F1503)/8*Assumptions!$F$76-(F1496-F1495)-F1503*Assumptions!$F$93/4</f>
        <v>-119953.894902217</v>
      </c>
      <c r="G1504" s="54" t="n">
        <f aca="false">(F1503+G1503)/8*Assumptions!$F$76-(G1496-G1495)-G1503*Assumptions!$F$93/4</f>
        <v>-24487.1229093942</v>
      </c>
      <c r="H1504" s="54" t="n">
        <f aca="false">(G1503+H1503)/8*Assumptions!$F$76-(H1496-H1495)-H1503*Assumptions!$F$93/4</f>
        <v>-63956.1284424075</v>
      </c>
      <c r="I1504" s="54" t="n">
        <f aca="false">(H1503+I1503)/8*Assumptions!$F$76-(I1496-I1495)-I1503*Assumptions!$F$93/4</f>
        <v>-26001.484505247</v>
      </c>
      <c r="J1504" s="54" t="n">
        <f aca="false">(I1503+J1503)/8*Assumptions!$F$76-(J1496-J1495)-J1503*Assumptions!$F$93/4</f>
        <v>-30271.4151249355</v>
      </c>
      <c r="K1504" s="54" t="n">
        <f aca="false">(J1503+K1503)/8*Assumptions!$F$76-(K1496-K1495)-K1503*Assumptions!$F$93/4</f>
        <v>-23257.0332510055</v>
      </c>
      <c r="L1504" s="54" t="n">
        <f aca="false">(K1503+L1503)/8*Assumptions!$F$76-(L1496-L1495)-L1503*Assumptions!$F$93/4</f>
        <v>-8229.81615013022</v>
      </c>
      <c r="M1504" s="54" t="n">
        <f aca="false">(L1503+M1503)/8*Assumptions!$F$76-(M1496-M1495)-M1503*Assumptions!$F$93/4</f>
        <v>6635.35674383761</v>
      </c>
      <c r="N1504" s="54" t="n">
        <f aca="false">(M1503+N1503)/8*Assumptions!$F$76-(N1496-N1495)-N1503*Assumptions!$F$93/4</f>
        <v>21346.0160042195</v>
      </c>
      <c r="P1504" s="55" t="n">
        <f aca="false">SUM(C1504:F1504)</f>
        <v>-401249.441703685</v>
      </c>
      <c r="Q1504" s="55" t="n">
        <f aca="false">SUM(G1504:J1504)</f>
        <v>-144716.150981984</v>
      </c>
      <c r="R1504" s="55" t="n">
        <f aca="false">SUM(K1504:N1504)</f>
        <v>-3505.47665307864</v>
      </c>
      <c r="S1504" s="56" t="n">
        <f aca="false">SUM(P1504:R1504)</f>
        <v>-549471.069338748</v>
      </c>
    </row>
    <row r="1505" customFormat="false" ht="15" hidden="false" customHeight="false" outlineLevel="0" collapsed="false">
      <c r="A1505" s="4" t="s">
        <v>575</v>
      </c>
      <c r="B1505" s="36" t="s">
        <v>125</v>
      </c>
      <c r="C1505" s="54" t="n">
        <f aca="false">C1504*C1500</f>
        <v>-116693.95147085</v>
      </c>
      <c r="D1505" s="54" t="n">
        <f aca="false">D1504*D1500</f>
        <v>-73896.9762906502</v>
      </c>
      <c r="E1505" s="54" t="n">
        <f aca="false">E1504*E1500</f>
        <v>-76276.2009416365</v>
      </c>
      <c r="F1505" s="54" t="n">
        <f aca="false">F1504*F1500</f>
        <v>-107101.691876979</v>
      </c>
      <c r="G1505" s="54" t="n">
        <f aca="false">G1504*G1500</f>
        <v>-21252.7548551083</v>
      </c>
      <c r="H1505" s="54" t="n">
        <f aca="false">H1504*H1500</f>
        <v>-53957.9115679576</v>
      </c>
      <c r="I1505" s="54" t="n">
        <f aca="false">I1504*I1500</f>
        <v>-21323.898380708</v>
      </c>
      <c r="J1505" s="54" t="n">
        <f aca="false">J1504*J1500</f>
        <v>-24132.186802404</v>
      </c>
      <c r="K1505" s="54" t="n">
        <f aca="false">K1504*K1500</f>
        <v>-18022.447238669</v>
      </c>
      <c r="L1505" s="54" t="n">
        <f aca="false">L1504*L1500</f>
        <v>-6199.33459053491</v>
      </c>
      <c r="M1505" s="54" t="n">
        <f aca="false">M1504*M1500</f>
        <v>4858.63992883568</v>
      </c>
      <c r="N1505" s="54" t="n">
        <f aca="false">N1504*N1500</f>
        <v>15193.6725613124</v>
      </c>
      <c r="P1505" s="55" t="n">
        <f aca="false">SUM(C1505:F1505)</f>
        <v>-373968.820580116</v>
      </c>
      <c r="Q1505" s="55" t="n">
        <f aca="false">SUM(G1505:J1505)</f>
        <v>-120666.751606178</v>
      </c>
      <c r="R1505" s="55" t="n">
        <f aca="false">SUM(K1505:N1505)</f>
        <v>-4169.46933905582</v>
      </c>
      <c r="S1505" s="56" t="n">
        <f aca="false">SUM(P1505:R1505)</f>
        <v>-498805.04152535</v>
      </c>
    </row>
    <row r="1506" customFormat="false" ht="15" hidden="false" customHeight="false" outlineLevel="0" collapsed="false">
      <c r="A1506" s="4" t="s">
        <v>576</v>
      </c>
      <c r="B1506" s="36"/>
      <c r="C1506" s="37" t="n">
        <f aca="false">IFERROR((S1461*$C$1410*Assumptions!$F$59+S1462*$C$1411*Assumptions!$F$60+S1463*$C$1412*Assumptions!$F$61)/(S1461*$C$1410+S1462*$C$1411+S1463*$C$1412),0.9)</f>
        <v>0.931581235552484</v>
      </c>
    </row>
    <row r="1507" customFormat="false" ht="15" hidden="false" customHeight="false" outlineLevel="0" collapsed="false">
      <c r="A1507" s="4" t="s">
        <v>577</v>
      </c>
      <c r="B1507" s="36"/>
      <c r="C1507" s="37" t="n">
        <f aca="false">IFERROR(N1495*4/N1473,0)</f>
        <v>0.118111789079643</v>
      </c>
    </row>
    <row r="1508" customFormat="false" ht="15" hidden="false" customHeight="false" outlineLevel="0" collapsed="false">
      <c r="A1508" s="4" t="s">
        <v>578</v>
      </c>
      <c r="B1508" s="36"/>
      <c r="C1508" s="60" t="n">
        <f aca="false">$C$1506/(1+Assumptions!$F$87)</f>
        <v>0.831768960314718</v>
      </c>
    </row>
    <row r="1509" customFormat="false" ht="15" hidden="false" customHeight="false" outlineLevel="0" collapsed="false">
      <c r="A1509" s="4" t="s">
        <v>579</v>
      </c>
      <c r="B1509" s="36"/>
      <c r="C1509" s="60" t="n">
        <f aca="false">Assumptions!$F$91/(1+Assumptions!$F$87)</f>
        <v>0.803571428571429</v>
      </c>
    </row>
    <row r="1510" customFormat="false" ht="15" hidden="false" customHeight="false" outlineLevel="0" collapsed="false">
      <c r="A1510" s="35" t="s">
        <v>580</v>
      </c>
      <c r="B1510" s="35" t="s">
        <v>444</v>
      </c>
      <c r="C1510" s="6" t="s">
        <v>354</v>
      </c>
      <c r="D1510" s="6" t="s">
        <v>355</v>
      </c>
      <c r="E1510" s="6" t="s">
        <v>356</v>
      </c>
      <c r="F1510" s="6" t="s">
        <v>357</v>
      </c>
      <c r="G1510" s="6" t="s">
        <v>358</v>
      </c>
      <c r="H1510" s="6" t="s">
        <v>359</v>
      </c>
      <c r="I1510" s="6" t="s">
        <v>360</v>
      </c>
      <c r="J1510" s="6" t="s">
        <v>361</v>
      </c>
      <c r="K1510" s="6" t="s">
        <v>362</v>
      </c>
      <c r="L1510" s="6" t="s">
        <v>363</v>
      </c>
      <c r="M1510" s="6" t="s">
        <v>364</v>
      </c>
      <c r="N1510" s="6" t="s">
        <v>365</v>
      </c>
      <c r="P1510" s="6" t="s">
        <v>445</v>
      </c>
      <c r="Q1510" s="6" t="s">
        <v>446</v>
      </c>
      <c r="R1510" s="6" t="s">
        <v>447</v>
      </c>
      <c r="S1510" s="6" t="s">
        <v>448</v>
      </c>
    </row>
    <row r="1511" customFormat="false" ht="15" hidden="false" customHeight="false" outlineLevel="0" collapsed="false">
      <c r="A1511" s="9" t="s">
        <v>581</v>
      </c>
      <c r="C1511" s="61" t="n">
        <f aca="false">N1473</f>
        <v>1463066.34250671</v>
      </c>
      <c r="D1511" s="61"/>
    </row>
    <row r="1512" customFormat="false" ht="15" hidden="false" customHeight="false" outlineLevel="0" collapsed="false">
      <c r="A1512" s="9" t="s">
        <v>582</v>
      </c>
      <c r="C1512" s="62" t="n">
        <f aca="false">N1469</f>
        <v>94.4603332816976</v>
      </c>
      <c r="D1512" s="62"/>
    </row>
    <row r="1513" customFormat="false" ht="15" hidden="false" customHeight="false" outlineLevel="0" collapsed="false">
      <c r="A1513" s="9" t="s">
        <v>583</v>
      </c>
      <c r="C1513" s="63" t="n">
        <f aca="false">S1464</f>
        <v>101.935580002381</v>
      </c>
      <c r="D1513" s="63"/>
    </row>
    <row r="1514" customFormat="false" ht="15" hidden="false" customHeight="false" outlineLevel="0" collapsed="false">
      <c r="A1514" s="9" t="s">
        <v>584</v>
      </c>
      <c r="C1514" s="61" t="n">
        <f aca="false">S1475</f>
        <v>1414072.30631553</v>
      </c>
      <c r="D1514" s="61"/>
    </row>
    <row r="1515" customFormat="false" ht="15" hidden="false" customHeight="false" outlineLevel="0" collapsed="false">
      <c r="A1515" s="9" t="s">
        <v>22</v>
      </c>
      <c r="C1515" s="61" t="n">
        <f aca="false">IFERROR(S1474/S1464,0)</f>
        <v>12341.8470873335</v>
      </c>
      <c r="D1515" s="61"/>
    </row>
    <row r="1516" customFormat="false" ht="15" hidden="false" customHeight="false" outlineLevel="0" collapsed="false">
      <c r="A1516" s="9" t="s">
        <v>585</v>
      </c>
      <c r="C1516" s="61" t="n">
        <f aca="false">IFERROR(S1492/S1464,0)</f>
        <v>10465.924593767</v>
      </c>
      <c r="D1516" s="61"/>
    </row>
    <row r="1517" customFormat="false" ht="23.85" hidden="false" customHeight="false" outlineLevel="0" collapsed="false">
      <c r="A1517" s="9" t="s">
        <v>586</v>
      </c>
      <c r="C1517" s="61" t="n">
        <f aca="false">IFERROR((S1486+S1488+S1489+S1490+S1491)/S1464,0)</f>
        <v>9595.92134551735</v>
      </c>
      <c r="D1517" s="61"/>
    </row>
    <row r="1518" customFormat="false" ht="15" hidden="false" customHeight="false" outlineLevel="0" collapsed="false">
      <c r="A1518" s="9" t="s">
        <v>587</v>
      </c>
      <c r="C1518" s="64" t="n">
        <f aca="false">IFERROR('Engine Runs'!$C$1516/('Engine Runs'!$C$1515*Assumptions!$F$76/12),0)</f>
        <v>14.1333850053777</v>
      </c>
      <c r="D1518" s="64"/>
    </row>
    <row r="1519" customFormat="false" ht="15" hidden="false" customHeight="false" outlineLevel="0" collapsed="false">
      <c r="A1519" s="9" t="s">
        <v>588</v>
      </c>
      <c r="C1519" s="64" t="n">
        <f aca="false">IFERROR((R1492/R1464)/((R1474/R1464)*Assumptions!$F$76/12),0)</f>
        <v>11.115367637766</v>
      </c>
      <c r="D1519" s="64"/>
    </row>
    <row r="1520" customFormat="false" ht="15" hidden="false" customHeight="false" outlineLevel="0" collapsed="false">
      <c r="A1520" s="9" t="s">
        <v>589</v>
      </c>
      <c r="C1520" s="61" t="n">
        <f aca="false">S1496</f>
        <v>1648174.33011316</v>
      </c>
      <c r="D1520" s="61"/>
    </row>
    <row r="1521" customFormat="false" ht="15" hidden="false" customHeight="false" outlineLevel="0" collapsed="false">
      <c r="A1521" s="9" t="s">
        <v>590</v>
      </c>
      <c r="C1521" s="61" t="n">
        <f aca="false">N1499</f>
        <v>-630042.269565973</v>
      </c>
      <c r="D1521" s="61"/>
    </row>
    <row r="1522" customFormat="false" ht="15" hidden="false" customHeight="false" outlineLevel="0" collapsed="false">
      <c r="A1522" s="9" t="s">
        <v>591</v>
      </c>
      <c r="C1522" s="61" t="n">
        <f aca="false">MIN($C$1499:$N$1499)</f>
        <v>-755671.43791667</v>
      </c>
      <c r="D1522" s="61"/>
    </row>
    <row r="1523" customFormat="false" ht="15" hidden="false" customHeight="false" outlineLevel="0" collapsed="false">
      <c r="A1523" s="9" t="s">
        <v>592</v>
      </c>
      <c r="C1523" s="61" t="n">
        <f aca="false">N1473*(Assumptions!$F$76-$C$1507)*$C$1506*(1-$C$1506^Assumptions!$F$85)/(1-$C$1506)</f>
        <v>3577594.15850276</v>
      </c>
      <c r="D1523" s="61"/>
    </row>
    <row r="1524" customFormat="false" ht="15" hidden="false" customHeight="false" outlineLevel="0" collapsed="false">
      <c r="A1524" s="9" t="s">
        <v>593</v>
      </c>
      <c r="C1524" s="61" t="n">
        <f aca="false">N1473*(Assumptions!$F$76-$C$1507)*(1-Assumptions!$F$88)/(1+Assumptions!$F$87)^2.5*$C$1508*(1-$C$1508^Assumptions!$F$85)/(1-$C$1508)</f>
        <v>1776577.25851313</v>
      </c>
      <c r="D1524" s="61"/>
    </row>
    <row r="1525" customFormat="false" ht="15" hidden="false" customHeight="false" outlineLevel="0" collapsed="false">
      <c r="A1525" s="9" t="s">
        <v>594</v>
      </c>
      <c r="C1525" s="61" t="n">
        <f aca="false">SUM($C$1501:$N$1501)+'Engine Runs'!$C$1524</f>
        <v>1114412.43069812</v>
      </c>
      <c r="D1525" s="61"/>
    </row>
    <row r="1526" customFormat="false" ht="15" hidden="false" customHeight="false" outlineLevel="0" collapsed="false">
      <c r="A1526" s="9" t="s">
        <v>595</v>
      </c>
      <c r="C1526" s="61" t="n">
        <f aca="false">SUM($C$1505:$N$1505)+N1503*(Assumptions!$F$76-Assumptions!$F$93)/(1+Assumptions!$F$87)^2.5*$C$1509*(1-$C$1509^Assumptions!$F$85)/(1-$C$1509)</f>
        <v>756148.160135243</v>
      </c>
      <c r="D1526" s="61"/>
    </row>
    <row r="1527" customFormat="false" ht="15" hidden="false" customHeight="false" outlineLevel="0" collapsed="false">
      <c r="A1527" s="9" t="s">
        <v>596</v>
      </c>
      <c r="C1527" s="61" t="n">
        <f aca="false">'Engine Runs'!$C$1525-'Engine Runs'!$C$1526</f>
        <v>358264.270562873</v>
      </c>
      <c r="D1527" s="61"/>
    </row>
    <row r="1528" customFormat="false" ht="15" hidden="false" customHeight="false" outlineLevel="0" collapsed="false">
      <c r="A1528" s="9" t="s">
        <v>597</v>
      </c>
      <c r="C1528" s="61" t="n">
        <f aca="false">S1460</f>
        <v>0</v>
      </c>
      <c r="D1528" s="61"/>
    </row>
    <row r="1529" customFormat="false" ht="15" hidden="false" customHeight="false" outlineLevel="0" collapsed="false">
      <c r="A1529" s="9" t="s">
        <v>598</v>
      </c>
      <c r="C1529" s="63" t="n">
        <f aca="false">P1444</f>
        <v>56.8924129251711</v>
      </c>
      <c r="D1529" s="63"/>
    </row>
    <row r="1530" customFormat="false" ht="15" hidden="false" customHeight="false" outlineLevel="0" collapsed="false">
      <c r="A1530" s="9" t="s">
        <v>599</v>
      </c>
      <c r="C1530" s="63" t="n">
        <f aca="false">P1464</f>
        <v>10.6220541226321</v>
      </c>
      <c r="D1530" s="63"/>
    </row>
    <row r="1531" customFormat="false" ht="15" hidden="false" customHeight="false" outlineLevel="0" collapsed="false">
      <c r="A1531" s="9" t="s">
        <v>600</v>
      </c>
      <c r="C1531" s="63" t="n">
        <f aca="false">P1440</f>
        <v>48</v>
      </c>
      <c r="D1531" s="63"/>
    </row>
    <row r="1532" customFormat="false" ht="15" hidden="false" customHeight="false" outlineLevel="0" collapsed="false">
      <c r="A1532" s="9" t="s">
        <v>601</v>
      </c>
      <c r="C1532" s="61" t="n">
        <f aca="false">IFERROR(P1474/P1464,0)</f>
        <v>11720.2730068752</v>
      </c>
      <c r="D1532" s="61"/>
    </row>
    <row r="1535" customFormat="false" ht="15" hidden="false" customHeight="true" outlineLevel="0" collapsed="false">
      <c r="A1535" s="77" t="s">
        <v>785</v>
      </c>
      <c r="B1535" s="77"/>
      <c r="C1535" s="77"/>
      <c r="D1535" s="77"/>
      <c r="E1535" s="77"/>
      <c r="F1535" s="77"/>
      <c r="G1535" s="77"/>
      <c r="H1535" s="77"/>
      <c r="I1535" s="77"/>
      <c r="J1535" s="77"/>
      <c r="K1535" s="77"/>
      <c r="L1535" s="77"/>
      <c r="M1535" s="77"/>
      <c r="N1535" s="77"/>
    </row>
    <row r="1536" customFormat="false" ht="23.85" hidden="false" customHeight="false" outlineLevel="0" collapsed="false">
      <c r="A1536" s="35" t="s">
        <v>786</v>
      </c>
      <c r="B1536" s="35" t="s">
        <v>444</v>
      </c>
      <c r="C1536" s="6" t="s">
        <v>354</v>
      </c>
      <c r="D1536" s="6" t="s">
        <v>355</v>
      </c>
      <c r="E1536" s="6" t="s">
        <v>356</v>
      </c>
      <c r="F1536" s="6" t="s">
        <v>357</v>
      </c>
      <c r="G1536" s="6" t="s">
        <v>358</v>
      </c>
      <c r="H1536" s="6" t="s">
        <v>359</v>
      </c>
      <c r="I1536" s="6" t="s">
        <v>360</v>
      </c>
      <c r="J1536" s="6" t="s">
        <v>361</v>
      </c>
      <c r="K1536" s="6" t="s">
        <v>362</v>
      </c>
      <c r="L1536" s="6" t="s">
        <v>363</v>
      </c>
      <c r="M1536" s="6" t="s">
        <v>364</v>
      </c>
      <c r="N1536" s="6" t="s">
        <v>365</v>
      </c>
      <c r="P1536" s="6" t="s">
        <v>445</v>
      </c>
      <c r="Q1536" s="6" t="s">
        <v>446</v>
      </c>
      <c r="R1536" s="6" t="s">
        <v>447</v>
      </c>
      <c r="S1536" s="6" t="s">
        <v>448</v>
      </c>
    </row>
    <row r="1537" customFormat="false" ht="15" hidden="false" customHeight="false" outlineLevel="0" collapsed="false">
      <c r="A1537" s="4" t="s">
        <v>449</v>
      </c>
      <c r="B1537" s="36" t="s">
        <v>450</v>
      </c>
      <c r="C1537" s="34" t="n">
        <f aca="false">'Market Sizing'!$C$20*Assumptions!$G$10*Assumptions!$G$11*(1-Assumptions!$G$12)</f>
        <v>2743.814304</v>
      </c>
    </row>
    <row r="1538" customFormat="false" ht="15" hidden="false" customHeight="false" outlineLevel="0" collapsed="false">
      <c r="A1538" s="4" t="s">
        <v>451</v>
      </c>
      <c r="B1538" s="36" t="s">
        <v>450</v>
      </c>
      <c r="C1538" s="34" t="n">
        <f aca="false">'Market Sizing'!$D$20*Assumptions!$G$10*Assumptions!$G$11*(1-Assumptions!$G$12)</f>
        <v>560.531664</v>
      </c>
    </row>
    <row r="1539" customFormat="false" ht="15" hidden="false" customHeight="false" outlineLevel="0" collapsed="false">
      <c r="A1539" s="4" t="s">
        <v>452</v>
      </c>
      <c r="B1539" s="36" t="s">
        <v>450</v>
      </c>
      <c r="C1539" s="34" t="n">
        <f aca="false">'Market Sizing'!$E$20*Assumptions!$G$10*Assumptions!$G$11*(1-Assumptions!$G$12)</f>
        <v>130.340826</v>
      </c>
    </row>
    <row r="1540" customFormat="false" ht="15" hidden="false" customHeight="false" outlineLevel="0" collapsed="false">
      <c r="A1540" s="4" t="s">
        <v>453</v>
      </c>
      <c r="B1540" s="36"/>
      <c r="C1540" s="34" t="n">
        <f aca="false">$C$1537+$C$1538+$C$1539</f>
        <v>3434.686794</v>
      </c>
    </row>
    <row r="1541" customFormat="false" ht="15" hidden="false" customHeight="false" outlineLevel="0" collapsed="false">
      <c r="A1541" s="4" t="s">
        <v>454</v>
      </c>
      <c r="B1541" s="36" t="s">
        <v>450</v>
      </c>
      <c r="C1541" s="34" t="n">
        <f aca="false">'Market Sizing'!$C$21*Assumptions!$G$10*Assumptions!$G$11*(1-Assumptions!$G$12)</f>
        <v>2711.4875865</v>
      </c>
    </row>
    <row r="1542" customFormat="false" ht="15" hidden="false" customHeight="false" outlineLevel="0" collapsed="false">
      <c r="A1542" s="4" t="s">
        <v>455</v>
      </c>
      <c r="B1542" s="36" t="s">
        <v>450</v>
      </c>
      <c r="C1542" s="34" t="n">
        <f aca="false">'Market Sizing'!$D$21*Assumptions!$G$10*Assumptions!$G$11*(1-Assumptions!$G$12)</f>
        <v>558.515727</v>
      </c>
    </row>
    <row r="1543" customFormat="false" ht="15" hidden="false" customHeight="false" outlineLevel="0" collapsed="false">
      <c r="A1543" s="4" t="s">
        <v>456</v>
      </c>
      <c r="B1543" s="36" t="s">
        <v>450</v>
      </c>
      <c r="C1543" s="34" t="n">
        <f aca="false">'Market Sizing'!$E$21*Assumptions!$G$10*Assumptions!$G$11*(1-Assumptions!$G$12)</f>
        <v>114.174522</v>
      </c>
    </row>
    <row r="1544" customFormat="false" ht="15" hidden="false" customHeight="false" outlineLevel="0" collapsed="false">
      <c r="A1544" s="4" t="s">
        <v>457</v>
      </c>
      <c r="B1544" s="36"/>
      <c r="C1544" s="34" t="n">
        <f aca="false">$C$1541+$C$1542+$C$1543</f>
        <v>3384.1778355</v>
      </c>
    </row>
    <row r="1545" customFormat="false" ht="15" hidden="false" customHeight="false" outlineLevel="0" collapsed="false">
      <c r="A1545" s="4" t="s">
        <v>458</v>
      </c>
      <c r="B1545" s="36" t="s">
        <v>450</v>
      </c>
      <c r="C1545" s="34" t="n">
        <f aca="false">'Market Sizing'!$C$22*Assumptions!$G$10*Assumptions!$G$11*(1-Assumptions!$G$12)</f>
        <v>2796.4244385</v>
      </c>
    </row>
    <row r="1546" customFormat="false" ht="15" hidden="false" customHeight="false" outlineLevel="0" collapsed="false">
      <c r="A1546" s="4" t="s">
        <v>459</v>
      </c>
      <c r="B1546" s="36" t="s">
        <v>450</v>
      </c>
      <c r="C1546" s="34" t="n">
        <f aca="false">'Market Sizing'!$D$22*Assumptions!$G$10*Assumptions!$G$11*(1-Assumptions!$G$12)</f>
        <v>714.600117</v>
      </c>
    </row>
    <row r="1547" customFormat="false" ht="15" hidden="false" customHeight="false" outlineLevel="0" collapsed="false">
      <c r="A1547" s="4" t="s">
        <v>460</v>
      </c>
      <c r="B1547" s="36" t="s">
        <v>450</v>
      </c>
      <c r="C1547" s="34" t="n">
        <f aca="false">'Market Sizing'!$E$22*Assumptions!$G$10*Assumptions!$G$11*(1-Assumptions!$G$12)</f>
        <v>150.548706</v>
      </c>
    </row>
    <row r="1548" customFormat="false" ht="15" hidden="false" customHeight="false" outlineLevel="0" collapsed="false">
      <c r="A1548" s="4" t="s">
        <v>461</v>
      </c>
      <c r="B1548" s="36"/>
      <c r="C1548" s="34" t="n">
        <f aca="false">$C$1545+$C$1546+$C$1547</f>
        <v>3661.5732615</v>
      </c>
    </row>
    <row r="1549" customFormat="false" ht="15" hidden="false" customHeight="false" outlineLevel="0" collapsed="false">
      <c r="A1549" s="4" t="s">
        <v>462</v>
      </c>
      <c r="B1549" s="36" t="s">
        <v>463</v>
      </c>
      <c r="C1549" s="33" t="n">
        <f aca="false">MAX((Assumptions!$G$51+Assumptions!$G$53)*12,(((('Market Sizing'!$E$28*Assumptions!$G$41*Assumptions!$G$42*Assumptions!$G$43)*Assumptions!$G$44)*Assumptions!$G$45*Assumptions!$G$46+('Market Sizing'!$E$28*Assumptions!$G$41*Assumptions!$G$42*Assumptions!$G$43)*Assumptions!$G$47+('Market Sizing'!$E$28*Assumptions!$G$41*Assumptions!$G$42*Assumptions!$G$43)*Assumptions!$G$48*Assumptions!$G$49)*(Assumptions!$G$51*12/Assumptions!$G$52)+((('Market Sizing'!$E$28*Assumptions!$G$41*Assumptions!$G$42*Assumptions!$G$43)*Assumptions!$G$44)*Assumptions!$G$45+('Market Sizing'!$E$28*Assumptions!$G$41*Assumptions!$G$42*Assumptions!$G$43)+('Market Sizing'!$E$28*Assumptions!$G$41*Assumptions!$G$42*Assumptions!$G$43)*Assumptions!$G$48)*Assumptions!$G$50*(Assumptions!$G$53*12/Assumptions!$G$54)))</f>
        <v>5352</v>
      </c>
    </row>
    <row r="1550" customFormat="false" ht="15" hidden="false" customHeight="false" outlineLevel="0" collapsed="false">
      <c r="A1550" s="4" t="s">
        <v>464</v>
      </c>
      <c r="B1550" s="36" t="s">
        <v>463</v>
      </c>
      <c r="C1550" s="33" t="n">
        <f aca="false">MAX((Assumptions!$G$51+Assumptions!$G$53)*12,(((('Market Sizing'!$E$29*Assumptions!$G$41*Assumptions!$G$42*Assumptions!$G$43)*Assumptions!$G$44)*Assumptions!$G$45*Assumptions!$G$46+('Market Sizing'!$E$29*Assumptions!$G$41*Assumptions!$G$42*Assumptions!$G$43)*Assumptions!$G$47+('Market Sizing'!$E$29*Assumptions!$G$41*Assumptions!$G$42*Assumptions!$G$43)*Assumptions!$G$48*Assumptions!$G$49)*(Assumptions!$G$51*12/Assumptions!$G$52)+((('Market Sizing'!$E$29*Assumptions!$G$41*Assumptions!$G$42*Assumptions!$G$43)*Assumptions!$G$44)*Assumptions!$G$45+('Market Sizing'!$E$29*Assumptions!$G$41*Assumptions!$G$42*Assumptions!$G$43)+('Market Sizing'!$E$29*Assumptions!$G$41*Assumptions!$G$42*Assumptions!$G$43)*Assumptions!$G$48)*Assumptions!$G$50*(Assumptions!$G$53*12/Assumptions!$G$54)))</f>
        <v>5352</v>
      </c>
    </row>
    <row r="1551" customFormat="false" ht="15" hidden="false" customHeight="false" outlineLevel="0" collapsed="false">
      <c r="A1551" s="4" t="s">
        <v>465</v>
      </c>
      <c r="B1551" s="36" t="s">
        <v>463</v>
      </c>
      <c r="C1551" s="33" t="n">
        <f aca="false">MAX(Assumptions!$G$55*(Assumptions!$G$51*12/Assumptions!$G$52)+Assumptions!$G$56*(Assumptions!$G$53*12/Assumptions!$G$54),(((('Market Sizing'!$E$30*Assumptions!$G$41*Assumptions!$G$42*Assumptions!$G$43)*Assumptions!$G$44)*Assumptions!$G$45*Assumptions!$G$46+('Market Sizing'!$E$30*Assumptions!$G$41*Assumptions!$G$42*Assumptions!$G$43)*Assumptions!$G$47+('Market Sizing'!$E$30*Assumptions!$G$41*Assumptions!$G$42*Assumptions!$G$43)*Assumptions!$G$48*Assumptions!$G$49)*(Assumptions!$G$51*12/Assumptions!$G$52)+((('Market Sizing'!$E$30*Assumptions!$G$41*Assumptions!$G$42*Assumptions!$G$43)*Assumptions!$G$44)*Assumptions!$G$45+('Market Sizing'!$E$30*Assumptions!$G$41*Assumptions!$G$42*Assumptions!$G$43)+('Market Sizing'!$E$30*Assumptions!$G$41*Assumptions!$G$42*Assumptions!$G$43)*Assumptions!$G$48)*Assumptions!$G$50*(Assumptions!$G$53*12/Assumptions!$G$54)))*(1-Assumptions!$G$57)</f>
        <v>44310</v>
      </c>
    </row>
    <row r="1552" customFormat="false" ht="23.85" hidden="false" customHeight="false" outlineLevel="0" collapsed="false">
      <c r="A1552" s="4" t="s">
        <v>466</v>
      </c>
      <c r="B1552" s="36" t="s">
        <v>467</v>
      </c>
      <c r="C1552" s="37" t="n">
        <f aca="false">Assumptions!$G$17*Assumptions!$D$106</f>
        <v>0.3</v>
      </c>
    </row>
    <row r="1553" customFormat="false" ht="23.85" hidden="false" customHeight="false" outlineLevel="0" collapsed="false">
      <c r="A1553" s="4" t="s">
        <v>468</v>
      </c>
      <c r="B1553" s="36" t="s">
        <v>469</v>
      </c>
      <c r="C1553" s="33" t="n">
        <f aca="false">Assumptions!$G$68/Assumptions!$G$69</f>
        <v>285714.285714286</v>
      </c>
    </row>
    <row r="1554" customFormat="false" ht="23.85" hidden="false" customHeight="false" outlineLevel="0" collapsed="false">
      <c r="A1554" s="4" t="s">
        <v>470</v>
      </c>
      <c r="B1554" s="36" t="s">
        <v>471</v>
      </c>
      <c r="C1554" s="33" t="n">
        <f aca="false">Assumptions!$G$66*Assumptions!$G$67/4</f>
        <v>120312.5</v>
      </c>
    </row>
    <row r="1555" customFormat="false" ht="15" hidden="false" customHeight="false" outlineLevel="0" collapsed="false">
      <c r="A1555" s="4" t="s">
        <v>472</v>
      </c>
      <c r="B1555" s="36"/>
      <c r="C1555" s="38" t="n">
        <f aca="false">$C$1553/Assumptions!$G$66/Assumptions!$G$67</f>
        <v>0.593692022263451</v>
      </c>
    </row>
    <row r="1556" customFormat="false" ht="15" hidden="false" customHeight="false" outlineLevel="0" collapsed="false">
      <c r="A1556" s="4" t="s">
        <v>473</v>
      </c>
      <c r="B1556" s="36"/>
      <c r="C1556" s="33" t="n">
        <f aca="false">MAX(0,Assumptions!$D$103-Assumptions!$G$78)</f>
        <v>0</v>
      </c>
    </row>
    <row r="1557" customFormat="false" ht="15" hidden="false" customHeight="false" outlineLevel="0" collapsed="false">
      <c r="A1557" s="35" t="s">
        <v>474</v>
      </c>
      <c r="B1557" s="35" t="s">
        <v>444</v>
      </c>
      <c r="C1557" s="6" t="s">
        <v>354</v>
      </c>
      <c r="D1557" s="6" t="s">
        <v>355</v>
      </c>
      <c r="E1557" s="6" t="s">
        <v>356</v>
      </c>
      <c r="F1557" s="6" t="s">
        <v>357</v>
      </c>
      <c r="G1557" s="6" t="s">
        <v>358</v>
      </c>
      <c r="H1557" s="6" t="s">
        <v>359</v>
      </c>
      <c r="I1557" s="6" t="s">
        <v>360</v>
      </c>
      <c r="J1557" s="6" t="s">
        <v>361</v>
      </c>
      <c r="K1557" s="6" t="s">
        <v>362</v>
      </c>
      <c r="L1557" s="6" t="s">
        <v>363</v>
      </c>
      <c r="M1557" s="6" t="s">
        <v>364</v>
      </c>
      <c r="N1557" s="6" t="s">
        <v>365</v>
      </c>
      <c r="P1557" s="6" t="s">
        <v>445</v>
      </c>
      <c r="Q1557" s="6" t="s">
        <v>446</v>
      </c>
      <c r="R1557" s="6" t="s">
        <v>447</v>
      </c>
      <c r="S1557" s="6" t="s">
        <v>448</v>
      </c>
    </row>
    <row r="1558" customFormat="false" ht="15" hidden="false" customHeight="false" outlineLevel="0" collapsed="false">
      <c r="A1558" s="4" t="s">
        <v>475</v>
      </c>
      <c r="B1558" s="36" t="s">
        <v>133</v>
      </c>
      <c r="C1558" s="39" t="n">
        <v>1</v>
      </c>
      <c r="D1558" s="39" t="n">
        <v>2</v>
      </c>
      <c r="E1558" s="39" t="n">
        <v>3</v>
      </c>
      <c r="F1558" s="39" t="n">
        <v>4</v>
      </c>
      <c r="G1558" s="39" t="n">
        <v>5</v>
      </c>
      <c r="H1558" s="39" t="n">
        <v>6</v>
      </c>
      <c r="I1558" s="39" t="n">
        <v>7</v>
      </c>
      <c r="J1558" s="39" t="n">
        <v>8</v>
      </c>
      <c r="K1558" s="39" t="n">
        <v>9</v>
      </c>
      <c r="L1558" s="39" t="n">
        <v>10</v>
      </c>
      <c r="M1558" s="39" t="n">
        <v>11</v>
      </c>
      <c r="N1558" s="39" t="n">
        <v>12</v>
      </c>
      <c r="P1558" s="40"/>
      <c r="Q1558" s="40"/>
      <c r="R1558" s="40"/>
      <c r="S1558" s="41"/>
    </row>
    <row r="1559" customFormat="false" ht="15" hidden="false" customHeight="false" outlineLevel="0" collapsed="false">
      <c r="A1559" s="4" t="s">
        <v>476</v>
      </c>
      <c r="B1559" s="36" t="s">
        <v>343</v>
      </c>
      <c r="C1559" s="39" t="n">
        <f aca="false">IF(C1558&lt;=Assumptions!$G$84,1,0)</f>
        <v>1</v>
      </c>
      <c r="D1559" s="39" t="n">
        <f aca="false">IF(D1558&lt;=Assumptions!$G$84,1,0)</f>
        <v>1</v>
      </c>
      <c r="E1559" s="39" t="n">
        <f aca="false">IF(E1558&lt;=Assumptions!$G$84,1,0)</f>
        <v>1</v>
      </c>
      <c r="F1559" s="39" t="n">
        <f aca="false">IF(F1558&lt;=Assumptions!$G$84,1,0)</f>
        <v>1</v>
      </c>
      <c r="G1559" s="39" t="n">
        <f aca="false">IF(G1558&lt;=Assumptions!$G$84,1,0)</f>
        <v>1</v>
      </c>
      <c r="H1559" s="39" t="n">
        <f aca="false">IF(H1558&lt;=Assumptions!$G$84,1,0)</f>
        <v>1</v>
      </c>
      <c r="I1559" s="39" t="n">
        <f aca="false">IF(I1558&lt;=Assumptions!$G$84,1,0)</f>
        <v>1</v>
      </c>
      <c r="J1559" s="39" t="n">
        <f aca="false">IF(J1558&lt;=Assumptions!$G$84,1,0)</f>
        <v>1</v>
      </c>
      <c r="K1559" s="39" t="n">
        <f aca="false">IF(K1558&lt;=Assumptions!$G$84,1,0)</f>
        <v>1</v>
      </c>
      <c r="L1559" s="39" t="n">
        <f aca="false">IF(L1558&lt;=Assumptions!$G$84,1,0)</f>
        <v>1</v>
      </c>
      <c r="M1559" s="39" t="n">
        <f aca="false">IF(M1558&lt;=Assumptions!$G$84,1,0)</f>
        <v>1</v>
      </c>
      <c r="N1559" s="39" t="n">
        <f aca="false">IF(N1558&lt;=Assumptions!$G$84,1,0)</f>
        <v>1</v>
      </c>
      <c r="P1559" s="40"/>
      <c r="Q1559" s="40"/>
      <c r="R1559" s="40"/>
      <c r="S1559" s="41"/>
    </row>
    <row r="1560" customFormat="false" ht="15" hidden="false" customHeight="false" outlineLevel="0" collapsed="false">
      <c r="A1560" s="4" t="s">
        <v>477</v>
      </c>
      <c r="B1560" s="36" t="s">
        <v>478</v>
      </c>
      <c r="C1560" s="42" t="n">
        <f aca="false">IF(C1558=Assumptions!$G$13,0.5,IF(C1558&gt;Assumptions!$G$13,1,0))</f>
        <v>0.5</v>
      </c>
      <c r="D1560" s="42" t="n">
        <f aca="false">IF(D1558=Assumptions!$G$13,0.5,IF(D1558&gt;Assumptions!$G$13,1,0))</f>
        <v>1</v>
      </c>
      <c r="E1560" s="42" t="n">
        <f aca="false">IF(E1558=Assumptions!$G$13,0.5,IF(E1558&gt;Assumptions!$G$13,1,0))</f>
        <v>1</v>
      </c>
      <c r="F1560" s="42" t="n">
        <f aca="false">IF(F1558=Assumptions!$G$13,0.5,IF(F1558&gt;Assumptions!$G$13,1,0))</f>
        <v>1</v>
      </c>
      <c r="G1560" s="42" t="n">
        <f aca="false">IF(G1558=Assumptions!$G$13,0.5,IF(G1558&gt;Assumptions!$G$13,1,0))</f>
        <v>1</v>
      </c>
      <c r="H1560" s="42" t="n">
        <f aca="false">IF(H1558=Assumptions!$G$13,0.5,IF(H1558&gt;Assumptions!$G$13,1,0))</f>
        <v>1</v>
      </c>
      <c r="I1560" s="42" t="n">
        <f aca="false">IF(I1558=Assumptions!$G$13,0.5,IF(I1558&gt;Assumptions!$G$13,1,0))</f>
        <v>1</v>
      </c>
      <c r="J1560" s="42" t="n">
        <f aca="false">IF(J1558=Assumptions!$G$13,0.5,IF(J1558&gt;Assumptions!$G$13,1,0))</f>
        <v>1</v>
      </c>
      <c r="K1560" s="42" t="n">
        <f aca="false">IF(K1558=Assumptions!$G$13,0.5,IF(K1558&gt;Assumptions!$G$13,1,0))</f>
        <v>1</v>
      </c>
      <c r="L1560" s="42" t="n">
        <f aca="false">IF(L1558=Assumptions!$G$13,0.5,IF(L1558&gt;Assumptions!$G$13,1,0))</f>
        <v>1</v>
      </c>
      <c r="M1560" s="42" t="n">
        <f aca="false">IF(M1558=Assumptions!$G$13,0.5,IF(M1558&gt;Assumptions!$G$13,1,0))</f>
        <v>1</v>
      </c>
      <c r="N1560" s="42" t="n">
        <f aca="false">IF(N1558=Assumptions!$G$13,0.5,IF(N1558&gt;Assumptions!$G$13,1,0))</f>
        <v>1</v>
      </c>
      <c r="P1560" s="43"/>
      <c r="Q1560" s="43"/>
      <c r="R1560" s="43"/>
      <c r="S1560" s="44"/>
    </row>
    <row r="1561" customFormat="false" ht="15" hidden="false" customHeight="false" outlineLevel="0" collapsed="false">
      <c r="A1561" s="4" t="s">
        <v>479</v>
      </c>
      <c r="B1561" s="36" t="s">
        <v>478</v>
      </c>
      <c r="C1561" s="42" t="n">
        <f aca="false">IF(C1558=Assumptions!$G$14,0.5,IF(C1558&gt;Assumptions!$G$14,1,0))</f>
        <v>0</v>
      </c>
      <c r="D1561" s="42" t="n">
        <f aca="false">IF(D1558=Assumptions!$G$14,0.5,IF(D1558&gt;Assumptions!$G$14,1,0))</f>
        <v>0</v>
      </c>
      <c r="E1561" s="42" t="n">
        <f aca="false">IF(E1558=Assumptions!$G$14,0.5,IF(E1558&gt;Assumptions!$G$14,1,0))</f>
        <v>0</v>
      </c>
      <c r="F1561" s="42" t="n">
        <f aca="false">IF(F1558=Assumptions!$G$14,0.5,IF(F1558&gt;Assumptions!$G$14,1,0))</f>
        <v>0</v>
      </c>
      <c r="G1561" s="42" t="n">
        <f aca="false">IF(G1558=Assumptions!$G$14,0.5,IF(G1558&gt;Assumptions!$G$14,1,0))</f>
        <v>0</v>
      </c>
      <c r="H1561" s="42" t="n">
        <f aca="false">IF(H1558=Assumptions!$G$14,0.5,IF(H1558&gt;Assumptions!$G$14,1,0))</f>
        <v>0</v>
      </c>
      <c r="I1561" s="42" t="n">
        <f aca="false">IF(I1558=Assumptions!$G$14,0.5,IF(I1558&gt;Assumptions!$G$14,1,0))</f>
        <v>0.5</v>
      </c>
      <c r="J1561" s="42" t="n">
        <f aca="false">IF(J1558=Assumptions!$G$14,0.5,IF(J1558&gt;Assumptions!$G$14,1,0))</f>
        <v>1</v>
      </c>
      <c r="K1561" s="42" t="n">
        <f aca="false">IF(K1558=Assumptions!$G$14,0.5,IF(K1558&gt;Assumptions!$G$14,1,0))</f>
        <v>1</v>
      </c>
      <c r="L1561" s="42" t="n">
        <f aca="false">IF(L1558=Assumptions!$G$14,0.5,IF(L1558&gt;Assumptions!$G$14,1,0))</f>
        <v>1</v>
      </c>
      <c r="M1561" s="42" t="n">
        <f aca="false">IF(M1558=Assumptions!$G$14,0.5,IF(M1558&gt;Assumptions!$G$14,1,0))</f>
        <v>1</v>
      </c>
      <c r="N1561" s="42" t="n">
        <f aca="false">IF(N1558=Assumptions!$G$14,0.5,IF(N1558&gt;Assumptions!$G$14,1,0))</f>
        <v>1</v>
      </c>
      <c r="P1561" s="43"/>
      <c r="Q1561" s="43"/>
      <c r="R1561" s="43"/>
      <c r="S1561" s="44"/>
    </row>
    <row r="1562" customFormat="false" ht="15" hidden="false" customHeight="false" outlineLevel="0" collapsed="false">
      <c r="A1562" s="4" t="s">
        <v>480</v>
      </c>
      <c r="B1562" s="36" t="s">
        <v>478</v>
      </c>
      <c r="C1562" s="42" t="n">
        <f aca="false">IF(C1558=Assumptions!$G$15,0.5,IF(C1558&gt;Assumptions!$G$15,1,0))</f>
        <v>0</v>
      </c>
      <c r="D1562" s="42" t="n">
        <f aca="false">IF(D1558=Assumptions!$G$15,0.5,IF(D1558&gt;Assumptions!$G$15,1,0))</f>
        <v>0</v>
      </c>
      <c r="E1562" s="42" t="n">
        <f aca="false">IF(E1558=Assumptions!$G$15,0.5,IF(E1558&gt;Assumptions!$G$15,1,0))</f>
        <v>0</v>
      </c>
      <c r="F1562" s="42" t="n">
        <f aca="false">IF(F1558=Assumptions!$G$15,0.5,IF(F1558&gt;Assumptions!$G$15,1,0))</f>
        <v>0</v>
      </c>
      <c r="G1562" s="42" t="n">
        <f aca="false">IF(G1558=Assumptions!$G$15,0.5,IF(G1558&gt;Assumptions!$G$15,1,0))</f>
        <v>0</v>
      </c>
      <c r="H1562" s="42" t="n">
        <f aca="false">IF(H1558=Assumptions!$G$15,0.5,IF(H1558&gt;Assumptions!$G$15,1,0))</f>
        <v>0</v>
      </c>
      <c r="I1562" s="42" t="n">
        <f aca="false">IF(I1558=Assumptions!$G$15,0.5,IF(I1558&gt;Assumptions!$G$15,1,0))</f>
        <v>0</v>
      </c>
      <c r="J1562" s="42" t="n">
        <f aca="false">IF(J1558=Assumptions!$G$15,0.5,IF(J1558&gt;Assumptions!$G$15,1,0))</f>
        <v>0</v>
      </c>
      <c r="K1562" s="42" t="n">
        <f aca="false">IF(K1558=Assumptions!$G$15,0.5,IF(K1558&gt;Assumptions!$G$15,1,0))</f>
        <v>0</v>
      </c>
      <c r="L1562" s="42" t="n">
        <f aca="false">IF(L1558=Assumptions!$G$15,0.5,IF(L1558&gt;Assumptions!$G$15,1,0))</f>
        <v>0</v>
      </c>
      <c r="M1562" s="42" t="n">
        <f aca="false">IF(M1558=Assumptions!$G$15,0.5,IF(M1558&gt;Assumptions!$G$15,1,0))</f>
        <v>0</v>
      </c>
      <c r="N1562" s="42" t="n">
        <f aca="false">IF(N1558=Assumptions!$G$15,0.5,IF(N1558&gt;Assumptions!$G$15,1,0))</f>
        <v>0</v>
      </c>
      <c r="P1562" s="43"/>
      <c r="Q1562" s="43"/>
      <c r="R1562" s="43"/>
      <c r="S1562" s="44"/>
    </row>
    <row r="1563" customFormat="false" ht="15" hidden="false" customHeight="false" outlineLevel="0" collapsed="false">
      <c r="A1563" s="4" t="s">
        <v>481</v>
      </c>
      <c r="B1563" s="36" t="s">
        <v>478</v>
      </c>
      <c r="C1563" s="45" t="n">
        <f aca="false">Assumptions!$G$21^(MAX(0,C1558-Assumptions!$G$13)/4)</f>
        <v>1</v>
      </c>
      <c r="D1563" s="45" t="n">
        <f aca="false">Assumptions!$G$21^(MAX(0,D1558-Assumptions!$G$13)/4)</f>
        <v>0.880111736793393</v>
      </c>
      <c r="E1563" s="45" t="n">
        <f aca="false">Assumptions!$G$21^(MAX(0,E1558-Assumptions!$G$13)/4)</f>
        <v>0.774596669241483</v>
      </c>
      <c r="F1563" s="45" t="n">
        <f aca="false">Assumptions!$G$21^(MAX(0,F1558-Assumptions!$G$13)/4)</f>
        <v>0.6817316198805</v>
      </c>
      <c r="G1563" s="45" t="n">
        <f aca="false">Assumptions!$G$21^(MAX(0,G1558-Assumptions!$G$13)/4)</f>
        <v>0.6</v>
      </c>
      <c r="H1563" s="45" t="n">
        <f aca="false">Assumptions!$G$21^(MAX(0,H1558-Assumptions!$G$13)/4)</f>
        <v>0.528067042076036</v>
      </c>
      <c r="I1563" s="45" t="n">
        <f aca="false">Assumptions!$G$21^(MAX(0,I1558-Assumptions!$G$13)/4)</f>
        <v>0.46475800154489</v>
      </c>
      <c r="J1563" s="45" t="n">
        <f aca="false">Assumptions!$G$21^(MAX(0,J1558-Assumptions!$G$13)/4)</f>
        <v>0.4090389719283</v>
      </c>
      <c r="K1563" s="45" t="n">
        <f aca="false">Assumptions!$G$21^(MAX(0,K1558-Assumptions!$G$13)/4)</f>
        <v>0.36</v>
      </c>
      <c r="L1563" s="45" t="n">
        <f aca="false">Assumptions!$G$21^(MAX(0,L1558-Assumptions!$G$13)/4)</f>
        <v>0.316840225245622</v>
      </c>
      <c r="M1563" s="45" t="n">
        <f aca="false">Assumptions!$G$21^(MAX(0,M1558-Assumptions!$G$13)/4)</f>
        <v>0.278854800926934</v>
      </c>
      <c r="N1563" s="45" t="n">
        <f aca="false">Assumptions!$G$21^(MAX(0,N1558-Assumptions!$G$13)/4)</f>
        <v>0.24542338315698</v>
      </c>
      <c r="P1563" s="46"/>
      <c r="Q1563" s="46"/>
      <c r="R1563" s="46"/>
      <c r="S1563" s="47"/>
    </row>
    <row r="1564" customFormat="false" ht="15" hidden="false" customHeight="false" outlineLevel="0" collapsed="false">
      <c r="A1564" s="4" t="s">
        <v>482</v>
      </c>
      <c r="B1564" s="36" t="s">
        <v>478</v>
      </c>
      <c r="C1564" s="45" t="n">
        <f aca="false">Assumptions!$G$21^(MAX(0,C1558-Assumptions!$G$14)/4)</f>
        <v>1</v>
      </c>
      <c r="D1564" s="45" t="n">
        <f aca="false">Assumptions!$G$21^(MAX(0,D1558-Assumptions!$G$14)/4)</f>
        <v>1</v>
      </c>
      <c r="E1564" s="45" t="n">
        <f aca="false">Assumptions!$G$21^(MAX(0,E1558-Assumptions!$G$14)/4)</f>
        <v>1</v>
      </c>
      <c r="F1564" s="45" t="n">
        <f aca="false">Assumptions!$G$21^(MAX(0,F1558-Assumptions!$G$14)/4)</f>
        <v>1</v>
      </c>
      <c r="G1564" s="45" t="n">
        <f aca="false">Assumptions!$G$21^(MAX(0,G1558-Assumptions!$G$14)/4)</f>
        <v>1</v>
      </c>
      <c r="H1564" s="45" t="n">
        <f aca="false">Assumptions!$G$21^(MAX(0,H1558-Assumptions!$G$14)/4)</f>
        <v>1</v>
      </c>
      <c r="I1564" s="45" t="n">
        <f aca="false">Assumptions!$G$21^(MAX(0,I1558-Assumptions!$G$14)/4)</f>
        <v>1</v>
      </c>
      <c r="J1564" s="45" t="n">
        <f aca="false">Assumptions!$G$21^(MAX(0,J1558-Assumptions!$G$14)/4)</f>
        <v>0.880111736793393</v>
      </c>
      <c r="K1564" s="45" t="n">
        <f aca="false">Assumptions!$G$21^(MAX(0,K1558-Assumptions!$G$14)/4)</f>
        <v>0.774596669241483</v>
      </c>
      <c r="L1564" s="45" t="n">
        <f aca="false">Assumptions!$G$21^(MAX(0,L1558-Assumptions!$G$14)/4)</f>
        <v>0.6817316198805</v>
      </c>
      <c r="M1564" s="45" t="n">
        <f aca="false">Assumptions!$G$21^(MAX(0,M1558-Assumptions!$G$14)/4)</f>
        <v>0.6</v>
      </c>
      <c r="N1564" s="45" t="n">
        <f aca="false">Assumptions!$G$21^(MAX(0,N1558-Assumptions!$G$14)/4)</f>
        <v>0.528067042076036</v>
      </c>
      <c r="P1564" s="46"/>
      <c r="Q1564" s="46"/>
      <c r="R1564" s="46"/>
      <c r="S1564" s="47"/>
    </row>
    <row r="1565" customFormat="false" ht="15" hidden="false" customHeight="false" outlineLevel="0" collapsed="false">
      <c r="A1565" s="4" t="s">
        <v>483</v>
      </c>
      <c r="B1565" s="36" t="s">
        <v>478</v>
      </c>
      <c r="C1565" s="45" t="n">
        <f aca="false">Assumptions!$G$21^(MAX(0,C1558-Assumptions!$G$15)/4)</f>
        <v>1</v>
      </c>
      <c r="D1565" s="45" t="n">
        <f aca="false">Assumptions!$G$21^(MAX(0,D1558-Assumptions!$G$15)/4)</f>
        <v>1</v>
      </c>
      <c r="E1565" s="45" t="n">
        <f aca="false">Assumptions!$G$21^(MAX(0,E1558-Assumptions!$G$15)/4)</f>
        <v>1</v>
      </c>
      <c r="F1565" s="45" t="n">
        <f aca="false">Assumptions!$G$21^(MAX(0,F1558-Assumptions!$G$15)/4)</f>
        <v>1</v>
      </c>
      <c r="G1565" s="45" t="n">
        <f aca="false">Assumptions!$G$21^(MAX(0,G1558-Assumptions!$G$15)/4)</f>
        <v>1</v>
      </c>
      <c r="H1565" s="45" t="n">
        <f aca="false">Assumptions!$G$21^(MAX(0,H1558-Assumptions!$G$15)/4)</f>
        <v>1</v>
      </c>
      <c r="I1565" s="45" t="n">
        <f aca="false">Assumptions!$G$21^(MAX(0,I1558-Assumptions!$G$15)/4)</f>
        <v>1</v>
      </c>
      <c r="J1565" s="45" t="n">
        <f aca="false">Assumptions!$G$21^(MAX(0,J1558-Assumptions!$G$15)/4)</f>
        <v>1</v>
      </c>
      <c r="K1565" s="45" t="n">
        <f aca="false">Assumptions!$G$21^(MAX(0,K1558-Assumptions!$G$15)/4)</f>
        <v>1</v>
      </c>
      <c r="L1565" s="45" t="n">
        <f aca="false">Assumptions!$G$21^(MAX(0,L1558-Assumptions!$G$15)/4)</f>
        <v>1</v>
      </c>
      <c r="M1565" s="45" t="n">
        <f aca="false">Assumptions!$G$21^(MAX(0,M1558-Assumptions!$G$15)/4)</f>
        <v>1</v>
      </c>
      <c r="N1565" s="45" t="n">
        <f aca="false">Assumptions!$G$21^(MAX(0,N1558-Assumptions!$G$15)/4)</f>
        <v>1</v>
      </c>
      <c r="P1565" s="46"/>
      <c r="Q1565" s="46"/>
      <c r="R1565" s="46"/>
      <c r="S1565" s="47"/>
    </row>
    <row r="1566" customFormat="false" ht="15" hidden="false" customHeight="false" outlineLevel="0" collapsed="false">
      <c r="A1566" s="4" t="s">
        <v>484</v>
      </c>
      <c r="B1566" s="36" t="s">
        <v>485</v>
      </c>
      <c r="C1566" s="39" t="n">
        <f aca="false">$C$1537*C1560+$C$1541*C1561+$C$1545*C1562</f>
        <v>1371.907152</v>
      </c>
      <c r="D1566" s="39" t="n">
        <f aca="false">$C$1537*D1560+$C$1541*D1561+$C$1545*D1562</f>
        <v>2743.814304</v>
      </c>
      <c r="E1566" s="39" t="n">
        <f aca="false">$C$1537*E1560+$C$1541*E1561+$C$1545*E1562</f>
        <v>2743.814304</v>
      </c>
      <c r="F1566" s="39" t="n">
        <f aca="false">$C$1537*F1560+$C$1541*F1561+$C$1545*F1562</f>
        <v>2743.814304</v>
      </c>
      <c r="G1566" s="39" t="n">
        <f aca="false">$C$1537*G1560+$C$1541*G1561+$C$1545*G1562</f>
        <v>2743.814304</v>
      </c>
      <c r="H1566" s="39" t="n">
        <f aca="false">$C$1537*H1560+$C$1541*H1561+$C$1545*H1562</f>
        <v>2743.814304</v>
      </c>
      <c r="I1566" s="39" t="n">
        <f aca="false">$C$1537*I1560+$C$1541*I1561+$C$1545*I1562</f>
        <v>4099.55809725</v>
      </c>
      <c r="J1566" s="39" t="n">
        <f aca="false">$C$1537*J1560+$C$1541*J1561+$C$1545*J1562</f>
        <v>5455.3018905</v>
      </c>
      <c r="K1566" s="39" t="n">
        <f aca="false">$C$1537*K1560+$C$1541*K1561+$C$1545*K1562</f>
        <v>5455.3018905</v>
      </c>
      <c r="L1566" s="39" t="n">
        <f aca="false">$C$1537*L1560+$C$1541*L1561+$C$1545*L1562</f>
        <v>5455.3018905</v>
      </c>
      <c r="M1566" s="39" t="n">
        <f aca="false">$C$1537*M1560+$C$1541*M1561+$C$1545*M1562</f>
        <v>5455.3018905</v>
      </c>
      <c r="N1566" s="39" t="n">
        <f aca="false">$C$1537*N1560+$C$1541*N1561+$C$1545*N1562</f>
        <v>5455.3018905</v>
      </c>
      <c r="P1566" s="40" t="n">
        <f aca="false">F1566</f>
        <v>2743.814304</v>
      </c>
      <c r="Q1566" s="40" t="n">
        <f aca="false">J1566</f>
        <v>5455.3018905</v>
      </c>
      <c r="R1566" s="40" t="n">
        <f aca="false">N1566</f>
        <v>5455.3018905</v>
      </c>
      <c r="S1566" s="41" t="n">
        <f aca="false">R1566</f>
        <v>5455.3018905</v>
      </c>
    </row>
    <row r="1567" customFormat="false" ht="15" hidden="false" customHeight="false" outlineLevel="0" collapsed="false">
      <c r="A1567" s="4" t="s">
        <v>486</v>
      </c>
      <c r="B1567" s="36" t="s">
        <v>485</v>
      </c>
      <c r="C1567" s="39" t="n">
        <f aca="false">$C$1538*C1560+$C$1542*C1561+$C$1546*C1562</f>
        <v>280.265832</v>
      </c>
      <c r="D1567" s="39" t="n">
        <f aca="false">$C$1538*D1560+$C$1542*D1561+$C$1546*D1562</f>
        <v>560.531664</v>
      </c>
      <c r="E1567" s="39" t="n">
        <f aca="false">$C$1538*E1560+$C$1542*E1561+$C$1546*E1562</f>
        <v>560.531664</v>
      </c>
      <c r="F1567" s="39" t="n">
        <f aca="false">$C$1538*F1560+$C$1542*F1561+$C$1546*F1562</f>
        <v>560.531664</v>
      </c>
      <c r="G1567" s="39" t="n">
        <f aca="false">$C$1538*G1560+$C$1542*G1561+$C$1546*G1562</f>
        <v>560.531664</v>
      </c>
      <c r="H1567" s="39" t="n">
        <f aca="false">$C$1538*H1560+$C$1542*H1561+$C$1546*H1562</f>
        <v>560.531664</v>
      </c>
      <c r="I1567" s="39" t="n">
        <f aca="false">$C$1538*I1560+$C$1542*I1561+$C$1546*I1562</f>
        <v>839.7895275</v>
      </c>
      <c r="J1567" s="39" t="n">
        <f aca="false">$C$1538*J1560+$C$1542*J1561+$C$1546*J1562</f>
        <v>1119.047391</v>
      </c>
      <c r="K1567" s="39" t="n">
        <f aca="false">$C$1538*K1560+$C$1542*K1561+$C$1546*K1562</f>
        <v>1119.047391</v>
      </c>
      <c r="L1567" s="39" t="n">
        <f aca="false">$C$1538*L1560+$C$1542*L1561+$C$1546*L1562</f>
        <v>1119.047391</v>
      </c>
      <c r="M1567" s="39" t="n">
        <f aca="false">$C$1538*M1560+$C$1542*M1561+$C$1546*M1562</f>
        <v>1119.047391</v>
      </c>
      <c r="N1567" s="39" t="n">
        <f aca="false">$C$1538*N1560+$C$1542*N1561+$C$1546*N1562</f>
        <v>1119.047391</v>
      </c>
      <c r="P1567" s="40" t="n">
        <f aca="false">F1567</f>
        <v>560.531664</v>
      </c>
      <c r="Q1567" s="40" t="n">
        <f aca="false">J1567</f>
        <v>1119.047391</v>
      </c>
      <c r="R1567" s="40" t="n">
        <f aca="false">N1567</f>
        <v>1119.047391</v>
      </c>
      <c r="S1567" s="41" t="n">
        <f aca="false">R1567</f>
        <v>1119.047391</v>
      </c>
    </row>
    <row r="1568" customFormat="false" ht="15" hidden="false" customHeight="false" outlineLevel="0" collapsed="false">
      <c r="A1568" s="4" t="s">
        <v>487</v>
      </c>
      <c r="B1568" s="36" t="s">
        <v>485</v>
      </c>
      <c r="C1568" s="39" t="n">
        <f aca="false">$C$1539*C1560+$C$1543*C1561+$C$1547*C1562</f>
        <v>65.170413</v>
      </c>
      <c r="D1568" s="39" t="n">
        <f aca="false">$C$1539*D1560+$C$1543*D1561+$C$1547*D1562</f>
        <v>130.340826</v>
      </c>
      <c r="E1568" s="39" t="n">
        <f aca="false">$C$1539*E1560+$C$1543*E1561+$C$1547*E1562</f>
        <v>130.340826</v>
      </c>
      <c r="F1568" s="39" t="n">
        <f aca="false">$C$1539*F1560+$C$1543*F1561+$C$1547*F1562</f>
        <v>130.340826</v>
      </c>
      <c r="G1568" s="39" t="n">
        <f aca="false">$C$1539*G1560+$C$1543*G1561+$C$1547*G1562</f>
        <v>130.340826</v>
      </c>
      <c r="H1568" s="39" t="n">
        <f aca="false">$C$1539*H1560+$C$1543*H1561+$C$1547*H1562</f>
        <v>130.340826</v>
      </c>
      <c r="I1568" s="39" t="n">
        <f aca="false">$C$1539*I1560+$C$1543*I1561+$C$1547*I1562</f>
        <v>187.428087</v>
      </c>
      <c r="J1568" s="39" t="n">
        <f aca="false">$C$1539*J1560+$C$1543*J1561+$C$1547*J1562</f>
        <v>244.515348</v>
      </c>
      <c r="K1568" s="39" t="n">
        <f aca="false">$C$1539*K1560+$C$1543*K1561+$C$1547*K1562</f>
        <v>244.515348</v>
      </c>
      <c r="L1568" s="39" t="n">
        <f aca="false">$C$1539*L1560+$C$1543*L1561+$C$1547*L1562</f>
        <v>244.515348</v>
      </c>
      <c r="M1568" s="39" t="n">
        <f aca="false">$C$1539*M1560+$C$1543*M1561+$C$1547*M1562</f>
        <v>244.515348</v>
      </c>
      <c r="N1568" s="39" t="n">
        <f aca="false">$C$1539*N1560+$C$1543*N1561+$C$1547*N1562</f>
        <v>244.515348</v>
      </c>
      <c r="P1568" s="40" t="n">
        <f aca="false">F1568</f>
        <v>130.340826</v>
      </c>
      <c r="Q1568" s="40" t="n">
        <f aca="false">J1568</f>
        <v>244.515348</v>
      </c>
      <c r="R1568" s="40" t="n">
        <f aca="false">N1568</f>
        <v>244.515348</v>
      </c>
      <c r="S1568" s="41" t="n">
        <f aca="false">R1568</f>
        <v>244.515348</v>
      </c>
    </row>
    <row r="1569" customFormat="false" ht="15" hidden="false" customHeight="false" outlineLevel="0" collapsed="false">
      <c r="A1569" s="4" t="s">
        <v>488</v>
      </c>
      <c r="B1569" s="36" t="s">
        <v>485</v>
      </c>
      <c r="C1569" s="39" t="n">
        <f aca="false">C1566+C1567+C1568</f>
        <v>1717.343397</v>
      </c>
      <c r="D1569" s="39" t="n">
        <f aca="false">D1566+D1567+D1568</f>
        <v>3434.686794</v>
      </c>
      <c r="E1569" s="39" t="n">
        <f aca="false">E1566+E1567+E1568</f>
        <v>3434.686794</v>
      </c>
      <c r="F1569" s="39" t="n">
        <f aca="false">F1566+F1567+F1568</f>
        <v>3434.686794</v>
      </c>
      <c r="G1569" s="39" t="n">
        <f aca="false">G1566+G1567+G1568</f>
        <v>3434.686794</v>
      </c>
      <c r="H1569" s="39" t="n">
        <f aca="false">H1566+H1567+H1568</f>
        <v>3434.686794</v>
      </c>
      <c r="I1569" s="39" t="n">
        <f aca="false">I1566+I1567+I1568</f>
        <v>5126.77571175</v>
      </c>
      <c r="J1569" s="39" t="n">
        <f aca="false">J1566+J1567+J1568</f>
        <v>6818.8646295</v>
      </c>
      <c r="K1569" s="39" t="n">
        <f aca="false">K1566+K1567+K1568</f>
        <v>6818.8646295</v>
      </c>
      <c r="L1569" s="39" t="n">
        <f aca="false">L1566+L1567+L1568</f>
        <v>6818.8646295</v>
      </c>
      <c r="M1569" s="39" t="n">
        <f aca="false">M1566+M1567+M1568</f>
        <v>6818.8646295</v>
      </c>
      <c r="N1569" s="39" t="n">
        <f aca="false">N1566+N1567+N1568</f>
        <v>6818.8646295</v>
      </c>
      <c r="P1569" s="40" t="n">
        <f aca="false">F1569</f>
        <v>3434.686794</v>
      </c>
      <c r="Q1569" s="40" t="n">
        <f aca="false">J1569</f>
        <v>6818.8646295</v>
      </c>
      <c r="R1569" s="40" t="n">
        <f aca="false">N1569</f>
        <v>6818.8646295</v>
      </c>
      <c r="S1569" s="41" t="n">
        <f aca="false">R1569</f>
        <v>6818.8646295</v>
      </c>
    </row>
    <row r="1570" customFormat="false" ht="15" hidden="false" customHeight="false" outlineLevel="0" collapsed="false">
      <c r="A1570" s="4" t="s">
        <v>489</v>
      </c>
      <c r="B1570" s="36" t="s">
        <v>485</v>
      </c>
      <c r="C1570" s="39" t="n">
        <f aca="false">$C$1540*C1560*C1563+$C$1544*C1561*C1564+$C$1548*C1562*C1565</f>
        <v>1717.343397</v>
      </c>
      <c r="D1570" s="39" t="n">
        <f aca="false">$C$1540*D1560*D1563+$C$1544*D1561*D1564+$C$1548*D1562*D1565</f>
        <v>3022.90815960867</v>
      </c>
      <c r="E1570" s="39" t="n">
        <f aca="false">$C$1540*E1560*E1563+$C$1544*E1561*E1564+$C$1548*E1562*E1565</f>
        <v>2660.49695052011</v>
      </c>
      <c r="F1570" s="39" t="n">
        <f aca="false">$C$1540*F1560*F1563+$C$1544*F1561*F1564+$C$1548*F1562*F1565</f>
        <v>2341.53459185578</v>
      </c>
      <c r="G1570" s="39" t="n">
        <f aca="false">$C$1540*G1560*G1563+$C$1544*G1561*G1564+$C$1548*G1562*G1565</f>
        <v>2060.8120764</v>
      </c>
      <c r="H1570" s="39" t="n">
        <f aca="false">$C$1540*H1560*H1563+$C$1544*H1561*H1564+$C$1548*H1562*H1565</f>
        <v>1813.7448957652</v>
      </c>
      <c r="I1570" s="39" t="n">
        <f aca="false">$C$1540*I1560*I1563+$C$1544*I1561*I1564+$C$1548*I1562*I1565</f>
        <v>3288.38708806207</v>
      </c>
      <c r="J1570" s="39" t="n">
        <f aca="false">$C$1540*J1560*J1563+$C$1544*J1561*J1564+$C$1548*J1562*J1565</f>
        <v>4383.37538753308</v>
      </c>
      <c r="K1570" s="39" t="n">
        <f aca="false">$C$1540*K1560*K1563+$C$1544*K1561*K1564+$C$1548*K1562*K1565</f>
        <v>3857.86012533915</v>
      </c>
      <c r="L1570" s="39" t="n">
        <f aca="false">$C$1540*L1560*L1563+$C$1544*L1561*L1564+$C$1548*L1562*L1565</f>
        <v>3395.34797521822</v>
      </c>
      <c r="M1570" s="39" t="n">
        <f aca="false">$C$1540*M1560*M1563+$C$1544*M1561*M1564+$C$1548*M1562*M1565</f>
        <v>2988.28560348724</v>
      </c>
      <c r="N1570" s="39" t="n">
        <f aca="false">$C$1540*N1560*N1563+$C$1544*N1561*N1564+$C$1548*N1562*N1565</f>
        <v>2630.02523251985</v>
      </c>
      <c r="P1570" s="40"/>
      <c r="Q1570" s="40"/>
      <c r="R1570" s="40"/>
      <c r="S1570" s="41"/>
    </row>
    <row r="1571" customFormat="false" ht="15" hidden="false" customHeight="false" outlineLevel="0" collapsed="false">
      <c r="A1571" s="4" t="s">
        <v>490</v>
      </c>
      <c r="B1571" s="36" t="s">
        <v>491</v>
      </c>
      <c r="C1571" s="48" t="n">
        <f aca="false">$C$1552*Assumptions!$G$20*C1559*C1570</f>
        <v>7.7280452865</v>
      </c>
      <c r="D1571" s="48" t="n">
        <f aca="false">$C$1552*Assumptions!$G$20*D1559*D1570</f>
        <v>13.603086718239</v>
      </c>
      <c r="E1571" s="48" t="n">
        <f aca="false">$C$1552*Assumptions!$G$20*E1559*E1570</f>
        <v>11.9722362773405</v>
      </c>
      <c r="F1571" s="48" t="n">
        <f aca="false">$C$1552*Assumptions!$G$20*F1559*F1570</f>
        <v>10.536905663351</v>
      </c>
      <c r="G1571" s="48" t="n">
        <f aca="false">$C$1552*Assumptions!$G$20*G1559*G1570</f>
        <v>9.2736543438</v>
      </c>
      <c r="H1571" s="48" t="n">
        <f aca="false">$C$1552*Assumptions!$G$20*H1559*H1570</f>
        <v>8.16185203094342</v>
      </c>
      <c r="I1571" s="48" t="n">
        <f aca="false">$C$1552*Assumptions!$G$20*I1559*I1570</f>
        <v>14.7977418962793</v>
      </c>
      <c r="J1571" s="48" t="n">
        <f aca="false">$C$1552*Assumptions!$G$20*J1559*J1570</f>
        <v>19.7251892438989</v>
      </c>
      <c r="K1571" s="48" t="n">
        <f aca="false">$C$1552*Assumptions!$G$20*K1559*K1570</f>
        <v>17.3603705640262</v>
      </c>
      <c r="L1571" s="48" t="n">
        <f aca="false">$C$1552*Assumptions!$G$20*L1559*L1570</f>
        <v>15.279065888482</v>
      </c>
      <c r="M1571" s="48" t="n">
        <f aca="false">$C$1552*Assumptions!$G$20*M1559*M1570</f>
        <v>13.4472852156926</v>
      </c>
      <c r="N1571" s="48" t="n">
        <f aca="false">$C$1552*Assumptions!$G$20*N1559*N1570</f>
        <v>11.8351135463393</v>
      </c>
      <c r="P1571" s="49" t="n">
        <f aca="false">SUM(C1571:F1571)</f>
        <v>43.8402739454305</v>
      </c>
      <c r="Q1571" s="49" t="n">
        <f aca="false">SUM(G1571:J1571)</f>
        <v>51.9584375149216</v>
      </c>
      <c r="R1571" s="49" t="n">
        <f aca="false">SUM(K1571:N1571)</f>
        <v>57.9218352145401</v>
      </c>
      <c r="S1571" s="50" t="n">
        <f aca="false">SUM(P1571:R1571)</f>
        <v>153.720546674892</v>
      </c>
    </row>
    <row r="1572" customFormat="false" ht="15" hidden="false" customHeight="false" outlineLevel="0" collapsed="false">
      <c r="A1572" s="4" t="s">
        <v>492</v>
      </c>
      <c r="B1572" s="36" t="s">
        <v>321</v>
      </c>
      <c r="C1572" s="48" t="n">
        <f aca="false">Assumptions!$D$111</f>
        <v>0</v>
      </c>
      <c r="D1572" s="48" t="n">
        <f aca="false">Assumptions!$E$111</f>
        <v>0</v>
      </c>
      <c r="E1572" s="48" t="n">
        <f aca="false">Assumptions!$F$111</f>
        <v>0</v>
      </c>
      <c r="F1572" s="48" t="n">
        <f aca="false">Assumptions!$G$111</f>
        <v>0</v>
      </c>
      <c r="G1572" s="48" t="n">
        <f aca="false">Assumptions!$H$111</f>
        <v>0</v>
      </c>
      <c r="H1572" s="48" t="n">
        <f aca="false">Assumptions!$I$111</f>
        <v>0</v>
      </c>
      <c r="I1572" s="48" t="n">
        <f aca="false">Assumptions!$J$111</f>
        <v>0</v>
      </c>
      <c r="J1572" s="48" t="n">
        <f aca="false">Assumptions!$K$111</f>
        <v>0</v>
      </c>
      <c r="K1572" s="48" t="n">
        <f aca="false">Assumptions!$L$111</f>
        <v>0</v>
      </c>
      <c r="L1572" s="48" t="n">
        <f aca="false">Assumptions!$M$111</f>
        <v>0</v>
      </c>
      <c r="M1572" s="48" t="n">
        <f aca="false">Assumptions!$N$111</f>
        <v>0</v>
      </c>
      <c r="N1572" s="48" t="n">
        <f aca="false">Assumptions!$O$111</f>
        <v>0</v>
      </c>
      <c r="P1572" s="49" t="n">
        <f aca="false">F1572</f>
        <v>0</v>
      </c>
      <c r="Q1572" s="49" t="n">
        <f aca="false">J1572</f>
        <v>0</v>
      </c>
      <c r="R1572" s="49" t="n">
        <f aca="false">N1572</f>
        <v>0</v>
      </c>
      <c r="S1572" s="50" t="n">
        <f aca="false">R1572</f>
        <v>0</v>
      </c>
    </row>
    <row r="1573" customFormat="false" ht="15" hidden="false" customHeight="false" outlineLevel="0" collapsed="false">
      <c r="A1573" s="4" t="s">
        <v>493</v>
      </c>
      <c r="B1573" s="36" t="s">
        <v>321</v>
      </c>
      <c r="C1573" s="48" t="n">
        <f aca="false">0</f>
        <v>0</v>
      </c>
      <c r="D1573" s="48" t="n">
        <f aca="false">0.5*C1572</f>
        <v>0</v>
      </c>
      <c r="E1573" s="48" t="n">
        <f aca="false">C1572+0.5*(D1572-C1572)</f>
        <v>0</v>
      </c>
      <c r="F1573" s="48" t="n">
        <f aca="false">D1572+0.5*(E1572-D1572)</f>
        <v>0</v>
      </c>
      <c r="G1573" s="48" t="n">
        <f aca="false">E1572+0.5*(F1572-E1572)</f>
        <v>0</v>
      </c>
      <c r="H1573" s="48" t="n">
        <f aca="false">F1572+0.5*(G1572-F1572)</f>
        <v>0</v>
      </c>
      <c r="I1573" s="48" t="n">
        <f aca="false">G1572+0.5*(H1572-G1572)</f>
        <v>0</v>
      </c>
      <c r="J1573" s="48" t="n">
        <f aca="false">H1572+0.5*(I1572-H1572)</f>
        <v>0</v>
      </c>
      <c r="K1573" s="48" t="n">
        <f aca="false">I1572+0.5*(J1572-I1572)</f>
        <v>0</v>
      </c>
      <c r="L1573" s="48" t="n">
        <f aca="false">J1572+0.5*(K1572-J1572)</f>
        <v>0</v>
      </c>
      <c r="M1573" s="48" t="n">
        <f aca="false">K1572+0.5*(L1572-K1572)</f>
        <v>0</v>
      </c>
      <c r="N1573" s="48" t="n">
        <f aca="false">L1572+0.5*(M1572-L1572)</f>
        <v>0</v>
      </c>
      <c r="P1573" s="49" t="n">
        <f aca="false">F1573</f>
        <v>0</v>
      </c>
      <c r="Q1573" s="49" t="n">
        <f aca="false">J1573</f>
        <v>0</v>
      </c>
      <c r="R1573" s="49" t="n">
        <f aca="false">N1573</f>
        <v>0</v>
      </c>
      <c r="S1573" s="50" t="n">
        <f aca="false">R1573</f>
        <v>0</v>
      </c>
    </row>
    <row r="1574" customFormat="false" ht="15" hidden="false" customHeight="false" outlineLevel="0" collapsed="false">
      <c r="A1574" s="4" t="s">
        <v>494</v>
      </c>
      <c r="B1574" s="36" t="s">
        <v>485</v>
      </c>
      <c r="C1574" s="39" t="n">
        <f aca="false">MIN(C1573*Assumptions!$G$38,C1569*(1-$C$1552))</f>
        <v>0</v>
      </c>
      <c r="D1574" s="39" t="n">
        <f aca="false">MIN(D1573*Assumptions!$G$38,D1569*(1-$C$1552))</f>
        <v>0</v>
      </c>
      <c r="E1574" s="39" t="n">
        <f aca="false">MIN(E1573*Assumptions!$G$38,E1569*(1-$C$1552))</f>
        <v>0</v>
      </c>
      <c r="F1574" s="39" t="n">
        <f aca="false">MIN(F1573*Assumptions!$G$38,F1569*(1-$C$1552))</f>
        <v>0</v>
      </c>
      <c r="G1574" s="39" t="n">
        <f aca="false">MIN(G1573*Assumptions!$G$38,G1569*(1-$C$1552))</f>
        <v>0</v>
      </c>
      <c r="H1574" s="39" t="n">
        <f aca="false">MIN(H1573*Assumptions!$G$38,H1569*(1-$C$1552))</f>
        <v>0</v>
      </c>
      <c r="I1574" s="39" t="n">
        <f aca="false">MIN(I1573*Assumptions!$G$38,I1569*(1-$C$1552))</f>
        <v>0</v>
      </c>
      <c r="J1574" s="39" t="n">
        <f aca="false">MIN(J1573*Assumptions!$G$38,J1569*(1-$C$1552))</f>
        <v>0</v>
      </c>
      <c r="K1574" s="39" t="n">
        <f aca="false">MIN(K1573*Assumptions!$G$38,K1569*(1-$C$1552))</f>
        <v>0</v>
      </c>
      <c r="L1574" s="39" t="n">
        <f aca="false">MIN(L1573*Assumptions!$G$38,L1569*(1-$C$1552))</f>
        <v>0</v>
      </c>
      <c r="M1574" s="39" t="n">
        <f aca="false">MIN(M1573*Assumptions!$G$38,M1569*(1-$C$1552))</f>
        <v>0</v>
      </c>
      <c r="N1574" s="39" t="n">
        <f aca="false">MIN(N1573*Assumptions!$G$38,N1569*(1-$C$1552))</f>
        <v>0</v>
      </c>
      <c r="P1574" s="40" t="n">
        <f aca="false">SUM(C1574:F1574)</f>
        <v>0</v>
      </c>
      <c r="Q1574" s="40" t="n">
        <f aca="false">SUM(G1574:J1574)</f>
        <v>0</v>
      </c>
      <c r="R1574" s="40" t="n">
        <f aca="false">SUM(K1574:N1574)</f>
        <v>0</v>
      </c>
      <c r="S1574" s="41" t="n">
        <f aca="false">SUM(P1574:R1574)</f>
        <v>0</v>
      </c>
    </row>
    <row r="1575" customFormat="false" ht="15" hidden="false" customHeight="false" outlineLevel="0" collapsed="false">
      <c r="A1575" s="4" t="s">
        <v>495</v>
      </c>
      <c r="B1575" s="36" t="s">
        <v>491</v>
      </c>
      <c r="C1575" s="48" t="n">
        <f aca="false">C1574*Assumptions!$G$20*Assumptions!$G$39*IF(C1569&gt;0,C1570/C1569,0)*C1559</f>
        <v>0</v>
      </c>
      <c r="D1575" s="48" t="n">
        <f aca="false">D1574*Assumptions!$G$20*Assumptions!$G$39*IF(D1569&gt;0,D1570/D1569,0)*D1559</f>
        <v>0</v>
      </c>
      <c r="E1575" s="48" t="n">
        <f aca="false">E1574*Assumptions!$G$20*Assumptions!$G$39*IF(E1569&gt;0,E1570/E1569,0)*E1559</f>
        <v>0</v>
      </c>
      <c r="F1575" s="48" t="n">
        <f aca="false">F1574*Assumptions!$G$20*Assumptions!$G$39*IF(F1569&gt;0,F1570/F1569,0)*F1559</f>
        <v>0</v>
      </c>
      <c r="G1575" s="48" t="n">
        <f aca="false">G1574*Assumptions!$G$20*Assumptions!$G$39*IF(G1569&gt;0,G1570/G1569,0)*G1559</f>
        <v>0</v>
      </c>
      <c r="H1575" s="48" t="n">
        <f aca="false">H1574*Assumptions!$G$20*Assumptions!$G$39*IF(H1569&gt;0,H1570/H1569,0)*H1559</f>
        <v>0</v>
      </c>
      <c r="I1575" s="48" t="n">
        <f aca="false">I1574*Assumptions!$G$20*Assumptions!$G$39*IF(I1569&gt;0,I1570/I1569,0)*I1559</f>
        <v>0</v>
      </c>
      <c r="J1575" s="48" t="n">
        <f aca="false">J1574*Assumptions!$G$20*Assumptions!$G$39*IF(J1569&gt;0,J1570/J1569,0)*J1559</f>
        <v>0</v>
      </c>
      <c r="K1575" s="48" t="n">
        <f aca="false">K1574*Assumptions!$G$20*Assumptions!$G$39*IF(K1569&gt;0,K1570/K1569,0)*K1559</f>
        <v>0</v>
      </c>
      <c r="L1575" s="48" t="n">
        <f aca="false">L1574*Assumptions!$G$20*Assumptions!$G$39*IF(L1569&gt;0,L1570/L1569,0)*L1559</f>
        <v>0</v>
      </c>
      <c r="M1575" s="48" t="n">
        <f aca="false">M1574*Assumptions!$G$20*Assumptions!$G$39*IF(M1569&gt;0,M1570/M1569,0)*M1559</f>
        <v>0</v>
      </c>
      <c r="N1575" s="48" t="n">
        <f aca="false">N1574*Assumptions!$G$20*Assumptions!$G$39*IF(N1569&gt;0,N1570/N1569,0)*N1559</f>
        <v>0</v>
      </c>
      <c r="P1575" s="49" t="n">
        <f aca="false">SUM(C1575:F1575)</f>
        <v>0</v>
      </c>
      <c r="Q1575" s="49" t="n">
        <f aca="false">SUM(G1575:J1575)</f>
        <v>0</v>
      </c>
      <c r="R1575" s="49" t="n">
        <f aca="false">SUM(K1575:N1575)</f>
        <v>0</v>
      </c>
      <c r="S1575" s="50" t="n">
        <f aca="false">SUM(P1575:R1575)</f>
        <v>0</v>
      </c>
    </row>
    <row r="1576" customFormat="false" ht="15" hidden="false" customHeight="false" outlineLevel="0" collapsed="false">
      <c r="A1576" s="4" t="s">
        <v>496</v>
      </c>
      <c r="B1576" s="36" t="s">
        <v>497</v>
      </c>
      <c r="C1576" s="48" t="n">
        <f aca="false">IF(AND(C1569&gt;0,$C$1556&gt;0),C1569*Assumptions!$G$24*(1-EXP(-$C$1556/(Assumptions!$G$23*C1569*Assumptions!$G$24))),0)</f>
        <v>0</v>
      </c>
      <c r="D1576" s="48" t="n">
        <f aca="false">IF(AND(D1569&gt;0,$C$1556&gt;0),D1569*Assumptions!$G$24*(1-EXP(-$C$1556/(Assumptions!$G$23*D1569*Assumptions!$G$24))),0)</f>
        <v>0</v>
      </c>
      <c r="E1576" s="48" t="n">
        <f aca="false">IF(AND(E1569&gt;0,$C$1556&gt;0),E1569*Assumptions!$G$24*(1-EXP(-$C$1556/(Assumptions!$G$23*E1569*Assumptions!$G$24))),0)</f>
        <v>0</v>
      </c>
      <c r="F1576" s="48" t="n">
        <f aca="false">IF(AND(F1569&gt;0,$C$1556&gt;0),F1569*Assumptions!$G$24*(1-EXP(-$C$1556/(Assumptions!$G$23*F1569*Assumptions!$G$24))),0)</f>
        <v>0</v>
      </c>
      <c r="G1576" s="48" t="n">
        <f aca="false">IF(AND(G1569&gt;0,$C$1556&gt;0),G1569*Assumptions!$G$24*(1-EXP(-$C$1556/(Assumptions!$G$23*G1569*Assumptions!$G$24))),0)</f>
        <v>0</v>
      </c>
      <c r="H1576" s="48" t="n">
        <f aca="false">IF(AND(H1569&gt;0,$C$1556&gt;0),H1569*Assumptions!$G$24*(1-EXP(-$C$1556/(Assumptions!$G$23*H1569*Assumptions!$G$24))),0)</f>
        <v>0</v>
      </c>
      <c r="I1576" s="48" t="n">
        <f aca="false">IF(AND(I1569&gt;0,$C$1556&gt;0),I1569*Assumptions!$G$24*(1-EXP(-$C$1556/(Assumptions!$G$23*I1569*Assumptions!$G$24))),0)</f>
        <v>0</v>
      </c>
      <c r="J1576" s="48" t="n">
        <f aca="false">IF(AND(J1569&gt;0,$C$1556&gt;0),J1569*Assumptions!$G$24*(1-EXP(-$C$1556/(Assumptions!$G$23*J1569*Assumptions!$G$24))),0)</f>
        <v>0</v>
      </c>
      <c r="K1576" s="48" t="n">
        <f aca="false">IF(AND(K1569&gt;0,$C$1556&gt;0),K1569*Assumptions!$G$24*(1-EXP(-$C$1556/(Assumptions!$G$23*K1569*Assumptions!$G$24))),0)</f>
        <v>0</v>
      </c>
      <c r="L1576" s="48" t="n">
        <f aca="false">IF(AND(L1569&gt;0,$C$1556&gt;0),L1569*Assumptions!$G$24*(1-EXP(-$C$1556/(Assumptions!$G$23*L1569*Assumptions!$G$24))),0)</f>
        <v>0</v>
      </c>
      <c r="M1576" s="48" t="n">
        <f aca="false">IF(AND(M1569&gt;0,$C$1556&gt;0),M1569*Assumptions!$G$24*(1-EXP(-$C$1556/(Assumptions!$G$23*M1569*Assumptions!$G$24))),0)</f>
        <v>0</v>
      </c>
      <c r="N1576" s="48" t="n">
        <f aca="false">IF(AND(N1569&gt;0,$C$1556&gt;0),N1569*Assumptions!$G$24*(1-EXP(-$C$1556/(Assumptions!$G$23*N1569*Assumptions!$G$24))),0)</f>
        <v>0</v>
      </c>
      <c r="P1576" s="49" t="n">
        <f aca="false">SUM(C1576:F1576)</f>
        <v>0</v>
      </c>
      <c r="Q1576" s="49" t="n">
        <f aca="false">SUM(G1576:J1576)</f>
        <v>0</v>
      </c>
      <c r="R1576" s="49" t="n">
        <f aca="false">SUM(K1576:N1576)</f>
        <v>0</v>
      </c>
      <c r="S1576" s="50" t="n">
        <f aca="false">SUM(P1576:R1576)</f>
        <v>0</v>
      </c>
    </row>
    <row r="1577" customFormat="false" ht="15" hidden="false" customHeight="false" outlineLevel="0" collapsed="false">
      <c r="A1577" s="4" t="s">
        <v>498</v>
      </c>
      <c r="B1577" s="36" t="s">
        <v>497</v>
      </c>
      <c r="C1577" s="48" t="n">
        <f aca="false">(C1569*Assumptions!$G$22*MIN(1,Assumptions!$D$103/Assumptions!$G$78)+C1576)*C1559</f>
        <v>17.17343397</v>
      </c>
      <c r="D1577" s="48" t="n">
        <f aca="false">(D1569*Assumptions!$G$22*MIN(1,Assumptions!$D$103/Assumptions!$G$78)+D1576)*D1559</f>
        <v>34.34686794</v>
      </c>
      <c r="E1577" s="48" t="n">
        <f aca="false">(E1569*Assumptions!$G$22*MIN(1,Assumptions!$D$103/Assumptions!$G$78)+E1576)*E1559</f>
        <v>34.34686794</v>
      </c>
      <c r="F1577" s="48" t="n">
        <f aca="false">(F1569*Assumptions!$G$22*MIN(1,Assumptions!$D$103/Assumptions!$G$78)+F1576)*F1559</f>
        <v>34.34686794</v>
      </c>
      <c r="G1577" s="48" t="n">
        <f aca="false">(G1569*Assumptions!$G$22*MIN(1,Assumptions!$D$103/Assumptions!$G$78)+G1576)*G1559</f>
        <v>34.34686794</v>
      </c>
      <c r="H1577" s="48" t="n">
        <f aca="false">(H1569*Assumptions!$G$22*MIN(1,Assumptions!$D$103/Assumptions!$G$78)+H1576)*H1559</f>
        <v>34.34686794</v>
      </c>
      <c r="I1577" s="48" t="n">
        <f aca="false">(I1569*Assumptions!$G$22*MIN(1,Assumptions!$D$103/Assumptions!$G$78)+I1576)*I1559</f>
        <v>51.2677571175</v>
      </c>
      <c r="J1577" s="48" t="n">
        <f aca="false">(J1569*Assumptions!$G$22*MIN(1,Assumptions!$D$103/Assumptions!$G$78)+J1576)*J1559</f>
        <v>68.188646295</v>
      </c>
      <c r="K1577" s="48" t="n">
        <f aca="false">(K1569*Assumptions!$G$22*MIN(1,Assumptions!$D$103/Assumptions!$G$78)+K1576)*K1559</f>
        <v>68.188646295</v>
      </c>
      <c r="L1577" s="48" t="n">
        <f aca="false">(L1569*Assumptions!$G$22*MIN(1,Assumptions!$D$103/Assumptions!$G$78)+L1576)*L1559</f>
        <v>68.188646295</v>
      </c>
      <c r="M1577" s="48" t="n">
        <f aca="false">(M1569*Assumptions!$G$22*MIN(1,Assumptions!$D$103/Assumptions!$G$78)+M1576)*M1559</f>
        <v>68.188646295</v>
      </c>
      <c r="N1577" s="48" t="n">
        <f aca="false">(N1569*Assumptions!$G$22*MIN(1,Assumptions!$D$103/Assumptions!$G$78)+N1576)*N1559</f>
        <v>68.188646295</v>
      </c>
      <c r="P1577" s="49" t="n">
        <f aca="false">SUM(C1577:F1577)</f>
        <v>120.21403779</v>
      </c>
      <c r="Q1577" s="49" t="n">
        <f aca="false">SUM(G1577:J1577)</f>
        <v>188.1501392925</v>
      </c>
      <c r="R1577" s="49" t="n">
        <f aca="false">SUM(K1577:N1577)</f>
        <v>272.75458518</v>
      </c>
      <c r="S1577" s="50" t="n">
        <f aca="false">SUM(P1577:R1577)</f>
        <v>581.1187622625</v>
      </c>
    </row>
    <row r="1578" customFormat="false" ht="15" hidden="false" customHeight="false" outlineLevel="0" collapsed="false">
      <c r="A1578" s="4" t="s">
        <v>499</v>
      </c>
      <c r="B1578" s="36" t="s">
        <v>500</v>
      </c>
      <c r="C1578" s="48" t="n">
        <f aca="false">C1559*MIN(Assumptions!$G$27,Assumptions!$G$25+Assumptions!$G$26*(C1558-1))*Assumptions!$D$107</f>
        <v>2</v>
      </c>
      <c r="D1578" s="48" t="n">
        <f aca="false">D1559*MIN(Assumptions!$G$27,Assumptions!$G$25+Assumptions!$G$26*(D1558-1))*Assumptions!$D$107</f>
        <v>3</v>
      </c>
      <c r="E1578" s="48" t="n">
        <f aca="false">E1559*MIN(Assumptions!$G$27,Assumptions!$G$25+Assumptions!$G$26*(E1558-1))*Assumptions!$D$107</f>
        <v>4</v>
      </c>
      <c r="F1578" s="48" t="n">
        <f aca="false">F1559*MIN(Assumptions!$G$27,Assumptions!$G$25+Assumptions!$G$26*(F1558-1))*Assumptions!$D$107</f>
        <v>5</v>
      </c>
      <c r="G1578" s="48" t="n">
        <f aca="false">G1559*MIN(Assumptions!$G$27,Assumptions!$G$25+Assumptions!$G$26*(G1558-1))*Assumptions!$D$107</f>
        <v>6</v>
      </c>
      <c r="H1578" s="48" t="n">
        <f aca="false">H1559*MIN(Assumptions!$G$27,Assumptions!$G$25+Assumptions!$G$26*(H1558-1))*Assumptions!$D$107</f>
        <v>6</v>
      </c>
      <c r="I1578" s="48" t="n">
        <f aca="false">I1559*MIN(Assumptions!$G$27,Assumptions!$G$25+Assumptions!$G$26*(I1558-1))*Assumptions!$D$107</f>
        <v>6</v>
      </c>
      <c r="J1578" s="48" t="n">
        <f aca="false">J1559*MIN(Assumptions!$G$27,Assumptions!$G$25+Assumptions!$G$26*(J1558-1))*Assumptions!$D$107</f>
        <v>6</v>
      </c>
      <c r="K1578" s="48" t="n">
        <f aca="false">K1559*MIN(Assumptions!$G$27,Assumptions!$G$25+Assumptions!$G$26*(K1558-1))*Assumptions!$D$107</f>
        <v>6</v>
      </c>
      <c r="L1578" s="48" t="n">
        <f aca="false">L1559*MIN(Assumptions!$G$27,Assumptions!$G$25+Assumptions!$G$26*(L1558-1))*Assumptions!$D$107</f>
        <v>6</v>
      </c>
      <c r="M1578" s="48" t="n">
        <f aca="false">M1559*MIN(Assumptions!$G$27,Assumptions!$G$25+Assumptions!$G$26*(M1558-1))*Assumptions!$D$107</f>
        <v>6</v>
      </c>
      <c r="N1578" s="48" t="n">
        <f aca="false">N1559*MIN(Assumptions!$G$27,Assumptions!$G$25+Assumptions!$G$26*(N1558-1))*Assumptions!$D$107</f>
        <v>6</v>
      </c>
      <c r="P1578" s="49" t="n">
        <f aca="false">F1578</f>
        <v>5</v>
      </c>
      <c r="Q1578" s="49" t="n">
        <f aca="false">J1578</f>
        <v>6</v>
      </c>
      <c r="R1578" s="49" t="n">
        <f aca="false">N1578</f>
        <v>6</v>
      </c>
      <c r="S1578" s="50" t="n">
        <f aca="false">R1578</f>
        <v>6</v>
      </c>
    </row>
    <row r="1579" customFormat="false" ht="15" hidden="false" customHeight="false" outlineLevel="0" collapsed="false">
      <c r="A1579" s="4" t="s">
        <v>501</v>
      </c>
      <c r="B1579" s="36" t="s">
        <v>502</v>
      </c>
      <c r="C1579" s="48" t="n">
        <f aca="false">C1578*Assumptions!$G$28</f>
        <v>4</v>
      </c>
      <c r="D1579" s="48" t="n">
        <f aca="false">D1578*Assumptions!$G$28</f>
        <v>6</v>
      </c>
      <c r="E1579" s="48" t="n">
        <f aca="false">E1578*Assumptions!$G$28</f>
        <v>8</v>
      </c>
      <c r="F1579" s="48" t="n">
        <f aca="false">F1578*Assumptions!$G$28</f>
        <v>10</v>
      </c>
      <c r="G1579" s="48" t="n">
        <f aca="false">G1578*Assumptions!$G$28</f>
        <v>12</v>
      </c>
      <c r="H1579" s="48" t="n">
        <f aca="false">H1578*Assumptions!$G$28</f>
        <v>12</v>
      </c>
      <c r="I1579" s="48" t="n">
        <f aca="false">I1578*Assumptions!$G$28</f>
        <v>12</v>
      </c>
      <c r="J1579" s="48" t="n">
        <f aca="false">J1578*Assumptions!$G$28</f>
        <v>12</v>
      </c>
      <c r="K1579" s="48" t="n">
        <f aca="false">K1578*Assumptions!$G$28</f>
        <v>12</v>
      </c>
      <c r="L1579" s="48" t="n">
        <f aca="false">L1578*Assumptions!$G$28</f>
        <v>12</v>
      </c>
      <c r="M1579" s="48" t="n">
        <f aca="false">M1578*Assumptions!$G$28</f>
        <v>12</v>
      </c>
      <c r="N1579" s="48" t="n">
        <f aca="false">N1578*Assumptions!$G$28</f>
        <v>12</v>
      </c>
      <c r="P1579" s="49" t="n">
        <f aca="false">SUM(C1579:F1579)</f>
        <v>28</v>
      </c>
      <c r="Q1579" s="49" t="n">
        <f aca="false">SUM(G1579:J1579)</f>
        <v>48</v>
      </c>
      <c r="R1579" s="49" t="n">
        <f aca="false">SUM(K1579:N1579)</f>
        <v>48</v>
      </c>
      <c r="S1579" s="50" t="n">
        <f aca="false">SUM(P1579:R1579)</f>
        <v>124</v>
      </c>
    </row>
    <row r="1580" customFormat="false" ht="15" hidden="false" customHeight="false" outlineLevel="0" collapsed="false">
      <c r="A1580" s="4" t="s">
        <v>503</v>
      </c>
      <c r="B1580" s="36" t="s">
        <v>504</v>
      </c>
      <c r="C1580" s="48" t="n">
        <f aca="false">(C1571+C1575)*Assumptions!$G$29</f>
        <v>2.31841358595</v>
      </c>
      <c r="D1580" s="48" t="n">
        <f aca="false">(D1571+D1575)*Assumptions!$G$29</f>
        <v>4.08092601547171</v>
      </c>
      <c r="E1580" s="48" t="n">
        <f aca="false">(E1571+E1575)*Assumptions!$G$29</f>
        <v>3.59167088320215</v>
      </c>
      <c r="F1580" s="48" t="n">
        <f aca="false">(F1571+F1575)*Assumptions!$G$29</f>
        <v>3.1610716990053</v>
      </c>
      <c r="G1580" s="48" t="n">
        <f aca="false">(G1571+G1575)*Assumptions!$G$29</f>
        <v>2.78209630314</v>
      </c>
      <c r="H1580" s="48" t="n">
        <f aca="false">(H1571+H1575)*Assumptions!$G$29</f>
        <v>2.44855560928302</v>
      </c>
      <c r="I1580" s="48" t="n">
        <f aca="false">(I1571+I1575)*Assumptions!$G$29</f>
        <v>4.43932256888379</v>
      </c>
      <c r="J1580" s="48" t="n">
        <f aca="false">(J1571+J1575)*Assumptions!$G$29</f>
        <v>5.91755677316966</v>
      </c>
      <c r="K1580" s="48" t="n">
        <f aca="false">(K1571+K1575)*Assumptions!$G$29</f>
        <v>5.20811116920786</v>
      </c>
      <c r="L1580" s="48" t="n">
        <f aca="false">(L1571+L1575)*Assumptions!$G$29</f>
        <v>4.5837197665446</v>
      </c>
      <c r="M1580" s="48" t="n">
        <f aca="false">(M1571+M1575)*Assumptions!$G$29</f>
        <v>4.03418556470777</v>
      </c>
      <c r="N1580" s="48" t="n">
        <f aca="false">(N1571+N1575)*Assumptions!$G$29</f>
        <v>3.55053406390179</v>
      </c>
      <c r="P1580" s="49" t="n">
        <f aca="false">SUM(C1580:F1580)</f>
        <v>13.1520821836292</v>
      </c>
      <c r="Q1580" s="49" t="n">
        <f aca="false">SUM(G1580:J1580)</f>
        <v>15.5875312544765</v>
      </c>
      <c r="R1580" s="49" t="n">
        <f aca="false">SUM(K1580:N1580)</f>
        <v>17.376550564362</v>
      </c>
      <c r="S1580" s="50" t="n">
        <f aca="false">SUM(P1580:R1580)</f>
        <v>46.1161640024676</v>
      </c>
    </row>
    <row r="1581" customFormat="false" ht="15" hidden="false" customHeight="false" outlineLevel="0" collapsed="false">
      <c r="A1581" s="4" t="s">
        <v>505</v>
      </c>
      <c r="B1581" s="36" t="s">
        <v>504</v>
      </c>
      <c r="C1581" s="48" t="n">
        <f aca="false">C1577*Assumptions!$G$31</f>
        <v>1.717343397</v>
      </c>
      <c r="D1581" s="48" t="n">
        <f aca="false">D1577*Assumptions!$G$31</f>
        <v>3.434686794</v>
      </c>
      <c r="E1581" s="48" t="n">
        <f aca="false">E1577*Assumptions!$G$31</f>
        <v>3.434686794</v>
      </c>
      <c r="F1581" s="48" t="n">
        <f aca="false">F1577*Assumptions!$G$31</f>
        <v>3.434686794</v>
      </c>
      <c r="G1581" s="48" t="n">
        <f aca="false">G1577*Assumptions!$G$31</f>
        <v>3.434686794</v>
      </c>
      <c r="H1581" s="48" t="n">
        <f aca="false">H1577*Assumptions!$G$31</f>
        <v>3.434686794</v>
      </c>
      <c r="I1581" s="48" t="n">
        <f aca="false">I1577*Assumptions!$G$31</f>
        <v>5.12677571175</v>
      </c>
      <c r="J1581" s="48" t="n">
        <f aca="false">J1577*Assumptions!$G$31</f>
        <v>6.8188646295</v>
      </c>
      <c r="K1581" s="48" t="n">
        <f aca="false">K1577*Assumptions!$G$31</f>
        <v>6.8188646295</v>
      </c>
      <c r="L1581" s="48" t="n">
        <f aca="false">L1577*Assumptions!$G$31</f>
        <v>6.8188646295</v>
      </c>
      <c r="M1581" s="48" t="n">
        <f aca="false">M1577*Assumptions!$G$31</f>
        <v>6.8188646295</v>
      </c>
      <c r="N1581" s="48" t="n">
        <f aca="false">N1577*Assumptions!$G$31</f>
        <v>6.8188646295</v>
      </c>
      <c r="P1581" s="49" t="n">
        <f aca="false">SUM(C1581:F1581)</f>
        <v>12.021403779</v>
      </c>
      <c r="Q1581" s="49" t="n">
        <f aca="false">SUM(G1581:J1581)</f>
        <v>18.81501392925</v>
      </c>
      <c r="R1581" s="49" t="n">
        <f aca="false">SUM(K1581:N1581)</f>
        <v>27.275458518</v>
      </c>
      <c r="S1581" s="50" t="n">
        <f aca="false">SUM(P1581:R1581)</f>
        <v>58.11187622625</v>
      </c>
    </row>
    <row r="1582" customFormat="false" ht="15" hidden="false" customHeight="false" outlineLevel="0" collapsed="false">
      <c r="A1582" s="4" t="s">
        <v>506</v>
      </c>
      <c r="B1582" s="36" t="s">
        <v>504</v>
      </c>
      <c r="C1582" s="48" t="n">
        <f aca="false">C1579*Assumptions!$G$30</f>
        <v>1.6</v>
      </c>
      <c r="D1582" s="48" t="n">
        <f aca="false">D1579*Assumptions!$G$30</f>
        <v>2.4</v>
      </c>
      <c r="E1582" s="48" t="n">
        <f aca="false">E1579*Assumptions!$G$30</f>
        <v>3.2</v>
      </c>
      <c r="F1582" s="48" t="n">
        <f aca="false">F1579*Assumptions!$G$30</f>
        <v>4</v>
      </c>
      <c r="G1582" s="48" t="n">
        <f aca="false">G1579*Assumptions!$G$30</f>
        <v>4.8</v>
      </c>
      <c r="H1582" s="48" t="n">
        <f aca="false">H1579*Assumptions!$G$30</f>
        <v>4.8</v>
      </c>
      <c r="I1582" s="48" t="n">
        <f aca="false">I1579*Assumptions!$G$30</f>
        <v>4.8</v>
      </c>
      <c r="J1582" s="48" t="n">
        <f aca="false">J1579*Assumptions!$G$30</f>
        <v>4.8</v>
      </c>
      <c r="K1582" s="48" t="n">
        <f aca="false">K1579*Assumptions!$G$30</f>
        <v>4.8</v>
      </c>
      <c r="L1582" s="48" t="n">
        <f aca="false">L1579*Assumptions!$G$30</f>
        <v>4.8</v>
      </c>
      <c r="M1582" s="48" t="n">
        <f aca="false">M1579*Assumptions!$G$30</f>
        <v>4.8</v>
      </c>
      <c r="N1582" s="48" t="n">
        <f aca="false">N1579*Assumptions!$G$30</f>
        <v>4.8</v>
      </c>
      <c r="P1582" s="49" t="n">
        <f aca="false">SUM(C1582:F1582)</f>
        <v>11.2</v>
      </c>
      <c r="Q1582" s="49" t="n">
        <f aca="false">SUM(G1582:J1582)</f>
        <v>19.2</v>
      </c>
      <c r="R1582" s="49" t="n">
        <f aca="false">SUM(K1582:N1582)</f>
        <v>19.2</v>
      </c>
      <c r="S1582" s="50" t="n">
        <f aca="false">SUM(P1582:R1582)</f>
        <v>49.6</v>
      </c>
    </row>
    <row r="1583" customFormat="false" ht="15" hidden="false" customHeight="false" outlineLevel="0" collapsed="false">
      <c r="A1583" s="9" t="s">
        <v>507</v>
      </c>
      <c r="B1583" s="36" t="s">
        <v>504</v>
      </c>
      <c r="C1583" s="49" t="n">
        <f aca="false">C1580+C1581+C1582</f>
        <v>5.63575698295</v>
      </c>
      <c r="D1583" s="49" t="n">
        <f aca="false">D1580+D1581+D1582</f>
        <v>9.91561280947171</v>
      </c>
      <c r="E1583" s="49" t="n">
        <f aca="false">E1580+E1581+E1582</f>
        <v>10.2263576772021</v>
      </c>
      <c r="F1583" s="49" t="n">
        <f aca="false">F1580+F1581+F1582</f>
        <v>10.5957584930053</v>
      </c>
      <c r="G1583" s="49" t="n">
        <f aca="false">G1580+G1581+G1582</f>
        <v>11.01678309714</v>
      </c>
      <c r="H1583" s="49" t="n">
        <f aca="false">H1580+H1581+H1582</f>
        <v>10.683242403283</v>
      </c>
      <c r="I1583" s="49" t="n">
        <f aca="false">I1580+I1581+I1582</f>
        <v>14.3660982806338</v>
      </c>
      <c r="J1583" s="49" t="n">
        <f aca="false">J1580+J1581+J1582</f>
        <v>17.5364214026697</v>
      </c>
      <c r="K1583" s="49" t="n">
        <f aca="false">K1580+K1581+K1582</f>
        <v>16.8269757987079</v>
      </c>
      <c r="L1583" s="49" t="n">
        <f aca="false">L1580+L1581+L1582</f>
        <v>16.2025843960446</v>
      </c>
      <c r="M1583" s="49" t="n">
        <f aca="false">M1580+M1581+M1582</f>
        <v>15.6530501942078</v>
      </c>
      <c r="N1583" s="49" t="n">
        <f aca="false">N1580+N1581+N1582</f>
        <v>15.1693986934018</v>
      </c>
      <c r="P1583" s="49" t="n">
        <f aca="false">SUM(C1583:F1583)</f>
        <v>36.3734859626292</v>
      </c>
      <c r="Q1583" s="49" t="n">
        <f aca="false">SUM(G1583:J1583)</f>
        <v>53.6025451837265</v>
      </c>
      <c r="R1583" s="49" t="n">
        <f aca="false">SUM(K1583:N1583)</f>
        <v>63.852009082362</v>
      </c>
      <c r="S1583" s="50" t="n">
        <f aca="false">SUM(P1583:R1583)</f>
        <v>153.828040228718</v>
      </c>
    </row>
    <row r="1584" customFormat="false" ht="15" hidden="false" customHeight="false" outlineLevel="0" collapsed="false">
      <c r="A1584" s="4" t="s">
        <v>508</v>
      </c>
      <c r="B1584" s="36" t="s">
        <v>509</v>
      </c>
      <c r="C1584" s="48" t="n">
        <f aca="false">C1566</f>
        <v>1371.907152</v>
      </c>
      <c r="D1584" s="48" t="n">
        <f aca="false">D1566</f>
        <v>2743.814304</v>
      </c>
      <c r="E1584" s="48" t="n">
        <f aca="false">E1566</f>
        <v>2743.814304</v>
      </c>
      <c r="F1584" s="48" t="n">
        <f aca="false">F1566</f>
        <v>2743.814304</v>
      </c>
      <c r="G1584" s="48" t="n">
        <f aca="false">G1566</f>
        <v>2743.814304</v>
      </c>
      <c r="H1584" s="48" t="n">
        <f aca="false">H1566</f>
        <v>2743.814304</v>
      </c>
      <c r="I1584" s="48" t="n">
        <f aca="false">I1566</f>
        <v>4099.55809725</v>
      </c>
      <c r="J1584" s="48" t="n">
        <f aca="false">J1566</f>
        <v>5455.3018905</v>
      </c>
      <c r="K1584" s="48" t="n">
        <f aca="false">K1566</f>
        <v>5455.3018905</v>
      </c>
      <c r="L1584" s="48" t="n">
        <f aca="false">L1566</f>
        <v>5455.3018905</v>
      </c>
      <c r="M1584" s="48" t="n">
        <f aca="false">M1566</f>
        <v>5455.3018905</v>
      </c>
      <c r="N1584" s="48" t="n">
        <f aca="false">N1566</f>
        <v>5455.3018905</v>
      </c>
      <c r="P1584" s="49"/>
      <c r="Q1584" s="49"/>
      <c r="R1584" s="49"/>
      <c r="S1584" s="50"/>
    </row>
    <row r="1585" customFormat="false" ht="15" hidden="false" customHeight="false" outlineLevel="0" collapsed="false">
      <c r="A1585" s="4" t="s">
        <v>510</v>
      </c>
      <c r="B1585" s="36" t="s">
        <v>509</v>
      </c>
      <c r="C1585" s="48" t="n">
        <f aca="false">C1567*Assumptions!$G$18*Assumptions!$G$33</f>
        <v>560.531664</v>
      </c>
      <c r="D1585" s="48" t="n">
        <f aca="false">D1567*Assumptions!$G$18*Assumptions!$G$33</f>
        <v>1121.063328</v>
      </c>
      <c r="E1585" s="48" t="n">
        <f aca="false">E1567*Assumptions!$G$18*Assumptions!$G$33</f>
        <v>1121.063328</v>
      </c>
      <c r="F1585" s="48" t="n">
        <f aca="false">F1567*Assumptions!$G$18*Assumptions!$G$33</f>
        <v>1121.063328</v>
      </c>
      <c r="G1585" s="48" t="n">
        <f aca="false">G1567*Assumptions!$G$18*Assumptions!$G$33</f>
        <v>1121.063328</v>
      </c>
      <c r="H1585" s="48" t="n">
        <f aca="false">H1567*Assumptions!$G$18*Assumptions!$G$33</f>
        <v>1121.063328</v>
      </c>
      <c r="I1585" s="48" t="n">
        <f aca="false">I1567*Assumptions!$G$18*Assumptions!$G$33</f>
        <v>1679.579055</v>
      </c>
      <c r="J1585" s="48" t="n">
        <f aca="false">J1567*Assumptions!$G$18*Assumptions!$G$33</f>
        <v>2238.094782</v>
      </c>
      <c r="K1585" s="48" t="n">
        <f aca="false">K1567*Assumptions!$G$18*Assumptions!$G$33</f>
        <v>2238.094782</v>
      </c>
      <c r="L1585" s="48" t="n">
        <f aca="false">L1567*Assumptions!$G$18*Assumptions!$G$33</f>
        <v>2238.094782</v>
      </c>
      <c r="M1585" s="48" t="n">
        <f aca="false">M1567*Assumptions!$G$18*Assumptions!$G$33</f>
        <v>2238.094782</v>
      </c>
      <c r="N1585" s="48" t="n">
        <f aca="false">N1567*Assumptions!$G$18*Assumptions!$G$33</f>
        <v>2238.094782</v>
      </c>
      <c r="P1585" s="49"/>
      <c r="Q1585" s="49"/>
      <c r="R1585" s="49"/>
      <c r="S1585" s="50"/>
    </row>
    <row r="1586" customFormat="false" ht="15" hidden="false" customHeight="false" outlineLevel="0" collapsed="false">
      <c r="A1586" s="4" t="s">
        <v>511</v>
      </c>
      <c r="B1586" s="36" t="s">
        <v>509</v>
      </c>
      <c r="C1586" s="48" t="n">
        <f aca="false">C1568*Assumptions!$G$19*Assumptions!$G$34</f>
        <v>65.170413</v>
      </c>
      <c r="D1586" s="48" t="n">
        <f aca="false">D1568*Assumptions!$G$19*Assumptions!$G$34</f>
        <v>130.340826</v>
      </c>
      <c r="E1586" s="48" t="n">
        <f aca="false">E1568*Assumptions!$G$19*Assumptions!$G$34</f>
        <v>130.340826</v>
      </c>
      <c r="F1586" s="48" t="n">
        <f aca="false">F1568*Assumptions!$G$19*Assumptions!$G$34</f>
        <v>130.340826</v>
      </c>
      <c r="G1586" s="48" t="n">
        <f aca="false">G1568*Assumptions!$G$19*Assumptions!$G$34</f>
        <v>130.340826</v>
      </c>
      <c r="H1586" s="48" t="n">
        <f aca="false">H1568*Assumptions!$G$19*Assumptions!$G$34</f>
        <v>130.340826</v>
      </c>
      <c r="I1586" s="48" t="n">
        <f aca="false">I1568*Assumptions!$G$19*Assumptions!$G$34</f>
        <v>187.428087</v>
      </c>
      <c r="J1586" s="48" t="n">
        <f aca="false">J1568*Assumptions!$G$19*Assumptions!$G$34</f>
        <v>244.515348</v>
      </c>
      <c r="K1586" s="48" t="n">
        <f aca="false">K1568*Assumptions!$G$19*Assumptions!$G$34</f>
        <v>244.515348</v>
      </c>
      <c r="L1586" s="48" t="n">
        <f aca="false">L1568*Assumptions!$G$19*Assumptions!$G$34</f>
        <v>244.515348</v>
      </c>
      <c r="M1586" s="48" t="n">
        <f aca="false">M1568*Assumptions!$G$19*Assumptions!$G$34</f>
        <v>244.515348</v>
      </c>
      <c r="N1586" s="48" t="n">
        <f aca="false">N1568*Assumptions!$G$19*Assumptions!$G$34</f>
        <v>244.515348</v>
      </c>
      <c r="P1586" s="49"/>
      <c r="Q1586" s="49"/>
      <c r="R1586" s="49"/>
      <c r="S1586" s="50"/>
    </row>
    <row r="1587" customFormat="false" ht="15" hidden="false" customHeight="false" outlineLevel="0" collapsed="false">
      <c r="A1587" s="4" t="s">
        <v>512</v>
      </c>
      <c r="B1587" s="36" t="s">
        <v>77</v>
      </c>
      <c r="C1587" s="51" t="n">
        <f aca="false">IFERROR(C1584/(C1584+C1585+C1586),0)</f>
        <v>0.686774536322489</v>
      </c>
      <c r="D1587" s="51" t="n">
        <f aca="false">IFERROR(D1584/(D1584+D1585+D1586),0)</f>
        <v>0.686774536322489</v>
      </c>
      <c r="E1587" s="51" t="n">
        <f aca="false">IFERROR(E1584/(E1584+E1585+E1586),0)</f>
        <v>0.686774536322489</v>
      </c>
      <c r="F1587" s="51" t="n">
        <f aca="false">IFERROR(F1584/(F1584+F1585+F1586),0)</f>
        <v>0.686774536322489</v>
      </c>
      <c r="G1587" s="51" t="n">
        <f aca="false">IFERROR(G1584/(G1584+G1585+G1586),0)</f>
        <v>0.686774536322489</v>
      </c>
      <c r="H1587" s="51" t="n">
        <f aca="false">IFERROR(H1584/(H1584+H1585+H1586),0)</f>
        <v>0.686774536322489</v>
      </c>
      <c r="I1587" s="51" t="n">
        <f aca="false">IFERROR(I1584/(I1584+I1585+I1586),0)</f>
        <v>0.687088455897839</v>
      </c>
      <c r="J1587" s="51" t="n">
        <f aca="false">IFERROR(J1584/(J1584+J1585+J1586),0)</f>
        <v>0.687246454283122</v>
      </c>
      <c r="K1587" s="51" t="n">
        <f aca="false">IFERROR(K1584/(K1584+K1585+K1586),0)</f>
        <v>0.687246454283122</v>
      </c>
      <c r="L1587" s="51" t="n">
        <f aca="false">IFERROR(L1584/(L1584+L1585+L1586),0)</f>
        <v>0.687246454283122</v>
      </c>
      <c r="M1587" s="51" t="n">
        <f aca="false">IFERROR(M1584/(M1584+M1585+M1586),0)</f>
        <v>0.687246454283122</v>
      </c>
      <c r="N1587" s="51" t="n">
        <f aca="false">IFERROR(N1584/(N1584+N1585+N1586),0)</f>
        <v>0.687246454283122</v>
      </c>
      <c r="P1587" s="52"/>
      <c r="Q1587" s="52"/>
      <c r="R1587" s="52"/>
      <c r="S1587" s="53"/>
    </row>
    <row r="1588" customFormat="false" ht="15" hidden="false" customHeight="false" outlineLevel="0" collapsed="false">
      <c r="A1588" s="4" t="s">
        <v>513</v>
      </c>
      <c r="B1588" s="36" t="s">
        <v>77</v>
      </c>
      <c r="C1588" s="51" t="n">
        <f aca="false">IFERROR(C1585/(C1584+C1585+C1586),0)</f>
        <v>0.280601258675903</v>
      </c>
      <c r="D1588" s="51" t="n">
        <f aca="false">IFERROR(D1585/(D1584+D1585+D1586),0)</f>
        <v>0.280601258675903</v>
      </c>
      <c r="E1588" s="51" t="n">
        <f aca="false">IFERROR(E1585/(E1584+E1585+E1586),0)</f>
        <v>0.280601258675903</v>
      </c>
      <c r="F1588" s="51" t="n">
        <f aca="false">IFERROR(F1585/(F1584+F1585+F1586),0)</f>
        <v>0.280601258675903</v>
      </c>
      <c r="G1588" s="51" t="n">
        <f aca="false">IFERROR(G1585/(G1584+G1585+G1586),0)</f>
        <v>0.280601258675903</v>
      </c>
      <c r="H1588" s="51" t="n">
        <f aca="false">IFERROR(H1585/(H1584+H1585+H1586),0)</f>
        <v>0.280601258675903</v>
      </c>
      <c r="I1588" s="51" t="n">
        <f aca="false">IFERROR(I1585/(I1584+I1585+I1586),0)</f>
        <v>0.281498481563762</v>
      </c>
      <c r="J1588" s="51" t="n">
        <f aca="false">IFERROR(J1585/(J1584+J1585+J1586),0)</f>
        <v>0.281950061454451</v>
      </c>
      <c r="K1588" s="51" t="n">
        <f aca="false">IFERROR(K1585/(K1584+K1585+K1586),0)</f>
        <v>0.281950061454451</v>
      </c>
      <c r="L1588" s="51" t="n">
        <f aca="false">IFERROR(L1585/(L1584+L1585+L1586),0)</f>
        <v>0.281950061454451</v>
      </c>
      <c r="M1588" s="51" t="n">
        <f aca="false">IFERROR(M1585/(M1584+M1585+M1586),0)</f>
        <v>0.281950061454451</v>
      </c>
      <c r="N1588" s="51" t="n">
        <f aca="false">IFERROR(N1585/(N1584+N1585+N1586),0)</f>
        <v>0.281950061454451</v>
      </c>
      <c r="P1588" s="52"/>
      <c r="Q1588" s="52"/>
      <c r="R1588" s="52"/>
      <c r="S1588" s="53"/>
    </row>
    <row r="1589" customFormat="false" ht="15" hidden="false" customHeight="false" outlineLevel="0" collapsed="false">
      <c r="A1589" s="4" t="s">
        <v>514</v>
      </c>
      <c r="B1589" s="36" t="s">
        <v>77</v>
      </c>
      <c r="C1589" s="51" t="n">
        <f aca="false">IFERROR(C1586/(C1584+C1585+C1586),0)</f>
        <v>0.0326242050016079</v>
      </c>
      <c r="D1589" s="51" t="n">
        <f aca="false">IFERROR(D1586/(D1584+D1585+D1586),0)</f>
        <v>0.0326242050016079</v>
      </c>
      <c r="E1589" s="51" t="n">
        <f aca="false">IFERROR(E1586/(E1584+E1585+E1586),0)</f>
        <v>0.0326242050016079</v>
      </c>
      <c r="F1589" s="51" t="n">
        <f aca="false">IFERROR(F1586/(F1584+F1585+F1586),0)</f>
        <v>0.0326242050016079</v>
      </c>
      <c r="G1589" s="51" t="n">
        <f aca="false">IFERROR(G1586/(G1584+G1585+G1586),0)</f>
        <v>0.0326242050016079</v>
      </c>
      <c r="H1589" s="51" t="n">
        <f aca="false">IFERROR(H1586/(H1584+H1585+H1586),0)</f>
        <v>0.0326242050016079</v>
      </c>
      <c r="I1589" s="51" t="n">
        <f aca="false">IFERROR(I1586/(I1584+I1585+I1586),0)</f>
        <v>0.0314130625383994</v>
      </c>
      <c r="J1589" s="51" t="n">
        <f aca="false">IFERROR(J1586/(J1584+J1585+J1586),0)</f>
        <v>0.0308034842624268</v>
      </c>
      <c r="K1589" s="51" t="n">
        <f aca="false">IFERROR(K1586/(K1584+K1585+K1586),0)</f>
        <v>0.0308034842624268</v>
      </c>
      <c r="L1589" s="51" t="n">
        <f aca="false">IFERROR(L1586/(L1584+L1585+L1586),0)</f>
        <v>0.0308034842624268</v>
      </c>
      <c r="M1589" s="51" t="n">
        <f aca="false">IFERROR(M1586/(M1584+M1585+M1586),0)</f>
        <v>0.0308034842624268</v>
      </c>
      <c r="N1589" s="51" t="n">
        <f aca="false">IFERROR(N1586/(N1584+N1585+N1586),0)</f>
        <v>0.0308034842624268</v>
      </c>
      <c r="P1589" s="52"/>
      <c r="Q1589" s="52"/>
      <c r="R1589" s="52"/>
      <c r="S1589" s="53"/>
    </row>
    <row r="1590" customFormat="false" ht="15" hidden="false" customHeight="false" outlineLevel="0" collapsed="false">
      <c r="A1590" s="4" t="s">
        <v>515</v>
      </c>
      <c r="B1590" s="36" t="s">
        <v>516</v>
      </c>
      <c r="C1590" s="48" t="n">
        <f aca="false">IF(C1558-Assumptions!$G$35&lt;1,0,INDEX($C$1583:$N$1583,1,C1558-Assumptions!$G$35)*INDEX($C$1587:$N$1587,1,C1558-Assumptions!$G$35)*Assumptions!$G$32)</f>
        <v>0</v>
      </c>
      <c r="D1590" s="48" t="n">
        <f aca="false">IF(D1558-Assumptions!$G$35&lt;1,0,INDEX($C$1583:$N$1583,1,D1558-Assumptions!$G$35)*INDEX($C$1587:$N$1587,1,D1558-Assumptions!$G$35)*Assumptions!$G$32)</f>
        <v>0.503164270542923</v>
      </c>
      <c r="E1590" s="48" t="n">
        <f aca="false">IF(E1558-Assumptions!$G$35&lt;1,0,INDEX($C$1583:$N$1583,1,E1558-Assumptions!$G$35)*INDEX($C$1587:$N$1587,1,E1558-Assumptions!$G$35)*Assumptions!$G$32)</f>
        <v>0.885272750645175</v>
      </c>
      <c r="F1590" s="48" t="n">
        <f aca="false">IF(F1558-Assumptions!$G$35&lt;1,0,INDEX($C$1583:$N$1583,1,F1558-Assumptions!$G$35)*INDEX($C$1587:$N$1587,1,F1558-Assumptions!$G$35)*Assumptions!$G$32)</f>
        <v>0.913016266763696</v>
      </c>
      <c r="G1590" s="48" t="n">
        <f aca="false">IF(G1558-Assumptions!$G$35&lt;1,0,INDEX($C$1583:$N$1583,1,G1558-Assumptions!$G$35)*INDEX($C$1587:$N$1587,1,G1558-Assumptions!$G$35)*Assumptions!$G$32)</f>
        <v>0.945996626382443</v>
      </c>
      <c r="H1590" s="48" t="n">
        <f aca="false">IF(H1558-Assumptions!$G$35&lt;1,0,INDEX($C$1583:$N$1583,1,H1558-Assumptions!$G$35)*INDEX($C$1587:$N$1587,1,H1558-Assumptions!$G$35)*Assumptions!$G$32)</f>
        <v>0.983585993429489</v>
      </c>
      <c r="I1590" s="48" t="n">
        <f aca="false">IF(I1558-Assumptions!$G$35&lt;1,0,INDEX($C$1583:$N$1583,1,I1558-Assumptions!$G$35)*INDEX($C$1587:$N$1587,1,I1558-Assumptions!$G$35)*Assumptions!$G$32)</f>
        <v>0.953807250231609</v>
      </c>
      <c r="J1590" s="48" t="n">
        <f aca="false">IF(J1558-Assumptions!$G$35&lt;1,0,INDEX($C$1583:$N$1583,1,J1558-Assumptions!$G$35)*INDEX($C$1587:$N$1587,1,J1558-Assumptions!$G$35)*Assumptions!$G$32)</f>
        <v>1.28320143703924</v>
      </c>
      <c r="K1590" s="48" t="n">
        <f aca="false">IF(K1558-Assumptions!$G$35&lt;1,0,INDEX($C$1583:$N$1583,1,K1558-Assumptions!$G$35)*INDEX($C$1587:$N$1587,1,K1558-Assumptions!$G$35)*Assumptions!$G$32)</f>
        <v>1.56673964587392</v>
      </c>
      <c r="L1590" s="48" t="n">
        <f aca="false">IF(L1558-Assumptions!$G$35&lt;1,0,INDEX($C$1583:$N$1583,1,L1558-Assumptions!$G$35)*INDEX($C$1587:$N$1587,1,L1558-Assumptions!$G$35)*Assumptions!$G$32)</f>
        <v>1.50335632901609</v>
      </c>
      <c r="M1590" s="48" t="n">
        <f aca="false">IF(M1558-Assumptions!$G$35&lt;1,0,INDEX($C$1583:$N$1583,1,M1558-Assumptions!$G$35)*INDEX($C$1587:$N$1587,1,M1558-Assumptions!$G$35)*Assumptions!$G$32)</f>
        <v>1.44757192793261</v>
      </c>
      <c r="N1590" s="48" t="n">
        <f aca="false">IF(N1558-Assumptions!$G$35&lt;1,0,INDEX($C$1583:$N$1583,1,N1558-Assumptions!$G$35)*INDEX($C$1587:$N$1587,1,N1558-Assumptions!$G$35)*Assumptions!$G$32)</f>
        <v>1.39847542180905</v>
      </c>
      <c r="P1590" s="49" t="n">
        <f aca="false">SUM(C1590:F1590)</f>
        <v>2.30145328795179</v>
      </c>
      <c r="Q1590" s="49" t="n">
        <f aca="false">SUM(G1590:J1590)</f>
        <v>4.16659130708279</v>
      </c>
      <c r="R1590" s="49" t="n">
        <f aca="false">SUM(K1590:N1590)</f>
        <v>5.91614332463167</v>
      </c>
      <c r="S1590" s="50" t="n">
        <f aca="false">SUM(P1590:R1590)</f>
        <v>12.3841879196662</v>
      </c>
    </row>
    <row r="1591" customFormat="false" ht="15" hidden="false" customHeight="false" outlineLevel="0" collapsed="false">
      <c r="A1591" s="4" t="s">
        <v>517</v>
      </c>
      <c r="B1591" s="36" t="s">
        <v>516</v>
      </c>
      <c r="C1591" s="48" t="n">
        <f aca="false">IF(C1558-Assumptions!$G$35&lt;1,0,INDEX($C$1583:$N$1583,1,C1558-Assumptions!$G$35)*INDEX($C$1588:$N$1588,1,C1558-Assumptions!$G$35)*Assumptions!$G$32)</f>
        <v>0</v>
      </c>
      <c r="D1591" s="48" t="n">
        <f aca="false">IF(D1558-Assumptions!$G$35&lt;1,0,INDEX($C$1583:$N$1583,1,D1558-Assumptions!$G$35)*INDEX($C$1588:$N$1588,1,D1558-Assumptions!$G$35)*Assumptions!$G$32)</f>
        <v>0.205582065390946</v>
      </c>
      <c r="E1591" s="48" t="n">
        <f aca="false">IF(E1558-Assumptions!$G$35&lt;1,0,INDEX($C$1583:$N$1583,1,E1558-Assumptions!$G$35)*INDEX($C$1588:$N$1588,1,E1558-Assumptions!$G$35)*Assumptions!$G$32)</f>
        <v>0.361703346534487</v>
      </c>
      <c r="F1591" s="48" t="n">
        <f aca="false">IF(F1558-Assumptions!$G$35&lt;1,0,INDEX($C$1583:$N$1583,1,F1558-Assumptions!$G$35)*INDEX($C$1588:$N$1588,1,F1558-Assumptions!$G$35)*Assumptions!$G$32)</f>
        <v>0.373038748666078</v>
      </c>
      <c r="G1591" s="48" t="n">
        <f aca="false">IF(G1558-Assumptions!$G$35&lt;1,0,INDEX($C$1583:$N$1583,1,G1558-Assumptions!$G$35)*INDEX($C$1588:$N$1588,1,G1558-Assumptions!$G$35)*Assumptions!$G$32)</f>
        <v>0.386513812069213</v>
      </c>
      <c r="H1591" s="48" t="n">
        <f aca="false">IF(H1558-Assumptions!$G$35&lt;1,0,INDEX($C$1583:$N$1583,1,H1558-Assumptions!$G$35)*INDEX($C$1588:$N$1588,1,H1558-Assumptions!$G$35)*Assumptions!$G$32)</f>
        <v>0.401872016470197</v>
      </c>
      <c r="I1591" s="48" t="n">
        <f aca="false">IF(I1558-Assumptions!$G$35&lt;1,0,INDEX($C$1583:$N$1583,1,I1558-Assumptions!$G$35)*INDEX($C$1588:$N$1588,1,I1558-Assumptions!$G$35)*Assumptions!$G$32)</f>
        <v>0.389705064463129</v>
      </c>
      <c r="J1591" s="48" t="n">
        <f aca="false">IF(J1558-Assumptions!$G$35&lt;1,0,INDEX($C$1583:$N$1583,1,J1558-Assumptions!$G$35)*INDEX($C$1588:$N$1588,1,J1558-Assumptions!$G$35)*Assumptions!$G$32)</f>
        <v>0.525724530759244</v>
      </c>
      <c r="K1591" s="48" t="n">
        <f aca="false">IF(K1558-Assumptions!$G$35&lt;1,0,INDEX($C$1583:$N$1583,1,K1558-Assumptions!$G$35)*INDEX($C$1588:$N$1588,1,K1558-Assumptions!$G$35)*Assumptions!$G$32)</f>
        <v>0.642771361982602</v>
      </c>
      <c r="L1591" s="48" t="n">
        <f aca="false">IF(L1558-Assumptions!$G$35&lt;1,0,INDEX($C$1583:$N$1583,1,L1558-Assumptions!$G$35)*INDEX($C$1588:$N$1588,1,L1558-Assumptions!$G$35)*Assumptions!$G$32)</f>
        <v>0.616767691869971</v>
      </c>
      <c r="M1591" s="48" t="n">
        <f aca="false">IF(M1558-Assumptions!$G$35&lt;1,0,INDEX($C$1583:$N$1583,1,M1558-Assumptions!$G$35)*INDEX($C$1588:$N$1588,1,M1558-Assumptions!$G$35)*Assumptions!$G$32)</f>
        <v>0.593881556604141</v>
      </c>
      <c r="N1591" s="48" t="n">
        <f aca="false">IF(N1558-Assumptions!$G$35&lt;1,0,INDEX($C$1583:$N$1583,1,N1558-Assumptions!$G$35)*INDEX($C$1588:$N$1588,1,N1558-Assumptions!$G$35)*Assumptions!$G$32)</f>
        <v>0.573739200346843</v>
      </c>
      <c r="P1591" s="49" t="n">
        <f aca="false">SUM(C1591:F1591)</f>
        <v>0.940324160591511</v>
      </c>
      <c r="Q1591" s="49" t="n">
        <f aca="false">SUM(G1591:J1591)</f>
        <v>1.70381542376178</v>
      </c>
      <c r="R1591" s="49" t="n">
        <f aca="false">SUM(K1591:N1591)</f>
        <v>2.42715981080356</v>
      </c>
      <c r="S1591" s="50" t="n">
        <f aca="false">SUM(P1591:R1591)</f>
        <v>5.07129939515685</v>
      </c>
    </row>
    <row r="1592" customFormat="false" ht="15" hidden="false" customHeight="false" outlineLevel="0" collapsed="false">
      <c r="A1592" s="4" t="s">
        <v>518</v>
      </c>
      <c r="B1592" s="36" t="s">
        <v>516</v>
      </c>
      <c r="C1592" s="48" t="n">
        <f aca="false">IF(C1558-Assumptions!$G$36&lt;1,0,INDEX($C$1583:$N$1583,1,C1558-Assumptions!$G$36)*INDEX($C$1589:$N$1589,1,C1558-Assumptions!$G$36)*Assumptions!$G$32)</f>
        <v>0</v>
      </c>
      <c r="D1592" s="48" t="n">
        <f aca="false">IF(D1558-Assumptions!$G$36&lt;1,0,INDEX($C$1583:$N$1583,1,D1558-Assumptions!$G$36)*INDEX($C$1589:$N$1589,1,D1558-Assumptions!$G$36)*Assumptions!$G$32)</f>
        <v>0</v>
      </c>
      <c r="E1592" s="48" t="n">
        <f aca="false">IF(E1558-Assumptions!$G$36&lt;1,0,INDEX($C$1583:$N$1583,1,E1558-Assumptions!$G$36)*INDEX($C$1589:$N$1589,1,E1558-Assumptions!$G$36)*Assumptions!$G$32)</f>
        <v>0.0239020718496306</v>
      </c>
      <c r="F1592" s="48" t="n">
        <f aca="false">IF(F1558-Assumptions!$G$36&lt;1,0,INDEX($C$1583:$N$1583,1,F1558-Assumptions!$G$36)*INDEX($C$1589:$N$1589,1,F1558-Assumptions!$G$36)*Assumptions!$G$32)</f>
        <v>0.0420535680516607</v>
      </c>
      <c r="G1592" s="48" t="n">
        <f aca="false">IF(G1558-Assumptions!$G$36&lt;1,0,INDEX($C$1583:$N$1583,1,G1558-Assumptions!$G$36)*INDEX($C$1589:$N$1589,1,G1558-Assumptions!$G$36)*Assumptions!$G$32)</f>
        <v>0.0433714826065053</v>
      </c>
      <c r="H1592" s="48" t="n">
        <f aca="false">IF(H1558-Assumptions!$G$36&lt;1,0,INDEX($C$1583:$N$1583,1,H1558-Assumptions!$G$36)*INDEX($C$1589:$N$1589,1,H1558-Assumptions!$G$36)*Assumptions!$G$32)</f>
        <v>0.0449381656390334</v>
      </c>
      <c r="I1592" s="48" t="n">
        <f aca="false">IF(I1558-Assumptions!$G$36&lt;1,0,INDEX($C$1583:$N$1583,1,I1558-Assumptions!$G$36)*INDEX($C$1589:$N$1589,1,I1558-Assumptions!$G$36)*Assumptions!$G$32)</f>
        <v>0.0467237927285148</v>
      </c>
      <c r="J1592" s="48" t="n">
        <f aca="false">IF(J1558-Assumptions!$G$36&lt;1,0,INDEX($C$1583:$N$1583,1,J1558-Assumptions!$G$36)*INDEX($C$1589:$N$1589,1,J1558-Assumptions!$G$36)*Assumptions!$G$32)</f>
        <v>0.0453091977320549</v>
      </c>
      <c r="K1592" s="48" t="n">
        <f aca="false">IF(K1558-Assumptions!$G$36&lt;1,0,INDEX($C$1583:$N$1583,1,K1558-Assumptions!$G$36)*INDEX($C$1589:$N$1589,1,K1558-Assumptions!$G$36)*Assumptions!$G$32)</f>
        <v>0.0586668086839043</v>
      </c>
      <c r="L1592" s="48" t="n">
        <f aca="false">IF(L1558-Assumptions!$G$36&lt;1,0,INDEX($C$1583:$N$1583,1,L1558-Assumptions!$G$36)*INDEX($C$1589:$N$1589,1,L1558-Assumptions!$G$36)*Assumptions!$G$32)</f>
        <v>0.0702237744905344</v>
      </c>
      <c r="M1592" s="48" t="n">
        <f aca="false">IF(M1558-Assumptions!$G$36&lt;1,0,INDEX($C$1583:$N$1583,1,M1558-Assumptions!$G$36)*INDEX($C$1589:$N$1589,1,M1558-Assumptions!$G$36)*Assumptions!$G$32)</f>
        <v>0.0673828329459654</v>
      </c>
      <c r="N1592" s="48" t="n">
        <f aca="false">IF(N1558-Assumptions!$G$36&lt;1,0,INDEX($C$1583:$N$1583,1,N1558-Assumptions!$G$36)*INDEX($C$1589:$N$1589,1,N1558-Assumptions!$G$36)*Assumptions!$G$32)</f>
        <v>0.0648824869490462</v>
      </c>
      <c r="P1592" s="49" t="n">
        <f aca="false">SUM(C1592:F1592)</f>
        <v>0.0659556399012913</v>
      </c>
      <c r="Q1592" s="49" t="n">
        <f aca="false">SUM(G1592:J1592)</f>
        <v>0.180342638706108</v>
      </c>
      <c r="R1592" s="49" t="n">
        <f aca="false">SUM(K1592:N1592)</f>
        <v>0.26115590306945</v>
      </c>
      <c r="S1592" s="50" t="n">
        <f aca="false">SUM(P1592:R1592)</f>
        <v>0.50745418167685</v>
      </c>
    </row>
    <row r="1593" customFormat="false" ht="15" hidden="false" customHeight="false" outlineLevel="0" collapsed="false">
      <c r="A1593" s="4" t="s">
        <v>519</v>
      </c>
      <c r="B1593" s="36" t="s">
        <v>77</v>
      </c>
      <c r="C1593" s="51" t="n">
        <f aca="false">IF(C1558-Assumptions!$G$35&lt;1,0,IFERROR(INDEX($C$1582:$N$1582,1,C1558-Assumptions!$G$35)/INDEX($C$1583:$N$1583,1,C1558-Assumptions!$G$35),0))</f>
        <v>0</v>
      </c>
      <c r="D1593" s="51" t="n">
        <f aca="false">IF(D1558-Assumptions!$G$35&lt;1,0,IFERROR(INDEX($C$1582:$N$1582,1,D1558-Assumptions!$G$35)/INDEX($C$1583:$N$1583,1,D1558-Assumptions!$G$35),0))</f>
        <v>0.283901524647092</v>
      </c>
      <c r="E1593" s="51" t="n">
        <f aca="false">IF(E1558-Assumptions!$G$35&lt;1,0,IFERROR(INDEX($C$1582:$N$1582,1,E1558-Assumptions!$G$35)/INDEX($C$1583:$N$1583,1,E1558-Assumptions!$G$35),0))</f>
        <v>0.242042528900225</v>
      </c>
      <c r="F1593" s="51" t="n">
        <f aca="false">IF(F1558-Assumptions!$G$35&lt;1,0,IFERROR(INDEX($C$1582:$N$1582,1,F1558-Assumptions!$G$35)/INDEX($C$1583:$N$1583,1,F1558-Assumptions!$G$35),0))</f>
        <v>0.312916886051603</v>
      </c>
      <c r="G1593" s="51" t="n">
        <f aca="false">IF(G1558-Assumptions!$G$35&lt;1,0,IFERROR(INDEX($C$1582:$N$1582,1,G1558-Assumptions!$G$35)/INDEX($C$1583:$N$1583,1,G1558-Assumptions!$G$35),0))</f>
        <v>0.377509548055532</v>
      </c>
      <c r="H1593" s="51" t="n">
        <f aca="false">IF(H1558-Assumptions!$G$35&lt;1,0,IFERROR(INDEX($C$1582:$N$1582,1,H1558-Assumptions!$G$35)/INDEX($C$1583:$N$1583,1,H1558-Assumptions!$G$35),0))</f>
        <v>0.435698874859949</v>
      </c>
      <c r="I1593" s="51" t="n">
        <f aca="false">IF(I1558-Assumptions!$G$35&lt;1,0,IFERROR(INDEX($C$1582:$N$1582,1,I1558-Assumptions!$G$35)/INDEX($C$1583:$N$1583,1,I1558-Assumptions!$G$35),0))</f>
        <v>0.449301796103113</v>
      </c>
      <c r="J1593" s="51" t="n">
        <f aca="false">IF(J1558-Assumptions!$G$35&lt;1,0,IFERROR(INDEX($C$1582:$N$1582,1,J1558-Assumptions!$G$35)/INDEX($C$1583:$N$1583,1,J1558-Assumptions!$G$35),0))</f>
        <v>0.334119947269931</v>
      </c>
      <c r="K1593" s="51" t="n">
        <f aca="false">IF(K1558-Assumptions!$G$35&lt;1,0,IFERROR(INDEX($C$1582:$N$1582,1,K1558-Assumptions!$G$35)/INDEX($C$1583:$N$1583,1,K1558-Assumptions!$G$35),0))</f>
        <v>0.273716050144032</v>
      </c>
      <c r="L1593" s="51" t="n">
        <f aca="false">IF(L1558-Assumptions!$G$35&lt;1,0,IFERROR(INDEX($C$1582:$N$1582,1,L1558-Assumptions!$G$35)/INDEX($C$1583:$N$1583,1,L1558-Assumptions!$G$35),0))</f>
        <v>0.285256249097868</v>
      </c>
      <c r="M1593" s="51" t="n">
        <f aca="false">IF(M1558-Assumptions!$G$35&lt;1,0,IFERROR(INDEX($C$1582:$N$1582,1,M1558-Assumptions!$G$35)/INDEX($C$1583:$N$1583,1,M1558-Assumptions!$G$35),0))</f>
        <v>0.296249035503977</v>
      </c>
      <c r="N1593" s="51" t="n">
        <f aca="false">IF(N1558-Assumptions!$G$35&lt;1,0,IFERROR(INDEX($C$1582:$N$1582,1,N1558-Assumptions!$G$35)/INDEX($C$1583:$N$1583,1,N1558-Assumptions!$G$35),0))</f>
        <v>0.306649499007943</v>
      </c>
      <c r="P1593" s="52"/>
      <c r="Q1593" s="52"/>
      <c r="R1593" s="52"/>
      <c r="S1593" s="53"/>
    </row>
    <row r="1594" customFormat="false" ht="15" hidden="false" customHeight="false" outlineLevel="0" collapsed="false">
      <c r="A1594" s="4" t="s">
        <v>520</v>
      </c>
      <c r="B1594" s="36" t="s">
        <v>516</v>
      </c>
      <c r="C1594" s="48" t="n">
        <f aca="false">C1590*Assumptions!$G$37</f>
        <v>0</v>
      </c>
      <c r="D1594" s="48" t="n">
        <f aca="false">D1590*Assumptions!$G$37</f>
        <v>0.150949281162877</v>
      </c>
      <c r="E1594" s="48" t="n">
        <f aca="false">E1590*Assumptions!$G$37</f>
        <v>0.265581825193552</v>
      </c>
      <c r="F1594" s="48" t="n">
        <f aca="false">F1590*Assumptions!$G$37</f>
        <v>0.273904880029109</v>
      </c>
      <c r="G1594" s="48" t="n">
        <f aca="false">G1590*Assumptions!$G$37</f>
        <v>0.283798987914733</v>
      </c>
      <c r="H1594" s="48" t="n">
        <f aca="false">H1590*Assumptions!$G$37</f>
        <v>0.295075798028847</v>
      </c>
      <c r="I1594" s="48" t="n">
        <f aca="false">I1590*Assumptions!$G$37</f>
        <v>0.286142175069483</v>
      </c>
      <c r="J1594" s="48" t="n">
        <f aca="false">J1590*Assumptions!$G$37</f>
        <v>0.384960431111773</v>
      </c>
      <c r="K1594" s="48" t="n">
        <f aca="false">K1590*Assumptions!$G$37</f>
        <v>0.470021893762176</v>
      </c>
      <c r="L1594" s="48" t="n">
        <f aca="false">L1590*Assumptions!$G$37</f>
        <v>0.451006898704826</v>
      </c>
      <c r="M1594" s="48" t="n">
        <f aca="false">M1590*Assumptions!$G$37</f>
        <v>0.434271578379783</v>
      </c>
      <c r="N1594" s="48" t="n">
        <f aca="false">N1590*Assumptions!$G$37</f>
        <v>0.419542626542716</v>
      </c>
      <c r="P1594" s="49" t="n">
        <f aca="false">SUM(C1594:F1594)</f>
        <v>0.690435986385538</v>
      </c>
      <c r="Q1594" s="49" t="n">
        <f aca="false">SUM(G1594:J1594)</f>
        <v>1.24997739212484</v>
      </c>
      <c r="R1594" s="49" t="n">
        <f aca="false">SUM(K1594:N1594)</f>
        <v>1.7748429973895</v>
      </c>
      <c r="S1594" s="50" t="n">
        <f aca="false">SUM(P1594:R1594)</f>
        <v>3.71525637589988</v>
      </c>
    </row>
    <row r="1595" customFormat="false" ht="15" hidden="false" customHeight="false" outlineLevel="0" collapsed="false">
      <c r="A1595" s="4" t="s">
        <v>521</v>
      </c>
      <c r="B1595" s="36" t="s">
        <v>516</v>
      </c>
      <c r="C1595" s="48" t="n">
        <f aca="false">C1590*(1-Assumptions!$G$37)</f>
        <v>0</v>
      </c>
      <c r="D1595" s="48" t="n">
        <f aca="false">D1590*(1-Assumptions!$G$37)</f>
        <v>0.352214989380046</v>
      </c>
      <c r="E1595" s="48" t="n">
        <f aca="false">E1590*(1-Assumptions!$G$37)</f>
        <v>0.619690925451622</v>
      </c>
      <c r="F1595" s="48" t="n">
        <f aca="false">F1590*(1-Assumptions!$G$37)</f>
        <v>0.639111386734587</v>
      </c>
      <c r="G1595" s="48" t="n">
        <f aca="false">G1590*(1-Assumptions!$G$37)</f>
        <v>0.66219763846771</v>
      </c>
      <c r="H1595" s="48" t="n">
        <f aca="false">H1590*(1-Assumptions!$G$37)</f>
        <v>0.688510195400642</v>
      </c>
      <c r="I1595" s="48" t="n">
        <f aca="false">I1590*(1-Assumptions!$G$37)</f>
        <v>0.667665075162126</v>
      </c>
      <c r="J1595" s="48" t="n">
        <f aca="false">J1590*(1-Assumptions!$G$37)</f>
        <v>0.898241005927471</v>
      </c>
      <c r="K1595" s="48" t="n">
        <f aca="false">K1590*(1-Assumptions!$G$37)</f>
        <v>1.09671775211174</v>
      </c>
      <c r="L1595" s="48" t="n">
        <f aca="false">L1590*(1-Assumptions!$G$37)</f>
        <v>1.05234943031126</v>
      </c>
      <c r="M1595" s="48" t="n">
        <f aca="false">M1590*(1-Assumptions!$G$37)</f>
        <v>1.01330034955283</v>
      </c>
      <c r="N1595" s="48" t="n">
        <f aca="false">N1590*(1-Assumptions!$G$37)</f>
        <v>0.978932795266338</v>
      </c>
      <c r="P1595" s="49" t="n">
        <f aca="false">SUM(C1595:F1595)</f>
        <v>1.61101730156626</v>
      </c>
      <c r="Q1595" s="49" t="n">
        <f aca="false">SUM(G1595:J1595)</f>
        <v>2.91661391495795</v>
      </c>
      <c r="R1595" s="49" t="n">
        <f aca="false">SUM(K1595:N1595)</f>
        <v>4.14130032724217</v>
      </c>
      <c r="S1595" s="50" t="n">
        <f aca="false">SUM(P1595:R1595)</f>
        <v>8.66893154376637</v>
      </c>
    </row>
    <row r="1596" customFormat="false" ht="15" hidden="false" customHeight="false" outlineLevel="0" collapsed="false">
      <c r="A1596" s="4" t="s">
        <v>522</v>
      </c>
      <c r="B1596" s="36" t="s">
        <v>125</v>
      </c>
      <c r="C1596" s="54" t="n">
        <f aca="false">C1595*$C$1549+C1591*$C$1550+C1592*$C$1551</f>
        <v>0</v>
      </c>
      <c r="D1596" s="54" t="n">
        <f aca="false">D1595*$C$1549+D1591*$C$1550+D1592*$C$1551</f>
        <v>2985.32983713435</v>
      </c>
      <c r="E1596" s="54" t="n">
        <f aca="false">E1595*$C$1549+E1591*$C$1550+E1592*$C$1551</f>
        <v>6311.52294732679</v>
      </c>
      <c r="F1596" s="54" t="n">
        <f aca="false">F1595*$C$1549+F1591*$C$1550+F1592*$C$1551</f>
        <v>7280.42112503345</v>
      </c>
      <c r="G1596" s="54" t="n">
        <f aca="false">G1595*$C$1549+G1591*$C$1550+G1592*$C$1551</f>
        <v>7534.49407756786</v>
      </c>
      <c r="H1596" s="54" t="n">
        <f aca="false">H1595*$C$1549+H1591*$C$1550+H1592*$C$1551</f>
        <v>7826.9357173983</v>
      </c>
      <c r="I1596" s="54" t="n">
        <f aca="false">I1595*$C$1549+I1591*$C$1550+I1592*$C$1551</f>
        <v>7729.37624307486</v>
      </c>
      <c r="J1596" s="54" t="n">
        <f aca="false">J1595*$C$1549+J1591*$C$1550+J1592*$C$1551</f>
        <v>9628.71410385465</v>
      </c>
      <c r="K1596" s="54" t="n">
        <f aca="false">K1595*$C$1549+K1591*$C$1550+K1592*$C$1551</f>
        <v>11909.2720314167</v>
      </c>
      <c r="L1596" s="54" t="n">
        <f aca="false">L1595*$C$1549+L1591*$C$1550+L1592*$C$1551</f>
        <v>12044.7302855895</v>
      </c>
      <c r="M1596" s="54" t="n">
        <f aca="false">M1595*$C$1549+M1591*$C$1550+M1592*$C$1551</f>
        <v>11587.3708895878</v>
      </c>
      <c r="N1596" s="54" t="n">
        <f aca="false">N1595*$C$1549+N1591*$C$1550+N1592*$C$1551</f>
        <v>11184.843517234</v>
      </c>
      <c r="P1596" s="55" t="n">
        <f aca="false">SUM(C1596:F1596)</f>
        <v>16577.2739094946</v>
      </c>
      <c r="Q1596" s="55" t="n">
        <f aca="false">SUM(G1596:J1596)</f>
        <v>32719.5201418957</v>
      </c>
      <c r="R1596" s="55" t="n">
        <f aca="false">SUM(K1596:N1596)</f>
        <v>46726.2167238281</v>
      </c>
      <c r="S1596" s="56" t="n">
        <f aca="false">SUM(P1596:R1596)</f>
        <v>96023.0107752183</v>
      </c>
    </row>
    <row r="1597" customFormat="false" ht="15" hidden="false" customHeight="false" outlineLevel="0" collapsed="false">
      <c r="A1597" s="4" t="s">
        <v>523</v>
      </c>
      <c r="B1597" s="36" t="s">
        <v>125</v>
      </c>
      <c r="C1597" s="54" t="n">
        <f aca="false">(C1573+Assumptions!$D$104*C1559)*$C$1554</f>
        <v>240625</v>
      </c>
      <c r="D1597" s="54" t="n">
        <f aca="false">(D1573+Assumptions!$D$104*D1559)*$C$1554</f>
        <v>240625</v>
      </c>
      <c r="E1597" s="54" t="n">
        <f aca="false">(E1573+Assumptions!$D$104*E1559)*$C$1554</f>
        <v>240625</v>
      </c>
      <c r="F1597" s="54" t="n">
        <f aca="false">(F1573+Assumptions!$D$104*F1559)*$C$1554</f>
        <v>240625</v>
      </c>
      <c r="G1597" s="54" t="n">
        <f aca="false">(G1573+Assumptions!$D$104*G1559)*$C$1554</f>
        <v>240625</v>
      </c>
      <c r="H1597" s="54" t="n">
        <f aca="false">(H1573+Assumptions!$D$104*H1559)*$C$1554</f>
        <v>240625</v>
      </c>
      <c r="I1597" s="54" t="n">
        <f aca="false">(I1573+Assumptions!$D$104*I1559)*$C$1554</f>
        <v>240625</v>
      </c>
      <c r="J1597" s="54" t="n">
        <f aca="false">(J1573+Assumptions!$D$104*J1559)*$C$1554</f>
        <v>240625</v>
      </c>
      <c r="K1597" s="54" t="n">
        <f aca="false">(K1573+Assumptions!$D$104*K1559)*$C$1554</f>
        <v>240625</v>
      </c>
      <c r="L1597" s="54" t="n">
        <f aca="false">(L1573+Assumptions!$D$104*L1559)*$C$1554</f>
        <v>240625</v>
      </c>
      <c r="M1597" s="54" t="n">
        <f aca="false">(M1573+Assumptions!$D$104*M1559)*$C$1554</f>
        <v>240625</v>
      </c>
      <c r="N1597" s="54" t="n">
        <f aca="false">(N1573+Assumptions!$D$104*N1559)*$C$1554</f>
        <v>240625</v>
      </c>
      <c r="P1597" s="55" t="n">
        <f aca="false">SUM(C1597:F1597)</f>
        <v>962500</v>
      </c>
      <c r="Q1597" s="55" t="n">
        <f aca="false">SUM(G1597:J1597)</f>
        <v>962500</v>
      </c>
      <c r="R1597" s="55" t="n">
        <f aca="false">SUM(K1597:N1597)</f>
        <v>962500</v>
      </c>
      <c r="S1597" s="56" t="n">
        <f aca="false">SUM(P1597:R1597)</f>
        <v>2887500</v>
      </c>
    </row>
    <row r="1598" customFormat="false" ht="15" hidden="false" customHeight="false" outlineLevel="0" collapsed="false">
      <c r="A1598" s="4" t="s">
        <v>524</v>
      </c>
      <c r="B1598" s="36" t="s">
        <v>77</v>
      </c>
      <c r="C1598" s="51" t="n">
        <f aca="false">IF(C1596&gt;0,MIN(1,C1597/C1596),1)</f>
        <v>1</v>
      </c>
      <c r="D1598" s="51" t="n">
        <f aca="false">IF(D1596&gt;0,MIN(1,D1597/D1596),1)</f>
        <v>1</v>
      </c>
      <c r="E1598" s="51" t="n">
        <f aca="false">IF(E1596&gt;0,MIN(1,E1597/E1596),1)</f>
        <v>1</v>
      </c>
      <c r="F1598" s="51" t="n">
        <f aca="false">IF(F1596&gt;0,MIN(1,F1597/F1596),1)</f>
        <v>1</v>
      </c>
      <c r="G1598" s="51" t="n">
        <f aca="false">IF(G1596&gt;0,MIN(1,G1597/G1596),1)</f>
        <v>1</v>
      </c>
      <c r="H1598" s="51" t="n">
        <f aca="false">IF(H1596&gt;0,MIN(1,H1597/H1596),1)</f>
        <v>1</v>
      </c>
      <c r="I1598" s="51" t="n">
        <f aca="false">IF(I1596&gt;0,MIN(1,I1597/I1596),1)</f>
        <v>1</v>
      </c>
      <c r="J1598" s="51" t="n">
        <f aca="false">IF(J1596&gt;0,MIN(1,J1597/J1596),1)</f>
        <v>1</v>
      </c>
      <c r="K1598" s="51" t="n">
        <f aca="false">IF(K1596&gt;0,MIN(1,K1597/K1596),1)</f>
        <v>1</v>
      </c>
      <c r="L1598" s="51" t="n">
        <f aca="false">IF(L1596&gt;0,MIN(1,L1597/L1596),1)</f>
        <v>1</v>
      </c>
      <c r="M1598" s="51" t="n">
        <f aca="false">IF(M1596&gt;0,MIN(1,M1597/M1596),1)</f>
        <v>1</v>
      </c>
      <c r="N1598" s="51" t="n">
        <f aca="false">IF(N1596&gt;0,MIN(1,N1597/N1596),1)</f>
        <v>1</v>
      </c>
      <c r="P1598" s="52"/>
      <c r="Q1598" s="52"/>
      <c r="R1598" s="52"/>
      <c r="S1598" s="53"/>
    </row>
    <row r="1599" customFormat="false" ht="15" hidden="false" customHeight="false" outlineLevel="0" collapsed="false">
      <c r="A1599" s="4" t="s">
        <v>525</v>
      </c>
      <c r="B1599" s="36" t="s">
        <v>125</v>
      </c>
      <c r="C1599" s="54" t="n">
        <f aca="false">C1596*(1-C1598)</f>
        <v>0</v>
      </c>
      <c r="D1599" s="54" t="n">
        <f aca="false">D1596*(1-D1598)</f>
        <v>0</v>
      </c>
      <c r="E1599" s="54" t="n">
        <f aca="false">E1596*(1-E1598)</f>
        <v>0</v>
      </c>
      <c r="F1599" s="54" t="n">
        <f aca="false">F1596*(1-F1598)</f>
        <v>0</v>
      </c>
      <c r="G1599" s="54" t="n">
        <f aca="false">G1596*(1-G1598)</f>
        <v>0</v>
      </c>
      <c r="H1599" s="54" t="n">
        <f aca="false">H1596*(1-H1598)</f>
        <v>0</v>
      </c>
      <c r="I1599" s="54" t="n">
        <f aca="false">I1596*(1-I1598)</f>
        <v>0</v>
      </c>
      <c r="J1599" s="54" t="n">
        <f aca="false">J1596*(1-J1598)</f>
        <v>0</v>
      </c>
      <c r="K1599" s="54" t="n">
        <f aca="false">K1596*(1-K1598)</f>
        <v>0</v>
      </c>
      <c r="L1599" s="54" t="n">
        <f aca="false">L1596*(1-L1598)</f>
        <v>0</v>
      </c>
      <c r="M1599" s="54" t="n">
        <f aca="false">M1596*(1-M1598)</f>
        <v>0</v>
      </c>
      <c r="N1599" s="54" t="n">
        <f aca="false">N1596*(1-N1598)</f>
        <v>0</v>
      </c>
      <c r="P1599" s="55" t="n">
        <f aca="false">SUM(C1599:F1599)</f>
        <v>0</v>
      </c>
      <c r="Q1599" s="55" t="n">
        <f aca="false">SUM(G1599:J1599)</f>
        <v>0</v>
      </c>
      <c r="R1599" s="55" t="n">
        <f aca="false">SUM(K1599:N1599)</f>
        <v>0</v>
      </c>
      <c r="S1599" s="56" t="n">
        <f aca="false">SUM(P1599:R1599)</f>
        <v>0</v>
      </c>
    </row>
    <row r="1600" customFormat="false" ht="15" hidden="false" customHeight="false" outlineLevel="0" collapsed="false">
      <c r="A1600" s="4" t="s">
        <v>526</v>
      </c>
      <c r="B1600" s="36" t="s">
        <v>527</v>
      </c>
      <c r="C1600" s="48" t="n">
        <f aca="false">C1594+C1595*C1598</f>
        <v>0</v>
      </c>
      <c r="D1600" s="48" t="n">
        <f aca="false">D1594+D1595*D1598</f>
        <v>0.503164270542923</v>
      </c>
      <c r="E1600" s="48" t="n">
        <f aca="false">E1594+E1595*E1598</f>
        <v>0.885272750645175</v>
      </c>
      <c r="F1600" s="48" t="n">
        <f aca="false">F1594+F1595*F1598</f>
        <v>0.913016266763696</v>
      </c>
      <c r="G1600" s="48" t="n">
        <f aca="false">G1594+G1595*G1598</f>
        <v>0.945996626382443</v>
      </c>
      <c r="H1600" s="48" t="n">
        <f aca="false">H1594+H1595*H1598</f>
        <v>0.983585993429489</v>
      </c>
      <c r="I1600" s="48" t="n">
        <f aca="false">I1594+I1595*I1598</f>
        <v>0.953807250231609</v>
      </c>
      <c r="J1600" s="48" t="n">
        <f aca="false">J1594+J1595*J1598</f>
        <v>1.28320143703924</v>
      </c>
      <c r="K1600" s="48" t="n">
        <f aca="false">K1594+K1595*K1598</f>
        <v>1.56673964587392</v>
      </c>
      <c r="L1600" s="48" t="n">
        <f aca="false">L1594+L1595*L1598</f>
        <v>1.50335632901609</v>
      </c>
      <c r="M1600" s="48" t="n">
        <f aca="false">M1594+M1595*M1598</f>
        <v>1.44757192793261</v>
      </c>
      <c r="N1600" s="48" t="n">
        <f aca="false">N1594+N1595*N1598</f>
        <v>1.39847542180905</v>
      </c>
      <c r="P1600" s="49" t="n">
        <f aca="false">SUM(C1600:F1600)</f>
        <v>2.30145328795179</v>
      </c>
      <c r="Q1600" s="49" t="n">
        <f aca="false">SUM(G1600:J1600)</f>
        <v>4.16659130708278</v>
      </c>
      <c r="R1600" s="49" t="n">
        <f aca="false">SUM(K1600:N1600)</f>
        <v>5.91614332463167</v>
      </c>
      <c r="S1600" s="50" t="n">
        <f aca="false">SUM(P1600:R1600)</f>
        <v>12.3841879196662</v>
      </c>
    </row>
    <row r="1601" customFormat="false" ht="15" hidden="false" customHeight="false" outlineLevel="0" collapsed="false">
      <c r="A1601" s="4" t="s">
        <v>528</v>
      </c>
      <c r="B1601" s="36" t="s">
        <v>527</v>
      </c>
      <c r="C1601" s="48" t="n">
        <f aca="false">C1591*C1598</f>
        <v>0</v>
      </c>
      <c r="D1601" s="48" t="n">
        <f aca="false">D1591*D1598</f>
        <v>0.205582065390946</v>
      </c>
      <c r="E1601" s="48" t="n">
        <f aca="false">E1591*E1598</f>
        <v>0.361703346534487</v>
      </c>
      <c r="F1601" s="48" t="n">
        <f aca="false">F1591*F1598</f>
        <v>0.373038748666078</v>
      </c>
      <c r="G1601" s="48" t="n">
        <f aca="false">G1591*G1598</f>
        <v>0.386513812069213</v>
      </c>
      <c r="H1601" s="48" t="n">
        <f aca="false">H1591*H1598</f>
        <v>0.401872016470197</v>
      </c>
      <c r="I1601" s="48" t="n">
        <f aca="false">I1591*I1598</f>
        <v>0.389705064463129</v>
      </c>
      <c r="J1601" s="48" t="n">
        <f aca="false">J1591*J1598</f>
        <v>0.525724530759244</v>
      </c>
      <c r="K1601" s="48" t="n">
        <f aca="false">K1591*K1598</f>
        <v>0.642771361982602</v>
      </c>
      <c r="L1601" s="48" t="n">
        <f aca="false">L1591*L1598</f>
        <v>0.616767691869971</v>
      </c>
      <c r="M1601" s="48" t="n">
        <f aca="false">M1591*M1598</f>
        <v>0.593881556604141</v>
      </c>
      <c r="N1601" s="48" t="n">
        <f aca="false">N1591*N1598</f>
        <v>0.573739200346843</v>
      </c>
      <c r="P1601" s="49" t="n">
        <f aca="false">SUM(C1601:F1601)</f>
        <v>0.940324160591511</v>
      </c>
      <c r="Q1601" s="49" t="n">
        <f aca="false">SUM(G1601:J1601)</f>
        <v>1.70381542376178</v>
      </c>
      <c r="R1601" s="49" t="n">
        <f aca="false">SUM(K1601:N1601)</f>
        <v>2.42715981080356</v>
      </c>
      <c r="S1601" s="50" t="n">
        <f aca="false">SUM(P1601:R1601)</f>
        <v>5.07129939515685</v>
      </c>
    </row>
    <row r="1602" customFormat="false" ht="15" hidden="false" customHeight="false" outlineLevel="0" collapsed="false">
      <c r="A1602" s="4" t="s">
        <v>529</v>
      </c>
      <c r="B1602" s="36" t="s">
        <v>527</v>
      </c>
      <c r="C1602" s="48" t="n">
        <f aca="false">C1592*C1598</f>
        <v>0</v>
      </c>
      <c r="D1602" s="48" t="n">
        <f aca="false">D1592*D1598</f>
        <v>0</v>
      </c>
      <c r="E1602" s="48" t="n">
        <f aca="false">E1592*E1598</f>
        <v>0.0239020718496306</v>
      </c>
      <c r="F1602" s="48" t="n">
        <f aca="false">F1592*F1598</f>
        <v>0.0420535680516607</v>
      </c>
      <c r="G1602" s="48" t="n">
        <f aca="false">G1592*G1598</f>
        <v>0.0433714826065053</v>
      </c>
      <c r="H1602" s="48" t="n">
        <f aca="false">H1592*H1598</f>
        <v>0.0449381656390334</v>
      </c>
      <c r="I1602" s="48" t="n">
        <f aca="false">I1592*I1598</f>
        <v>0.0467237927285148</v>
      </c>
      <c r="J1602" s="48" t="n">
        <f aca="false">J1592*J1598</f>
        <v>0.0453091977320549</v>
      </c>
      <c r="K1602" s="48" t="n">
        <f aca="false">K1592*K1598</f>
        <v>0.0586668086839043</v>
      </c>
      <c r="L1602" s="48" t="n">
        <f aca="false">L1592*L1598</f>
        <v>0.0702237744905344</v>
      </c>
      <c r="M1602" s="48" t="n">
        <f aca="false">M1592*M1598</f>
        <v>0.0673828329459654</v>
      </c>
      <c r="N1602" s="48" t="n">
        <f aca="false">N1592*N1598</f>
        <v>0.0648824869490462</v>
      </c>
      <c r="P1602" s="49" t="n">
        <f aca="false">SUM(C1602:F1602)</f>
        <v>0.0659556399012913</v>
      </c>
      <c r="Q1602" s="49" t="n">
        <f aca="false">SUM(G1602:J1602)</f>
        <v>0.180342638706108</v>
      </c>
      <c r="R1602" s="49" t="n">
        <f aca="false">SUM(K1602:N1602)</f>
        <v>0.26115590306945</v>
      </c>
      <c r="S1602" s="50" t="n">
        <f aca="false">SUM(P1602:R1602)</f>
        <v>0.50745418167685</v>
      </c>
    </row>
    <row r="1603" customFormat="false" ht="15" hidden="false" customHeight="false" outlineLevel="0" collapsed="false">
      <c r="A1603" s="9" t="s">
        <v>530</v>
      </c>
      <c r="B1603" s="36" t="s">
        <v>527</v>
      </c>
      <c r="C1603" s="49" t="n">
        <f aca="false">C1600+C1601+C1602</f>
        <v>0</v>
      </c>
      <c r="D1603" s="49" t="n">
        <f aca="false">D1600+D1601+D1602</f>
        <v>0.708746335933869</v>
      </c>
      <c r="E1603" s="49" t="n">
        <f aca="false">E1600+E1601+E1602</f>
        <v>1.27087816902929</v>
      </c>
      <c r="F1603" s="49" t="n">
        <f aca="false">F1600+F1601+F1602</f>
        <v>1.32810858348143</v>
      </c>
      <c r="G1603" s="49" t="n">
        <f aca="false">G1600+G1601+G1602</f>
        <v>1.37588192105816</v>
      </c>
      <c r="H1603" s="49" t="n">
        <f aca="false">H1600+H1601+H1602</f>
        <v>1.43039617553872</v>
      </c>
      <c r="I1603" s="49" t="n">
        <f aca="false">I1600+I1601+I1602</f>
        <v>1.39023610742325</v>
      </c>
      <c r="J1603" s="49" t="n">
        <f aca="false">J1600+J1601+J1602</f>
        <v>1.85423516553054</v>
      </c>
      <c r="K1603" s="49" t="n">
        <f aca="false">K1600+K1601+K1602</f>
        <v>2.26817781654043</v>
      </c>
      <c r="L1603" s="49" t="n">
        <f aca="false">L1600+L1601+L1602</f>
        <v>2.19034779537659</v>
      </c>
      <c r="M1603" s="49" t="n">
        <f aca="false">M1600+M1601+M1602</f>
        <v>2.10883631748272</v>
      </c>
      <c r="N1603" s="49" t="n">
        <f aca="false">N1600+N1601+N1602</f>
        <v>2.03709710910494</v>
      </c>
      <c r="P1603" s="49" t="n">
        <f aca="false">SUM(C1603:F1603)</f>
        <v>3.3077330884446</v>
      </c>
      <c r="Q1603" s="49" t="n">
        <f aca="false">SUM(G1603:J1603)</f>
        <v>6.05074936955068</v>
      </c>
      <c r="R1603" s="49" t="n">
        <f aca="false">SUM(K1603:N1603)</f>
        <v>8.60445903850468</v>
      </c>
      <c r="S1603" s="50" t="n">
        <f aca="false">SUM(P1603:R1603)</f>
        <v>17.9629414965</v>
      </c>
    </row>
    <row r="1604" customFormat="false" ht="15" hidden="false" customHeight="false" outlineLevel="0" collapsed="false">
      <c r="A1604" s="35" t="s">
        <v>533</v>
      </c>
      <c r="B1604" s="35" t="s">
        <v>444</v>
      </c>
      <c r="C1604" s="6" t="s">
        <v>354</v>
      </c>
      <c r="D1604" s="6" t="s">
        <v>355</v>
      </c>
      <c r="E1604" s="6" t="s">
        <v>356</v>
      </c>
      <c r="F1604" s="6" t="s">
        <v>357</v>
      </c>
      <c r="G1604" s="6" t="s">
        <v>358</v>
      </c>
      <c r="H1604" s="6" t="s">
        <v>359</v>
      </c>
      <c r="I1604" s="6" t="s">
        <v>360</v>
      </c>
      <c r="J1604" s="6" t="s">
        <v>361</v>
      </c>
      <c r="K1604" s="6" t="s">
        <v>362</v>
      </c>
      <c r="L1604" s="6" t="s">
        <v>363</v>
      </c>
      <c r="M1604" s="6" t="s">
        <v>364</v>
      </c>
      <c r="N1604" s="6" t="s">
        <v>365</v>
      </c>
      <c r="P1604" s="6" t="s">
        <v>445</v>
      </c>
      <c r="Q1604" s="6" t="s">
        <v>446</v>
      </c>
      <c r="R1604" s="6" t="s">
        <v>447</v>
      </c>
      <c r="S1604" s="6" t="s">
        <v>448</v>
      </c>
    </row>
    <row r="1605" customFormat="false" ht="15" hidden="false" customHeight="false" outlineLevel="0" collapsed="false">
      <c r="A1605" s="4" t="s">
        <v>534</v>
      </c>
      <c r="B1605" s="36" t="s">
        <v>527</v>
      </c>
      <c r="C1605" s="48" t="n">
        <f aca="false">0*Assumptions!$G$59^(1/4)+C1600</f>
        <v>0</v>
      </c>
      <c r="D1605" s="48" t="n">
        <f aca="false">C1605*Assumptions!$G$59^(1/4)+D1600</f>
        <v>0.503164270542923</v>
      </c>
      <c r="E1605" s="48" t="n">
        <f aca="false">D1605*Assumptions!$G$59^(1/4)+E1600</f>
        <v>1.36840332915929</v>
      </c>
      <c r="F1605" s="48" t="n">
        <f aca="false">E1605*Assumptions!$G$59^(1/4)+F1600</f>
        <v>2.22693605551183</v>
      </c>
      <c r="G1605" s="48" t="n">
        <f aca="false">F1605*Assumptions!$G$59^(1/4)+G1600</f>
        <v>3.08426630847345</v>
      </c>
      <c r="H1605" s="48" t="n">
        <f aca="false">G1605*Assumptions!$G$59^(1/4)+H1600</f>
        <v>3.94505097244424</v>
      </c>
      <c r="I1605" s="48" t="n">
        <f aca="false">H1605*Assumptions!$G$59^(1/4)+I1600</f>
        <v>4.74178439838657</v>
      </c>
      <c r="J1605" s="48" t="n">
        <f aca="false">I1605*Assumptions!$G$59^(1/4)+J1600</f>
        <v>5.83618974264724</v>
      </c>
      <c r="K1605" s="48" t="n">
        <f aca="false">J1605*Assumptions!$G$59^(1/4)+K1600</f>
        <v>7.17055909760259</v>
      </c>
      <c r="L1605" s="48" t="n">
        <f aca="false">K1605*Assumptions!$G$59^(1/4)+L1600</f>
        <v>8.3884166719461</v>
      </c>
      <c r="M1605" s="48" t="n">
        <f aca="false">L1605*Assumptions!$G$59^(1/4)+M1600</f>
        <v>9.50200034583642</v>
      </c>
      <c r="N1605" s="48" t="n">
        <f aca="false">M1605*Assumptions!$G$59^(1/4)+N1600</f>
        <v>10.5221497223944</v>
      </c>
      <c r="P1605" s="49" t="n">
        <f aca="false">F1605</f>
        <v>2.22693605551183</v>
      </c>
      <c r="Q1605" s="49" t="n">
        <f aca="false">J1605</f>
        <v>5.83618974264724</v>
      </c>
      <c r="R1605" s="49" t="n">
        <f aca="false">N1605</f>
        <v>10.5221497223944</v>
      </c>
      <c r="S1605" s="50" t="n">
        <f aca="false">R1605</f>
        <v>10.5221497223944</v>
      </c>
    </row>
    <row r="1606" customFormat="false" ht="15" hidden="false" customHeight="false" outlineLevel="0" collapsed="false">
      <c r="A1606" s="4" t="s">
        <v>535</v>
      </c>
      <c r="B1606" s="36" t="s">
        <v>527</v>
      </c>
      <c r="C1606" s="48" t="n">
        <f aca="false">0*Assumptions!$G$60^(1/4)+C1601</f>
        <v>0</v>
      </c>
      <c r="D1606" s="48" t="n">
        <f aca="false">C1606*Assumptions!$G$60^(1/4)+D1601</f>
        <v>0.205582065390946</v>
      </c>
      <c r="E1606" s="48" t="n">
        <f aca="false">D1606*Assumptions!$G$60^(1/4)+E1601</f>
        <v>0.559678112262354</v>
      </c>
      <c r="F1606" s="48" t="n">
        <f aca="false">E1606*Assumptions!$G$60^(1/4)+F1601</f>
        <v>0.912006692914749</v>
      </c>
      <c r="G1606" s="48" t="n">
        <f aca="false">F1606*Assumptions!$G$60^(1/4)+G1601</f>
        <v>1.26477287143167</v>
      </c>
      <c r="H1606" s="48" t="n">
        <f aca="false">G1606*Assumptions!$G$60^(1/4)+H1601</f>
        <v>1.61984359606536</v>
      </c>
      <c r="I1606" s="48" t="n">
        <f aca="false">H1606*Assumptions!$G$60^(1/4)+I1601</f>
        <v>1.94960843364558</v>
      </c>
      <c r="J1606" s="48" t="n">
        <f aca="false">I1606*Assumptions!$G$60^(1/4)+J1601</f>
        <v>2.4031902142471</v>
      </c>
      <c r="K1606" s="48" t="n">
        <f aca="false">J1606*Assumptions!$G$60^(1/4)+K1601</f>
        <v>2.95703461622279</v>
      </c>
      <c r="L1606" s="48" t="n">
        <f aca="false">K1606*Assumptions!$G$60^(1/4)+L1601</f>
        <v>3.46438104901101</v>
      </c>
      <c r="M1606" s="48" t="n">
        <f aca="false">L1606*Assumptions!$G$60^(1/4)+M1601</f>
        <v>3.93006764494675</v>
      </c>
      <c r="N1606" s="48" t="n">
        <f aca="false">M1606*Assumptions!$G$60^(1/4)+N1601</f>
        <v>4.35837975166834</v>
      </c>
      <c r="P1606" s="49" t="n">
        <f aca="false">F1606</f>
        <v>0.912006692914749</v>
      </c>
      <c r="Q1606" s="49" t="n">
        <f aca="false">J1606</f>
        <v>2.4031902142471</v>
      </c>
      <c r="R1606" s="49" t="n">
        <f aca="false">N1606</f>
        <v>4.35837975166834</v>
      </c>
      <c r="S1606" s="50" t="n">
        <f aca="false">R1606</f>
        <v>4.35837975166834</v>
      </c>
    </row>
    <row r="1607" customFormat="false" ht="15" hidden="false" customHeight="false" outlineLevel="0" collapsed="false">
      <c r="A1607" s="4" t="s">
        <v>536</v>
      </c>
      <c r="B1607" s="36" t="s">
        <v>527</v>
      </c>
      <c r="C1607" s="48" t="n">
        <f aca="false">0*Assumptions!$G$61^(1/4)+C1602</f>
        <v>0</v>
      </c>
      <c r="D1607" s="48" t="n">
        <f aca="false">C1607*Assumptions!$G$61^(1/4)+D1602</f>
        <v>0</v>
      </c>
      <c r="E1607" s="48" t="n">
        <f aca="false">D1607*Assumptions!$G$61^(1/4)+E1602</f>
        <v>0.0239020718496306</v>
      </c>
      <c r="F1607" s="48" t="n">
        <f aca="false">E1607*Assumptions!$G$61^(1/4)+F1602</f>
        <v>0.0652038463172499</v>
      </c>
      <c r="G1607" s="48" t="n">
        <f aca="false">F1607*Assumptions!$G$61^(1/4)+G1602</f>
        <v>0.106524467658484</v>
      </c>
      <c r="H1607" s="48" t="n">
        <f aca="false">G1607*Assumptions!$G$61^(1/4)+H1602</f>
        <v>0.148112111558946</v>
      </c>
      <c r="I1607" s="48" t="n">
        <f aca="false">H1607*Assumptions!$G$61^(1/4)+I1602</f>
        <v>0.19017732339584</v>
      </c>
      <c r="J1607" s="48" t="n">
        <f aca="false">I1607*Assumptions!$G$61^(1/4)+J1602</f>
        <v>0.22950486010459</v>
      </c>
      <c r="K1607" s="48" t="n">
        <f aca="false">J1607*Assumptions!$G$61^(1/4)+K1602</f>
        <v>0.280953035926104</v>
      </c>
      <c r="L1607" s="48" t="n">
        <f aca="false">K1607*Assumptions!$G$61^(1/4)+L1602</f>
        <v>0.34233997438188</v>
      </c>
      <c r="M1607" s="48" t="n">
        <f aca="false">L1607*Assumptions!$G$61^(1/4)+M1602</f>
        <v>0.398955163505154</v>
      </c>
      <c r="N1607" s="48" t="n">
        <f aca="false">M1607*Assumptions!$G$61^(1/4)+N1602</f>
        <v>0.451289285018339</v>
      </c>
      <c r="P1607" s="49" t="n">
        <f aca="false">F1607</f>
        <v>0.0652038463172499</v>
      </c>
      <c r="Q1607" s="49" t="n">
        <f aca="false">J1607</f>
        <v>0.22950486010459</v>
      </c>
      <c r="R1607" s="49" t="n">
        <f aca="false">N1607</f>
        <v>0.451289285018339</v>
      </c>
      <c r="S1607" s="50" t="n">
        <f aca="false">R1607</f>
        <v>0.451289285018339</v>
      </c>
    </row>
    <row r="1608" customFormat="false" ht="15" hidden="false" customHeight="false" outlineLevel="0" collapsed="false">
      <c r="A1608" s="9" t="s">
        <v>537</v>
      </c>
      <c r="B1608" s="36" t="s">
        <v>527</v>
      </c>
      <c r="C1608" s="49" t="n">
        <f aca="false">C1605+C1606+C1607</f>
        <v>0</v>
      </c>
      <c r="D1608" s="49" t="n">
        <f aca="false">D1605+D1606+D1607</f>
        <v>0.708746335933869</v>
      </c>
      <c r="E1608" s="49" t="n">
        <f aca="false">E1605+E1606+E1607</f>
        <v>1.95198351327127</v>
      </c>
      <c r="F1608" s="49" t="n">
        <f aca="false">F1605+F1606+F1607</f>
        <v>3.20414659474383</v>
      </c>
      <c r="G1608" s="49" t="n">
        <f aca="false">G1605+G1606+G1607</f>
        <v>4.45556364756361</v>
      </c>
      <c r="H1608" s="49" t="n">
        <f aca="false">H1605+H1606+H1607</f>
        <v>5.71300668006855</v>
      </c>
      <c r="I1608" s="49" t="n">
        <f aca="false">I1605+I1606+I1607</f>
        <v>6.881570155428</v>
      </c>
      <c r="J1608" s="49" t="n">
        <f aca="false">J1605+J1606+J1607</f>
        <v>8.46888481699893</v>
      </c>
      <c r="K1608" s="49" t="n">
        <f aca="false">K1605+K1606+K1607</f>
        <v>10.4085467497515</v>
      </c>
      <c r="L1608" s="49" t="n">
        <f aca="false">L1605+L1606+L1607</f>
        <v>12.195137695339</v>
      </c>
      <c r="M1608" s="49" t="n">
        <f aca="false">M1605+M1606+M1607</f>
        <v>13.8310231542883</v>
      </c>
      <c r="N1608" s="49" t="n">
        <f aca="false">N1605+N1606+N1607</f>
        <v>15.3318187590811</v>
      </c>
      <c r="P1608" s="49" t="n">
        <f aca="false">F1608</f>
        <v>3.20414659474383</v>
      </c>
      <c r="Q1608" s="49" t="n">
        <f aca="false">J1608</f>
        <v>8.46888481699893</v>
      </c>
      <c r="R1608" s="49" t="n">
        <f aca="false">N1608</f>
        <v>15.3318187590811</v>
      </c>
      <c r="S1608" s="50" t="n">
        <f aca="false">R1608</f>
        <v>15.3318187590811</v>
      </c>
    </row>
    <row r="1609" customFormat="false" ht="15" hidden="false" customHeight="false" outlineLevel="0" collapsed="false">
      <c r="A1609" s="4" t="s">
        <v>538</v>
      </c>
      <c r="B1609" s="36" t="s">
        <v>125</v>
      </c>
      <c r="C1609" s="54" t="n">
        <f aca="false">0*Assumptions!$G$62^(1/4)+C1600*$C$1549</f>
        <v>0</v>
      </c>
      <c r="D1609" s="54" t="n">
        <f aca="false">C1609*Assumptions!$G$62^(1/4)+D1600*$C$1549</f>
        <v>2692.93517594572</v>
      </c>
      <c r="E1609" s="54" t="n">
        <f aca="false">D1609*Assumptions!$G$62^(1/4)+E1600*$C$1549</f>
        <v>7375.36065777218</v>
      </c>
      <c r="F1609" s="54" t="n">
        <f aca="false">E1609*Assumptions!$G$62^(1/4)+F1600*$C$1549</f>
        <v>12109.6726921017</v>
      </c>
      <c r="G1609" s="54" t="n">
        <f aca="false">F1609*Assumptions!$G$62^(1/4)+G1600*$C$1549</f>
        <v>16922.8284645178</v>
      </c>
      <c r="H1609" s="54" t="n">
        <f aca="false">G1609*Assumptions!$G$62^(1/4)+H1600*$C$1549</f>
        <v>21837.8688649492</v>
      </c>
      <c r="I1609" s="54" t="n">
        <f aca="false">H1609*Assumptions!$G$62^(1/4)+I1600*$C$1549</f>
        <v>26492.1379243034</v>
      </c>
      <c r="J1609" s="54" t="n">
        <f aca="false">I1609*Assumptions!$G$62^(1/4)+J1600*$C$1549</f>
        <v>32813.3087825105</v>
      </c>
      <c r="K1609" s="54" t="n">
        <f aca="false">J1609*Assumptions!$G$62^(1/4)+K1600*$C$1549</f>
        <v>40521.5726636598</v>
      </c>
      <c r="L1609" s="54" t="n">
        <f aca="false">K1609*Assumptions!$G$62^(1/4)+L1600*$C$1549</f>
        <v>47731.5903343877</v>
      </c>
      <c r="M1609" s="54" t="n">
        <f aca="false">L1609*Assumptions!$G$62^(1/4)+M1600*$C$1549</f>
        <v>54494.3098312055</v>
      </c>
      <c r="N1609" s="54" t="n">
        <f aca="false">M1609*Assumptions!$G$62^(1/4)+N1600*$C$1549</f>
        <v>60854.7523676417</v>
      </c>
      <c r="P1609" s="55" t="n">
        <f aca="false">F1609</f>
        <v>12109.6726921017</v>
      </c>
      <c r="Q1609" s="55" t="n">
        <f aca="false">J1609</f>
        <v>32813.3087825105</v>
      </c>
      <c r="R1609" s="55" t="n">
        <f aca="false">N1609</f>
        <v>60854.7523676417</v>
      </c>
      <c r="S1609" s="56" t="n">
        <f aca="false">R1609</f>
        <v>60854.7523676417</v>
      </c>
    </row>
    <row r="1610" customFormat="false" ht="15" hidden="false" customHeight="false" outlineLevel="0" collapsed="false">
      <c r="A1610" s="4" t="s">
        <v>539</v>
      </c>
      <c r="B1610" s="36" t="s">
        <v>125</v>
      </c>
      <c r="C1610" s="54" t="n">
        <f aca="false">0*Assumptions!$G$63^(1/4)+C1601*$C$1550</f>
        <v>0</v>
      </c>
      <c r="D1610" s="54" t="n">
        <f aca="false">C1610*Assumptions!$G$63^(1/4)+D1601*$C$1550</f>
        <v>1100.27521397234</v>
      </c>
      <c r="E1610" s="54" t="n">
        <f aca="false">D1610*Assumptions!$G$63^(1/4)+E1601*$C$1550</f>
        <v>3030.5684001444</v>
      </c>
      <c r="F1610" s="54" t="n">
        <f aca="false">E1610*Assumptions!$G$63^(1/4)+F1601*$C$1550</f>
        <v>5011.80395030722</v>
      </c>
      <c r="G1610" s="54" t="n">
        <f aca="false">F1610*Assumptions!$G$63^(1/4)+G1601*$C$1550</f>
        <v>7055.1766868291</v>
      </c>
      <c r="H1610" s="54" t="n">
        <f aca="false">G1610*Assumptions!$G$63^(1/4)+H1601*$C$1550</f>
        <v>9170.45213668972</v>
      </c>
      <c r="I1610" s="54" t="n">
        <f aca="false">H1610*Assumptions!$G$63^(1/4)+I1601*$C$1550</f>
        <v>11209.9534209782</v>
      </c>
      <c r="J1610" s="54" t="n">
        <f aca="false">I1610*Assumptions!$G$63^(1/4)+J1601*$C$1550</f>
        <v>13967.1559964262</v>
      </c>
      <c r="K1610" s="54" t="n">
        <f aca="false">J1610*Assumptions!$G$63^(1/4)+K1601*$C$1550</f>
        <v>17336.9025814925</v>
      </c>
      <c r="L1610" s="54" t="n">
        <f aca="false">K1610*Assumptions!$G$63^(1/4)+L1601*$C$1550</f>
        <v>20550.5009308496</v>
      </c>
      <c r="M1610" s="54" t="n">
        <f aca="false">L1610*Assumptions!$G$63^(1/4)+M1601*$C$1550</f>
        <v>23625.4227570033</v>
      </c>
      <c r="N1610" s="54" t="n">
        <f aca="false">M1610*Assumptions!$G$63^(1/4)+N1601*$C$1550</f>
        <v>26577.051409711</v>
      </c>
      <c r="P1610" s="55" t="n">
        <f aca="false">F1610</f>
        <v>5011.80395030722</v>
      </c>
      <c r="Q1610" s="55" t="n">
        <f aca="false">J1610</f>
        <v>13967.1559964262</v>
      </c>
      <c r="R1610" s="55" t="n">
        <f aca="false">N1610</f>
        <v>26577.051409711</v>
      </c>
      <c r="S1610" s="56" t="n">
        <f aca="false">R1610</f>
        <v>26577.051409711</v>
      </c>
    </row>
    <row r="1611" customFormat="false" ht="15" hidden="false" customHeight="false" outlineLevel="0" collapsed="false">
      <c r="A1611" s="4" t="s">
        <v>540</v>
      </c>
      <c r="B1611" s="36" t="s">
        <v>125</v>
      </c>
      <c r="C1611" s="54" t="n">
        <f aca="false">0*Assumptions!$G$64^(1/4)+C1602*$C$1551</f>
        <v>0</v>
      </c>
      <c r="D1611" s="54" t="n">
        <f aca="false">C1611*Assumptions!$G$64^(1/4)+D1602*$C$1551</f>
        <v>0</v>
      </c>
      <c r="E1611" s="54" t="n">
        <f aca="false">D1611*Assumptions!$G$64^(1/4)+E1602*$C$1551</f>
        <v>1059.10080365713</v>
      </c>
      <c r="F1611" s="54" t="n">
        <f aca="false">E1611*Assumptions!$G$64^(1/4)+F1602*$C$1551</f>
        <v>2935.49193737268</v>
      </c>
      <c r="G1611" s="54" t="n">
        <f aca="false">F1611*Assumptions!$G$64^(1/4)+G1602*$C$1551</f>
        <v>4893.30737688692</v>
      </c>
      <c r="H1611" s="54" t="n">
        <f aca="false">G1611*Assumptions!$G$64^(1/4)+H1602*$C$1551</f>
        <v>6944.569311615</v>
      </c>
      <c r="I1611" s="54" t="n">
        <f aca="false">H1611*Assumptions!$G$64^(1/4)+I1602*$C$1551</f>
        <v>9100.12595001634</v>
      </c>
      <c r="J1611" s="54" t="n">
        <f aca="false">I1611*Assumptions!$G$64^(1/4)+J1602*$C$1551</f>
        <v>11219.4553805161</v>
      </c>
      <c r="K1611" s="54" t="n">
        <f aca="false">J1611*Assumptions!$G$64^(1/4)+K1602*$C$1551</f>
        <v>13956.6694598957</v>
      </c>
      <c r="L1611" s="54" t="n">
        <f aca="false">K1611*Assumptions!$G$64^(1/4)+L1602*$C$1551</f>
        <v>17239.5644270318</v>
      </c>
      <c r="M1611" s="54" t="n">
        <f aca="false">L1611*Assumptions!$G$64^(1/4)+M1602*$C$1551</f>
        <v>20436.8657309705</v>
      </c>
      <c r="N1611" s="54" t="n">
        <f aca="false">M1611*Assumptions!$G$64^(1/4)+N1602*$C$1551</f>
        <v>23562.614734928</v>
      </c>
      <c r="P1611" s="55" t="n">
        <f aca="false">F1611</f>
        <v>2935.49193737268</v>
      </c>
      <c r="Q1611" s="55" t="n">
        <f aca="false">J1611</f>
        <v>11219.4553805161</v>
      </c>
      <c r="R1611" s="55" t="n">
        <f aca="false">N1611</f>
        <v>23562.614734928</v>
      </c>
      <c r="S1611" s="56" t="n">
        <f aca="false">R1611</f>
        <v>23562.614734928</v>
      </c>
    </row>
    <row r="1612" customFormat="false" ht="15" hidden="false" customHeight="false" outlineLevel="0" collapsed="false">
      <c r="A1612" s="9" t="s">
        <v>541</v>
      </c>
      <c r="B1612" s="36" t="s">
        <v>125</v>
      </c>
      <c r="C1612" s="55" t="n">
        <f aca="false">C1609+C1610+C1611</f>
        <v>0</v>
      </c>
      <c r="D1612" s="55" t="n">
        <f aca="false">D1609+D1610+D1611</f>
        <v>3793.21038991807</v>
      </c>
      <c r="E1612" s="55" t="n">
        <f aca="false">E1609+E1610+E1611</f>
        <v>11465.0298615737</v>
      </c>
      <c r="F1612" s="55" t="n">
        <f aca="false">F1609+F1610+F1611</f>
        <v>20056.9685797816</v>
      </c>
      <c r="G1612" s="55" t="n">
        <f aca="false">G1609+G1610+G1611</f>
        <v>28871.3125282339</v>
      </c>
      <c r="H1612" s="55" t="n">
        <f aca="false">H1609+H1610+H1611</f>
        <v>37952.8903132539</v>
      </c>
      <c r="I1612" s="55" t="n">
        <f aca="false">I1609+I1610+I1611</f>
        <v>46802.2172952979</v>
      </c>
      <c r="J1612" s="55" t="n">
        <f aca="false">J1609+J1610+J1611</f>
        <v>57999.9201594528</v>
      </c>
      <c r="K1612" s="55" t="n">
        <f aca="false">K1609+K1610+K1611</f>
        <v>71815.1447050481</v>
      </c>
      <c r="L1612" s="55" t="n">
        <f aca="false">L1609+L1610+L1611</f>
        <v>85521.6556922691</v>
      </c>
      <c r="M1612" s="55" t="n">
        <f aca="false">M1609+M1610+M1611</f>
        <v>98556.5983191794</v>
      </c>
      <c r="N1612" s="55" t="n">
        <f aca="false">N1609+N1610+N1611</f>
        <v>110994.418512281</v>
      </c>
      <c r="P1612" s="55" t="n">
        <f aca="false">F1612</f>
        <v>20056.9685797816</v>
      </c>
      <c r="Q1612" s="55" t="n">
        <f aca="false">J1612</f>
        <v>57999.9201594528</v>
      </c>
      <c r="R1612" s="55" t="n">
        <f aca="false">N1612</f>
        <v>110994.418512281</v>
      </c>
      <c r="S1612" s="56" t="n">
        <f aca="false">R1612</f>
        <v>110994.418512281</v>
      </c>
    </row>
    <row r="1613" customFormat="false" ht="15" hidden="false" customHeight="false" outlineLevel="0" collapsed="false">
      <c r="A1613" s="4" t="s">
        <v>542</v>
      </c>
      <c r="B1613" s="36" t="s">
        <v>125</v>
      </c>
      <c r="C1613" s="54" t="n">
        <f aca="false">C1600*$C$1549+C1601*$C$1550+C1602*$C$1551</f>
        <v>0</v>
      </c>
      <c r="D1613" s="54" t="n">
        <f aca="false">D1600*$C$1549+D1601*$C$1550+D1602*$C$1551</f>
        <v>3793.21038991807</v>
      </c>
      <c r="E1613" s="54" t="n">
        <f aca="false">E1600*$C$1549+E1601*$C$1550+E1602*$C$1551</f>
        <v>7732.91687576268</v>
      </c>
      <c r="F1613" s="54" t="n">
        <f aca="false">F1600*$C$1549+F1601*$C$1550+F1602*$C$1551</f>
        <v>8746.36004294924</v>
      </c>
      <c r="G1613" s="54" t="n">
        <f aca="false">G1600*$C$1549+G1601*$C$1550+G1602*$C$1551</f>
        <v>9053.38626088751</v>
      </c>
      <c r="H1613" s="54" t="n">
        <f aca="false">H1600*$C$1549+H1601*$C$1550+H1602*$C$1551</f>
        <v>9406.18138844868</v>
      </c>
      <c r="I1613" s="54" t="n">
        <f aca="false">I1600*$C$1549+I1601*$C$1550+I1602*$C$1551</f>
        <v>9260.80916404673</v>
      </c>
      <c r="J1613" s="54" t="n">
        <f aca="false">J1600*$C$1549+J1601*$C$1550+J1602*$C$1551</f>
        <v>11689.0223311649</v>
      </c>
      <c r="K1613" s="54" t="n">
        <f aca="false">K1600*$C$1549+K1601*$C$1550+K1602*$C$1551</f>
        <v>14424.8292068319</v>
      </c>
      <c r="L1613" s="54" t="n">
        <f aca="false">L1600*$C$1549+L1601*$C$1550+L1602*$C$1551</f>
        <v>14458.5192074578</v>
      </c>
      <c r="M1613" s="54" t="n">
        <f aca="false">M1600*$C$1549+M1601*$C$1550+M1602*$C$1551</f>
        <v>13911.5923770764</v>
      </c>
      <c r="N1613" s="54" t="n">
        <f aca="false">N1600*$C$1549+N1601*$C$1550+N1602*$C$1551</f>
        <v>13430.2356544906</v>
      </c>
      <c r="P1613" s="55" t="n">
        <f aca="false">SUM(C1613:F1613)</f>
        <v>20272.48730863</v>
      </c>
      <c r="Q1613" s="55" t="n">
        <f aca="false">SUM(G1613:J1613)</f>
        <v>39409.3991445478</v>
      </c>
      <c r="R1613" s="55" t="n">
        <f aca="false">SUM(K1613:N1613)</f>
        <v>56225.1764458567</v>
      </c>
      <c r="S1613" s="56" t="n">
        <f aca="false">SUM(P1613:R1613)</f>
        <v>115907.062899034</v>
      </c>
    </row>
    <row r="1614" customFormat="false" ht="15" hidden="false" customHeight="false" outlineLevel="0" collapsed="false">
      <c r="A1614" s="9" t="s">
        <v>543</v>
      </c>
      <c r="B1614" s="36" t="s">
        <v>125</v>
      </c>
      <c r="C1614" s="55" t="n">
        <f aca="false">(0+C1612)/8</f>
        <v>0</v>
      </c>
      <c r="D1614" s="55" t="n">
        <f aca="false">(C1612+D1612)/8</f>
        <v>474.151298739759</v>
      </c>
      <c r="E1614" s="55" t="n">
        <f aca="false">(D1612+E1612)/8</f>
        <v>1907.28003143647</v>
      </c>
      <c r="F1614" s="55" t="n">
        <f aca="false">(E1612+F1612)/8</f>
        <v>3940.24980516941</v>
      </c>
      <c r="G1614" s="55" t="n">
        <f aca="false">(F1612+G1612)/8</f>
        <v>6116.03513850193</v>
      </c>
      <c r="H1614" s="55" t="n">
        <f aca="false">(G1612+H1612)/8</f>
        <v>8353.02535518596</v>
      </c>
      <c r="I1614" s="55" t="n">
        <f aca="false">(H1612+I1612)/8</f>
        <v>10594.388451069</v>
      </c>
      <c r="J1614" s="55" t="n">
        <f aca="false">(I1612+J1612)/8</f>
        <v>13100.2671818438</v>
      </c>
      <c r="K1614" s="55" t="n">
        <f aca="false">(J1612+K1612)/8</f>
        <v>16226.8831080626</v>
      </c>
      <c r="L1614" s="55" t="n">
        <f aca="false">(K1612+L1612)/8</f>
        <v>19667.1000496646</v>
      </c>
      <c r="M1614" s="55" t="n">
        <f aca="false">(L1612+M1612)/8</f>
        <v>23009.7817514311</v>
      </c>
      <c r="N1614" s="55" t="n">
        <f aca="false">(M1612+N1612)/8</f>
        <v>26193.8771039325</v>
      </c>
      <c r="P1614" s="55" t="n">
        <f aca="false">SUM(C1614:F1614)</f>
        <v>6321.68113534565</v>
      </c>
      <c r="Q1614" s="55" t="n">
        <f aca="false">SUM(G1614:J1614)</f>
        <v>38163.7161266007</v>
      </c>
      <c r="R1614" s="55" t="n">
        <f aca="false">SUM(K1614:N1614)</f>
        <v>85097.6420130908</v>
      </c>
      <c r="S1614" s="56" t="n">
        <f aca="false">SUM(P1614:R1614)</f>
        <v>129583.039275037</v>
      </c>
    </row>
    <row r="1615" customFormat="false" ht="15" hidden="false" customHeight="false" outlineLevel="0" collapsed="false">
      <c r="A1615" s="4" t="s">
        <v>544</v>
      </c>
      <c r="B1615" s="36" t="s">
        <v>125</v>
      </c>
      <c r="C1615" s="54" t="n">
        <f aca="false">C1614*Assumptions!$G$76</f>
        <v>0</v>
      </c>
      <c r="D1615" s="54" t="n">
        <f aca="false">D1614*Assumptions!$G$76</f>
        <v>260.783214306867</v>
      </c>
      <c r="E1615" s="54" t="n">
        <f aca="false">E1614*Assumptions!$G$76</f>
        <v>1049.00401729006</v>
      </c>
      <c r="F1615" s="54" t="n">
        <f aca="false">F1614*Assumptions!$G$76</f>
        <v>2167.13739284318</v>
      </c>
      <c r="G1615" s="54" t="n">
        <f aca="false">G1614*Assumptions!$G$76</f>
        <v>3363.81932617606</v>
      </c>
      <c r="H1615" s="54" t="n">
        <f aca="false">H1614*Assumptions!$G$76</f>
        <v>4594.16394535228</v>
      </c>
      <c r="I1615" s="54" t="n">
        <f aca="false">I1614*Assumptions!$G$76</f>
        <v>5826.91364808794</v>
      </c>
      <c r="J1615" s="54" t="n">
        <f aca="false">J1614*Assumptions!$G$76</f>
        <v>7205.14695001411</v>
      </c>
      <c r="K1615" s="54" t="n">
        <f aca="false">K1614*Assumptions!$G$76</f>
        <v>8924.78570943443</v>
      </c>
      <c r="L1615" s="54" t="n">
        <f aca="false">L1614*Assumptions!$G$76</f>
        <v>10816.9050273156</v>
      </c>
      <c r="M1615" s="54" t="n">
        <f aca="false">M1614*Assumptions!$G$76</f>
        <v>12655.3799632871</v>
      </c>
      <c r="N1615" s="54" t="n">
        <f aca="false">N1614*Assumptions!$G$76</f>
        <v>14406.6324071629</v>
      </c>
      <c r="P1615" s="55" t="n">
        <f aca="false">SUM(C1615:F1615)</f>
        <v>3476.92462444011</v>
      </c>
      <c r="Q1615" s="55" t="n">
        <f aca="false">SUM(G1615:J1615)</f>
        <v>20990.0438696304</v>
      </c>
      <c r="R1615" s="55" t="n">
        <f aca="false">SUM(K1615:N1615)</f>
        <v>46803.7031072</v>
      </c>
      <c r="S1615" s="56" t="n">
        <f aca="false">SUM(P1615:R1615)</f>
        <v>71270.6716012705</v>
      </c>
    </row>
    <row r="1616" customFormat="false" ht="15" hidden="false" customHeight="false" outlineLevel="0" collapsed="false">
      <c r="A1616" s="35" t="s">
        <v>547</v>
      </c>
      <c r="B1616" s="35" t="s">
        <v>444</v>
      </c>
      <c r="C1616" s="6" t="s">
        <v>354</v>
      </c>
      <c r="D1616" s="6" t="s">
        <v>355</v>
      </c>
      <c r="E1616" s="6" t="s">
        <v>356</v>
      </c>
      <c r="F1616" s="6" t="s">
        <v>357</v>
      </c>
      <c r="G1616" s="6" t="s">
        <v>358</v>
      </c>
      <c r="H1616" s="6" t="s">
        <v>359</v>
      </c>
      <c r="I1616" s="6" t="s">
        <v>360</v>
      </c>
      <c r="J1616" s="6" t="s">
        <v>361</v>
      </c>
      <c r="K1616" s="6" t="s">
        <v>362</v>
      </c>
      <c r="L1616" s="6" t="s">
        <v>363</v>
      </c>
      <c r="M1616" s="6" t="s">
        <v>364</v>
      </c>
      <c r="N1616" s="6" t="s">
        <v>365</v>
      </c>
      <c r="P1616" s="6" t="s">
        <v>445</v>
      </c>
      <c r="Q1616" s="6" t="s">
        <v>446</v>
      </c>
      <c r="R1616" s="6" t="s">
        <v>447</v>
      </c>
      <c r="S1616" s="6" t="s">
        <v>448</v>
      </c>
    </row>
    <row r="1617" customFormat="false" ht="15" hidden="false" customHeight="false" outlineLevel="0" collapsed="false">
      <c r="A1617" s="4" t="s">
        <v>548</v>
      </c>
      <c r="B1617" s="36" t="s">
        <v>321</v>
      </c>
      <c r="C1617" s="48" t="n">
        <f aca="false">Assumptions!$D$97*C1559</f>
        <v>1</v>
      </c>
      <c r="D1617" s="48" t="n">
        <f aca="false">Assumptions!$D$97*D1559</f>
        <v>1</v>
      </c>
      <c r="E1617" s="48" t="n">
        <f aca="false">Assumptions!$D$97*E1559</f>
        <v>1</v>
      </c>
      <c r="F1617" s="48" t="n">
        <f aca="false">Assumptions!$D$97*F1559</f>
        <v>1</v>
      </c>
      <c r="G1617" s="48" t="n">
        <f aca="false">Assumptions!$D$97*G1559</f>
        <v>1</v>
      </c>
      <c r="H1617" s="48" t="n">
        <f aca="false">Assumptions!$D$97*H1559</f>
        <v>1</v>
      </c>
      <c r="I1617" s="48" t="n">
        <f aca="false">Assumptions!$D$97*I1559</f>
        <v>1</v>
      </c>
      <c r="J1617" s="48" t="n">
        <f aca="false">Assumptions!$D$97*J1559</f>
        <v>1</v>
      </c>
      <c r="K1617" s="48" t="n">
        <f aca="false">Assumptions!$D$97*K1559</f>
        <v>1</v>
      </c>
      <c r="L1617" s="48" t="n">
        <f aca="false">Assumptions!$D$97*L1559</f>
        <v>1</v>
      </c>
      <c r="M1617" s="48" t="n">
        <f aca="false">Assumptions!$D$97*M1559</f>
        <v>1</v>
      </c>
      <c r="N1617" s="48" t="n">
        <f aca="false">Assumptions!$D$97*N1559</f>
        <v>1</v>
      </c>
      <c r="P1617" s="49" t="n">
        <f aca="false">AVERAGE(C1617:F1617)</f>
        <v>1</v>
      </c>
      <c r="Q1617" s="49" t="n">
        <f aca="false">AVERAGE(G1617:J1617)</f>
        <v>1</v>
      </c>
      <c r="R1617" s="49" t="n">
        <f aca="false">AVERAGE(K1617:N1617)</f>
        <v>1</v>
      </c>
      <c r="S1617" s="50"/>
    </row>
    <row r="1618" customFormat="false" ht="15" hidden="false" customHeight="false" outlineLevel="0" collapsed="false">
      <c r="A1618" s="4" t="s">
        <v>549</v>
      </c>
      <c r="B1618" s="36" t="s">
        <v>321</v>
      </c>
      <c r="C1618" s="48" t="n">
        <f aca="false">C1572*C1559</f>
        <v>0</v>
      </c>
      <c r="D1618" s="48" t="n">
        <f aca="false">D1572*D1559</f>
        <v>0</v>
      </c>
      <c r="E1618" s="48" t="n">
        <f aca="false">E1572*E1559</f>
        <v>0</v>
      </c>
      <c r="F1618" s="48" t="n">
        <f aca="false">F1572*F1559</f>
        <v>0</v>
      </c>
      <c r="G1618" s="48" t="n">
        <f aca="false">G1572*G1559</f>
        <v>0</v>
      </c>
      <c r="H1618" s="48" t="n">
        <f aca="false">H1572*H1559</f>
        <v>0</v>
      </c>
      <c r="I1618" s="48" t="n">
        <f aca="false">I1572*I1559</f>
        <v>0</v>
      </c>
      <c r="J1618" s="48" t="n">
        <f aca="false">J1572*J1559</f>
        <v>0</v>
      </c>
      <c r="K1618" s="48" t="n">
        <f aca="false">K1572*K1559</f>
        <v>0</v>
      </c>
      <c r="L1618" s="48" t="n">
        <f aca="false">L1572*L1559</f>
        <v>0</v>
      </c>
      <c r="M1618" s="48" t="n">
        <f aca="false">M1572*M1559</f>
        <v>0</v>
      </c>
      <c r="N1618" s="48" t="n">
        <f aca="false">N1572*N1559</f>
        <v>0</v>
      </c>
      <c r="P1618" s="49" t="n">
        <f aca="false">AVERAGE(C1618:F1618)</f>
        <v>0</v>
      </c>
      <c r="Q1618" s="49" t="n">
        <f aca="false">AVERAGE(G1618:J1618)</f>
        <v>0</v>
      </c>
      <c r="R1618" s="49" t="n">
        <f aca="false">AVERAGE(K1618:N1618)</f>
        <v>0</v>
      </c>
      <c r="S1618" s="50"/>
    </row>
    <row r="1619" customFormat="false" ht="15" hidden="false" customHeight="false" outlineLevel="0" collapsed="false">
      <c r="A1619" s="4" t="s">
        <v>550</v>
      </c>
      <c r="B1619" s="36" t="s">
        <v>321</v>
      </c>
      <c r="C1619" s="48" t="n">
        <f aca="false">IF(C1558&lt;=4,Assumptions!$D$98,Assumptions!$D$99)*C1559</f>
        <v>0</v>
      </c>
      <c r="D1619" s="48" t="n">
        <f aca="false">IF(D1558&lt;=4,Assumptions!$D$98,Assumptions!$D$99)*D1559</f>
        <v>0</v>
      </c>
      <c r="E1619" s="48" t="n">
        <f aca="false">IF(E1558&lt;=4,Assumptions!$D$98,Assumptions!$D$99)*E1559</f>
        <v>0</v>
      </c>
      <c r="F1619" s="48" t="n">
        <f aca="false">IF(F1558&lt;=4,Assumptions!$D$98,Assumptions!$D$99)*F1559</f>
        <v>0</v>
      </c>
      <c r="G1619" s="48" t="n">
        <f aca="false">IF(G1558&lt;=4,Assumptions!$D$98,Assumptions!$D$99)*G1559</f>
        <v>0.5</v>
      </c>
      <c r="H1619" s="48" t="n">
        <f aca="false">IF(H1558&lt;=4,Assumptions!$D$98,Assumptions!$D$99)*H1559</f>
        <v>0.5</v>
      </c>
      <c r="I1619" s="48" t="n">
        <f aca="false">IF(I1558&lt;=4,Assumptions!$D$98,Assumptions!$D$99)*I1559</f>
        <v>0.5</v>
      </c>
      <c r="J1619" s="48" t="n">
        <f aca="false">IF(J1558&lt;=4,Assumptions!$D$98,Assumptions!$D$99)*J1559</f>
        <v>0.5</v>
      </c>
      <c r="K1619" s="48" t="n">
        <f aca="false">IF(K1558&lt;=4,Assumptions!$D$98,Assumptions!$D$99)*K1559</f>
        <v>0.5</v>
      </c>
      <c r="L1619" s="48" t="n">
        <f aca="false">IF(L1558&lt;=4,Assumptions!$D$98,Assumptions!$D$99)*L1559</f>
        <v>0.5</v>
      </c>
      <c r="M1619" s="48" t="n">
        <f aca="false">IF(M1558&lt;=4,Assumptions!$D$98,Assumptions!$D$99)*M1559</f>
        <v>0.5</v>
      </c>
      <c r="N1619" s="48" t="n">
        <f aca="false">IF(N1558&lt;=4,Assumptions!$D$98,Assumptions!$D$99)*N1559</f>
        <v>0.5</v>
      </c>
      <c r="P1619" s="49" t="n">
        <f aca="false">AVERAGE(C1619:F1619)</f>
        <v>0</v>
      </c>
      <c r="Q1619" s="49" t="n">
        <f aca="false">AVERAGE(G1619:J1619)</f>
        <v>0.5</v>
      </c>
      <c r="R1619" s="49" t="n">
        <f aca="false">AVERAGE(K1619:N1619)</f>
        <v>0.5</v>
      </c>
      <c r="S1619" s="50"/>
    </row>
    <row r="1620" customFormat="false" ht="15" hidden="false" customHeight="false" outlineLevel="0" collapsed="false">
      <c r="A1620" s="4" t="s">
        <v>551</v>
      </c>
      <c r="B1620" s="36" t="s">
        <v>321</v>
      </c>
      <c r="C1620" s="48" t="n">
        <f aca="false">IF(C1558&lt;=4,Assumptions!$D$100,Assumptions!$D$101)*C1559</f>
        <v>1</v>
      </c>
      <c r="D1620" s="48" t="n">
        <f aca="false">IF(D1558&lt;=4,Assumptions!$D$100,Assumptions!$D$101)*D1559</f>
        <v>1</v>
      </c>
      <c r="E1620" s="48" t="n">
        <f aca="false">IF(E1558&lt;=4,Assumptions!$D$100,Assumptions!$D$101)*E1559</f>
        <v>1</v>
      </c>
      <c r="F1620" s="48" t="n">
        <f aca="false">IF(F1558&lt;=4,Assumptions!$D$100,Assumptions!$D$101)*F1559</f>
        <v>1</v>
      </c>
      <c r="G1620" s="48" t="n">
        <f aca="false">IF(G1558&lt;=4,Assumptions!$D$100,Assumptions!$D$101)*G1559</f>
        <v>0.5</v>
      </c>
      <c r="H1620" s="48" t="n">
        <f aca="false">IF(H1558&lt;=4,Assumptions!$D$100,Assumptions!$D$101)*H1559</f>
        <v>0.5</v>
      </c>
      <c r="I1620" s="48" t="n">
        <f aca="false">IF(I1558&lt;=4,Assumptions!$D$100,Assumptions!$D$101)*I1559</f>
        <v>0.5</v>
      </c>
      <c r="J1620" s="48" t="n">
        <f aca="false">IF(J1558&lt;=4,Assumptions!$D$100,Assumptions!$D$101)*J1559</f>
        <v>0.5</v>
      </c>
      <c r="K1620" s="48" t="n">
        <f aca="false">IF(K1558&lt;=4,Assumptions!$D$100,Assumptions!$D$101)*K1559</f>
        <v>0.5</v>
      </c>
      <c r="L1620" s="48" t="n">
        <f aca="false">IF(L1558&lt;=4,Assumptions!$D$100,Assumptions!$D$101)*L1559</f>
        <v>0.5</v>
      </c>
      <c r="M1620" s="48" t="n">
        <f aca="false">IF(M1558&lt;=4,Assumptions!$D$100,Assumptions!$D$101)*M1559</f>
        <v>0.5</v>
      </c>
      <c r="N1620" s="48" t="n">
        <f aca="false">IF(N1558&lt;=4,Assumptions!$D$100,Assumptions!$D$101)*N1559</f>
        <v>0.5</v>
      </c>
      <c r="P1620" s="49" t="n">
        <f aca="false">AVERAGE(C1620:F1620)</f>
        <v>1</v>
      </c>
      <c r="Q1620" s="49" t="n">
        <f aca="false">AVERAGE(G1620:J1620)</f>
        <v>0.5</v>
      </c>
      <c r="R1620" s="49" t="n">
        <f aca="false">AVERAGE(K1620:N1620)</f>
        <v>0.5</v>
      </c>
      <c r="S1620" s="50"/>
    </row>
    <row r="1621" customFormat="false" ht="15" hidden="false" customHeight="false" outlineLevel="0" collapsed="false">
      <c r="A1621" s="4" t="s">
        <v>552</v>
      </c>
      <c r="B1621" s="36" t="s">
        <v>321</v>
      </c>
      <c r="C1621" s="48" t="n">
        <f aca="false">Assumptions!$D$102*C1559</f>
        <v>0.25</v>
      </c>
      <c r="D1621" s="48" t="n">
        <f aca="false">Assumptions!$D$102*D1559</f>
        <v>0.25</v>
      </c>
      <c r="E1621" s="48" t="n">
        <f aca="false">Assumptions!$D$102*E1559</f>
        <v>0.25</v>
      </c>
      <c r="F1621" s="48" t="n">
        <f aca="false">Assumptions!$D$102*F1559</f>
        <v>0.25</v>
      </c>
      <c r="G1621" s="48" t="n">
        <f aca="false">Assumptions!$D$102*G1559</f>
        <v>0.25</v>
      </c>
      <c r="H1621" s="48" t="n">
        <f aca="false">Assumptions!$D$102*H1559</f>
        <v>0.25</v>
      </c>
      <c r="I1621" s="48" t="n">
        <f aca="false">Assumptions!$D$102*I1559</f>
        <v>0.25</v>
      </c>
      <c r="J1621" s="48" t="n">
        <f aca="false">Assumptions!$D$102*J1559</f>
        <v>0.25</v>
      </c>
      <c r="K1621" s="48" t="n">
        <f aca="false">Assumptions!$D$102*K1559</f>
        <v>0.25</v>
      </c>
      <c r="L1621" s="48" t="n">
        <f aca="false">Assumptions!$D$102*L1559</f>
        <v>0.25</v>
      </c>
      <c r="M1621" s="48" t="n">
        <f aca="false">Assumptions!$D$102*M1559</f>
        <v>0.25</v>
      </c>
      <c r="N1621" s="48" t="n">
        <f aca="false">Assumptions!$D$102*N1559</f>
        <v>0.25</v>
      </c>
      <c r="P1621" s="49" t="n">
        <f aca="false">AVERAGE(C1621:F1621)</f>
        <v>0.25</v>
      </c>
      <c r="Q1621" s="49" t="n">
        <f aca="false">AVERAGE(G1621:J1621)</f>
        <v>0.25</v>
      </c>
      <c r="R1621" s="49" t="n">
        <f aca="false">AVERAGE(K1621:N1621)</f>
        <v>0.25</v>
      </c>
      <c r="S1621" s="50"/>
    </row>
    <row r="1622" customFormat="false" ht="15" hidden="false" customHeight="false" outlineLevel="0" collapsed="false">
      <c r="A1622" s="4" t="s">
        <v>553</v>
      </c>
      <c r="B1622" s="36" t="s">
        <v>321</v>
      </c>
      <c r="C1622" s="48" t="n">
        <f aca="false">(C1606+C1607)/Assumptions!$G$74+C1605/Assumptions!$G$75</f>
        <v>0</v>
      </c>
      <c r="D1622" s="48" t="n">
        <f aca="false">(D1606+D1607)/Assumptions!$G$74+D1605/Assumptions!$G$75</f>
        <v>0.00715220871694535</v>
      </c>
      <c r="E1622" s="48" t="n">
        <f aca="false">(E1606+E1607)/Assumptions!$G$74+E1605/Assumptions!$G$75</f>
        <v>0.0200631179194368</v>
      </c>
      <c r="F1622" s="48" t="n">
        <f aca="false">(F1606+F1607)/Assumptions!$G$74+F1605/Assumptions!$G$75</f>
        <v>0.0333380077028473</v>
      </c>
      <c r="G1622" s="48" t="n">
        <f aca="false">(G1606+G1607)/Assumptions!$G$74+G1605/Assumptions!$G$75</f>
        <v>0.0466194987111477</v>
      </c>
      <c r="H1622" s="48" t="n">
        <f aca="false">(H1606+H1607)/Assumptions!$G$74+H1605/Assumptions!$G$75</f>
        <v>0.0599790965803846</v>
      </c>
      <c r="I1622" s="48" t="n">
        <f aca="false">(I1606+I1607)/Assumptions!$G$74+I1605/Assumptions!$G$75</f>
        <v>0.0724617815195819</v>
      </c>
      <c r="J1622" s="48" t="n">
        <f aca="false">(J1606+J1607)/Assumptions!$G$74+J1605/Assumptions!$G$75</f>
        <v>0.0891621358293812</v>
      </c>
      <c r="K1622" s="48" t="n">
        <f aca="false">(K1606+K1607)/Assumptions!$G$74+K1605/Assumptions!$G$75</f>
        <v>0.109631927694133</v>
      </c>
      <c r="L1622" s="48" t="n">
        <f aca="false">(L1606+L1607)/Assumptions!$G$74+L1605/Assumptions!$G$75</f>
        <v>0.128721692272607</v>
      </c>
      <c r="M1622" s="48" t="n">
        <f aca="false">(M1606+M1607)/Assumptions!$G$74+M1605/Assumptions!$G$75</f>
        <v>0.146233571594643</v>
      </c>
      <c r="N1622" s="48" t="n">
        <f aca="false">(N1606+N1607)/Assumptions!$G$74+N1605/Assumptions!$G$75</f>
        <v>0.162330324806745</v>
      </c>
      <c r="P1622" s="49" t="n">
        <f aca="false">AVERAGE(C1622:F1622)</f>
        <v>0.0151383335848074</v>
      </c>
      <c r="Q1622" s="49" t="n">
        <f aca="false">AVERAGE(G1622:J1622)</f>
        <v>0.0670556281601238</v>
      </c>
      <c r="R1622" s="49" t="n">
        <f aca="false">AVERAGE(K1622:N1622)</f>
        <v>0.136729379092032</v>
      </c>
      <c r="S1622" s="50"/>
    </row>
    <row r="1623" customFormat="false" ht="15" hidden="false" customHeight="false" outlineLevel="0" collapsed="false">
      <c r="A1623" s="4" t="s">
        <v>554</v>
      </c>
      <c r="B1623" s="36" t="s">
        <v>125</v>
      </c>
      <c r="C1623" s="54" t="n">
        <f aca="false">(C1617+C1619)*Assumptions!$G$70/Assumptions!$G$69/4</f>
        <v>66753.5714285714</v>
      </c>
      <c r="D1623" s="54" t="n">
        <f aca="false">(D1617+D1619)*Assumptions!$G$70/Assumptions!$G$69/4</f>
        <v>66753.5714285714</v>
      </c>
      <c r="E1623" s="54" t="n">
        <f aca="false">(E1617+E1619)*Assumptions!$G$70/Assumptions!$G$69/4</f>
        <v>66753.5714285714</v>
      </c>
      <c r="F1623" s="54" t="n">
        <f aca="false">(F1617+F1619)*Assumptions!$G$70/Assumptions!$G$69/4</f>
        <v>66753.5714285714</v>
      </c>
      <c r="G1623" s="54" t="n">
        <f aca="false">(G1617+G1619)*Assumptions!$G$70/Assumptions!$G$69/4</f>
        <v>100130.357142857</v>
      </c>
      <c r="H1623" s="54" t="n">
        <f aca="false">(H1617+H1619)*Assumptions!$G$70/Assumptions!$G$69/4</f>
        <v>100130.357142857</v>
      </c>
      <c r="I1623" s="54" t="n">
        <f aca="false">(I1617+I1619)*Assumptions!$G$70/Assumptions!$G$69/4</f>
        <v>100130.357142857</v>
      </c>
      <c r="J1623" s="54" t="n">
        <f aca="false">(J1617+J1619)*Assumptions!$G$70/Assumptions!$G$69/4</f>
        <v>100130.357142857</v>
      </c>
      <c r="K1623" s="54" t="n">
        <f aca="false">(K1617+K1619)*Assumptions!$G$70/Assumptions!$G$69/4</f>
        <v>100130.357142857</v>
      </c>
      <c r="L1623" s="54" t="n">
        <f aca="false">(L1617+L1619)*Assumptions!$G$70/Assumptions!$G$69/4</f>
        <v>100130.357142857</v>
      </c>
      <c r="M1623" s="54" t="n">
        <f aca="false">(M1617+M1619)*Assumptions!$G$70/Assumptions!$G$69/4</f>
        <v>100130.357142857</v>
      </c>
      <c r="N1623" s="54" t="n">
        <f aca="false">(N1617+N1619)*Assumptions!$G$70/Assumptions!$G$69/4</f>
        <v>100130.357142857</v>
      </c>
      <c r="P1623" s="55" t="n">
        <f aca="false">SUM(C1623:F1623)</f>
        <v>267014.285714286</v>
      </c>
      <c r="Q1623" s="55" t="n">
        <f aca="false">SUM(G1623:J1623)</f>
        <v>400521.428571429</v>
      </c>
      <c r="R1623" s="55" t="n">
        <f aca="false">SUM(K1623:N1623)</f>
        <v>400521.428571429</v>
      </c>
      <c r="S1623" s="56" t="n">
        <f aca="false">SUM(P1623:R1623)</f>
        <v>1068057.14285714</v>
      </c>
    </row>
    <row r="1624" customFormat="false" ht="15" hidden="false" customHeight="false" outlineLevel="0" collapsed="false">
      <c r="A1624" s="4" t="s">
        <v>555</v>
      </c>
      <c r="B1624" s="36" t="s">
        <v>125</v>
      </c>
      <c r="C1624" s="54" t="n">
        <f aca="false">C1618*$C$1553/4</f>
        <v>0</v>
      </c>
      <c r="D1624" s="54" t="n">
        <f aca="false">D1618*$C$1553/4</f>
        <v>0</v>
      </c>
      <c r="E1624" s="54" t="n">
        <f aca="false">E1618*$C$1553/4</f>
        <v>0</v>
      </c>
      <c r="F1624" s="54" t="n">
        <f aca="false">F1618*$C$1553/4</f>
        <v>0</v>
      </c>
      <c r="G1624" s="54" t="n">
        <f aca="false">G1618*$C$1553/4</f>
        <v>0</v>
      </c>
      <c r="H1624" s="54" t="n">
        <f aca="false">H1618*$C$1553/4</f>
        <v>0</v>
      </c>
      <c r="I1624" s="54" t="n">
        <f aca="false">I1618*$C$1553/4</f>
        <v>0</v>
      </c>
      <c r="J1624" s="54" t="n">
        <f aca="false">J1618*$C$1553/4</f>
        <v>0</v>
      </c>
      <c r="K1624" s="54" t="n">
        <f aca="false">K1618*$C$1553/4</f>
        <v>0</v>
      </c>
      <c r="L1624" s="54" t="n">
        <f aca="false">L1618*$C$1553/4</f>
        <v>0</v>
      </c>
      <c r="M1624" s="54" t="n">
        <f aca="false">M1618*$C$1553/4</f>
        <v>0</v>
      </c>
      <c r="N1624" s="54" t="n">
        <f aca="false">N1618*$C$1553/4</f>
        <v>0</v>
      </c>
      <c r="P1624" s="55" t="n">
        <f aca="false">SUM(C1624:F1624)</f>
        <v>0</v>
      </c>
      <c r="Q1624" s="55" t="n">
        <f aca="false">SUM(G1624:J1624)</f>
        <v>0</v>
      </c>
      <c r="R1624" s="55" t="n">
        <f aca="false">SUM(K1624:N1624)</f>
        <v>0</v>
      </c>
      <c r="S1624" s="56" t="n">
        <f aca="false">SUM(P1624:R1624)</f>
        <v>0</v>
      </c>
    </row>
    <row r="1625" customFormat="false" ht="15" hidden="false" customHeight="false" outlineLevel="0" collapsed="false">
      <c r="A1625" s="4" t="s">
        <v>556</v>
      </c>
      <c r="B1625" s="36" t="s">
        <v>125</v>
      </c>
      <c r="C1625" s="54" t="n">
        <f aca="false">MAX(0,(C1613-C1594*$C$1549)-C1573*$C$1554)*$C$1555*Assumptions!$D$105</f>
        <v>0</v>
      </c>
      <c r="D1625" s="54" t="n">
        <f aca="false">MAX(0,(D1613-D1594*$C$1549)-D1573*$C$1554)*$C$1555*Assumptions!$D$105</f>
        <v>1772.36650813171</v>
      </c>
      <c r="E1625" s="54" t="n">
        <f aca="false">MAX(0,(E1613-E1594*$C$1549)-E1573*$C$1554)*$C$1555*Assumptions!$D$105</f>
        <v>3747.10082216062</v>
      </c>
      <c r="F1625" s="54" t="n">
        <f aca="false">MAX(0,(F1613-F1594*$C$1549)-F1573*$C$1554)*$C$1555*Assumptions!$D$105</f>
        <v>4322.32794065065</v>
      </c>
      <c r="G1625" s="54" t="n">
        <f aca="false">MAX(0,(G1613-G1594*$C$1549)-G1573*$C$1554)*$C$1555*Assumptions!$D$105</f>
        <v>4473.16902564326</v>
      </c>
      <c r="H1625" s="54" t="n">
        <f aca="false">MAX(0,(H1613-H1594*$C$1549)-H1573*$C$1554)*$C$1555*Assumptions!$D$105</f>
        <v>4646.78929418823</v>
      </c>
      <c r="I1625" s="54" t="n">
        <f aca="false">MAX(0,(I1613-I1594*$C$1549)-I1573*$C$1554)*$C$1555*Assumptions!$D$105</f>
        <v>4588.86901258619</v>
      </c>
      <c r="J1625" s="54" t="n">
        <f aca="false">MAX(0,(J1613-J1594*$C$1549)-J1573*$C$1554)*$C$1555*Assumptions!$D$105</f>
        <v>5716.49074811408</v>
      </c>
      <c r="K1625" s="54" t="n">
        <f aca="false">MAX(0,(K1613-K1594*$C$1549)-K1573*$C$1554)*$C$1555*Assumptions!$D$105</f>
        <v>7070.43979601736</v>
      </c>
      <c r="L1625" s="54" t="n">
        <f aca="false">MAX(0,(L1613-L1594*$C$1549)-L1573*$C$1554)*$C$1555*Assumptions!$D$105</f>
        <v>7150.86028086948</v>
      </c>
      <c r="M1625" s="54" t="n">
        <f aca="false">MAX(0,(M1613-M1594*$C$1549)-M1573*$C$1554)*$C$1555*Assumptions!$D$105</f>
        <v>6879.32965615604</v>
      </c>
      <c r="N1625" s="54" t="n">
        <f aca="false">MAX(0,(N1613-N1594*$C$1549)-N1573*$C$1554)*$C$1555*Assumptions!$D$105</f>
        <v>6640.35236644689</v>
      </c>
      <c r="P1625" s="55" t="n">
        <f aca="false">SUM(C1625:F1625)</f>
        <v>9841.79527094298</v>
      </c>
      <c r="Q1625" s="55" t="n">
        <f aca="false">SUM(G1625:J1625)</f>
        <v>19425.3180805318</v>
      </c>
      <c r="R1625" s="55" t="n">
        <f aca="false">SUM(K1625:N1625)</f>
        <v>27740.9820994898</v>
      </c>
      <c r="S1625" s="56" t="n">
        <f aca="false">SUM(P1625:R1625)</f>
        <v>57008.0954509645</v>
      </c>
    </row>
    <row r="1626" customFormat="false" ht="15" hidden="false" customHeight="false" outlineLevel="0" collapsed="false">
      <c r="A1626" s="4" t="s">
        <v>557</v>
      </c>
      <c r="B1626" s="36" t="s">
        <v>125</v>
      </c>
      <c r="C1626" s="54" t="n">
        <f aca="false">C1621*Assumptions!$G$71/Assumptions!$G$69/4</f>
        <v>18475.8928571429</v>
      </c>
      <c r="D1626" s="54" t="n">
        <f aca="false">D1621*Assumptions!$G$71/Assumptions!$G$69/4</f>
        <v>18475.8928571429</v>
      </c>
      <c r="E1626" s="54" t="n">
        <f aca="false">E1621*Assumptions!$G$71/Assumptions!$G$69/4</f>
        <v>18475.8928571429</v>
      </c>
      <c r="F1626" s="54" t="n">
        <f aca="false">F1621*Assumptions!$G$71/Assumptions!$G$69/4</f>
        <v>18475.8928571429</v>
      </c>
      <c r="G1626" s="54" t="n">
        <f aca="false">G1621*Assumptions!$G$71/Assumptions!$G$69/4</f>
        <v>18475.8928571429</v>
      </c>
      <c r="H1626" s="54" t="n">
        <f aca="false">H1621*Assumptions!$G$71/Assumptions!$G$69/4</f>
        <v>18475.8928571429</v>
      </c>
      <c r="I1626" s="54" t="n">
        <f aca="false">I1621*Assumptions!$G$71/Assumptions!$G$69/4</f>
        <v>18475.8928571429</v>
      </c>
      <c r="J1626" s="54" t="n">
        <f aca="false">J1621*Assumptions!$G$71/Assumptions!$G$69/4</f>
        <v>18475.8928571429</v>
      </c>
      <c r="K1626" s="54" t="n">
        <f aca="false">K1621*Assumptions!$G$71/Assumptions!$G$69/4</f>
        <v>18475.8928571429</v>
      </c>
      <c r="L1626" s="54" t="n">
        <f aca="false">L1621*Assumptions!$G$71/Assumptions!$G$69/4</f>
        <v>18475.8928571429</v>
      </c>
      <c r="M1626" s="54" t="n">
        <f aca="false">M1621*Assumptions!$G$71/Assumptions!$G$69/4</f>
        <v>18475.8928571429</v>
      </c>
      <c r="N1626" s="54" t="n">
        <f aca="false">N1621*Assumptions!$G$71/Assumptions!$G$69/4</f>
        <v>18475.8928571429</v>
      </c>
      <c r="P1626" s="55" t="n">
        <f aca="false">SUM(C1626:F1626)</f>
        <v>73903.5714285714</v>
      </c>
      <c r="Q1626" s="55" t="n">
        <f aca="false">SUM(G1626:J1626)</f>
        <v>73903.5714285714</v>
      </c>
      <c r="R1626" s="55" t="n">
        <f aca="false">SUM(K1626:N1626)</f>
        <v>73903.5714285714</v>
      </c>
      <c r="S1626" s="56" t="n">
        <f aca="false">SUM(P1626:R1626)</f>
        <v>221710.714285714</v>
      </c>
    </row>
    <row r="1627" customFormat="false" ht="15" hidden="false" customHeight="false" outlineLevel="0" collapsed="false">
      <c r="A1627" s="4" t="s">
        <v>558</v>
      </c>
      <c r="B1627" s="36" t="s">
        <v>125</v>
      </c>
      <c r="C1627" s="54" t="n">
        <f aca="false">(Assumptions!$D$103+Assumptions!$G$77*((C1558=Assumptions!$G$13)+(C1558=Assumptions!$G$14)+(C1558=Assumptions!$G$15)))*C1559</f>
        <v>65000</v>
      </c>
      <c r="D1627" s="54" t="n">
        <f aca="false">(Assumptions!$D$103+Assumptions!$G$77*((D1558=Assumptions!$G$13)+(D1558=Assumptions!$G$14)+(D1558=Assumptions!$G$15)))*D1559</f>
        <v>25000</v>
      </c>
      <c r="E1627" s="54" t="n">
        <f aca="false">(Assumptions!$D$103+Assumptions!$G$77*((E1558=Assumptions!$G$13)+(E1558=Assumptions!$G$14)+(E1558=Assumptions!$G$15)))*E1559</f>
        <v>25000</v>
      </c>
      <c r="F1627" s="54" t="n">
        <f aca="false">(Assumptions!$D$103+Assumptions!$G$77*((F1558=Assumptions!$G$13)+(F1558=Assumptions!$G$14)+(F1558=Assumptions!$G$15)))*F1559</f>
        <v>25000</v>
      </c>
      <c r="G1627" s="54" t="n">
        <f aca="false">(Assumptions!$D$103+Assumptions!$G$77*((G1558=Assumptions!$G$13)+(G1558=Assumptions!$G$14)+(G1558=Assumptions!$G$15)))*G1559</f>
        <v>25000</v>
      </c>
      <c r="H1627" s="54" t="n">
        <f aca="false">(Assumptions!$D$103+Assumptions!$G$77*((H1558=Assumptions!$G$13)+(H1558=Assumptions!$G$14)+(H1558=Assumptions!$G$15)))*H1559</f>
        <v>25000</v>
      </c>
      <c r="I1627" s="54" t="n">
        <f aca="false">(Assumptions!$D$103+Assumptions!$G$77*((I1558=Assumptions!$G$13)+(I1558=Assumptions!$G$14)+(I1558=Assumptions!$G$15)))*I1559</f>
        <v>65000</v>
      </c>
      <c r="J1627" s="54" t="n">
        <f aca="false">(Assumptions!$D$103+Assumptions!$G$77*((J1558=Assumptions!$G$13)+(J1558=Assumptions!$G$14)+(J1558=Assumptions!$G$15)))*J1559</f>
        <v>25000</v>
      </c>
      <c r="K1627" s="54" t="n">
        <f aca="false">(Assumptions!$D$103+Assumptions!$G$77*((K1558=Assumptions!$G$13)+(K1558=Assumptions!$G$14)+(K1558=Assumptions!$G$15)))*K1559</f>
        <v>25000</v>
      </c>
      <c r="L1627" s="54" t="n">
        <f aca="false">(Assumptions!$D$103+Assumptions!$G$77*((L1558=Assumptions!$G$13)+(L1558=Assumptions!$G$14)+(L1558=Assumptions!$G$15)))*L1559</f>
        <v>25000</v>
      </c>
      <c r="M1627" s="54" t="n">
        <f aca="false">(Assumptions!$D$103+Assumptions!$G$77*((M1558=Assumptions!$G$13)+(M1558=Assumptions!$G$14)+(M1558=Assumptions!$G$15)))*M1559</f>
        <v>25000</v>
      </c>
      <c r="N1627" s="54" t="n">
        <f aca="false">(Assumptions!$D$103+Assumptions!$G$77*((N1558=Assumptions!$G$13)+(N1558=Assumptions!$G$14)+(N1558=Assumptions!$G$15)))*N1559</f>
        <v>25000</v>
      </c>
      <c r="P1627" s="55" t="n">
        <f aca="false">SUM(C1627:F1627)</f>
        <v>140000</v>
      </c>
      <c r="Q1627" s="55" t="n">
        <f aca="false">SUM(G1627:J1627)</f>
        <v>140000</v>
      </c>
      <c r="R1627" s="55" t="n">
        <f aca="false">SUM(K1627:N1627)</f>
        <v>100000</v>
      </c>
      <c r="S1627" s="56" t="n">
        <f aca="false">SUM(P1627:R1627)</f>
        <v>380000</v>
      </c>
    </row>
    <row r="1628" customFormat="false" ht="15" hidden="false" customHeight="false" outlineLevel="0" collapsed="false">
      <c r="A1628" s="4" t="s">
        <v>559</v>
      </c>
      <c r="B1628" s="36" t="s">
        <v>125</v>
      </c>
      <c r="C1628" s="54" t="n">
        <f aca="false">C1613*C1593*Assumptions!$G$79</f>
        <v>0</v>
      </c>
      <c r="D1628" s="54" t="n">
        <f aca="false">D1613*D1593*Assumptions!$G$79</f>
        <v>269.224553251233</v>
      </c>
      <c r="E1628" s="54" t="n">
        <f aca="false">E1613*E1593*Assumptions!$G$79</f>
        <v>467.923689096207</v>
      </c>
      <c r="F1628" s="54" t="n">
        <f aca="false">F1613*F1593*Assumptions!$G$79</f>
        <v>684.22093723146</v>
      </c>
      <c r="G1628" s="54" t="n">
        <f aca="false">G1613*G1593*Assumptions!$G$79</f>
        <v>854.434938929953</v>
      </c>
      <c r="H1628" s="54" t="n">
        <f aca="false">H1613*H1593*Assumptions!$G$79</f>
        <v>1024.56566191892</v>
      </c>
      <c r="I1628" s="54" t="n">
        <f aca="false">I1613*I1593*Assumptions!$G$79</f>
        <v>1040.22454769359</v>
      </c>
      <c r="J1628" s="54" t="n">
        <f aca="false">J1613*J1593*Assumptions!$G$79</f>
        <v>976.383881231461</v>
      </c>
      <c r="K1628" s="54" t="n">
        <f aca="false">K1613*K1593*Assumptions!$G$79</f>
        <v>987.076818624074</v>
      </c>
      <c r="L1628" s="54" t="n">
        <f aca="false">L1613*L1593*Assumptions!$G$79</f>
        <v>1031.09573915722</v>
      </c>
      <c r="M1628" s="54" t="n">
        <f aca="false">M1613*M1593*Assumptions!$G$79</f>
        <v>1030.32395600834</v>
      </c>
      <c r="N1628" s="54" t="n">
        <f aca="false">N1613*N1593*Assumptions!$G$79</f>
        <v>1029.59375875204</v>
      </c>
      <c r="P1628" s="55" t="n">
        <f aca="false">SUM(C1628:F1628)</f>
        <v>1421.3691795789</v>
      </c>
      <c r="Q1628" s="55" t="n">
        <f aca="false">SUM(G1628:J1628)</f>
        <v>3895.60902977393</v>
      </c>
      <c r="R1628" s="55" t="n">
        <f aca="false">SUM(K1628:N1628)</f>
        <v>4078.09027254167</v>
      </c>
      <c r="S1628" s="56" t="n">
        <f aca="false">SUM(P1628:R1628)</f>
        <v>9395.0684818945</v>
      </c>
    </row>
    <row r="1629" customFormat="false" ht="15" hidden="false" customHeight="false" outlineLevel="0" collapsed="false">
      <c r="A1629" s="4" t="s">
        <v>560</v>
      </c>
      <c r="B1629" s="36" t="s">
        <v>125</v>
      </c>
      <c r="C1629" s="54" t="n">
        <f aca="false">C1578*Assumptions!$G$80</f>
        <v>4000</v>
      </c>
      <c r="D1629" s="54" t="n">
        <f aca="false">D1578*Assumptions!$G$80</f>
        <v>6000</v>
      </c>
      <c r="E1629" s="54" t="n">
        <f aca="false">E1578*Assumptions!$G$80</f>
        <v>8000</v>
      </c>
      <c r="F1629" s="54" t="n">
        <f aca="false">F1578*Assumptions!$G$80</f>
        <v>10000</v>
      </c>
      <c r="G1629" s="54" t="n">
        <f aca="false">G1578*Assumptions!$G$80</f>
        <v>12000</v>
      </c>
      <c r="H1629" s="54" t="n">
        <f aca="false">H1578*Assumptions!$G$80</f>
        <v>12000</v>
      </c>
      <c r="I1629" s="54" t="n">
        <f aca="false">I1578*Assumptions!$G$80</f>
        <v>12000</v>
      </c>
      <c r="J1629" s="54" t="n">
        <f aca="false">J1578*Assumptions!$G$80</f>
        <v>12000</v>
      </c>
      <c r="K1629" s="54" t="n">
        <f aca="false">K1578*Assumptions!$G$80</f>
        <v>12000</v>
      </c>
      <c r="L1629" s="54" t="n">
        <f aca="false">L1578*Assumptions!$G$80</f>
        <v>12000</v>
      </c>
      <c r="M1629" s="54" t="n">
        <f aca="false">M1578*Assumptions!$G$80</f>
        <v>12000</v>
      </c>
      <c r="N1629" s="54" t="n">
        <f aca="false">N1578*Assumptions!$G$80</f>
        <v>12000</v>
      </c>
      <c r="P1629" s="55" t="n">
        <f aca="false">SUM(C1629:F1629)</f>
        <v>28000</v>
      </c>
      <c r="Q1629" s="55" t="n">
        <f aca="false">SUM(G1629:J1629)</f>
        <v>48000</v>
      </c>
      <c r="R1629" s="55" t="n">
        <f aca="false">SUM(K1629:N1629)</f>
        <v>48000</v>
      </c>
      <c r="S1629" s="56" t="n">
        <f aca="false">SUM(P1629:R1629)</f>
        <v>124000</v>
      </c>
    </row>
    <row r="1630" customFormat="false" ht="15" hidden="false" customHeight="false" outlineLevel="0" collapsed="false">
      <c r="A1630" s="4" t="s">
        <v>561</v>
      </c>
      <c r="B1630" s="36" t="s">
        <v>125</v>
      </c>
      <c r="C1630" s="54" t="n">
        <f aca="false">(C1601*$C$1550+C1602*$C$1551)*Assumptions!$G$81</f>
        <v>0</v>
      </c>
      <c r="D1630" s="54" t="n">
        <f aca="false">(D1601*$C$1550+D1602*$C$1551)*Assumptions!$G$81</f>
        <v>110.027521397234</v>
      </c>
      <c r="E1630" s="54" t="n">
        <f aca="false">(E1601*$C$1550+E1602*$C$1551)*Assumptions!$G$81</f>
        <v>299.49371143097</v>
      </c>
      <c r="F1630" s="54" t="n">
        <f aca="false">(F1601*$C$1550+F1602*$C$1551)*Assumptions!$G$81</f>
        <v>385.989698322994</v>
      </c>
      <c r="G1630" s="54" t="n">
        <f aca="false">(G1601*$C$1550+G1602*$C$1551)*Assumptions!$G$81</f>
        <v>399.041231648868</v>
      </c>
      <c r="H1630" s="54" t="n">
        <f aca="false">(H1601*$C$1550+H1602*$C$1551)*Assumptions!$G$81</f>
        <v>414.202915161406</v>
      </c>
      <c r="I1630" s="54" t="n">
        <f aca="false">(I1601*$C$1550+I1602*$C$1551)*Assumptions!$G$81</f>
        <v>415.603276080716</v>
      </c>
      <c r="J1630" s="54" t="n">
        <f aca="false">(J1601*$C$1550+J1602*$C$1551)*Assumptions!$G$81</f>
        <v>482.132824013083</v>
      </c>
      <c r="K1630" s="54" t="n">
        <f aca="false">(K1601*$C$1550+K1602*$C$1551)*Assumptions!$G$81</f>
        <v>603.963862211468</v>
      </c>
      <c r="L1630" s="54" t="n">
        <f aca="false">(L1601*$C$1550+L1602*$C$1551)*Assumptions!$G$81</f>
        <v>641.255613456367</v>
      </c>
      <c r="M1630" s="54" t="n">
        <f aca="false">(M1601*$C$1550+M1602*$C$1551)*Assumptions!$G$81</f>
        <v>616.418741878109</v>
      </c>
      <c r="N1630" s="54" t="n">
        <f aca="false">(N1601*$C$1550+N1602*$C$1551)*Assumptions!$G$81</f>
        <v>594.559519696854</v>
      </c>
      <c r="P1630" s="55" t="n">
        <f aca="false">SUM(C1630:F1630)</f>
        <v>795.510931151198</v>
      </c>
      <c r="Q1630" s="55" t="n">
        <f aca="false">SUM(G1630:J1630)</f>
        <v>1710.98024690407</v>
      </c>
      <c r="R1630" s="55" t="n">
        <f aca="false">SUM(K1630:N1630)</f>
        <v>2456.1977372428</v>
      </c>
      <c r="S1630" s="56" t="n">
        <f aca="false">SUM(P1630:R1630)</f>
        <v>4962.68891529807</v>
      </c>
    </row>
    <row r="1631" customFormat="false" ht="15" hidden="false" customHeight="false" outlineLevel="0" collapsed="false">
      <c r="A1631" s="9" t="s">
        <v>562</v>
      </c>
      <c r="B1631" s="36" t="s">
        <v>125</v>
      </c>
      <c r="C1631" s="55" t="n">
        <f aca="false">C1623+C1624+C1625+C1626+C1627+C1628+C1629+C1630</f>
        <v>154229.464285714</v>
      </c>
      <c r="D1631" s="55" t="n">
        <f aca="false">D1623+D1624+D1625+D1626+D1627+D1628+D1629+D1630</f>
        <v>118381.082868494</v>
      </c>
      <c r="E1631" s="55" t="n">
        <f aca="false">E1623+E1624+E1625+E1626+E1627+E1628+E1629+E1630</f>
        <v>122743.982508402</v>
      </c>
      <c r="F1631" s="55" t="n">
        <f aca="false">F1623+F1624+F1625+F1626+F1627+F1628+F1629+F1630</f>
        <v>125622.002861919</v>
      </c>
      <c r="G1631" s="55" t="n">
        <f aca="false">G1623+G1624+G1625+G1626+G1627+G1628+G1629+G1630</f>
        <v>161332.895196222</v>
      </c>
      <c r="H1631" s="55" t="n">
        <f aca="false">H1623+H1624+H1625+H1626+H1627+H1628+H1629+H1630</f>
        <v>161691.807871269</v>
      </c>
      <c r="I1631" s="55" t="n">
        <f aca="false">I1623+I1624+I1625+I1626+I1627+I1628+I1629+I1630</f>
        <v>201650.946836361</v>
      </c>
      <c r="J1631" s="55" t="n">
        <f aca="false">J1623+J1624+J1625+J1626+J1627+J1628+J1629+J1630</f>
        <v>162781.257453359</v>
      </c>
      <c r="K1631" s="55" t="n">
        <f aca="false">K1623+K1624+K1625+K1626+K1627+K1628+K1629+K1630</f>
        <v>164267.730476853</v>
      </c>
      <c r="L1631" s="55" t="n">
        <f aca="false">L1623+L1624+L1625+L1626+L1627+L1628+L1629+L1630</f>
        <v>164429.461633483</v>
      </c>
      <c r="M1631" s="55" t="n">
        <f aca="false">M1623+M1624+M1625+M1626+M1627+M1628+M1629+M1630</f>
        <v>164132.322354042</v>
      </c>
      <c r="N1631" s="55" t="n">
        <f aca="false">N1623+N1624+N1625+N1626+N1627+N1628+N1629+N1630</f>
        <v>163870.755644896</v>
      </c>
      <c r="P1631" s="55" t="n">
        <f aca="false">SUM(C1631:F1631)</f>
        <v>520976.53252453</v>
      </c>
      <c r="Q1631" s="55" t="n">
        <f aca="false">SUM(G1631:J1631)</f>
        <v>687456.90735721</v>
      </c>
      <c r="R1631" s="55" t="n">
        <f aca="false">SUM(K1631:N1631)</f>
        <v>656700.270109274</v>
      </c>
      <c r="S1631" s="56" t="n">
        <f aca="false">SUM(P1631:R1631)</f>
        <v>1865133.70999101</v>
      </c>
    </row>
    <row r="1632" customFormat="false" ht="15" hidden="false" customHeight="false" outlineLevel="0" collapsed="false">
      <c r="A1632" s="4" t="s">
        <v>563</v>
      </c>
      <c r="B1632" s="36" t="s">
        <v>125</v>
      </c>
      <c r="C1632" s="54" t="n">
        <f aca="false">C1620*Assumptions!$G$72/Assumptions!$G$69/4</f>
        <v>56535.7142857143</v>
      </c>
      <c r="D1632" s="54" t="n">
        <f aca="false">D1620*Assumptions!$G$72/Assumptions!$G$69/4</f>
        <v>56535.7142857143</v>
      </c>
      <c r="E1632" s="54" t="n">
        <f aca="false">E1620*Assumptions!$G$72/Assumptions!$G$69/4</f>
        <v>56535.7142857143</v>
      </c>
      <c r="F1632" s="54" t="n">
        <f aca="false">F1620*Assumptions!$G$72/Assumptions!$G$69/4</f>
        <v>56535.7142857143</v>
      </c>
      <c r="G1632" s="54" t="n">
        <f aca="false">G1620*Assumptions!$G$72/Assumptions!$G$69/4</f>
        <v>28267.8571428571</v>
      </c>
      <c r="H1632" s="54" t="n">
        <f aca="false">H1620*Assumptions!$G$72/Assumptions!$G$69/4</f>
        <v>28267.8571428571</v>
      </c>
      <c r="I1632" s="54" t="n">
        <f aca="false">I1620*Assumptions!$G$72/Assumptions!$G$69/4</f>
        <v>28267.8571428571</v>
      </c>
      <c r="J1632" s="54" t="n">
        <f aca="false">J1620*Assumptions!$G$72/Assumptions!$G$69/4</f>
        <v>28267.8571428571</v>
      </c>
      <c r="K1632" s="54" t="n">
        <f aca="false">K1620*Assumptions!$G$72/Assumptions!$G$69/4</f>
        <v>28267.8571428571</v>
      </c>
      <c r="L1632" s="54" t="n">
        <f aca="false">L1620*Assumptions!$G$72/Assumptions!$G$69/4</f>
        <v>28267.8571428571</v>
      </c>
      <c r="M1632" s="54" t="n">
        <f aca="false">M1620*Assumptions!$G$72/Assumptions!$G$69/4</f>
        <v>28267.8571428571</v>
      </c>
      <c r="N1632" s="54" t="n">
        <f aca="false">N1620*Assumptions!$G$72/Assumptions!$G$69/4</f>
        <v>28267.8571428571</v>
      </c>
      <c r="P1632" s="55" t="n">
        <f aca="false">SUM(C1632:F1632)</f>
        <v>226142.857142857</v>
      </c>
      <c r="Q1632" s="55" t="n">
        <f aca="false">SUM(G1632:J1632)</f>
        <v>113071.428571429</v>
      </c>
      <c r="R1632" s="55" t="n">
        <f aca="false">SUM(K1632:N1632)</f>
        <v>113071.428571429</v>
      </c>
      <c r="S1632" s="56" t="n">
        <f aca="false">SUM(P1632:R1632)</f>
        <v>452285.714285714</v>
      </c>
    </row>
    <row r="1633" customFormat="false" ht="15" hidden="false" customHeight="false" outlineLevel="0" collapsed="false">
      <c r="A1633" s="4" t="s">
        <v>564</v>
      </c>
      <c r="B1633" s="36" t="s">
        <v>125</v>
      </c>
      <c r="C1633" s="54" t="n">
        <f aca="false">IF(C1558&lt;=Assumptions!$G$83,Assumptions!$G$82*Assumptions!$D$108/Assumptions!$G$83,0)</f>
        <v>62500</v>
      </c>
      <c r="D1633" s="54" t="n">
        <f aca="false">IF(D1558&lt;=Assumptions!$G$83,Assumptions!$G$82*Assumptions!$D$108/Assumptions!$G$83,0)</f>
        <v>62500</v>
      </c>
      <c r="E1633" s="54" t="n">
        <f aca="false">IF(E1558&lt;=Assumptions!$G$83,Assumptions!$G$82*Assumptions!$D$108/Assumptions!$G$83,0)</f>
        <v>62500</v>
      </c>
      <c r="F1633" s="54" t="n">
        <f aca="false">IF(F1558&lt;=Assumptions!$G$83,Assumptions!$G$82*Assumptions!$D$108/Assumptions!$G$83,0)</f>
        <v>62500</v>
      </c>
      <c r="G1633" s="54" t="n">
        <f aca="false">IF(G1558&lt;=Assumptions!$G$83,Assumptions!$G$82*Assumptions!$D$108/Assumptions!$G$83,0)</f>
        <v>0</v>
      </c>
      <c r="H1633" s="54" t="n">
        <f aca="false">IF(H1558&lt;=Assumptions!$G$83,Assumptions!$G$82*Assumptions!$D$108/Assumptions!$G$83,0)</f>
        <v>0</v>
      </c>
      <c r="I1633" s="54" t="n">
        <f aca="false">IF(I1558&lt;=Assumptions!$G$83,Assumptions!$G$82*Assumptions!$D$108/Assumptions!$G$83,0)</f>
        <v>0</v>
      </c>
      <c r="J1633" s="54" t="n">
        <f aca="false">IF(J1558&lt;=Assumptions!$G$83,Assumptions!$G$82*Assumptions!$D$108/Assumptions!$G$83,0)</f>
        <v>0</v>
      </c>
      <c r="K1633" s="54" t="n">
        <f aca="false">IF(K1558&lt;=Assumptions!$G$83,Assumptions!$G$82*Assumptions!$D$108/Assumptions!$G$83,0)</f>
        <v>0</v>
      </c>
      <c r="L1633" s="54" t="n">
        <f aca="false">IF(L1558&lt;=Assumptions!$G$83,Assumptions!$G$82*Assumptions!$D$108/Assumptions!$G$83,0)</f>
        <v>0</v>
      </c>
      <c r="M1633" s="54" t="n">
        <f aca="false">IF(M1558&lt;=Assumptions!$G$83,Assumptions!$G$82*Assumptions!$D$108/Assumptions!$G$83,0)</f>
        <v>0</v>
      </c>
      <c r="N1633" s="54" t="n">
        <f aca="false">IF(N1558&lt;=Assumptions!$G$83,Assumptions!$G$82*Assumptions!$D$108/Assumptions!$G$83,0)</f>
        <v>0</v>
      </c>
      <c r="P1633" s="55" t="n">
        <f aca="false">SUM(C1633:F1633)</f>
        <v>250000</v>
      </c>
      <c r="Q1633" s="55" t="n">
        <f aca="false">SUM(G1633:J1633)</f>
        <v>0</v>
      </c>
      <c r="R1633" s="55" t="n">
        <f aca="false">SUM(K1633:N1633)</f>
        <v>0</v>
      </c>
      <c r="S1633" s="56" t="n">
        <f aca="false">SUM(P1633:R1633)</f>
        <v>250000</v>
      </c>
    </row>
    <row r="1634" customFormat="false" ht="15" hidden="false" customHeight="false" outlineLevel="0" collapsed="false">
      <c r="A1634" s="4" t="s">
        <v>565</v>
      </c>
      <c r="B1634" s="36" t="s">
        <v>125</v>
      </c>
      <c r="C1634" s="54" t="n">
        <f aca="false">C1622*Assumptions!$G$73/Assumptions!$G$69/4</f>
        <v>0</v>
      </c>
      <c r="D1634" s="54" t="n">
        <f aca="false">D1622*Assumptions!$G$73/Assumptions!$G$69/4</f>
        <v>287.3910724084</v>
      </c>
      <c r="E1634" s="54" t="n">
        <f aca="false">E1622*Assumptions!$G$73/Assumptions!$G$69/4</f>
        <v>806.179070398511</v>
      </c>
      <c r="F1634" s="54" t="n">
        <f aca="false">F1622*Assumptions!$G$73/Assumptions!$G$69/4</f>
        <v>1339.59258808834</v>
      </c>
      <c r="G1634" s="54" t="n">
        <f aca="false">G1622*Assumptions!$G$73/Assumptions!$G$69/4</f>
        <v>1873.27135713972</v>
      </c>
      <c r="H1634" s="54" t="n">
        <f aca="false">H1622*Assumptions!$G$73/Assumptions!$G$69/4</f>
        <v>2410.08862723538</v>
      </c>
      <c r="I1634" s="54" t="n">
        <f aca="false">I1622*Assumptions!$G$73/Assumptions!$G$69/4</f>
        <v>2911.66965670291</v>
      </c>
      <c r="J1634" s="54" t="n">
        <f aca="false">J1622*Assumptions!$G$73/Assumptions!$G$69/4</f>
        <v>3582.72567934417</v>
      </c>
      <c r="K1634" s="54" t="n">
        <f aca="false">K1622*Assumptions!$G$73/Assumptions!$G$69/4</f>
        <v>4405.2457803096</v>
      </c>
      <c r="L1634" s="54" t="n">
        <f aca="false">L1622*Assumptions!$G$73/Assumptions!$G$69/4</f>
        <v>5172.31342771106</v>
      </c>
      <c r="M1634" s="54" t="n">
        <f aca="false">M1622*Assumptions!$G$73/Assumptions!$G$69/4</f>
        <v>5875.97826432619</v>
      </c>
      <c r="N1634" s="54" t="n">
        <f aca="false">N1622*Assumptions!$G$73/Assumptions!$G$69/4</f>
        <v>6522.78030143102</v>
      </c>
      <c r="P1634" s="55" t="n">
        <f aca="false">SUM(C1634:F1634)</f>
        <v>2433.16273089525</v>
      </c>
      <c r="Q1634" s="55" t="n">
        <f aca="false">SUM(G1634:J1634)</f>
        <v>10777.7553204222</v>
      </c>
      <c r="R1634" s="55" t="n">
        <f aca="false">SUM(K1634:N1634)</f>
        <v>21976.3177737779</v>
      </c>
      <c r="S1634" s="56" t="n">
        <f aca="false">SUM(P1634:R1634)</f>
        <v>35187.2358250953</v>
      </c>
    </row>
    <row r="1635" customFormat="false" ht="15" hidden="false" customHeight="false" outlineLevel="0" collapsed="false">
      <c r="A1635" s="9" t="s">
        <v>566</v>
      </c>
      <c r="B1635" s="36" t="s">
        <v>125</v>
      </c>
      <c r="C1635" s="55" t="n">
        <f aca="false">C1631+C1632+C1633+C1634</f>
        <v>273265.178571429</v>
      </c>
      <c r="D1635" s="55" t="n">
        <f aca="false">D1631+D1632+D1633+D1634</f>
        <v>237704.188226617</v>
      </c>
      <c r="E1635" s="55" t="n">
        <f aca="false">E1631+E1632+E1633+E1634</f>
        <v>242585.875864515</v>
      </c>
      <c r="F1635" s="55" t="n">
        <f aca="false">F1631+F1632+F1633+F1634</f>
        <v>245997.309735722</v>
      </c>
      <c r="G1635" s="55" t="n">
        <f aca="false">G1631+G1632+G1633+G1634</f>
        <v>191474.023696219</v>
      </c>
      <c r="H1635" s="55" t="n">
        <f aca="false">H1631+H1632+H1633+H1634</f>
        <v>192369.753641361</v>
      </c>
      <c r="I1635" s="55" t="n">
        <f aca="false">I1631+I1632+I1633+I1634</f>
        <v>232830.473635921</v>
      </c>
      <c r="J1635" s="55" t="n">
        <f aca="false">J1631+J1632+J1633+J1634</f>
        <v>194631.84027556</v>
      </c>
      <c r="K1635" s="55" t="n">
        <f aca="false">K1631+K1632+K1633+K1634</f>
        <v>196940.83340002</v>
      </c>
      <c r="L1635" s="55" t="n">
        <f aca="false">L1631+L1632+L1633+L1634</f>
        <v>197869.632204051</v>
      </c>
      <c r="M1635" s="55" t="n">
        <f aca="false">M1631+M1632+M1633+M1634</f>
        <v>198276.157761226</v>
      </c>
      <c r="N1635" s="55" t="n">
        <f aca="false">N1631+N1632+N1633+N1634</f>
        <v>198661.393089184</v>
      </c>
      <c r="P1635" s="55" t="n">
        <f aca="false">SUM(C1635:F1635)</f>
        <v>999552.552398283</v>
      </c>
      <c r="Q1635" s="55" t="n">
        <f aca="false">SUM(G1635:J1635)</f>
        <v>811306.091249061</v>
      </c>
      <c r="R1635" s="55" t="n">
        <f aca="false">SUM(K1635:N1635)</f>
        <v>791748.016454481</v>
      </c>
      <c r="S1635" s="56" t="n">
        <f aca="false">SUM(P1635:R1635)</f>
        <v>2602606.66010182</v>
      </c>
    </row>
    <row r="1636" customFormat="false" ht="15" hidden="false" customHeight="false" outlineLevel="0" collapsed="false">
      <c r="A1636" s="35" t="s">
        <v>567</v>
      </c>
      <c r="B1636" s="35" t="s">
        <v>444</v>
      </c>
      <c r="C1636" s="6" t="s">
        <v>354</v>
      </c>
      <c r="D1636" s="6" t="s">
        <v>355</v>
      </c>
      <c r="E1636" s="6" t="s">
        <v>356</v>
      </c>
      <c r="F1636" s="6" t="s">
        <v>357</v>
      </c>
      <c r="G1636" s="6" t="s">
        <v>358</v>
      </c>
      <c r="H1636" s="6" t="s">
        <v>359</v>
      </c>
      <c r="I1636" s="6" t="s">
        <v>360</v>
      </c>
      <c r="J1636" s="6" t="s">
        <v>361</v>
      </c>
      <c r="K1636" s="6" t="s">
        <v>362</v>
      </c>
      <c r="L1636" s="6" t="s">
        <v>363</v>
      </c>
      <c r="M1636" s="6" t="s">
        <v>364</v>
      </c>
      <c r="N1636" s="6" t="s">
        <v>365</v>
      </c>
      <c r="P1636" s="6" t="s">
        <v>445</v>
      </c>
      <c r="Q1636" s="6" t="s">
        <v>446</v>
      </c>
      <c r="R1636" s="6" t="s">
        <v>447</v>
      </c>
      <c r="S1636" s="6" t="s">
        <v>448</v>
      </c>
    </row>
    <row r="1637" customFormat="false" ht="15" hidden="false" customHeight="false" outlineLevel="0" collapsed="false">
      <c r="A1637" s="9" t="s">
        <v>568</v>
      </c>
      <c r="B1637" s="36" t="s">
        <v>125</v>
      </c>
      <c r="C1637" s="55" t="n">
        <f aca="false">C1615-C1635</f>
        <v>-273265.178571429</v>
      </c>
      <c r="D1637" s="55" t="n">
        <f aca="false">D1615-D1635</f>
        <v>-237443.40501231</v>
      </c>
      <c r="E1637" s="55" t="n">
        <f aca="false">E1615-E1635</f>
        <v>-241536.871847225</v>
      </c>
      <c r="F1637" s="55" t="n">
        <f aca="false">F1615-F1635</f>
        <v>-243830.172342879</v>
      </c>
      <c r="G1637" s="55" t="n">
        <f aca="false">G1615-G1635</f>
        <v>-188110.204370043</v>
      </c>
      <c r="H1637" s="55" t="n">
        <f aca="false">H1615-H1635</f>
        <v>-187775.589696009</v>
      </c>
      <c r="I1637" s="55" t="n">
        <f aca="false">I1615-I1635</f>
        <v>-227003.559987833</v>
      </c>
      <c r="J1637" s="55" t="n">
        <f aca="false">J1615-J1635</f>
        <v>-187426.693325546</v>
      </c>
      <c r="K1637" s="55" t="n">
        <f aca="false">K1615-K1635</f>
        <v>-188016.047690585</v>
      </c>
      <c r="L1637" s="55" t="n">
        <f aca="false">L1615-L1635</f>
        <v>-187052.727176736</v>
      </c>
      <c r="M1637" s="55" t="n">
        <f aca="false">M1615-M1635</f>
        <v>-185620.777797939</v>
      </c>
      <c r="N1637" s="55" t="n">
        <f aca="false">N1615-N1635</f>
        <v>-184254.760682021</v>
      </c>
      <c r="P1637" s="55" t="n">
        <f aca="false">SUM(C1637:F1637)</f>
        <v>-996075.627773843</v>
      </c>
      <c r="Q1637" s="55" t="n">
        <f aca="false">SUM(G1637:J1637)</f>
        <v>-790316.04737943</v>
      </c>
      <c r="R1637" s="55" t="n">
        <f aca="false">SUM(K1637:N1637)</f>
        <v>-744944.313347281</v>
      </c>
      <c r="S1637" s="56" t="n">
        <f aca="false">SUM(P1637:R1637)</f>
        <v>-2531335.98850055</v>
      </c>
    </row>
    <row r="1638" customFormat="false" ht="15" hidden="false" customHeight="false" outlineLevel="0" collapsed="false">
      <c r="A1638" s="9" t="s">
        <v>569</v>
      </c>
      <c r="B1638" s="36" t="s">
        <v>125</v>
      </c>
      <c r="C1638" s="55" t="n">
        <f aca="false">0+C1637</f>
        <v>-273265.178571429</v>
      </c>
      <c r="D1638" s="55" t="n">
        <f aca="false">C1638+D1637</f>
        <v>-510708.583583739</v>
      </c>
      <c r="E1638" s="55" t="n">
        <f aca="false">D1638+E1637</f>
        <v>-752245.455430964</v>
      </c>
      <c r="F1638" s="55" t="n">
        <f aca="false">E1638+F1637</f>
        <v>-996075.627773843</v>
      </c>
      <c r="G1638" s="55" t="n">
        <f aca="false">F1638+G1637</f>
        <v>-1184185.83214389</v>
      </c>
      <c r="H1638" s="55" t="n">
        <f aca="false">G1638+H1637</f>
        <v>-1371961.42183989</v>
      </c>
      <c r="I1638" s="55" t="n">
        <f aca="false">H1638+I1637</f>
        <v>-1598964.98182773</v>
      </c>
      <c r="J1638" s="55" t="n">
        <f aca="false">I1638+J1637</f>
        <v>-1786391.67515327</v>
      </c>
      <c r="K1638" s="55" t="n">
        <f aca="false">J1638+K1637</f>
        <v>-1974407.72284386</v>
      </c>
      <c r="L1638" s="55" t="n">
        <f aca="false">K1638+L1637</f>
        <v>-2161460.45002059</v>
      </c>
      <c r="M1638" s="55" t="n">
        <f aca="false">L1638+M1637</f>
        <v>-2347081.22781853</v>
      </c>
      <c r="N1638" s="55" t="n">
        <f aca="false">M1638+N1637</f>
        <v>-2531335.98850055</v>
      </c>
      <c r="P1638" s="55" t="n">
        <f aca="false">F1638</f>
        <v>-996075.627773843</v>
      </c>
      <c r="Q1638" s="55" t="n">
        <f aca="false">J1638</f>
        <v>-1786391.67515327</v>
      </c>
      <c r="R1638" s="55" t="n">
        <f aca="false">N1638</f>
        <v>-2531335.98850055</v>
      </c>
      <c r="S1638" s="56" t="n">
        <f aca="false">R1638</f>
        <v>-2531335.98850055</v>
      </c>
    </row>
    <row r="1639" customFormat="false" ht="15" hidden="false" customHeight="false" outlineLevel="0" collapsed="false">
      <c r="A1639" s="4" t="s">
        <v>570</v>
      </c>
      <c r="B1639" s="36" t="s">
        <v>107</v>
      </c>
      <c r="C1639" s="57" t="n">
        <f aca="false">1/(1+Assumptions!$G$87)^(C1558/4)</f>
        <v>0.972065420906982</v>
      </c>
      <c r="D1639" s="57" t="n">
        <f aca="false">1/(1+Assumptions!$G$87)^(D1558/4)</f>
        <v>0.944911182523068</v>
      </c>
      <c r="E1639" s="57" t="n">
        <f aca="false">1/(1+Assumptions!$G$87)^(E1558/4)</f>
        <v>0.918515486359</v>
      </c>
      <c r="F1639" s="57" t="n">
        <f aca="false">1/(1+Assumptions!$G$87)^(F1558/4)</f>
        <v>0.892857142857143</v>
      </c>
      <c r="G1639" s="57" t="n">
        <f aca="false">1/(1+Assumptions!$G$87)^(G1558/4)</f>
        <v>0.867915554381234</v>
      </c>
      <c r="H1639" s="57" t="n">
        <f aca="false">1/(1+Assumptions!$G$87)^(H1558/4)</f>
        <v>0.843670698681311</v>
      </c>
      <c r="I1639" s="57" t="n">
        <f aca="false">1/(1+Assumptions!$G$87)^(I1558/4)</f>
        <v>0.820103112820536</v>
      </c>
      <c r="J1639" s="57" t="n">
        <f aca="false">1/(1+Assumptions!$G$87)^(J1558/4)</f>
        <v>0.79719387755102</v>
      </c>
      <c r="K1639" s="57" t="n">
        <f aca="false">1/(1+Assumptions!$G$87)^(K1558/4)</f>
        <v>0.774924602126102</v>
      </c>
      <c r="L1639" s="57" t="n">
        <f aca="false">1/(1+Assumptions!$G$87)^(L1558/4)</f>
        <v>0.753277409536885</v>
      </c>
      <c r="M1639" s="57" t="n">
        <f aca="false">1/(1+Assumptions!$G$87)^(M1558/4)</f>
        <v>0.732234922161193</v>
      </c>
      <c r="N1639" s="57" t="n">
        <f aca="false">1/(1+Assumptions!$G$87)^(N1558/4)</f>
        <v>0.711780247813411</v>
      </c>
      <c r="P1639" s="58"/>
      <c r="Q1639" s="58"/>
      <c r="R1639" s="58"/>
      <c r="S1639" s="59"/>
    </row>
    <row r="1640" customFormat="false" ht="15" hidden="false" customHeight="false" outlineLevel="0" collapsed="false">
      <c r="A1640" s="4" t="s">
        <v>571</v>
      </c>
      <c r="B1640" s="36" t="s">
        <v>125</v>
      </c>
      <c r="C1640" s="54" t="n">
        <f aca="false">(C1615*(1-Assumptions!$G$88)-C1635)*C1639</f>
        <v>-265631.630827257</v>
      </c>
      <c r="D1640" s="54" t="n">
        <f aca="false">(D1615*(1-Assumptions!$G$88)-D1635)*D1639</f>
        <v>-224510.778797734</v>
      </c>
      <c r="E1640" s="54" t="n">
        <f aca="false">(E1615*(1-Assumptions!$G$88)-E1635)*E1639</f>
        <v>-222433.473179465</v>
      </c>
      <c r="F1640" s="54" t="n">
        <f aca="false">(F1615*(1-Assumptions!$G$88)-F1635)*F1639</f>
        <v>-218866.477480879</v>
      </c>
      <c r="G1640" s="54" t="n">
        <f aca="false">(G1615*(1-Assumptions!$G$88)-G1635)*G1639</f>
        <v>-165015.478979783</v>
      </c>
      <c r="H1640" s="54" t="n">
        <f aca="false">(H1615*(1-Assumptions!$G$88)-H1635)*H1639</f>
        <v>-160746.339857506</v>
      </c>
      <c r="I1640" s="54" t="n">
        <f aca="false">(I1615*(1-Assumptions!$G$88)-I1635)*I1639</f>
        <v>-189033.528179925</v>
      </c>
      <c r="J1640" s="54" t="n">
        <f aca="false">(J1615*(1-Assumptions!$G$88)-J1635)*J1639</f>
        <v>-152861.751830002</v>
      </c>
      <c r="K1640" s="54" t="n">
        <f aca="false">(K1615*(1-Assumptions!$G$88)-K1635)*K1639</f>
        <v>-149847.882558915</v>
      </c>
      <c r="L1640" s="54" t="n">
        <f aca="false">(L1615*(1-Assumptions!$G$88)-L1635)*L1639</f>
        <v>-145791.471893411</v>
      </c>
      <c r="M1640" s="54" t="n">
        <f aca="false">(M1615*(1-Assumptions!$G$88)-M1635)*M1639</f>
        <v>-141478.042479776</v>
      </c>
      <c r="N1640" s="54" t="n">
        <f aca="false">(N1615*(1-Assumptions!$G$88)-N1635)*N1639</f>
        <v>-137301.513050006</v>
      </c>
      <c r="P1640" s="55" t="n">
        <f aca="false">SUM(C1640:F1640)</f>
        <v>-931442.360285336</v>
      </c>
      <c r="Q1640" s="55" t="n">
        <f aca="false">SUM(G1640:J1640)</f>
        <v>-667657.098847215</v>
      </c>
      <c r="R1640" s="55" t="n">
        <f aca="false">SUM(K1640:N1640)</f>
        <v>-574418.909982109</v>
      </c>
      <c r="S1640" s="56" t="n">
        <f aca="false">SUM(P1640:R1640)</f>
        <v>-2173518.36911466</v>
      </c>
    </row>
    <row r="1641" customFormat="false" ht="15" hidden="false" customHeight="false" outlineLevel="0" collapsed="false">
      <c r="A1641" s="4" t="s">
        <v>572</v>
      </c>
      <c r="B1641" s="36" t="s">
        <v>125</v>
      </c>
      <c r="C1641" s="54" t="n">
        <f aca="false">(C1635-C1634)*12/(Assumptions!$G$89*Assumptions!$G$76)*Assumptions!$G$90</f>
        <v>223580.600649351</v>
      </c>
      <c r="D1641" s="54" t="n">
        <f aca="false">(D1635-D1634)*12/(Assumptions!$G$89*Assumptions!$G$76)*Assumptions!$G$90</f>
        <v>194250.106762534</v>
      </c>
      <c r="E1641" s="54" t="n">
        <f aca="false">(E1635-E1634)*12/(Assumptions!$G$89*Assumptions!$G$76)*Assumptions!$G$90</f>
        <v>197819.751922459</v>
      </c>
      <c r="F1641" s="54" t="n">
        <f aca="false">(F1635-F1634)*12/(Assumptions!$G$89*Assumptions!$G$76)*Assumptions!$G$90</f>
        <v>200174.495848064</v>
      </c>
      <c r="G1641" s="54" t="n">
        <f aca="false">(G1635-G1634)*12/(Assumptions!$G$89*Assumptions!$G$76)*Assumptions!$G$90</f>
        <v>155127.888277428</v>
      </c>
      <c r="H1641" s="54" t="n">
        <f aca="false">(H1635-H1634)*12/(Assumptions!$G$89*Assumptions!$G$76)*Assumptions!$G$90</f>
        <v>155421.544102467</v>
      </c>
      <c r="I1641" s="54" t="n">
        <f aca="false">(I1635-I1634)*12/(Assumptions!$G$89*Assumptions!$G$76)*Assumptions!$G$90</f>
        <v>188115.385073905</v>
      </c>
      <c r="J1641" s="54" t="n">
        <f aca="false">(J1635-J1634)*12/(Assumptions!$G$89*Assumptions!$G$76)*Assumptions!$G$90</f>
        <v>156312.911942358</v>
      </c>
      <c r="K1641" s="54" t="n">
        <f aca="false">(K1635-K1634)*12/(Assumptions!$G$89*Assumptions!$G$76)*Assumptions!$G$90</f>
        <v>157529.117143399</v>
      </c>
      <c r="L1641" s="54" t="n">
        <f aca="false">(L1635-L1634)*12/(Assumptions!$G$89*Assumptions!$G$76)*Assumptions!$G$90</f>
        <v>157661.442635187</v>
      </c>
      <c r="M1641" s="54" t="n">
        <f aca="false">(M1635-M1634)*12/(Assumptions!$G$89*Assumptions!$G$76)*Assumptions!$G$90</f>
        <v>157418.328679282</v>
      </c>
      <c r="N1641" s="54" t="n">
        <f aca="false">(N1635-N1634)*12/(Assumptions!$G$89*Assumptions!$G$76)*Assumptions!$G$90</f>
        <v>157204.319553616</v>
      </c>
      <c r="P1641" s="55" t="n">
        <f aca="false">SUM(C1641:F1641)</f>
        <v>815824.955182408</v>
      </c>
      <c r="Q1641" s="55" t="n">
        <f aca="false">SUM(G1641:J1641)</f>
        <v>654977.729396159</v>
      </c>
      <c r="R1641" s="55" t="n">
        <f aca="false">SUM(K1641:N1641)</f>
        <v>629813.208011484</v>
      </c>
      <c r="S1641" s="56" t="n">
        <f aca="false">SUM(P1641:R1641)</f>
        <v>2100615.89259005</v>
      </c>
    </row>
    <row r="1642" customFormat="false" ht="15" hidden="false" customHeight="false" outlineLevel="0" collapsed="false">
      <c r="A1642" s="4" t="s">
        <v>573</v>
      </c>
      <c r="B1642" s="36" t="s">
        <v>125</v>
      </c>
      <c r="C1642" s="54" t="n">
        <f aca="false">0*Assumptions!$G$92^(1/4)+C1641</f>
        <v>223580.600649351</v>
      </c>
      <c r="D1642" s="54" t="n">
        <f aca="false">C1642*Assumptions!$G$92^(1/4)+D1641</f>
        <v>418387.574989006</v>
      </c>
      <c r="E1642" s="54" t="n">
        <f aca="false">D1642*Assumptions!$G$92^(1/4)+E1641</f>
        <v>617249.396189859</v>
      </c>
      <c r="F1642" s="54" t="n">
        <f aca="false">E1642*Assumptions!$G$92^(1/4)+F1641</f>
        <v>818961.26234079</v>
      </c>
      <c r="G1642" s="54" t="n">
        <f aca="false">F1642*Assumptions!$G$92^(1/4)+G1641</f>
        <v>976128.920493561</v>
      </c>
      <c r="H1642" s="54" t="n">
        <f aca="false">G1642*Assumptions!$G$92^(1/4)+H1641</f>
        <v>1133981.68870641</v>
      </c>
      <c r="I1642" s="54" t="n">
        <f aca="false">H1642*Assumptions!$G$92^(1/4)+I1641</f>
        <v>1324921.4585152</v>
      </c>
      <c r="J1642" s="54" t="n">
        <f aca="false">I1642*Assumptions!$G$92^(1/4)+J1641</f>
        <v>1484534.32492738</v>
      </c>
      <c r="K1642" s="54" t="n">
        <f aca="false">J1642*Assumptions!$G$92^(1/4)+K1641</f>
        <v>1645760.94100527</v>
      </c>
      <c r="L1642" s="54" t="n">
        <f aca="false">K1642*Assumptions!$G$92^(1/4)+L1641</f>
        <v>1807521.44637254</v>
      </c>
      <c r="M1642" s="54" t="n">
        <f aca="false">L1642*Assumptions!$G$92^(1/4)+M1641</f>
        <v>1969441.73132849</v>
      </c>
      <c r="N1642" s="54" t="n">
        <f aca="false">M1642*Assumptions!$G$92^(1/4)+N1641</f>
        <v>2131551.29866309</v>
      </c>
      <c r="P1642" s="55" t="n">
        <f aca="false">F1642</f>
        <v>818961.26234079</v>
      </c>
      <c r="Q1642" s="55" t="n">
        <f aca="false">J1642</f>
        <v>1484534.32492738</v>
      </c>
      <c r="R1642" s="55" t="n">
        <f aca="false">N1642</f>
        <v>2131551.29866309</v>
      </c>
      <c r="S1642" s="56" t="n">
        <f aca="false">R1642</f>
        <v>2131551.29866309</v>
      </c>
    </row>
    <row r="1643" customFormat="false" ht="15" hidden="false" customHeight="false" outlineLevel="0" collapsed="false">
      <c r="A1643" s="4" t="s">
        <v>574</v>
      </c>
      <c r="B1643" s="36" t="s">
        <v>125</v>
      </c>
      <c r="C1643" s="54" t="n">
        <f aca="false">(0+C1642)/8*Assumptions!$G$76-(C1635-C1634)-C1642*Assumptions!$G$93/4</f>
        <v>-260688.769784903</v>
      </c>
      <c r="D1643" s="54" t="n">
        <f aca="false">(C1642+D1642)/8*Assumptions!$G$76-(D1635-D1634)-D1642*Assumptions!$G$93/4</f>
        <v>-198511.329766434</v>
      </c>
      <c r="E1643" s="54" t="n">
        <f aca="false">(D1642+E1642)/8*Assumptions!$G$76-(E1635-E1634)-E1642*Assumptions!$G$93/4</f>
        <v>-178295.272477943</v>
      </c>
      <c r="F1643" s="54" t="n">
        <f aca="false">(E1642+F1642)/8*Assumptions!$G$76-(F1635-F1634)-F1642*Assumptions!$G$93/4</f>
        <v>-156155.250152911</v>
      </c>
      <c r="G1643" s="54" t="n">
        <f aca="false">(F1642+G1642)/8*Assumptions!$G$76-(G1635-G1634)-G1642*Assumptions!$G$93/4</f>
        <v>-78389.9137753871</v>
      </c>
      <c r="H1643" s="54" t="n">
        <f aca="false">(G1642+H1642)/8*Assumptions!$G$76-(H1635-H1634)-H1642*Assumptions!$G$93/4</f>
        <v>-59064.3317404577</v>
      </c>
      <c r="I1643" s="54" t="n">
        <f aca="false">(H1642+I1642)/8*Assumptions!$G$76-(I1635-I1634)-I1642*Assumptions!$G$93/4</f>
        <v>-77430.7308391721</v>
      </c>
      <c r="J1643" s="54" t="n">
        <f aca="false">(I1642+J1642)/8*Assumptions!$G$76-(J1635-J1634)-J1642*Assumptions!$G$93/4</f>
        <v>-16455.7085461309</v>
      </c>
      <c r="K1643" s="54" t="n">
        <f aca="false">(J1642+K1642)/8*Assumptions!$G$76-(K1635-K1634)-K1642*Assumptions!$G$93/4</f>
        <v>2100.20015059392</v>
      </c>
      <c r="L1643" s="54" t="n">
        <f aca="false">(K1642+L1642)/8*Assumptions!$G$76-(L1635-L1634)-L1642*Assumptions!$G$93/4</f>
        <v>22121.8272762278</v>
      </c>
      <c r="M1643" s="54" t="n">
        <f aca="false">(L1642+M1642)/8*Assumptions!$G$76-(M1635-M1634)-M1642*Assumptions!$G$93/4</f>
        <v>42648.0173284404</v>
      </c>
      <c r="N1643" s="54" t="n">
        <f aca="false">(M1642+N1642)/8*Assumptions!$G$76-(N1635-N1634)-N1642*Assumptions!$G$93/4</f>
        <v>63160.26679088</v>
      </c>
      <c r="P1643" s="55" t="n">
        <f aca="false">SUM(C1643:F1643)</f>
        <v>-793650.622182191</v>
      </c>
      <c r="Q1643" s="55" t="n">
        <f aca="false">SUM(G1643:J1643)</f>
        <v>-231340.684901148</v>
      </c>
      <c r="R1643" s="55" t="n">
        <f aca="false">SUM(K1643:N1643)</f>
        <v>130030.311546142</v>
      </c>
      <c r="S1643" s="56" t="n">
        <f aca="false">SUM(P1643:R1643)</f>
        <v>-894960.995537197</v>
      </c>
    </row>
    <row r="1644" customFormat="false" ht="15" hidden="false" customHeight="false" outlineLevel="0" collapsed="false">
      <c r="A1644" s="4" t="s">
        <v>575</v>
      </c>
      <c r="B1644" s="36" t="s">
        <v>125</v>
      </c>
      <c r="C1644" s="54" t="n">
        <f aca="false">C1643*C1639</f>
        <v>-253406.538726685</v>
      </c>
      <c r="D1644" s="54" t="n">
        <f aca="false">D1643*D1639</f>
        <v>-187575.575353828</v>
      </c>
      <c r="E1644" s="54" t="n">
        <f aca="false">E1643*E1639</f>
        <v>-163766.968915588</v>
      </c>
      <c r="F1644" s="54" t="n">
        <f aca="false">F1643*F1639</f>
        <v>-139424.330493671</v>
      </c>
      <c r="G1644" s="54" t="n">
        <f aca="false">G1643*G1639</f>
        <v>-68035.8254722622</v>
      </c>
      <c r="H1644" s="54" t="n">
        <f aca="false">H1643*H1639</f>
        <v>-49830.8460266167</v>
      </c>
      <c r="I1644" s="54" t="n">
        <f aca="false">I1643*I1639</f>
        <v>-63501.1833891741</v>
      </c>
      <c r="J1644" s="54" t="n">
        <f aca="false">J1643*J1639</f>
        <v>-13118.3901037396</v>
      </c>
      <c r="K1644" s="54" t="n">
        <f aca="false">K1643*K1639</f>
        <v>1627.49676608417</v>
      </c>
      <c r="L1644" s="54" t="n">
        <f aca="false">L1643*L1639</f>
        <v>16663.8727448593</v>
      </c>
      <c r="M1644" s="54" t="n">
        <f aca="false">M1643*M1639</f>
        <v>31228.3676488198</v>
      </c>
      <c r="N1644" s="54" t="n">
        <f aca="false">N1643*N1639</f>
        <v>44956.2303483737</v>
      </c>
      <c r="P1644" s="55" t="n">
        <f aca="false">SUM(C1644:F1644)</f>
        <v>-744173.413489772</v>
      </c>
      <c r="Q1644" s="55" t="n">
        <f aca="false">SUM(G1644:J1644)</f>
        <v>-194486.244991793</v>
      </c>
      <c r="R1644" s="55" t="n">
        <f aca="false">SUM(K1644:N1644)</f>
        <v>94475.967508137</v>
      </c>
      <c r="S1644" s="56" t="n">
        <f aca="false">SUM(P1644:R1644)</f>
        <v>-844183.690973427</v>
      </c>
    </row>
    <row r="1645" customFormat="false" ht="15" hidden="false" customHeight="false" outlineLevel="0" collapsed="false">
      <c r="A1645" s="4" t="s">
        <v>576</v>
      </c>
      <c r="B1645" s="36"/>
      <c r="C1645" s="37" t="n">
        <f aca="false">IFERROR((S1600*$C$1549*Assumptions!$G$59+S1601*$C$1550*Assumptions!$G$60+S1602*$C$1551*Assumptions!$G$61)/(S1600*$C$1549+S1601*$C$1550+S1602*$C$1551),0.9)</f>
        <v>0.858161493904438</v>
      </c>
    </row>
    <row r="1646" customFormat="false" ht="15" hidden="false" customHeight="false" outlineLevel="0" collapsed="false">
      <c r="A1646" s="4" t="s">
        <v>577</v>
      </c>
      <c r="B1646" s="36"/>
      <c r="C1646" s="37" t="n">
        <f aca="false">IFERROR(N1634*4/N1612,0)</f>
        <v>0.235066966028001</v>
      </c>
    </row>
    <row r="1647" customFormat="false" ht="15" hidden="false" customHeight="false" outlineLevel="0" collapsed="false">
      <c r="A1647" s="4" t="s">
        <v>578</v>
      </c>
      <c r="B1647" s="36"/>
      <c r="C1647" s="60" t="n">
        <f aca="false">$C$1645/(1+Assumptions!$G$87)</f>
        <v>0.766215619557534</v>
      </c>
    </row>
    <row r="1648" customFormat="false" ht="15" hidden="false" customHeight="false" outlineLevel="0" collapsed="false">
      <c r="A1648" s="4" t="s">
        <v>579</v>
      </c>
      <c r="B1648" s="36"/>
      <c r="C1648" s="60" t="n">
        <f aca="false">Assumptions!$G$91/(1+Assumptions!$G$87)</f>
        <v>0.803571428571429</v>
      </c>
    </row>
    <row r="1649" customFormat="false" ht="15" hidden="false" customHeight="false" outlineLevel="0" collapsed="false">
      <c r="A1649" s="35" t="s">
        <v>580</v>
      </c>
      <c r="B1649" s="35" t="s">
        <v>444</v>
      </c>
      <c r="C1649" s="6" t="s">
        <v>354</v>
      </c>
      <c r="D1649" s="6" t="s">
        <v>355</v>
      </c>
      <c r="E1649" s="6" t="s">
        <v>356</v>
      </c>
      <c r="F1649" s="6" t="s">
        <v>357</v>
      </c>
      <c r="G1649" s="6" t="s">
        <v>358</v>
      </c>
      <c r="H1649" s="6" t="s">
        <v>359</v>
      </c>
      <c r="I1649" s="6" t="s">
        <v>360</v>
      </c>
      <c r="J1649" s="6" t="s">
        <v>361</v>
      </c>
      <c r="K1649" s="6" t="s">
        <v>362</v>
      </c>
      <c r="L1649" s="6" t="s">
        <v>363</v>
      </c>
      <c r="M1649" s="6" t="s">
        <v>364</v>
      </c>
      <c r="N1649" s="6" t="s">
        <v>365</v>
      </c>
      <c r="P1649" s="6" t="s">
        <v>445</v>
      </c>
      <c r="Q1649" s="6" t="s">
        <v>446</v>
      </c>
      <c r="R1649" s="6" t="s">
        <v>447</v>
      </c>
      <c r="S1649" s="6" t="s">
        <v>448</v>
      </c>
    </row>
    <row r="1650" customFormat="false" ht="15" hidden="false" customHeight="false" outlineLevel="0" collapsed="false">
      <c r="A1650" s="9" t="s">
        <v>581</v>
      </c>
      <c r="C1650" s="61" t="n">
        <f aca="false">N1612</f>
        <v>110994.418512281</v>
      </c>
      <c r="D1650" s="61"/>
    </row>
    <row r="1651" customFormat="false" ht="15" hidden="false" customHeight="false" outlineLevel="0" collapsed="false">
      <c r="A1651" s="9" t="s">
        <v>582</v>
      </c>
      <c r="C1651" s="62" t="n">
        <f aca="false">N1608</f>
        <v>15.3318187590811</v>
      </c>
      <c r="D1651" s="62"/>
    </row>
    <row r="1652" customFormat="false" ht="15" hidden="false" customHeight="false" outlineLevel="0" collapsed="false">
      <c r="A1652" s="9" t="s">
        <v>583</v>
      </c>
      <c r="C1652" s="63" t="n">
        <f aca="false">S1603</f>
        <v>17.9629414965</v>
      </c>
      <c r="D1652" s="63"/>
    </row>
    <row r="1653" customFormat="false" ht="15" hidden="false" customHeight="false" outlineLevel="0" collapsed="false">
      <c r="A1653" s="9" t="s">
        <v>584</v>
      </c>
      <c r="C1653" s="61" t="n">
        <f aca="false">S1614</f>
        <v>129583.039275037</v>
      </c>
      <c r="D1653" s="61"/>
    </row>
    <row r="1654" customFormat="false" ht="15" hidden="false" customHeight="false" outlineLevel="0" collapsed="false">
      <c r="A1654" s="9" t="s">
        <v>22</v>
      </c>
      <c r="C1654" s="61" t="n">
        <f aca="false">IFERROR(S1613/S1603,0)</f>
        <v>6452.56585184663</v>
      </c>
      <c r="D1654" s="61"/>
    </row>
    <row r="1655" customFormat="false" ht="15" hidden="false" customHeight="false" outlineLevel="0" collapsed="false">
      <c r="A1655" s="9" t="s">
        <v>585</v>
      </c>
      <c r="C1655" s="61" t="n">
        <f aca="false">IFERROR(S1631/S1603,0)</f>
        <v>103832.310000811</v>
      </c>
      <c r="D1655" s="61"/>
    </row>
    <row r="1656" customFormat="false" ht="23.85" hidden="false" customHeight="false" outlineLevel="0" collapsed="false">
      <c r="A1656" s="9" t="s">
        <v>586</v>
      </c>
      <c r="C1656" s="61" t="n">
        <f aca="false">IFERROR((S1625+S1627+S1628+S1629+S1630)/S1603,0)</f>
        <v>32030.7146221161</v>
      </c>
      <c r="D1656" s="61"/>
    </row>
    <row r="1657" customFormat="false" ht="15" hidden="false" customHeight="false" outlineLevel="0" collapsed="false">
      <c r="A1657" s="9" t="s">
        <v>587</v>
      </c>
      <c r="C1657" s="64" t="n">
        <f aca="false">IFERROR('Engine Runs'!$C$1655/('Engine Runs'!$C$1654*Assumptions!$G$76/12),0)</f>
        <v>351.090135337585</v>
      </c>
      <c r="D1657" s="64"/>
    </row>
    <row r="1658" customFormat="false" ht="15" hidden="false" customHeight="false" outlineLevel="0" collapsed="false">
      <c r="A1658" s="9" t="s">
        <v>588</v>
      </c>
      <c r="C1658" s="64" t="n">
        <f aca="false">IFERROR((R1631/R1603)/((R1613/R1603)*Assumptions!$G$76/12),0)</f>
        <v>254.832564324467</v>
      </c>
      <c r="D1658" s="64"/>
    </row>
    <row r="1659" customFormat="false" ht="15" hidden="false" customHeight="false" outlineLevel="0" collapsed="false">
      <c r="A1659" s="9" t="s">
        <v>589</v>
      </c>
      <c r="C1659" s="61" t="n">
        <f aca="false">S1635</f>
        <v>2602606.66010182</v>
      </c>
      <c r="D1659" s="61"/>
    </row>
    <row r="1660" customFormat="false" ht="15" hidden="false" customHeight="false" outlineLevel="0" collapsed="false">
      <c r="A1660" s="9" t="s">
        <v>590</v>
      </c>
      <c r="C1660" s="61" t="n">
        <f aca="false">N1638</f>
        <v>-2531335.98850055</v>
      </c>
      <c r="D1660" s="61"/>
    </row>
    <row r="1661" customFormat="false" ht="15" hidden="false" customHeight="false" outlineLevel="0" collapsed="false">
      <c r="A1661" s="9" t="s">
        <v>591</v>
      </c>
      <c r="C1661" s="61" t="n">
        <f aca="false">MIN($C$1638:$N$1638)</f>
        <v>-2531335.98850055</v>
      </c>
      <c r="D1661" s="61"/>
    </row>
    <row r="1662" customFormat="false" ht="15" hidden="false" customHeight="false" outlineLevel="0" collapsed="false">
      <c r="A1662" s="9" t="s">
        <v>592</v>
      </c>
      <c r="C1662" s="61" t="n">
        <f aca="false">N1612*(Assumptions!$G$76-$C$1646)*$C$1645*(1-$C$1645^Assumptions!$G$85)/(1-$C$1645)</f>
        <v>113059.451124895</v>
      </c>
      <c r="D1662" s="61"/>
    </row>
    <row r="1663" customFormat="false" ht="15" hidden="false" customHeight="false" outlineLevel="0" collapsed="false">
      <c r="A1663" s="9" t="s">
        <v>593</v>
      </c>
      <c r="C1663" s="61" t="n">
        <f aca="false">N1612*(Assumptions!$G$76-$C$1646)*(1-Assumptions!$G$88)/(1+Assumptions!$G$87)^2.5*$C$1647*(1-$C$1647^Assumptions!$G$85)/(1-$C$1647)</f>
        <v>25403.491547339</v>
      </c>
      <c r="D1663" s="61"/>
    </row>
    <row r="1664" customFormat="false" ht="15" hidden="false" customHeight="false" outlineLevel="0" collapsed="false">
      <c r="A1664" s="9" t="s">
        <v>594</v>
      </c>
      <c r="C1664" s="61" t="n">
        <f aca="false">SUM($C$1640:$N$1640)+'Engine Runs'!$C$1663</f>
        <v>-2148114.87756732</v>
      </c>
      <c r="D1664" s="61"/>
    </row>
    <row r="1665" customFormat="false" ht="15" hidden="false" customHeight="false" outlineLevel="0" collapsed="false">
      <c r="A1665" s="9" t="s">
        <v>595</v>
      </c>
      <c r="C1665" s="61" t="n">
        <f aca="false">SUM($C$1644:$N$1644)+N1642*(Assumptions!$G$76-Assumptions!$G$93)/(1+Assumptions!$G$87)^2.5*$C$1648*(1-$C$1648^Assumptions!$G$85)/(1-$C$1648)</f>
        <v>1339667.79239532</v>
      </c>
      <c r="D1665" s="61"/>
    </row>
    <row r="1666" customFormat="false" ht="15" hidden="false" customHeight="false" outlineLevel="0" collapsed="false">
      <c r="A1666" s="9" t="s">
        <v>596</v>
      </c>
      <c r="C1666" s="61" t="n">
        <f aca="false">'Engine Runs'!$C$1664-'Engine Runs'!$C$1665</f>
        <v>-3487782.66996264</v>
      </c>
      <c r="D1666" s="61"/>
    </row>
    <row r="1667" customFormat="false" ht="15" hidden="false" customHeight="false" outlineLevel="0" collapsed="false">
      <c r="A1667" s="9" t="s">
        <v>597</v>
      </c>
      <c r="C1667" s="61" t="n">
        <f aca="false">S1599</f>
        <v>0</v>
      </c>
      <c r="D1667" s="61"/>
    </row>
    <row r="1668" customFormat="false" ht="15" hidden="false" customHeight="false" outlineLevel="0" collapsed="false">
      <c r="A1668" s="9" t="s">
        <v>598</v>
      </c>
      <c r="C1668" s="63" t="n">
        <f aca="false">P1583</f>
        <v>36.3734859626292</v>
      </c>
      <c r="D1668" s="63"/>
    </row>
    <row r="1669" customFormat="false" ht="15" hidden="false" customHeight="false" outlineLevel="0" collapsed="false">
      <c r="A1669" s="9" t="s">
        <v>599</v>
      </c>
      <c r="C1669" s="63" t="n">
        <f aca="false">P1603</f>
        <v>3.3077330884446</v>
      </c>
      <c r="D1669" s="63"/>
    </row>
    <row r="1670" customFormat="false" ht="15" hidden="false" customHeight="false" outlineLevel="0" collapsed="false">
      <c r="A1670" s="9" t="s">
        <v>600</v>
      </c>
      <c r="C1670" s="63" t="n">
        <f aca="false">P1579</f>
        <v>28</v>
      </c>
      <c r="D1670" s="63"/>
    </row>
    <row r="1671" customFormat="false" ht="15" hidden="false" customHeight="false" outlineLevel="0" collapsed="false">
      <c r="A1671" s="9" t="s">
        <v>601</v>
      </c>
      <c r="C1671" s="61" t="n">
        <f aca="false">IFERROR(P1613/P1603,0)</f>
        <v>6128.81594934335</v>
      </c>
      <c r="D1671" s="61"/>
    </row>
    <row r="1674" customFormat="false" ht="15" hidden="false" customHeight="true" outlineLevel="0" collapsed="false">
      <c r="A1674" s="77" t="s">
        <v>787</v>
      </c>
      <c r="B1674" s="77"/>
      <c r="C1674" s="77"/>
      <c r="D1674" s="77"/>
      <c r="E1674" s="77"/>
      <c r="F1674" s="77"/>
      <c r="G1674" s="77"/>
      <c r="H1674" s="77"/>
      <c r="I1674" s="77"/>
      <c r="J1674" s="77"/>
      <c r="K1674" s="77"/>
      <c r="L1674" s="77"/>
      <c r="M1674" s="77"/>
      <c r="N1674" s="77"/>
    </row>
    <row r="1675" customFormat="false" ht="15" hidden="false" customHeight="false" outlineLevel="0" collapsed="false">
      <c r="A1675" s="35" t="s">
        <v>788</v>
      </c>
      <c r="B1675" s="35" t="s">
        <v>444</v>
      </c>
      <c r="C1675" s="6" t="s">
        <v>354</v>
      </c>
      <c r="D1675" s="6" t="s">
        <v>355</v>
      </c>
      <c r="E1675" s="6" t="s">
        <v>356</v>
      </c>
      <c r="F1675" s="6" t="s">
        <v>357</v>
      </c>
      <c r="G1675" s="6" t="s">
        <v>358</v>
      </c>
      <c r="H1675" s="6" t="s">
        <v>359</v>
      </c>
      <c r="I1675" s="6" t="s">
        <v>360</v>
      </c>
      <c r="J1675" s="6" t="s">
        <v>361</v>
      </c>
      <c r="K1675" s="6" t="s">
        <v>362</v>
      </c>
      <c r="L1675" s="6" t="s">
        <v>363</v>
      </c>
      <c r="M1675" s="6" t="s">
        <v>364</v>
      </c>
      <c r="N1675" s="6" t="s">
        <v>365</v>
      </c>
      <c r="P1675" s="6" t="s">
        <v>445</v>
      </c>
      <c r="Q1675" s="6" t="s">
        <v>446</v>
      </c>
      <c r="R1675" s="6" t="s">
        <v>447</v>
      </c>
      <c r="S1675" s="6" t="s">
        <v>448</v>
      </c>
    </row>
    <row r="1676" customFormat="false" ht="15" hidden="false" customHeight="false" outlineLevel="0" collapsed="false">
      <c r="A1676" s="4" t="s">
        <v>449</v>
      </c>
      <c r="B1676" s="36" t="s">
        <v>450</v>
      </c>
      <c r="C1676" s="34" t="n">
        <f aca="false">'Market Sizing'!$C$20*Assumptions!$H$10*Assumptions!$H$11*(1-Assumptions!$H$12)</f>
        <v>2743.814304</v>
      </c>
    </row>
    <row r="1677" customFormat="false" ht="15" hidden="false" customHeight="false" outlineLevel="0" collapsed="false">
      <c r="A1677" s="4" t="s">
        <v>451</v>
      </c>
      <c r="B1677" s="36" t="s">
        <v>450</v>
      </c>
      <c r="C1677" s="34" t="n">
        <f aca="false">'Market Sizing'!$D$20*Assumptions!$H$10*Assumptions!$H$11*(1-Assumptions!$H$12)</f>
        <v>560.531664</v>
      </c>
    </row>
    <row r="1678" customFormat="false" ht="15" hidden="false" customHeight="false" outlineLevel="0" collapsed="false">
      <c r="A1678" s="4" t="s">
        <v>452</v>
      </c>
      <c r="B1678" s="36" t="s">
        <v>450</v>
      </c>
      <c r="C1678" s="34" t="n">
        <f aca="false">'Market Sizing'!$E$20*Assumptions!$H$10*Assumptions!$H$11*(1-Assumptions!$H$12)</f>
        <v>130.340826</v>
      </c>
    </row>
    <row r="1679" customFormat="false" ht="15" hidden="false" customHeight="false" outlineLevel="0" collapsed="false">
      <c r="A1679" s="4" t="s">
        <v>453</v>
      </c>
      <c r="B1679" s="36"/>
      <c r="C1679" s="34" t="n">
        <f aca="false">$C$1676+$C$1677+$C$1678</f>
        <v>3434.686794</v>
      </c>
    </row>
    <row r="1680" customFormat="false" ht="15" hidden="false" customHeight="false" outlineLevel="0" collapsed="false">
      <c r="A1680" s="4" t="s">
        <v>454</v>
      </c>
      <c r="B1680" s="36" t="s">
        <v>450</v>
      </c>
      <c r="C1680" s="34" t="n">
        <f aca="false">'Market Sizing'!$C$21*Assumptions!$H$10*Assumptions!$H$11*(1-Assumptions!$H$12)</f>
        <v>2711.4875865</v>
      </c>
    </row>
    <row r="1681" customFormat="false" ht="15" hidden="false" customHeight="false" outlineLevel="0" collapsed="false">
      <c r="A1681" s="4" t="s">
        <v>455</v>
      </c>
      <c r="B1681" s="36" t="s">
        <v>450</v>
      </c>
      <c r="C1681" s="34" t="n">
        <f aca="false">'Market Sizing'!$D$21*Assumptions!$H$10*Assumptions!$H$11*(1-Assumptions!$H$12)</f>
        <v>558.515727</v>
      </c>
    </row>
    <row r="1682" customFormat="false" ht="15" hidden="false" customHeight="false" outlineLevel="0" collapsed="false">
      <c r="A1682" s="4" t="s">
        <v>456</v>
      </c>
      <c r="B1682" s="36" t="s">
        <v>450</v>
      </c>
      <c r="C1682" s="34" t="n">
        <f aca="false">'Market Sizing'!$E$21*Assumptions!$H$10*Assumptions!$H$11*(1-Assumptions!$H$12)</f>
        <v>114.174522</v>
      </c>
    </row>
    <row r="1683" customFormat="false" ht="15" hidden="false" customHeight="false" outlineLevel="0" collapsed="false">
      <c r="A1683" s="4" t="s">
        <v>457</v>
      </c>
      <c r="B1683" s="36"/>
      <c r="C1683" s="34" t="n">
        <f aca="false">$C$1680+$C$1681+$C$1682</f>
        <v>3384.1778355</v>
      </c>
    </row>
    <row r="1684" customFormat="false" ht="15" hidden="false" customHeight="false" outlineLevel="0" collapsed="false">
      <c r="A1684" s="4" t="s">
        <v>458</v>
      </c>
      <c r="B1684" s="36" t="s">
        <v>450</v>
      </c>
      <c r="C1684" s="34" t="n">
        <f aca="false">'Market Sizing'!$C$22*Assumptions!$H$10*Assumptions!$H$11*(1-Assumptions!$H$12)</f>
        <v>2796.4244385</v>
      </c>
    </row>
    <row r="1685" customFormat="false" ht="15" hidden="false" customHeight="false" outlineLevel="0" collapsed="false">
      <c r="A1685" s="4" t="s">
        <v>459</v>
      </c>
      <c r="B1685" s="36" t="s">
        <v>450</v>
      </c>
      <c r="C1685" s="34" t="n">
        <f aca="false">'Market Sizing'!$D$22*Assumptions!$H$10*Assumptions!$H$11*(1-Assumptions!$H$12)</f>
        <v>714.600117</v>
      </c>
    </row>
    <row r="1686" customFormat="false" ht="15" hidden="false" customHeight="false" outlineLevel="0" collapsed="false">
      <c r="A1686" s="4" t="s">
        <v>460</v>
      </c>
      <c r="B1686" s="36" t="s">
        <v>450</v>
      </c>
      <c r="C1686" s="34" t="n">
        <f aca="false">'Market Sizing'!$E$22*Assumptions!$H$10*Assumptions!$H$11*(1-Assumptions!$H$12)</f>
        <v>150.548706</v>
      </c>
    </row>
    <row r="1687" customFormat="false" ht="15" hidden="false" customHeight="false" outlineLevel="0" collapsed="false">
      <c r="A1687" s="4" t="s">
        <v>461</v>
      </c>
      <c r="B1687" s="36"/>
      <c r="C1687" s="34" t="n">
        <f aca="false">$C$1684+$C$1685+$C$1686</f>
        <v>3661.5732615</v>
      </c>
    </row>
    <row r="1688" customFormat="false" ht="15" hidden="false" customHeight="false" outlineLevel="0" collapsed="false">
      <c r="A1688" s="4" t="s">
        <v>462</v>
      </c>
      <c r="B1688" s="36" t="s">
        <v>463</v>
      </c>
      <c r="C1688" s="33" t="n">
        <f aca="false">MAX((Assumptions!$H$51+Assumptions!$H$53)*12,(((('Market Sizing'!$E$28*Assumptions!$H$41*Assumptions!$H$42*Assumptions!$H$43)*Assumptions!$H$44)*Assumptions!$H$45*Assumptions!$H$46+('Market Sizing'!$E$28*Assumptions!$H$41*Assumptions!$H$42*Assumptions!$H$43)*Assumptions!$H$47+('Market Sizing'!$E$28*Assumptions!$H$41*Assumptions!$H$42*Assumptions!$H$43)*Assumptions!$H$48*Assumptions!$H$49)*(Assumptions!$H$51*12/Assumptions!$H$52)+((('Market Sizing'!$E$28*Assumptions!$H$41*Assumptions!$H$42*Assumptions!$H$43)*Assumptions!$H$44)*Assumptions!$H$45+('Market Sizing'!$E$28*Assumptions!$H$41*Assumptions!$H$42*Assumptions!$H$43)+('Market Sizing'!$E$28*Assumptions!$H$41*Assumptions!$H$42*Assumptions!$H$43)*Assumptions!$H$48)*Assumptions!$H$50*(Assumptions!$H$53*12/Assumptions!$H$54)))</f>
        <v>5352</v>
      </c>
    </row>
    <row r="1689" customFormat="false" ht="15" hidden="false" customHeight="false" outlineLevel="0" collapsed="false">
      <c r="A1689" s="4" t="s">
        <v>464</v>
      </c>
      <c r="B1689" s="36" t="s">
        <v>463</v>
      </c>
      <c r="C1689" s="33" t="n">
        <f aca="false">MAX((Assumptions!$H$51+Assumptions!$H$53)*12,(((('Market Sizing'!$E$29*Assumptions!$H$41*Assumptions!$H$42*Assumptions!$H$43)*Assumptions!$H$44)*Assumptions!$H$45*Assumptions!$H$46+('Market Sizing'!$E$29*Assumptions!$H$41*Assumptions!$H$42*Assumptions!$H$43)*Assumptions!$H$47+('Market Sizing'!$E$29*Assumptions!$H$41*Assumptions!$H$42*Assumptions!$H$43)*Assumptions!$H$48*Assumptions!$H$49)*(Assumptions!$H$51*12/Assumptions!$H$52)+((('Market Sizing'!$E$29*Assumptions!$H$41*Assumptions!$H$42*Assumptions!$H$43)*Assumptions!$H$44)*Assumptions!$H$45+('Market Sizing'!$E$29*Assumptions!$H$41*Assumptions!$H$42*Assumptions!$H$43)+('Market Sizing'!$E$29*Assumptions!$H$41*Assumptions!$H$42*Assumptions!$H$43)*Assumptions!$H$48)*Assumptions!$H$50*(Assumptions!$H$53*12/Assumptions!$H$54)))</f>
        <v>5352</v>
      </c>
    </row>
    <row r="1690" customFormat="false" ht="15" hidden="false" customHeight="false" outlineLevel="0" collapsed="false">
      <c r="A1690" s="4" t="s">
        <v>465</v>
      </c>
      <c r="B1690" s="36" t="s">
        <v>463</v>
      </c>
      <c r="C1690" s="33" t="n">
        <f aca="false">MAX(Assumptions!$H$55*(Assumptions!$H$51*12/Assumptions!$H$52)+Assumptions!$H$56*(Assumptions!$H$53*12/Assumptions!$H$54),(((('Market Sizing'!$E$30*Assumptions!$H$41*Assumptions!$H$42*Assumptions!$H$43)*Assumptions!$H$44)*Assumptions!$H$45*Assumptions!$H$46+('Market Sizing'!$E$30*Assumptions!$H$41*Assumptions!$H$42*Assumptions!$H$43)*Assumptions!$H$47+('Market Sizing'!$E$30*Assumptions!$H$41*Assumptions!$H$42*Assumptions!$H$43)*Assumptions!$H$48*Assumptions!$H$49)*(Assumptions!$H$51*12/Assumptions!$H$52)+((('Market Sizing'!$E$30*Assumptions!$H$41*Assumptions!$H$42*Assumptions!$H$43)*Assumptions!$H$44)*Assumptions!$H$45+('Market Sizing'!$E$30*Assumptions!$H$41*Assumptions!$H$42*Assumptions!$H$43)+('Market Sizing'!$E$30*Assumptions!$H$41*Assumptions!$H$42*Assumptions!$H$43)*Assumptions!$H$48)*Assumptions!$H$50*(Assumptions!$H$53*12/Assumptions!$H$54)))*(1-Assumptions!$H$57)</f>
        <v>44310</v>
      </c>
    </row>
    <row r="1691" customFormat="false" ht="23.85" hidden="false" customHeight="false" outlineLevel="0" collapsed="false">
      <c r="A1691" s="4" t="s">
        <v>466</v>
      </c>
      <c r="B1691" s="36" t="s">
        <v>467</v>
      </c>
      <c r="C1691" s="37" t="n">
        <f aca="false">Assumptions!$H$17*Assumptions!$D$106</f>
        <v>0.4</v>
      </c>
    </row>
    <row r="1692" customFormat="false" ht="23.85" hidden="false" customHeight="false" outlineLevel="0" collapsed="false">
      <c r="A1692" s="4" t="s">
        <v>468</v>
      </c>
      <c r="B1692" s="36" t="s">
        <v>469</v>
      </c>
      <c r="C1692" s="33" t="n">
        <f aca="false">Assumptions!$H$68/Assumptions!$H$69</f>
        <v>285714.285714286</v>
      </c>
    </row>
    <row r="1693" customFormat="false" ht="23.85" hidden="false" customHeight="false" outlineLevel="0" collapsed="false">
      <c r="A1693" s="4" t="s">
        <v>470</v>
      </c>
      <c r="B1693" s="36" t="s">
        <v>471</v>
      </c>
      <c r="C1693" s="33" t="n">
        <f aca="false">Assumptions!$H$66*Assumptions!$H$67/4</f>
        <v>153125</v>
      </c>
    </row>
    <row r="1694" customFormat="false" ht="15" hidden="false" customHeight="false" outlineLevel="0" collapsed="false">
      <c r="A1694" s="4" t="s">
        <v>472</v>
      </c>
      <c r="B1694" s="36"/>
      <c r="C1694" s="38" t="n">
        <f aca="false">$C$1692/Assumptions!$H$66/Assumptions!$H$67</f>
        <v>0.466472303206997</v>
      </c>
    </row>
    <row r="1695" customFormat="false" ht="15" hidden="false" customHeight="false" outlineLevel="0" collapsed="false">
      <c r="A1695" s="4" t="s">
        <v>473</v>
      </c>
      <c r="B1695" s="36"/>
      <c r="C1695" s="33" t="n">
        <f aca="false">MAX(0,Assumptions!$D$103-Assumptions!$H$78)</f>
        <v>0</v>
      </c>
    </row>
    <row r="1696" customFormat="false" ht="15" hidden="false" customHeight="false" outlineLevel="0" collapsed="false">
      <c r="A1696" s="35" t="s">
        <v>474</v>
      </c>
      <c r="B1696" s="35" t="s">
        <v>444</v>
      </c>
      <c r="C1696" s="6" t="s">
        <v>354</v>
      </c>
      <c r="D1696" s="6" t="s">
        <v>355</v>
      </c>
      <c r="E1696" s="6" t="s">
        <v>356</v>
      </c>
      <c r="F1696" s="6" t="s">
        <v>357</v>
      </c>
      <c r="G1696" s="6" t="s">
        <v>358</v>
      </c>
      <c r="H1696" s="6" t="s">
        <v>359</v>
      </c>
      <c r="I1696" s="6" t="s">
        <v>360</v>
      </c>
      <c r="J1696" s="6" t="s">
        <v>361</v>
      </c>
      <c r="K1696" s="6" t="s">
        <v>362</v>
      </c>
      <c r="L1696" s="6" t="s">
        <v>363</v>
      </c>
      <c r="M1696" s="6" t="s">
        <v>364</v>
      </c>
      <c r="N1696" s="6" t="s">
        <v>365</v>
      </c>
      <c r="P1696" s="6" t="s">
        <v>445</v>
      </c>
      <c r="Q1696" s="6" t="s">
        <v>446</v>
      </c>
      <c r="R1696" s="6" t="s">
        <v>447</v>
      </c>
      <c r="S1696" s="6" t="s">
        <v>448</v>
      </c>
    </row>
    <row r="1697" customFormat="false" ht="15" hidden="false" customHeight="false" outlineLevel="0" collapsed="false">
      <c r="A1697" s="4" t="s">
        <v>475</v>
      </c>
      <c r="B1697" s="36" t="s">
        <v>133</v>
      </c>
      <c r="C1697" s="39" t="n">
        <v>1</v>
      </c>
      <c r="D1697" s="39" t="n">
        <v>2</v>
      </c>
      <c r="E1697" s="39" t="n">
        <v>3</v>
      </c>
      <c r="F1697" s="39" t="n">
        <v>4</v>
      </c>
      <c r="G1697" s="39" t="n">
        <v>5</v>
      </c>
      <c r="H1697" s="39" t="n">
        <v>6</v>
      </c>
      <c r="I1697" s="39" t="n">
        <v>7</v>
      </c>
      <c r="J1697" s="39" t="n">
        <v>8</v>
      </c>
      <c r="K1697" s="39" t="n">
        <v>9</v>
      </c>
      <c r="L1697" s="39" t="n">
        <v>10</v>
      </c>
      <c r="M1697" s="39" t="n">
        <v>11</v>
      </c>
      <c r="N1697" s="39" t="n">
        <v>12</v>
      </c>
      <c r="P1697" s="40"/>
      <c r="Q1697" s="40"/>
      <c r="R1697" s="40"/>
      <c r="S1697" s="41"/>
    </row>
    <row r="1698" customFormat="false" ht="15" hidden="false" customHeight="false" outlineLevel="0" collapsed="false">
      <c r="A1698" s="4" t="s">
        <v>476</v>
      </c>
      <c r="B1698" s="36" t="s">
        <v>343</v>
      </c>
      <c r="C1698" s="39" t="n">
        <f aca="false">IF(C1697&lt;=Assumptions!$H$84,1,0)</f>
        <v>1</v>
      </c>
      <c r="D1698" s="39" t="n">
        <f aca="false">IF(D1697&lt;=Assumptions!$H$84,1,0)</f>
        <v>1</v>
      </c>
      <c r="E1698" s="39" t="n">
        <f aca="false">IF(E1697&lt;=Assumptions!$H$84,1,0)</f>
        <v>1</v>
      </c>
      <c r="F1698" s="39" t="n">
        <f aca="false">IF(F1697&lt;=Assumptions!$H$84,1,0)</f>
        <v>1</v>
      </c>
      <c r="G1698" s="39" t="n">
        <f aca="false">IF(G1697&lt;=Assumptions!$H$84,1,0)</f>
        <v>1</v>
      </c>
      <c r="H1698" s="39" t="n">
        <f aca="false">IF(H1697&lt;=Assumptions!$H$84,1,0)</f>
        <v>1</v>
      </c>
      <c r="I1698" s="39" t="n">
        <f aca="false">IF(I1697&lt;=Assumptions!$H$84,1,0)</f>
        <v>1</v>
      </c>
      <c r="J1698" s="39" t="n">
        <f aca="false">IF(J1697&lt;=Assumptions!$H$84,1,0)</f>
        <v>1</v>
      </c>
      <c r="K1698" s="39" t="n">
        <f aca="false">IF(K1697&lt;=Assumptions!$H$84,1,0)</f>
        <v>1</v>
      </c>
      <c r="L1698" s="39" t="n">
        <f aca="false">IF(L1697&lt;=Assumptions!$H$84,1,0)</f>
        <v>1</v>
      </c>
      <c r="M1698" s="39" t="n">
        <f aca="false">IF(M1697&lt;=Assumptions!$H$84,1,0)</f>
        <v>1</v>
      </c>
      <c r="N1698" s="39" t="n">
        <f aca="false">IF(N1697&lt;=Assumptions!$H$84,1,0)</f>
        <v>1</v>
      </c>
      <c r="P1698" s="40"/>
      <c r="Q1698" s="40"/>
      <c r="R1698" s="40"/>
      <c r="S1698" s="41"/>
    </row>
    <row r="1699" customFormat="false" ht="15" hidden="false" customHeight="false" outlineLevel="0" collapsed="false">
      <c r="A1699" s="4" t="s">
        <v>477</v>
      </c>
      <c r="B1699" s="36" t="s">
        <v>478</v>
      </c>
      <c r="C1699" s="42" t="n">
        <f aca="false">IF(C1697=Assumptions!$H$13,0.5,IF(C1697&gt;Assumptions!$H$13,1,0))</f>
        <v>0.5</v>
      </c>
      <c r="D1699" s="42" t="n">
        <f aca="false">IF(D1697=Assumptions!$H$13,0.5,IF(D1697&gt;Assumptions!$H$13,1,0))</f>
        <v>1</v>
      </c>
      <c r="E1699" s="42" t="n">
        <f aca="false">IF(E1697=Assumptions!$H$13,0.5,IF(E1697&gt;Assumptions!$H$13,1,0))</f>
        <v>1</v>
      </c>
      <c r="F1699" s="42" t="n">
        <f aca="false">IF(F1697=Assumptions!$H$13,0.5,IF(F1697&gt;Assumptions!$H$13,1,0))</f>
        <v>1</v>
      </c>
      <c r="G1699" s="42" t="n">
        <f aca="false">IF(G1697=Assumptions!$H$13,0.5,IF(G1697&gt;Assumptions!$H$13,1,0))</f>
        <v>1</v>
      </c>
      <c r="H1699" s="42" t="n">
        <f aca="false">IF(H1697=Assumptions!$H$13,0.5,IF(H1697&gt;Assumptions!$H$13,1,0))</f>
        <v>1</v>
      </c>
      <c r="I1699" s="42" t="n">
        <f aca="false">IF(I1697=Assumptions!$H$13,0.5,IF(I1697&gt;Assumptions!$H$13,1,0))</f>
        <v>1</v>
      </c>
      <c r="J1699" s="42" t="n">
        <f aca="false">IF(J1697=Assumptions!$H$13,0.5,IF(J1697&gt;Assumptions!$H$13,1,0))</f>
        <v>1</v>
      </c>
      <c r="K1699" s="42" t="n">
        <f aca="false">IF(K1697=Assumptions!$H$13,0.5,IF(K1697&gt;Assumptions!$H$13,1,0))</f>
        <v>1</v>
      </c>
      <c r="L1699" s="42" t="n">
        <f aca="false">IF(L1697=Assumptions!$H$13,0.5,IF(L1697&gt;Assumptions!$H$13,1,0))</f>
        <v>1</v>
      </c>
      <c r="M1699" s="42" t="n">
        <f aca="false">IF(M1697=Assumptions!$H$13,0.5,IF(M1697&gt;Assumptions!$H$13,1,0))</f>
        <v>1</v>
      </c>
      <c r="N1699" s="42" t="n">
        <f aca="false">IF(N1697=Assumptions!$H$13,0.5,IF(N1697&gt;Assumptions!$H$13,1,0))</f>
        <v>1</v>
      </c>
      <c r="P1699" s="43"/>
      <c r="Q1699" s="43"/>
      <c r="R1699" s="43"/>
      <c r="S1699" s="44"/>
    </row>
    <row r="1700" customFormat="false" ht="15" hidden="false" customHeight="false" outlineLevel="0" collapsed="false">
      <c r="A1700" s="4" t="s">
        <v>479</v>
      </c>
      <c r="B1700" s="36" t="s">
        <v>478</v>
      </c>
      <c r="C1700" s="42" t="n">
        <f aca="false">IF(C1697=Assumptions!$H$14,0.5,IF(C1697&gt;Assumptions!$H$14,1,0))</f>
        <v>0</v>
      </c>
      <c r="D1700" s="42" t="n">
        <f aca="false">IF(D1697=Assumptions!$H$14,0.5,IF(D1697&gt;Assumptions!$H$14,1,0))</f>
        <v>0</v>
      </c>
      <c r="E1700" s="42" t="n">
        <f aca="false">IF(E1697=Assumptions!$H$14,0.5,IF(E1697&gt;Assumptions!$H$14,1,0))</f>
        <v>0</v>
      </c>
      <c r="F1700" s="42" t="n">
        <f aca="false">IF(F1697=Assumptions!$H$14,0.5,IF(F1697&gt;Assumptions!$H$14,1,0))</f>
        <v>0</v>
      </c>
      <c r="G1700" s="42" t="n">
        <f aca="false">IF(G1697=Assumptions!$H$14,0.5,IF(G1697&gt;Assumptions!$H$14,1,0))</f>
        <v>0.5</v>
      </c>
      <c r="H1700" s="42" t="n">
        <f aca="false">IF(H1697=Assumptions!$H$14,0.5,IF(H1697&gt;Assumptions!$H$14,1,0))</f>
        <v>1</v>
      </c>
      <c r="I1700" s="42" t="n">
        <f aca="false">IF(I1697=Assumptions!$H$14,0.5,IF(I1697&gt;Assumptions!$H$14,1,0))</f>
        <v>1</v>
      </c>
      <c r="J1700" s="42" t="n">
        <f aca="false">IF(J1697=Assumptions!$H$14,0.5,IF(J1697&gt;Assumptions!$H$14,1,0))</f>
        <v>1</v>
      </c>
      <c r="K1700" s="42" t="n">
        <f aca="false">IF(K1697=Assumptions!$H$14,0.5,IF(K1697&gt;Assumptions!$H$14,1,0))</f>
        <v>1</v>
      </c>
      <c r="L1700" s="42" t="n">
        <f aca="false">IF(L1697=Assumptions!$H$14,0.5,IF(L1697&gt;Assumptions!$H$14,1,0))</f>
        <v>1</v>
      </c>
      <c r="M1700" s="42" t="n">
        <f aca="false">IF(M1697=Assumptions!$H$14,0.5,IF(M1697&gt;Assumptions!$H$14,1,0))</f>
        <v>1</v>
      </c>
      <c r="N1700" s="42" t="n">
        <f aca="false">IF(N1697=Assumptions!$H$14,0.5,IF(N1697&gt;Assumptions!$H$14,1,0))</f>
        <v>1</v>
      </c>
      <c r="P1700" s="43"/>
      <c r="Q1700" s="43"/>
      <c r="R1700" s="43"/>
      <c r="S1700" s="44"/>
    </row>
    <row r="1701" customFormat="false" ht="15" hidden="false" customHeight="false" outlineLevel="0" collapsed="false">
      <c r="A1701" s="4" t="s">
        <v>480</v>
      </c>
      <c r="B1701" s="36" t="s">
        <v>478</v>
      </c>
      <c r="C1701" s="42" t="n">
        <f aca="false">IF(C1697=Assumptions!$H$15,0.5,IF(C1697&gt;Assumptions!$H$15,1,0))</f>
        <v>0</v>
      </c>
      <c r="D1701" s="42" t="n">
        <f aca="false">IF(D1697=Assumptions!$H$15,0.5,IF(D1697&gt;Assumptions!$H$15,1,0))</f>
        <v>0</v>
      </c>
      <c r="E1701" s="42" t="n">
        <f aca="false">IF(E1697=Assumptions!$H$15,0.5,IF(E1697&gt;Assumptions!$H$15,1,0))</f>
        <v>0</v>
      </c>
      <c r="F1701" s="42" t="n">
        <f aca="false">IF(F1697=Assumptions!$H$15,0.5,IF(F1697&gt;Assumptions!$H$15,1,0))</f>
        <v>0</v>
      </c>
      <c r="G1701" s="42" t="n">
        <f aca="false">IF(G1697=Assumptions!$H$15,0.5,IF(G1697&gt;Assumptions!$H$15,1,0))</f>
        <v>0</v>
      </c>
      <c r="H1701" s="42" t="n">
        <f aca="false">IF(H1697=Assumptions!$H$15,0.5,IF(H1697&gt;Assumptions!$H$15,1,0))</f>
        <v>0</v>
      </c>
      <c r="I1701" s="42" t="n">
        <f aca="false">IF(I1697=Assumptions!$H$15,0.5,IF(I1697&gt;Assumptions!$H$15,1,0))</f>
        <v>0.5</v>
      </c>
      <c r="J1701" s="42" t="n">
        <f aca="false">IF(J1697=Assumptions!$H$15,0.5,IF(J1697&gt;Assumptions!$H$15,1,0))</f>
        <v>1</v>
      </c>
      <c r="K1701" s="42" t="n">
        <f aca="false">IF(K1697=Assumptions!$H$15,0.5,IF(K1697&gt;Assumptions!$H$15,1,0))</f>
        <v>1</v>
      </c>
      <c r="L1701" s="42" t="n">
        <f aca="false">IF(L1697=Assumptions!$H$15,0.5,IF(L1697&gt;Assumptions!$H$15,1,0))</f>
        <v>1</v>
      </c>
      <c r="M1701" s="42" t="n">
        <f aca="false">IF(M1697=Assumptions!$H$15,0.5,IF(M1697&gt;Assumptions!$H$15,1,0))</f>
        <v>1</v>
      </c>
      <c r="N1701" s="42" t="n">
        <f aca="false">IF(N1697=Assumptions!$H$15,0.5,IF(N1697&gt;Assumptions!$H$15,1,0))</f>
        <v>1</v>
      </c>
      <c r="P1701" s="43"/>
      <c r="Q1701" s="43"/>
      <c r="R1701" s="43"/>
      <c r="S1701" s="44"/>
    </row>
    <row r="1702" customFormat="false" ht="15" hidden="false" customHeight="false" outlineLevel="0" collapsed="false">
      <c r="A1702" s="4" t="s">
        <v>481</v>
      </c>
      <c r="B1702" s="36" t="s">
        <v>478</v>
      </c>
      <c r="C1702" s="45" t="n">
        <f aca="false">Assumptions!$H$21^(MAX(0,C1697-Assumptions!$H$13)/4)</f>
        <v>1</v>
      </c>
      <c r="D1702" s="45" t="n">
        <f aca="false">Assumptions!$H$21^(MAX(0,D1697-Assumptions!$H$13)/4)</f>
        <v>0.9306048591021</v>
      </c>
      <c r="E1702" s="45" t="n">
        <f aca="false">Assumptions!$H$21^(MAX(0,E1697-Assumptions!$H$13)/4)</f>
        <v>0.866025403784439</v>
      </c>
      <c r="F1702" s="45" t="n">
        <f aca="false">Assumptions!$H$21^(MAX(0,F1697-Assumptions!$H$13)/4)</f>
        <v>0.805927448867656</v>
      </c>
      <c r="G1702" s="45" t="n">
        <f aca="false">Assumptions!$H$21^(MAX(0,G1697-Assumptions!$H$13)/4)</f>
        <v>0.75</v>
      </c>
      <c r="H1702" s="45" t="n">
        <f aca="false">Assumptions!$H$21^(MAX(0,H1697-Assumptions!$H$13)/4)</f>
        <v>0.697953644326575</v>
      </c>
      <c r="I1702" s="45" t="n">
        <f aca="false">Assumptions!$H$21^(MAX(0,I1697-Assumptions!$H$13)/4)</f>
        <v>0.649519052838329</v>
      </c>
      <c r="J1702" s="45" t="n">
        <f aca="false">Assumptions!$H$21^(MAX(0,J1697-Assumptions!$H$13)/4)</f>
        <v>0.604445586650742</v>
      </c>
      <c r="K1702" s="45" t="n">
        <f aca="false">Assumptions!$H$21^(MAX(0,K1697-Assumptions!$H$13)/4)</f>
        <v>0.5625</v>
      </c>
      <c r="L1702" s="45" t="n">
        <f aca="false">Assumptions!$H$21^(MAX(0,L1697-Assumptions!$H$13)/4)</f>
        <v>0.523465233244931</v>
      </c>
      <c r="M1702" s="45" t="n">
        <f aca="false">Assumptions!$H$21^(MAX(0,M1697-Assumptions!$H$13)/4)</f>
        <v>0.487139289628747</v>
      </c>
      <c r="N1702" s="45" t="n">
        <f aca="false">Assumptions!$H$21^(MAX(0,N1697-Assumptions!$H$13)/4)</f>
        <v>0.453334189988057</v>
      </c>
      <c r="P1702" s="46"/>
      <c r="Q1702" s="46"/>
      <c r="R1702" s="46"/>
      <c r="S1702" s="47"/>
    </row>
    <row r="1703" customFormat="false" ht="15" hidden="false" customHeight="false" outlineLevel="0" collapsed="false">
      <c r="A1703" s="4" t="s">
        <v>482</v>
      </c>
      <c r="B1703" s="36" t="s">
        <v>478</v>
      </c>
      <c r="C1703" s="45" t="n">
        <f aca="false">Assumptions!$H$21^(MAX(0,C1697-Assumptions!$H$14)/4)</f>
        <v>1</v>
      </c>
      <c r="D1703" s="45" t="n">
        <f aca="false">Assumptions!$H$21^(MAX(0,D1697-Assumptions!$H$14)/4)</f>
        <v>1</v>
      </c>
      <c r="E1703" s="45" t="n">
        <f aca="false">Assumptions!$H$21^(MAX(0,E1697-Assumptions!$H$14)/4)</f>
        <v>1</v>
      </c>
      <c r="F1703" s="45" t="n">
        <f aca="false">Assumptions!$H$21^(MAX(0,F1697-Assumptions!$H$14)/4)</f>
        <v>1</v>
      </c>
      <c r="G1703" s="45" t="n">
        <f aca="false">Assumptions!$H$21^(MAX(0,G1697-Assumptions!$H$14)/4)</f>
        <v>1</v>
      </c>
      <c r="H1703" s="45" t="n">
        <f aca="false">Assumptions!$H$21^(MAX(0,H1697-Assumptions!$H$14)/4)</f>
        <v>0.9306048591021</v>
      </c>
      <c r="I1703" s="45" t="n">
        <f aca="false">Assumptions!$H$21^(MAX(0,I1697-Assumptions!$H$14)/4)</f>
        <v>0.866025403784439</v>
      </c>
      <c r="J1703" s="45" t="n">
        <f aca="false">Assumptions!$H$21^(MAX(0,J1697-Assumptions!$H$14)/4)</f>
        <v>0.805927448867656</v>
      </c>
      <c r="K1703" s="45" t="n">
        <f aca="false">Assumptions!$H$21^(MAX(0,K1697-Assumptions!$H$14)/4)</f>
        <v>0.75</v>
      </c>
      <c r="L1703" s="45" t="n">
        <f aca="false">Assumptions!$H$21^(MAX(0,L1697-Assumptions!$H$14)/4)</f>
        <v>0.697953644326575</v>
      </c>
      <c r="M1703" s="45" t="n">
        <f aca="false">Assumptions!$H$21^(MAX(0,M1697-Assumptions!$H$14)/4)</f>
        <v>0.649519052838329</v>
      </c>
      <c r="N1703" s="45" t="n">
        <f aca="false">Assumptions!$H$21^(MAX(0,N1697-Assumptions!$H$14)/4)</f>
        <v>0.604445586650742</v>
      </c>
      <c r="P1703" s="46"/>
      <c r="Q1703" s="46"/>
      <c r="R1703" s="46"/>
      <c r="S1703" s="47"/>
    </row>
    <row r="1704" customFormat="false" ht="15" hidden="false" customHeight="false" outlineLevel="0" collapsed="false">
      <c r="A1704" s="4" t="s">
        <v>483</v>
      </c>
      <c r="B1704" s="36" t="s">
        <v>478</v>
      </c>
      <c r="C1704" s="45" t="n">
        <f aca="false">Assumptions!$H$21^(MAX(0,C1697-Assumptions!$H$15)/4)</f>
        <v>1</v>
      </c>
      <c r="D1704" s="45" t="n">
        <f aca="false">Assumptions!$H$21^(MAX(0,D1697-Assumptions!$H$15)/4)</f>
        <v>1</v>
      </c>
      <c r="E1704" s="45" t="n">
        <f aca="false">Assumptions!$H$21^(MAX(0,E1697-Assumptions!$H$15)/4)</f>
        <v>1</v>
      </c>
      <c r="F1704" s="45" t="n">
        <f aca="false">Assumptions!$H$21^(MAX(0,F1697-Assumptions!$H$15)/4)</f>
        <v>1</v>
      </c>
      <c r="G1704" s="45" t="n">
        <f aca="false">Assumptions!$H$21^(MAX(0,G1697-Assumptions!$H$15)/4)</f>
        <v>1</v>
      </c>
      <c r="H1704" s="45" t="n">
        <f aca="false">Assumptions!$H$21^(MAX(0,H1697-Assumptions!$H$15)/4)</f>
        <v>1</v>
      </c>
      <c r="I1704" s="45" t="n">
        <f aca="false">Assumptions!$H$21^(MAX(0,I1697-Assumptions!$H$15)/4)</f>
        <v>1</v>
      </c>
      <c r="J1704" s="45" t="n">
        <f aca="false">Assumptions!$H$21^(MAX(0,J1697-Assumptions!$H$15)/4)</f>
        <v>0.9306048591021</v>
      </c>
      <c r="K1704" s="45" t="n">
        <f aca="false">Assumptions!$H$21^(MAX(0,K1697-Assumptions!$H$15)/4)</f>
        <v>0.866025403784439</v>
      </c>
      <c r="L1704" s="45" t="n">
        <f aca="false">Assumptions!$H$21^(MAX(0,L1697-Assumptions!$H$15)/4)</f>
        <v>0.805927448867656</v>
      </c>
      <c r="M1704" s="45" t="n">
        <f aca="false">Assumptions!$H$21^(MAX(0,M1697-Assumptions!$H$15)/4)</f>
        <v>0.75</v>
      </c>
      <c r="N1704" s="45" t="n">
        <f aca="false">Assumptions!$H$21^(MAX(0,N1697-Assumptions!$H$15)/4)</f>
        <v>0.697953644326575</v>
      </c>
      <c r="P1704" s="46"/>
      <c r="Q1704" s="46"/>
      <c r="R1704" s="46"/>
      <c r="S1704" s="47"/>
    </row>
    <row r="1705" customFormat="false" ht="15" hidden="false" customHeight="false" outlineLevel="0" collapsed="false">
      <c r="A1705" s="4" t="s">
        <v>484</v>
      </c>
      <c r="B1705" s="36" t="s">
        <v>485</v>
      </c>
      <c r="C1705" s="39" t="n">
        <f aca="false">$C$1676*C1699+$C$1680*C1700+$C$1684*C1701</f>
        <v>1371.907152</v>
      </c>
      <c r="D1705" s="39" t="n">
        <f aca="false">$C$1676*D1699+$C$1680*D1700+$C$1684*D1701</f>
        <v>2743.814304</v>
      </c>
      <c r="E1705" s="39" t="n">
        <f aca="false">$C$1676*E1699+$C$1680*E1700+$C$1684*E1701</f>
        <v>2743.814304</v>
      </c>
      <c r="F1705" s="39" t="n">
        <f aca="false">$C$1676*F1699+$C$1680*F1700+$C$1684*F1701</f>
        <v>2743.814304</v>
      </c>
      <c r="G1705" s="39" t="n">
        <f aca="false">$C$1676*G1699+$C$1680*G1700+$C$1684*G1701</f>
        <v>4099.55809725</v>
      </c>
      <c r="H1705" s="39" t="n">
        <f aca="false">$C$1676*H1699+$C$1680*H1700+$C$1684*H1701</f>
        <v>5455.3018905</v>
      </c>
      <c r="I1705" s="39" t="n">
        <f aca="false">$C$1676*I1699+$C$1680*I1700+$C$1684*I1701</f>
        <v>6853.51410975</v>
      </c>
      <c r="J1705" s="39" t="n">
        <f aca="false">$C$1676*J1699+$C$1680*J1700+$C$1684*J1701</f>
        <v>8251.726329</v>
      </c>
      <c r="K1705" s="39" t="n">
        <f aca="false">$C$1676*K1699+$C$1680*K1700+$C$1684*K1701</f>
        <v>8251.726329</v>
      </c>
      <c r="L1705" s="39" t="n">
        <f aca="false">$C$1676*L1699+$C$1680*L1700+$C$1684*L1701</f>
        <v>8251.726329</v>
      </c>
      <c r="M1705" s="39" t="n">
        <f aca="false">$C$1676*M1699+$C$1680*M1700+$C$1684*M1701</f>
        <v>8251.726329</v>
      </c>
      <c r="N1705" s="39" t="n">
        <f aca="false">$C$1676*N1699+$C$1680*N1700+$C$1684*N1701</f>
        <v>8251.726329</v>
      </c>
      <c r="P1705" s="40" t="n">
        <f aca="false">F1705</f>
        <v>2743.814304</v>
      </c>
      <c r="Q1705" s="40" t="n">
        <f aca="false">J1705</f>
        <v>8251.726329</v>
      </c>
      <c r="R1705" s="40" t="n">
        <f aca="false">N1705</f>
        <v>8251.726329</v>
      </c>
      <c r="S1705" s="41" t="n">
        <f aca="false">R1705</f>
        <v>8251.726329</v>
      </c>
    </row>
    <row r="1706" customFormat="false" ht="15" hidden="false" customHeight="false" outlineLevel="0" collapsed="false">
      <c r="A1706" s="4" t="s">
        <v>486</v>
      </c>
      <c r="B1706" s="36" t="s">
        <v>485</v>
      </c>
      <c r="C1706" s="39" t="n">
        <f aca="false">$C$1677*C1699+$C$1681*C1700+$C$1685*C1701</f>
        <v>280.265832</v>
      </c>
      <c r="D1706" s="39" t="n">
        <f aca="false">$C$1677*D1699+$C$1681*D1700+$C$1685*D1701</f>
        <v>560.531664</v>
      </c>
      <c r="E1706" s="39" t="n">
        <f aca="false">$C$1677*E1699+$C$1681*E1700+$C$1685*E1701</f>
        <v>560.531664</v>
      </c>
      <c r="F1706" s="39" t="n">
        <f aca="false">$C$1677*F1699+$C$1681*F1700+$C$1685*F1701</f>
        <v>560.531664</v>
      </c>
      <c r="G1706" s="39" t="n">
        <f aca="false">$C$1677*G1699+$C$1681*G1700+$C$1685*G1701</f>
        <v>839.7895275</v>
      </c>
      <c r="H1706" s="39" t="n">
        <f aca="false">$C$1677*H1699+$C$1681*H1700+$C$1685*H1701</f>
        <v>1119.047391</v>
      </c>
      <c r="I1706" s="39" t="n">
        <f aca="false">$C$1677*I1699+$C$1681*I1700+$C$1685*I1701</f>
        <v>1476.3474495</v>
      </c>
      <c r="J1706" s="39" t="n">
        <f aca="false">$C$1677*J1699+$C$1681*J1700+$C$1685*J1701</f>
        <v>1833.647508</v>
      </c>
      <c r="K1706" s="39" t="n">
        <f aca="false">$C$1677*K1699+$C$1681*K1700+$C$1685*K1701</f>
        <v>1833.647508</v>
      </c>
      <c r="L1706" s="39" t="n">
        <f aca="false">$C$1677*L1699+$C$1681*L1700+$C$1685*L1701</f>
        <v>1833.647508</v>
      </c>
      <c r="M1706" s="39" t="n">
        <f aca="false">$C$1677*M1699+$C$1681*M1700+$C$1685*M1701</f>
        <v>1833.647508</v>
      </c>
      <c r="N1706" s="39" t="n">
        <f aca="false">$C$1677*N1699+$C$1681*N1700+$C$1685*N1701</f>
        <v>1833.647508</v>
      </c>
      <c r="P1706" s="40" t="n">
        <f aca="false">F1706</f>
        <v>560.531664</v>
      </c>
      <c r="Q1706" s="40" t="n">
        <f aca="false">J1706</f>
        <v>1833.647508</v>
      </c>
      <c r="R1706" s="40" t="n">
        <f aca="false">N1706</f>
        <v>1833.647508</v>
      </c>
      <c r="S1706" s="41" t="n">
        <f aca="false">R1706</f>
        <v>1833.647508</v>
      </c>
    </row>
    <row r="1707" customFormat="false" ht="15" hidden="false" customHeight="false" outlineLevel="0" collapsed="false">
      <c r="A1707" s="4" t="s">
        <v>487</v>
      </c>
      <c r="B1707" s="36" t="s">
        <v>485</v>
      </c>
      <c r="C1707" s="39" t="n">
        <f aca="false">$C$1678*C1699+$C$1682*C1700+$C$1686*C1701</f>
        <v>65.170413</v>
      </c>
      <c r="D1707" s="39" t="n">
        <f aca="false">$C$1678*D1699+$C$1682*D1700+$C$1686*D1701</f>
        <v>130.340826</v>
      </c>
      <c r="E1707" s="39" t="n">
        <f aca="false">$C$1678*E1699+$C$1682*E1700+$C$1686*E1701</f>
        <v>130.340826</v>
      </c>
      <c r="F1707" s="39" t="n">
        <f aca="false">$C$1678*F1699+$C$1682*F1700+$C$1686*F1701</f>
        <v>130.340826</v>
      </c>
      <c r="G1707" s="39" t="n">
        <f aca="false">$C$1678*G1699+$C$1682*G1700+$C$1686*G1701</f>
        <v>187.428087</v>
      </c>
      <c r="H1707" s="39" t="n">
        <f aca="false">$C$1678*H1699+$C$1682*H1700+$C$1686*H1701</f>
        <v>244.515348</v>
      </c>
      <c r="I1707" s="39" t="n">
        <f aca="false">$C$1678*I1699+$C$1682*I1700+$C$1686*I1701</f>
        <v>319.789701</v>
      </c>
      <c r="J1707" s="39" t="n">
        <f aca="false">$C$1678*J1699+$C$1682*J1700+$C$1686*J1701</f>
        <v>395.064054</v>
      </c>
      <c r="K1707" s="39" t="n">
        <f aca="false">$C$1678*K1699+$C$1682*K1700+$C$1686*K1701</f>
        <v>395.064054</v>
      </c>
      <c r="L1707" s="39" t="n">
        <f aca="false">$C$1678*L1699+$C$1682*L1700+$C$1686*L1701</f>
        <v>395.064054</v>
      </c>
      <c r="M1707" s="39" t="n">
        <f aca="false">$C$1678*M1699+$C$1682*M1700+$C$1686*M1701</f>
        <v>395.064054</v>
      </c>
      <c r="N1707" s="39" t="n">
        <f aca="false">$C$1678*N1699+$C$1682*N1700+$C$1686*N1701</f>
        <v>395.064054</v>
      </c>
      <c r="P1707" s="40" t="n">
        <f aca="false">F1707</f>
        <v>130.340826</v>
      </c>
      <c r="Q1707" s="40" t="n">
        <f aca="false">J1707</f>
        <v>395.064054</v>
      </c>
      <c r="R1707" s="40" t="n">
        <f aca="false">N1707</f>
        <v>395.064054</v>
      </c>
      <c r="S1707" s="41" t="n">
        <f aca="false">R1707</f>
        <v>395.064054</v>
      </c>
    </row>
    <row r="1708" customFormat="false" ht="15" hidden="false" customHeight="false" outlineLevel="0" collapsed="false">
      <c r="A1708" s="4" t="s">
        <v>488</v>
      </c>
      <c r="B1708" s="36" t="s">
        <v>485</v>
      </c>
      <c r="C1708" s="39" t="n">
        <f aca="false">C1705+C1706+C1707</f>
        <v>1717.343397</v>
      </c>
      <c r="D1708" s="39" t="n">
        <f aca="false">D1705+D1706+D1707</f>
        <v>3434.686794</v>
      </c>
      <c r="E1708" s="39" t="n">
        <f aca="false">E1705+E1706+E1707</f>
        <v>3434.686794</v>
      </c>
      <c r="F1708" s="39" t="n">
        <f aca="false">F1705+F1706+F1707</f>
        <v>3434.686794</v>
      </c>
      <c r="G1708" s="39" t="n">
        <f aca="false">G1705+G1706+G1707</f>
        <v>5126.77571175</v>
      </c>
      <c r="H1708" s="39" t="n">
        <f aca="false">H1705+H1706+H1707</f>
        <v>6818.8646295</v>
      </c>
      <c r="I1708" s="39" t="n">
        <f aca="false">I1705+I1706+I1707</f>
        <v>8649.65126025</v>
      </c>
      <c r="J1708" s="39" t="n">
        <f aca="false">J1705+J1706+J1707</f>
        <v>10480.437891</v>
      </c>
      <c r="K1708" s="39" t="n">
        <f aca="false">K1705+K1706+K1707</f>
        <v>10480.437891</v>
      </c>
      <c r="L1708" s="39" t="n">
        <f aca="false">L1705+L1706+L1707</f>
        <v>10480.437891</v>
      </c>
      <c r="M1708" s="39" t="n">
        <f aca="false">M1705+M1706+M1707</f>
        <v>10480.437891</v>
      </c>
      <c r="N1708" s="39" t="n">
        <f aca="false">N1705+N1706+N1707</f>
        <v>10480.437891</v>
      </c>
      <c r="P1708" s="40" t="n">
        <f aca="false">F1708</f>
        <v>3434.686794</v>
      </c>
      <c r="Q1708" s="40" t="n">
        <f aca="false">J1708</f>
        <v>10480.437891</v>
      </c>
      <c r="R1708" s="40" t="n">
        <f aca="false">N1708</f>
        <v>10480.437891</v>
      </c>
      <c r="S1708" s="41" t="n">
        <f aca="false">R1708</f>
        <v>10480.437891</v>
      </c>
    </row>
    <row r="1709" customFormat="false" ht="15" hidden="false" customHeight="false" outlineLevel="0" collapsed="false">
      <c r="A1709" s="4" t="s">
        <v>489</v>
      </c>
      <c r="B1709" s="36" t="s">
        <v>485</v>
      </c>
      <c r="C1709" s="39" t="n">
        <f aca="false">$C$1679*C1699*C1702+$C$1683*C1700*C1703+$C$1687*C1701*C1704</f>
        <v>1717.343397</v>
      </c>
      <c r="D1709" s="39" t="n">
        <f aca="false">$C$1679*D1699*D1702+$C$1683*D1700*D1703+$C$1687*D1701*D1704</f>
        <v>3196.33621999021</v>
      </c>
      <c r="E1709" s="39" t="n">
        <f aca="false">$C$1679*E1699*E1702+$C$1683*E1700*E1703+$C$1687*E1701*E1704</f>
        <v>2974.52601764693</v>
      </c>
      <c r="F1709" s="39" t="n">
        <f aca="false">$C$1679*F1699*F1702+$C$1683*F1700*F1703+$C$1687*F1701*F1704</f>
        <v>2768.10836554785</v>
      </c>
      <c r="G1709" s="39" t="n">
        <f aca="false">$C$1679*G1699*G1702+$C$1683*G1700*G1703+$C$1687*G1701*G1704</f>
        <v>4268.10401325</v>
      </c>
      <c r="H1709" s="39" t="n">
        <f aca="false">$C$1679*H1699*H1702+$C$1683*H1700*H1703+$C$1687*H1701*H1704</f>
        <v>5546.58450277459</v>
      </c>
      <c r="I1709" s="39" t="n">
        <f aca="false">$C$1679*I1699*I1702+$C$1683*I1700*I1703+$C$1687*I1701*I1704</f>
        <v>6992.46512045243</v>
      </c>
      <c r="J1709" s="39" t="n">
        <f aca="false">$C$1679*J1699*J1702+$C$1683*J1700*J1703+$C$1687*J1701*J1704</f>
        <v>8210.96095275009</v>
      </c>
      <c r="K1709" s="39" t="n">
        <f aca="false">$C$1679*K1699*K1702+$C$1683*K1700*K1703+$C$1687*K1701*K1704</f>
        <v>7641.16016052684</v>
      </c>
      <c r="L1709" s="39" t="n">
        <f aca="false">$C$1679*L1699*L1702+$C$1683*L1700*L1703+$C$1687*L1701*L1704</f>
        <v>7110.90077456366</v>
      </c>
      <c r="M1709" s="39" t="n">
        <f aca="false">$C$1679*M1699*M1702+$C$1683*M1700*M1703+$C$1687*M1701*M1704</f>
        <v>6617.43881340182</v>
      </c>
      <c r="N1709" s="39" t="n">
        <f aca="false">$C$1679*N1699*N1702+$C$1683*N1700*N1703+$C$1687*N1701*N1704</f>
        <v>6158.22071456257</v>
      </c>
      <c r="P1709" s="40"/>
      <c r="Q1709" s="40"/>
      <c r="R1709" s="40"/>
      <c r="S1709" s="41"/>
    </row>
    <row r="1710" customFormat="false" ht="15" hidden="false" customHeight="false" outlineLevel="0" collapsed="false">
      <c r="A1710" s="4" t="s">
        <v>490</v>
      </c>
      <c r="B1710" s="36" t="s">
        <v>491</v>
      </c>
      <c r="C1710" s="48" t="n">
        <f aca="false">$C$1691*Assumptions!$H$20*C1698*C1709</f>
        <v>17.17343397</v>
      </c>
      <c r="D1710" s="48" t="n">
        <f aca="false">$C$1691*Assumptions!$H$20*D1698*D1709</f>
        <v>31.9633621999021</v>
      </c>
      <c r="E1710" s="48" t="n">
        <f aca="false">$C$1691*Assumptions!$H$20*E1698*E1709</f>
        <v>29.7452601764693</v>
      </c>
      <c r="F1710" s="48" t="n">
        <f aca="false">$C$1691*Assumptions!$H$20*F1698*F1709</f>
        <v>27.6810836554785</v>
      </c>
      <c r="G1710" s="48" t="n">
        <f aca="false">$C$1691*Assumptions!$H$20*G1698*G1709</f>
        <v>42.6810401325</v>
      </c>
      <c r="H1710" s="48" t="n">
        <f aca="false">$C$1691*Assumptions!$H$20*H1698*H1709</f>
        <v>55.4658450277459</v>
      </c>
      <c r="I1710" s="48" t="n">
        <f aca="false">$C$1691*Assumptions!$H$20*I1698*I1709</f>
        <v>69.9246512045243</v>
      </c>
      <c r="J1710" s="48" t="n">
        <f aca="false">$C$1691*Assumptions!$H$20*J1698*J1709</f>
        <v>82.1096095275009</v>
      </c>
      <c r="K1710" s="48" t="n">
        <f aca="false">$C$1691*Assumptions!$H$20*K1698*K1709</f>
        <v>76.4116016052684</v>
      </c>
      <c r="L1710" s="48" t="n">
        <f aca="false">$C$1691*Assumptions!$H$20*L1698*L1709</f>
        <v>71.1090077456366</v>
      </c>
      <c r="M1710" s="48" t="n">
        <f aca="false">$C$1691*Assumptions!$H$20*M1698*M1709</f>
        <v>66.1743881340183</v>
      </c>
      <c r="N1710" s="48" t="n">
        <f aca="false">$C$1691*Assumptions!$H$20*N1698*N1709</f>
        <v>61.5822071456257</v>
      </c>
      <c r="P1710" s="49" t="n">
        <f aca="false">SUM(C1710:F1710)</f>
        <v>106.56314000185</v>
      </c>
      <c r="Q1710" s="49" t="n">
        <f aca="false">SUM(G1710:J1710)</f>
        <v>250.181145892271</v>
      </c>
      <c r="R1710" s="49" t="n">
        <f aca="false">SUM(K1710:N1710)</f>
        <v>275.277204630549</v>
      </c>
      <c r="S1710" s="50" t="n">
        <f aca="false">SUM(P1710:R1710)</f>
        <v>632.02149052467</v>
      </c>
    </row>
    <row r="1711" customFormat="false" ht="15" hidden="false" customHeight="false" outlineLevel="0" collapsed="false">
      <c r="A1711" s="4" t="s">
        <v>492</v>
      </c>
      <c r="B1711" s="36" t="s">
        <v>321</v>
      </c>
      <c r="C1711" s="48" t="n">
        <f aca="false">Assumptions!$D$111</f>
        <v>0</v>
      </c>
      <c r="D1711" s="48" t="n">
        <f aca="false">Assumptions!$E$111</f>
        <v>0</v>
      </c>
      <c r="E1711" s="48" t="n">
        <f aca="false">Assumptions!$F$111</f>
        <v>0</v>
      </c>
      <c r="F1711" s="48" t="n">
        <f aca="false">Assumptions!$G$111</f>
        <v>0</v>
      </c>
      <c r="G1711" s="48" t="n">
        <f aca="false">Assumptions!$H$111</f>
        <v>0</v>
      </c>
      <c r="H1711" s="48" t="n">
        <f aca="false">Assumptions!$I$111</f>
        <v>0</v>
      </c>
      <c r="I1711" s="48" t="n">
        <f aca="false">Assumptions!$J$111</f>
        <v>0</v>
      </c>
      <c r="J1711" s="48" t="n">
        <f aca="false">Assumptions!$K$111</f>
        <v>0</v>
      </c>
      <c r="K1711" s="48" t="n">
        <f aca="false">Assumptions!$L$111</f>
        <v>0</v>
      </c>
      <c r="L1711" s="48" t="n">
        <f aca="false">Assumptions!$M$111</f>
        <v>0</v>
      </c>
      <c r="M1711" s="48" t="n">
        <f aca="false">Assumptions!$N$111</f>
        <v>0</v>
      </c>
      <c r="N1711" s="48" t="n">
        <f aca="false">Assumptions!$O$111</f>
        <v>0</v>
      </c>
      <c r="P1711" s="49" t="n">
        <f aca="false">F1711</f>
        <v>0</v>
      </c>
      <c r="Q1711" s="49" t="n">
        <f aca="false">J1711</f>
        <v>0</v>
      </c>
      <c r="R1711" s="49" t="n">
        <f aca="false">N1711</f>
        <v>0</v>
      </c>
      <c r="S1711" s="50" t="n">
        <f aca="false">R1711</f>
        <v>0</v>
      </c>
    </row>
    <row r="1712" customFormat="false" ht="15" hidden="false" customHeight="false" outlineLevel="0" collapsed="false">
      <c r="A1712" s="4" t="s">
        <v>493</v>
      </c>
      <c r="B1712" s="36" t="s">
        <v>321</v>
      </c>
      <c r="C1712" s="48" t="n">
        <f aca="false">0</f>
        <v>0</v>
      </c>
      <c r="D1712" s="48" t="n">
        <f aca="false">0.5*C1711</f>
        <v>0</v>
      </c>
      <c r="E1712" s="48" t="n">
        <f aca="false">C1711+0.5*(D1711-C1711)</f>
        <v>0</v>
      </c>
      <c r="F1712" s="48" t="n">
        <f aca="false">D1711+0.5*(E1711-D1711)</f>
        <v>0</v>
      </c>
      <c r="G1712" s="48" t="n">
        <f aca="false">E1711+0.5*(F1711-E1711)</f>
        <v>0</v>
      </c>
      <c r="H1712" s="48" t="n">
        <f aca="false">F1711+0.5*(G1711-F1711)</f>
        <v>0</v>
      </c>
      <c r="I1712" s="48" t="n">
        <f aca="false">G1711+0.5*(H1711-G1711)</f>
        <v>0</v>
      </c>
      <c r="J1712" s="48" t="n">
        <f aca="false">H1711+0.5*(I1711-H1711)</f>
        <v>0</v>
      </c>
      <c r="K1712" s="48" t="n">
        <f aca="false">I1711+0.5*(J1711-I1711)</f>
        <v>0</v>
      </c>
      <c r="L1712" s="48" t="n">
        <f aca="false">J1711+0.5*(K1711-J1711)</f>
        <v>0</v>
      </c>
      <c r="M1712" s="48" t="n">
        <f aca="false">K1711+0.5*(L1711-K1711)</f>
        <v>0</v>
      </c>
      <c r="N1712" s="48" t="n">
        <f aca="false">L1711+0.5*(M1711-L1711)</f>
        <v>0</v>
      </c>
      <c r="P1712" s="49" t="n">
        <f aca="false">F1712</f>
        <v>0</v>
      </c>
      <c r="Q1712" s="49" t="n">
        <f aca="false">J1712</f>
        <v>0</v>
      </c>
      <c r="R1712" s="49" t="n">
        <f aca="false">N1712</f>
        <v>0</v>
      </c>
      <c r="S1712" s="50" t="n">
        <f aca="false">R1712</f>
        <v>0</v>
      </c>
    </row>
    <row r="1713" customFormat="false" ht="15" hidden="false" customHeight="false" outlineLevel="0" collapsed="false">
      <c r="A1713" s="4" t="s">
        <v>494</v>
      </c>
      <c r="B1713" s="36" t="s">
        <v>485</v>
      </c>
      <c r="C1713" s="39" t="n">
        <f aca="false">MIN(C1712*Assumptions!$H$38,C1708*(1-$C$1691))</f>
        <v>0</v>
      </c>
      <c r="D1713" s="39" t="n">
        <f aca="false">MIN(D1712*Assumptions!$H$38,D1708*(1-$C$1691))</f>
        <v>0</v>
      </c>
      <c r="E1713" s="39" t="n">
        <f aca="false">MIN(E1712*Assumptions!$H$38,E1708*(1-$C$1691))</f>
        <v>0</v>
      </c>
      <c r="F1713" s="39" t="n">
        <f aca="false">MIN(F1712*Assumptions!$H$38,F1708*(1-$C$1691))</f>
        <v>0</v>
      </c>
      <c r="G1713" s="39" t="n">
        <f aca="false">MIN(G1712*Assumptions!$H$38,G1708*(1-$C$1691))</f>
        <v>0</v>
      </c>
      <c r="H1713" s="39" t="n">
        <f aca="false">MIN(H1712*Assumptions!$H$38,H1708*(1-$C$1691))</f>
        <v>0</v>
      </c>
      <c r="I1713" s="39" t="n">
        <f aca="false">MIN(I1712*Assumptions!$H$38,I1708*(1-$C$1691))</f>
        <v>0</v>
      </c>
      <c r="J1713" s="39" t="n">
        <f aca="false">MIN(J1712*Assumptions!$H$38,J1708*(1-$C$1691))</f>
        <v>0</v>
      </c>
      <c r="K1713" s="39" t="n">
        <f aca="false">MIN(K1712*Assumptions!$H$38,K1708*(1-$C$1691))</f>
        <v>0</v>
      </c>
      <c r="L1713" s="39" t="n">
        <f aca="false">MIN(L1712*Assumptions!$H$38,L1708*(1-$C$1691))</f>
        <v>0</v>
      </c>
      <c r="M1713" s="39" t="n">
        <f aca="false">MIN(M1712*Assumptions!$H$38,M1708*(1-$C$1691))</f>
        <v>0</v>
      </c>
      <c r="N1713" s="39" t="n">
        <f aca="false">MIN(N1712*Assumptions!$H$38,N1708*(1-$C$1691))</f>
        <v>0</v>
      </c>
      <c r="P1713" s="40" t="n">
        <f aca="false">SUM(C1713:F1713)</f>
        <v>0</v>
      </c>
      <c r="Q1713" s="40" t="n">
        <f aca="false">SUM(G1713:J1713)</f>
        <v>0</v>
      </c>
      <c r="R1713" s="40" t="n">
        <f aca="false">SUM(K1713:N1713)</f>
        <v>0</v>
      </c>
      <c r="S1713" s="41" t="n">
        <f aca="false">SUM(P1713:R1713)</f>
        <v>0</v>
      </c>
    </row>
    <row r="1714" customFormat="false" ht="15" hidden="false" customHeight="false" outlineLevel="0" collapsed="false">
      <c r="A1714" s="4" t="s">
        <v>495</v>
      </c>
      <c r="B1714" s="36" t="s">
        <v>491</v>
      </c>
      <c r="C1714" s="48" t="n">
        <f aca="false">C1713*Assumptions!$H$20*Assumptions!$H$39*IF(C1708&gt;0,C1709/C1708,0)*C1698</f>
        <v>0</v>
      </c>
      <c r="D1714" s="48" t="n">
        <f aca="false">D1713*Assumptions!$H$20*Assumptions!$H$39*IF(D1708&gt;0,D1709/D1708,0)*D1698</f>
        <v>0</v>
      </c>
      <c r="E1714" s="48" t="n">
        <f aca="false">E1713*Assumptions!$H$20*Assumptions!$H$39*IF(E1708&gt;0,E1709/E1708,0)*E1698</f>
        <v>0</v>
      </c>
      <c r="F1714" s="48" t="n">
        <f aca="false">F1713*Assumptions!$H$20*Assumptions!$H$39*IF(F1708&gt;0,F1709/F1708,0)*F1698</f>
        <v>0</v>
      </c>
      <c r="G1714" s="48" t="n">
        <f aca="false">G1713*Assumptions!$H$20*Assumptions!$H$39*IF(G1708&gt;0,G1709/G1708,0)*G1698</f>
        <v>0</v>
      </c>
      <c r="H1714" s="48" t="n">
        <f aca="false">H1713*Assumptions!$H$20*Assumptions!$H$39*IF(H1708&gt;0,H1709/H1708,0)*H1698</f>
        <v>0</v>
      </c>
      <c r="I1714" s="48" t="n">
        <f aca="false">I1713*Assumptions!$H$20*Assumptions!$H$39*IF(I1708&gt;0,I1709/I1708,0)*I1698</f>
        <v>0</v>
      </c>
      <c r="J1714" s="48" t="n">
        <f aca="false">J1713*Assumptions!$H$20*Assumptions!$H$39*IF(J1708&gt;0,J1709/J1708,0)*J1698</f>
        <v>0</v>
      </c>
      <c r="K1714" s="48" t="n">
        <f aca="false">K1713*Assumptions!$H$20*Assumptions!$H$39*IF(K1708&gt;0,K1709/K1708,0)*K1698</f>
        <v>0</v>
      </c>
      <c r="L1714" s="48" t="n">
        <f aca="false">L1713*Assumptions!$H$20*Assumptions!$H$39*IF(L1708&gt;0,L1709/L1708,0)*L1698</f>
        <v>0</v>
      </c>
      <c r="M1714" s="48" t="n">
        <f aca="false">M1713*Assumptions!$H$20*Assumptions!$H$39*IF(M1708&gt;0,M1709/M1708,0)*M1698</f>
        <v>0</v>
      </c>
      <c r="N1714" s="48" t="n">
        <f aca="false">N1713*Assumptions!$H$20*Assumptions!$H$39*IF(N1708&gt;0,N1709/N1708,0)*N1698</f>
        <v>0</v>
      </c>
      <c r="P1714" s="49" t="n">
        <f aca="false">SUM(C1714:F1714)</f>
        <v>0</v>
      </c>
      <c r="Q1714" s="49" t="n">
        <f aca="false">SUM(G1714:J1714)</f>
        <v>0</v>
      </c>
      <c r="R1714" s="49" t="n">
        <f aca="false">SUM(K1714:N1714)</f>
        <v>0</v>
      </c>
      <c r="S1714" s="50" t="n">
        <f aca="false">SUM(P1714:R1714)</f>
        <v>0</v>
      </c>
    </row>
    <row r="1715" customFormat="false" ht="15" hidden="false" customHeight="false" outlineLevel="0" collapsed="false">
      <c r="A1715" s="4" t="s">
        <v>496</v>
      </c>
      <c r="B1715" s="36" t="s">
        <v>497</v>
      </c>
      <c r="C1715" s="48" t="n">
        <f aca="false">IF(AND(C1708&gt;0,$C$1695&gt;0),C1708*Assumptions!$H$24*(1-EXP(-$C$1695/(Assumptions!$H$23*C1708*Assumptions!$H$24))),0)</f>
        <v>0</v>
      </c>
      <c r="D1715" s="48" t="n">
        <f aca="false">IF(AND(D1708&gt;0,$C$1695&gt;0),D1708*Assumptions!$H$24*(1-EXP(-$C$1695/(Assumptions!$H$23*D1708*Assumptions!$H$24))),0)</f>
        <v>0</v>
      </c>
      <c r="E1715" s="48" t="n">
        <f aca="false">IF(AND(E1708&gt;0,$C$1695&gt;0),E1708*Assumptions!$H$24*(1-EXP(-$C$1695/(Assumptions!$H$23*E1708*Assumptions!$H$24))),0)</f>
        <v>0</v>
      </c>
      <c r="F1715" s="48" t="n">
        <f aca="false">IF(AND(F1708&gt;0,$C$1695&gt;0),F1708*Assumptions!$H$24*(1-EXP(-$C$1695/(Assumptions!$H$23*F1708*Assumptions!$H$24))),0)</f>
        <v>0</v>
      </c>
      <c r="G1715" s="48" t="n">
        <f aca="false">IF(AND(G1708&gt;0,$C$1695&gt;0),G1708*Assumptions!$H$24*(1-EXP(-$C$1695/(Assumptions!$H$23*G1708*Assumptions!$H$24))),0)</f>
        <v>0</v>
      </c>
      <c r="H1715" s="48" t="n">
        <f aca="false">IF(AND(H1708&gt;0,$C$1695&gt;0),H1708*Assumptions!$H$24*(1-EXP(-$C$1695/(Assumptions!$H$23*H1708*Assumptions!$H$24))),0)</f>
        <v>0</v>
      </c>
      <c r="I1715" s="48" t="n">
        <f aca="false">IF(AND(I1708&gt;0,$C$1695&gt;0),I1708*Assumptions!$H$24*(1-EXP(-$C$1695/(Assumptions!$H$23*I1708*Assumptions!$H$24))),0)</f>
        <v>0</v>
      </c>
      <c r="J1715" s="48" t="n">
        <f aca="false">IF(AND(J1708&gt;0,$C$1695&gt;0),J1708*Assumptions!$H$24*(1-EXP(-$C$1695/(Assumptions!$H$23*J1708*Assumptions!$H$24))),0)</f>
        <v>0</v>
      </c>
      <c r="K1715" s="48" t="n">
        <f aca="false">IF(AND(K1708&gt;0,$C$1695&gt;0),K1708*Assumptions!$H$24*(1-EXP(-$C$1695/(Assumptions!$H$23*K1708*Assumptions!$H$24))),0)</f>
        <v>0</v>
      </c>
      <c r="L1715" s="48" t="n">
        <f aca="false">IF(AND(L1708&gt;0,$C$1695&gt;0),L1708*Assumptions!$H$24*(1-EXP(-$C$1695/(Assumptions!$H$23*L1708*Assumptions!$H$24))),0)</f>
        <v>0</v>
      </c>
      <c r="M1715" s="48" t="n">
        <f aca="false">IF(AND(M1708&gt;0,$C$1695&gt;0),M1708*Assumptions!$H$24*(1-EXP(-$C$1695/(Assumptions!$H$23*M1708*Assumptions!$H$24))),0)</f>
        <v>0</v>
      </c>
      <c r="N1715" s="48" t="n">
        <f aca="false">IF(AND(N1708&gt;0,$C$1695&gt;0),N1708*Assumptions!$H$24*(1-EXP(-$C$1695/(Assumptions!$H$23*N1708*Assumptions!$H$24))),0)</f>
        <v>0</v>
      </c>
      <c r="P1715" s="49" t="n">
        <f aca="false">SUM(C1715:F1715)</f>
        <v>0</v>
      </c>
      <c r="Q1715" s="49" t="n">
        <f aca="false">SUM(G1715:J1715)</f>
        <v>0</v>
      </c>
      <c r="R1715" s="49" t="n">
        <f aca="false">SUM(K1715:N1715)</f>
        <v>0</v>
      </c>
      <c r="S1715" s="50" t="n">
        <f aca="false">SUM(P1715:R1715)</f>
        <v>0</v>
      </c>
    </row>
    <row r="1716" customFormat="false" ht="15" hidden="false" customHeight="false" outlineLevel="0" collapsed="false">
      <c r="A1716" s="4" t="s">
        <v>498</v>
      </c>
      <c r="B1716" s="36" t="s">
        <v>497</v>
      </c>
      <c r="C1716" s="48" t="n">
        <f aca="false">(C1708*Assumptions!$H$22*MIN(1,Assumptions!$D$103/Assumptions!$H$78)+C1715)*C1698</f>
        <v>25.760150955</v>
      </c>
      <c r="D1716" s="48" t="n">
        <f aca="false">(D1708*Assumptions!$H$22*MIN(1,Assumptions!$D$103/Assumptions!$H$78)+D1715)*D1698</f>
        <v>51.52030191</v>
      </c>
      <c r="E1716" s="48" t="n">
        <f aca="false">(E1708*Assumptions!$H$22*MIN(1,Assumptions!$D$103/Assumptions!$H$78)+E1715)*E1698</f>
        <v>51.52030191</v>
      </c>
      <c r="F1716" s="48" t="n">
        <f aca="false">(F1708*Assumptions!$H$22*MIN(1,Assumptions!$D$103/Assumptions!$H$78)+F1715)*F1698</f>
        <v>51.52030191</v>
      </c>
      <c r="G1716" s="48" t="n">
        <f aca="false">(G1708*Assumptions!$H$22*MIN(1,Assumptions!$D$103/Assumptions!$H$78)+G1715)*G1698</f>
        <v>76.90163567625</v>
      </c>
      <c r="H1716" s="48" t="n">
        <f aca="false">(H1708*Assumptions!$H$22*MIN(1,Assumptions!$D$103/Assumptions!$H$78)+H1715)*H1698</f>
        <v>102.2829694425</v>
      </c>
      <c r="I1716" s="48" t="n">
        <f aca="false">(I1708*Assumptions!$H$22*MIN(1,Assumptions!$D$103/Assumptions!$H$78)+I1715)*I1698</f>
        <v>129.74476890375</v>
      </c>
      <c r="J1716" s="48" t="n">
        <f aca="false">(J1708*Assumptions!$H$22*MIN(1,Assumptions!$D$103/Assumptions!$H$78)+J1715)*J1698</f>
        <v>157.206568365</v>
      </c>
      <c r="K1716" s="48" t="n">
        <f aca="false">(K1708*Assumptions!$H$22*MIN(1,Assumptions!$D$103/Assumptions!$H$78)+K1715)*K1698</f>
        <v>157.206568365</v>
      </c>
      <c r="L1716" s="48" t="n">
        <f aca="false">(L1708*Assumptions!$H$22*MIN(1,Assumptions!$D$103/Assumptions!$H$78)+L1715)*L1698</f>
        <v>157.206568365</v>
      </c>
      <c r="M1716" s="48" t="n">
        <f aca="false">(M1708*Assumptions!$H$22*MIN(1,Assumptions!$D$103/Assumptions!$H$78)+M1715)*M1698</f>
        <v>157.206568365</v>
      </c>
      <c r="N1716" s="48" t="n">
        <f aca="false">(N1708*Assumptions!$H$22*MIN(1,Assumptions!$D$103/Assumptions!$H$78)+N1715)*N1698</f>
        <v>157.206568365</v>
      </c>
      <c r="P1716" s="49" t="n">
        <f aca="false">SUM(C1716:F1716)</f>
        <v>180.321056685</v>
      </c>
      <c r="Q1716" s="49" t="n">
        <f aca="false">SUM(G1716:J1716)</f>
        <v>466.1359423875</v>
      </c>
      <c r="R1716" s="49" t="n">
        <f aca="false">SUM(K1716:N1716)</f>
        <v>628.82627346</v>
      </c>
      <c r="S1716" s="50" t="n">
        <f aca="false">SUM(P1716:R1716)</f>
        <v>1275.2832725325</v>
      </c>
    </row>
    <row r="1717" customFormat="false" ht="15" hidden="false" customHeight="false" outlineLevel="0" collapsed="false">
      <c r="A1717" s="4" t="s">
        <v>499</v>
      </c>
      <c r="B1717" s="36" t="s">
        <v>500</v>
      </c>
      <c r="C1717" s="48" t="n">
        <f aca="false">C1698*MIN(Assumptions!$H$27,Assumptions!$H$25+Assumptions!$H$26*(C1697-1))*Assumptions!$D$107</f>
        <v>3</v>
      </c>
      <c r="D1717" s="48" t="n">
        <f aca="false">D1698*MIN(Assumptions!$H$27,Assumptions!$H$25+Assumptions!$H$26*(D1697-1))*Assumptions!$D$107</f>
        <v>4</v>
      </c>
      <c r="E1717" s="48" t="n">
        <f aca="false">E1698*MIN(Assumptions!$H$27,Assumptions!$H$25+Assumptions!$H$26*(E1697-1))*Assumptions!$D$107</f>
        <v>5</v>
      </c>
      <c r="F1717" s="48" t="n">
        <f aca="false">F1698*MIN(Assumptions!$H$27,Assumptions!$H$25+Assumptions!$H$26*(F1697-1))*Assumptions!$D$107</f>
        <v>6</v>
      </c>
      <c r="G1717" s="48" t="n">
        <f aca="false">G1698*MIN(Assumptions!$H$27,Assumptions!$H$25+Assumptions!$H$26*(G1697-1))*Assumptions!$D$107</f>
        <v>7</v>
      </c>
      <c r="H1717" s="48" t="n">
        <f aca="false">H1698*MIN(Assumptions!$H$27,Assumptions!$H$25+Assumptions!$H$26*(H1697-1))*Assumptions!$D$107</f>
        <v>8</v>
      </c>
      <c r="I1717" s="48" t="n">
        <f aca="false">I1698*MIN(Assumptions!$H$27,Assumptions!$H$25+Assumptions!$H$26*(I1697-1))*Assumptions!$D$107</f>
        <v>9</v>
      </c>
      <c r="J1717" s="48" t="n">
        <f aca="false">J1698*MIN(Assumptions!$H$27,Assumptions!$H$25+Assumptions!$H$26*(J1697-1))*Assumptions!$D$107</f>
        <v>10</v>
      </c>
      <c r="K1717" s="48" t="n">
        <f aca="false">K1698*MIN(Assumptions!$H$27,Assumptions!$H$25+Assumptions!$H$26*(K1697-1))*Assumptions!$D$107</f>
        <v>10</v>
      </c>
      <c r="L1717" s="48" t="n">
        <f aca="false">L1698*MIN(Assumptions!$H$27,Assumptions!$H$25+Assumptions!$H$26*(L1697-1))*Assumptions!$D$107</f>
        <v>10</v>
      </c>
      <c r="M1717" s="48" t="n">
        <f aca="false">M1698*MIN(Assumptions!$H$27,Assumptions!$H$25+Assumptions!$H$26*(M1697-1))*Assumptions!$D$107</f>
        <v>10</v>
      </c>
      <c r="N1717" s="48" t="n">
        <f aca="false">N1698*MIN(Assumptions!$H$27,Assumptions!$H$25+Assumptions!$H$26*(N1697-1))*Assumptions!$D$107</f>
        <v>10</v>
      </c>
      <c r="P1717" s="49" t="n">
        <f aca="false">F1717</f>
        <v>6</v>
      </c>
      <c r="Q1717" s="49" t="n">
        <f aca="false">J1717</f>
        <v>10</v>
      </c>
      <c r="R1717" s="49" t="n">
        <f aca="false">N1717</f>
        <v>10</v>
      </c>
      <c r="S1717" s="50" t="n">
        <f aca="false">R1717</f>
        <v>10</v>
      </c>
    </row>
    <row r="1718" customFormat="false" ht="15" hidden="false" customHeight="false" outlineLevel="0" collapsed="false">
      <c r="A1718" s="4" t="s">
        <v>501</v>
      </c>
      <c r="B1718" s="36" t="s">
        <v>502</v>
      </c>
      <c r="C1718" s="48" t="n">
        <f aca="false">C1717*Assumptions!$H$28</f>
        <v>9</v>
      </c>
      <c r="D1718" s="48" t="n">
        <f aca="false">D1717*Assumptions!$H$28</f>
        <v>12</v>
      </c>
      <c r="E1718" s="48" t="n">
        <f aca="false">E1717*Assumptions!$H$28</f>
        <v>15</v>
      </c>
      <c r="F1718" s="48" t="n">
        <f aca="false">F1717*Assumptions!$H$28</f>
        <v>18</v>
      </c>
      <c r="G1718" s="48" t="n">
        <f aca="false">G1717*Assumptions!$H$28</f>
        <v>21</v>
      </c>
      <c r="H1718" s="48" t="n">
        <f aca="false">H1717*Assumptions!$H$28</f>
        <v>24</v>
      </c>
      <c r="I1718" s="48" t="n">
        <f aca="false">I1717*Assumptions!$H$28</f>
        <v>27</v>
      </c>
      <c r="J1718" s="48" t="n">
        <f aca="false">J1717*Assumptions!$H$28</f>
        <v>30</v>
      </c>
      <c r="K1718" s="48" t="n">
        <f aca="false">K1717*Assumptions!$H$28</f>
        <v>30</v>
      </c>
      <c r="L1718" s="48" t="n">
        <f aca="false">L1717*Assumptions!$H$28</f>
        <v>30</v>
      </c>
      <c r="M1718" s="48" t="n">
        <f aca="false">M1717*Assumptions!$H$28</f>
        <v>30</v>
      </c>
      <c r="N1718" s="48" t="n">
        <f aca="false">N1717*Assumptions!$H$28</f>
        <v>30</v>
      </c>
      <c r="P1718" s="49" t="n">
        <f aca="false">SUM(C1718:F1718)</f>
        <v>54</v>
      </c>
      <c r="Q1718" s="49" t="n">
        <f aca="false">SUM(G1718:J1718)</f>
        <v>102</v>
      </c>
      <c r="R1718" s="49" t="n">
        <f aca="false">SUM(K1718:N1718)</f>
        <v>120</v>
      </c>
      <c r="S1718" s="50" t="n">
        <f aca="false">SUM(P1718:R1718)</f>
        <v>276</v>
      </c>
    </row>
    <row r="1719" customFormat="false" ht="15" hidden="false" customHeight="false" outlineLevel="0" collapsed="false">
      <c r="A1719" s="4" t="s">
        <v>503</v>
      </c>
      <c r="B1719" s="36" t="s">
        <v>504</v>
      </c>
      <c r="C1719" s="48" t="n">
        <f aca="false">(C1710+C1714)*Assumptions!$H$29</f>
        <v>6.869373588</v>
      </c>
      <c r="D1719" s="48" t="n">
        <f aca="false">(D1710+D1714)*Assumptions!$H$29</f>
        <v>12.7853448799609</v>
      </c>
      <c r="E1719" s="48" t="n">
        <f aca="false">(E1710+E1714)*Assumptions!$H$29</f>
        <v>11.8981040705877</v>
      </c>
      <c r="F1719" s="48" t="n">
        <f aca="false">(F1710+F1714)*Assumptions!$H$29</f>
        <v>11.0724334621914</v>
      </c>
      <c r="G1719" s="48" t="n">
        <f aca="false">(G1710+G1714)*Assumptions!$H$29</f>
        <v>17.072416053</v>
      </c>
      <c r="H1719" s="48" t="n">
        <f aca="false">(H1710+H1714)*Assumptions!$H$29</f>
        <v>22.1863380110983</v>
      </c>
      <c r="I1719" s="48" t="n">
        <f aca="false">(I1710+I1714)*Assumptions!$H$29</f>
        <v>27.9698604818097</v>
      </c>
      <c r="J1719" s="48" t="n">
        <f aca="false">(J1710+J1714)*Assumptions!$H$29</f>
        <v>32.8438438110004</v>
      </c>
      <c r="K1719" s="48" t="n">
        <f aca="false">(K1710+K1714)*Assumptions!$H$29</f>
        <v>30.5646406421074</v>
      </c>
      <c r="L1719" s="48" t="n">
        <f aca="false">(L1710+L1714)*Assumptions!$H$29</f>
        <v>28.4436030982546</v>
      </c>
      <c r="M1719" s="48" t="n">
        <f aca="false">(M1710+M1714)*Assumptions!$H$29</f>
        <v>26.4697552536073</v>
      </c>
      <c r="N1719" s="48" t="n">
        <f aca="false">(N1710+N1714)*Assumptions!$H$29</f>
        <v>24.6328828582503</v>
      </c>
      <c r="P1719" s="49" t="n">
        <f aca="false">SUM(C1719:F1719)</f>
        <v>42.62525600074</v>
      </c>
      <c r="Q1719" s="49" t="n">
        <f aca="false">SUM(G1719:J1719)</f>
        <v>100.072458356908</v>
      </c>
      <c r="R1719" s="49" t="n">
        <f aca="false">SUM(K1719:N1719)</f>
        <v>110.11088185222</v>
      </c>
      <c r="S1719" s="50" t="n">
        <f aca="false">SUM(P1719:R1719)</f>
        <v>252.808596209868</v>
      </c>
    </row>
    <row r="1720" customFormat="false" ht="15" hidden="false" customHeight="false" outlineLevel="0" collapsed="false">
      <c r="A1720" s="4" t="s">
        <v>505</v>
      </c>
      <c r="B1720" s="36" t="s">
        <v>504</v>
      </c>
      <c r="C1720" s="48" t="n">
        <f aca="false">C1716*Assumptions!$H$31</f>
        <v>4.1216241528</v>
      </c>
      <c r="D1720" s="48" t="n">
        <f aca="false">D1716*Assumptions!$H$31</f>
        <v>8.2432483056</v>
      </c>
      <c r="E1720" s="48" t="n">
        <f aca="false">E1716*Assumptions!$H$31</f>
        <v>8.2432483056</v>
      </c>
      <c r="F1720" s="48" t="n">
        <f aca="false">F1716*Assumptions!$H$31</f>
        <v>8.2432483056</v>
      </c>
      <c r="G1720" s="48" t="n">
        <f aca="false">G1716*Assumptions!$H$31</f>
        <v>12.3042617082</v>
      </c>
      <c r="H1720" s="48" t="n">
        <f aca="false">H1716*Assumptions!$H$31</f>
        <v>16.3652751108</v>
      </c>
      <c r="I1720" s="48" t="n">
        <f aca="false">I1716*Assumptions!$H$31</f>
        <v>20.7591630246</v>
      </c>
      <c r="J1720" s="48" t="n">
        <f aca="false">J1716*Assumptions!$H$31</f>
        <v>25.1530509384</v>
      </c>
      <c r="K1720" s="48" t="n">
        <f aca="false">K1716*Assumptions!$H$31</f>
        <v>25.1530509384</v>
      </c>
      <c r="L1720" s="48" t="n">
        <f aca="false">L1716*Assumptions!$H$31</f>
        <v>25.1530509384</v>
      </c>
      <c r="M1720" s="48" t="n">
        <f aca="false">M1716*Assumptions!$H$31</f>
        <v>25.1530509384</v>
      </c>
      <c r="N1720" s="48" t="n">
        <f aca="false">N1716*Assumptions!$H$31</f>
        <v>25.1530509384</v>
      </c>
      <c r="P1720" s="49" t="n">
        <f aca="false">SUM(C1720:F1720)</f>
        <v>28.8513690696</v>
      </c>
      <c r="Q1720" s="49" t="n">
        <f aca="false">SUM(G1720:J1720)</f>
        <v>74.581750782</v>
      </c>
      <c r="R1720" s="49" t="n">
        <f aca="false">SUM(K1720:N1720)</f>
        <v>100.6122037536</v>
      </c>
      <c r="S1720" s="50" t="n">
        <f aca="false">SUM(P1720:R1720)</f>
        <v>204.0453236052</v>
      </c>
    </row>
    <row r="1721" customFormat="false" ht="15" hidden="false" customHeight="false" outlineLevel="0" collapsed="false">
      <c r="A1721" s="4" t="s">
        <v>506</v>
      </c>
      <c r="B1721" s="36" t="s">
        <v>504</v>
      </c>
      <c r="C1721" s="48" t="n">
        <f aca="false">C1718*Assumptions!$H$30</f>
        <v>4.5</v>
      </c>
      <c r="D1721" s="48" t="n">
        <f aca="false">D1718*Assumptions!$H$30</f>
        <v>6</v>
      </c>
      <c r="E1721" s="48" t="n">
        <f aca="false">E1718*Assumptions!$H$30</f>
        <v>7.5</v>
      </c>
      <c r="F1721" s="48" t="n">
        <f aca="false">F1718*Assumptions!$H$30</f>
        <v>9</v>
      </c>
      <c r="G1721" s="48" t="n">
        <f aca="false">G1718*Assumptions!$H$30</f>
        <v>10.5</v>
      </c>
      <c r="H1721" s="48" t="n">
        <f aca="false">H1718*Assumptions!$H$30</f>
        <v>12</v>
      </c>
      <c r="I1721" s="48" t="n">
        <f aca="false">I1718*Assumptions!$H$30</f>
        <v>13.5</v>
      </c>
      <c r="J1721" s="48" t="n">
        <f aca="false">J1718*Assumptions!$H$30</f>
        <v>15</v>
      </c>
      <c r="K1721" s="48" t="n">
        <f aca="false">K1718*Assumptions!$H$30</f>
        <v>15</v>
      </c>
      <c r="L1721" s="48" t="n">
        <f aca="false">L1718*Assumptions!$H$30</f>
        <v>15</v>
      </c>
      <c r="M1721" s="48" t="n">
        <f aca="false">M1718*Assumptions!$H$30</f>
        <v>15</v>
      </c>
      <c r="N1721" s="48" t="n">
        <f aca="false">N1718*Assumptions!$H$30</f>
        <v>15</v>
      </c>
      <c r="P1721" s="49" t="n">
        <f aca="false">SUM(C1721:F1721)</f>
        <v>27</v>
      </c>
      <c r="Q1721" s="49" t="n">
        <f aca="false">SUM(G1721:J1721)</f>
        <v>51</v>
      </c>
      <c r="R1721" s="49" t="n">
        <f aca="false">SUM(K1721:N1721)</f>
        <v>60</v>
      </c>
      <c r="S1721" s="50" t="n">
        <f aca="false">SUM(P1721:R1721)</f>
        <v>138</v>
      </c>
    </row>
    <row r="1722" customFormat="false" ht="15" hidden="false" customHeight="false" outlineLevel="0" collapsed="false">
      <c r="A1722" s="9" t="s">
        <v>507</v>
      </c>
      <c r="B1722" s="36" t="s">
        <v>504</v>
      </c>
      <c r="C1722" s="49" t="n">
        <f aca="false">C1719+C1720+C1721</f>
        <v>15.4909977408</v>
      </c>
      <c r="D1722" s="49" t="n">
        <f aca="false">D1719+D1720+D1721</f>
        <v>27.0285931855609</v>
      </c>
      <c r="E1722" s="49" t="n">
        <f aca="false">E1719+E1720+E1721</f>
        <v>27.6413523761877</v>
      </c>
      <c r="F1722" s="49" t="n">
        <f aca="false">F1719+F1720+F1721</f>
        <v>28.3156817677914</v>
      </c>
      <c r="G1722" s="49" t="n">
        <f aca="false">G1719+G1720+G1721</f>
        <v>39.8766777612</v>
      </c>
      <c r="H1722" s="49" t="n">
        <f aca="false">H1719+H1720+H1721</f>
        <v>50.5516131218984</v>
      </c>
      <c r="I1722" s="49" t="n">
        <f aca="false">I1719+I1720+I1721</f>
        <v>62.2290235064097</v>
      </c>
      <c r="J1722" s="49" t="n">
        <f aca="false">J1719+J1720+J1721</f>
        <v>72.9968947494004</v>
      </c>
      <c r="K1722" s="49" t="n">
        <f aca="false">K1719+K1720+K1721</f>
        <v>70.7176915805074</v>
      </c>
      <c r="L1722" s="49" t="n">
        <f aca="false">L1719+L1720+L1721</f>
        <v>68.5966540366546</v>
      </c>
      <c r="M1722" s="49" t="n">
        <f aca="false">M1719+M1720+M1721</f>
        <v>66.6228061920073</v>
      </c>
      <c r="N1722" s="49" t="n">
        <f aca="false">N1719+N1720+N1721</f>
        <v>64.7859337966503</v>
      </c>
      <c r="P1722" s="49" t="n">
        <f aca="false">SUM(C1722:F1722)</f>
        <v>98.47662507034</v>
      </c>
      <c r="Q1722" s="49" t="n">
        <f aca="false">SUM(G1722:J1722)</f>
        <v>225.654209138908</v>
      </c>
      <c r="R1722" s="49" t="n">
        <f aca="false">SUM(K1722:N1722)</f>
        <v>270.72308560582</v>
      </c>
      <c r="S1722" s="50" t="n">
        <f aca="false">SUM(P1722:R1722)</f>
        <v>594.853919815068</v>
      </c>
    </row>
    <row r="1723" customFormat="false" ht="15" hidden="false" customHeight="false" outlineLevel="0" collapsed="false">
      <c r="A1723" s="4" t="s">
        <v>508</v>
      </c>
      <c r="B1723" s="36" t="s">
        <v>509</v>
      </c>
      <c r="C1723" s="48" t="n">
        <f aca="false">C1705</f>
        <v>1371.907152</v>
      </c>
      <c r="D1723" s="48" t="n">
        <f aca="false">D1705</f>
        <v>2743.814304</v>
      </c>
      <c r="E1723" s="48" t="n">
        <f aca="false">E1705</f>
        <v>2743.814304</v>
      </c>
      <c r="F1723" s="48" t="n">
        <f aca="false">F1705</f>
        <v>2743.814304</v>
      </c>
      <c r="G1723" s="48" t="n">
        <f aca="false">G1705</f>
        <v>4099.55809725</v>
      </c>
      <c r="H1723" s="48" t="n">
        <f aca="false">H1705</f>
        <v>5455.3018905</v>
      </c>
      <c r="I1723" s="48" t="n">
        <f aca="false">I1705</f>
        <v>6853.51410975</v>
      </c>
      <c r="J1723" s="48" t="n">
        <f aca="false">J1705</f>
        <v>8251.726329</v>
      </c>
      <c r="K1723" s="48" t="n">
        <f aca="false">K1705</f>
        <v>8251.726329</v>
      </c>
      <c r="L1723" s="48" t="n">
        <f aca="false">L1705</f>
        <v>8251.726329</v>
      </c>
      <c r="M1723" s="48" t="n">
        <f aca="false">M1705</f>
        <v>8251.726329</v>
      </c>
      <c r="N1723" s="48" t="n">
        <f aca="false">N1705</f>
        <v>8251.726329</v>
      </c>
      <c r="P1723" s="49"/>
      <c r="Q1723" s="49"/>
      <c r="R1723" s="49"/>
      <c r="S1723" s="50"/>
    </row>
    <row r="1724" customFormat="false" ht="15" hidden="false" customHeight="false" outlineLevel="0" collapsed="false">
      <c r="A1724" s="4" t="s">
        <v>510</v>
      </c>
      <c r="B1724" s="36" t="s">
        <v>509</v>
      </c>
      <c r="C1724" s="48" t="n">
        <f aca="false">C1706*Assumptions!$H$18*Assumptions!$H$33</f>
        <v>560.531664</v>
      </c>
      <c r="D1724" s="48" t="n">
        <f aca="false">D1706*Assumptions!$H$18*Assumptions!$H$33</f>
        <v>1121.063328</v>
      </c>
      <c r="E1724" s="48" t="n">
        <f aca="false">E1706*Assumptions!$H$18*Assumptions!$H$33</f>
        <v>1121.063328</v>
      </c>
      <c r="F1724" s="48" t="n">
        <f aca="false">F1706*Assumptions!$H$18*Assumptions!$H$33</f>
        <v>1121.063328</v>
      </c>
      <c r="G1724" s="48" t="n">
        <f aca="false">G1706*Assumptions!$H$18*Assumptions!$H$33</f>
        <v>1679.579055</v>
      </c>
      <c r="H1724" s="48" t="n">
        <f aca="false">H1706*Assumptions!$H$18*Assumptions!$H$33</f>
        <v>2238.094782</v>
      </c>
      <c r="I1724" s="48" t="n">
        <f aca="false">I1706*Assumptions!$H$18*Assumptions!$H$33</f>
        <v>2952.694899</v>
      </c>
      <c r="J1724" s="48" t="n">
        <f aca="false">J1706*Assumptions!$H$18*Assumptions!$H$33</f>
        <v>3667.295016</v>
      </c>
      <c r="K1724" s="48" t="n">
        <f aca="false">K1706*Assumptions!$H$18*Assumptions!$H$33</f>
        <v>3667.295016</v>
      </c>
      <c r="L1724" s="48" t="n">
        <f aca="false">L1706*Assumptions!$H$18*Assumptions!$H$33</f>
        <v>3667.295016</v>
      </c>
      <c r="M1724" s="48" t="n">
        <f aca="false">M1706*Assumptions!$H$18*Assumptions!$H$33</f>
        <v>3667.295016</v>
      </c>
      <c r="N1724" s="48" t="n">
        <f aca="false">N1706*Assumptions!$H$18*Assumptions!$H$33</f>
        <v>3667.295016</v>
      </c>
      <c r="P1724" s="49"/>
      <c r="Q1724" s="49"/>
      <c r="R1724" s="49"/>
      <c r="S1724" s="50"/>
    </row>
    <row r="1725" customFormat="false" ht="15" hidden="false" customHeight="false" outlineLevel="0" collapsed="false">
      <c r="A1725" s="4" t="s">
        <v>511</v>
      </c>
      <c r="B1725" s="36" t="s">
        <v>509</v>
      </c>
      <c r="C1725" s="48" t="n">
        <f aca="false">C1707*Assumptions!$H$19*Assumptions!$H$34</f>
        <v>91.2385782</v>
      </c>
      <c r="D1725" s="48" t="n">
        <f aca="false">D1707*Assumptions!$H$19*Assumptions!$H$34</f>
        <v>182.4771564</v>
      </c>
      <c r="E1725" s="48" t="n">
        <f aca="false">E1707*Assumptions!$H$19*Assumptions!$H$34</f>
        <v>182.4771564</v>
      </c>
      <c r="F1725" s="48" t="n">
        <f aca="false">F1707*Assumptions!$H$19*Assumptions!$H$34</f>
        <v>182.4771564</v>
      </c>
      <c r="G1725" s="48" t="n">
        <f aca="false">G1707*Assumptions!$H$19*Assumptions!$H$34</f>
        <v>262.3993218</v>
      </c>
      <c r="H1725" s="48" t="n">
        <f aca="false">H1707*Assumptions!$H$19*Assumptions!$H$34</f>
        <v>342.3214872</v>
      </c>
      <c r="I1725" s="48" t="n">
        <f aca="false">I1707*Assumptions!$H$19*Assumptions!$H$34</f>
        <v>447.7055814</v>
      </c>
      <c r="J1725" s="48" t="n">
        <f aca="false">J1707*Assumptions!$H$19*Assumptions!$H$34</f>
        <v>553.0896756</v>
      </c>
      <c r="K1725" s="48" t="n">
        <f aca="false">K1707*Assumptions!$H$19*Assumptions!$H$34</f>
        <v>553.0896756</v>
      </c>
      <c r="L1725" s="48" t="n">
        <f aca="false">L1707*Assumptions!$H$19*Assumptions!$H$34</f>
        <v>553.0896756</v>
      </c>
      <c r="M1725" s="48" t="n">
        <f aca="false">M1707*Assumptions!$H$19*Assumptions!$H$34</f>
        <v>553.0896756</v>
      </c>
      <c r="N1725" s="48" t="n">
        <f aca="false">N1707*Assumptions!$H$19*Assumptions!$H$34</f>
        <v>553.0896756</v>
      </c>
      <c r="P1725" s="49"/>
      <c r="Q1725" s="49"/>
      <c r="R1725" s="49"/>
      <c r="S1725" s="50"/>
    </row>
    <row r="1726" customFormat="false" ht="15" hidden="false" customHeight="false" outlineLevel="0" collapsed="false">
      <c r="A1726" s="4" t="s">
        <v>512</v>
      </c>
      <c r="B1726" s="36" t="s">
        <v>77</v>
      </c>
      <c r="C1726" s="51" t="n">
        <f aca="false">IFERROR(C1723/(C1723+C1724+C1725),0)</f>
        <v>0.677927794188926</v>
      </c>
      <c r="D1726" s="51" t="n">
        <f aca="false">IFERROR(D1723/(D1723+D1724+D1725),0)</f>
        <v>0.677927794188926</v>
      </c>
      <c r="E1726" s="51" t="n">
        <f aca="false">IFERROR(E1723/(E1723+E1724+E1725),0)</f>
        <v>0.677927794188926</v>
      </c>
      <c r="F1726" s="51" t="n">
        <f aca="false">IFERROR(F1723/(F1723+F1724+F1725),0)</f>
        <v>0.677927794188926</v>
      </c>
      <c r="G1726" s="51" t="n">
        <f aca="false">IFERROR(G1723/(G1723+G1724+G1725),0)</f>
        <v>0.678562169550526</v>
      </c>
      <c r="H1726" s="51" t="n">
        <f aca="false">IFERROR(H1723/(H1723+H1724+H1725),0)</f>
        <v>0.678881685753855</v>
      </c>
      <c r="I1726" s="51" t="n">
        <f aca="false">IFERROR(I1723/(I1723+I1724+I1725),0)</f>
        <v>0.668380260972092</v>
      </c>
      <c r="J1726" s="51" t="n">
        <f aca="false">IFERROR(J1723/(J1723+J1724+J1725),0)</f>
        <v>0.661614246006209</v>
      </c>
      <c r="K1726" s="51" t="n">
        <f aca="false">IFERROR(K1723/(K1723+K1724+K1725),0)</f>
        <v>0.661614246006209</v>
      </c>
      <c r="L1726" s="51" t="n">
        <f aca="false">IFERROR(L1723/(L1723+L1724+L1725),0)</f>
        <v>0.661614246006209</v>
      </c>
      <c r="M1726" s="51" t="n">
        <f aca="false">IFERROR(M1723/(M1723+M1724+M1725),0)</f>
        <v>0.661614246006209</v>
      </c>
      <c r="N1726" s="51" t="n">
        <f aca="false">IFERROR(N1723/(N1723+N1724+N1725),0)</f>
        <v>0.661614246006209</v>
      </c>
      <c r="P1726" s="52"/>
      <c r="Q1726" s="52"/>
      <c r="R1726" s="52"/>
      <c r="S1726" s="53"/>
    </row>
    <row r="1727" customFormat="false" ht="15" hidden="false" customHeight="false" outlineLevel="0" collapsed="false">
      <c r="A1727" s="4" t="s">
        <v>513</v>
      </c>
      <c r="B1727" s="36" t="s">
        <v>77</v>
      </c>
      <c r="C1727" s="51" t="n">
        <f aca="false">IFERROR(C1724/(C1723+C1724+C1725),0)</f>
        <v>0.276986670704789</v>
      </c>
      <c r="D1727" s="51" t="n">
        <f aca="false">IFERROR(D1724/(D1723+D1724+D1725),0)</f>
        <v>0.276986670704789</v>
      </c>
      <c r="E1727" s="51" t="n">
        <f aca="false">IFERROR(E1724/(E1723+E1724+E1725),0)</f>
        <v>0.276986670704789</v>
      </c>
      <c r="F1727" s="51" t="n">
        <f aca="false">IFERROR(F1724/(F1723+F1724+F1725),0)</f>
        <v>0.276986670704789</v>
      </c>
      <c r="G1727" s="51" t="n">
        <f aca="false">IFERROR(G1724/(G1723+G1724+G1725),0)</f>
        <v>0.278005282632032</v>
      </c>
      <c r="H1727" s="51" t="n">
        <f aca="false">IFERROR(H1724/(H1723+H1724+H1725),0)</f>
        <v>0.278518327487428</v>
      </c>
      <c r="I1727" s="51" t="n">
        <f aca="false">IFERROR(I1724/(I1723+I1724+I1725),0)</f>
        <v>0.287957820697706</v>
      </c>
      <c r="J1727" s="51" t="n">
        <f aca="false">IFERROR(J1724/(J1723+J1724+J1725),0)</f>
        <v>0.294039638513703</v>
      </c>
      <c r="K1727" s="51" t="n">
        <f aca="false">IFERROR(K1724/(K1723+K1724+K1725),0)</f>
        <v>0.294039638513703</v>
      </c>
      <c r="L1727" s="51" t="n">
        <f aca="false">IFERROR(L1724/(L1723+L1724+L1725),0)</f>
        <v>0.294039638513703</v>
      </c>
      <c r="M1727" s="51" t="n">
        <f aca="false">IFERROR(M1724/(M1723+M1724+M1725),0)</f>
        <v>0.294039638513703</v>
      </c>
      <c r="N1727" s="51" t="n">
        <f aca="false">IFERROR(N1724/(N1723+N1724+N1725),0)</f>
        <v>0.294039638513703</v>
      </c>
      <c r="P1727" s="52"/>
      <c r="Q1727" s="52"/>
      <c r="R1727" s="52"/>
      <c r="S1727" s="53"/>
    </row>
    <row r="1728" customFormat="false" ht="15" hidden="false" customHeight="false" outlineLevel="0" collapsed="false">
      <c r="A1728" s="4" t="s">
        <v>514</v>
      </c>
      <c r="B1728" s="36" t="s">
        <v>77</v>
      </c>
      <c r="C1728" s="51" t="n">
        <f aca="false">IFERROR(C1725/(C1723+C1724+C1725),0)</f>
        <v>0.0450855351062853</v>
      </c>
      <c r="D1728" s="51" t="n">
        <f aca="false">IFERROR(D1725/(D1723+D1724+D1725),0)</f>
        <v>0.0450855351062853</v>
      </c>
      <c r="E1728" s="51" t="n">
        <f aca="false">IFERROR(E1725/(E1723+E1724+E1725),0)</f>
        <v>0.0450855351062853</v>
      </c>
      <c r="F1728" s="51" t="n">
        <f aca="false">IFERROR(F1725/(F1723+F1724+F1725),0)</f>
        <v>0.0450855351062853</v>
      </c>
      <c r="G1728" s="51" t="n">
        <f aca="false">IFERROR(G1725/(G1723+G1724+G1725),0)</f>
        <v>0.0434325478174426</v>
      </c>
      <c r="H1728" s="51" t="n">
        <f aca="false">IFERROR(H1725/(H1723+H1724+H1725),0)</f>
        <v>0.0425999867587168</v>
      </c>
      <c r="I1728" s="51" t="n">
        <f aca="false">IFERROR(I1725/(I1723+I1724+I1725),0)</f>
        <v>0.0436619183302024</v>
      </c>
      <c r="J1728" s="51" t="n">
        <f aca="false">IFERROR(J1725/(J1723+J1724+J1725),0)</f>
        <v>0.0443461154800875</v>
      </c>
      <c r="K1728" s="51" t="n">
        <f aca="false">IFERROR(K1725/(K1723+K1724+K1725),0)</f>
        <v>0.0443461154800875</v>
      </c>
      <c r="L1728" s="51" t="n">
        <f aca="false">IFERROR(L1725/(L1723+L1724+L1725),0)</f>
        <v>0.0443461154800875</v>
      </c>
      <c r="M1728" s="51" t="n">
        <f aca="false">IFERROR(M1725/(M1723+M1724+M1725),0)</f>
        <v>0.0443461154800875</v>
      </c>
      <c r="N1728" s="51" t="n">
        <f aca="false">IFERROR(N1725/(N1723+N1724+N1725),0)</f>
        <v>0.0443461154800875</v>
      </c>
      <c r="P1728" s="52"/>
      <c r="Q1728" s="52"/>
      <c r="R1728" s="52"/>
      <c r="S1728" s="53"/>
    </row>
    <row r="1729" customFormat="false" ht="15" hidden="false" customHeight="false" outlineLevel="0" collapsed="false">
      <c r="A1729" s="4" t="s">
        <v>515</v>
      </c>
      <c r="B1729" s="36" t="s">
        <v>516</v>
      </c>
      <c r="C1729" s="48" t="n">
        <f aca="false">IF(C1697-Assumptions!$H$35&lt;1,0,INDEX($C$1722:$N$1722,1,C1697-Assumptions!$H$35)*INDEX($C$1726:$N$1726,1,C1697-Assumptions!$H$35)*Assumptions!$H$32)</f>
        <v>0</v>
      </c>
      <c r="D1729" s="48" t="n">
        <f aca="false">IF(D1697-Assumptions!$H$35&lt;1,0,INDEX($C$1722:$N$1722,1,D1697-Assumptions!$H$35)*INDEX($C$1726:$N$1726,1,D1697-Assumptions!$H$35)*Assumptions!$H$32)</f>
        <v>1.89032002707711</v>
      </c>
      <c r="E1729" s="48" t="n">
        <f aca="false">IF(E1697-Assumptions!$H$35&lt;1,0,INDEX($C$1722:$N$1722,1,E1697-Assumptions!$H$35)*INDEX($C$1726:$N$1726,1,E1697-Assumptions!$H$35)*Assumptions!$H$32)</f>
        <v>3.29821822049708</v>
      </c>
      <c r="F1729" s="48" t="n">
        <f aca="false">IF(F1697-Assumptions!$H$35&lt;1,0,INDEX($C$1722:$N$1722,1,F1697-Assumptions!$H$35)*INDEX($C$1726:$N$1726,1,F1697-Assumptions!$H$35)*Assumptions!$H$32)</f>
        <v>3.3729913880618</v>
      </c>
      <c r="G1729" s="48" t="n">
        <f aca="false">IF(G1697-Assumptions!$H$35&lt;1,0,INDEX($C$1722:$N$1722,1,G1697-Assumptions!$H$35)*INDEX($C$1726:$N$1726,1,G1697-Assumptions!$H$35)*Assumptions!$H$32)</f>
        <v>3.455277782723</v>
      </c>
      <c r="H1729" s="48" t="n">
        <f aca="false">IF(H1697-Assumptions!$H$35&lt;1,0,INDEX($C$1722:$N$1722,1,H1697-Assumptions!$H$35)*INDEX($C$1726:$N$1726,1,H1697-Assumptions!$H$35)*Assumptions!$H$32)</f>
        <v>4.87058489569927</v>
      </c>
      <c r="I1729" s="48" t="n">
        <f aca="false">IF(I1697-Assumptions!$H$35&lt;1,0,INDEX($C$1722:$N$1722,1,I1697-Assumptions!$H$35)*INDEX($C$1726:$N$1726,1,I1697-Assumptions!$H$35)*Assumptions!$H$32)</f>
        <v>6.17734158007879</v>
      </c>
      <c r="J1729" s="48" t="n">
        <f aca="false">IF(J1697-Assumptions!$H$35&lt;1,0,INDEX($C$1722:$N$1722,1,J1697-Assumptions!$H$35)*INDEX($C$1726:$N$1726,1,J1697-Assumptions!$H$35)*Assumptions!$H$32)</f>
        <v>7.48667717482547</v>
      </c>
      <c r="K1729" s="48" t="n">
        <f aca="false">IF(K1697-Assumptions!$H$35&lt;1,0,INDEX($C$1722:$N$1722,1,K1697-Assumptions!$H$35)*INDEX($C$1726:$N$1726,1,K1697-Assumptions!$H$35)*Assumptions!$H$32)</f>
        <v>8.69324138647545</v>
      </c>
      <c r="L1729" s="48" t="n">
        <f aca="false">IF(L1697-Assumptions!$H$35&lt;1,0,INDEX($C$1722:$N$1722,1,L1697-Assumptions!$H$35)*INDEX($C$1726:$N$1726,1,L1697-Assumptions!$H$35)*Assumptions!$H$32)</f>
        <v>8.42180979498066</v>
      </c>
      <c r="M1729" s="48" t="n">
        <f aca="false">IF(M1697-Assumptions!$H$35&lt;1,0,INDEX($C$1722:$N$1722,1,M1697-Assumptions!$H$35)*INDEX($C$1726:$N$1726,1,M1697-Assumptions!$H$35)*Assumptions!$H$32)</f>
        <v>8.16921423702181</v>
      </c>
      <c r="N1729" s="48" t="n">
        <f aca="false">IF(N1697-Assumptions!$H$35&lt;1,0,INDEX($C$1722:$N$1722,1,N1697-Assumptions!$H$35)*INDEX($C$1726:$N$1726,1,N1697-Assumptions!$H$35)*Assumptions!$H$32)</f>
        <v>7.93414758339769</v>
      </c>
      <c r="P1729" s="49" t="n">
        <f aca="false">SUM(C1729:F1729)</f>
        <v>8.56152963563599</v>
      </c>
      <c r="Q1729" s="49" t="n">
        <f aca="false">SUM(G1729:J1729)</f>
        <v>21.9898814333265</v>
      </c>
      <c r="R1729" s="49" t="n">
        <f aca="false">SUM(K1729:N1729)</f>
        <v>33.2184130018756</v>
      </c>
      <c r="S1729" s="50" t="n">
        <f aca="false">SUM(P1729:R1729)</f>
        <v>63.7698240708381</v>
      </c>
    </row>
    <row r="1730" customFormat="false" ht="15" hidden="false" customHeight="false" outlineLevel="0" collapsed="false">
      <c r="A1730" s="4" t="s">
        <v>517</v>
      </c>
      <c r="B1730" s="36" t="s">
        <v>516</v>
      </c>
      <c r="C1730" s="48" t="n">
        <f aca="false">IF(C1697-Assumptions!$H$35&lt;1,0,INDEX($C$1722:$N$1722,1,C1697-Assumptions!$H$35)*INDEX($C$1727:$N$1727,1,C1697-Assumptions!$H$35)*Assumptions!$H$32)</f>
        <v>0</v>
      </c>
      <c r="D1730" s="48" t="n">
        <f aca="false">IF(D1697-Assumptions!$H$35&lt;1,0,INDEX($C$1722:$N$1722,1,D1697-Assumptions!$H$35)*INDEX($C$1727:$N$1727,1,D1697-Assumptions!$H$35)*Assumptions!$H$32)</f>
        <v>0.772343980221527</v>
      </c>
      <c r="E1730" s="48" t="n">
        <f aca="false">IF(E1697-Assumptions!$H$35&lt;1,0,INDEX($C$1722:$N$1722,1,E1697-Assumptions!$H$35)*INDEX($C$1727:$N$1727,1,E1697-Assumptions!$H$35)*Assumptions!$H$32)</f>
        <v>1.34758080725447</v>
      </c>
      <c r="F1730" s="48" t="n">
        <f aca="false">IF(F1697-Assumptions!$H$35&lt;1,0,INDEX($C$1722:$N$1722,1,F1697-Assumptions!$H$35)*INDEX($C$1727:$N$1727,1,F1697-Assumptions!$H$35)*Assumptions!$H$32)</f>
        <v>1.37813151032246</v>
      </c>
      <c r="G1730" s="48" t="n">
        <f aca="false">IF(G1697-Assumptions!$H$35&lt;1,0,INDEX($C$1722:$N$1722,1,G1697-Assumptions!$H$35)*INDEX($C$1727:$N$1727,1,G1697-Assumptions!$H$35)*Assumptions!$H$32)</f>
        <v>1.41175195588743</v>
      </c>
      <c r="H1730" s="48" t="n">
        <f aca="false">IF(H1697-Assumptions!$H$35&lt;1,0,INDEX($C$1722:$N$1722,1,H1697-Assumptions!$H$35)*INDEX($C$1727:$N$1727,1,H1697-Assumptions!$H$35)*Assumptions!$H$32)</f>
        <v>1.9954668728572</v>
      </c>
      <c r="I1730" s="48" t="n">
        <f aca="false">IF(I1697-Assumptions!$H$35&lt;1,0,INDEX($C$1722:$N$1722,1,I1697-Assumptions!$H$35)*INDEX($C$1727:$N$1727,1,I1697-Assumptions!$H$35)*Assumptions!$H$32)</f>
        <v>2.53431913293048</v>
      </c>
      <c r="J1730" s="48" t="n">
        <f aca="false">IF(J1697-Assumptions!$H$35&lt;1,0,INDEX($C$1722:$N$1722,1,J1697-Assumptions!$H$35)*INDEX($C$1727:$N$1727,1,J1697-Assumptions!$H$35)*Assumptions!$H$32)</f>
        <v>3.22548011874937</v>
      </c>
      <c r="K1730" s="48" t="n">
        <f aca="false">IF(K1697-Assumptions!$H$35&lt;1,0,INDEX($C$1722:$N$1722,1,K1697-Assumptions!$H$35)*INDEX($C$1727:$N$1727,1,K1697-Assumptions!$H$35)*Assumptions!$H$32)</f>
        <v>3.86351649805258</v>
      </c>
      <c r="L1730" s="48" t="n">
        <f aca="false">IF(L1697-Assumptions!$H$35&lt;1,0,INDEX($C$1722:$N$1722,1,L1697-Assumptions!$H$35)*INDEX($C$1727:$N$1727,1,L1697-Assumptions!$H$35)*Assumptions!$H$32)</f>
        <v>3.74288480439407</v>
      </c>
      <c r="M1730" s="48" t="n">
        <f aca="false">IF(M1697-Assumptions!$H$35&lt;1,0,INDEX($C$1722:$N$1722,1,M1697-Assumptions!$H$35)*INDEX($C$1727:$N$1727,1,M1697-Assumptions!$H$35)*Assumptions!$H$32)</f>
        <v>3.63062436411375</v>
      </c>
      <c r="N1730" s="48" t="n">
        <f aca="false">IF(N1697-Assumptions!$H$35&lt;1,0,INDEX($C$1722:$N$1722,1,N1697-Assumptions!$H$35)*INDEX($C$1727:$N$1727,1,N1697-Assumptions!$H$35)*Assumptions!$H$32)</f>
        <v>3.52615425290394</v>
      </c>
      <c r="P1730" s="49" t="n">
        <f aca="false">SUM(C1730:F1730)</f>
        <v>3.49805629779847</v>
      </c>
      <c r="Q1730" s="49" t="n">
        <f aca="false">SUM(G1730:J1730)</f>
        <v>9.16701808042447</v>
      </c>
      <c r="R1730" s="49" t="n">
        <f aca="false">SUM(K1730:N1730)</f>
        <v>14.7631799194643</v>
      </c>
      <c r="S1730" s="50" t="n">
        <f aca="false">SUM(P1730:R1730)</f>
        <v>27.4282542976873</v>
      </c>
    </row>
    <row r="1731" customFormat="false" ht="15" hidden="false" customHeight="false" outlineLevel="0" collapsed="false">
      <c r="A1731" s="4" t="s">
        <v>518</v>
      </c>
      <c r="B1731" s="36" t="s">
        <v>516</v>
      </c>
      <c r="C1731" s="48" t="n">
        <f aca="false">IF(C1697-Assumptions!$H$36&lt;1,0,INDEX($C$1722:$N$1722,1,C1697-Assumptions!$H$36)*INDEX($C$1728:$N$1728,1,C1697-Assumptions!$H$36)*Assumptions!$H$32)</f>
        <v>0</v>
      </c>
      <c r="D1731" s="48" t="n">
        <f aca="false">IF(D1697-Assumptions!$H$36&lt;1,0,INDEX($C$1722:$N$1722,1,D1697-Assumptions!$H$36)*INDEX($C$1728:$N$1728,1,D1697-Assumptions!$H$36)*Assumptions!$H$32)</f>
        <v>0</v>
      </c>
      <c r="E1731" s="48" t="n">
        <f aca="false">IF(E1697-Assumptions!$H$36&lt;1,0,INDEX($C$1722:$N$1722,1,E1697-Assumptions!$H$36)*INDEX($C$1728:$N$1728,1,E1697-Assumptions!$H$36)*Assumptions!$H$32)</f>
        <v>0.12571558604536</v>
      </c>
      <c r="F1731" s="48" t="n">
        <f aca="false">IF(F1697-Assumptions!$H$36&lt;1,0,INDEX($C$1722:$N$1722,1,F1697-Assumptions!$H$36)*INDEX($C$1728:$N$1728,1,F1697-Assumptions!$H$36)*Assumptions!$H$32)</f>
        <v>0.219347745649399</v>
      </c>
      <c r="G1731" s="48" t="n">
        <f aca="false">IF(G1697-Assumptions!$H$36&lt;1,0,INDEX($C$1722:$N$1722,1,G1697-Assumptions!$H$36)*INDEX($C$1728:$N$1728,1,G1697-Assumptions!$H$36)*Assumptions!$H$32)</f>
        <v>0.224320529329526</v>
      </c>
      <c r="H1731" s="48" t="n">
        <f aca="false">IF(H1697-Assumptions!$H$36&lt;1,0,INDEX($C$1722:$N$1722,1,H1697-Assumptions!$H$36)*INDEX($C$1728:$N$1728,1,H1697-Assumptions!$H$36)*Assumptions!$H$32)</f>
        <v>0.229792979592029</v>
      </c>
      <c r="I1731" s="48" t="n">
        <f aca="false">IF(I1697-Assumptions!$H$36&lt;1,0,INDEX($C$1722:$N$1722,1,I1697-Assumptions!$H$36)*INDEX($C$1728:$N$1728,1,I1697-Assumptions!$H$36)*Assumptions!$H$32)</f>
        <v>0.311750228459532</v>
      </c>
      <c r="J1731" s="48" t="n">
        <f aca="false">IF(J1697-Assumptions!$H$36&lt;1,0,INDEX($C$1722:$N$1722,1,J1697-Assumptions!$H$36)*INDEX($C$1728:$N$1728,1,J1697-Assumptions!$H$36)*Assumptions!$H$32)</f>
        <v>0.387629648932436</v>
      </c>
      <c r="K1731" s="48" t="n">
        <f aca="false">IF(K1697-Assumptions!$H$36&lt;1,0,INDEX($C$1722:$N$1722,1,K1697-Assumptions!$H$36)*INDEX($C$1728:$N$1728,1,K1697-Assumptions!$H$36)*Assumptions!$H$32)</f>
        <v>0.489066937578919</v>
      </c>
      <c r="L1731" s="48" t="n">
        <f aca="false">IF(L1697-Assumptions!$H$36&lt;1,0,INDEX($C$1722:$N$1722,1,L1697-Assumptions!$H$36)*INDEX($C$1728:$N$1728,1,L1697-Assumptions!$H$36)*Assumptions!$H$32)</f>
        <v>0.582683170364047</v>
      </c>
      <c r="M1731" s="48" t="n">
        <f aca="false">IF(M1697-Assumptions!$H$36&lt;1,0,INDEX($C$1722:$N$1722,1,M1697-Assumptions!$H$36)*INDEX($C$1728:$N$1728,1,M1697-Assumptions!$H$36)*Assumptions!$H$32)</f>
        <v>0.564489885116591</v>
      </c>
      <c r="N1731" s="48" t="n">
        <f aca="false">IF(N1697-Assumptions!$H$36&lt;1,0,INDEX($C$1722:$N$1722,1,N1697-Assumptions!$H$36)*INDEX($C$1728:$N$1728,1,N1697-Assumptions!$H$36)*Assumptions!$H$32)</f>
        <v>0.547559125462278</v>
      </c>
      <c r="P1731" s="49" t="n">
        <f aca="false">SUM(C1731:F1731)</f>
        <v>0.34506333169476</v>
      </c>
      <c r="Q1731" s="49" t="n">
        <f aca="false">SUM(G1731:J1731)</f>
        <v>1.15349338631352</v>
      </c>
      <c r="R1731" s="49" t="n">
        <f aca="false">SUM(K1731:N1731)</f>
        <v>2.18379911852183</v>
      </c>
      <c r="S1731" s="50" t="n">
        <f aca="false">SUM(P1731:R1731)</f>
        <v>3.68235583653012</v>
      </c>
    </row>
    <row r="1732" customFormat="false" ht="15" hidden="false" customHeight="false" outlineLevel="0" collapsed="false">
      <c r="A1732" s="4" t="s">
        <v>519</v>
      </c>
      <c r="B1732" s="36" t="s">
        <v>77</v>
      </c>
      <c r="C1732" s="51" t="n">
        <f aca="false">IF(C1697-Assumptions!$H$35&lt;1,0,IFERROR(INDEX($C$1721:$N$1721,1,C1697-Assumptions!$H$35)/INDEX($C$1722:$N$1722,1,C1697-Assumptions!$H$35),0))</f>
        <v>0</v>
      </c>
      <c r="D1732" s="51" t="n">
        <f aca="false">IF(D1697-Assumptions!$H$35&lt;1,0,IFERROR(INDEX($C$1721:$N$1721,1,D1697-Assumptions!$H$35)/INDEX($C$1722:$N$1722,1,D1697-Assumptions!$H$35),0))</f>
        <v>0.290491295350716</v>
      </c>
      <c r="E1732" s="51" t="n">
        <f aca="false">IF(E1697-Assumptions!$H$35&lt;1,0,IFERROR(INDEX($C$1721:$N$1721,1,E1697-Assumptions!$H$35)/INDEX($C$1722:$N$1722,1,E1697-Assumptions!$H$35),0))</f>
        <v>0.221987136319226</v>
      </c>
      <c r="F1732" s="51" t="n">
        <f aca="false">IF(F1697-Assumptions!$H$35&lt;1,0,IFERROR(INDEX($C$1721:$N$1721,1,F1697-Assumptions!$H$35)/INDEX($C$1722:$N$1722,1,F1697-Assumptions!$H$35),0))</f>
        <v>0.271332599719725</v>
      </c>
      <c r="G1732" s="51" t="n">
        <f aca="false">IF(G1697-Assumptions!$H$35&lt;1,0,IFERROR(INDEX($C$1721:$N$1721,1,G1697-Assumptions!$H$35)/INDEX($C$1722:$N$1722,1,G1697-Assumptions!$H$35),0))</f>
        <v>0.317845075170937</v>
      </c>
      <c r="H1732" s="51" t="n">
        <f aca="false">IF(H1697-Assumptions!$H$35&lt;1,0,IFERROR(INDEX($C$1721:$N$1721,1,H1697-Assumptions!$H$35)/INDEX($C$1722:$N$1722,1,H1697-Assumptions!$H$35),0))</f>
        <v>0.263311805032477</v>
      </c>
      <c r="I1732" s="51" t="n">
        <f aca="false">IF(I1697-Assumptions!$H$35&lt;1,0,IFERROR(INDEX($C$1721:$N$1721,1,I1697-Assumptions!$H$35)/INDEX($C$1722:$N$1722,1,I1697-Assumptions!$H$35),0))</f>
        <v>0.237381148867864</v>
      </c>
      <c r="J1732" s="51" t="n">
        <f aca="false">IF(J1697-Assumptions!$H$35&lt;1,0,IFERROR(INDEX($C$1721:$N$1721,1,J1697-Assumptions!$H$35)/INDEX($C$1722:$N$1722,1,J1697-Assumptions!$H$35),0))</f>
        <v>0.21694057273146</v>
      </c>
      <c r="K1732" s="51" t="n">
        <f aca="false">IF(K1697-Assumptions!$H$35&lt;1,0,IFERROR(INDEX($C$1721:$N$1721,1,K1697-Assumptions!$H$35)/INDEX($C$1722:$N$1722,1,K1697-Assumptions!$H$35),0))</f>
        <v>0.20548819304568</v>
      </c>
      <c r="L1732" s="51" t="n">
        <f aca="false">IF(L1697-Assumptions!$H$35&lt;1,0,IFERROR(INDEX($C$1721:$N$1721,1,L1697-Assumptions!$H$35)/INDEX($C$1722:$N$1722,1,L1697-Assumptions!$H$35),0))</f>
        <v>0.212110996057097</v>
      </c>
      <c r="M1732" s="51" t="n">
        <f aca="false">IF(M1697-Assumptions!$H$35&lt;1,0,IFERROR(INDEX($C$1721:$N$1721,1,M1697-Assumptions!$H$35)/INDEX($C$1722:$N$1722,1,M1697-Assumptions!$H$35),0))</f>
        <v>0.218669557730684</v>
      </c>
      <c r="N1732" s="51" t="n">
        <f aca="false">IF(N1697-Assumptions!$H$35&lt;1,0,IFERROR(INDEX($C$1721:$N$1721,1,N1697-Assumptions!$H$35)/INDEX($C$1722:$N$1722,1,N1697-Assumptions!$H$35),0))</f>
        <v>0.225148126555491</v>
      </c>
      <c r="P1732" s="52"/>
      <c r="Q1732" s="52"/>
      <c r="R1732" s="52"/>
      <c r="S1732" s="53"/>
    </row>
    <row r="1733" customFormat="false" ht="15" hidden="false" customHeight="false" outlineLevel="0" collapsed="false">
      <c r="A1733" s="4" t="s">
        <v>520</v>
      </c>
      <c r="B1733" s="36" t="s">
        <v>516</v>
      </c>
      <c r="C1733" s="48" t="n">
        <f aca="false">C1729*Assumptions!$H$37</f>
        <v>0</v>
      </c>
      <c r="D1733" s="48" t="n">
        <f aca="false">D1729*Assumptions!$H$37</f>
        <v>0.850644012184701</v>
      </c>
      <c r="E1733" s="48" t="n">
        <f aca="false">E1729*Assumptions!$H$37</f>
        <v>1.48419819922369</v>
      </c>
      <c r="F1733" s="48" t="n">
        <f aca="false">F1729*Assumptions!$H$37</f>
        <v>1.51784612462781</v>
      </c>
      <c r="G1733" s="48" t="n">
        <f aca="false">G1729*Assumptions!$H$37</f>
        <v>1.55487500222535</v>
      </c>
      <c r="H1733" s="48" t="n">
        <f aca="false">H1729*Assumptions!$H$37</f>
        <v>2.19176320306467</v>
      </c>
      <c r="I1733" s="48" t="n">
        <f aca="false">I1729*Assumptions!$H$37</f>
        <v>2.77980371103545</v>
      </c>
      <c r="J1733" s="48" t="n">
        <f aca="false">J1729*Assumptions!$H$37</f>
        <v>3.36900472867146</v>
      </c>
      <c r="K1733" s="48" t="n">
        <f aca="false">K1729*Assumptions!$H$37</f>
        <v>3.91195862391395</v>
      </c>
      <c r="L1733" s="48" t="n">
        <f aca="false">L1729*Assumptions!$H$37</f>
        <v>3.7898144077413</v>
      </c>
      <c r="M1733" s="48" t="n">
        <f aca="false">M1729*Assumptions!$H$37</f>
        <v>3.67614640665981</v>
      </c>
      <c r="N1733" s="48" t="n">
        <f aca="false">N1729*Assumptions!$H$37</f>
        <v>3.57036641252896</v>
      </c>
      <c r="P1733" s="49" t="n">
        <f aca="false">SUM(C1733:F1733)</f>
        <v>3.8526883360362</v>
      </c>
      <c r="Q1733" s="49" t="n">
        <f aca="false">SUM(G1733:J1733)</f>
        <v>9.89544664499694</v>
      </c>
      <c r="R1733" s="49" t="n">
        <f aca="false">SUM(K1733:N1733)</f>
        <v>14.948285850844</v>
      </c>
      <c r="S1733" s="50" t="n">
        <f aca="false">SUM(P1733:R1733)</f>
        <v>28.6964208318772</v>
      </c>
    </row>
    <row r="1734" customFormat="false" ht="15" hidden="false" customHeight="false" outlineLevel="0" collapsed="false">
      <c r="A1734" s="4" t="s">
        <v>521</v>
      </c>
      <c r="B1734" s="36" t="s">
        <v>516</v>
      </c>
      <c r="C1734" s="48" t="n">
        <f aca="false">C1729*(1-Assumptions!$H$37)</f>
        <v>0</v>
      </c>
      <c r="D1734" s="48" t="n">
        <f aca="false">D1729*(1-Assumptions!$H$37)</f>
        <v>1.03967601489241</v>
      </c>
      <c r="E1734" s="48" t="n">
        <f aca="false">E1729*(1-Assumptions!$H$37)</f>
        <v>1.81402002127339</v>
      </c>
      <c r="F1734" s="48" t="n">
        <f aca="false">F1729*(1-Assumptions!$H$37)</f>
        <v>1.85514526343399</v>
      </c>
      <c r="G1734" s="48" t="n">
        <f aca="false">G1729*(1-Assumptions!$H$37)</f>
        <v>1.90040278049765</v>
      </c>
      <c r="H1734" s="48" t="n">
        <f aca="false">H1729*(1-Assumptions!$H$37)</f>
        <v>2.6788216926346</v>
      </c>
      <c r="I1734" s="48" t="n">
        <f aca="false">I1729*(1-Assumptions!$H$37)</f>
        <v>3.39753786904333</v>
      </c>
      <c r="J1734" s="48" t="n">
        <f aca="false">J1729*(1-Assumptions!$H$37)</f>
        <v>4.11767244615401</v>
      </c>
      <c r="K1734" s="48" t="n">
        <f aca="false">K1729*(1-Assumptions!$H$37)</f>
        <v>4.7812827625615</v>
      </c>
      <c r="L1734" s="48" t="n">
        <f aca="false">L1729*(1-Assumptions!$H$37)</f>
        <v>4.63199538723937</v>
      </c>
      <c r="M1734" s="48" t="n">
        <f aca="false">M1729*(1-Assumptions!$H$37)</f>
        <v>4.49306783036199</v>
      </c>
      <c r="N1734" s="48" t="n">
        <f aca="false">N1729*(1-Assumptions!$H$37)</f>
        <v>4.36378117086873</v>
      </c>
      <c r="P1734" s="49" t="n">
        <f aca="false">SUM(C1734:F1734)</f>
        <v>4.7088412995998</v>
      </c>
      <c r="Q1734" s="49" t="n">
        <f aca="false">SUM(G1734:J1734)</f>
        <v>12.0944347883296</v>
      </c>
      <c r="R1734" s="49" t="n">
        <f aca="false">SUM(K1734:N1734)</f>
        <v>18.2701271510316</v>
      </c>
      <c r="S1734" s="50" t="n">
        <f aca="false">SUM(P1734:R1734)</f>
        <v>35.073403238961</v>
      </c>
    </row>
    <row r="1735" customFormat="false" ht="15" hidden="false" customHeight="false" outlineLevel="0" collapsed="false">
      <c r="A1735" s="4" t="s">
        <v>522</v>
      </c>
      <c r="B1735" s="36" t="s">
        <v>125</v>
      </c>
      <c r="C1735" s="54" t="n">
        <f aca="false">C1734*$C$1688+C1730*$C$1689+C1731*$C$1690</f>
        <v>0</v>
      </c>
      <c r="D1735" s="54" t="n">
        <f aca="false">D1734*$C$1688+D1730*$C$1689+D1731*$C$1690</f>
        <v>9697.9310138498</v>
      </c>
      <c r="E1735" s="54" t="n">
        <f aca="false">E1734*$C$1688+E1730*$C$1689+E1731*$C$1690</f>
        <v>22491.3452519511</v>
      </c>
      <c r="F1735" s="54" t="n">
        <f aca="false">F1734*$C$1688+F1730*$C$1689+F1731*$C$1690</f>
        <v>27023.7959028694</v>
      </c>
      <c r="G1735" s="54" t="n">
        <f aca="false">G1734*$C$1688+G1730*$C$1689+G1731*$C$1690</f>
        <v>27666.2948037242</v>
      </c>
      <c r="H1735" s="54" t="n">
        <f aca="false">H1734*$C$1688+H1730*$C$1689+H1731*$C$1690</f>
        <v>35198.9193282349</v>
      </c>
      <c r="I1735" s="54" t="n">
        <f aca="false">I1734*$C$1688+I1730*$C$1689+I1731*$C$1690</f>
        <v>45560.9512976057</v>
      </c>
      <c r="J1735" s="54" t="n">
        <f aca="false">J1734*$C$1688+J1730*$C$1689+J1731*$C$1690</f>
        <v>56476.4222715591</v>
      </c>
      <c r="K1735" s="54" t="n">
        <f aca="false">K1734*$C$1688+K1730*$C$1689+K1731*$C$1690</f>
        <v>67937.5216469284</v>
      </c>
      <c r="L1735" s="54" t="n">
        <f aca="false">L1734*$C$1688+L1730*$C$1689+L1731*$C$1690</f>
        <v>70641.0500644531</v>
      </c>
      <c r="M1735" s="54" t="n">
        <f aca="false">M1734*$C$1688+M1730*$C$1689+M1731*$C$1690</f>
        <v>68490.5474343503</v>
      </c>
      <c r="N1735" s="54" t="n">
        <f aca="false">N1734*$C$1688+N1730*$C$1689+N1731*$C$1690</f>
        <v>66489.2792372648</v>
      </c>
      <c r="P1735" s="55" t="n">
        <f aca="false">SUM(C1735:F1735)</f>
        <v>59213.0721686703</v>
      </c>
      <c r="Q1735" s="55" t="n">
        <f aca="false">SUM(G1735:J1735)</f>
        <v>164902.587701124</v>
      </c>
      <c r="R1735" s="55" t="n">
        <f aca="false">SUM(K1735:N1735)</f>
        <v>273558.398382997</v>
      </c>
      <c r="S1735" s="56" t="n">
        <f aca="false">SUM(P1735:R1735)</f>
        <v>497674.058252791</v>
      </c>
    </row>
    <row r="1736" customFormat="false" ht="15" hidden="false" customHeight="false" outlineLevel="0" collapsed="false">
      <c r="A1736" s="4" t="s">
        <v>523</v>
      </c>
      <c r="B1736" s="36" t="s">
        <v>125</v>
      </c>
      <c r="C1736" s="54" t="n">
        <f aca="false">(C1712+Assumptions!$D$104*C1698)*$C$1693</f>
        <v>306250</v>
      </c>
      <c r="D1736" s="54" t="n">
        <f aca="false">(D1712+Assumptions!$D$104*D1698)*$C$1693</f>
        <v>306250</v>
      </c>
      <c r="E1736" s="54" t="n">
        <f aca="false">(E1712+Assumptions!$D$104*E1698)*$C$1693</f>
        <v>306250</v>
      </c>
      <c r="F1736" s="54" t="n">
        <f aca="false">(F1712+Assumptions!$D$104*F1698)*$C$1693</f>
        <v>306250</v>
      </c>
      <c r="G1736" s="54" t="n">
        <f aca="false">(G1712+Assumptions!$D$104*G1698)*$C$1693</f>
        <v>306250</v>
      </c>
      <c r="H1736" s="54" t="n">
        <f aca="false">(H1712+Assumptions!$D$104*H1698)*$C$1693</f>
        <v>306250</v>
      </c>
      <c r="I1736" s="54" t="n">
        <f aca="false">(I1712+Assumptions!$D$104*I1698)*$C$1693</f>
        <v>306250</v>
      </c>
      <c r="J1736" s="54" t="n">
        <f aca="false">(J1712+Assumptions!$D$104*J1698)*$C$1693</f>
        <v>306250</v>
      </c>
      <c r="K1736" s="54" t="n">
        <f aca="false">(K1712+Assumptions!$D$104*K1698)*$C$1693</f>
        <v>306250</v>
      </c>
      <c r="L1736" s="54" t="n">
        <f aca="false">(L1712+Assumptions!$D$104*L1698)*$C$1693</f>
        <v>306250</v>
      </c>
      <c r="M1736" s="54" t="n">
        <f aca="false">(M1712+Assumptions!$D$104*M1698)*$C$1693</f>
        <v>306250</v>
      </c>
      <c r="N1736" s="54" t="n">
        <f aca="false">(N1712+Assumptions!$D$104*N1698)*$C$1693</f>
        <v>306250</v>
      </c>
      <c r="P1736" s="55" t="n">
        <f aca="false">SUM(C1736:F1736)</f>
        <v>1225000</v>
      </c>
      <c r="Q1736" s="55" t="n">
        <f aca="false">SUM(G1736:J1736)</f>
        <v>1225000</v>
      </c>
      <c r="R1736" s="55" t="n">
        <f aca="false">SUM(K1736:N1736)</f>
        <v>1225000</v>
      </c>
      <c r="S1736" s="56" t="n">
        <f aca="false">SUM(P1736:R1736)</f>
        <v>3675000</v>
      </c>
    </row>
    <row r="1737" customFormat="false" ht="15" hidden="false" customHeight="false" outlineLevel="0" collapsed="false">
      <c r="A1737" s="4" t="s">
        <v>524</v>
      </c>
      <c r="B1737" s="36" t="s">
        <v>77</v>
      </c>
      <c r="C1737" s="51" t="n">
        <f aca="false">IF(C1735&gt;0,MIN(1,C1736/C1735),1)</f>
        <v>1</v>
      </c>
      <c r="D1737" s="51" t="n">
        <f aca="false">IF(D1735&gt;0,MIN(1,D1736/D1735),1)</f>
        <v>1</v>
      </c>
      <c r="E1737" s="51" t="n">
        <f aca="false">IF(E1735&gt;0,MIN(1,E1736/E1735),1)</f>
        <v>1</v>
      </c>
      <c r="F1737" s="51" t="n">
        <f aca="false">IF(F1735&gt;0,MIN(1,F1736/F1735),1)</f>
        <v>1</v>
      </c>
      <c r="G1737" s="51" t="n">
        <f aca="false">IF(G1735&gt;0,MIN(1,G1736/G1735),1)</f>
        <v>1</v>
      </c>
      <c r="H1737" s="51" t="n">
        <f aca="false">IF(H1735&gt;0,MIN(1,H1736/H1735),1)</f>
        <v>1</v>
      </c>
      <c r="I1737" s="51" t="n">
        <f aca="false">IF(I1735&gt;0,MIN(1,I1736/I1735),1)</f>
        <v>1</v>
      </c>
      <c r="J1737" s="51" t="n">
        <f aca="false">IF(J1735&gt;0,MIN(1,J1736/J1735),1)</f>
        <v>1</v>
      </c>
      <c r="K1737" s="51" t="n">
        <f aca="false">IF(K1735&gt;0,MIN(1,K1736/K1735),1)</f>
        <v>1</v>
      </c>
      <c r="L1737" s="51" t="n">
        <f aca="false">IF(L1735&gt;0,MIN(1,L1736/L1735),1)</f>
        <v>1</v>
      </c>
      <c r="M1737" s="51" t="n">
        <f aca="false">IF(M1735&gt;0,MIN(1,M1736/M1735),1)</f>
        <v>1</v>
      </c>
      <c r="N1737" s="51" t="n">
        <f aca="false">IF(N1735&gt;0,MIN(1,N1736/N1735),1)</f>
        <v>1</v>
      </c>
      <c r="P1737" s="52"/>
      <c r="Q1737" s="52"/>
      <c r="R1737" s="52"/>
      <c r="S1737" s="53"/>
    </row>
    <row r="1738" customFormat="false" ht="15" hidden="false" customHeight="false" outlineLevel="0" collapsed="false">
      <c r="A1738" s="4" t="s">
        <v>525</v>
      </c>
      <c r="B1738" s="36" t="s">
        <v>125</v>
      </c>
      <c r="C1738" s="54" t="n">
        <f aca="false">C1735*(1-C1737)</f>
        <v>0</v>
      </c>
      <c r="D1738" s="54" t="n">
        <f aca="false">D1735*(1-D1737)</f>
        <v>0</v>
      </c>
      <c r="E1738" s="54" t="n">
        <f aca="false">E1735*(1-E1737)</f>
        <v>0</v>
      </c>
      <c r="F1738" s="54" t="n">
        <f aca="false">F1735*(1-F1737)</f>
        <v>0</v>
      </c>
      <c r="G1738" s="54" t="n">
        <f aca="false">G1735*(1-G1737)</f>
        <v>0</v>
      </c>
      <c r="H1738" s="54" t="n">
        <f aca="false">H1735*(1-H1737)</f>
        <v>0</v>
      </c>
      <c r="I1738" s="54" t="n">
        <f aca="false">I1735*(1-I1737)</f>
        <v>0</v>
      </c>
      <c r="J1738" s="54" t="n">
        <f aca="false">J1735*(1-J1737)</f>
        <v>0</v>
      </c>
      <c r="K1738" s="54" t="n">
        <f aca="false">K1735*(1-K1737)</f>
        <v>0</v>
      </c>
      <c r="L1738" s="54" t="n">
        <f aca="false">L1735*(1-L1737)</f>
        <v>0</v>
      </c>
      <c r="M1738" s="54" t="n">
        <f aca="false">M1735*(1-M1737)</f>
        <v>0</v>
      </c>
      <c r="N1738" s="54" t="n">
        <f aca="false">N1735*(1-N1737)</f>
        <v>0</v>
      </c>
      <c r="P1738" s="55" t="n">
        <f aca="false">SUM(C1738:F1738)</f>
        <v>0</v>
      </c>
      <c r="Q1738" s="55" t="n">
        <f aca="false">SUM(G1738:J1738)</f>
        <v>0</v>
      </c>
      <c r="R1738" s="55" t="n">
        <f aca="false">SUM(K1738:N1738)</f>
        <v>0</v>
      </c>
      <c r="S1738" s="56" t="n">
        <f aca="false">SUM(P1738:R1738)</f>
        <v>0</v>
      </c>
    </row>
    <row r="1739" customFormat="false" ht="15" hidden="false" customHeight="false" outlineLevel="0" collapsed="false">
      <c r="A1739" s="4" t="s">
        <v>526</v>
      </c>
      <c r="B1739" s="36" t="s">
        <v>527</v>
      </c>
      <c r="C1739" s="48" t="n">
        <f aca="false">C1733+C1734*C1737</f>
        <v>0</v>
      </c>
      <c r="D1739" s="48" t="n">
        <f aca="false">D1733+D1734*D1737</f>
        <v>1.89032002707711</v>
      </c>
      <c r="E1739" s="48" t="n">
        <f aca="false">E1733+E1734*E1737</f>
        <v>3.29821822049708</v>
      </c>
      <c r="F1739" s="48" t="n">
        <f aca="false">F1733+F1734*F1737</f>
        <v>3.3729913880618</v>
      </c>
      <c r="G1739" s="48" t="n">
        <f aca="false">G1733+G1734*G1737</f>
        <v>3.455277782723</v>
      </c>
      <c r="H1739" s="48" t="n">
        <f aca="false">H1733+H1734*H1737</f>
        <v>4.87058489569927</v>
      </c>
      <c r="I1739" s="48" t="n">
        <f aca="false">I1733+I1734*I1737</f>
        <v>6.17734158007879</v>
      </c>
      <c r="J1739" s="48" t="n">
        <f aca="false">J1733+J1734*J1737</f>
        <v>7.48667717482547</v>
      </c>
      <c r="K1739" s="48" t="n">
        <f aca="false">K1733+K1734*K1737</f>
        <v>8.69324138647545</v>
      </c>
      <c r="L1739" s="48" t="n">
        <f aca="false">L1733+L1734*L1737</f>
        <v>8.42180979498066</v>
      </c>
      <c r="M1739" s="48" t="n">
        <f aca="false">M1733+M1734*M1737</f>
        <v>8.16921423702181</v>
      </c>
      <c r="N1739" s="48" t="n">
        <f aca="false">N1733+N1734*N1737</f>
        <v>7.93414758339769</v>
      </c>
      <c r="P1739" s="49" t="n">
        <f aca="false">SUM(C1739:F1739)</f>
        <v>8.56152963563599</v>
      </c>
      <c r="Q1739" s="49" t="n">
        <f aca="false">SUM(G1739:J1739)</f>
        <v>21.9898814333265</v>
      </c>
      <c r="R1739" s="49" t="n">
        <f aca="false">SUM(K1739:N1739)</f>
        <v>33.2184130018756</v>
      </c>
      <c r="S1739" s="50" t="n">
        <f aca="false">SUM(P1739:R1739)</f>
        <v>63.7698240708381</v>
      </c>
    </row>
    <row r="1740" customFormat="false" ht="15" hidden="false" customHeight="false" outlineLevel="0" collapsed="false">
      <c r="A1740" s="4" t="s">
        <v>528</v>
      </c>
      <c r="B1740" s="36" t="s">
        <v>527</v>
      </c>
      <c r="C1740" s="48" t="n">
        <f aca="false">C1730*C1737</f>
        <v>0</v>
      </c>
      <c r="D1740" s="48" t="n">
        <f aca="false">D1730*D1737</f>
        <v>0.772343980221527</v>
      </c>
      <c r="E1740" s="48" t="n">
        <f aca="false">E1730*E1737</f>
        <v>1.34758080725447</v>
      </c>
      <c r="F1740" s="48" t="n">
        <f aca="false">F1730*F1737</f>
        <v>1.37813151032246</v>
      </c>
      <c r="G1740" s="48" t="n">
        <f aca="false">G1730*G1737</f>
        <v>1.41175195588743</v>
      </c>
      <c r="H1740" s="48" t="n">
        <f aca="false">H1730*H1737</f>
        <v>1.9954668728572</v>
      </c>
      <c r="I1740" s="48" t="n">
        <f aca="false">I1730*I1737</f>
        <v>2.53431913293048</v>
      </c>
      <c r="J1740" s="48" t="n">
        <f aca="false">J1730*J1737</f>
        <v>3.22548011874937</v>
      </c>
      <c r="K1740" s="48" t="n">
        <f aca="false">K1730*K1737</f>
        <v>3.86351649805258</v>
      </c>
      <c r="L1740" s="48" t="n">
        <f aca="false">L1730*L1737</f>
        <v>3.74288480439407</v>
      </c>
      <c r="M1740" s="48" t="n">
        <f aca="false">M1730*M1737</f>
        <v>3.63062436411375</v>
      </c>
      <c r="N1740" s="48" t="n">
        <f aca="false">N1730*N1737</f>
        <v>3.52615425290394</v>
      </c>
      <c r="P1740" s="49" t="n">
        <f aca="false">SUM(C1740:F1740)</f>
        <v>3.49805629779847</v>
      </c>
      <c r="Q1740" s="49" t="n">
        <f aca="false">SUM(G1740:J1740)</f>
        <v>9.16701808042447</v>
      </c>
      <c r="R1740" s="49" t="n">
        <f aca="false">SUM(K1740:N1740)</f>
        <v>14.7631799194643</v>
      </c>
      <c r="S1740" s="50" t="n">
        <f aca="false">SUM(P1740:R1740)</f>
        <v>27.4282542976873</v>
      </c>
    </row>
    <row r="1741" customFormat="false" ht="15" hidden="false" customHeight="false" outlineLevel="0" collapsed="false">
      <c r="A1741" s="4" t="s">
        <v>529</v>
      </c>
      <c r="B1741" s="36" t="s">
        <v>527</v>
      </c>
      <c r="C1741" s="48" t="n">
        <f aca="false">C1731*C1737</f>
        <v>0</v>
      </c>
      <c r="D1741" s="48" t="n">
        <f aca="false">D1731*D1737</f>
        <v>0</v>
      </c>
      <c r="E1741" s="48" t="n">
        <f aca="false">E1731*E1737</f>
        <v>0.12571558604536</v>
      </c>
      <c r="F1741" s="48" t="n">
        <f aca="false">F1731*F1737</f>
        <v>0.219347745649399</v>
      </c>
      <c r="G1741" s="48" t="n">
        <f aca="false">G1731*G1737</f>
        <v>0.224320529329526</v>
      </c>
      <c r="H1741" s="48" t="n">
        <f aca="false">H1731*H1737</f>
        <v>0.229792979592029</v>
      </c>
      <c r="I1741" s="48" t="n">
        <f aca="false">I1731*I1737</f>
        <v>0.311750228459532</v>
      </c>
      <c r="J1741" s="48" t="n">
        <f aca="false">J1731*J1737</f>
        <v>0.387629648932436</v>
      </c>
      <c r="K1741" s="48" t="n">
        <f aca="false">K1731*K1737</f>
        <v>0.489066937578919</v>
      </c>
      <c r="L1741" s="48" t="n">
        <f aca="false">L1731*L1737</f>
        <v>0.582683170364047</v>
      </c>
      <c r="M1741" s="48" t="n">
        <f aca="false">M1731*M1737</f>
        <v>0.564489885116591</v>
      </c>
      <c r="N1741" s="48" t="n">
        <f aca="false">N1731*N1737</f>
        <v>0.547559125462278</v>
      </c>
      <c r="P1741" s="49" t="n">
        <f aca="false">SUM(C1741:F1741)</f>
        <v>0.34506333169476</v>
      </c>
      <c r="Q1741" s="49" t="n">
        <f aca="false">SUM(G1741:J1741)</f>
        <v>1.15349338631352</v>
      </c>
      <c r="R1741" s="49" t="n">
        <f aca="false">SUM(K1741:N1741)</f>
        <v>2.18379911852183</v>
      </c>
      <c r="S1741" s="50" t="n">
        <f aca="false">SUM(P1741:R1741)</f>
        <v>3.68235583653012</v>
      </c>
    </row>
    <row r="1742" customFormat="false" ht="15" hidden="false" customHeight="false" outlineLevel="0" collapsed="false">
      <c r="A1742" s="9" t="s">
        <v>530</v>
      </c>
      <c r="B1742" s="36" t="s">
        <v>527</v>
      </c>
      <c r="C1742" s="49" t="n">
        <f aca="false">C1739+C1740+C1741</f>
        <v>0</v>
      </c>
      <c r="D1742" s="49" t="n">
        <f aca="false">D1739+D1740+D1741</f>
        <v>2.66266400729864</v>
      </c>
      <c r="E1742" s="49" t="n">
        <f aca="false">E1739+E1740+E1741</f>
        <v>4.77151461379691</v>
      </c>
      <c r="F1742" s="49" t="n">
        <f aca="false">F1739+F1740+F1741</f>
        <v>4.97047064403366</v>
      </c>
      <c r="G1742" s="49" t="n">
        <f aca="false">G1739+G1740+G1741</f>
        <v>5.09135026793995</v>
      </c>
      <c r="H1742" s="49" t="n">
        <f aca="false">H1739+H1740+H1741</f>
        <v>7.0958447481485</v>
      </c>
      <c r="I1742" s="49" t="n">
        <f aca="false">I1739+I1740+I1741</f>
        <v>9.0234109414688</v>
      </c>
      <c r="J1742" s="49" t="n">
        <f aca="false">J1739+J1740+J1741</f>
        <v>11.0997869425073</v>
      </c>
      <c r="K1742" s="49" t="n">
        <f aca="false">K1739+K1740+K1741</f>
        <v>13.0458248221069</v>
      </c>
      <c r="L1742" s="49" t="n">
        <f aca="false">L1739+L1740+L1741</f>
        <v>12.7473777697388</v>
      </c>
      <c r="M1742" s="49" t="n">
        <f aca="false">M1739+M1740+M1741</f>
        <v>12.3643284862521</v>
      </c>
      <c r="N1742" s="49" t="n">
        <f aca="false">N1739+N1740+N1741</f>
        <v>12.0078609617639</v>
      </c>
      <c r="P1742" s="49" t="n">
        <f aca="false">SUM(C1742:F1742)</f>
        <v>12.4046492651292</v>
      </c>
      <c r="Q1742" s="49" t="n">
        <f aca="false">SUM(G1742:J1742)</f>
        <v>32.3103929000645</v>
      </c>
      <c r="R1742" s="49" t="n">
        <f aca="false">SUM(K1742:N1742)</f>
        <v>50.1653920398618</v>
      </c>
      <c r="S1742" s="50" t="n">
        <f aca="false">SUM(P1742:R1742)</f>
        <v>94.8804342050555</v>
      </c>
    </row>
    <row r="1743" customFormat="false" ht="15" hidden="false" customHeight="false" outlineLevel="0" collapsed="false">
      <c r="A1743" s="35" t="s">
        <v>533</v>
      </c>
      <c r="B1743" s="35" t="s">
        <v>444</v>
      </c>
      <c r="C1743" s="6" t="s">
        <v>354</v>
      </c>
      <c r="D1743" s="6" t="s">
        <v>355</v>
      </c>
      <c r="E1743" s="6" t="s">
        <v>356</v>
      </c>
      <c r="F1743" s="6" t="s">
        <v>357</v>
      </c>
      <c r="G1743" s="6" t="s">
        <v>358</v>
      </c>
      <c r="H1743" s="6" t="s">
        <v>359</v>
      </c>
      <c r="I1743" s="6" t="s">
        <v>360</v>
      </c>
      <c r="J1743" s="6" t="s">
        <v>361</v>
      </c>
      <c r="K1743" s="6" t="s">
        <v>362</v>
      </c>
      <c r="L1743" s="6" t="s">
        <v>363</v>
      </c>
      <c r="M1743" s="6" t="s">
        <v>364</v>
      </c>
      <c r="N1743" s="6" t="s">
        <v>365</v>
      </c>
      <c r="P1743" s="6" t="s">
        <v>445</v>
      </c>
      <c r="Q1743" s="6" t="s">
        <v>446</v>
      </c>
      <c r="R1743" s="6" t="s">
        <v>447</v>
      </c>
      <c r="S1743" s="6" t="s">
        <v>448</v>
      </c>
    </row>
    <row r="1744" customFormat="false" ht="15" hidden="false" customHeight="false" outlineLevel="0" collapsed="false">
      <c r="A1744" s="4" t="s">
        <v>534</v>
      </c>
      <c r="B1744" s="36" t="s">
        <v>527</v>
      </c>
      <c r="C1744" s="48" t="n">
        <f aca="false">0*Assumptions!$H$59^(1/4)+C1739</f>
        <v>0</v>
      </c>
      <c r="D1744" s="48" t="n">
        <f aca="false">C1744*Assumptions!$H$59^(1/4)+D1739</f>
        <v>1.89032002707711</v>
      </c>
      <c r="E1744" s="48" t="n">
        <f aca="false">D1744*Assumptions!$H$59^(1/4)+E1739</f>
        <v>5.12908187588048</v>
      </c>
      <c r="F1744" s="48" t="n">
        <f aca="false">E1744*Assumptions!$H$59^(1/4)+F1739</f>
        <v>8.34074788300591</v>
      </c>
      <c r="G1744" s="48" t="n">
        <f aca="false">F1744*Assumptions!$H$59^(1/4)+G1739</f>
        <v>11.5336835230059</v>
      </c>
      <c r="H1744" s="48" t="n">
        <f aca="false">G1744*Assumptions!$H$59^(1/4)+H1739</f>
        <v>16.0414986417792</v>
      </c>
      <c r="I1744" s="48" t="n">
        <f aca="false">H1744*Assumptions!$H$59^(1/4)+I1739</f>
        <v>21.7142858119654</v>
      </c>
      <c r="J1744" s="48" t="n">
        <f aca="false">I1744*Assumptions!$H$59^(1/4)+J1739</f>
        <v>28.517981994257</v>
      </c>
      <c r="K1744" s="48" t="n">
        <f aca="false">J1744*Assumptions!$H$59^(1/4)+K1739</f>
        <v>36.3142452431062</v>
      </c>
      <c r="L1744" s="48" t="n">
        <f aca="false">K1744*Assumptions!$H$59^(1/4)+L1739</f>
        <v>43.593860472075</v>
      </c>
      <c r="M1744" s="48" t="n">
        <f aca="false">L1744*Assumptions!$H$59^(1/4)+M1739</f>
        <v>50.3919138820068</v>
      </c>
      <c r="N1744" s="48" t="n">
        <f aca="false">M1744*Assumptions!$H$59^(1/4)+N1739</f>
        <v>56.7410809757468</v>
      </c>
      <c r="P1744" s="49" t="n">
        <f aca="false">F1744</f>
        <v>8.34074788300591</v>
      </c>
      <c r="Q1744" s="49" t="n">
        <f aca="false">J1744</f>
        <v>28.517981994257</v>
      </c>
      <c r="R1744" s="49" t="n">
        <f aca="false">N1744</f>
        <v>56.7410809757468</v>
      </c>
      <c r="S1744" s="50" t="n">
        <f aca="false">R1744</f>
        <v>56.7410809757468</v>
      </c>
    </row>
    <row r="1745" customFormat="false" ht="15" hidden="false" customHeight="false" outlineLevel="0" collapsed="false">
      <c r="A1745" s="4" t="s">
        <v>535</v>
      </c>
      <c r="B1745" s="36" t="s">
        <v>527</v>
      </c>
      <c r="C1745" s="48" t="n">
        <f aca="false">0*Assumptions!$H$60^(1/4)+C1740</f>
        <v>0</v>
      </c>
      <c r="D1745" s="48" t="n">
        <f aca="false">C1745*Assumptions!$H$60^(1/4)+D1740</f>
        <v>0.772343980221527</v>
      </c>
      <c r="E1745" s="48" t="n">
        <f aca="false">D1745*Assumptions!$H$60^(1/4)+E1740</f>
        <v>2.09984673751927</v>
      </c>
      <c r="F1745" s="48" t="n">
        <f aca="false">E1745*Assumptions!$H$60^(1/4)+F1740</f>
        <v>3.42339009958517</v>
      </c>
      <c r="G1745" s="48" t="n">
        <f aca="false">F1745*Assumptions!$H$60^(1/4)+G1740</f>
        <v>4.74614673835865</v>
      </c>
      <c r="H1745" s="48" t="n">
        <f aca="false">G1745*Assumptions!$H$60^(1/4)+H1740</f>
        <v>6.61823157710272</v>
      </c>
      <c r="I1745" s="48" t="n">
        <f aca="false">H1745*Assumptions!$H$60^(1/4)+I1740</f>
        <v>8.98050148373874</v>
      </c>
      <c r="J1745" s="48" t="n">
        <f aca="false">I1745*Assumptions!$H$60^(1/4)+J1740</f>
        <v>11.9725222086888</v>
      </c>
      <c r="K1745" s="48" t="n">
        <f aca="false">J1745*Assumptions!$H$60^(1/4)+K1740</f>
        <v>15.5247979834756</v>
      </c>
      <c r="L1745" s="48" t="n">
        <f aca="false">K1745*Assumptions!$H$60^(1/4)+L1740</f>
        <v>18.8640962027952</v>
      </c>
      <c r="M1745" s="48" t="n">
        <f aca="false">L1745*Assumptions!$H$60^(1/4)+M1740</f>
        <v>22.0043247385635</v>
      </c>
      <c r="N1745" s="48" t="n">
        <f aca="false">M1745*Assumptions!$H$60^(1/4)+N1740</f>
        <v>24.9584489858236</v>
      </c>
      <c r="P1745" s="49" t="n">
        <f aca="false">F1745</f>
        <v>3.42339009958517</v>
      </c>
      <c r="Q1745" s="49" t="n">
        <f aca="false">J1745</f>
        <v>11.9725222086888</v>
      </c>
      <c r="R1745" s="49" t="n">
        <f aca="false">N1745</f>
        <v>24.9584489858236</v>
      </c>
      <c r="S1745" s="50" t="n">
        <f aca="false">R1745</f>
        <v>24.9584489858236</v>
      </c>
    </row>
    <row r="1746" customFormat="false" ht="15" hidden="false" customHeight="false" outlineLevel="0" collapsed="false">
      <c r="A1746" s="4" t="s">
        <v>536</v>
      </c>
      <c r="B1746" s="36" t="s">
        <v>527</v>
      </c>
      <c r="C1746" s="48" t="n">
        <f aca="false">0*Assumptions!$H$61^(1/4)+C1741</f>
        <v>0</v>
      </c>
      <c r="D1746" s="48" t="n">
        <f aca="false">C1746*Assumptions!$H$61^(1/4)+D1741</f>
        <v>0</v>
      </c>
      <c r="E1746" s="48" t="n">
        <f aca="false">D1746*Assumptions!$H$61^(1/4)+E1741</f>
        <v>0.12571558604536</v>
      </c>
      <c r="F1746" s="48" t="n">
        <f aca="false">E1746*Assumptions!$H$61^(1/4)+F1741</f>
        <v>0.342469864580155</v>
      </c>
      <c r="G1746" s="48" t="n">
        <f aca="false">F1746*Assumptions!$H$61^(1/4)+G1741</f>
        <v>0.559725364349933</v>
      </c>
      <c r="H1746" s="48" t="n">
        <f aca="false">G1746*Assumptions!$H$61^(1/4)+H1741</f>
        <v>0.777971411924101</v>
      </c>
      <c r="I1746" s="48" t="n">
        <f aca="false">H1746*Assumptions!$H$61^(1/4)+I1741</f>
        <v>1.07367237126437</v>
      </c>
      <c r="J1746" s="48" t="n">
        <f aca="false">I1746*Assumptions!$H$61^(1/4)+J1741</f>
        <v>1.43915254713363</v>
      </c>
      <c r="K1746" s="48" t="n">
        <f aca="false">J1746*Assumptions!$H$61^(1/4)+K1741</f>
        <v>1.89853028768218</v>
      </c>
      <c r="L1746" s="48" t="n">
        <f aca="false">K1746*Assumptions!$H$61^(1/4)+L1741</f>
        <v>2.44204746421784</v>
      </c>
      <c r="M1746" s="48" t="n">
        <f aca="false">L1746*Assumptions!$H$61^(1/4)+M1741</f>
        <v>2.95615879254621</v>
      </c>
      <c r="N1746" s="48" t="n">
        <f aca="false">M1746*Assumptions!$H$61^(1/4)+N1741</f>
        <v>3.44273343028355</v>
      </c>
      <c r="P1746" s="49" t="n">
        <f aca="false">F1746</f>
        <v>0.342469864580155</v>
      </c>
      <c r="Q1746" s="49" t="n">
        <f aca="false">J1746</f>
        <v>1.43915254713363</v>
      </c>
      <c r="R1746" s="49" t="n">
        <f aca="false">N1746</f>
        <v>3.44273343028355</v>
      </c>
      <c r="S1746" s="50" t="n">
        <f aca="false">R1746</f>
        <v>3.44273343028355</v>
      </c>
    </row>
    <row r="1747" customFormat="false" ht="15" hidden="false" customHeight="false" outlineLevel="0" collapsed="false">
      <c r="A1747" s="9" t="s">
        <v>537</v>
      </c>
      <c r="B1747" s="36" t="s">
        <v>527</v>
      </c>
      <c r="C1747" s="49" t="n">
        <f aca="false">C1744+C1745+C1746</f>
        <v>0</v>
      </c>
      <c r="D1747" s="49" t="n">
        <f aca="false">D1744+D1745+D1746</f>
        <v>2.66266400729864</v>
      </c>
      <c r="E1747" s="49" t="n">
        <f aca="false">E1744+E1745+E1746</f>
        <v>7.3546441994451</v>
      </c>
      <c r="F1747" s="49" t="n">
        <f aca="false">F1744+F1745+F1746</f>
        <v>12.1066078471712</v>
      </c>
      <c r="G1747" s="49" t="n">
        <f aca="false">G1744+G1745+G1746</f>
        <v>16.8395556257145</v>
      </c>
      <c r="H1747" s="49" t="n">
        <f aca="false">H1744+H1745+H1746</f>
        <v>23.437701630806</v>
      </c>
      <c r="I1747" s="49" t="n">
        <f aca="false">I1744+I1745+I1746</f>
        <v>31.7684596669686</v>
      </c>
      <c r="J1747" s="49" t="n">
        <f aca="false">J1744+J1745+J1746</f>
        <v>41.9296567500795</v>
      </c>
      <c r="K1747" s="49" t="n">
        <f aca="false">K1744+K1745+K1746</f>
        <v>53.7375735142639</v>
      </c>
      <c r="L1747" s="49" t="n">
        <f aca="false">L1744+L1745+L1746</f>
        <v>64.900004139088</v>
      </c>
      <c r="M1747" s="49" t="n">
        <f aca="false">M1744+M1745+M1746</f>
        <v>75.3523974131165</v>
      </c>
      <c r="N1747" s="49" t="n">
        <f aca="false">N1744+N1745+N1746</f>
        <v>85.1422633918539</v>
      </c>
      <c r="P1747" s="49" t="n">
        <f aca="false">F1747</f>
        <v>12.1066078471712</v>
      </c>
      <c r="Q1747" s="49" t="n">
        <f aca="false">J1747</f>
        <v>41.9296567500795</v>
      </c>
      <c r="R1747" s="49" t="n">
        <f aca="false">N1747</f>
        <v>85.1422633918539</v>
      </c>
      <c r="S1747" s="50" t="n">
        <f aca="false">R1747</f>
        <v>85.1422633918539</v>
      </c>
    </row>
    <row r="1748" customFormat="false" ht="15" hidden="false" customHeight="false" outlineLevel="0" collapsed="false">
      <c r="A1748" s="4" t="s">
        <v>538</v>
      </c>
      <c r="B1748" s="36" t="s">
        <v>125</v>
      </c>
      <c r="C1748" s="54" t="n">
        <f aca="false">0*Assumptions!$H$62^(1/4)+C1739*$C$1688</f>
        <v>0</v>
      </c>
      <c r="D1748" s="54" t="n">
        <f aca="false">C1748*Assumptions!$H$62^(1/4)+D1739*$C$1688</f>
        <v>10116.9927849167</v>
      </c>
      <c r="E1748" s="54" t="n">
        <f aca="false">D1748*Assumptions!$H$62^(1/4)+E1739*$C$1688</f>
        <v>27769.0567010171</v>
      </c>
      <c r="F1748" s="54" t="n">
        <f aca="false">E1748*Assumptions!$H$62^(1/4)+F1739*$C$1688</f>
        <v>45821.3066099238</v>
      </c>
      <c r="G1748" s="54" t="n">
        <f aca="false">F1748*Assumptions!$H$62^(1/4)+G1739*$C$1688</f>
        <v>64313.9533030573</v>
      </c>
      <c r="H1748" s="54" t="n">
        <f aca="false">G1748*Assumptions!$H$62^(1/4)+H1739*$C$1688</f>
        <v>90381.3236648398</v>
      </c>
      <c r="I1748" s="54" t="n">
        <f aca="false">H1748*Assumptions!$H$62^(1/4)+I1739*$C$1688</f>
        <v>123442.455801421</v>
      </c>
      <c r="J1748" s="54" t="n">
        <f aca="false">I1748*Assumptions!$H$62^(1/4)+J1739*$C$1688</f>
        <v>163511.152041087</v>
      </c>
      <c r="K1748" s="54" t="n">
        <f aca="false">J1748*Assumptions!$H$62^(1/4)+K1739*$C$1688</f>
        <v>210037.379941504</v>
      </c>
      <c r="L1748" s="54" t="n">
        <f aca="false">K1748*Assumptions!$H$62^(1/4)+L1739*$C$1688</f>
        <v>255110.905964241</v>
      </c>
      <c r="M1748" s="54" t="n">
        <f aca="false">L1748*Assumptions!$H$62^(1/4)+M1739*$C$1688</f>
        <v>298832.540560781</v>
      </c>
      <c r="N1748" s="54" t="n">
        <f aca="false">M1748*Assumptions!$H$62^(1/4)+N1739*$C$1688</f>
        <v>341296.098427126</v>
      </c>
      <c r="P1748" s="55" t="n">
        <f aca="false">F1748</f>
        <v>45821.3066099238</v>
      </c>
      <c r="Q1748" s="55" t="n">
        <f aca="false">J1748</f>
        <v>163511.152041087</v>
      </c>
      <c r="R1748" s="55" t="n">
        <f aca="false">N1748</f>
        <v>341296.098427126</v>
      </c>
      <c r="S1748" s="56" t="n">
        <f aca="false">R1748</f>
        <v>341296.098427126</v>
      </c>
    </row>
    <row r="1749" customFormat="false" ht="15" hidden="false" customHeight="false" outlineLevel="0" collapsed="false">
      <c r="A1749" s="4" t="s">
        <v>539</v>
      </c>
      <c r="B1749" s="36" t="s">
        <v>125</v>
      </c>
      <c r="C1749" s="54" t="n">
        <f aca="false">0*Assumptions!$H$63^(1/4)+C1740*$C$1689</f>
        <v>0</v>
      </c>
      <c r="D1749" s="54" t="n">
        <f aca="false">C1749*Assumptions!$H$63^(1/4)+D1740*$C$1689</f>
        <v>4133.58498214561</v>
      </c>
      <c r="E1749" s="54" t="n">
        <f aca="false">D1749*Assumptions!$H$63^(1/4)+E1740*$C$1689</f>
        <v>11406.4930527246</v>
      </c>
      <c r="F1749" s="54" t="n">
        <f aca="false">E1749*Assumptions!$H$63^(1/4)+F1740*$C$1689</f>
        <v>18949.63002035</v>
      </c>
      <c r="G1749" s="54" t="n">
        <f aca="false">F1749*Assumptions!$H$63^(1/4)+G1740*$C$1689</f>
        <v>26783.3904441312</v>
      </c>
      <c r="H1749" s="54" t="n">
        <f aca="false">G1749*Assumptions!$H$63^(1/4)+H1740*$C$1689</f>
        <v>37856.1444989152</v>
      </c>
      <c r="I1749" s="54" t="n">
        <f aca="false">H1749*Assumptions!$H$63^(1/4)+I1740*$C$1689</f>
        <v>51975.3157392748</v>
      </c>
      <c r="J1749" s="54" t="n">
        <f aca="false">I1749*Assumptions!$H$63^(1/4)+J1740*$C$1689</f>
        <v>70000.763122547</v>
      </c>
      <c r="K1749" s="54" t="n">
        <f aca="false">J1749*Assumptions!$H$63^(1/4)+K1740*$C$1689</f>
        <v>91705.4838498734</v>
      </c>
      <c r="L1749" s="54" t="n">
        <f aca="false">K1749*Assumptions!$H$63^(1/4)+L1740*$C$1689</f>
        <v>113083.075485826</v>
      </c>
      <c r="M1749" s="54" t="n">
        <f aca="false">L1749*Assumptions!$H$63^(1/4)+M1740*$C$1689</f>
        <v>134173.540736521</v>
      </c>
      <c r="N1749" s="54" t="n">
        <f aca="false">M1749*Assumptions!$H$63^(1/4)+N1740*$C$1689</f>
        <v>155014.360194735</v>
      </c>
      <c r="P1749" s="55" t="n">
        <f aca="false">F1749</f>
        <v>18949.63002035</v>
      </c>
      <c r="Q1749" s="55" t="n">
        <f aca="false">J1749</f>
        <v>70000.763122547</v>
      </c>
      <c r="R1749" s="55" t="n">
        <f aca="false">N1749</f>
        <v>155014.360194735</v>
      </c>
      <c r="S1749" s="56" t="n">
        <f aca="false">R1749</f>
        <v>155014.360194735</v>
      </c>
    </row>
    <row r="1750" customFormat="false" ht="15" hidden="false" customHeight="false" outlineLevel="0" collapsed="false">
      <c r="A1750" s="4" t="s">
        <v>540</v>
      </c>
      <c r="B1750" s="36" t="s">
        <v>125</v>
      </c>
      <c r="C1750" s="54" t="n">
        <f aca="false">0*Assumptions!$H$64^(1/4)+C1741*$C$1690</f>
        <v>0</v>
      </c>
      <c r="D1750" s="54" t="n">
        <f aca="false">C1750*Assumptions!$H$64^(1/4)+D1741*$C$1690</f>
        <v>0</v>
      </c>
      <c r="E1750" s="54" t="n">
        <f aca="false">D1750*Assumptions!$H$64^(1/4)+E1741*$C$1690</f>
        <v>5570.45761766992</v>
      </c>
      <c r="F1750" s="54" t="n">
        <f aca="false">E1750*Assumptions!$H$64^(1/4)+F1741*$C$1690</f>
        <v>15487.8309846217</v>
      </c>
      <c r="G1750" s="54" t="n">
        <f aca="false">F1750*Assumptions!$H$64^(1/4)+G1741*$C$1690</f>
        <v>25978.1911157303</v>
      </c>
      <c r="H1750" s="54" t="n">
        <f aca="false">G1750*Assumptions!$H$64^(1/4)+H1741*$C$1690</f>
        <v>37084.0525443635</v>
      </c>
      <c r="I1750" s="54" t="n">
        <f aca="false">H1750*Assumptions!$H$64^(1/4)+I1741*$C$1690</f>
        <v>52216.3427388346</v>
      </c>
      <c r="J1750" s="54" t="n">
        <f aca="false">I1750*Assumptions!$H$64^(1/4)+J1741*$C$1690</f>
        <v>71248.9251844186</v>
      </c>
      <c r="K1750" s="54" t="n">
        <f aca="false">J1750*Assumptions!$H$64^(1/4)+K1741*$C$1690</f>
        <v>95452.9559095065</v>
      </c>
      <c r="L1750" s="54" t="n">
        <f aca="false">K1750*Assumptions!$H$64^(1/4)+L1741*$C$1690</f>
        <v>124665.770681601</v>
      </c>
      <c r="M1750" s="54" t="n">
        <f aca="false">L1750*Assumptions!$H$64^(1/4)+M1741*$C$1690</f>
        <v>154111.192482201</v>
      </c>
      <c r="N1750" s="54" t="n">
        <f aca="false">M1750*Assumptions!$H$64^(1/4)+N1741*$C$1690</f>
        <v>183853.434878815</v>
      </c>
      <c r="P1750" s="55" t="n">
        <f aca="false">F1750</f>
        <v>15487.8309846217</v>
      </c>
      <c r="Q1750" s="55" t="n">
        <f aca="false">J1750</f>
        <v>71248.9251844186</v>
      </c>
      <c r="R1750" s="55" t="n">
        <f aca="false">N1750</f>
        <v>183853.434878815</v>
      </c>
      <c r="S1750" s="56" t="n">
        <f aca="false">R1750</f>
        <v>183853.434878815</v>
      </c>
    </row>
    <row r="1751" customFormat="false" ht="15" hidden="false" customHeight="false" outlineLevel="0" collapsed="false">
      <c r="A1751" s="9" t="s">
        <v>541</v>
      </c>
      <c r="B1751" s="36" t="s">
        <v>125</v>
      </c>
      <c r="C1751" s="55" t="n">
        <f aca="false">C1748+C1749+C1750</f>
        <v>0</v>
      </c>
      <c r="D1751" s="55" t="n">
        <f aca="false">D1748+D1749+D1750</f>
        <v>14250.5777670623</v>
      </c>
      <c r="E1751" s="55" t="n">
        <f aca="false">E1748+E1749+E1750</f>
        <v>44746.0073714116</v>
      </c>
      <c r="F1751" s="55" t="n">
        <f aca="false">F1748+F1749+F1750</f>
        <v>80258.7676148955</v>
      </c>
      <c r="G1751" s="55" t="n">
        <f aca="false">G1748+G1749+G1750</f>
        <v>117075.534862919</v>
      </c>
      <c r="H1751" s="55" t="n">
        <f aca="false">H1748+H1749+H1750</f>
        <v>165321.520708119</v>
      </c>
      <c r="I1751" s="55" t="n">
        <f aca="false">I1748+I1749+I1750</f>
        <v>227634.114279531</v>
      </c>
      <c r="J1751" s="55" t="n">
        <f aca="false">J1748+J1749+J1750</f>
        <v>304760.840348053</v>
      </c>
      <c r="K1751" s="55" t="n">
        <f aca="false">K1748+K1749+K1750</f>
        <v>397195.819700884</v>
      </c>
      <c r="L1751" s="55" t="n">
        <f aca="false">L1748+L1749+L1750</f>
        <v>492859.752131668</v>
      </c>
      <c r="M1751" s="55" t="n">
        <f aca="false">M1748+M1749+M1750</f>
        <v>587117.273779503</v>
      </c>
      <c r="N1751" s="55" t="n">
        <f aca="false">N1748+N1749+N1750</f>
        <v>680163.893500675</v>
      </c>
      <c r="P1751" s="55" t="n">
        <f aca="false">F1751</f>
        <v>80258.7676148955</v>
      </c>
      <c r="Q1751" s="55" t="n">
        <f aca="false">J1751</f>
        <v>304760.840348053</v>
      </c>
      <c r="R1751" s="55" t="n">
        <f aca="false">N1751</f>
        <v>680163.893500675</v>
      </c>
      <c r="S1751" s="56" t="n">
        <f aca="false">R1751</f>
        <v>680163.893500675</v>
      </c>
    </row>
    <row r="1752" customFormat="false" ht="15" hidden="false" customHeight="false" outlineLevel="0" collapsed="false">
      <c r="A1752" s="4" t="s">
        <v>542</v>
      </c>
      <c r="B1752" s="36" t="s">
        <v>125</v>
      </c>
      <c r="C1752" s="54" t="n">
        <f aca="false">C1739*$C$1688+C1740*$C$1689+C1741*$C$1690</f>
        <v>0</v>
      </c>
      <c r="D1752" s="54" t="n">
        <f aca="false">D1739*$C$1688+D1740*$C$1689+D1741*$C$1690</f>
        <v>14250.5777670623</v>
      </c>
      <c r="E1752" s="54" t="n">
        <f aca="false">E1739*$C$1688+E1740*$C$1689+E1741*$C$1690</f>
        <v>30434.7740141962</v>
      </c>
      <c r="F1752" s="54" t="n">
        <f aca="false">F1739*$C$1688+F1740*$C$1689+F1741*$C$1690</f>
        <v>35147.3083618775</v>
      </c>
      <c r="G1752" s="54" t="n">
        <f aca="false">G1739*$C$1688+G1740*$C$1689+G1741*$C$1690</f>
        <v>35987.9858156343</v>
      </c>
      <c r="H1752" s="54" t="n">
        <f aca="false">H1739*$C$1688+H1740*$C$1689+H1741*$C$1690</f>
        <v>46929.235991037</v>
      </c>
      <c r="I1752" s="54" t="n">
        <f aca="false">I1739*$C$1688+I1740*$C$1689+I1741*$C$1690</f>
        <v>60438.4607590675</v>
      </c>
      <c r="J1752" s="54" t="n">
        <f aca="false">J1739*$C$1688+J1740*$C$1689+J1741*$C$1690</f>
        <v>74507.3355794087</v>
      </c>
      <c r="K1752" s="54" t="n">
        <f aca="false">K1739*$C$1688+K1740*$C$1689+K1741*$C$1690</f>
        <v>88874.3242021159</v>
      </c>
      <c r="L1752" s="54" t="n">
        <f aca="false">L1739*$C$1688+L1740*$C$1689+L1741*$C$1690</f>
        <v>90924.1367746845</v>
      </c>
      <c r="M1752" s="54" t="n">
        <f aca="false">M1739*$C$1688+M1740*$C$1689+M1741*$C$1690</f>
        <v>88165.2830027936</v>
      </c>
      <c r="N1752" s="54" t="n">
        <f aca="false">N1739*$C$1688+N1740*$C$1689+N1741*$C$1690</f>
        <v>85597.8802771198</v>
      </c>
      <c r="P1752" s="55" t="n">
        <f aca="false">SUM(C1752:F1752)</f>
        <v>79832.660143136</v>
      </c>
      <c r="Q1752" s="55" t="n">
        <f aca="false">SUM(G1752:J1752)</f>
        <v>217863.018145148</v>
      </c>
      <c r="R1752" s="55" t="n">
        <f aca="false">SUM(K1752:N1752)</f>
        <v>353561.624256714</v>
      </c>
      <c r="S1752" s="56" t="n">
        <f aca="false">SUM(P1752:R1752)</f>
        <v>651257.302544997</v>
      </c>
    </row>
    <row r="1753" customFormat="false" ht="15" hidden="false" customHeight="false" outlineLevel="0" collapsed="false">
      <c r="A1753" s="9" t="s">
        <v>543</v>
      </c>
      <c r="B1753" s="36" t="s">
        <v>125</v>
      </c>
      <c r="C1753" s="55" t="n">
        <f aca="false">(0+C1751)/8</f>
        <v>0</v>
      </c>
      <c r="D1753" s="55" t="n">
        <f aca="false">(C1751+D1751)/8</f>
        <v>1781.32222088279</v>
      </c>
      <c r="E1753" s="55" t="n">
        <f aca="false">(D1751+E1751)/8</f>
        <v>7374.57314230925</v>
      </c>
      <c r="F1753" s="55" t="n">
        <f aca="false">(E1751+F1751)/8</f>
        <v>15625.5968732884</v>
      </c>
      <c r="G1753" s="55" t="n">
        <f aca="false">(F1751+G1751)/8</f>
        <v>24666.7878097268</v>
      </c>
      <c r="H1753" s="55" t="n">
        <f aca="false">(G1751+H1751)/8</f>
        <v>35299.6319463797</v>
      </c>
      <c r="I1753" s="55" t="n">
        <f aca="false">(H1751+I1751)/8</f>
        <v>49119.4543734562</v>
      </c>
      <c r="J1753" s="55" t="n">
        <f aca="false">(I1751+J1751)/8</f>
        <v>66549.369328448</v>
      </c>
      <c r="K1753" s="55" t="n">
        <f aca="false">(J1751+K1751)/8</f>
        <v>87744.5825061171</v>
      </c>
      <c r="L1753" s="55" t="n">
        <f aca="false">(K1751+L1751)/8</f>
        <v>111256.946479069</v>
      </c>
      <c r="M1753" s="55" t="n">
        <f aca="false">(L1751+M1751)/8</f>
        <v>134997.128238896</v>
      </c>
      <c r="N1753" s="55" t="n">
        <f aca="false">(M1751+N1751)/8</f>
        <v>158410.145910022</v>
      </c>
      <c r="P1753" s="55" t="n">
        <f aca="false">SUM(C1753:F1753)</f>
        <v>24781.4922364804</v>
      </c>
      <c r="Q1753" s="55" t="n">
        <f aca="false">SUM(G1753:J1753)</f>
        <v>175635.243458011</v>
      </c>
      <c r="R1753" s="55" t="n">
        <f aca="false">SUM(K1753:N1753)</f>
        <v>492408.803134105</v>
      </c>
      <c r="S1753" s="56" t="n">
        <f aca="false">SUM(P1753:R1753)</f>
        <v>692825.538828596</v>
      </c>
    </row>
    <row r="1754" customFormat="false" ht="15" hidden="false" customHeight="false" outlineLevel="0" collapsed="false">
      <c r="A1754" s="4" t="s">
        <v>544</v>
      </c>
      <c r="B1754" s="36" t="s">
        <v>125</v>
      </c>
      <c r="C1754" s="54" t="n">
        <f aca="false">C1753*Assumptions!$H$76</f>
        <v>0</v>
      </c>
      <c r="D1754" s="54" t="n">
        <f aca="false">D1753*Assumptions!$H$76</f>
        <v>1157.85944357381</v>
      </c>
      <c r="E1754" s="54" t="n">
        <f aca="false">E1753*Assumptions!$H$76</f>
        <v>4793.47254250101</v>
      </c>
      <c r="F1754" s="54" t="n">
        <f aca="false">F1753*Assumptions!$H$76</f>
        <v>10156.6379676375</v>
      </c>
      <c r="G1754" s="54" t="n">
        <f aca="false">G1753*Assumptions!$H$76</f>
        <v>16033.4120763224</v>
      </c>
      <c r="H1754" s="54" t="n">
        <f aca="false">H1753*Assumptions!$H$76</f>
        <v>22944.7607651468</v>
      </c>
      <c r="I1754" s="54" t="n">
        <f aca="false">I1753*Assumptions!$H$76</f>
        <v>31927.6453427465</v>
      </c>
      <c r="J1754" s="54" t="n">
        <f aca="false">J1753*Assumptions!$H$76</f>
        <v>43257.0900634912</v>
      </c>
      <c r="K1754" s="54" t="n">
        <f aca="false">K1753*Assumptions!$H$76</f>
        <v>57033.9786289761</v>
      </c>
      <c r="L1754" s="54" t="n">
        <f aca="false">L1753*Assumptions!$H$76</f>
        <v>72317.0152113948</v>
      </c>
      <c r="M1754" s="54" t="n">
        <f aca="false">M1753*Assumptions!$H$76</f>
        <v>87748.1333552826</v>
      </c>
      <c r="N1754" s="54" t="n">
        <f aca="false">N1753*Assumptions!$H$76</f>
        <v>102966.594841514</v>
      </c>
      <c r="P1754" s="55" t="n">
        <f aca="false">SUM(C1754:F1754)</f>
        <v>16107.9699537123</v>
      </c>
      <c r="Q1754" s="55" t="n">
        <f aca="false">SUM(G1754:J1754)</f>
        <v>114162.908247707</v>
      </c>
      <c r="R1754" s="55" t="n">
        <f aca="false">SUM(K1754:N1754)</f>
        <v>320065.722037168</v>
      </c>
      <c r="S1754" s="56" t="n">
        <f aca="false">SUM(P1754:R1754)</f>
        <v>450336.600238587</v>
      </c>
    </row>
    <row r="1755" customFormat="false" ht="15" hidden="false" customHeight="false" outlineLevel="0" collapsed="false">
      <c r="A1755" s="35" t="s">
        <v>547</v>
      </c>
      <c r="B1755" s="35" t="s">
        <v>444</v>
      </c>
      <c r="C1755" s="6" t="s">
        <v>354</v>
      </c>
      <c r="D1755" s="6" t="s">
        <v>355</v>
      </c>
      <c r="E1755" s="6" t="s">
        <v>356</v>
      </c>
      <c r="F1755" s="6" t="s">
        <v>357</v>
      </c>
      <c r="G1755" s="6" t="s">
        <v>358</v>
      </c>
      <c r="H1755" s="6" t="s">
        <v>359</v>
      </c>
      <c r="I1755" s="6" t="s">
        <v>360</v>
      </c>
      <c r="J1755" s="6" t="s">
        <v>361</v>
      </c>
      <c r="K1755" s="6" t="s">
        <v>362</v>
      </c>
      <c r="L1755" s="6" t="s">
        <v>363</v>
      </c>
      <c r="M1755" s="6" t="s">
        <v>364</v>
      </c>
      <c r="N1755" s="6" t="s">
        <v>365</v>
      </c>
      <c r="P1755" s="6" t="s">
        <v>445</v>
      </c>
      <c r="Q1755" s="6" t="s">
        <v>446</v>
      </c>
      <c r="R1755" s="6" t="s">
        <v>447</v>
      </c>
      <c r="S1755" s="6" t="s">
        <v>448</v>
      </c>
    </row>
    <row r="1756" customFormat="false" ht="15" hidden="false" customHeight="false" outlineLevel="0" collapsed="false">
      <c r="A1756" s="4" t="s">
        <v>548</v>
      </c>
      <c r="B1756" s="36" t="s">
        <v>321</v>
      </c>
      <c r="C1756" s="48" t="n">
        <f aca="false">Assumptions!$D$97*C1698</f>
        <v>1</v>
      </c>
      <c r="D1756" s="48" t="n">
        <f aca="false">Assumptions!$D$97*D1698</f>
        <v>1</v>
      </c>
      <c r="E1756" s="48" t="n">
        <f aca="false">Assumptions!$D$97*E1698</f>
        <v>1</v>
      </c>
      <c r="F1756" s="48" t="n">
        <f aca="false">Assumptions!$D$97*F1698</f>
        <v>1</v>
      </c>
      <c r="G1756" s="48" t="n">
        <f aca="false">Assumptions!$D$97*G1698</f>
        <v>1</v>
      </c>
      <c r="H1756" s="48" t="n">
        <f aca="false">Assumptions!$D$97*H1698</f>
        <v>1</v>
      </c>
      <c r="I1756" s="48" t="n">
        <f aca="false">Assumptions!$D$97*I1698</f>
        <v>1</v>
      </c>
      <c r="J1756" s="48" t="n">
        <f aca="false">Assumptions!$D$97*J1698</f>
        <v>1</v>
      </c>
      <c r="K1756" s="48" t="n">
        <f aca="false">Assumptions!$D$97*K1698</f>
        <v>1</v>
      </c>
      <c r="L1756" s="48" t="n">
        <f aca="false">Assumptions!$D$97*L1698</f>
        <v>1</v>
      </c>
      <c r="M1756" s="48" t="n">
        <f aca="false">Assumptions!$D$97*M1698</f>
        <v>1</v>
      </c>
      <c r="N1756" s="48" t="n">
        <f aca="false">Assumptions!$D$97*N1698</f>
        <v>1</v>
      </c>
      <c r="P1756" s="49" t="n">
        <f aca="false">AVERAGE(C1756:F1756)</f>
        <v>1</v>
      </c>
      <c r="Q1756" s="49" t="n">
        <f aca="false">AVERAGE(G1756:J1756)</f>
        <v>1</v>
      </c>
      <c r="R1756" s="49" t="n">
        <f aca="false">AVERAGE(K1756:N1756)</f>
        <v>1</v>
      </c>
      <c r="S1756" s="50"/>
    </row>
    <row r="1757" customFormat="false" ht="15" hidden="false" customHeight="false" outlineLevel="0" collapsed="false">
      <c r="A1757" s="4" t="s">
        <v>549</v>
      </c>
      <c r="B1757" s="36" t="s">
        <v>321</v>
      </c>
      <c r="C1757" s="48" t="n">
        <f aca="false">C1711*C1698</f>
        <v>0</v>
      </c>
      <c r="D1757" s="48" t="n">
        <f aca="false">D1711*D1698</f>
        <v>0</v>
      </c>
      <c r="E1757" s="48" t="n">
        <f aca="false">E1711*E1698</f>
        <v>0</v>
      </c>
      <c r="F1757" s="48" t="n">
        <f aca="false">F1711*F1698</f>
        <v>0</v>
      </c>
      <c r="G1757" s="48" t="n">
        <f aca="false">G1711*G1698</f>
        <v>0</v>
      </c>
      <c r="H1757" s="48" t="n">
        <f aca="false">H1711*H1698</f>
        <v>0</v>
      </c>
      <c r="I1757" s="48" t="n">
        <f aca="false">I1711*I1698</f>
        <v>0</v>
      </c>
      <c r="J1757" s="48" t="n">
        <f aca="false">J1711*J1698</f>
        <v>0</v>
      </c>
      <c r="K1757" s="48" t="n">
        <f aca="false">K1711*K1698</f>
        <v>0</v>
      </c>
      <c r="L1757" s="48" t="n">
        <f aca="false">L1711*L1698</f>
        <v>0</v>
      </c>
      <c r="M1757" s="48" t="n">
        <f aca="false">M1711*M1698</f>
        <v>0</v>
      </c>
      <c r="N1757" s="48" t="n">
        <f aca="false">N1711*N1698</f>
        <v>0</v>
      </c>
      <c r="P1757" s="49" t="n">
        <f aca="false">AVERAGE(C1757:F1757)</f>
        <v>0</v>
      </c>
      <c r="Q1757" s="49" t="n">
        <f aca="false">AVERAGE(G1757:J1757)</f>
        <v>0</v>
      </c>
      <c r="R1757" s="49" t="n">
        <f aca="false">AVERAGE(K1757:N1757)</f>
        <v>0</v>
      </c>
      <c r="S1757" s="50"/>
    </row>
    <row r="1758" customFormat="false" ht="15" hidden="false" customHeight="false" outlineLevel="0" collapsed="false">
      <c r="A1758" s="4" t="s">
        <v>550</v>
      </c>
      <c r="B1758" s="36" t="s">
        <v>321</v>
      </c>
      <c r="C1758" s="48" t="n">
        <f aca="false">IF(C1697&lt;=4,Assumptions!$D$98,Assumptions!$D$99)*C1698</f>
        <v>0</v>
      </c>
      <c r="D1758" s="48" t="n">
        <f aca="false">IF(D1697&lt;=4,Assumptions!$D$98,Assumptions!$D$99)*D1698</f>
        <v>0</v>
      </c>
      <c r="E1758" s="48" t="n">
        <f aca="false">IF(E1697&lt;=4,Assumptions!$D$98,Assumptions!$D$99)*E1698</f>
        <v>0</v>
      </c>
      <c r="F1758" s="48" t="n">
        <f aca="false">IF(F1697&lt;=4,Assumptions!$D$98,Assumptions!$D$99)*F1698</f>
        <v>0</v>
      </c>
      <c r="G1758" s="48" t="n">
        <f aca="false">IF(G1697&lt;=4,Assumptions!$D$98,Assumptions!$D$99)*G1698</f>
        <v>0.5</v>
      </c>
      <c r="H1758" s="48" t="n">
        <f aca="false">IF(H1697&lt;=4,Assumptions!$D$98,Assumptions!$D$99)*H1698</f>
        <v>0.5</v>
      </c>
      <c r="I1758" s="48" t="n">
        <f aca="false">IF(I1697&lt;=4,Assumptions!$D$98,Assumptions!$D$99)*I1698</f>
        <v>0.5</v>
      </c>
      <c r="J1758" s="48" t="n">
        <f aca="false">IF(J1697&lt;=4,Assumptions!$D$98,Assumptions!$D$99)*J1698</f>
        <v>0.5</v>
      </c>
      <c r="K1758" s="48" t="n">
        <f aca="false">IF(K1697&lt;=4,Assumptions!$D$98,Assumptions!$D$99)*K1698</f>
        <v>0.5</v>
      </c>
      <c r="L1758" s="48" t="n">
        <f aca="false">IF(L1697&lt;=4,Assumptions!$D$98,Assumptions!$D$99)*L1698</f>
        <v>0.5</v>
      </c>
      <c r="M1758" s="48" t="n">
        <f aca="false">IF(M1697&lt;=4,Assumptions!$D$98,Assumptions!$D$99)*M1698</f>
        <v>0.5</v>
      </c>
      <c r="N1758" s="48" t="n">
        <f aca="false">IF(N1697&lt;=4,Assumptions!$D$98,Assumptions!$D$99)*N1698</f>
        <v>0.5</v>
      </c>
      <c r="P1758" s="49" t="n">
        <f aca="false">AVERAGE(C1758:F1758)</f>
        <v>0</v>
      </c>
      <c r="Q1758" s="49" t="n">
        <f aca="false">AVERAGE(G1758:J1758)</f>
        <v>0.5</v>
      </c>
      <c r="R1758" s="49" t="n">
        <f aca="false">AVERAGE(K1758:N1758)</f>
        <v>0.5</v>
      </c>
      <c r="S1758" s="50"/>
    </row>
    <row r="1759" customFormat="false" ht="15" hidden="false" customHeight="false" outlineLevel="0" collapsed="false">
      <c r="A1759" s="4" t="s">
        <v>551</v>
      </c>
      <c r="B1759" s="36" t="s">
        <v>321</v>
      </c>
      <c r="C1759" s="48" t="n">
        <f aca="false">IF(C1697&lt;=4,Assumptions!$D$100,Assumptions!$D$101)*C1698</f>
        <v>1</v>
      </c>
      <c r="D1759" s="48" t="n">
        <f aca="false">IF(D1697&lt;=4,Assumptions!$D$100,Assumptions!$D$101)*D1698</f>
        <v>1</v>
      </c>
      <c r="E1759" s="48" t="n">
        <f aca="false">IF(E1697&lt;=4,Assumptions!$D$100,Assumptions!$D$101)*E1698</f>
        <v>1</v>
      </c>
      <c r="F1759" s="48" t="n">
        <f aca="false">IF(F1697&lt;=4,Assumptions!$D$100,Assumptions!$D$101)*F1698</f>
        <v>1</v>
      </c>
      <c r="G1759" s="48" t="n">
        <f aca="false">IF(G1697&lt;=4,Assumptions!$D$100,Assumptions!$D$101)*G1698</f>
        <v>0.5</v>
      </c>
      <c r="H1759" s="48" t="n">
        <f aca="false">IF(H1697&lt;=4,Assumptions!$D$100,Assumptions!$D$101)*H1698</f>
        <v>0.5</v>
      </c>
      <c r="I1759" s="48" t="n">
        <f aca="false">IF(I1697&lt;=4,Assumptions!$D$100,Assumptions!$D$101)*I1698</f>
        <v>0.5</v>
      </c>
      <c r="J1759" s="48" t="n">
        <f aca="false">IF(J1697&lt;=4,Assumptions!$D$100,Assumptions!$D$101)*J1698</f>
        <v>0.5</v>
      </c>
      <c r="K1759" s="48" t="n">
        <f aca="false">IF(K1697&lt;=4,Assumptions!$D$100,Assumptions!$D$101)*K1698</f>
        <v>0.5</v>
      </c>
      <c r="L1759" s="48" t="n">
        <f aca="false">IF(L1697&lt;=4,Assumptions!$D$100,Assumptions!$D$101)*L1698</f>
        <v>0.5</v>
      </c>
      <c r="M1759" s="48" t="n">
        <f aca="false">IF(M1697&lt;=4,Assumptions!$D$100,Assumptions!$D$101)*M1698</f>
        <v>0.5</v>
      </c>
      <c r="N1759" s="48" t="n">
        <f aca="false">IF(N1697&lt;=4,Assumptions!$D$100,Assumptions!$D$101)*N1698</f>
        <v>0.5</v>
      </c>
      <c r="P1759" s="49" t="n">
        <f aca="false">AVERAGE(C1759:F1759)</f>
        <v>1</v>
      </c>
      <c r="Q1759" s="49" t="n">
        <f aca="false">AVERAGE(G1759:J1759)</f>
        <v>0.5</v>
      </c>
      <c r="R1759" s="49" t="n">
        <f aca="false">AVERAGE(K1759:N1759)</f>
        <v>0.5</v>
      </c>
      <c r="S1759" s="50"/>
    </row>
    <row r="1760" customFormat="false" ht="15" hidden="false" customHeight="false" outlineLevel="0" collapsed="false">
      <c r="A1760" s="4" t="s">
        <v>552</v>
      </c>
      <c r="B1760" s="36" t="s">
        <v>321</v>
      </c>
      <c r="C1760" s="48" t="n">
        <f aca="false">Assumptions!$D$102*C1698</f>
        <v>0.25</v>
      </c>
      <c r="D1760" s="48" t="n">
        <f aca="false">Assumptions!$D$102*D1698</f>
        <v>0.25</v>
      </c>
      <c r="E1760" s="48" t="n">
        <f aca="false">Assumptions!$D$102*E1698</f>
        <v>0.25</v>
      </c>
      <c r="F1760" s="48" t="n">
        <f aca="false">Assumptions!$D$102*F1698</f>
        <v>0.25</v>
      </c>
      <c r="G1760" s="48" t="n">
        <f aca="false">Assumptions!$D$102*G1698</f>
        <v>0.25</v>
      </c>
      <c r="H1760" s="48" t="n">
        <f aca="false">Assumptions!$D$102*H1698</f>
        <v>0.25</v>
      </c>
      <c r="I1760" s="48" t="n">
        <f aca="false">Assumptions!$D$102*I1698</f>
        <v>0.25</v>
      </c>
      <c r="J1760" s="48" t="n">
        <f aca="false">Assumptions!$D$102*J1698</f>
        <v>0.25</v>
      </c>
      <c r="K1760" s="48" t="n">
        <f aca="false">Assumptions!$D$102*K1698</f>
        <v>0.25</v>
      </c>
      <c r="L1760" s="48" t="n">
        <f aca="false">Assumptions!$D$102*L1698</f>
        <v>0.25</v>
      </c>
      <c r="M1760" s="48" t="n">
        <f aca="false">Assumptions!$D$102*M1698</f>
        <v>0.25</v>
      </c>
      <c r="N1760" s="48" t="n">
        <f aca="false">Assumptions!$D$102*N1698</f>
        <v>0.25</v>
      </c>
      <c r="P1760" s="49" t="n">
        <f aca="false">AVERAGE(C1760:F1760)</f>
        <v>0.25</v>
      </c>
      <c r="Q1760" s="49" t="n">
        <f aca="false">AVERAGE(G1760:J1760)</f>
        <v>0.25</v>
      </c>
      <c r="R1760" s="49" t="n">
        <f aca="false">AVERAGE(K1760:N1760)</f>
        <v>0.25</v>
      </c>
      <c r="S1760" s="50"/>
    </row>
    <row r="1761" customFormat="false" ht="15" hidden="false" customHeight="false" outlineLevel="0" collapsed="false">
      <c r="A1761" s="4" t="s">
        <v>553</v>
      </c>
      <c r="B1761" s="36" t="s">
        <v>321</v>
      </c>
      <c r="C1761" s="48" t="n">
        <f aca="false">(C1745+C1746)/Assumptions!$H$74+C1744/Assumptions!$H$75</f>
        <v>0</v>
      </c>
      <c r="D1761" s="48" t="n">
        <f aca="false">(D1745+D1746)/Assumptions!$H$74+D1744/Assumptions!$H$75</f>
        <v>0.0268698796138466</v>
      </c>
      <c r="E1761" s="48" t="n">
        <f aca="false">(E1745+E1746)/Assumptions!$H$74+E1744/Assumptions!$H$75</f>
        <v>0.0761553855926376</v>
      </c>
      <c r="F1761" s="48" t="n">
        <f aca="false">(F1745+F1746)/Assumptions!$H$74+F1744/Assumptions!$H$75</f>
        <v>0.127509490636157</v>
      </c>
      <c r="G1761" s="48" t="n">
        <f aca="false">(G1745+G1746)/Assumptions!$H$74+G1744/Assumptions!$H$75</f>
        <v>0.178781536659738</v>
      </c>
      <c r="H1761" s="48" t="n">
        <f aca="false">(H1745+H1746)/Assumptions!$H$74+H1744/Assumptions!$H$75</f>
        <v>0.249071069292787</v>
      </c>
      <c r="I1761" s="48" t="n">
        <f aca="false">(I1745+I1746)/Assumptions!$H$74+I1744/Assumptions!$H$75</f>
        <v>0.338211489622939</v>
      </c>
      <c r="J1761" s="48" t="n">
        <f aca="false">(J1745+J1746)/Assumptions!$H$74+J1744/Assumptions!$H$75</f>
        <v>0.44936379687259</v>
      </c>
      <c r="K1761" s="48" t="n">
        <f aca="false">(K1745+K1746)/Assumptions!$H$74+K1744/Assumptions!$H$75</f>
        <v>0.580840187751368</v>
      </c>
      <c r="L1761" s="48" t="n">
        <f aca="false">(L1745+L1746)/Assumptions!$H$74+L1744/Assumptions!$H$75</f>
        <v>0.707029033563625</v>
      </c>
      <c r="M1761" s="48" t="n">
        <f aca="false">(M1745+M1746)/Assumptions!$H$74+M1744/Assumptions!$H$75</f>
        <v>0.825579743805769</v>
      </c>
      <c r="N1761" s="48" t="n">
        <f aca="false">(N1745+N1746)/Assumptions!$H$74+N1744/Assumptions!$H$75</f>
        <v>0.936993884305666</v>
      </c>
      <c r="P1761" s="49" t="n">
        <f aca="false">AVERAGE(C1761:F1761)</f>
        <v>0.0576336889606602</v>
      </c>
      <c r="Q1761" s="49" t="n">
        <f aca="false">AVERAGE(G1761:J1761)</f>
        <v>0.303856973112014</v>
      </c>
      <c r="R1761" s="49" t="n">
        <f aca="false">AVERAGE(K1761:N1761)</f>
        <v>0.762610712356607</v>
      </c>
      <c r="S1761" s="50"/>
    </row>
    <row r="1762" customFormat="false" ht="15" hidden="false" customHeight="false" outlineLevel="0" collapsed="false">
      <c r="A1762" s="4" t="s">
        <v>554</v>
      </c>
      <c r="B1762" s="36" t="s">
        <v>125</v>
      </c>
      <c r="C1762" s="54" t="n">
        <f aca="false">(C1756+C1758)*Assumptions!$H$70/Assumptions!$H$69/4</f>
        <v>66753.5714285714</v>
      </c>
      <c r="D1762" s="54" t="n">
        <f aca="false">(D1756+D1758)*Assumptions!$H$70/Assumptions!$H$69/4</f>
        <v>66753.5714285714</v>
      </c>
      <c r="E1762" s="54" t="n">
        <f aca="false">(E1756+E1758)*Assumptions!$H$70/Assumptions!$H$69/4</f>
        <v>66753.5714285714</v>
      </c>
      <c r="F1762" s="54" t="n">
        <f aca="false">(F1756+F1758)*Assumptions!$H$70/Assumptions!$H$69/4</f>
        <v>66753.5714285714</v>
      </c>
      <c r="G1762" s="54" t="n">
        <f aca="false">(G1756+G1758)*Assumptions!$H$70/Assumptions!$H$69/4</f>
        <v>100130.357142857</v>
      </c>
      <c r="H1762" s="54" t="n">
        <f aca="false">(H1756+H1758)*Assumptions!$H$70/Assumptions!$H$69/4</f>
        <v>100130.357142857</v>
      </c>
      <c r="I1762" s="54" t="n">
        <f aca="false">(I1756+I1758)*Assumptions!$H$70/Assumptions!$H$69/4</f>
        <v>100130.357142857</v>
      </c>
      <c r="J1762" s="54" t="n">
        <f aca="false">(J1756+J1758)*Assumptions!$H$70/Assumptions!$H$69/4</f>
        <v>100130.357142857</v>
      </c>
      <c r="K1762" s="54" t="n">
        <f aca="false">(K1756+K1758)*Assumptions!$H$70/Assumptions!$H$69/4</f>
        <v>100130.357142857</v>
      </c>
      <c r="L1762" s="54" t="n">
        <f aca="false">(L1756+L1758)*Assumptions!$H$70/Assumptions!$H$69/4</f>
        <v>100130.357142857</v>
      </c>
      <c r="M1762" s="54" t="n">
        <f aca="false">(M1756+M1758)*Assumptions!$H$70/Assumptions!$H$69/4</f>
        <v>100130.357142857</v>
      </c>
      <c r="N1762" s="54" t="n">
        <f aca="false">(N1756+N1758)*Assumptions!$H$70/Assumptions!$H$69/4</f>
        <v>100130.357142857</v>
      </c>
      <c r="P1762" s="55" t="n">
        <f aca="false">SUM(C1762:F1762)</f>
        <v>267014.285714286</v>
      </c>
      <c r="Q1762" s="55" t="n">
        <f aca="false">SUM(G1762:J1762)</f>
        <v>400521.428571429</v>
      </c>
      <c r="R1762" s="55" t="n">
        <f aca="false">SUM(K1762:N1762)</f>
        <v>400521.428571429</v>
      </c>
      <c r="S1762" s="56" t="n">
        <f aca="false">SUM(P1762:R1762)</f>
        <v>1068057.14285714</v>
      </c>
    </row>
    <row r="1763" customFormat="false" ht="15" hidden="false" customHeight="false" outlineLevel="0" collapsed="false">
      <c r="A1763" s="4" t="s">
        <v>555</v>
      </c>
      <c r="B1763" s="36" t="s">
        <v>125</v>
      </c>
      <c r="C1763" s="54" t="n">
        <f aca="false">C1757*$C$1692/4</f>
        <v>0</v>
      </c>
      <c r="D1763" s="54" t="n">
        <f aca="false">D1757*$C$1692/4</f>
        <v>0</v>
      </c>
      <c r="E1763" s="54" t="n">
        <f aca="false">E1757*$C$1692/4</f>
        <v>0</v>
      </c>
      <c r="F1763" s="54" t="n">
        <f aca="false">F1757*$C$1692/4</f>
        <v>0</v>
      </c>
      <c r="G1763" s="54" t="n">
        <f aca="false">G1757*$C$1692/4</f>
        <v>0</v>
      </c>
      <c r="H1763" s="54" t="n">
        <f aca="false">H1757*$C$1692/4</f>
        <v>0</v>
      </c>
      <c r="I1763" s="54" t="n">
        <f aca="false">I1757*$C$1692/4</f>
        <v>0</v>
      </c>
      <c r="J1763" s="54" t="n">
        <f aca="false">J1757*$C$1692/4</f>
        <v>0</v>
      </c>
      <c r="K1763" s="54" t="n">
        <f aca="false">K1757*$C$1692/4</f>
        <v>0</v>
      </c>
      <c r="L1763" s="54" t="n">
        <f aca="false">L1757*$C$1692/4</f>
        <v>0</v>
      </c>
      <c r="M1763" s="54" t="n">
        <f aca="false">M1757*$C$1692/4</f>
        <v>0</v>
      </c>
      <c r="N1763" s="54" t="n">
        <f aca="false">N1757*$C$1692/4</f>
        <v>0</v>
      </c>
      <c r="P1763" s="55" t="n">
        <f aca="false">SUM(C1763:F1763)</f>
        <v>0</v>
      </c>
      <c r="Q1763" s="55" t="n">
        <f aca="false">SUM(G1763:J1763)</f>
        <v>0</v>
      </c>
      <c r="R1763" s="55" t="n">
        <f aca="false">SUM(K1763:N1763)</f>
        <v>0</v>
      </c>
      <c r="S1763" s="56" t="n">
        <f aca="false">SUM(P1763:R1763)</f>
        <v>0</v>
      </c>
    </row>
    <row r="1764" customFormat="false" ht="15" hidden="false" customHeight="false" outlineLevel="0" collapsed="false">
      <c r="A1764" s="4" t="s">
        <v>556</v>
      </c>
      <c r="B1764" s="36" t="s">
        <v>125</v>
      </c>
      <c r="C1764" s="54" t="n">
        <f aca="false">MAX(0,(C1752-C1733*$C$1688)-C1712*$C$1693)*$C$1694*Assumptions!$D$105</f>
        <v>0</v>
      </c>
      <c r="D1764" s="54" t="n">
        <f aca="false">MAX(0,(D1752-D1733*$C$1688)-D1712*$C$1693)*$C$1694*Assumptions!$D$105</f>
        <v>4523.81621637309</v>
      </c>
      <c r="E1764" s="54" t="n">
        <f aca="false">MAX(0,(E1752-E1733*$C$1688)-E1712*$C$1693)*$C$1694*Assumptions!$D$105</f>
        <v>10491.5896219014</v>
      </c>
      <c r="F1764" s="54" t="n">
        <f aca="false">MAX(0,(F1752-F1733*$C$1688)-F1712*$C$1693)*$C$1694*Assumptions!$D$105</f>
        <v>12605.8523162073</v>
      </c>
      <c r="G1764" s="54" t="n">
        <f aca="false">MAX(0,(G1752-G1733*$C$1688)-G1712*$C$1693)*$C$1694*Assumptions!$D$105</f>
        <v>12905.560258297</v>
      </c>
      <c r="H1764" s="54" t="n">
        <f aca="false">MAX(0,(H1752-H1733*$C$1688)-H1712*$C$1693)*$C$1694*Assumptions!$D$105</f>
        <v>16419.320969439</v>
      </c>
      <c r="I1764" s="54" t="n">
        <f aca="false">MAX(0,(I1752-I1733*$C$1688)-I1712*$C$1693)*$C$1694*Assumptions!$D$105</f>
        <v>21252.921888096</v>
      </c>
      <c r="J1764" s="54" t="n">
        <f aca="false">MAX(0,(J1752-J1733*$C$1688)-J1712*$C$1693)*$C$1694*Assumptions!$D$105</f>
        <v>26344.6867739051</v>
      </c>
      <c r="K1764" s="54" t="n">
        <f aca="false">MAX(0,(K1752-K1733*$C$1688)-K1712*$C$1693)*$C$1694*Assumptions!$D$105</f>
        <v>31690.9721968179</v>
      </c>
      <c r="L1764" s="54" t="n">
        <f aca="false">MAX(0,(L1752-L1733*$C$1688)-L1712*$C$1693)*$C$1694*Assumptions!$D$105</f>
        <v>32952.0933245262</v>
      </c>
      <c r="M1764" s="54" t="n">
        <f aca="false">MAX(0,(M1752-M1733*$C$1688)-M1712*$C$1693)*$C$1694*Assumptions!$D$105</f>
        <v>31948.9434096095</v>
      </c>
      <c r="N1764" s="54" t="n">
        <f aca="false">MAX(0,(N1752-N1733*$C$1688)-N1712*$C$1693)*$C$1694*Assumptions!$D$105</f>
        <v>31015.4072243801</v>
      </c>
      <c r="P1764" s="55" t="n">
        <f aca="false">SUM(C1764:F1764)</f>
        <v>27621.2581544818</v>
      </c>
      <c r="Q1764" s="55" t="n">
        <f aca="false">SUM(G1764:J1764)</f>
        <v>76922.4898897371</v>
      </c>
      <c r="R1764" s="55" t="n">
        <f aca="false">SUM(K1764:N1764)</f>
        <v>127607.416155334</v>
      </c>
      <c r="S1764" s="56" t="n">
        <f aca="false">SUM(P1764:R1764)</f>
        <v>232151.164199553</v>
      </c>
    </row>
    <row r="1765" customFormat="false" ht="15" hidden="false" customHeight="false" outlineLevel="0" collapsed="false">
      <c r="A1765" s="4" t="s">
        <v>557</v>
      </c>
      <c r="B1765" s="36" t="s">
        <v>125</v>
      </c>
      <c r="C1765" s="54" t="n">
        <f aca="false">C1760*Assumptions!$H$71/Assumptions!$H$69/4</f>
        <v>18475.8928571429</v>
      </c>
      <c r="D1765" s="54" t="n">
        <f aca="false">D1760*Assumptions!$H$71/Assumptions!$H$69/4</f>
        <v>18475.8928571429</v>
      </c>
      <c r="E1765" s="54" t="n">
        <f aca="false">E1760*Assumptions!$H$71/Assumptions!$H$69/4</f>
        <v>18475.8928571429</v>
      </c>
      <c r="F1765" s="54" t="n">
        <f aca="false">F1760*Assumptions!$H$71/Assumptions!$H$69/4</f>
        <v>18475.8928571429</v>
      </c>
      <c r="G1765" s="54" t="n">
        <f aca="false">G1760*Assumptions!$H$71/Assumptions!$H$69/4</f>
        <v>18475.8928571429</v>
      </c>
      <c r="H1765" s="54" t="n">
        <f aca="false">H1760*Assumptions!$H$71/Assumptions!$H$69/4</f>
        <v>18475.8928571429</v>
      </c>
      <c r="I1765" s="54" t="n">
        <f aca="false">I1760*Assumptions!$H$71/Assumptions!$H$69/4</f>
        <v>18475.8928571429</v>
      </c>
      <c r="J1765" s="54" t="n">
        <f aca="false">J1760*Assumptions!$H$71/Assumptions!$H$69/4</f>
        <v>18475.8928571429</v>
      </c>
      <c r="K1765" s="54" t="n">
        <f aca="false">K1760*Assumptions!$H$71/Assumptions!$H$69/4</f>
        <v>18475.8928571429</v>
      </c>
      <c r="L1765" s="54" t="n">
        <f aca="false">L1760*Assumptions!$H$71/Assumptions!$H$69/4</f>
        <v>18475.8928571429</v>
      </c>
      <c r="M1765" s="54" t="n">
        <f aca="false">M1760*Assumptions!$H$71/Assumptions!$H$69/4</f>
        <v>18475.8928571429</v>
      </c>
      <c r="N1765" s="54" t="n">
        <f aca="false">N1760*Assumptions!$H$71/Assumptions!$H$69/4</f>
        <v>18475.8928571429</v>
      </c>
      <c r="P1765" s="55" t="n">
        <f aca="false">SUM(C1765:F1765)</f>
        <v>73903.5714285714</v>
      </c>
      <c r="Q1765" s="55" t="n">
        <f aca="false">SUM(G1765:J1765)</f>
        <v>73903.5714285714</v>
      </c>
      <c r="R1765" s="55" t="n">
        <f aca="false">SUM(K1765:N1765)</f>
        <v>73903.5714285714</v>
      </c>
      <c r="S1765" s="56" t="n">
        <f aca="false">SUM(P1765:R1765)</f>
        <v>221710.714285714</v>
      </c>
    </row>
    <row r="1766" customFormat="false" ht="15" hidden="false" customHeight="false" outlineLevel="0" collapsed="false">
      <c r="A1766" s="4" t="s">
        <v>558</v>
      </c>
      <c r="B1766" s="36" t="s">
        <v>125</v>
      </c>
      <c r="C1766" s="54" t="n">
        <f aca="false">(Assumptions!$D$103+Assumptions!$H$77*((C1697=Assumptions!$H$13)+(C1697=Assumptions!$H$14)+(C1697=Assumptions!$H$15)))*C1698</f>
        <v>65000</v>
      </c>
      <c r="D1766" s="54" t="n">
        <f aca="false">(Assumptions!$D$103+Assumptions!$H$77*((D1697=Assumptions!$H$13)+(D1697=Assumptions!$H$14)+(D1697=Assumptions!$H$15)))*D1698</f>
        <v>25000</v>
      </c>
      <c r="E1766" s="54" t="n">
        <f aca="false">(Assumptions!$D$103+Assumptions!$H$77*((E1697=Assumptions!$H$13)+(E1697=Assumptions!$H$14)+(E1697=Assumptions!$H$15)))*E1698</f>
        <v>25000</v>
      </c>
      <c r="F1766" s="54" t="n">
        <f aca="false">(Assumptions!$D$103+Assumptions!$H$77*((F1697=Assumptions!$H$13)+(F1697=Assumptions!$H$14)+(F1697=Assumptions!$H$15)))*F1698</f>
        <v>25000</v>
      </c>
      <c r="G1766" s="54" t="n">
        <f aca="false">(Assumptions!$D$103+Assumptions!$H$77*((G1697=Assumptions!$H$13)+(G1697=Assumptions!$H$14)+(G1697=Assumptions!$H$15)))*G1698</f>
        <v>65000</v>
      </c>
      <c r="H1766" s="54" t="n">
        <f aca="false">(Assumptions!$D$103+Assumptions!$H$77*((H1697=Assumptions!$H$13)+(H1697=Assumptions!$H$14)+(H1697=Assumptions!$H$15)))*H1698</f>
        <v>25000</v>
      </c>
      <c r="I1766" s="54" t="n">
        <f aca="false">(Assumptions!$D$103+Assumptions!$H$77*((I1697=Assumptions!$H$13)+(I1697=Assumptions!$H$14)+(I1697=Assumptions!$H$15)))*I1698</f>
        <v>65000</v>
      </c>
      <c r="J1766" s="54" t="n">
        <f aca="false">(Assumptions!$D$103+Assumptions!$H$77*((J1697=Assumptions!$H$13)+(J1697=Assumptions!$H$14)+(J1697=Assumptions!$H$15)))*J1698</f>
        <v>25000</v>
      </c>
      <c r="K1766" s="54" t="n">
        <f aca="false">(Assumptions!$D$103+Assumptions!$H$77*((K1697=Assumptions!$H$13)+(K1697=Assumptions!$H$14)+(K1697=Assumptions!$H$15)))*K1698</f>
        <v>25000</v>
      </c>
      <c r="L1766" s="54" t="n">
        <f aca="false">(Assumptions!$D$103+Assumptions!$H$77*((L1697=Assumptions!$H$13)+(L1697=Assumptions!$H$14)+(L1697=Assumptions!$H$15)))*L1698</f>
        <v>25000</v>
      </c>
      <c r="M1766" s="54" t="n">
        <f aca="false">(Assumptions!$D$103+Assumptions!$H$77*((M1697=Assumptions!$H$13)+(M1697=Assumptions!$H$14)+(M1697=Assumptions!$H$15)))*M1698</f>
        <v>25000</v>
      </c>
      <c r="N1766" s="54" t="n">
        <f aca="false">(Assumptions!$D$103+Assumptions!$H$77*((N1697=Assumptions!$H$13)+(N1697=Assumptions!$H$14)+(N1697=Assumptions!$H$15)))*N1698</f>
        <v>25000</v>
      </c>
      <c r="P1766" s="55" t="n">
        <f aca="false">SUM(C1766:F1766)</f>
        <v>140000</v>
      </c>
      <c r="Q1766" s="55" t="n">
        <f aca="false">SUM(G1766:J1766)</f>
        <v>180000</v>
      </c>
      <c r="R1766" s="55" t="n">
        <f aca="false">SUM(K1766:N1766)</f>
        <v>100000</v>
      </c>
      <c r="S1766" s="56" t="n">
        <f aca="false">SUM(P1766:R1766)</f>
        <v>420000</v>
      </c>
    </row>
    <row r="1767" customFormat="false" ht="15" hidden="false" customHeight="false" outlineLevel="0" collapsed="false">
      <c r="A1767" s="4" t="s">
        <v>559</v>
      </c>
      <c r="B1767" s="36" t="s">
        <v>125</v>
      </c>
      <c r="C1767" s="54" t="n">
        <f aca="false">C1752*C1732*Assumptions!$H$79</f>
        <v>0</v>
      </c>
      <c r="D1767" s="54" t="n">
        <f aca="false">D1752*D1732*Assumptions!$H$79</f>
        <v>827.933759010008</v>
      </c>
      <c r="E1767" s="54" t="n">
        <f aca="false">E1752*E1732*Assumptions!$H$79</f>
        <v>1351.22566558684</v>
      </c>
      <c r="F1767" s="54" t="n">
        <f aca="false">F1752*F1732*Assumptions!$H$79</f>
        <v>1907.3221101958</v>
      </c>
      <c r="G1767" s="54" t="n">
        <f aca="false">G1752*G1732*Assumptions!$H$79</f>
        <v>2287.72081136418</v>
      </c>
      <c r="H1767" s="54" t="n">
        <f aca="false">H1752*H1732*Assumptions!$H$79</f>
        <v>2471.40436751901</v>
      </c>
      <c r="I1767" s="54" t="n">
        <f aca="false">I1752*I1732*Assumptions!$H$79</f>
        <v>2869.39025015855</v>
      </c>
      <c r="J1767" s="54" t="n">
        <f aca="false">J1752*J1732*Assumptions!$H$79</f>
        <v>3232.7328106584</v>
      </c>
      <c r="K1767" s="54" t="n">
        <f aca="false">K1752*K1732*Assumptions!$H$79</f>
        <v>3652.52485768975</v>
      </c>
      <c r="L1767" s="54" t="n">
        <f aca="false">L1752*L1732*Assumptions!$H$79</f>
        <v>3857.20184338201</v>
      </c>
      <c r="M1767" s="54" t="n">
        <f aca="false">M1752*M1732*Assumptions!$H$79</f>
        <v>3855.81268828429</v>
      </c>
      <c r="N1767" s="54" t="n">
        <f aca="false">N1752*N1732*Assumptions!$H$79</f>
        <v>3854.44047630295</v>
      </c>
      <c r="P1767" s="55" t="n">
        <f aca="false">SUM(C1767:F1767)</f>
        <v>4086.48153479266</v>
      </c>
      <c r="Q1767" s="55" t="n">
        <f aca="false">SUM(G1767:J1767)</f>
        <v>10861.2482397001</v>
      </c>
      <c r="R1767" s="55" t="n">
        <f aca="false">SUM(K1767:N1767)</f>
        <v>15219.979865659</v>
      </c>
      <c r="S1767" s="56" t="n">
        <f aca="false">SUM(P1767:R1767)</f>
        <v>30167.7096401518</v>
      </c>
    </row>
    <row r="1768" customFormat="false" ht="15" hidden="false" customHeight="false" outlineLevel="0" collapsed="false">
      <c r="A1768" s="4" t="s">
        <v>560</v>
      </c>
      <c r="B1768" s="36" t="s">
        <v>125</v>
      </c>
      <c r="C1768" s="54" t="n">
        <f aca="false">C1717*Assumptions!$H$80</f>
        <v>6000</v>
      </c>
      <c r="D1768" s="54" t="n">
        <f aca="false">D1717*Assumptions!$H$80</f>
        <v>8000</v>
      </c>
      <c r="E1768" s="54" t="n">
        <f aca="false">E1717*Assumptions!$H$80</f>
        <v>10000</v>
      </c>
      <c r="F1768" s="54" t="n">
        <f aca="false">F1717*Assumptions!$H$80</f>
        <v>12000</v>
      </c>
      <c r="G1768" s="54" t="n">
        <f aca="false">G1717*Assumptions!$H$80</f>
        <v>14000</v>
      </c>
      <c r="H1768" s="54" t="n">
        <f aca="false">H1717*Assumptions!$H$80</f>
        <v>16000</v>
      </c>
      <c r="I1768" s="54" t="n">
        <f aca="false">I1717*Assumptions!$H$80</f>
        <v>18000</v>
      </c>
      <c r="J1768" s="54" t="n">
        <f aca="false">J1717*Assumptions!$H$80</f>
        <v>20000</v>
      </c>
      <c r="K1768" s="54" t="n">
        <f aca="false">K1717*Assumptions!$H$80</f>
        <v>20000</v>
      </c>
      <c r="L1768" s="54" t="n">
        <f aca="false">L1717*Assumptions!$H$80</f>
        <v>20000</v>
      </c>
      <c r="M1768" s="54" t="n">
        <f aca="false">M1717*Assumptions!$H$80</f>
        <v>20000</v>
      </c>
      <c r="N1768" s="54" t="n">
        <f aca="false">N1717*Assumptions!$H$80</f>
        <v>20000</v>
      </c>
      <c r="P1768" s="55" t="n">
        <f aca="false">SUM(C1768:F1768)</f>
        <v>36000</v>
      </c>
      <c r="Q1768" s="55" t="n">
        <f aca="false">SUM(G1768:J1768)</f>
        <v>68000</v>
      </c>
      <c r="R1768" s="55" t="n">
        <f aca="false">SUM(K1768:N1768)</f>
        <v>80000</v>
      </c>
      <c r="S1768" s="56" t="n">
        <f aca="false">SUM(P1768:R1768)</f>
        <v>184000</v>
      </c>
    </row>
    <row r="1769" customFormat="false" ht="15" hidden="false" customHeight="false" outlineLevel="0" collapsed="false">
      <c r="A1769" s="4" t="s">
        <v>561</v>
      </c>
      <c r="B1769" s="36" t="s">
        <v>125</v>
      </c>
      <c r="C1769" s="54" t="n">
        <f aca="false">(C1740*$C$1689+C1741*$C$1690)*Assumptions!$H$81</f>
        <v>0</v>
      </c>
      <c r="D1769" s="54" t="n">
        <f aca="false">(D1740*$C$1689+D1741*$C$1690)*Assumptions!$H$81</f>
        <v>289.350948750193</v>
      </c>
      <c r="E1769" s="54" t="n">
        <f aca="false">(E1740*$C$1689+E1741*$C$1690)*Assumptions!$H$81</f>
        <v>894.789706866711</v>
      </c>
      <c r="F1769" s="54" t="n">
        <f aca="false">(F1740*$C$1689+F1741*$C$1690)*Assumptions!$H$81</f>
        <v>1196.65409170795</v>
      </c>
      <c r="G1769" s="54" t="n">
        <f aca="false">(G1740*$C$1689+G1741*$C$1690)*Assumptions!$H$81</f>
        <v>1224.67373857506</v>
      </c>
      <c r="H1769" s="54" t="n">
        <f aca="false">(H1740*$C$1689+H1741*$C$1690)*Assumptions!$H$81</f>
        <v>1460.33059404782</v>
      </c>
      <c r="I1769" s="54" t="n">
        <f aca="false">(I1740*$C$1689+I1741*$C$1690)*Assumptions!$H$81</f>
        <v>1916.41300357401</v>
      </c>
      <c r="J1769" s="54" t="n">
        <f aca="false">(J1740*$C$1689+J1741*$C$1690)*Assumptions!$H$81</f>
        <v>2410.704753782</v>
      </c>
      <c r="K1769" s="54" t="n">
        <f aca="false">(K1740*$C$1689+K1741*$C$1690)*Assumptions!$H$81</f>
        <v>2964.36674111895</v>
      </c>
      <c r="L1769" s="54" t="n">
        <f aca="false">(L1740*$C$1689+L1741*$C$1690)*Assumptions!$H$81</f>
        <v>3209.54275263636</v>
      </c>
      <c r="M1769" s="54" t="n">
        <f aca="false">(M1740*$C$1689+M1741*$C$1690)*Assumptions!$H$81</f>
        <v>3111.0553884377</v>
      </c>
      <c r="N1769" s="54" t="n">
        <f aca="false">(N1740*$C$1689+N1741*$C$1690)*Assumptions!$H$81</f>
        <v>3019.40256875428</v>
      </c>
      <c r="P1769" s="55" t="n">
        <f aca="false">SUM(C1769:F1769)</f>
        <v>2380.79474732485</v>
      </c>
      <c r="Q1769" s="55" t="n">
        <f aca="false">SUM(G1769:J1769)</f>
        <v>7012.12208997888</v>
      </c>
      <c r="R1769" s="55" t="n">
        <f aca="false">SUM(K1769:N1769)</f>
        <v>12304.3674509473</v>
      </c>
      <c r="S1769" s="56" t="n">
        <f aca="false">SUM(P1769:R1769)</f>
        <v>21697.284288251</v>
      </c>
    </row>
    <row r="1770" customFormat="false" ht="15" hidden="false" customHeight="false" outlineLevel="0" collapsed="false">
      <c r="A1770" s="9" t="s">
        <v>562</v>
      </c>
      <c r="B1770" s="36" t="s">
        <v>125</v>
      </c>
      <c r="C1770" s="55" t="n">
        <f aca="false">C1762+C1763+C1764+C1765+C1766+C1767+C1768+C1769</f>
        <v>156229.464285714</v>
      </c>
      <c r="D1770" s="55" t="n">
        <f aca="false">D1762+D1763+D1764+D1765+D1766+D1767+D1768+D1769</f>
        <v>123870.565209848</v>
      </c>
      <c r="E1770" s="55" t="n">
        <f aca="false">E1762+E1763+E1764+E1765+E1766+E1767+E1768+E1769</f>
        <v>132967.069280069</v>
      </c>
      <c r="F1770" s="55" t="n">
        <f aca="false">F1762+F1763+F1764+F1765+F1766+F1767+F1768+F1769</f>
        <v>137939.292803825</v>
      </c>
      <c r="G1770" s="55" t="n">
        <f aca="false">G1762+G1763+G1764+G1765+G1766+G1767+G1768+G1769</f>
        <v>214024.204808236</v>
      </c>
      <c r="H1770" s="55" t="n">
        <f aca="false">H1762+H1763+H1764+H1765+H1766+H1767+H1768+H1769</f>
        <v>179957.305931006</v>
      </c>
      <c r="I1770" s="55" t="n">
        <f aca="false">I1762+I1763+I1764+I1765+I1766+I1767+I1768+I1769</f>
        <v>227644.975141829</v>
      </c>
      <c r="J1770" s="55" t="n">
        <f aca="false">J1762+J1763+J1764+J1765+J1766+J1767+J1768+J1769</f>
        <v>195594.374338346</v>
      </c>
      <c r="K1770" s="55" t="n">
        <f aca="false">K1762+K1763+K1764+K1765+K1766+K1767+K1768+K1769</f>
        <v>201914.113795627</v>
      </c>
      <c r="L1770" s="55" t="n">
        <f aca="false">L1762+L1763+L1764+L1765+L1766+L1767+L1768+L1769</f>
        <v>203625.087920545</v>
      </c>
      <c r="M1770" s="55" t="n">
        <f aca="false">M1762+M1763+M1764+M1765+M1766+M1767+M1768+M1769</f>
        <v>202522.061486331</v>
      </c>
      <c r="N1770" s="55" t="n">
        <f aca="false">N1762+N1763+N1764+N1765+N1766+N1767+N1768+N1769</f>
        <v>201495.500269437</v>
      </c>
      <c r="P1770" s="55" t="n">
        <f aca="false">SUM(C1770:F1770)</f>
        <v>551006.391579456</v>
      </c>
      <c r="Q1770" s="55" t="n">
        <f aca="false">SUM(G1770:J1770)</f>
        <v>817220.860219416</v>
      </c>
      <c r="R1770" s="55" t="n">
        <f aca="false">SUM(K1770:N1770)</f>
        <v>809556.76347194</v>
      </c>
      <c r="S1770" s="56" t="n">
        <f aca="false">SUM(P1770:R1770)</f>
        <v>2177784.01527081</v>
      </c>
    </row>
    <row r="1771" customFormat="false" ht="15" hidden="false" customHeight="false" outlineLevel="0" collapsed="false">
      <c r="A1771" s="4" t="s">
        <v>563</v>
      </c>
      <c r="B1771" s="36" t="s">
        <v>125</v>
      </c>
      <c r="C1771" s="54" t="n">
        <f aca="false">C1759*Assumptions!$H$72/Assumptions!$H$69/4</f>
        <v>56535.7142857143</v>
      </c>
      <c r="D1771" s="54" t="n">
        <f aca="false">D1759*Assumptions!$H$72/Assumptions!$H$69/4</f>
        <v>56535.7142857143</v>
      </c>
      <c r="E1771" s="54" t="n">
        <f aca="false">E1759*Assumptions!$H$72/Assumptions!$H$69/4</f>
        <v>56535.7142857143</v>
      </c>
      <c r="F1771" s="54" t="n">
        <f aca="false">F1759*Assumptions!$H$72/Assumptions!$H$69/4</f>
        <v>56535.7142857143</v>
      </c>
      <c r="G1771" s="54" t="n">
        <f aca="false">G1759*Assumptions!$H$72/Assumptions!$H$69/4</f>
        <v>28267.8571428571</v>
      </c>
      <c r="H1771" s="54" t="n">
        <f aca="false">H1759*Assumptions!$H$72/Assumptions!$H$69/4</f>
        <v>28267.8571428571</v>
      </c>
      <c r="I1771" s="54" t="n">
        <f aca="false">I1759*Assumptions!$H$72/Assumptions!$H$69/4</f>
        <v>28267.8571428571</v>
      </c>
      <c r="J1771" s="54" t="n">
        <f aca="false">J1759*Assumptions!$H$72/Assumptions!$H$69/4</f>
        <v>28267.8571428571</v>
      </c>
      <c r="K1771" s="54" t="n">
        <f aca="false">K1759*Assumptions!$H$72/Assumptions!$H$69/4</f>
        <v>28267.8571428571</v>
      </c>
      <c r="L1771" s="54" t="n">
        <f aca="false">L1759*Assumptions!$H$72/Assumptions!$H$69/4</f>
        <v>28267.8571428571</v>
      </c>
      <c r="M1771" s="54" t="n">
        <f aca="false">M1759*Assumptions!$H$72/Assumptions!$H$69/4</f>
        <v>28267.8571428571</v>
      </c>
      <c r="N1771" s="54" t="n">
        <f aca="false">N1759*Assumptions!$H$72/Assumptions!$H$69/4</f>
        <v>28267.8571428571</v>
      </c>
      <c r="P1771" s="55" t="n">
        <f aca="false">SUM(C1771:F1771)</f>
        <v>226142.857142857</v>
      </c>
      <c r="Q1771" s="55" t="n">
        <f aca="false">SUM(G1771:J1771)</f>
        <v>113071.428571429</v>
      </c>
      <c r="R1771" s="55" t="n">
        <f aca="false">SUM(K1771:N1771)</f>
        <v>113071.428571429</v>
      </c>
      <c r="S1771" s="56" t="n">
        <f aca="false">SUM(P1771:R1771)</f>
        <v>452285.714285714</v>
      </c>
    </row>
    <row r="1772" customFormat="false" ht="15" hidden="false" customHeight="false" outlineLevel="0" collapsed="false">
      <c r="A1772" s="4" t="s">
        <v>564</v>
      </c>
      <c r="B1772" s="36" t="s">
        <v>125</v>
      </c>
      <c r="C1772" s="54" t="n">
        <f aca="false">IF(C1697&lt;=Assumptions!$H$83,Assumptions!$H$82*Assumptions!$D$108/Assumptions!$H$83,0)</f>
        <v>62500</v>
      </c>
      <c r="D1772" s="54" t="n">
        <f aca="false">IF(D1697&lt;=Assumptions!$H$83,Assumptions!$H$82*Assumptions!$D$108/Assumptions!$H$83,0)</f>
        <v>62500</v>
      </c>
      <c r="E1772" s="54" t="n">
        <f aca="false">IF(E1697&lt;=Assumptions!$H$83,Assumptions!$H$82*Assumptions!$D$108/Assumptions!$H$83,0)</f>
        <v>62500</v>
      </c>
      <c r="F1772" s="54" t="n">
        <f aca="false">IF(F1697&lt;=Assumptions!$H$83,Assumptions!$H$82*Assumptions!$D$108/Assumptions!$H$83,0)</f>
        <v>62500</v>
      </c>
      <c r="G1772" s="54" t="n">
        <f aca="false">IF(G1697&lt;=Assumptions!$H$83,Assumptions!$H$82*Assumptions!$D$108/Assumptions!$H$83,0)</f>
        <v>0</v>
      </c>
      <c r="H1772" s="54" t="n">
        <f aca="false">IF(H1697&lt;=Assumptions!$H$83,Assumptions!$H$82*Assumptions!$D$108/Assumptions!$H$83,0)</f>
        <v>0</v>
      </c>
      <c r="I1772" s="54" t="n">
        <f aca="false">IF(I1697&lt;=Assumptions!$H$83,Assumptions!$H$82*Assumptions!$D$108/Assumptions!$H$83,0)</f>
        <v>0</v>
      </c>
      <c r="J1772" s="54" t="n">
        <f aca="false">IF(J1697&lt;=Assumptions!$H$83,Assumptions!$H$82*Assumptions!$D$108/Assumptions!$H$83,0)</f>
        <v>0</v>
      </c>
      <c r="K1772" s="54" t="n">
        <f aca="false">IF(K1697&lt;=Assumptions!$H$83,Assumptions!$H$82*Assumptions!$D$108/Assumptions!$H$83,0)</f>
        <v>0</v>
      </c>
      <c r="L1772" s="54" t="n">
        <f aca="false">IF(L1697&lt;=Assumptions!$H$83,Assumptions!$H$82*Assumptions!$D$108/Assumptions!$H$83,0)</f>
        <v>0</v>
      </c>
      <c r="M1772" s="54" t="n">
        <f aca="false">IF(M1697&lt;=Assumptions!$H$83,Assumptions!$H$82*Assumptions!$D$108/Assumptions!$H$83,0)</f>
        <v>0</v>
      </c>
      <c r="N1772" s="54" t="n">
        <f aca="false">IF(N1697&lt;=Assumptions!$H$83,Assumptions!$H$82*Assumptions!$D$108/Assumptions!$H$83,0)</f>
        <v>0</v>
      </c>
      <c r="P1772" s="55" t="n">
        <f aca="false">SUM(C1772:F1772)</f>
        <v>250000</v>
      </c>
      <c r="Q1772" s="55" t="n">
        <f aca="false">SUM(G1772:J1772)</f>
        <v>0</v>
      </c>
      <c r="R1772" s="55" t="n">
        <f aca="false">SUM(K1772:N1772)</f>
        <v>0</v>
      </c>
      <c r="S1772" s="56" t="n">
        <f aca="false">SUM(P1772:R1772)</f>
        <v>250000</v>
      </c>
    </row>
    <row r="1773" customFormat="false" ht="15" hidden="false" customHeight="false" outlineLevel="0" collapsed="false">
      <c r="A1773" s="4" t="s">
        <v>565</v>
      </c>
      <c r="B1773" s="36" t="s">
        <v>125</v>
      </c>
      <c r="C1773" s="54" t="n">
        <f aca="false">C1761*Assumptions!$H$73/Assumptions!$H$69/4</f>
        <v>0</v>
      </c>
      <c r="D1773" s="54" t="n">
        <f aca="false">D1761*Assumptions!$H$73/Assumptions!$H$69/4</f>
        <v>1079.68934119782</v>
      </c>
      <c r="E1773" s="54" t="n">
        <f aca="false">E1761*Assumptions!$H$73/Assumptions!$H$69/4</f>
        <v>3060.08658322416</v>
      </c>
      <c r="F1773" s="54" t="n">
        <f aca="false">F1761*Assumptions!$H$73/Assumptions!$H$69/4</f>
        <v>5123.60456838357</v>
      </c>
      <c r="G1773" s="54" t="n">
        <f aca="false">G1761*Assumptions!$H$73/Assumptions!$H$69/4</f>
        <v>7183.82524628113</v>
      </c>
      <c r="H1773" s="54" t="n">
        <f aca="false">H1761*Assumptions!$H$73/Assumptions!$H$69/4</f>
        <v>10008.2092879041</v>
      </c>
      <c r="I1773" s="54" t="n">
        <f aca="false">I1761*Assumptions!$H$73/Assumptions!$H$69/4</f>
        <v>13590.062391956</v>
      </c>
      <c r="J1773" s="54" t="n">
        <f aca="false">J1761*Assumptions!$H$73/Assumptions!$H$69/4</f>
        <v>18056.4002807625</v>
      </c>
      <c r="K1773" s="54" t="n">
        <f aca="false">K1761*Assumptions!$H$73/Assumptions!$H$69/4</f>
        <v>23339.4034013952</v>
      </c>
      <c r="L1773" s="54" t="n">
        <f aca="false">L1761*Assumptions!$H$73/Assumptions!$H$69/4</f>
        <v>28409.9416308012</v>
      </c>
      <c r="M1773" s="54" t="n">
        <f aca="false">M1761*Assumptions!$H$73/Assumptions!$H$69/4</f>
        <v>33173.5632055668</v>
      </c>
      <c r="N1773" s="54" t="n">
        <f aca="false">N1761*Assumptions!$H$73/Assumptions!$H$69/4</f>
        <v>37650.4221154394</v>
      </c>
      <c r="P1773" s="55" t="n">
        <f aca="false">SUM(C1773:F1773)</f>
        <v>9263.38049280555</v>
      </c>
      <c r="Q1773" s="55" t="n">
        <f aca="false">SUM(G1773:J1773)</f>
        <v>48838.4972069038</v>
      </c>
      <c r="R1773" s="55" t="n">
        <f aca="false">SUM(K1773:N1773)</f>
        <v>122573.330353203</v>
      </c>
      <c r="S1773" s="56" t="n">
        <f aca="false">SUM(P1773:R1773)</f>
        <v>180675.208052912</v>
      </c>
    </row>
    <row r="1774" customFormat="false" ht="15" hidden="false" customHeight="false" outlineLevel="0" collapsed="false">
      <c r="A1774" s="9" t="s">
        <v>566</v>
      </c>
      <c r="B1774" s="36" t="s">
        <v>125</v>
      </c>
      <c r="C1774" s="55" t="n">
        <f aca="false">C1770+C1771+C1772+C1773</f>
        <v>275265.178571429</v>
      </c>
      <c r="D1774" s="55" t="n">
        <f aca="false">D1770+D1771+D1772+D1773</f>
        <v>243985.96883676</v>
      </c>
      <c r="E1774" s="55" t="n">
        <f aca="false">E1770+E1771+E1772+E1773</f>
        <v>255062.870149008</v>
      </c>
      <c r="F1774" s="55" t="n">
        <f aca="false">F1770+F1771+F1772+F1773</f>
        <v>262098.611657923</v>
      </c>
      <c r="G1774" s="55" t="n">
        <f aca="false">G1770+G1771+G1772+G1773</f>
        <v>249475.887197375</v>
      </c>
      <c r="H1774" s="55" t="n">
        <f aca="false">H1770+H1771+H1772+H1773</f>
        <v>218233.372361767</v>
      </c>
      <c r="I1774" s="55" t="n">
        <f aca="false">I1770+I1771+I1772+I1773</f>
        <v>269502.894676642</v>
      </c>
      <c r="J1774" s="55" t="n">
        <f aca="false">J1770+J1771+J1772+J1773</f>
        <v>241918.631761965</v>
      </c>
      <c r="K1774" s="55" t="n">
        <f aca="false">K1770+K1771+K1772+K1773</f>
        <v>253521.374339879</v>
      </c>
      <c r="L1774" s="55" t="n">
        <f aca="false">L1770+L1771+L1772+L1773</f>
        <v>260302.886694203</v>
      </c>
      <c r="M1774" s="55" t="n">
        <f aca="false">M1770+M1771+M1772+M1773</f>
        <v>263963.481834755</v>
      </c>
      <c r="N1774" s="55" t="n">
        <f aca="false">N1770+N1771+N1772+N1773</f>
        <v>267413.779527734</v>
      </c>
      <c r="P1774" s="55" t="n">
        <f aca="false">SUM(C1774:F1774)</f>
        <v>1036412.62921512</v>
      </c>
      <c r="Q1774" s="55" t="n">
        <f aca="false">SUM(G1774:J1774)</f>
        <v>979130.785997749</v>
      </c>
      <c r="R1774" s="55" t="n">
        <f aca="false">SUM(K1774:N1774)</f>
        <v>1045201.52239657</v>
      </c>
      <c r="S1774" s="56" t="n">
        <f aca="false">SUM(P1774:R1774)</f>
        <v>3060744.93760944</v>
      </c>
    </row>
    <row r="1775" customFormat="false" ht="15" hidden="false" customHeight="false" outlineLevel="0" collapsed="false">
      <c r="A1775" s="35" t="s">
        <v>567</v>
      </c>
      <c r="B1775" s="35" t="s">
        <v>444</v>
      </c>
      <c r="C1775" s="6" t="s">
        <v>354</v>
      </c>
      <c r="D1775" s="6" t="s">
        <v>355</v>
      </c>
      <c r="E1775" s="6" t="s">
        <v>356</v>
      </c>
      <c r="F1775" s="6" t="s">
        <v>357</v>
      </c>
      <c r="G1775" s="6" t="s">
        <v>358</v>
      </c>
      <c r="H1775" s="6" t="s">
        <v>359</v>
      </c>
      <c r="I1775" s="6" t="s">
        <v>360</v>
      </c>
      <c r="J1775" s="6" t="s">
        <v>361</v>
      </c>
      <c r="K1775" s="6" t="s">
        <v>362</v>
      </c>
      <c r="L1775" s="6" t="s">
        <v>363</v>
      </c>
      <c r="M1775" s="6" t="s">
        <v>364</v>
      </c>
      <c r="N1775" s="6" t="s">
        <v>365</v>
      </c>
      <c r="P1775" s="6" t="s">
        <v>445</v>
      </c>
      <c r="Q1775" s="6" t="s">
        <v>446</v>
      </c>
      <c r="R1775" s="6" t="s">
        <v>447</v>
      </c>
      <c r="S1775" s="6" t="s">
        <v>448</v>
      </c>
    </row>
    <row r="1776" customFormat="false" ht="15" hidden="false" customHeight="false" outlineLevel="0" collapsed="false">
      <c r="A1776" s="9" t="s">
        <v>568</v>
      </c>
      <c r="B1776" s="36" t="s">
        <v>125</v>
      </c>
      <c r="C1776" s="55" t="n">
        <f aca="false">C1754-C1774</f>
        <v>-275265.178571429</v>
      </c>
      <c r="D1776" s="55" t="n">
        <f aca="false">D1754-D1774</f>
        <v>-242828.109393186</v>
      </c>
      <c r="E1776" s="55" t="n">
        <f aca="false">E1754-E1774</f>
        <v>-250269.397606507</v>
      </c>
      <c r="F1776" s="55" t="n">
        <f aca="false">F1754-F1774</f>
        <v>-251941.973690286</v>
      </c>
      <c r="G1776" s="55" t="n">
        <f aca="false">G1754-G1774</f>
        <v>-233442.475121052</v>
      </c>
      <c r="H1776" s="55" t="n">
        <f aca="false">H1754-H1774</f>
        <v>-195288.61159662</v>
      </c>
      <c r="I1776" s="55" t="n">
        <f aca="false">I1754-I1774</f>
        <v>-237575.249333895</v>
      </c>
      <c r="J1776" s="55" t="n">
        <f aca="false">J1754-J1774</f>
        <v>-198661.541698474</v>
      </c>
      <c r="K1776" s="55" t="n">
        <f aca="false">K1754-K1774</f>
        <v>-196487.395710903</v>
      </c>
      <c r="L1776" s="55" t="n">
        <f aca="false">L1754-L1774</f>
        <v>-187985.871482808</v>
      </c>
      <c r="M1776" s="55" t="n">
        <f aca="false">M1754-M1774</f>
        <v>-176215.348479473</v>
      </c>
      <c r="N1776" s="55" t="n">
        <f aca="false">N1754-N1774</f>
        <v>-164447.18468622</v>
      </c>
      <c r="P1776" s="55" t="n">
        <f aca="false">SUM(C1776:F1776)</f>
        <v>-1020304.65926141</v>
      </c>
      <c r="Q1776" s="55" t="n">
        <f aca="false">SUM(G1776:J1776)</f>
        <v>-864967.877750042</v>
      </c>
      <c r="R1776" s="55" t="n">
        <f aca="false">SUM(K1776:N1776)</f>
        <v>-725135.800359403</v>
      </c>
      <c r="S1776" s="56" t="n">
        <f aca="false">SUM(P1776:R1776)</f>
        <v>-2610408.33737085</v>
      </c>
    </row>
    <row r="1777" customFormat="false" ht="15" hidden="false" customHeight="false" outlineLevel="0" collapsed="false">
      <c r="A1777" s="9" t="s">
        <v>569</v>
      </c>
      <c r="B1777" s="36" t="s">
        <v>125</v>
      </c>
      <c r="C1777" s="55" t="n">
        <f aca="false">0+C1776</f>
        <v>-275265.178571429</v>
      </c>
      <c r="D1777" s="55" t="n">
        <f aca="false">C1777+D1776</f>
        <v>-518093.287964614</v>
      </c>
      <c r="E1777" s="55" t="n">
        <f aca="false">D1777+E1776</f>
        <v>-768362.685571121</v>
      </c>
      <c r="F1777" s="55" t="n">
        <f aca="false">E1777+F1776</f>
        <v>-1020304.65926141</v>
      </c>
      <c r="G1777" s="55" t="n">
        <f aca="false">F1777+G1776</f>
        <v>-1253747.13438246</v>
      </c>
      <c r="H1777" s="55" t="n">
        <f aca="false">G1777+H1776</f>
        <v>-1449035.74597908</v>
      </c>
      <c r="I1777" s="55" t="n">
        <f aca="false">H1777+I1776</f>
        <v>-1686610.99531297</v>
      </c>
      <c r="J1777" s="55" t="n">
        <f aca="false">I1777+J1776</f>
        <v>-1885272.53701145</v>
      </c>
      <c r="K1777" s="55" t="n">
        <f aca="false">J1777+K1776</f>
        <v>-2081759.93272235</v>
      </c>
      <c r="L1777" s="55" t="n">
        <f aca="false">K1777+L1776</f>
        <v>-2269745.80420516</v>
      </c>
      <c r="M1777" s="55" t="n">
        <f aca="false">L1777+M1776</f>
        <v>-2445961.15268463</v>
      </c>
      <c r="N1777" s="55" t="n">
        <f aca="false">M1777+N1776</f>
        <v>-2610408.33737085</v>
      </c>
      <c r="P1777" s="55" t="n">
        <f aca="false">F1777</f>
        <v>-1020304.65926141</v>
      </c>
      <c r="Q1777" s="55" t="n">
        <f aca="false">J1777</f>
        <v>-1885272.53701145</v>
      </c>
      <c r="R1777" s="55" t="n">
        <f aca="false">N1777</f>
        <v>-2610408.33737085</v>
      </c>
      <c r="S1777" s="56" t="n">
        <f aca="false">R1777</f>
        <v>-2610408.33737085</v>
      </c>
    </row>
    <row r="1778" customFormat="false" ht="15" hidden="false" customHeight="false" outlineLevel="0" collapsed="false">
      <c r="A1778" s="4" t="s">
        <v>570</v>
      </c>
      <c r="B1778" s="36" t="s">
        <v>107</v>
      </c>
      <c r="C1778" s="57" t="n">
        <f aca="false">1/(1+Assumptions!$H$87)^(C1697/4)</f>
        <v>0.972065420906982</v>
      </c>
      <c r="D1778" s="57" t="n">
        <f aca="false">1/(1+Assumptions!$H$87)^(D1697/4)</f>
        <v>0.944911182523068</v>
      </c>
      <c r="E1778" s="57" t="n">
        <f aca="false">1/(1+Assumptions!$H$87)^(E1697/4)</f>
        <v>0.918515486359</v>
      </c>
      <c r="F1778" s="57" t="n">
        <f aca="false">1/(1+Assumptions!$H$87)^(F1697/4)</f>
        <v>0.892857142857143</v>
      </c>
      <c r="G1778" s="57" t="n">
        <f aca="false">1/(1+Assumptions!$H$87)^(G1697/4)</f>
        <v>0.867915554381234</v>
      </c>
      <c r="H1778" s="57" t="n">
        <f aca="false">1/(1+Assumptions!$H$87)^(H1697/4)</f>
        <v>0.843670698681311</v>
      </c>
      <c r="I1778" s="57" t="n">
        <f aca="false">1/(1+Assumptions!$H$87)^(I1697/4)</f>
        <v>0.820103112820536</v>
      </c>
      <c r="J1778" s="57" t="n">
        <f aca="false">1/(1+Assumptions!$H$87)^(J1697/4)</f>
        <v>0.79719387755102</v>
      </c>
      <c r="K1778" s="57" t="n">
        <f aca="false">1/(1+Assumptions!$H$87)^(K1697/4)</f>
        <v>0.774924602126102</v>
      </c>
      <c r="L1778" s="57" t="n">
        <f aca="false">1/(1+Assumptions!$H$87)^(L1697/4)</f>
        <v>0.753277409536885</v>
      </c>
      <c r="M1778" s="57" t="n">
        <f aca="false">1/(1+Assumptions!$H$87)^(M1697/4)</f>
        <v>0.732234922161193</v>
      </c>
      <c r="N1778" s="57" t="n">
        <f aca="false">1/(1+Assumptions!$H$87)^(N1697/4)</f>
        <v>0.711780247813411</v>
      </c>
      <c r="P1778" s="58"/>
      <c r="Q1778" s="58"/>
      <c r="R1778" s="58"/>
      <c r="S1778" s="59"/>
    </row>
    <row r="1779" customFormat="false" ht="15" hidden="false" customHeight="false" outlineLevel="0" collapsed="false">
      <c r="A1779" s="4" t="s">
        <v>571</v>
      </c>
      <c r="B1779" s="36" t="s">
        <v>125</v>
      </c>
      <c r="C1779" s="54" t="n">
        <f aca="false">(C1754*(1-Assumptions!$H$88)-C1774)*C1778</f>
        <v>-267575.761669071</v>
      </c>
      <c r="D1779" s="54" t="n">
        <f aca="false">(D1754*(1-Assumptions!$H$88)-D1774)*D1778</f>
        <v>-229943.329447766</v>
      </c>
      <c r="E1779" s="54" t="n">
        <f aca="false">(E1754*(1-Assumptions!$H$88)-E1774)*E1778</f>
        <v>-231857.61290699</v>
      </c>
      <c r="F1779" s="54" t="n">
        <f aca="false">(F1754*(1-Assumptions!$H$88)-F1774)*F1778</f>
        <v>-229028.982835467</v>
      </c>
      <c r="G1779" s="54" t="n">
        <f aca="false">(G1754*(1-Assumptions!$H$88)-G1774)*G1778</f>
        <v>-208870.396689695</v>
      </c>
      <c r="H1779" s="54" t="n">
        <f aca="false">(H1754*(1-Assumptions!$H$88)-H1774)*H1778</f>
        <v>-173470.299445837</v>
      </c>
      <c r="I1779" s="54" t="n">
        <f aca="false">(I1754*(1-Assumptions!$H$88)-I1774)*I1778</f>
        <v>-206618.98410662</v>
      </c>
      <c r="J1779" s="54" t="n">
        <f aca="false">(J1754*(1-Assumptions!$H$88)-J1774)*J1778</f>
        <v>-173889.69405855</v>
      </c>
      <c r="K1779" s="54" t="n">
        <f aca="false">(K1754*(1-Assumptions!$H$88)-K1774)*K1778</f>
        <v>-172151.581882593</v>
      </c>
      <c r="L1779" s="54" t="n">
        <f aca="false">(L1754*(1-Assumptions!$H$88)-L1774)*L1778</f>
        <v>-166119.158547849</v>
      </c>
      <c r="M1779" s="54" t="n">
        <f aca="false">(M1754*(1-Assumptions!$H$88)-M1774)*M1778</f>
        <v>-157944.543396212</v>
      </c>
      <c r="N1779" s="54" t="n">
        <f aca="false">(N1754*(1-Assumptions!$H$88)-N1774)*N1778</f>
        <v>-150030.572644933</v>
      </c>
      <c r="P1779" s="55" t="n">
        <f aca="false">SUM(C1779:F1779)</f>
        <v>-958405.686859295</v>
      </c>
      <c r="Q1779" s="55" t="n">
        <f aca="false">SUM(G1779:J1779)</f>
        <v>-762849.374300702</v>
      </c>
      <c r="R1779" s="55" t="n">
        <f aca="false">SUM(K1779:N1779)</f>
        <v>-646245.856471587</v>
      </c>
      <c r="S1779" s="56" t="n">
        <f aca="false">SUM(P1779:R1779)</f>
        <v>-2367500.91763158</v>
      </c>
    </row>
    <row r="1780" customFormat="false" ht="15" hidden="false" customHeight="false" outlineLevel="0" collapsed="false">
      <c r="A1780" s="4" t="s">
        <v>572</v>
      </c>
      <c r="B1780" s="36" t="s">
        <v>125</v>
      </c>
      <c r="C1780" s="54" t="n">
        <f aca="false">(C1774-C1773)*12/(Assumptions!$H$89*Assumptions!$H$76)*Assumptions!$H$90</f>
        <v>190568.200549451</v>
      </c>
      <c r="D1780" s="54" t="n">
        <f aca="false">(D1774-D1773)*12/(Assumptions!$H$89*Assumptions!$H$76)*Assumptions!$H$90</f>
        <v>168165.88580462</v>
      </c>
      <c r="E1780" s="54" t="n">
        <f aca="false">(E1774-E1773)*12/(Assumptions!$H$89*Assumptions!$H$76)*Assumptions!$H$90</f>
        <v>174463.465545542</v>
      </c>
      <c r="F1780" s="54" t="n">
        <f aca="false">(F1774-F1773)*12/(Assumptions!$H$89*Assumptions!$H$76)*Assumptions!$H$90</f>
        <v>177905.774138912</v>
      </c>
      <c r="G1780" s="54" t="n">
        <f aca="false">(G1774-G1773)*12/(Assumptions!$H$89*Assumptions!$H$76)*Assumptions!$H$90</f>
        <v>167740.658273834</v>
      </c>
      <c r="H1780" s="54" t="n">
        <f aca="false">(H1774-H1773)*12/(Assumptions!$H$89*Assumptions!$H$76)*Assumptions!$H$90</f>
        <v>144155.882128059</v>
      </c>
      <c r="I1780" s="54" t="n">
        <f aca="false">(I1774-I1773)*12/(Assumptions!$H$89*Assumptions!$H$76)*Assumptions!$H$90</f>
        <v>177170.422350936</v>
      </c>
      <c r="J1780" s="54" t="n">
        <f aca="false">(J1774-J1773)*12/(Assumptions!$H$89*Assumptions!$H$76)*Assumptions!$H$90</f>
        <v>154981.544871602</v>
      </c>
      <c r="K1780" s="54" t="n">
        <f aca="false">(K1774-K1773)*12/(Assumptions!$H$89*Assumptions!$H$76)*Assumptions!$H$90</f>
        <v>159356.749111258</v>
      </c>
      <c r="L1780" s="54" t="n">
        <f aca="false">(L1774-L1773)*12/(Assumptions!$H$89*Assumptions!$H$76)*Assumptions!$H$90</f>
        <v>160541.269659278</v>
      </c>
      <c r="M1780" s="54" t="n">
        <f aca="false">(M1774-M1773)*12/(Assumptions!$H$89*Assumptions!$H$76)*Assumptions!$H$90</f>
        <v>159777.635974054</v>
      </c>
      <c r="N1780" s="54" t="n">
        <f aca="false">(N1774-N1773)*12/(Assumptions!$H$89*Assumptions!$H$76)*Assumptions!$H$90</f>
        <v>159066.939746973</v>
      </c>
      <c r="P1780" s="55" t="n">
        <f aca="false">SUM(C1780:F1780)</f>
        <v>711103.326038525</v>
      </c>
      <c r="Q1780" s="55" t="n">
        <f aca="false">SUM(G1780:J1780)</f>
        <v>644048.507624431</v>
      </c>
      <c r="R1780" s="55" t="n">
        <f aca="false">SUM(K1780:N1780)</f>
        <v>638742.594491563</v>
      </c>
      <c r="S1780" s="56" t="n">
        <f aca="false">SUM(P1780:R1780)</f>
        <v>1993894.42815452</v>
      </c>
    </row>
    <row r="1781" customFormat="false" ht="15" hidden="false" customHeight="false" outlineLevel="0" collapsed="false">
      <c r="A1781" s="4" t="s">
        <v>573</v>
      </c>
      <c r="B1781" s="36" t="s">
        <v>125</v>
      </c>
      <c r="C1781" s="54" t="n">
        <f aca="false">0*Assumptions!$H$92^(1/4)+C1780</f>
        <v>190568.200549451</v>
      </c>
      <c r="D1781" s="54" t="n">
        <f aca="false">C1781*Assumptions!$H$92^(1/4)+D1780</f>
        <v>359208.730629146</v>
      </c>
      <c r="E1781" s="54" t="n">
        <f aca="false">D1781*Assumptions!$H$92^(1/4)+E1780</f>
        <v>534566.86992959</v>
      </c>
      <c r="F1781" s="54" t="n">
        <f aca="false">E1781*Assumptions!$H$92^(1/4)+F1780</f>
        <v>713804.078713557</v>
      </c>
      <c r="G1781" s="54" t="n">
        <f aca="false">F1781*Assumptions!$H$92^(1/4)+G1780</f>
        <v>883322.594040721</v>
      </c>
      <c r="H1781" s="54" t="n">
        <f aca="false">G1781*Assumptions!$H$92^(1/4)+H1780</f>
        <v>1029678.54948163</v>
      </c>
      <c r="I1781" s="54" t="n">
        <f aca="false">H1781*Assumptions!$H$92^(1/4)+I1780</f>
        <v>1209413.57089616</v>
      </c>
      <c r="J1781" s="54" t="n">
        <f aca="false">I1781*Assumptions!$H$92^(1/4)+J1780</f>
        <v>1367407.37713125</v>
      </c>
      <c r="K1781" s="54" t="n">
        <f aca="false">J1781*Assumptions!$H$92^(1/4)+K1780</f>
        <v>1530169.89951098</v>
      </c>
      <c r="L1781" s="54" t="n">
        <f aca="false">K1781*Assumptions!$H$92^(1/4)+L1780</f>
        <v>1694522.33168637</v>
      </c>
      <c r="M1781" s="54" t="n">
        <f aca="false">L1781*Assumptions!$H$92^(1/4)+M1780</f>
        <v>1858520.47937961</v>
      </c>
      <c r="N1781" s="54" t="n">
        <f aca="false">M1781*Assumptions!$H$92^(1/4)+N1780</f>
        <v>2022216.39763981</v>
      </c>
      <c r="P1781" s="55" t="n">
        <f aca="false">F1781</f>
        <v>713804.078713557</v>
      </c>
      <c r="Q1781" s="55" t="n">
        <f aca="false">J1781</f>
        <v>1367407.37713125</v>
      </c>
      <c r="R1781" s="55" t="n">
        <f aca="false">N1781</f>
        <v>2022216.39763981</v>
      </c>
      <c r="S1781" s="56" t="n">
        <f aca="false">R1781</f>
        <v>2022216.39763981</v>
      </c>
    </row>
    <row r="1782" customFormat="false" ht="15" hidden="false" customHeight="false" outlineLevel="0" collapsed="false">
      <c r="A1782" s="4" t="s">
        <v>574</v>
      </c>
      <c r="B1782" s="36" t="s">
        <v>125</v>
      </c>
      <c r="C1782" s="54" t="n">
        <f aca="false">(0+C1781)/8*Assumptions!$H$76-(C1774-C1773)-C1781*Assumptions!$H$93/4</f>
        <v>-262163.614783654</v>
      </c>
      <c r="D1782" s="54" t="n">
        <f aca="false">(C1781+D1781)/8*Assumptions!$H$76-(D1774-D1773)-D1781*Assumptions!$H$93/4</f>
        <v>-202727.012970165</v>
      </c>
      <c r="E1782" s="54" t="n">
        <f aca="false">(D1781+E1781)/8*Assumptions!$H$76-(E1774-E1773)-E1781*Assumptions!$H$93/4</f>
        <v>-186065.601894506</v>
      </c>
      <c r="F1782" s="54" t="n">
        <f aca="false">(E1781+F1781)/8*Assumptions!$H$76-(F1774-F1773)-F1781*Assumptions!$H$93/4</f>
        <v>-164467.418496203</v>
      </c>
      <c r="G1782" s="54" t="n">
        <f aca="false">(F1781+G1781)/8*Assumptions!$H$76-(G1774-G1773)-G1781*Assumptions!$H$93/4</f>
        <v>-123567.052215317</v>
      </c>
      <c r="H1782" s="54" t="n">
        <f aca="false">(G1781+H1781)/8*Assumptions!$H$76-(H1774-H1773)-H1781*Assumptions!$H$93/4</f>
        <v>-65664.8020311924</v>
      </c>
      <c r="I1782" s="54" t="n">
        <f aca="false">(H1781+I1781)/8*Assumptions!$H$76-(I1774-I1773)-I1781*Assumptions!$H$93/4</f>
        <v>-89104.2671401922</v>
      </c>
      <c r="J1782" s="54" t="n">
        <f aca="false">(I1781+J1781)/8*Assumptions!$H$76-(J1774-J1773)-J1781*Assumptions!$H$93/4</f>
        <v>-31588.121668116</v>
      </c>
      <c r="K1782" s="54" t="n">
        <f aca="false">(J1781+K1781)/8*Assumptions!$H$76-(K1774-K1773)-K1781*Assumptions!$H$93/4</f>
        <v>-13880.9409551896</v>
      </c>
      <c r="L1782" s="54" t="n">
        <f aca="false">(K1781+L1781)/8*Assumptions!$H$76-(L1774-L1773)-L1781*Assumptions!$H$93/4</f>
        <v>8931.76957530337</v>
      </c>
      <c r="M1782" s="54" t="n">
        <f aca="false">(L1781+M1781)/8*Assumptions!$H$76-(M1774-M1773)-M1781*Assumptions!$H$93/4</f>
        <v>34663.3037776769</v>
      </c>
      <c r="N1782" s="54" t="n">
        <f aca="false">(M1781+N1781)/8*Assumptions!$H$76-(N1774-N1773)-N1781*Assumptions!$H$93/4</f>
        <v>60268.8088750359</v>
      </c>
      <c r="P1782" s="55" t="n">
        <f aca="false">SUM(C1782:F1782)</f>
        <v>-815423.648144529</v>
      </c>
      <c r="Q1782" s="55" t="n">
        <f aca="false">SUM(G1782:J1782)</f>
        <v>-309924.243054818</v>
      </c>
      <c r="R1782" s="55" t="n">
        <f aca="false">SUM(K1782:N1782)</f>
        <v>89982.9412728267</v>
      </c>
      <c r="S1782" s="56" t="n">
        <f aca="false">SUM(P1782:R1782)</f>
        <v>-1035364.94992652</v>
      </c>
    </row>
    <row r="1783" customFormat="false" ht="15" hidden="false" customHeight="false" outlineLevel="0" collapsed="false">
      <c r="A1783" s="4" t="s">
        <v>575</v>
      </c>
      <c r="B1783" s="36" t="s">
        <v>125</v>
      </c>
      <c r="C1783" s="54" t="n">
        <f aca="false">C1782*C1778</f>
        <v>-254840.184551168</v>
      </c>
      <c r="D1783" s="54" t="n">
        <f aca="false">D1782*D1778</f>
        <v>-191559.021555008</v>
      </c>
      <c r="E1783" s="54" t="n">
        <f aca="false">E1782*E1778</f>
        <v>-170904.136818812</v>
      </c>
      <c r="F1783" s="54" t="n">
        <f aca="false">F1782*F1778</f>
        <v>-146845.90937161</v>
      </c>
      <c r="G1783" s="54" t="n">
        <f aca="false">G1782*G1778</f>
        <v>-107245.766626712</v>
      </c>
      <c r="H1783" s="54" t="n">
        <f aca="false">H1782*H1778</f>
        <v>-55399.469408426</v>
      </c>
      <c r="I1783" s="54" t="n">
        <f aca="false">I1782*I1778</f>
        <v>-73074.6868472642</v>
      </c>
      <c r="J1783" s="54" t="n">
        <f aca="false">J1782*J1778</f>
        <v>-25181.8571971588</v>
      </c>
      <c r="K1783" s="54" t="n">
        <f aca="false">K1782*K1778</f>
        <v>-10756.6826468362</v>
      </c>
      <c r="L1783" s="54" t="n">
        <f aca="false">L1782*L1778</f>
        <v>6728.10024826488</v>
      </c>
      <c r="M1783" s="54" t="n">
        <f aca="false">M1782*M1778</f>
        <v>25381.681543497</v>
      </c>
      <c r="N1783" s="54" t="n">
        <f aca="false">N1782*N1778</f>
        <v>42898.1477164922</v>
      </c>
      <c r="P1783" s="55" t="n">
        <f aca="false">SUM(C1783:F1783)</f>
        <v>-764149.252296599</v>
      </c>
      <c r="Q1783" s="55" t="n">
        <f aca="false">SUM(G1783:J1783)</f>
        <v>-260901.780079561</v>
      </c>
      <c r="R1783" s="55" t="n">
        <f aca="false">SUM(K1783:N1783)</f>
        <v>64251.2468614179</v>
      </c>
      <c r="S1783" s="56" t="n">
        <f aca="false">SUM(P1783:R1783)</f>
        <v>-960799.785514742</v>
      </c>
    </row>
    <row r="1784" customFormat="false" ht="15" hidden="false" customHeight="false" outlineLevel="0" collapsed="false">
      <c r="A1784" s="4" t="s">
        <v>576</v>
      </c>
      <c r="B1784" s="36"/>
      <c r="C1784" s="37" t="n">
        <f aca="false">IFERROR((S1739*$C$1688*Assumptions!$H$59+S1740*$C$1689*Assumptions!$H$60+S1741*$C$1690*Assumptions!$H$61)/(S1739*$C$1688+S1740*$C$1689+S1741*$C$1690),0.9)</f>
        <v>0.894529630282398</v>
      </c>
    </row>
    <row r="1785" customFormat="false" ht="15" hidden="false" customHeight="false" outlineLevel="0" collapsed="false">
      <c r="A1785" s="4" t="s">
        <v>577</v>
      </c>
      <c r="B1785" s="36"/>
      <c r="C1785" s="37" t="n">
        <f aca="false">IFERROR(N1773*4/N1751,0)</f>
        <v>0.221419704722401</v>
      </c>
    </row>
    <row r="1786" customFormat="false" ht="15" hidden="false" customHeight="false" outlineLevel="0" collapsed="false">
      <c r="A1786" s="4" t="s">
        <v>578</v>
      </c>
      <c r="B1786" s="36"/>
      <c r="C1786" s="60" t="n">
        <f aca="false">$C$1784/(1+Assumptions!$H$87)</f>
        <v>0.798687169894998</v>
      </c>
    </row>
    <row r="1787" customFormat="false" ht="15" hidden="false" customHeight="false" outlineLevel="0" collapsed="false">
      <c r="A1787" s="4" t="s">
        <v>579</v>
      </c>
      <c r="B1787" s="36"/>
      <c r="C1787" s="60" t="n">
        <f aca="false">Assumptions!$H$91/(1+Assumptions!$H$87)</f>
        <v>0.803571428571429</v>
      </c>
    </row>
    <row r="1788" customFormat="false" ht="15" hidden="false" customHeight="false" outlineLevel="0" collapsed="false">
      <c r="A1788" s="35" t="s">
        <v>580</v>
      </c>
      <c r="B1788" s="35" t="s">
        <v>444</v>
      </c>
      <c r="C1788" s="6" t="s">
        <v>354</v>
      </c>
      <c r="D1788" s="6" t="s">
        <v>355</v>
      </c>
      <c r="E1788" s="6" t="s">
        <v>356</v>
      </c>
      <c r="F1788" s="6" t="s">
        <v>357</v>
      </c>
      <c r="G1788" s="6" t="s">
        <v>358</v>
      </c>
      <c r="H1788" s="6" t="s">
        <v>359</v>
      </c>
      <c r="I1788" s="6" t="s">
        <v>360</v>
      </c>
      <c r="J1788" s="6" t="s">
        <v>361</v>
      </c>
      <c r="K1788" s="6" t="s">
        <v>362</v>
      </c>
      <c r="L1788" s="6" t="s">
        <v>363</v>
      </c>
      <c r="M1788" s="6" t="s">
        <v>364</v>
      </c>
      <c r="N1788" s="6" t="s">
        <v>365</v>
      </c>
      <c r="P1788" s="6" t="s">
        <v>445</v>
      </c>
      <c r="Q1788" s="6" t="s">
        <v>446</v>
      </c>
      <c r="R1788" s="6" t="s">
        <v>447</v>
      </c>
      <c r="S1788" s="6" t="s">
        <v>448</v>
      </c>
    </row>
    <row r="1789" customFormat="false" ht="15" hidden="false" customHeight="false" outlineLevel="0" collapsed="false">
      <c r="A1789" s="9" t="s">
        <v>581</v>
      </c>
      <c r="C1789" s="61" t="n">
        <f aca="false">N1751</f>
        <v>680163.893500675</v>
      </c>
      <c r="D1789" s="61"/>
    </row>
    <row r="1790" customFormat="false" ht="15" hidden="false" customHeight="false" outlineLevel="0" collapsed="false">
      <c r="A1790" s="9" t="s">
        <v>582</v>
      </c>
      <c r="C1790" s="62" t="n">
        <f aca="false">N1747</f>
        <v>85.1422633918539</v>
      </c>
      <c r="D1790" s="62"/>
    </row>
    <row r="1791" customFormat="false" ht="15" hidden="false" customHeight="false" outlineLevel="0" collapsed="false">
      <c r="A1791" s="9" t="s">
        <v>583</v>
      </c>
      <c r="C1791" s="63" t="n">
        <f aca="false">S1742</f>
        <v>94.8804342050555</v>
      </c>
      <c r="D1791" s="63"/>
    </row>
    <row r="1792" customFormat="false" ht="15" hidden="false" customHeight="false" outlineLevel="0" collapsed="false">
      <c r="A1792" s="9" t="s">
        <v>584</v>
      </c>
      <c r="C1792" s="61" t="n">
        <f aca="false">S1753</f>
        <v>692825.538828596</v>
      </c>
      <c r="D1792" s="61"/>
    </row>
    <row r="1793" customFormat="false" ht="15" hidden="false" customHeight="false" outlineLevel="0" collapsed="false">
      <c r="A1793" s="9" t="s">
        <v>22</v>
      </c>
      <c r="C1793" s="61" t="n">
        <f aca="false">IFERROR(S1752/S1742,0)</f>
        <v>6863.97894361972</v>
      </c>
      <c r="D1793" s="61"/>
    </row>
    <row r="1794" customFormat="false" ht="15" hidden="false" customHeight="false" outlineLevel="0" collapsed="false">
      <c r="A1794" s="9" t="s">
        <v>585</v>
      </c>
      <c r="C1794" s="61" t="n">
        <f aca="false">IFERROR(S1770/S1742,0)</f>
        <v>22952.9305332245</v>
      </c>
      <c r="D1794" s="61"/>
    </row>
    <row r="1795" customFormat="false" ht="23.85" hidden="false" customHeight="false" outlineLevel="0" collapsed="false">
      <c r="A1795" s="9" t="s">
        <v>586</v>
      </c>
      <c r="C1795" s="61" t="n">
        <f aca="false">IFERROR((S1764+S1766+S1767+S1768+S1769)/S1742,0)</f>
        <v>9359.318025556</v>
      </c>
      <c r="D1795" s="61"/>
    </row>
    <row r="1796" customFormat="false" ht="15" hidden="false" customHeight="false" outlineLevel="0" collapsed="false">
      <c r="A1796" s="9" t="s">
        <v>587</v>
      </c>
      <c r="C1796" s="64" t="n">
        <f aca="false">IFERROR('Engine Runs'!$C$1794/('Engine Runs'!$C$1793*Assumptions!$H$76/12),0)</f>
        <v>61.7348061998397</v>
      </c>
      <c r="D1796" s="64"/>
    </row>
    <row r="1797" customFormat="false" ht="15" hidden="false" customHeight="false" outlineLevel="0" collapsed="false">
      <c r="A1797" s="9" t="s">
        <v>588</v>
      </c>
      <c r="C1797" s="64" t="n">
        <f aca="false">IFERROR((R1770/R1742)/((R1752/R1742)*Assumptions!$H$76/12),0)</f>
        <v>42.2717351099849</v>
      </c>
      <c r="D1797" s="64"/>
    </row>
    <row r="1798" customFormat="false" ht="15" hidden="false" customHeight="false" outlineLevel="0" collapsed="false">
      <c r="A1798" s="9" t="s">
        <v>589</v>
      </c>
      <c r="C1798" s="61" t="n">
        <f aca="false">S1774</f>
        <v>3060744.93760944</v>
      </c>
      <c r="D1798" s="61"/>
    </row>
    <row r="1799" customFormat="false" ht="15" hidden="false" customHeight="false" outlineLevel="0" collapsed="false">
      <c r="A1799" s="9" t="s">
        <v>590</v>
      </c>
      <c r="C1799" s="61" t="n">
        <f aca="false">N1777</f>
        <v>-2610408.33737085</v>
      </c>
      <c r="D1799" s="61"/>
    </row>
    <row r="1800" customFormat="false" ht="15" hidden="false" customHeight="false" outlineLevel="0" collapsed="false">
      <c r="A1800" s="9" t="s">
        <v>591</v>
      </c>
      <c r="C1800" s="61" t="n">
        <f aca="false">MIN($C$1777:$N$1777)</f>
        <v>-2610408.33737085</v>
      </c>
      <c r="D1800" s="61"/>
    </row>
    <row r="1801" customFormat="false" ht="15" hidden="false" customHeight="false" outlineLevel="0" collapsed="false">
      <c r="A1801" s="9" t="s">
        <v>592</v>
      </c>
      <c r="C1801" s="61" t="n">
        <f aca="false">N1751*(Assumptions!$H$76-$C$1785)*$C$1784*(1-$C$1784^Assumptions!$H$85)/(1-$C$1784)</f>
        <v>1056283.84542454</v>
      </c>
      <c r="D1801" s="61"/>
    </row>
    <row r="1802" customFormat="false" ht="15" hidden="false" customHeight="false" outlineLevel="0" collapsed="false">
      <c r="A1802" s="9" t="s">
        <v>593</v>
      </c>
      <c r="C1802" s="61" t="n">
        <f aca="false">N1751*(Assumptions!$H$76-$C$1785)*(1-Assumptions!$H$88)/(1+Assumptions!$H$87)^2.5*$C$1786*(1-$C$1786^Assumptions!$H$85)/(1-$C$1786)</f>
        <v>323424.076378005</v>
      </c>
      <c r="D1802" s="61"/>
    </row>
    <row r="1803" customFormat="false" ht="15" hidden="false" customHeight="false" outlineLevel="0" collapsed="false">
      <c r="A1803" s="9" t="s">
        <v>594</v>
      </c>
      <c r="C1803" s="61" t="n">
        <f aca="false">SUM($C$1779:$N$1779)+'Engine Runs'!$C$1802</f>
        <v>-2044076.84125358</v>
      </c>
      <c r="D1803" s="61"/>
    </row>
    <row r="1804" customFormat="false" ht="15" hidden="false" customHeight="false" outlineLevel="0" collapsed="false">
      <c r="A1804" s="9" t="s">
        <v>595</v>
      </c>
      <c r="C1804" s="61" t="n">
        <f aca="false">SUM($C$1783:$N$1783)+N1781*(Assumptions!$H$76-Assumptions!$H$93)/(1+Assumptions!$H$87)^2.5*$C$1787*(1-$C$1787^Assumptions!$H$85)/(1-$C$1787)</f>
        <v>1525400.91673333</v>
      </c>
      <c r="D1804" s="61"/>
    </row>
    <row r="1805" customFormat="false" ht="15" hidden="false" customHeight="false" outlineLevel="0" collapsed="false">
      <c r="A1805" s="9" t="s">
        <v>596</v>
      </c>
      <c r="C1805" s="61" t="n">
        <f aca="false">'Engine Runs'!$C$1803-'Engine Runs'!$C$1804</f>
        <v>-3569477.75798691</v>
      </c>
      <c r="D1805" s="61"/>
    </row>
    <row r="1806" customFormat="false" ht="15" hidden="false" customHeight="false" outlineLevel="0" collapsed="false">
      <c r="A1806" s="9" t="s">
        <v>597</v>
      </c>
      <c r="C1806" s="61" t="n">
        <f aca="false">S1738</f>
        <v>0</v>
      </c>
      <c r="D1806" s="61"/>
    </row>
    <row r="1807" customFormat="false" ht="15" hidden="false" customHeight="false" outlineLevel="0" collapsed="false">
      <c r="A1807" s="9" t="s">
        <v>598</v>
      </c>
      <c r="C1807" s="63" t="n">
        <f aca="false">P1722</f>
        <v>98.47662507034</v>
      </c>
      <c r="D1807" s="63"/>
    </row>
    <row r="1808" customFormat="false" ht="15" hidden="false" customHeight="false" outlineLevel="0" collapsed="false">
      <c r="A1808" s="9" t="s">
        <v>599</v>
      </c>
      <c r="C1808" s="63" t="n">
        <f aca="false">P1742</f>
        <v>12.4046492651292</v>
      </c>
      <c r="D1808" s="63"/>
    </row>
    <row r="1809" customFormat="false" ht="15" hidden="false" customHeight="false" outlineLevel="0" collapsed="false">
      <c r="A1809" s="9" t="s">
        <v>600</v>
      </c>
      <c r="C1809" s="63" t="n">
        <f aca="false">P1718</f>
        <v>54</v>
      </c>
      <c r="D1809" s="63"/>
    </row>
    <row r="1810" customFormat="false" ht="15" hidden="false" customHeight="false" outlineLevel="0" collapsed="false">
      <c r="A1810" s="9" t="s">
        <v>601</v>
      </c>
      <c r="C1810" s="61" t="n">
        <f aca="false">IFERROR(P1752/P1742,0)</f>
        <v>6435.70474560325</v>
      </c>
      <c r="D1810" s="61"/>
    </row>
    <row r="1813" customFormat="false" ht="15" hidden="false" customHeight="true" outlineLevel="0" collapsed="false">
      <c r="A1813" s="77" t="s">
        <v>789</v>
      </c>
      <c r="B1813" s="77"/>
      <c r="C1813" s="77"/>
      <c r="D1813" s="77"/>
      <c r="E1813" s="77"/>
      <c r="F1813" s="77"/>
      <c r="G1813" s="77"/>
      <c r="H1813" s="77"/>
      <c r="I1813" s="77"/>
      <c r="J1813" s="77"/>
      <c r="K1813" s="77"/>
      <c r="L1813" s="77"/>
      <c r="M1813" s="77"/>
      <c r="N1813" s="77"/>
    </row>
    <row r="1814" customFormat="false" ht="15" hidden="false" customHeight="false" outlineLevel="0" collapsed="false">
      <c r="A1814" s="35" t="s">
        <v>790</v>
      </c>
      <c r="B1814" s="35" t="s">
        <v>444</v>
      </c>
      <c r="C1814" s="6" t="s">
        <v>354</v>
      </c>
      <c r="D1814" s="6" t="s">
        <v>355</v>
      </c>
      <c r="E1814" s="6" t="s">
        <v>356</v>
      </c>
      <c r="F1814" s="6" t="s">
        <v>357</v>
      </c>
      <c r="G1814" s="6" t="s">
        <v>358</v>
      </c>
      <c r="H1814" s="6" t="s">
        <v>359</v>
      </c>
      <c r="I1814" s="6" t="s">
        <v>360</v>
      </c>
      <c r="J1814" s="6" t="s">
        <v>361</v>
      </c>
      <c r="K1814" s="6" t="s">
        <v>362</v>
      </c>
      <c r="L1814" s="6" t="s">
        <v>363</v>
      </c>
      <c r="M1814" s="6" t="s">
        <v>364</v>
      </c>
      <c r="N1814" s="6" t="s">
        <v>365</v>
      </c>
      <c r="P1814" s="6" t="s">
        <v>445</v>
      </c>
      <c r="Q1814" s="6" t="s">
        <v>446</v>
      </c>
      <c r="R1814" s="6" t="s">
        <v>447</v>
      </c>
      <c r="S1814" s="6" t="s">
        <v>448</v>
      </c>
    </row>
    <row r="1815" customFormat="false" ht="15" hidden="false" customHeight="false" outlineLevel="0" collapsed="false">
      <c r="A1815" s="4" t="s">
        <v>449</v>
      </c>
      <c r="B1815" s="36" t="s">
        <v>450</v>
      </c>
      <c r="C1815" s="34" t="n">
        <f aca="false">'Market Sizing'!$C$20*Assumptions!$I$10*Assumptions!$I$11*(1-Assumptions!$I$12)</f>
        <v>2743.814304</v>
      </c>
    </row>
    <row r="1816" customFormat="false" ht="15" hidden="false" customHeight="false" outlineLevel="0" collapsed="false">
      <c r="A1816" s="4" t="s">
        <v>451</v>
      </c>
      <c r="B1816" s="36" t="s">
        <v>450</v>
      </c>
      <c r="C1816" s="34" t="n">
        <f aca="false">'Market Sizing'!$D$20*Assumptions!$I$10*Assumptions!$I$11*(1-Assumptions!$I$12)</f>
        <v>560.531664</v>
      </c>
    </row>
    <row r="1817" customFormat="false" ht="15" hidden="false" customHeight="false" outlineLevel="0" collapsed="false">
      <c r="A1817" s="4" t="s">
        <v>452</v>
      </c>
      <c r="B1817" s="36" t="s">
        <v>450</v>
      </c>
      <c r="C1817" s="34" t="n">
        <f aca="false">'Market Sizing'!$E$20*Assumptions!$I$10*Assumptions!$I$11*(1-Assumptions!$I$12)</f>
        <v>130.340826</v>
      </c>
    </row>
    <row r="1818" customFormat="false" ht="15" hidden="false" customHeight="false" outlineLevel="0" collapsed="false">
      <c r="A1818" s="4" t="s">
        <v>453</v>
      </c>
      <c r="B1818" s="36"/>
      <c r="C1818" s="34" t="n">
        <f aca="false">$C$1815+$C$1816+$C$1817</f>
        <v>3434.686794</v>
      </c>
    </row>
    <row r="1819" customFormat="false" ht="15" hidden="false" customHeight="false" outlineLevel="0" collapsed="false">
      <c r="A1819" s="4" t="s">
        <v>454</v>
      </c>
      <c r="B1819" s="36" t="s">
        <v>450</v>
      </c>
      <c r="C1819" s="34" t="n">
        <f aca="false">'Market Sizing'!$C$21*Assumptions!$I$10*Assumptions!$I$11*(1-Assumptions!$I$12)</f>
        <v>2711.4875865</v>
      </c>
    </row>
    <row r="1820" customFormat="false" ht="15" hidden="false" customHeight="false" outlineLevel="0" collapsed="false">
      <c r="A1820" s="4" t="s">
        <v>455</v>
      </c>
      <c r="B1820" s="36" t="s">
        <v>450</v>
      </c>
      <c r="C1820" s="34" t="n">
        <f aca="false">'Market Sizing'!$D$21*Assumptions!$I$10*Assumptions!$I$11*(1-Assumptions!$I$12)</f>
        <v>558.515727</v>
      </c>
    </row>
    <row r="1821" customFormat="false" ht="15" hidden="false" customHeight="false" outlineLevel="0" collapsed="false">
      <c r="A1821" s="4" t="s">
        <v>456</v>
      </c>
      <c r="B1821" s="36" t="s">
        <v>450</v>
      </c>
      <c r="C1821" s="34" t="n">
        <f aca="false">'Market Sizing'!$E$21*Assumptions!$I$10*Assumptions!$I$11*(1-Assumptions!$I$12)</f>
        <v>114.174522</v>
      </c>
    </row>
    <row r="1822" customFormat="false" ht="15" hidden="false" customHeight="false" outlineLevel="0" collapsed="false">
      <c r="A1822" s="4" t="s">
        <v>457</v>
      </c>
      <c r="B1822" s="36"/>
      <c r="C1822" s="34" t="n">
        <f aca="false">$C$1819+$C$1820+$C$1821</f>
        <v>3384.1778355</v>
      </c>
    </row>
    <row r="1823" customFormat="false" ht="15" hidden="false" customHeight="false" outlineLevel="0" collapsed="false">
      <c r="A1823" s="4" t="s">
        <v>458</v>
      </c>
      <c r="B1823" s="36" t="s">
        <v>450</v>
      </c>
      <c r="C1823" s="34" t="n">
        <f aca="false">'Market Sizing'!$C$22*Assumptions!$I$10*Assumptions!$I$11*(1-Assumptions!$I$12)</f>
        <v>2796.4244385</v>
      </c>
    </row>
    <row r="1824" customFormat="false" ht="15" hidden="false" customHeight="false" outlineLevel="0" collapsed="false">
      <c r="A1824" s="4" t="s">
        <v>459</v>
      </c>
      <c r="B1824" s="36" t="s">
        <v>450</v>
      </c>
      <c r="C1824" s="34" t="n">
        <f aca="false">'Market Sizing'!$D$22*Assumptions!$I$10*Assumptions!$I$11*(1-Assumptions!$I$12)</f>
        <v>714.600117</v>
      </c>
    </row>
    <row r="1825" customFormat="false" ht="15" hidden="false" customHeight="false" outlineLevel="0" collapsed="false">
      <c r="A1825" s="4" t="s">
        <v>460</v>
      </c>
      <c r="B1825" s="36" t="s">
        <v>450</v>
      </c>
      <c r="C1825" s="34" t="n">
        <f aca="false">'Market Sizing'!$E$22*Assumptions!$I$10*Assumptions!$I$11*(1-Assumptions!$I$12)</f>
        <v>150.548706</v>
      </c>
    </row>
    <row r="1826" customFormat="false" ht="15" hidden="false" customHeight="false" outlineLevel="0" collapsed="false">
      <c r="A1826" s="4" t="s">
        <v>461</v>
      </c>
      <c r="B1826" s="36"/>
      <c r="C1826" s="34" t="n">
        <f aca="false">$C$1823+$C$1824+$C$1825</f>
        <v>3661.5732615</v>
      </c>
    </row>
    <row r="1827" customFormat="false" ht="15" hidden="false" customHeight="false" outlineLevel="0" collapsed="false">
      <c r="A1827" s="4" t="s">
        <v>462</v>
      </c>
      <c r="B1827" s="36" t="s">
        <v>463</v>
      </c>
      <c r="C1827" s="33" t="n">
        <f aca="false">MAX((Assumptions!$I$51+Assumptions!$I$53)*12,(((('Market Sizing'!$E$28*Assumptions!$I$41*Assumptions!$I$42*Assumptions!$I$43)*Assumptions!$I$44)*Assumptions!$I$45*Assumptions!$I$46+('Market Sizing'!$E$28*Assumptions!$I$41*Assumptions!$I$42*Assumptions!$I$43)*Assumptions!$I$47+('Market Sizing'!$E$28*Assumptions!$I$41*Assumptions!$I$42*Assumptions!$I$43)*Assumptions!$I$48*Assumptions!$I$49)*(Assumptions!$I$51*12/Assumptions!$I$52)+((('Market Sizing'!$E$28*Assumptions!$I$41*Assumptions!$I$42*Assumptions!$I$43)*Assumptions!$I$44)*Assumptions!$I$45+('Market Sizing'!$E$28*Assumptions!$I$41*Assumptions!$I$42*Assumptions!$I$43)+('Market Sizing'!$E$28*Assumptions!$I$41*Assumptions!$I$42*Assumptions!$I$43)*Assumptions!$I$48)*Assumptions!$I$50*(Assumptions!$I$53*12/Assumptions!$I$54)))</f>
        <v>5352</v>
      </c>
    </row>
    <row r="1828" customFormat="false" ht="15" hidden="false" customHeight="false" outlineLevel="0" collapsed="false">
      <c r="A1828" s="4" t="s">
        <v>464</v>
      </c>
      <c r="B1828" s="36" t="s">
        <v>463</v>
      </c>
      <c r="C1828" s="33" t="n">
        <f aca="false">MAX((Assumptions!$I$51+Assumptions!$I$53)*12,(((('Market Sizing'!$E$29*Assumptions!$I$41*Assumptions!$I$42*Assumptions!$I$43)*Assumptions!$I$44)*Assumptions!$I$45*Assumptions!$I$46+('Market Sizing'!$E$29*Assumptions!$I$41*Assumptions!$I$42*Assumptions!$I$43)*Assumptions!$I$47+('Market Sizing'!$E$29*Assumptions!$I$41*Assumptions!$I$42*Assumptions!$I$43)*Assumptions!$I$48*Assumptions!$I$49)*(Assumptions!$I$51*12/Assumptions!$I$52)+((('Market Sizing'!$E$29*Assumptions!$I$41*Assumptions!$I$42*Assumptions!$I$43)*Assumptions!$I$44)*Assumptions!$I$45+('Market Sizing'!$E$29*Assumptions!$I$41*Assumptions!$I$42*Assumptions!$I$43)+('Market Sizing'!$E$29*Assumptions!$I$41*Assumptions!$I$42*Assumptions!$I$43)*Assumptions!$I$48)*Assumptions!$I$50*(Assumptions!$I$53*12/Assumptions!$I$54)))</f>
        <v>5352</v>
      </c>
    </row>
    <row r="1829" customFormat="false" ht="15" hidden="false" customHeight="false" outlineLevel="0" collapsed="false">
      <c r="A1829" s="4" t="s">
        <v>465</v>
      </c>
      <c r="B1829" s="36" t="s">
        <v>463</v>
      </c>
      <c r="C1829" s="33" t="n">
        <f aca="false">MAX(Assumptions!$I$55*(Assumptions!$I$51*12/Assumptions!$I$52)+Assumptions!$I$56*(Assumptions!$I$53*12/Assumptions!$I$54),(((('Market Sizing'!$E$30*Assumptions!$I$41*Assumptions!$I$42*Assumptions!$I$43)*Assumptions!$I$44)*Assumptions!$I$45*Assumptions!$I$46+('Market Sizing'!$E$30*Assumptions!$I$41*Assumptions!$I$42*Assumptions!$I$43)*Assumptions!$I$47+('Market Sizing'!$E$30*Assumptions!$I$41*Assumptions!$I$42*Assumptions!$I$43)*Assumptions!$I$48*Assumptions!$I$49)*(Assumptions!$I$51*12/Assumptions!$I$52)+((('Market Sizing'!$E$30*Assumptions!$I$41*Assumptions!$I$42*Assumptions!$I$43)*Assumptions!$I$44)*Assumptions!$I$45+('Market Sizing'!$E$30*Assumptions!$I$41*Assumptions!$I$42*Assumptions!$I$43)+('Market Sizing'!$E$30*Assumptions!$I$41*Assumptions!$I$42*Assumptions!$I$43)*Assumptions!$I$48)*Assumptions!$I$50*(Assumptions!$I$53*12/Assumptions!$I$54)))*(1-Assumptions!$I$57)</f>
        <v>44310</v>
      </c>
    </row>
    <row r="1830" customFormat="false" ht="23.85" hidden="false" customHeight="false" outlineLevel="0" collapsed="false">
      <c r="A1830" s="4" t="s">
        <v>466</v>
      </c>
      <c r="B1830" s="36" t="s">
        <v>467</v>
      </c>
      <c r="C1830" s="37" t="n">
        <f aca="false">Assumptions!$I$17*Assumptions!$D$106</f>
        <v>0.5</v>
      </c>
    </row>
    <row r="1831" customFormat="false" ht="23.85" hidden="false" customHeight="false" outlineLevel="0" collapsed="false">
      <c r="A1831" s="4" t="s">
        <v>468</v>
      </c>
      <c r="B1831" s="36" t="s">
        <v>469</v>
      </c>
      <c r="C1831" s="33" t="n">
        <f aca="false">Assumptions!$I$68/Assumptions!$I$69</f>
        <v>285714.285714286</v>
      </c>
    </row>
    <row r="1832" customFormat="false" ht="23.85" hidden="false" customHeight="false" outlineLevel="0" collapsed="false">
      <c r="A1832" s="4" t="s">
        <v>470</v>
      </c>
      <c r="B1832" s="36" t="s">
        <v>471</v>
      </c>
      <c r="C1832" s="33" t="n">
        <f aca="false">Assumptions!$I$66*Assumptions!$I$67/4</f>
        <v>185937.5</v>
      </c>
    </row>
    <row r="1833" customFormat="false" ht="15" hidden="false" customHeight="false" outlineLevel="0" collapsed="false">
      <c r="A1833" s="4" t="s">
        <v>472</v>
      </c>
      <c r="B1833" s="36"/>
      <c r="C1833" s="38" t="n">
        <f aca="false">$C$1831/Assumptions!$I$66/Assumptions!$I$67</f>
        <v>0.384153661464586</v>
      </c>
    </row>
    <row r="1834" customFormat="false" ht="15" hidden="false" customHeight="false" outlineLevel="0" collapsed="false">
      <c r="A1834" s="4" t="s">
        <v>473</v>
      </c>
      <c r="B1834" s="36"/>
      <c r="C1834" s="33" t="n">
        <f aca="false">MAX(0,Assumptions!$D$103-Assumptions!$I$78)</f>
        <v>0</v>
      </c>
    </row>
    <row r="1835" customFormat="false" ht="15" hidden="false" customHeight="false" outlineLevel="0" collapsed="false">
      <c r="A1835" s="35" t="s">
        <v>474</v>
      </c>
      <c r="B1835" s="35" t="s">
        <v>444</v>
      </c>
      <c r="C1835" s="6" t="s">
        <v>354</v>
      </c>
      <c r="D1835" s="6" t="s">
        <v>355</v>
      </c>
      <c r="E1835" s="6" t="s">
        <v>356</v>
      </c>
      <c r="F1835" s="6" t="s">
        <v>357</v>
      </c>
      <c r="G1835" s="6" t="s">
        <v>358</v>
      </c>
      <c r="H1835" s="6" t="s">
        <v>359</v>
      </c>
      <c r="I1835" s="6" t="s">
        <v>360</v>
      </c>
      <c r="J1835" s="6" t="s">
        <v>361</v>
      </c>
      <c r="K1835" s="6" t="s">
        <v>362</v>
      </c>
      <c r="L1835" s="6" t="s">
        <v>363</v>
      </c>
      <c r="M1835" s="6" t="s">
        <v>364</v>
      </c>
      <c r="N1835" s="6" t="s">
        <v>365</v>
      </c>
      <c r="P1835" s="6" t="s">
        <v>445</v>
      </c>
      <c r="Q1835" s="6" t="s">
        <v>446</v>
      </c>
      <c r="R1835" s="6" t="s">
        <v>447</v>
      </c>
      <c r="S1835" s="6" t="s">
        <v>448</v>
      </c>
    </row>
    <row r="1836" customFormat="false" ht="15" hidden="false" customHeight="false" outlineLevel="0" collapsed="false">
      <c r="A1836" s="4" t="s">
        <v>475</v>
      </c>
      <c r="B1836" s="36" t="s">
        <v>133</v>
      </c>
      <c r="C1836" s="39" t="n">
        <v>1</v>
      </c>
      <c r="D1836" s="39" t="n">
        <v>2</v>
      </c>
      <c r="E1836" s="39" t="n">
        <v>3</v>
      </c>
      <c r="F1836" s="39" t="n">
        <v>4</v>
      </c>
      <c r="G1836" s="39" t="n">
        <v>5</v>
      </c>
      <c r="H1836" s="39" t="n">
        <v>6</v>
      </c>
      <c r="I1836" s="39" t="n">
        <v>7</v>
      </c>
      <c r="J1836" s="39" t="n">
        <v>8</v>
      </c>
      <c r="K1836" s="39" t="n">
        <v>9</v>
      </c>
      <c r="L1836" s="39" t="n">
        <v>10</v>
      </c>
      <c r="M1836" s="39" t="n">
        <v>11</v>
      </c>
      <c r="N1836" s="39" t="n">
        <v>12</v>
      </c>
      <c r="P1836" s="40"/>
      <c r="Q1836" s="40"/>
      <c r="R1836" s="40"/>
      <c r="S1836" s="41"/>
    </row>
    <row r="1837" customFormat="false" ht="15" hidden="false" customHeight="false" outlineLevel="0" collapsed="false">
      <c r="A1837" s="4" t="s">
        <v>476</v>
      </c>
      <c r="B1837" s="36" t="s">
        <v>343</v>
      </c>
      <c r="C1837" s="39" t="n">
        <f aca="false">IF(C1836&lt;=Assumptions!$I$84,1,0)</f>
        <v>1</v>
      </c>
      <c r="D1837" s="39" t="n">
        <f aca="false">IF(D1836&lt;=Assumptions!$I$84,1,0)</f>
        <v>1</v>
      </c>
      <c r="E1837" s="39" t="n">
        <f aca="false">IF(E1836&lt;=Assumptions!$I$84,1,0)</f>
        <v>1</v>
      </c>
      <c r="F1837" s="39" t="n">
        <f aca="false">IF(F1836&lt;=Assumptions!$I$84,1,0)</f>
        <v>1</v>
      </c>
      <c r="G1837" s="39" t="n">
        <f aca="false">IF(G1836&lt;=Assumptions!$I$84,1,0)</f>
        <v>1</v>
      </c>
      <c r="H1837" s="39" t="n">
        <f aca="false">IF(H1836&lt;=Assumptions!$I$84,1,0)</f>
        <v>1</v>
      </c>
      <c r="I1837" s="39" t="n">
        <f aca="false">IF(I1836&lt;=Assumptions!$I$84,1,0)</f>
        <v>1</v>
      </c>
      <c r="J1837" s="39" t="n">
        <f aca="false">IF(J1836&lt;=Assumptions!$I$84,1,0)</f>
        <v>1</v>
      </c>
      <c r="K1837" s="39" t="n">
        <f aca="false">IF(K1836&lt;=Assumptions!$I$84,1,0)</f>
        <v>1</v>
      </c>
      <c r="L1837" s="39" t="n">
        <f aca="false">IF(L1836&lt;=Assumptions!$I$84,1,0)</f>
        <v>1</v>
      </c>
      <c r="M1837" s="39" t="n">
        <f aca="false">IF(M1836&lt;=Assumptions!$I$84,1,0)</f>
        <v>1</v>
      </c>
      <c r="N1837" s="39" t="n">
        <f aca="false">IF(N1836&lt;=Assumptions!$I$84,1,0)</f>
        <v>1</v>
      </c>
      <c r="P1837" s="40"/>
      <c r="Q1837" s="40"/>
      <c r="R1837" s="40"/>
      <c r="S1837" s="41"/>
    </row>
    <row r="1838" customFormat="false" ht="15" hidden="false" customHeight="false" outlineLevel="0" collapsed="false">
      <c r="A1838" s="4" t="s">
        <v>477</v>
      </c>
      <c r="B1838" s="36" t="s">
        <v>478</v>
      </c>
      <c r="C1838" s="42" t="n">
        <f aca="false">IF(C1836=Assumptions!$I$13,0.5,IF(C1836&gt;Assumptions!$I$13,1,0))</f>
        <v>0.5</v>
      </c>
      <c r="D1838" s="42" t="n">
        <f aca="false">IF(D1836=Assumptions!$I$13,0.5,IF(D1836&gt;Assumptions!$I$13,1,0))</f>
        <v>1</v>
      </c>
      <c r="E1838" s="42" t="n">
        <f aca="false">IF(E1836=Assumptions!$I$13,0.5,IF(E1836&gt;Assumptions!$I$13,1,0))</f>
        <v>1</v>
      </c>
      <c r="F1838" s="42" t="n">
        <f aca="false">IF(F1836=Assumptions!$I$13,0.5,IF(F1836&gt;Assumptions!$I$13,1,0))</f>
        <v>1</v>
      </c>
      <c r="G1838" s="42" t="n">
        <f aca="false">IF(G1836=Assumptions!$I$13,0.5,IF(G1836&gt;Assumptions!$I$13,1,0))</f>
        <v>1</v>
      </c>
      <c r="H1838" s="42" t="n">
        <f aca="false">IF(H1836=Assumptions!$I$13,0.5,IF(H1836&gt;Assumptions!$I$13,1,0))</f>
        <v>1</v>
      </c>
      <c r="I1838" s="42" t="n">
        <f aca="false">IF(I1836=Assumptions!$I$13,0.5,IF(I1836&gt;Assumptions!$I$13,1,0))</f>
        <v>1</v>
      </c>
      <c r="J1838" s="42" t="n">
        <f aca="false">IF(J1836=Assumptions!$I$13,0.5,IF(J1836&gt;Assumptions!$I$13,1,0))</f>
        <v>1</v>
      </c>
      <c r="K1838" s="42" t="n">
        <f aca="false">IF(K1836=Assumptions!$I$13,0.5,IF(K1836&gt;Assumptions!$I$13,1,0))</f>
        <v>1</v>
      </c>
      <c r="L1838" s="42" t="n">
        <f aca="false">IF(L1836=Assumptions!$I$13,0.5,IF(L1836&gt;Assumptions!$I$13,1,0))</f>
        <v>1</v>
      </c>
      <c r="M1838" s="42" t="n">
        <f aca="false">IF(M1836=Assumptions!$I$13,0.5,IF(M1836&gt;Assumptions!$I$13,1,0))</f>
        <v>1</v>
      </c>
      <c r="N1838" s="42" t="n">
        <f aca="false">IF(N1836=Assumptions!$I$13,0.5,IF(N1836&gt;Assumptions!$I$13,1,0))</f>
        <v>1</v>
      </c>
      <c r="P1838" s="43"/>
      <c r="Q1838" s="43"/>
      <c r="R1838" s="43"/>
      <c r="S1838" s="44"/>
    </row>
    <row r="1839" customFormat="false" ht="15" hidden="false" customHeight="false" outlineLevel="0" collapsed="false">
      <c r="A1839" s="4" t="s">
        <v>479</v>
      </c>
      <c r="B1839" s="36" t="s">
        <v>478</v>
      </c>
      <c r="C1839" s="42" t="n">
        <f aca="false">IF(C1836=Assumptions!$I$14,0.5,IF(C1836&gt;Assumptions!$I$14,1,0))</f>
        <v>0</v>
      </c>
      <c r="D1839" s="42" t="n">
        <f aca="false">IF(D1836=Assumptions!$I$14,0.5,IF(D1836&gt;Assumptions!$I$14,1,0))</f>
        <v>0</v>
      </c>
      <c r="E1839" s="42" t="n">
        <f aca="false">IF(E1836=Assumptions!$I$14,0.5,IF(E1836&gt;Assumptions!$I$14,1,0))</f>
        <v>0</v>
      </c>
      <c r="F1839" s="42" t="n">
        <f aca="false">IF(F1836=Assumptions!$I$14,0.5,IF(F1836&gt;Assumptions!$I$14,1,0))</f>
        <v>0.5</v>
      </c>
      <c r="G1839" s="42" t="n">
        <f aca="false">IF(G1836=Assumptions!$I$14,0.5,IF(G1836&gt;Assumptions!$I$14,1,0))</f>
        <v>1</v>
      </c>
      <c r="H1839" s="42" t="n">
        <f aca="false">IF(H1836=Assumptions!$I$14,0.5,IF(H1836&gt;Assumptions!$I$14,1,0))</f>
        <v>1</v>
      </c>
      <c r="I1839" s="42" t="n">
        <f aca="false">IF(I1836=Assumptions!$I$14,0.5,IF(I1836&gt;Assumptions!$I$14,1,0))</f>
        <v>1</v>
      </c>
      <c r="J1839" s="42" t="n">
        <f aca="false">IF(J1836=Assumptions!$I$14,0.5,IF(J1836&gt;Assumptions!$I$14,1,0))</f>
        <v>1</v>
      </c>
      <c r="K1839" s="42" t="n">
        <f aca="false">IF(K1836=Assumptions!$I$14,0.5,IF(K1836&gt;Assumptions!$I$14,1,0))</f>
        <v>1</v>
      </c>
      <c r="L1839" s="42" t="n">
        <f aca="false">IF(L1836=Assumptions!$I$14,0.5,IF(L1836&gt;Assumptions!$I$14,1,0))</f>
        <v>1</v>
      </c>
      <c r="M1839" s="42" t="n">
        <f aca="false">IF(M1836=Assumptions!$I$14,0.5,IF(M1836&gt;Assumptions!$I$14,1,0))</f>
        <v>1</v>
      </c>
      <c r="N1839" s="42" t="n">
        <f aca="false">IF(N1836=Assumptions!$I$14,0.5,IF(N1836&gt;Assumptions!$I$14,1,0))</f>
        <v>1</v>
      </c>
      <c r="P1839" s="43"/>
      <c r="Q1839" s="43"/>
      <c r="R1839" s="43"/>
      <c r="S1839" s="44"/>
    </row>
    <row r="1840" customFormat="false" ht="15" hidden="false" customHeight="false" outlineLevel="0" collapsed="false">
      <c r="A1840" s="4" t="s">
        <v>480</v>
      </c>
      <c r="B1840" s="36" t="s">
        <v>478</v>
      </c>
      <c r="C1840" s="42" t="n">
        <f aca="false">IF(C1836=Assumptions!$I$15,0.5,IF(C1836&gt;Assumptions!$I$15,1,0))</f>
        <v>0</v>
      </c>
      <c r="D1840" s="42" t="n">
        <f aca="false">IF(D1836=Assumptions!$I$15,0.5,IF(D1836&gt;Assumptions!$I$15,1,0))</f>
        <v>0</v>
      </c>
      <c r="E1840" s="42" t="n">
        <f aca="false">IF(E1836=Assumptions!$I$15,0.5,IF(E1836&gt;Assumptions!$I$15,1,0))</f>
        <v>0</v>
      </c>
      <c r="F1840" s="42" t="n">
        <f aca="false">IF(F1836=Assumptions!$I$15,0.5,IF(F1836&gt;Assumptions!$I$15,1,0))</f>
        <v>0</v>
      </c>
      <c r="G1840" s="42" t="n">
        <f aca="false">IF(G1836=Assumptions!$I$15,0.5,IF(G1836&gt;Assumptions!$I$15,1,0))</f>
        <v>0</v>
      </c>
      <c r="H1840" s="42" t="n">
        <f aca="false">IF(H1836=Assumptions!$I$15,0.5,IF(H1836&gt;Assumptions!$I$15,1,0))</f>
        <v>0.5</v>
      </c>
      <c r="I1840" s="42" t="n">
        <f aca="false">IF(I1836=Assumptions!$I$15,0.5,IF(I1836&gt;Assumptions!$I$15,1,0))</f>
        <v>1</v>
      </c>
      <c r="J1840" s="42" t="n">
        <f aca="false">IF(J1836=Assumptions!$I$15,0.5,IF(J1836&gt;Assumptions!$I$15,1,0))</f>
        <v>1</v>
      </c>
      <c r="K1840" s="42" t="n">
        <f aca="false">IF(K1836=Assumptions!$I$15,0.5,IF(K1836&gt;Assumptions!$I$15,1,0))</f>
        <v>1</v>
      </c>
      <c r="L1840" s="42" t="n">
        <f aca="false">IF(L1836=Assumptions!$I$15,0.5,IF(L1836&gt;Assumptions!$I$15,1,0))</f>
        <v>1</v>
      </c>
      <c r="M1840" s="42" t="n">
        <f aca="false">IF(M1836=Assumptions!$I$15,0.5,IF(M1836&gt;Assumptions!$I$15,1,0))</f>
        <v>1</v>
      </c>
      <c r="N1840" s="42" t="n">
        <f aca="false">IF(N1836=Assumptions!$I$15,0.5,IF(N1836&gt;Assumptions!$I$15,1,0))</f>
        <v>1</v>
      </c>
      <c r="P1840" s="43"/>
      <c r="Q1840" s="43"/>
      <c r="R1840" s="43"/>
      <c r="S1840" s="44"/>
    </row>
    <row r="1841" customFormat="false" ht="15" hidden="false" customHeight="false" outlineLevel="0" collapsed="false">
      <c r="A1841" s="4" t="s">
        <v>481</v>
      </c>
      <c r="B1841" s="36" t="s">
        <v>478</v>
      </c>
      <c r="C1841" s="45" t="n">
        <f aca="false">Assumptions!$I$21^(MAX(0,C1836-Assumptions!$I$13)/4)</f>
        <v>1</v>
      </c>
      <c r="D1841" s="45" t="n">
        <f aca="false">Assumptions!$I$21^(MAX(0,D1836-Assumptions!$I$13)/4)</f>
        <v>0.960184589404188</v>
      </c>
      <c r="E1841" s="45" t="n">
        <f aca="false">Assumptions!$I$21^(MAX(0,E1836-Assumptions!$I$13)/4)</f>
        <v>0.921954445729289</v>
      </c>
      <c r="F1841" s="45" t="n">
        <f aca="false">Assumptions!$I$21^(MAX(0,F1836-Assumptions!$I$13)/4)</f>
        <v>0.885246450921943</v>
      </c>
      <c r="G1841" s="45" t="n">
        <f aca="false">Assumptions!$I$21^(MAX(0,G1836-Assumptions!$I$13)/4)</f>
        <v>0.85</v>
      </c>
      <c r="H1841" s="45" t="n">
        <f aca="false">Assumptions!$I$21^(MAX(0,H1836-Assumptions!$I$13)/4)</f>
        <v>0.81615690099356</v>
      </c>
      <c r="I1841" s="45" t="n">
        <f aca="false">Assumptions!$I$21^(MAX(0,I1836-Assumptions!$I$13)/4)</f>
        <v>0.783661278869895</v>
      </c>
      <c r="J1841" s="45" t="n">
        <f aca="false">Assumptions!$I$21^(MAX(0,J1836-Assumptions!$I$13)/4)</f>
        <v>0.752459483283651</v>
      </c>
      <c r="K1841" s="45" t="n">
        <f aca="false">Assumptions!$I$21^(MAX(0,K1836-Assumptions!$I$13)/4)</f>
        <v>0.7225</v>
      </c>
      <c r="L1841" s="45" t="n">
        <f aca="false">Assumptions!$I$21^(MAX(0,L1836-Assumptions!$I$13)/4)</f>
        <v>0.693733365844526</v>
      </c>
      <c r="M1841" s="45" t="n">
        <f aca="false">Assumptions!$I$21^(MAX(0,M1836-Assumptions!$I$13)/4)</f>
        <v>0.666112087039411</v>
      </c>
      <c r="N1841" s="45" t="n">
        <f aca="false">Assumptions!$I$21^(MAX(0,N1836-Assumptions!$I$13)/4)</f>
        <v>0.639590560791104</v>
      </c>
      <c r="P1841" s="46"/>
      <c r="Q1841" s="46"/>
      <c r="R1841" s="46"/>
      <c r="S1841" s="47"/>
    </row>
    <row r="1842" customFormat="false" ht="15" hidden="false" customHeight="false" outlineLevel="0" collapsed="false">
      <c r="A1842" s="4" t="s">
        <v>482</v>
      </c>
      <c r="B1842" s="36" t="s">
        <v>478</v>
      </c>
      <c r="C1842" s="45" t="n">
        <f aca="false">Assumptions!$I$21^(MAX(0,C1836-Assumptions!$I$14)/4)</f>
        <v>1</v>
      </c>
      <c r="D1842" s="45" t="n">
        <f aca="false">Assumptions!$I$21^(MAX(0,D1836-Assumptions!$I$14)/4)</f>
        <v>1</v>
      </c>
      <c r="E1842" s="45" t="n">
        <f aca="false">Assumptions!$I$21^(MAX(0,E1836-Assumptions!$I$14)/4)</f>
        <v>1</v>
      </c>
      <c r="F1842" s="45" t="n">
        <f aca="false">Assumptions!$I$21^(MAX(0,F1836-Assumptions!$I$14)/4)</f>
        <v>1</v>
      </c>
      <c r="G1842" s="45" t="n">
        <f aca="false">Assumptions!$I$21^(MAX(0,G1836-Assumptions!$I$14)/4)</f>
        <v>0.960184589404188</v>
      </c>
      <c r="H1842" s="45" t="n">
        <f aca="false">Assumptions!$I$21^(MAX(0,H1836-Assumptions!$I$14)/4)</f>
        <v>0.921954445729289</v>
      </c>
      <c r="I1842" s="45" t="n">
        <f aca="false">Assumptions!$I$21^(MAX(0,I1836-Assumptions!$I$14)/4)</f>
        <v>0.885246450921943</v>
      </c>
      <c r="J1842" s="45" t="n">
        <f aca="false">Assumptions!$I$21^(MAX(0,J1836-Assumptions!$I$14)/4)</f>
        <v>0.85</v>
      </c>
      <c r="K1842" s="45" t="n">
        <f aca="false">Assumptions!$I$21^(MAX(0,K1836-Assumptions!$I$14)/4)</f>
        <v>0.81615690099356</v>
      </c>
      <c r="L1842" s="45" t="n">
        <f aca="false">Assumptions!$I$21^(MAX(0,L1836-Assumptions!$I$14)/4)</f>
        <v>0.783661278869895</v>
      </c>
      <c r="M1842" s="45" t="n">
        <f aca="false">Assumptions!$I$21^(MAX(0,M1836-Assumptions!$I$14)/4)</f>
        <v>0.752459483283651</v>
      </c>
      <c r="N1842" s="45" t="n">
        <f aca="false">Assumptions!$I$21^(MAX(0,N1836-Assumptions!$I$14)/4)</f>
        <v>0.7225</v>
      </c>
      <c r="P1842" s="46"/>
      <c r="Q1842" s="46"/>
      <c r="R1842" s="46"/>
      <c r="S1842" s="47"/>
    </row>
    <row r="1843" customFormat="false" ht="15" hidden="false" customHeight="false" outlineLevel="0" collapsed="false">
      <c r="A1843" s="4" t="s">
        <v>483</v>
      </c>
      <c r="B1843" s="36" t="s">
        <v>478</v>
      </c>
      <c r="C1843" s="45" t="n">
        <f aca="false">Assumptions!$I$21^(MAX(0,C1836-Assumptions!$I$15)/4)</f>
        <v>1</v>
      </c>
      <c r="D1843" s="45" t="n">
        <f aca="false">Assumptions!$I$21^(MAX(0,D1836-Assumptions!$I$15)/4)</f>
        <v>1</v>
      </c>
      <c r="E1843" s="45" t="n">
        <f aca="false">Assumptions!$I$21^(MAX(0,E1836-Assumptions!$I$15)/4)</f>
        <v>1</v>
      </c>
      <c r="F1843" s="45" t="n">
        <f aca="false">Assumptions!$I$21^(MAX(0,F1836-Assumptions!$I$15)/4)</f>
        <v>1</v>
      </c>
      <c r="G1843" s="45" t="n">
        <f aca="false">Assumptions!$I$21^(MAX(0,G1836-Assumptions!$I$15)/4)</f>
        <v>1</v>
      </c>
      <c r="H1843" s="45" t="n">
        <f aca="false">Assumptions!$I$21^(MAX(0,H1836-Assumptions!$I$15)/4)</f>
        <v>1</v>
      </c>
      <c r="I1843" s="45" t="n">
        <f aca="false">Assumptions!$I$21^(MAX(0,I1836-Assumptions!$I$15)/4)</f>
        <v>0.960184589404188</v>
      </c>
      <c r="J1843" s="45" t="n">
        <f aca="false">Assumptions!$I$21^(MAX(0,J1836-Assumptions!$I$15)/4)</f>
        <v>0.921954445729289</v>
      </c>
      <c r="K1843" s="45" t="n">
        <f aca="false">Assumptions!$I$21^(MAX(0,K1836-Assumptions!$I$15)/4)</f>
        <v>0.885246450921943</v>
      </c>
      <c r="L1843" s="45" t="n">
        <f aca="false">Assumptions!$I$21^(MAX(0,L1836-Assumptions!$I$15)/4)</f>
        <v>0.85</v>
      </c>
      <c r="M1843" s="45" t="n">
        <f aca="false">Assumptions!$I$21^(MAX(0,M1836-Assumptions!$I$15)/4)</f>
        <v>0.81615690099356</v>
      </c>
      <c r="N1843" s="45" t="n">
        <f aca="false">Assumptions!$I$21^(MAX(0,N1836-Assumptions!$I$15)/4)</f>
        <v>0.783661278869895</v>
      </c>
      <c r="P1843" s="46"/>
      <c r="Q1843" s="46"/>
      <c r="R1843" s="46"/>
      <c r="S1843" s="47"/>
    </row>
    <row r="1844" customFormat="false" ht="15" hidden="false" customHeight="false" outlineLevel="0" collapsed="false">
      <c r="A1844" s="4" t="s">
        <v>484</v>
      </c>
      <c r="B1844" s="36" t="s">
        <v>485</v>
      </c>
      <c r="C1844" s="39" t="n">
        <f aca="false">$C$1815*C1838+$C$1819*C1839+$C$1823*C1840</f>
        <v>1371.907152</v>
      </c>
      <c r="D1844" s="39" t="n">
        <f aca="false">$C$1815*D1838+$C$1819*D1839+$C$1823*D1840</f>
        <v>2743.814304</v>
      </c>
      <c r="E1844" s="39" t="n">
        <f aca="false">$C$1815*E1838+$C$1819*E1839+$C$1823*E1840</f>
        <v>2743.814304</v>
      </c>
      <c r="F1844" s="39" t="n">
        <f aca="false">$C$1815*F1838+$C$1819*F1839+$C$1823*F1840</f>
        <v>4099.55809725</v>
      </c>
      <c r="G1844" s="39" t="n">
        <f aca="false">$C$1815*G1838+$C$1819*G1839+$C$1823*G1840</f>
        <v>5455.3018905</v>
      </c>
      <c r="H1844" s="39" t="n">
        <f aca="false">$C$1815*H1838+$C$1819*H1839+$C$1823*H1840</f>
        <v>6853.51410975</v>
      </c>
      <c r="I1844" s="39" t="n">
        <f aca="false">$C$1815*I1838+$C$1819*I1839+$C$1823*I1840</f>
        <v>8251.726329</v>
      </c>
      <c r="J1844" s="39" t="n">
        <f aca="false">$C$1815*J1838+$C$1819*J1839+$C$1823*J1840</f>
        <v>8251.726329</v>
      </c>
      <c r="K1844" s="39" t="n">
        <f aca="false">$C$1815*K1838+$C$1819*K1839+$C$1823*K1840</f>
        <v>8251.726329</v>
      </c>
      <c r="L1844" s="39" t="n">
        <f aca="false">$C$1815*L1838+$C$1819*L1839+$C$1823*L1840</f>
        <v>8251.726329</v>
      </c>
      <c r="M1844" s="39" t="n">
        <f aca="false">$C$1815*M1838+$C$1819*M1839+$C$1823*M1840</f>
        <v>8251.726329</v>
      </c>
      <c r="N1844" s="39" t="n">
        <f aca="false">$C$1815*N1838+$C$1819*N1839+$C$1823*N1840</f>
        <v>8251.726329</v>
      </c>
      <c r="P1844" s="40" t="n">
        <f aca="false">F1844</f>
        <v>4099.55809725</v>
      </c>
      <c r="Q1844" s="40" t="n">
        <f aca="false">J1844</f>
        <v>8251.726329</v>
      </c>
      <c r="R1844" s="40" t="n">
        <f aca="false">N1844</f>
        <v>8251.726329</v>
      </c>
      <c r="S1844" s="41" t="n">
        <f aca="false">R1844</f>
        <v>8251.726329</v>
      </c>
    </row>
    <row r="1845" customFormat="false" ht="15" hidden="false" customHeight="false" outlineLevel="0" collapsed="false">
      <c r="A1845" s="4" t="s">
        <v>486</v>
      </c>
      <c r="B1845" s="36" t="s">
        <v>485</v>
      </c>
      <c r="C1845" s="39" t="n">
        <f aca="false">$C$1816*C1838+$C$1820*C1839+$C$1824*C1840</f>
        <v>280.265832</v>
      </c>
      <c r="D1845" s="39" t="n">
        <f aca="false">$C$1816*D1838+$C$1820*D1839+$C$1824*D1840</f>
        <v>560.531664</v>
      </c>
      <c r="E1845" s="39" t="n">
        <f aca="false">$C$1816*E1838+$C$1820*E1839+$C$1824*E1840</f>
        <v>560.531664</v>
      </c>
      <c r="F1845" s="39" t="n">
        <f aca="false">$C$1816*F1838+$C$1820*F1839+$C$1824*F1840</f>
        <v>839.7895275</v>
      </c>
      <c r="G1845" s="39" t="n">
        <f aca="false">$C$1816*G1838+$C$1820*G1839+$C$1824*G1840</f>
        <v>1119.047391</v>
      </c>
      <c r="H1845" s="39" t="n">
        <f aca="false">$C$1816*H1838+$C$1820*H1839+$C$1824*H1840</f>
        <v>1476.3474495</v>
      </c>
      <c r="I1845" s="39" t="n">
        <f aca="false">$C$1816*I1838+$C$1820*I1839+$C$1824*I1840</f>
        <v>1833.647508</v>
      </c>
      <c r="J1845" s="39" t="n">
        <f aca="false">$C$1816*J1838+$C$1820*J1839+$C$1824*J1840</f>
        <v>1833.647508</v>
      </c>
      <c r="K1845" s="39" t="n">
        <f aca="false">$C$1816*K1838+$C$1820*K1839+$C$1824*K1840</f>
        <v>1833.647508</v>
      </c>
      <c r="L1845" s="39" t="n">
        <f aca="false">$C$1816*L1838+$C$1820*L1839+$C$1824*L1840</f>
        <v>1833.647508</v>
      </c>
      <c r="M1845" s="39" t="n">
        <f aca="false">$C$1816*M1838+$C$1820*M1839+$C$1824*M1840</f>
        <v>1833.647508</v>
      </c>
      <c r="N1845" s="39" t="n">
        <f aca="false">$C$1816*N1838+$C$1820*N1839+$C$1824*N1840</f>
        <v>1833.647508</v>
      </c>
      <c r="P1845" s="40" t="n">
        <f aca="false">F1845</f>
        <v>839.7895275</v>
      </c>
      <c r="Q1845" s="40" t="n">
        <f aca="false">J1845</f>
        <v>1833.647508</v>
      </c>
      <c r="R1845" s="40" t="n">
        <f aca="false">N1845</f>
        <v>1833.647508</v>
      </c>
      <c r="S1845" s="41" t="n">
        <f aca="false">R1845</f>
        <v>1833.647508</v>
      </c>
    </row>
    <row r="1846" customFormat="false" ht="15" hidden="false" customHeight="false" outlineLevel="0" collapsed="false">
      <c r="A1846" s="4" t="s">
        <v>487</v>
      </c>
      <c r="B1846" s="36" t="s">
        <v>485</v>
      </c>
      <c r="C1846" s="39" t="n">
        <f aca="false">$C$1817*C1838+$C$1821*C1839+$C$1825*C1840</f>
        <v>65.170413</v>
      </c>
      <c r="D1846" s="39" t="n">
        <f aca="false">$C$1817*D1838+$C$1821*D1839+$C$1825*D1840</f>
        <v>130.340826</v>
      </c>
      <c r="E1846" s="39" t="n">
        <f aca="false">$C$1817*E1838+$C$1821*E1839+$C$1825*E1840</f>
        <v>130.340826</v>
      </c>
      <c r="F1846" s="39" t="n">
        <f aca="false">$C$1817*F1838+$C$1821*F1839+$C$1825*F1840</f>
        <v>187.428087</v>
      </c>
      <c r="G1846" s="39" t="n">
        <f aca="false">$C$1817*G1838+$C$1821*G1839+$C$1825*G1840</f>
        <v>244.515348</v>
      </c>
      <c r="H1846" s="39" t="n">
        <f aca="false">$C$1817*H1838+$C$1821*H1839+$C$1825*H1840</f>
        <v>319.789701</v>
      </c>
      <c r="I1846" s="39" t="n">
        <f aca="false">$C$1817*I1838+$C$1821*I1839+$C$1825*I1840</f>
        <v>395.064054</v>
      </c>
      <c r="J1846" s="39" t="n">
        <f aca="false">$C$1817*J1838+$C$1821*J1839+$C$1825*J1840</f>
        <v>395.064054</v>
      </c>
      <c r="K1846" s="39" t="n">
        <f aca="false">$C$1817*K1838+$C$1821*K1839+$C$1825*K1840</f>
        <v>395.064054</v>
      </c>
      <c r="L1846" s="39" t="n">
        <f aca="false">$C$1817*L1838+$C$1821*L1839+$C$1825*L1840</f>
        <v>395.064054</v>
      </c>
      <c r="M1846" s="39" t="n">
        <f aca="false">$C$1817*M1838+$C$1821*M1839+$C$1825*M1840</f>
        <v>395.064054</v>
      </c>
      <c r="N1846" s="39" t="n">
        <f aca="false">$C$1817*N1838+$C$1821*N1839+$C$1825*N1840</f>
        <v>395.064054</v>
      </c>
      <c r="P1846" s="40" t="n">
        <f aca="false">F1846</f>
        <v>187.428087</v>
      </c>
      <c r="Q1846" s="40" t="n">
        <f aca="false">J1846</f>
        <v>395.064054</v>
      </c>
      <c r="R1846" s="40" t="n">
        <f aca="false">N1846</f>
        <v>395.064054</v>
      </c>
      <c r="S1846" s="41" t="n">
        <f aca="false">R1846</f>
        <v>395.064054</v>
      </c>
    </row>
    <row r="1847" customFormat="false" ht="15" hidden="false" customHeight="false" outlineLevel="0" collapsed="false">
      <c r="A1847" s="4" t="s">
        <v>488</v>
      </c>
      <c r="B1847" s="36" t="s">
        <v>485</v>
      </c>
      <c r="C1847" s="39" t="n">
        <f aca="false">C1844+C1845+C1846</f>
        <v>1717.343397</v>
      </c>
      <c r="D1847" s="39" t="n">
        <f aca="false">D1844+D1845+D1846</f>
        <v>3434.686794</v>
      </c>
      <c r="E1847" s="39" t="n">
        <f aca="false">E1844+E1845+E1846</f>
        <v>3434.686794</v>
      </c>
      <c r="F1847" s="39" t="n">
        <f aca="false">F1844+F1845+F1846</f>
        <v>5126.77571175</v>
      </c>
      <c r="G1847" s="39" t="n">
        <f aca="false">G1844+G1845+G1846</f>
        <v>6818.8646295</v>
      </c>
      <c r="H1847" s="39" t="n">
        <f aca="false">H1844+H1845+H1846</f>
        <v>8649.65126025</v>
      </c>
      <c r="I1847" s="39" t="n">
        <f aca="false">I1844+I1845+I1846</f>
        <v>10480.437891</v>
      </c>
      <c r="J1847" s="39" t="n">
        <f aca="false">J1844+J1845+J1846</f>
        <v>10480.437891</v>
      </c>
      <c r="K1847" s="39" t="n">
        <f aca="false">K1844+K1845+K1846</f>
        <v>10480.437891</v>
      </c>
      <c r="L1847" s="39" t="n">
        <f aca="false">L1844+L1845+L1846</f>
        <v>10480.437891</v>
      </c>
      <c r="M1847" s="39" t="n">
        <f aca="false">M1844+M1845+M1846</f>
        <v>10480.437891</v>
      </c>
      <c r="N1847" s="39" t="n">
        <f aca="false">N1844+N1845+N1846</f>
        <v>10480.437891</v>
      </c>
      <c r="P1847" s="40" t="n">
        <f aca="false">F1847</f>
        <v>5126.77571175</v>
      </c>
      <c r="Q1847" s="40" t="n">
        <f aca="false">J1847</f>
        <v>10480.437891</v>
      </c>
      <c r="R1847" s="40" t="n">
        <f aca="false">N1847</f>
        <v>10480.437891</v>
      </c>
      <c r="S1847" s="41" t="n">
        <f aca="false">R1847</f>
        <v>10480.437891</v>
      </c>
    </row>
    <row r="1848" customFormat="false" ht="15" hidden="false" customHeight="false" outlineLevel="0" collapsed="false">
      <c r="A1848" s="4" t="s">
        <v>489</v>
      </c>
      <c r="B1848" s="36" t="s">
        <v>485</v>
      </c>
      <c r="C1848" s="39" t="n">
        <f aca="false">$C$1818*C1838*C1841+$C$1822*C1839*C1842+$C$1826*C1840*C1843</f>
        <v>1717.343397</v>
      </c>
      <c r="D1848" s="39" t="n">
        <f aca="false">$C$1818*D1838*D1841+$C$1822*D1839*D1842+$C$1826*D1840*D1843</f>
        <v>3297.93332902888</v>
      </c>
      <c r="E1848" s="39" t="n">
        <f aca="false">$C$1818*E1838*E1841+$C$1822*E1839*E1842+$C$1826*E1840*E1843</f>
        <v>3166.62475941598</v>
      </c>
      <c r="F1848" s="39" t="n">
        <f aca="false">$C$1818*F1838*F1841+$C$1822*F1839*F1842+$C$1826*F1840*F1843</f>
        <v>4732.63321216697</v>
      </c>
      <c r="G1848" s="39" t="n">
        <f aca="false">$C$1818*G1838*G1841+$C$1822*G1839*G1842+$C$1826*G1840*G1843</f>
        <v>6168.91918035032</v>
      </c>
      <c r="H1848" s="39" t="n">
        <f aca="false">$C$1818*H1838*H1841+$C$1822*H1839*H1842+$C$1826*H1840*H1843</f>
        <v>7754.08776100229</v>
      </c>
      <c r="I1848" s="39" t="n">
        <f aca="false">$C$1818*I1838*I1841+$C$1822*I1839*I1842+$C$1826*I1840*I1843</f>
        <v>9203.24868233539</v>
      </c>
      <c r="J1848" s="39" t="n">
        <f aca="false">$C$1818*J1838*J1841+$C$1822*J1839*J1842+$C$1826*J1840*J1843</f>
        <v>8836.81755723284</v>
      </c>
      <c r="K1848" s="39" t="n">
        <f aca="false">$C$1818*K1838*K1841+$C$1822*K1839*K1842+$C$1826*K1840*K1843</f>
        <v>8484.97603783133</v>
      </c>
      <c r="L1848" s="39" t="n">
        <f aca="false">$C$1818*L1838*L1841+$C$1822*L1839*L1842+$C$1826*L1840*L1843</f>
        <v>8147.14323298945</v>
      </c>
      <c r="M1848" s="39" t="n">
        <f aca="false">$C$1818*M1838*M1841+$C$1822*M1839*M1842+$C$1826*M1840*M1843</f>
        <v>7822.76137998508</v>
      </c>
      <c r="N1848" s="39" t="n">
        <f aca="false">$C$1818*N1838*N1841+$C$1822*N1839*N1842+$C$1826*N1840*N1843</f>
        <v>7511.29492364791</v>
      </c>
      <c r="P1848" s="40"/>
      <c r="Q1848" s="40"/>
      <c r="R1848" s="40"/>
      <c r="S1848" s="41"/>
    </row>
    <row r="1849" customFormat="false" ht="15" hidden="false" customHeight="false" outlineLevel="0" collapsed="false">
      <c r="A1849" s="4" t="s">
        <v>490</v>
      </c>
      <c r="B1849" s="36" t="s">
        <v>491</v>
      </c>
      <c r="C1849" s="48" t="n">
        <f aca="false">$C$1830*Assumptions!$I$20*C1837*C1848</f>
        <v>30.0535094475</v>
      </c>
      <c r="D1849" s="48" t="n">
        <f aca="false">$C$1830*Assumptions!$I$20*D1837*D1848</f>
        <v>57.7138332580053</v>
      </c>
      <c r="E1849" s="48" t="n">
        <f aca="false">$C$1830*Assumptions!$I$20*E1837*E1848</f>
        <v>55.4159332897796</v>
      </c>
      <c r="F1849" s="48" t="n">
        <f aca="false">$C$1830*Assumptions!$I$20*F1837*F1848</f>
        <v>82.8210812129219</v>
      </c>
      <c r="G1849" s="48" t="n">
        <f aca="false">$C$1830*Assumptions!$I$20*G1837*G1848</f>
        <v>107.956085656131</v>
      </c>
      <c r="H1849" s="48" t="n">
        <f aca="false">$C$1830*Assumptions!$I$20*H1837*H1848</f>
        <v>135.69653581754</v>
      </c>
      <c r="I1849" s="48" t="n">
        <f aca="false">$C$1830*Assumptions!$I$20*I1837*I1848</f>
        <v>161.056851940869</v>
      </c>
      <c r="J1849" s="48" t="n">
        <f aca="false">$C$1830*Assumptions!$I$20*J1837*J1848</f>
        <v>154.644307251575</v>
      </c>
      <c r="K1849" s="48" t="n">
        <f aca="false">$C$1830*Assumptions!$I$20*K1837*K1848</f>
        <v>148.487080662048</v>
      </c>
      <c r="L1849" s="48" t="n">
        <f aca="false">$C$1830*Assumptions!$I$20*L1837*L1848</f>
        <v>142.575006577315</v>
      </c>
      <c r="M1849" s="48" t="n">
        <f aca="false">$C$1830*Assumptions!$I$20*M1837*M1848</f>
        <v>136.898324149739</v>
      </c>
      <c r="N1849" s="48" t="n">
        <f aca="false">$C$1830*Assumptions!$I$20*N1837*N1848</f>
        <v>131.447661163838</v>
      </c>
      <c r="P1849" s="49" t="n">
        <f aca="false">SUM(C1849:F1849)</f>
        <v>226.004357208207</v>
      </c>
      <c r="Q1849" s="49" t="n">
        <f aca="false">SUM(G1849:J1849)</f>
        <v>559.353780666115</v>
      </c>
      <c r="R1849" s="49" t="n">
        <f aca="false">SUM(K1849:N1849)</f>
        <v>559.408072552941</v>
      </c>
      <c r="S1849" s="50" t="n">
        <f aca="false">SUM(P1849:R1849)</f>
        <v>1344.76621042726</v>
      </c>
    </row>
    <row r="1850" customFormat="false" ht="15" hidden="false" customHeight="false" outlineLevel="0" collapsed="false">
      <c r="A1850" s="4" t="s">
        <v>492</v>
      </c>
      <c r="B1850" s="36" t="s">
        <v>321</v>
      </c>
      <c r="C1850" s="48" t="n">
        <f aca="false">Assumptions!$D$111</f>
        <v>0</v>
      </c>
      <c r="D1850" s="48" t="n">
        <f aca="false">Assumptions!$E$111</f>
        <v>0</v>
      </c>
      <c r="E1850" s="48" t="n">
        <f aca="false">Assumptions!$F$111</f>
        <v>0</v>
      </c>
      <c r="F1850" s="48" t="n">
        <f aca="false">Assumptions!$G$111</f>
        <v>0</v>
      </c>
      <c r="G1850" s="48" t="n">
        <f aca="false">Assumptions!$H$111</f>
        <v>0</v>
      </c>
      <c r="H1850" s="48" t="n">
        <f aca="false">Assumptions!$I$111</f>
        <v>0</v>
      </c>
      <c r="I1850" s="48" t="n">
        <f aca="false">Assumptions!$J$111</f>
        <v>0</v>
      </c>
      <c r="J1850" s="48" t="n">
        <f aca="false">Assumptions!$K$111</f>
        <v>0</v>
      </c>
      <c r="K1850" s="48" t="n">
        <f aca="false">Assumptions!$L$111</f>
        <v>0</v>
      </c>
      <c r="L1850" s="48" t="n">
        <f aca="false">Assumptions!$M$111</f>
        <v>0</v>
      </c>
      <c r="M1850" s="48" t="n">
        <f aca="false">Assumptions!$N$111</f>
        <v>0</v>
      </c>
      <c r="N1850" s="48" t="n">
        <f aca="false">Assumptions!$O$111</f>
        <v>0</v>
      </c>
      <c r="P1850" s="49" t="n">
        <f aca="false">F1850</f>
        <v>0</v>
      </c>
      <c r="Q1850" s="49" t="n">
        <f aca="false">J1850</f>
        <v>0</v>
      </c>
      <c r="R1850" s="49" t="n">
        <f aca="false">N1850</f>
        <v>0</v>
      </c>
      <c r="S1850" s="50" t="n">
        <f aca="false">R1850</f>
        <v>0</v>
      </c>
    </row>
    <row r="1851" customFormat="false" ht="15" hidden="false" customHeight="false" outlineLevel="0" collapsed="false">
      <c r="A1851" s="4" t="s">
        <v>493</v>
      </c>
      <c r="B1851" s="36" t="s">
        <v>321</v>
      </c>
      <c r="C1851" s="48" t="n">
        <f aca="false">0</f>
        <v>0</v>
      </c>
      <c r="D1851" s="48" t="n">
        <f aca="false">0.5*C1850</f>
        <v>0</v>
      </c>
      <c r="E1851" s="48" t="n">
        <f aca="false">C1850+0.5*(D1850-C1850)</f>
        <v>0</v>
      </c>
      <c r="F1851" s="48" t="n">
        <f aca="false">D1850+0.5*(E1850-D1850)</f>
        <v>0</v>
      </c>
      <c r="G1851" s="48" t="n">
        <f aca="false">E1850+0.5*(F1850-E1850)</f>
        <v>0</v>
      </c>
      <c r="H1851" s="48" t="n">
        <f aca="false">F1850+0.5*(G1850-F1850)</f>
        <v>0</v>
      </c>
      <c r="I1851" s="48" t="n">
        <f aca="false">G1850+0.5*(H1850-G1850)</f>
        <v>0</v>
      </c>
      <c r="J1851" s="48" t="n">
        <f aca="false">H1850+0.5*(I1850-H1850)</f>
        <v>0</v>
      </c>
      <c r="K1851" s="48" t="n">
        <f aca="false">I1850+0.5*(J1850-I1850)</f>
        <v>0</v>
      </c>
      <c r="L1851" s="48" t="n">
        <f aca="false">J1850+0.5*(K1850-J1850)</f>
        <v>0</v>
      </c>
      <c r="M1851" s="48" t="n">
        <f aca="false">K1850+0.5*(L1850-K1850)</f>
        <v>0</v>
      </c>
      <c r="N1851" s="48" t="n">
        <f aca="false">L1850+0.5*(M1850-L1850)</f>
        <v>0</v>
      </c>
      <c r="P1851" s="49" t="n">
        <f aca="false">F1851</f>
        <v>0</v>
      </c>
      <c r="Q1851" s="49" t="n">
        <f aca="false">J1851</f>
        <v>0</v>
      </c>
      <c r="R1851" s="49" t="n">
        <f aca="false">N1851</f>
        <v>0</v>
      </c>
      <c r="S1851" s="50" t="n">
        <f aca="false">R1851</f>
        <v>0</v>
      </c>
    </row>
    <row r="1852" customFormat="false" ht="15" hidden="false" customHeight="false" outlineLevel="0" collapsed="false">
      <c r="A1852" s="4" t="s">
        <v>494</v>
      </c>
      <c r="B1852" s="36" t="s">
        <v>485</v>
      </c>
      <c r="C1852" s="39" t="n">
        <f aca="false">MIN(C1851*Assumptions!$I$38,C1847*(1-$C$1830))</f>
        <v>0</v>
      </c>
      <c r="D1852" s="39" t="n">
        <f aca="false">MIN(D1851*Assumptions!$I$38,D1847*(1-$C$1830))</f>
        <v>0</v>
      </c>
      <c r="E1852" s="39" t="n">
        <f aca="false">MIN(E1851*Assumptions!$I$38,E1847*(1-$C$1830))</f>
        <v>0</v>
      </c>
      <c r="F1852" s="39" t="n">
        <f aca="false">MIN(F1851*Assumptions!$I$38,F1847*(1-$C$1830))</f>
        <v>0</v>
      </c>
      <c r="G1852" s="39" t="n">
        <f aca="false">MIN(G1851*Assumptions!$I$38,G1847*(1-$C$1830))</f>
        <v>0</v>
      </c>
      <c r="H1852" s="39" t="n">
        <f aca="false">MIN(H1851*Assumptions!$I$38,H1847*(1-$C$1830))</f>
        <v>0</v>
      </c>
      <c r="I1852" s="39" t="n">
        <f aca="false">MIN(I1851*Assumptions!$I$38,I1847*(1-$C$1830))</f>
        <v>0</v>
      </c>
      <c r="J1852" s="39" t="n">
        <f aca="false">MIN(J1851*Assumptions!$I$38,J1847*(1-$C$1830))</f>
        <v>0</v>
      </c>
      <c r="K1852" s="39" t="n">
        <f aca="false">MIN(K1851*Assumptions!$I$38,K1847*(1-$C$1830))</f>
        <v>0</v>
      </c>
      <c r="L1852" s="39" t="n">
        <f aca="false">MIN(L1851*Assumptions!$I$38,L1847*(1-$C$1830))</f>
        <v>0</v>
      </c>
      <c r="M1852" s="39" t="n">
        <f aca="false">MIN(M1851*Assumptions!$I$38,M1847*(1-$C$1830))</f>
        <v>0</v>
      </c>
      <c r="N1852" s="39" t="n">
        <f aca="false">MIN(N1851*Assumptions!$I$38,N1847*(1-$C$1830))</f>
        <v>0</v>
      </c>
      <c r="P1852" s="40" t="n">
        <f aca="false">SUM(C1852:F1852)</f>
        <v>0</v>
      </c>
      <c r="Q1852" s="40" t="n">
        <f aca="false">SUM(G1852:J1852)</f>
        <v>0</v>
      </c>
      <c r="R1852" s="40" t="n">
        <f aca="false">SUM(K1852:N1852)</f>
        <v>0</v>
      </c>
      <c r="S1852" s="41" t="n">
        <f aca="false">SUM(P1852:R1852)</f>
        <v>0</v>
      </c>
    </row>
    <row r="1853" customFormat="false" ht="15" hidden="false" customHeight="false" outlineLevel="0" collapsed="false">
      <c r="A1853" s="4" t="s">
        <v>495</v>
      </c>
      <c r="B1853" s="36" t="s">
        <v>491</v>
      </c>
      <c r="C1853" s="48" t="n">
        <f aca="false">C1852*Assumptions!$I$20*Assumptions!$I$39*IF(C1847&gt;0,C1848/C1847,0)*C1837</f>
        <v>0</v>
      </c>
      <c r="D1853" s="48" t="n">
        <f aca="false">D1852*Assumptions!$I$20*Assumptions!$I$39*IF(D1847&gt;0,D1848/D1847,0)*D1837</f>
        <v>0</v>
      </c>
      <c r="E1853" s="48" t="n">
        <f aca="false">E1852*Assumptions!$I$20*Assumptions!$I$39*IF(E1847&gt;0,E1848/E1847,0)*E1837</f>
        <v>0</v>
      </c>
      <c r="F1853" s="48" t="n">
        <f aca="false">F1852*Assumptions!$I$20*Assumptions!$I$39*IF(F1847&gt;0,F1848/F1847,0)*F1837</f>
        <v>0</v>
      </c>
      <c r="G1853" s="48" t="n">
        <f aca="false">G1852*Assumptions!$I$20*Assumptions!$I$39*IF(G1847&gt;0,G1848/G1847,0)*G1837</f>
        <v>0</v>
      </c>
      <c r="H1853" s="48" t="n">
        <f aca="false">H1852*Assumptions!$I$20*Assumptions!$I$39*IF(H1847&gt;0,H1848/H1847,0)*H1837</f>
        <v>0</v>
      </c>
      <c r="I1853" s="48" t="n">
        <f aca="false">I1852*Assumptions!$I$20*Assumptions!$I$39*IF(I1847&gt;0,I1848/I1847,0)*I1837</f>
        <v>0</v>
      </c>
      <c r="J1853" s="48" t="n">
        <f aca="false">J1852*Assumptions!$I$20*Assumptions!$I$39*IF(J1847&gt;0,J1848/J1847,0)*J1837</f>
        <v>0</v>
      </c>
      <c r="K1853" s="48" t="n">
        <f aca="false">K1852*Assumptions!$I$20*Assumptions!$I$39*IF(K1847&gt;0,K1848/K1847,0)*K1837</f>
        <v>0</v>
      </c>
      <c r="L1853" s="48" t="n">
        <f aca="false">L1852*Assumptions!$I$20*Assumptions!$I$39*IF(L1847&gt;0,L1848/L1847,0)*L1837</f>
        <v>0</v>
      </c>
      <c r="M1853" s="48" t="n">
        <f aca="false">M1852*Assumptions!$I$20*Assumptions!$I$39*IF(M1847&gt;0,M1848/M1847,0)*M1837</f>
        <v>0</v>
      </c>
      <c r="N1853" s="48" t="n">
        <f aca="false">N1852*Assumptions!$I$20*Assumptions!$I$39*IF(N1847&gt;0,N1848/N1847,0)*N1837</f>
        <v>0</v>
      </c>
      <c r="P1853" s="49" t="n">
        <f aca="false">SUM(C1853:F1853)</f>
        <v>0</v>
      </c>
      <c r="Q1853" s="49" t="n">
        <f aca="false">SUM(G1853:J1853)</f>
        <v>0</v>
      </c>
      <c r="R1853" s="49" t="n">
        <f aca="false">SUM(K1853:N1853)</f>
        <v>0</v>
      </c>
      <c r="S1853" s="50" t="n">
        <f aca="false">SUM(P1853:R1853)</f>
        <v>0</v>
      </c>
    </row>
    <row r="1854" customFormat="false" ht="15" hidden="false" customHeight="false" outlineLevel="0" collapsed="false">
      <c r="A1854" s="4" t="s">
        <v>496</v>
      </c>
      <c r="B1854" s="36" t="s">
        <v>497</v>
      </c>
      <c r="C1854" s="48" t="n">
        <f aca="false">IF(AND(C1847&gt;0,$C$1834&gt;0),C1847*Assumptions!$I$24*(1-EXP(-$C$1834/(Assumptions!$I$23*C1847*Assumptions!$I$24))),0)</f>
        <v>0</v>
      </c>
      <c r="D1854" s="48" t="n">
        <f aca="false">IF(AND(D1847&gt;0,$C$1834&gt;0),D1847*Assumptions!$I$24*(1-EXP(-$C$1834/(Assumptions!$I$23*D1847*Assumptions!$I$24))),0)</f>
        <v>0</v>
      </c>
      <c r="E1854" s="48" t="n">
        <f aca="false">IF(AND(E1847&gt;0,$C$1834&gt;0),E1847*Assumptions!$I$24*(1-EXP(-$C$1834/(Assumptions!$I$23*E1847*Assumptions!$I$24))),0)</f>
        <v>0</v>
      </c>
      <c r="F1854" s="48" t="n">
        <f aca="false">IF(AND(F1847&gt;0,$C$1834&gt;0),F1847*Assumptions!$I$24*(1-EXP(-$C$1834/(Assumptions!$I$23*F1847*Assumptions!$I$24))),0)</f>
        <v>0</v>
      </c>
      <c r="G1854" s="48" t="n">
        <f aca="false">IF(AND(G1847&gt;0,$C$1834&gt;0),G1847*Assumptions!$I$24*(1-EXP(-$C$1834/(Assumptions!$I$23*G1847*Assumptions!$I$24))),0)</f>
        <v>0</v>
      </c>
      <c r="H1854" s="48" t="n">
        <f aca="false">IF(AND(H1847&gt;0,$C$1834&gt;0),H1847*Assumptions!$I$24*(1-EXP(-$C$1834/(Assumptions!$I$23*H1847*Assumptions!$I$24))),0)</f>
        <v>0</v>
      </c>
      <c r="I1854" s="48" t="n">
        <f aca="false">IF(AND(I1847&gt;0,$C$1834&gt;0),I1847*Assumptions!$I$24*(1-EXP(-$C$1834/(Assumptions!$I$23*I1847*Assumptions!$I$24))),0)</f>
        <v>0</v>
      </c>
      <c r="J1854" s="48" t="n">
        <f aca="false">IF(AND(J1847&gt;0,$C$1834&gt;0),J1847*Assumptions!$I$24*(1-EXP(-$C$1834/(Assumptions!$I$23*J1847*Assumptions!$I$24))),0)</f>
        <v>0</v>
      </c>
      <c r="K1854" s="48" t="n">
        <f aca="false">IF(AND(K1847&gt;0,$C$1834&gt;0),K1847*Assumptions!$I$24*(1-EXP(-$C$1834/(Assumptions!$I$23*K1847*Assumptions!$I$24))),0)</f>
        <v>0</v>
      </c>
      <c r="L1854" s="48" t="n">
        <f aca="false">IF(AND(L1847&gt;0,$C$1834&gt;0),L1847*Assumptions!$I$24*(1-EXP(-$C$1834/(Assumptions!$I$23*L1847*Assumptions!$I$24))),0)</f>
        <v>0</v>
      </c>
      <c r="M1854" s="48" t="n">
        <f aca="false">IF(AND(M1847&gt;0,$C$1834&gt;0),M1847*Assumptions!$I$24*(1-EXP(-$C$1834/(Assumptions!$I$23*M1847*Assumptions!$I$24))),0)</f>
        <v>0</v>
      </c>
      <c r="N1854" s="48" t="n">
        <f aca="false">IF(AND(N1847&gt;0,$C$1834&gt;0),N1847*Assumptions!$I$24*(1-EXP(-$C$1834/(Assumptions!$I$23*N1847*Assumptions!$I$24))),0)</f>
        <v>0</v>
      </c>
      <c r="P1854" s="49" t="n">
        <f aca="false">SUM(C1854:F1854)</f>
        <v>0</v>
      </c>
      <c r="Q1854" s="49" t="n">
        <f aca="false">SUM(G1854:J1854)</f>
        <v>0</v>
      </c>
      <c r="R1854" s="49" t="n">
        <f aca="false">SUM(K1854:N1854)</f>
        <v>0</v>
      </c>
      <c r="S1854" s="50" t="n">
        <f aca="false">SUM(P1854:R1854)</f>
        <v>0</v>
      </c>
    </row>
    <row r="1855" customFormat="false" ht="15" hidden="false" customHeight="false" outlineLevel="0" collapsed="false">
      <c r="A1855" s="4" t="s">
        <v>498</v>
      </c>
      <c r="B1855" s="36" t="s">
        <v>497</v>
      </c>
      <c r="C1855" s="48" t="n">
        <f aca="false">(C1847*Assumptions!$I$22*MIN(1,Assumptions!$D$103/Assumptions!$I$78)+C1854)*C1837</f>
        <v>34.34686794</v>
      </c>
      <c r="D1855" s="48" t="n">
        <f aca="false">(D1847*Assumptions!$I$22*MIN(1,Assumptions!$D$103/Assumptions!$I$78)+D1854)*D1837</f>
        <v>68.69373588</v>
      </c>
      <c r="E1855" s="48" t="n">
        <f aca="false">(E1847*Assumptions!$I$22*MIN(1,Assumptions!$D$103/Assumptions!$I$78)+E1854)*E1837</f>
        <v>68.69373588</v>
      </c>
      <c r="F1855" s="48" t="n">
        <f aca="false">(F1847*Assumptions!$I$22*MIN(1,Assumptions!$D$103/Assumptions!$I$78)+F1854)*F1837</f>
        <v>102.535514235</v>
      </c>
      <c r="G1855" s="48" t="n">
        <f aca="false">(G1847*Assumptions!$I$22*MIN(1,Assumptions!$D$103/Assumptions!$I$78)+G1854)*G1837</f>
        <v>136.37729259</v>
      </c>
      <c r="H1855" s="48" t="n">
        <f aca="false">(H1847*Assumptions!$I$22*MIN(1,Assumptions!$D$103/Assumptions!$I$78)+H1854)*H1837</f>
        <v>172.993025205</v>
      </c>
      <c r="I1855" s="48" t="n">
        <f aca="false">(I1847*Assumptions!$I$22*MIN(1,Assumptions!$D$103/Assumptions!$I$78)+I1854)*I1837</f>
        <v>209.60875782</v>
      </c>
      <c r="J1855" s="48" t="n">
        <f aca="false">(J1847*Assumptions!$I$22*MIN(1,Assumptions!$D$103/Assumptions!$I$78)+J1854)*J1837</f>
        <v>209.60875782</v>
      </c>
      <c r="K1855" s="48" t="n">
        <f aca="false">(K1847*Assumptions!$I$22*MIN(1,Assumptions!$D$103/Assumptions!$I$78)+K1854)*K1837</f>
        <v>209.60875782</v>
      </c>
      <c r="L1855" s="48" t="n">
        <f aca="false">(L1847*Assumptions!$I$22*MIN(1,Assumptions!$D$103/Assumptions!$I$78)+L1854)*L1837</f>
        <v>209.60875782</v>
      </c>
      <c r="M1855" s="48" t="n">
        <f aca="false">(M1847*Assumptions!$I$22*MIN(1,Assumptions!$D$103/Assumptions!$I$78)+M1854)*M1837</f>
        <v>209.60875782</v>
      </c>
      <c r="N1855" s="48" t="n">
        <f aca="false">(N1847*Assumptions!$I$22*MIN(1,Assumptions!$D$103/Assumptions!$I$78)+N1854)*N1837</f>
        <v>209.60875782</v>
      </c>
      <c r="P1855" s="49" t="n">
        <f aca="false">SUM(C1855:F1855)</f>
        <v>274.269853935</v>
      </c>
      <c r="Q1855" s="49" t="n">
        <f aca="false">SUM(G1855:J1855)</f>
        <v>728.587833435</v>
      </c>
      <c r="R1855" s="49" t="n">
        <f aca="false">SUM(K1855:N1855)</f>
        <v>838.43503128</v>
      </c>
      <c r="S1855" s="50" t="n">
        <f aca="false">SUM(P1855:R1855)</f>
        <v>1841.29271865</v>
      </c>
    </row>
    <row r="1856" customFormat="false" ht="15" hidden="false" customHeight="false" outlineLevel="0" collapsed="false">
      <c r="A1856" s="4" t="s">
        <v>499</v>
      </c>
      <c r="B1856" s="36" t="s">
        <v>500</v>
      </c>
      <c r="C1856" s="48" t="n">
        <f aca="false">C1837*MIN(Assumptions!$I$27,Assumptions!$I$25+Assumptions!$I$26*(C1836-1))*Assumptions!$D$107</f>
        <v>4</v>
      </c>
      <c r="D1856" s="48" t="n">
        <f aca="false">D1837*MIN(Assumptions!$I$27,Assumptions!$I$25+Assumptions!$I$26*(D1836-1))*Assumptions!$D$107</f>
        <v>6</v>
      </c>
      <c r="E1856" s="48" t="n">
        <f aca="false">E1837*MIN(Assumptions!$I$27,Assumptions!$I$25+Assumptions!$I$26*(E1836-1))*Assumptions!$D$107</f>
        <v>8</v>
      </c>
      <c r="F1856" s="48" t="n">
        <f aca="false">F1837*MIN(Assumptions!$I$27,Assumptions!$I$25+Assumptions!$I$26*(F1836-1))*Assumptions!$D$107</f>
        <v>10</v>
      </c>
      <c r="G1856" s="48" t="n">
        <f aca="false">G1837*MIN(Assumptions!$I$27,Assumptions!$I$25+Assumptions!$I$26*(G1836-1))*Assumptions!$D$107</f>
        <v>12</v>
      </c>
      <c r="H1856" s="48" t="n">
        <f aca="false">H1837*MIN(Assumptions!$I$27,Assumptions!$I$25+Assumptions!$I$26*(H1836-1))*Assumptions!$D$107</f>
        <v>14</v>
      </c>
      <c r="I1856" s="48" t="n">
        <f aca="false">I1837*MIN(Assumptions!$I$27,Assumptions!$I$25+Assumptions!$I$26*(I1836-1))*Assumptions!$D$107</f>
        <v>14</v>
      </c>
      <c r="J1856" s="48" t="n">
        <f aca="false">J1837*MIN(Assumptions!$I$27,Assumptions!$I$25+Assumptions!$I$26*(J1836-1))*Assumptions!$D$107</f>
        <v>14</v>
      </c>
      <c r="K1856" s="48" t="n">
        <f aca="false">K1837*MIN(Assumptions!$I$27,Assumptions!$I$25+Assumptions!$I$26*(K1836-1))*Assumptions!$D$107</f>
        <v>14</v>
      </c>
      <c r="L1856" s="48" t="n">
        <f aca="false">L1837*MIN(Assumptions!$I$27,Assumptions!$I$25+Assumptions!$I$26*(L1836-1))*Assumptions!$D$107</f>
        <v>14</v>
      </c>
      <c r="M1856" s="48" t="n">
        <f aca="false">M1837*MIN(Assumptions!$I$27,Assumptions!$I$25+Assumptions!$I$26*(M1836-1))*Assumptions!$D$107</f>
        <v>14</v>
      </c>
      <c r="N1856" s="48" t="n">
        <f aca="false">N1837*MIN(Assumptions!$I$27,Assumptions!$I$25+Assumptions!$I$26*(N1836-1))*Assumptions!$D$107</f>
        <v>14</v>
      </c>
      <c r="P1856" s="49" t="n">
        <f aca="false">F1856</f>
        <v>10</v>
      </c>
      <c r="Q1856" s="49" t="n">
        <f aca="false">J1856</f>
        <v>14</v>
      </c>
      <c r="R1856" s="49" t="n">
        <f aca="false">N1856</f>
        <v>14</v>
      </c>
      <c r="S1856" s="50" t="n">
        <f aca="false">R1856</f>
        <v>14</v>
      </c>
    </row>
    <row r="1857" customFormat="false" ht="15" hidden="false" customHeight="false" outlineLevel="0" collapsed="false">
      <c r="A1857" s="4" t="s">
        <v>501</v>
      </c>
      <c r="B1857" s="36" t="s">
        <v>502</v>
      </c>
      <c r="C1857" s="48" t="n">
        <f aca="false">C1856*Assumptions!$I$28</f>
        <v>16</v>
      </c>
      <c r="D1857" s="48" t="n">
        <f aca="false">D1856*Assumptions!$I$28</f>
        <v>24</v>
      </c>
      <c r="E1857" s="48" t="n">
        <f aca="false">E1856*Assumptions!$I$28</f>
        <v>32</v>
      </c>
      <c r="F1857" s="48" t="n">
        <f aca="false">F1856*Assumptions!$I$28</f>
        <v>40</v>
      </c>
      <c r="G1857" s="48" t="n">
        <f aca="false">G1856*Assumptions!$I$28</f>
        <v>48</v>
      </c>
      <c r="H1857" s="48" t="n">
        <f aca="false">H1856*Assumptions!$I$28</f>
        <v>56</v>
      </c>
      <c r="I1857" s="48" t="n">
        <f aca="false">I1856*Assumptions!$I$28</f>
        <v>56</v>
      </c>
      <c r="J1857" s="48" t="n">
        <f aca="false">J1856*Assumptions!$I$28</f>
        <v>56</v>
      </c>
      <c r="K1857" s="48" t="n">
        <f aca="false">K1856*Assumptions!$I$28</f>
        <v>56</v>
      </c>
      <c r="L1857" s="48" t="n">
        <f aca="false">L1856*Assumptions!$I$28</f>
        <v>56</v>
      </c>
      <c r="M1857" s="48" t="n">
        <f aca="false">M1856*Assumptions!$I$28</f>
        <v>56</v>
      </c>
      <c r="N1857" s="48" t="n">
        <f aca="false">N1856*Assumptions!$I$28</f>
        <v>56</v>
      </c>
      <c r="P1857" s="49" t="n">
        <f aca="false">SUM(C1857:F1857)</f>
        <v>112</v>
      </c>
      <c r="Q1857" s="49" t="n">
        <f aca="false">SUM(G1857:J1857)</f>
        <v>216</v>
      </c>
      <c r="R1857" s="49" t="n">
        <f aca="false">SUM(K1857:N1857)</f>
        <v>224</v>
      </c>
      <c r="S1857" s="50" t="n">
        <f aca="false">SUM(P1857:R1857)</f>
        <v>552</v>
      </c>
    </row>
    <row r="1858" customFormat="false" ht="15" hidden="false" customHeight="false" outlineLevel="0" collapsed="false">
      <c r="A1858" s="4" t="s">
        <v>503</v>
      </c>
      <c r="B1858" s="36" t="s">
        <v>504</v>
      </c>
      <c r="C1858" s="48" t="n">
        <f aca="false">(C1849+C1853)*Assumptions!$I$29</f>
        <v>15.02675472375</v>
      </c>
      <c r="D1858" s="48" t="n">
        <f aca="false">(D1849+D1853)*Assumptions!$I$29</f>
        <v>28.8569166290027</v>
      </c>
      <c r="E1858" s="48" t="n">
        <f aca="false">(E1849+E1853)*Assumptions!$I$29</f>
        <v>27.7079666448898</v>
      </c>
      <c r="F1858" s="48" t="n">
        <f aca="false">(F1849+F1853)*Assumptions!$I$29</f>
        <v>41.410540606461</v>
      </c>
      <c r="G1858" s="48" t="n">
        <f aca="false">(G1849+G1853)*Assumptions!$I$29</f>
        <v>53.9780428280653</v>
      </c>
      <c r="H1858" s="48" t="n">
        <f aca="false">(H1849+H1853)*Assumptions!$I$29</f>
        <v>67.8482679087701</v>
      </c>
      <c r="I1858" s="48" t="n">
        <f aca="false">(I1849+I1853)*Assumptions!$I$29</f>
        <v>80.5284259704347</v>
      </c>
      <c r="J1858" s="48" t="n">
        <f aca="false">(J1849+J1853)*Assumptions!$I$29</f>
        <v>77.3221536257873</v>
      </c>
      <c r="K1858" s="48" t="n">
        <f aca="false">(K1849+K1853)*Assumptions!$I$29</f>
        <v>74.2435403310241</v>
      </c>
      <c r="L1858" s="48" t="n">
        <f aca="false">(L1849+L1853)*Assumptions!$I$29</f>
        <v>71.2875032886577</v>
      </c>
      <c r="M1858" s="48" t="n">
        <f aca="false">(M1849+M1853)*Assumptions!$I$29</f>
        <v>68.4491620748695</v>
      </c>
      <c r="N1858" s="48" t="n">
        <f aca="false">(N1849+N1853)*Assumptions!$I$29</f>
        <v>65.7238305819192</v>
      </c>
      <c r="P1858" s="49" t="n">
        <f aca="false">SUM(C1858:F1858)</f>
        <v>113.002178604103</v>
      </c>
      <c r="Q1858" s="49" t="n">
        <f aca="false">SUM(G1858:J1858)</f>
        <v>279.676890333057</v>
      </c>
      <c r="R1858" s="49" t="n">
        <f aca="false">SUM(K1858:N1858)</f>
        <v>279.70403627647</v>
      </c>
      <c r="S1858" s="50" t="n">
        <f aca="false">SUM(P1858:R1858)</f>
        <v>672.383105213631</v>
      </c>
    </row>
    <row r="1859" customFormat="false" ht="15" hidden="false" customHeight="false" outlineLevel="0" collapsed="false">
      <c r="A1859" s="4" t="s">
        <v>505</v>
      </c>
      <c r="B1859" s="36" t="s">
        <v>504</v>
      </c>
      <c r="C1859" s="48" t="n">
        <f aca="false">C1855*Assumptions!$I$31</f>
        <v>7.5563109468</v>
      </c>
      <c r="D1859" s="48" t="n">
        <f aca="false">D1855*Assumptions!$I$31</f>
        <v>15.1126218936</v>
      </c>
      <c r="E1859" s="48" t="n">
        <f aca="false">E1855*Assumptions!$I$31</f>
        <v>15.1126218936</v>
      </c>
      <c r="F1859" s="48" t="n">
        <f aca="false">F1855*Assumptions!$I$31</f>
        <v>22.5578131317</v>
      </c>
      <c r="G1859" s="48" t="n">
        <f aca="false">G1855*Assumptions!$I$31</f>
        <v>30.0030043698</v>
      </c>
      <c r="H1859" s="48" t="n">
        <f aca="false">H1855*Assumptions!$I$31</f>
        <v>38.0584655451</v>
      </c>
      <c r="I1859" s="48" t="n">
        <f aca="false">I1855*Assumptions!$I$31</f>
        <v>46.1139267204</v>
      </c>
      <c r="J1859" s="48" t="n">
        <f aca="false">J1855*Assumptions!$I$31</f>
        <v>46.1139267204</v>
      </c>
      <c r="K1859" s="48" t="n">
        <f aca="false">K1855*Assumptions!$I$31</f>
        <v>46.1139267204</v>
      </c>
      <c r="L1859" s="48" t="n">
        <f aca="false">L1855*Assumptions!$I$31</f>
        <v>46.1139267204</v>
      </c>
      <c r="M1859" s="48" t="n">
        <f aca="false">M1855*Assumptions!$I$31</f>
        <v>46.1139267204</v>
      </c>
      <c r="N1859" s="48" t="n">
        <f aca="false">N1855*Assumptions!$I$31</f>
        <v>46.1139267204</v>
      </c>
      <c r="P1859" s="49" t="n">
        <f aca="false">SUM(C1859:F1859)</f>
        <v>60.3393678657</v>
      </c>
      <c r="Q1859" s="49" t="n">
        <f aca="false">SUM(G1859:J1859)</f>
        <v>160.2893233557</v>
      </c>
      <c r="R1859" s="49" t="n">
        <f aca="false">SUM(K1859:N1859)</f>
        <v>184.4557068816</v>
      </c>
      <c r="S1859" s="50" t="n">
        <f aca="false">SUM(P1859:R1859)</f>
        <v>405.084398103</v>
      </c>
    </row>
    <row r="1860" customFormat="false" ht="15" hidden="false" customHeight="false" outlineLevel="0" collapsed="false">
      <c r="A1860" s="4" t="s">
        <v>506</v>
      </c>
      <c r="B1860" s="36" t="s">
        <v>504</v>
      </c>
      <c r="C1860" s="48" t="n">
        <f aca="false">C1857*Assumptions!$I$30</f>
        <v>9.6</v>
      </c>
      <c r="D1860" s="48" t="n">
        <f aca="false">D1857*Assumptions!$I$30</f>
        <v>14.4</v>
      </c>
      <c r="E1860" s="48" t="n">
        <f aca="false">E1857*Assumptions!$I$30</f>
        <v>19.2</v>
      </c>
      <c r="F1860" s="48" t="n">
        <f aca="false">F1857*Assumptions!$I$30</f>
        <v>24</v>
      </c>
      <c r="G1860" s="48" t="n">
        <f aca="false">G1857*Assumptions!$I$30</f>
        <v>28.8</v>
      </c>
      <c r="H1860" s="48" t="n">
        <f aca="false">H1857*Assumptions!$I$30</f>
        <v>33.6</v>
      </c>
      <c r="I1860" s="48" t="n">
        <f aca="false">I1857*Assumptions!$I$30</f>
        <v>33.6</v>
      </c>
      <c r="J1860" s="48" t="n">
        <f aca="false">J1857*Assumptions!$I$30</f>
        <v>33.6</v>
      </c>
      <c r="K1860" s="48" t="n">
        <f aca="false">K1857*Assumptions!$I$30</f>
        <v>33.6</v>
      </c>
      <c r="L1860" s="48" t="n">
        <f aca="false">L1857*Assumptions!$I$30</f>
        <v>33.6</v>
      </c>
      <c r="M1860" s="48" t="n">
        <f aca="false">M1857*Assumptions!$I$30</f>
        <v>33.6</v>
      </c>
      <c r="N1860" s="48" t="n">
        <f aca="false">N1857*Assumptions!$I$30</f>
        <v>33.6</v>
      </c>
      <c r="P1860" s="49" t="n">
        <f aca="false">SUM(C1860:F1860)</f>
        <v>67.2</v>
      </c>
      <c r="Q1860" s="49" t="n">
        <f aca="false">SUM(G1860:J1860)</f>
        <v>129.6</v>
      </c>
      <c r="R1860" s="49" t="n">
        <f aca="false">SUM(K1860:N1860)</f>
        <v>134.4</v>
      </c>
      <c r="S1860" s="50" t="n">
        <f aca="false">SUM(P1860:R1860)</f>
        <v>331.2</v>
      </c>
    </row>
    <row r="1861" customFormat="false" ht="15" hidden="false" customHeight="false" outlineLevel="0" collapsed="false">
      <c r="A1861" s="9" t="s">
        <v>507</v>
      </c>
      <c r="B1861" s="36" t="s">
        <v>504</v>
      </c>
      <c r="C1861" s="49" t="n">
        <f aca="false">C1858+C1859+C1860</f>
        <v>32.18306567055</v>
      </c>
      <c r="D1861" s="49" t="n">
        <f aca="false">D1858+D1859+D1860</f>
        <v>58.3695385226027</v>
      </c>
      <c r="E1861" s="49" t="n">
        <f aca="false">E1858+E1859+E1860</f>
        <v>62.0205885384898</v>
      </c>
      <c r="F1861" s="49" t="n">
        <f aca="false">F1858+F1859+F1860</f>
        <v>87.968353738161</v>
      </c>
      <c r="G1861" s="49" t="n">
        <f aca="false">G1858+G1859+G1860</f>
        <v>112.781047197865</v>
      </c>
      <c r="H1861" s="49" t="n">
        <f aca="false">H1858+H1859+H1860</f>
        <v>139.50673345387</v>
      </c>
      <c r="I1861" s="49" t="n">
        <f aca="false">I1858+I1859+I1860</f>
        <v>160.242352690835</v>
      </c>
      <c r="J1861" s="49" t="n">
        <f aca="false">J1858+J1859+J1860</f>
        <v>157.036080346187</v>
      </c>
      <c r="K1861" s="49" t="n">
        <f aca="false">K1858+K1859+K1860</f>
        <v>153.957467051424</v>
      </c>
      <c r="L1861" s="49" t="n">
        <f aca="false">L1858+L1859+L1860</f>
        <v>151.001430009058</v>
      </c>
      <c r="M1861" s="49" t="n">
        <f aca="false">M1858+M1859+M1860</f>
        <v>148.163088795269</v>
      </c>
      <c r="N1861" s="49" t="n">
        <f aca="false">N1858+N1859+N1860</f>
        <v>145.437757302319</v>
      </c>
      <c r="P1861" s="49" t="n">
        <f aca="false">SUM(C1861:F1861)</f>
        <v>240.541546469803</v>
      </c>
      <c r="Q1861" s="49" t="n">
        <f aca="false">SUM(G1861:J1861)</f>
        <v>569.566213688757</v>
      </c>
      <c r="R1861" s="49" t="n">
        <f aca="false">SUM(K1861:N1861)</f>
        <v>598.559743158071</v>
      </c>
      <c r="S1861" s="50" t="n">
        <f aca="false">SUM(P1861:R1861)</f>
        <v>1408.66750331663</v>
      </c>
    </row>
    <row r="1862" customFormat="false" ht="15" hidden="false" customHeight="false" outlineLevel="0" collapsed="false">
      <c r="A1862" s="4" t="s">
        <v>508</v>
      </c>
      <c r="B1862" s="36" t="s">
        <v>509</v>
      </c>
      <c r="C1862" s="48" t="n">
        <f aca="false">C1844</f>
        <v>1371.907152</v>
      </c>
      <c r="D1862" s="48" t="n">
        <f aca="false">D1844</f>
        <v>2743.814304</v>
      </c>
      <c r="E1862" s="48" t="n">
        <f aca="false">E1844</f>
        <v>2743.814304</v>
      </c>
      <c r="F1862" s="48" t="n">
        <f aca="false">F1844</f>
        <v>4099.55809725</v>
      </c>
      <c r="G1862" s="48" t="n">
        <f aca="false">G1844</f>
        <v>5455.3018905</v>
      </c>
      <c r="H1862" s="48" t="n">
        <f aca="false">H1844</f>
        <v>6853.51410975</v>
      </c>
      <c r="I1862" s="48" t="n">
        <f aca="false">I1844</f>
        <v>8251.726329</v>
      </c>
      <c r="J1862" s="48" t="n">
        <f aca="false">J1844</f>
        <v>8251.726329</v>
      </c>
      <c r="K1862" s="48" t="n">
        <f aca="false">K1844</f>
        <v>8251.726329</v>
      </c>
      <c r="L1862" s="48" t="n">
        <f aca="false">L1844</f>
        <v>8251.726329</v>
      </c>
      <c r="M1862" s="48" t="n">
        <f aca="false">M1844</f>
        <v>8251.726329</v>
      </c>
      <c r="N1862" s="48" t="n">
        <f aca="false">N1844</f>
        <v>8251.726329</v>
      </c>
      <c r="P1862" s="49"/>
      <c r="Q1862" s="49"/>
      <c r="R1862" s="49"/>
      <c r="S1862" s="50"/>
    </row>
    <row r="1863" customFormat="false" ht="15" hidden="false" customHeight="false" outlineLevel="0" collapsed="false">
      <c r="A1863" s="4" t="s">
        <v>510</v>
      </c>
      <c r="B1863" s="36" t="s">
        <v>509</v>
      </c>
      <c r="C1863" s="48" t="n">
        <f aca="false">C1845*Assumptions!$I$18*Assumptions!$I$33</f>
        <v>560.531664</v>
      </c>
      <c r="D1863" s="48" t="n">
        <f aca="false">D1845*Assumptions!$I$18*Assumptions!$I$33</f>
        <v>1121.063328</v>
      </c>
      <c r="E1863" s="48" t="n">
        <f aca="false">E1845*Assumptions!$I$18*Assumptions!$I$33</f>
        <v>1121.063328</v>
      </c>
      <c r="F1863" s="48" t="n">
        <f aca="false">F1845*Assumptions!$I$18*Assumptions!$I$33</f>
        <v>1679.579055</v>
      </c>
      <c r="G1863" s="48" t="n">
        <f aca="false">G1845*Assumptions!$I$18*Assumptions!$I$33</f>
        <v>2238.094782</v>
      </c>
      <c r="H1863" s="48" t="n">
        <f aca="false">H1845*Assumptions!$I$18*Assumptions!$I$33</f>
        <v>2952.694899</v>
      </c>
      <c r="I1863" s="48" t="n">
        <f aca="false">I1845*Assumptions!$I$18*Assumptions!$I$33</f>
        <v>3667.295016</v>
      </c>
      <c r="J1863" s="48" t="n">
        <f aca="false">J1845*Assumptions!$I$18*Assumptions!$I$33</f>
        <v>3667.295016</v>
      </c>
      <c r="K1863" s="48" t="n">
        <f aca="false">K1845*Assumptions!$I$18*Assumptions!$I$33</f>
        <v>3667.295016</v>
      </c>
      <c r="L1863" s="48" t="n">
        <f aca="false">L1845*Assumptions!$I$18*Assumptions!$I$33</f>
        <v>3667.295016</v>
      </c>
      <c r="M1863" s="48" t="n">
        <f aca="false">M1845*Assumptions!$I$18*Assumptions!$I$33</f>
        <v>3667.295016</v>
      </c>
      <c r="N1863" s="48" t="n">
        <f aca="false">N1845*Assumptions!$I$18*Assumptions!$I$33</f>
        <v>3667.295016</v>
      </c>
      <c r="P1863" s="49"/>
      <c r="Q1863" s="49"/>
      <c r="R1863" s="49"/>
      <c r="S1863" s="50"/>
    </row>
    <row r="1864" customFormat="false" ht="15" hidden="false" customHeight="false" outlineLevel="0" collapsed="false">
      <c r="A1864" s="4" t="s">
        <v>511</v>
      </c>
      <c r="B1864" s="36" t="s">
        <v>509</v>
      </c>
      <c r="C1864" s="48" t="n">
        <f aca="false">C1846*Assumptions!$I$19*Assumptions!$I$34</f>
        <v>117.3067434</v>
      </c>
      <c r="D1864" s="48" t="n">
        <f aca="false">D1846*Assumptions!$I$19*Assumptions!$I$34</f>
        <v>234.6134868</v>
      </c>
      <c r="E1864" s="48" t="n">
        <f aca="false">E1846*Assumptions!$I$19*Assumptions!$I$34</f>
        <v>234.6134868</v>
      </c>
      <c r="F1864" s="48" t="n">
        <f aca="false">F1846*Assumptions!$I$19*Assumptions!$I$34</f>
        <v>337.3705566</v>
      </c>
      <c r="G1864" s="48" t="n">
        <f aca="false">G1846*Assumptions!$I$19*Assumptions!$I$34</f>
        <v>440.1276264</v>
      </c>
      <c r="H1864" s="48" t="n">
        <f aca="false">H1846*Assumptions!$I$19*Assumptions!$I$34</f>
        <v>575.6214618</v>
      </c>
      <c r="I1864" s="48" t="n">
        <f aca="false">I1846*Assumptions!$I$19*Assumptions!$I$34</f>
        <v>711.1152972</v>
      </c>
      <c r="J1864" s="48" t="n">
        <f aca="false">J1846*Assumptions!$I$19*Assumptions!$I$34</f>
        <v>711.1152972</v>
      </c>
      <c r="K1864" s="48" t="n">
        <f aca="false">K1846*Assumptions!$I$19*Assumptions!$I$34</f>
        <v>711.1152972</v>
      </c>
      <c r="L1864" s="48" t="n">
        <f aca="false">L1846*Assumptions!$I$19*Assumptions!$I$34</f>
        <v>711.1152972</v>
      </c>
      <c r="M1864" s="48" t="n">
        <f aca="false">M1846*Assumptions!$I$19*Assumptions!$I$34</f>
        <v>711.1152972</v>
      </c>
      <c r="N1864" s="48" t="n">
        <f aca="false">N1846*Assumptions!$I$19*Assumptions!$I$34</f>
        <v>711.1152972</v>
      </c>
      <c r="P1864" s="49"/>
      <c r="Q1864" s="49"/>
      <c r="R1864" s="49"/>
      <c r="S1864" s="50"/>
    </row>
    <row r="1865" customFormat="false" ht="15" hidden="false" customHeight="false" outlineLevel="0" collapsed="false">
      <c r="A1865" s="4" t="s">
        <v>512</v>
      </c>
      <c r="B1865" s="36" t="s">
        <v>77</v>
      </c>
      <c r="C1865" s="51" t="n">
        <f aca="false">IFERROR(C1862/(C1862+C1863+C1864),0)</f>
        <v>0.6693060734824</v>
      </c>
      <c r="D1865" s="51" t="n">
        <f aca="false">IFERROR(D1862/(D1862+D1863+D1864),0)</f>
        <v>0.6693060734824</v>
      </c>
      <c r="E1865" s="51" t="n">
        <f aca="false">IFERROR(E1862/(E1862+E1863+E1864),0)</f>
        <v>0.6693060734824</v>
      </c>
      <c r="F1865" s="51" t="n">
        <f aca="false">IFERROR(F1862/(F1862+F1863+F1864),0)</f>
        <v>0.670244899931759</v>
      </c>
      <c r="G1865" s="51" t="n">
        <f aca="false">IFERROR(G1862/(G1862+G1863+G1864),0)</f>
        <v>0.670718090955699</v>
      </c>
      <c r="H1865" s="51" t="n">
        <f aca="false">IFERROR(H1862/(H1862+H1863+H1864),0)</f>
        <v>0.660145061045957</v>
      </c>
      <c r="I1865" s="51" t="n">
        <f aca="false">IFERROR(I1862/(I1862+I1863+I1864),0)</f>
        <v>0.653336267275938</v>
      </c>
      <c r="J1865" s="51" t="n">
        <f aca="false">IFERROR(J1862/(J1862+J1863+J1864),0)</f>
        <v>0.653336267275938</v>
      </c>
      <c r="K1865" s="51" t="n">
        <f aca="false">IFERROR(K1862/(K1862+K1863+K1864),0)</f>
        <v>0.653336267275938</v>
      </c>
      <c r="L1865" s="51" t="n">
        <f aca="false">IFERROR(L1862/(L1862+L1863+L1864),0)</f>
        <v>0.653336267275938</v>
      </c>
      <c r="M1865" s="51" t="n">
        <f aca="false">IFERROR(M1862/(M1862+M1863+M1864),0)</f>
        <v>0.653336267275938</v>
      </c>
      <c r="N1865" s="51" t="n">
        <f aca="false">IFERROR(N1862/(N1862+N1863+N1864),0)</f>
        <v>0.653336267275938</v>
      </c>
      <c r="P1865" s="52"/>
      <c r="Q1865" s="52"/>
      <c r="R1865" s="52"/>
      <c r="S1865" s="53"/>
    </row>
    <row r="1866" customFormat="false" ht="15" hidden="false" customHeight="false" outlineLevel="0" collapsed="false">
      <c r="A1866" s="4" t="s">
        <v>513</v>
      </c>
      <c r="B1866" s="36" t="s">
        <v>77</v>
      </c>
      <c r="C1866" s="51" t="n">
        <f aca="false">IFERROR(C1863/(C1862+C1863+C1864),0)</f>
        <v>0.273464021634021</v>
      </c>
      <c r="D1866" s="51" t="n">
        <f aca="false">IFERROR(D1863/(D1862+D1863+D1864),0)</f>
        <v>0.273464021634021</v>
      </c>
      <c r="E1866" s="51" t="n">
        <f aca="false">IFERROR(E1863/(E1862+E1863+E1864),0)</f>
        <v>0.273464021634021</v>
      </c>
      <c r="F1866" s="51" t="n">
        <f aca="false">IFERROR(F1863/(F1862+F1863+F1864),0)</f>
        <v>0.274597717349364</v>
      </c>
      <c r="G1866" s="51" t="n">
        <f aca="false">IFERROR(G1863/(G1862+G1863+G1864),0)</f>
        <v>0.275169127152259</v>
      </c>
      <c r="H1866" s="51" t="n">
        <f aca="false">IFERROR(H1863/(H1862+H1863+H1864),0)</f>
        <v>0.28440985502276</v>
      </c>
      <c r="I1866" s="51" t="n">
        <f aca="false">IFERROR(I1863/(I1862+I1863+I1864),0)</f>
        <v>0.290360676205733</v>
      </c>
      <c r="J1866" s="51" t="n">
        <f aca="false">IFERROR(J1863/(J1862+J1863+J1864),0)</f>
        <v>0.290360676205733</v>
      </c>
      <c r="K1866" s="51" t="n">
        <f aca="false">IFERROR(K1863/(K1862+K1863+K1864),0)</f>
        <v>0.290360676205733</v>
      </c>
      <c r="L1866" s="51" t="n">
        <f aca="false">IFERROR(L1863/(L1862+L1863+L1864),0)</f>
        <v>0.290360676205733</v>
      </c>
      <c r="M1866" s="51" t="n">
        <f aca="false">IFERROR(M1863/(M1862+M1863+M1864),0)</f>
        <v>0.290360676205733</v>
      </c>
      <c r="N1866" s="51" t="n">
        <f aca="false">IFERROR(N1863/(N1862+N1863+N1864),0)</f>
        <v>0.290360676205733</v>
      </c>
      <c r="P1866" s="52"/>
      <c r="Q1866" s="52"/>
      <c r="R1866" s="52"/>
      <c r="S1866" s="53"/>
    </row>
    <row r="1867" customFormat="false" ht="15" hidden="false" customHeight="false" outlineLevel="0" collapsed="false">
      <c r="A1867" s="4" t="s">
        <v>514</v>
      </c>
      <c r="B1867" s="36" t="s">
        <v>77</v>
      </c>
      <c r="C1867" s="51" t="n">
        <f aca="false">IFERROR(C1864/(C1862+C1863+C1864),0)</f>
        <v>0.0572299048835788</v>
      </c>
      <c r="D1867" s="51" t="n">
        <f aca="false">IFERROR(D1864/(D1862+D1863+D1864),0)</f>
        <v>0.0572299048835788</v>
      </c>
      <c r="E1867" s="51" t="n">
        <f aca="false">IFERROR(E1864/(E1862+E1863+E1864),0)</f>
        <v>0.0572299048835788</v>
      </c>
      <c r="F1867" s="51" t="n">
        <f aca="false">IFERROR(F1864/(F1862+F1863+F1864),0)</f>
        <v>0.0551573827188768</v>
      </c>
      <c r="G1867" s="51" t="n">
        <f aca="false">IFERROR(G1864/(G1862+G1863+G1864),0)</f>
        <v>0.054112781892042</v>
      </c>
      <c r="H1867" s="51" t="n">
        <f aca="false">IFERROR(H1864/(H1862+H1863+H1864),0)</f>
        <v>0.0554450839312834</v>
      </c>
      <c r="I1867" s="51" t="n">
        <f aca="false">IFERROR(I1864/(I1862+I1863+I1864),0)</f>
        <v>0.0563030565183286</v>
      </c>
      <c r="J1867" s="51" t="n">
        <f aca="false">IFERROR(J1864/(J1862+J1863+J1864),0)</f>
        <v>0.0563030565183286</v>
      </c>
      <c r="K1867" s="51" t="n">
        <f aca="false">IFERROR(K1864/(K1862+K1863+K1864),0)</f>
        <v>0.0563030565183286</v>
      </c>
      <c r="L1867" s="51" t="n">
        <f aca="false">IFERROR(L1864/(L1862+L1863+L1864),0)</f>
        <v>0.0563030565183286</v>
      </c>
      <c r="M1867" s="51" t="n">
        <f aca="false">IFERROR(M1864/(M1862+M1863+M1864),0)</f>
        <v>0.0563030565183286</v>
      </c>
      <c r="N1867" s="51" t="n">
        <f aca="false">IFERROR(N1864/(N1862+N1863+N1864),0)</f>
        <v>0.0563030565183286</v>
      </c>
      <c r="P1867" s="52"/>
      <c r="Q1867" s="52"/>
      <c r="R1867" s="52"/>
      <c r="S1867" s="53"/>
    </row>
    <row r="1868" customFormat="false" ht="15" hidden="false" customHeight="false" outlineLevel="0" collapsed="false">
      <c r="A1868" s="4" t="s">
        <v>515</v>
      </c>
      <c r="B1868" s="36" t="s">
        <v>516</v>
      </c>
      <c r="C1868" s="48" t="n">
        <f aca="false">IF(C1836-Assumptions!$I$35&lt;1,0,INDEX($C$1861:$N$1861,1,C1836-Assumptions!$I$35)*INDEX($C$1865:$N$1865,1,C1836-Assumptions!$I$35)*Assumptions!$I$32)</f>
        <v>0</v>
      </c>
      <c r="D1868" s="48" t="n">
        <f aca="false">IF(D1836-Assumptions!$I$35&lt;1,0,INDEX($C$1861:$N$1861,1,D1836-Assumptions!$I$35)*INDEX($C$1865:$N$1865,1,D1836-Assumptions!$I$35)*Assumptions!$I$32)</f>
        <v>5.38508032914551</v>
      </c>
      <c r="E1868" s="48" t="n">
        <f aca="false">IF(E1836-Assumptions!$I$35&lt;1,0,INDEX($C$1861:$N$1861,1,E1836-Assumptions!$I$35)*INDEX($C$1865:$N$1865,1,E1836-Assumptions!$I$35)*Assumptions!$I$32)</f>
        <v>9.76677165988573</v>
      </c>
      <c r="F1868" s="48" t="n">
        <f aca="false">IF(F1836-Assumptions!$I$35&lt;1,0,INDEX($C$1861:$N$1861,1,F1836-Assumptions!$I$35)*INDEX($C$1865:$N$1865,1,F1836-Assumptions!$I$35)*Assumptions!$I$32)</f>
        <v>10.377689147441</v>
      </c>
      <c r="G1868" s="48" t="n">
        <f aca="false">IF(G1836-Assumptions!$I$35&lt;1,0,INDEX($C$1861:$N$1861,1,G1836-Assumptions!$I$35)*INDEX($C$1865:$N$1865,1,G1836-Assumptions!$I$35)*Assumptions!$I$32)</f>
        <v>14.7400851120988</v>
      </c>
      <c r="H1868" s="48" t="n">
        <f aca="false">IF(H1836-Assumptions!$I$35&lt;1,0,INDEX($C$1861:$N$1861,1,H1836-Assumptions!$I$35)*INDEX($C$1865:$N$1865,1,H1836-Assumptions!$I$35)*Assumptions!$I$32)</f>
        <v>18.9110721681342</v>
      </c>
      <c r="I1868" s="48" t="n">
        <f aca="false">IF(I1836-Assumptions!$I$35&lt;1,0,INDEX($C$1861:$N$1861,1,I1836-Assumptions!$I$35)*INDEX($C$1865:$N$1865,1,I1836-Assumptions!$I$35)*Assumptions!$I$32)</f>
        <v>23.0236702680568</v>
      </c>
      <c r="J1868" s="48" t="n">
        <f aca="false">IF(J1836-Assumptions!$I$35&lt;1,0,INDEX($C$1861:$N$1861,1,J1836-Assumptions!$I$35)*INDEX($C$1865:$N$1865,1,J1836-Assumptions!$I$35)*Assumptions!$I$32)</f>
        <v>26.1730351416361</v>
      </c>
      <c r="K1868" s="48" t="n">
        <f aca="false">IF(K1836-Assumptions!$I$35&lt;1,0,INDEX($C$1861:$N$1861,1,K1836-Assumptions!$I$35)*INDEX($C$1865:$N$1865,1,K1836-Assumptions!$I$35)*Assumptions!$I$32)</f>
        <v>25.6493416402556</v>
      </c>
      <c r="L1868" s="48" t="n">
        <f aca="false">IF(L1836-Assumptions!$I$35&lt;1,0,INDEX($C$1861:$N$1861,1,L1836-Assumptions!$I$35)*INDEX($C$1865:$N$1865,1,L1836-Assumptions!$I$35)*Assumptions!$I$32)</f>
        <v>25.1464992106589</v>
      </c>
      <c r="M1868" s="48" t="n">
        <f aca="false">IF(M1836-Assumptions!$I$35&lt;1,0,INDEX($C$1861:$N$1861,1,M1836-Assumptions!$I$35)*INDEX($C$1865:$N$1865,1,M1836-Assumptions!$I$35)*Assumptions!$I$32)</f>
        <v>24.6636776588616</v>
      </c>
      <c r="N1868" s="48" t="n">
        <f aca="false">IF(N1836-Assumptions!$I$35&lt;1,0,INDEX($C$1861:$N$1861,1,N1836-Assumptions!$I$35)*INDEX($C$1865:$N$1865,1,N1836-Assumptions!$I$35)*Assumptions!$I$32)</f>
        <v>24.2000798453937</v>
      </c>
      <c r="P1868" s="49" t="n">
        <f aca="false">SUM(C1868:F1868)</f>
        <v>25.5295411364723</v>
      </c>
      <c r="Q1868" s="49" t="n">
        <f aca="false">SUM(G1868:J1868)</f>
        <v>82.8478626899259</v>
      </c>
      <c r="R1868" s="49" t="n">
        <f aca="false">SUM(K1868:N1868)</f>
        <v>99.6595983551698</v>
      </c>
      <c r="S1868" s="50" t="n">
        <f aca="false">SUM(P1868:R1868)</f>
        <v>208.037002181568</v>
      </c>
    </row>
    <row r="1869" customFormat="false" ht="15" hidden="false" customHeight="false" outlineLevel="0" collapsed="false">
      <c r="A1869" s="4" t="s">
        <v>517</v>
      </c>
      <c r="B1869" s="36" t="s">
        <v>516</v>
      </c>
      <c r="C1869" s="48" t="n">
        <f aca="false">IF(C1836-Assumptions!$I$35&lt;1,0,INDEX($C$1861:$N$1861,1,C1836-Assumptions!$I$35)*INDEX($C$1866:$N$1866,1,C1836-Assumptions!$I$35)*Assumptions!$I$32)</f>
        <v>0</v>
      </c>
      <c r="D1869" s="48" t="n">
        <f aca="false">IF(D1836-Assumptions!$I$35&lt;1,0,INDEX($C$1861:$N$1861,1,D1836-Assumptions!$I$35)*INDEX($C$1866:$N$1866,1,D1836-Assumptions!$I$35)*Assumptions!$I$32)</f>
        <v>2.2002276416951</v>
      </c>
      <c r="E1869" s="48" t="n">
        <f aca="false">IF(E1836-Assumptions!$I$35&lt;1,0,INDEX($C$1861:$N$1861,1,E1836-Assumptions!$I$35)*INDEX($C$1866:$N$1866,1,E1836-Assumptions!$I$35)*Assumptions!$I$32)</f>
        <v>3.99049218632821</v>
      </c>
      <c r="F1869" s="48" t="n">
        <f aca="false">IF(F1836-Assumptions!$I$35&lt;1,0,INDEX($C$1861:$N$1861,1,F1836-Assumptions!$I$35)*INDEX($C$1866:$N$1866,1,F1836-Assumptions!$I$35)*Assumptions!$I$32)</f>
        <v>4.24009989146107</v>
      </c>
      <c r="G1869" s="48" t="n">
        <f aca="false">IF(G1836-Assumptions!$I$35&lt;1,0,INDEX($C$1861:$N$1861,1,G1836-Assumptions!$I$35)*INDEX($C$1866:$N$1866,1,G1836-Assumptions!$I$35)*Assumptions!$I$32)</f>
        <v>6.0389772838701</v>
      </c>
      <c r="H1869" s="48" t="n">
        <f aca="false">IF(H1836-Assumptions!$I$35&lt;1,0,INDEX($C$1861:$N$1861,1,H1836-Assumptions!$I$35)*INDEX($C$1866:$N$1866,1,H1836-Assumptions!$I$35)*Assumptions!$I$32)</f>
        <v>7.75846557918857</v>
      </c>
      <c r="I1869" s="48" t="n">
        <f aca="false">IF(I1836-Assumptions!$I$35&lt;1,0,INDEX($C$1861:$N$1861,1,I1836-Assumptions!$I$35)*INDEX($C$1866:$N$1866,1,I1836-Assumptions!$I$35)*Assumptions!$I$32)</f>
        <v>9.91927245907851</v>
      </c>
      <c r="J1869" s="48" t="n">
        <f aca="false">IF(J1836-Assumptions!$I$35&lt;1,0,INDEX($C$1861:$N$1861,1,J1836-Assumptions!$I$35)*INDEX($C$1866:$N$1866,1,J1836-Assumptions!$I$35)*Assumptions!$I$32)</f>
        <v>11.6320194710271</v>
      </c>
      <c r="K1869" s="48" t="n">
        <f aca="false">IF(K1836-Assumptions!$I$35&lt;1,0,INDEX($C$1861:$N$1861,1,K1836-Assumptions!$I$35)*INDEX($C$1866:$N$1866,1,K1836-Assumptions!$I$35)*Assumptions!$I$32)</f>
        <v>11.3992756195042</v>
      </c>
      <c r="L1869" s="48" t="n">
        <f aca="false">IF(L1836-Assumptions!$I$35&lt;1,0,INDEX($C$1861:$N$1861,1,L1836-Assumptions!$I$35)*INDEX($C$1866:$N$1866,1,L1836-Assumptions!$I$35)*Assumptions!$I$32)</f>
        <v>11.1757985599933</v>
      </c>
      <c r="M1869" s="48" t="n">
        <f aca="false">IF(M1836-Assumptions!$I$35&lt;1,0,INDEX($C$1861:$N$1861,1,M1836-Assumptions!$I$35)*INDEX($C$1866:$N$1866,1,M1836-Assumptions!$I$35)*Assumptions!$I$32)</f>
        <v>10.9612193313657</v>
      </c>
      <c r="N1869" s="48" t="n">
        <f aca="false">IF(N1836-Assumptions!$I$35&lt;1,0,INDEX($C$1861:$N$1861,1,N1836-Assumptions!$I$35)*INDEX($C$1866:$N$1866,1,N1836-Assumptions!$I$35)*Assumptions!$I$32)</f>
        <v>10.7551836628311</v>
      </c>
      <c r="P1869" s="49" t="n">
        <f aca="false">SUM(C1869:F1869)</f>
        <v>10.4308197194844</v>
      </c>
      <c r="Q1869" s="49" t="n">
        <f aca="false">SUM(G1869:J1869)</f>
        <v>35.3487347931643</v>
      </c>
      <c r="R1869" s="49" t="n">
        <f aca="false">SUM(K1869:N1869)</f>
        <v>44.2914771736944</v>
      </c>
      <c r="S1869" s="50" t="n">
        <f aca="false">SUM(P1869:R1869)</f>
        <v>90.071031686343</v>
      </c>
    </row>
    <row r="1870" customFormat="false" ht="15" hidden="false" customHeight="false" outlineLevel="0" collapsed="false">
      <c r="A1870" s="4" t="s">
        <v>518</v>
      </c>
      <c r="B1870" s="36" t="s">
        <v>516</v>
      </c>
      <c r="C1870" s="48" t="n">
        <f aca="false">IF(C1836-Assumptions!$I$36&lt;1,0,INDEX($C$1861:$N$1861,1,C1836-Assumptions!$I$36)*INDEX($C$1867:$N$1867,1,C1836-Assumptions!$I$36)*Assumptions!$I$32)</f>
        <v>0</v>
      </c>
      <c r="D1870" s="48" t="n">
        <f aca="false">IF(D1836-Assumptions!$I$36&lt;1,0,INDEX($C$1861:$N$1861,1,D1836-Assumptions!$I$36)*INDEX($C$1867:$N$1867,1,D1836-Assumptions!$I$36)*Assumptions!$I$32)</f>
        <v>0</v>
      </c>
      <c r="E1870" s="48" t="n">
        <f aca="false">IF(E1836-Assumptions!$I$36&lt;1,0,INDEX($C$1861:$N$1861,1,E1836-Assumptions!$I$36)*INDEX($C$1867:$N$1867,1,E1836-Assumptions!$I$36)*Assumptions!$I$32)</f>
        <v>0.460458446796887</v>
      </c>
      <c r="F1870" s="48" t="n">
        <f aca="false">IF(F1836-Assumptions!$I$36&lt;1,0,INDEX($C$1861:$N$1861,1,F1836-Assumptions!$I$36)*INDEX($C$1867:$N$1867,1,F1836-Assumptions!$I$36)*Assumptions!$I$32)</f>
        <v>0.835120784436735</v>
      </c>
      <c r="G1870" s="48" t="n">
        <f aca="false">IF(G1836-Assumptions!$I$36&lt;1,0,INDEX($C$1861:$N$1861,1,G1836-Assumptions!$I$36)*INDEX($C$1867:$N$1867,1,G1836-Assumptions!$I$36)*Assumptions!$I$32)</f>
        <v>0.887358095720337</v>
      </c>
      <c r="H1870" s="48" t="n">
        <f aca="false">IF(H1836-Assumptions!$I$36&lt;1,0,INDEX($C$1861:$N$1861,1,H1836-Assumptions!$I$36)*INDEX($C$1867:$N$1867,1,H1836-Assumptions!$I$36)*Assumptions!$I$32)</f>
        <v>1.21302603857132</v>
      </c>
      <c r="I1870" s="48" t="n">
        <f aca="false">IF(I1836-Assumptions!$I$36&lt;1,0,INDEX($C$1861:$N$1861,1,I1836-Assumptions!$I$36)*INDEX($C$1867:$N$1867,1,I1836-Assumptions!$I$36)*Assumptions!$I$32)</f>
        <v>1.52572405214355</v>
      </c>
      <c r="J1870" s="48" t="n">
        <f aca="false">IF(J1836-Assumptions!$I$36&lt;1,0,INDEX($C$1861:$N$1861,1,J1836-Assumptions!$I$36)*INDEX($C$1867:$N$1867,1,J1836-Assumptions!$I$36)*Assumptions!$I$32)</f>
        <v>1.93374063633225</v>
      </c>
      <c r="K1870" s="48" t="n">
        <f aca="false">IF(K1836-Assumptions!$I$36&lt;1,0,INDEX($C$1861:$N$1861,1,K1836-Assumptions!$I$36)*INDEX($C$1867:$N$1867,1,K1836-Assumptions!$I$36)*Assumptions!$I$32)</f>
        <v>2.2555335600455</v>
      </c>
      <c r="L1870" s="48" t="n">
        <f aca="false">IF(L1836-Assumptions!$I$36&lt;1,0,INDEX($C$1861:$N$1861,1,L1836-Assumptions!$I$36)*INDEX($C$1867:$N$1867,1,L1836-Assumptions!$I$36)*Assumptions!$I$32)</f>
        <v>2.21040282678705</v>
      </c>
      <c r="M1870" s="48" t="n">
        <f aca="false">IF(M1836-Assumptions!$I$36&lt;1,0,INDEX($C$1861:$N$1861,1,M1836-Assumptions!$I$36)*INDEX($C$1867:$N$1867,1,M1836-Assumptions!$I$36)*Assumptions!$I$32)</f>
        <v>2.16706899220376</v>
      </c>
      <c r="N1870" s="48" t="n">
        <f aca="false">IF(N1836-Assumptions!$I$36&lt;1,0,INDEX($C$1861:$N$1861,1,N1836-Assumptions!$I$36)*INDEX($C$1867:$N$1867,1,N1836-Assumptions!$I$36)*Assumptions!$I$32)</f>
        <v>2.1254605120371</v>
      </c>
      <c r="P1870" s="49" t="n">
        <f aca="false">SUM(C1870:F1870)</f>
        <v>1.29557923123362</v>
      </c>
      <c r="Q1870" s="49" t="n">
        <f aca="false">SUM(G1870:J1870)</f>
        <v>5.55984882276746</v>
      </c>
      <c r="R1870" s="49" t="n">
        <f aca="false">SUM(K1870:N1870)</f>
        <v>8.75846589107341</v>
      </c>
      <c r="S1870" s="50" t="n">
        <f aca="false">SUM(P1870:R1870)</f>
        <v>15.6138939450745</v>
      </c>
    </row>
    <row r="1871" customFormat="false" ht="15" hidden="false" customHeight="false" outlineLevel="0" collapsed="false">
      <c r="A1871" s="4" t="s">
        <v>519</v>
      </c>
      <c r="B1871" s="36" t="s">
        <v>77</v>
      </c>
      <c r="C1871" s="51" t="n">
        <f aca="false">IF(C1836-Assumptions!$I$35&lt;1,0,IFERROR(INDEX($C$1860:$N$1860,1,C1836-Assumptions!$I$35)/INDEX($C$1861:$N$1861,1,C1836-Assumptions!$I$35),0))</f>
        <v>0</v>
      </c>
      <c r="D1871" s="51" t="n">
        <f aca="false">IF(D1836-Assumptions!$I$35&lt;1,0,IFERROR(INDEX($C$1860:$N$1860,1,D1836-Assumptions!$I$35)/INDEX($C$1861:$N$1861,1,D1836-Assumptions!$I$35),0))</f>
        <v>0.298293521763054</v>
      </c>
      <c r="E1871" s="51" t="n">
        <f aca="false">IF(E1836-Assumptions!$I$35&lt;1,0,IFERROR(INDEX($C$1860:$N$1860,1,E1836-Assumptions!$I$35)/INDEX($C$1861:$N$1861,1,E1836-Assumptions!$I$35),0))</f>
        <v>0.246704023442362</v>
      </c>
      <c r="F1871" s="51" t="n">
        <f aca="false">IF(F1836-Assumptions!$I$35&lt;1,0,IFERROR(INDEX($C$1860:$N$1860,1,F1836-Assumptions!$I$35)/INDEX($C$1861:$N$1861,1,F1836-Assumptions!$I$35),0))</f>
        <v>0.309574617920379</v>
      </c>
      <c r="G1871" s="51" t="n">
        <f aca="false">IF(G1836-Assumptions!$I$35&lt;1,0,IFERROR(INDEX($C$1860:$N$1860,1,G1836-Assumptions!$I$35)/INDEX($C$1861:$N$1861,1,G1836-Assumptions!$I$35),0))</f>
        <v>0.272825385267938</v>
      </c>
      <c r="H1871" s="51" t="n">
        <f aca="false">IF(H1836-Assumptions!$I$35&lt;1,0,IFERROR(INDEX($C$1860:$N$1860,1,H1836-Assumptions!$I$35)/INDEX($C$1861:$N$1861,1,H1836-Assumptions!$I$35),0))</f>
        <v>0.255362055199512</v>
      </c>
      <c r="I1871" s="51" t="n">
        <f aca="false">IF(I1836-Assumptions!$I$35&lt;1,0,IFERROR(INDEX($C$1860:$N$1860,1,I1836-Assumptions!$I$35)/INDEX($C$1861:$N$1861,1,I1836-Assumptions!$I$35),0))</f>
        <v>0.240848589656859</v>
      </c>
      <c r="J1871" s="51" t="n">
        <f aca="false">IF(J1836-Assumptions!$I$35&lt;1,0,IFERROR(INDEX($C$1860:$N$1860,1,J1836-Assumptions!$I$35)/INDEX($C$1861:$N$1861,1,J1836-Assumptions!$I$35),0))</f>
        <v>0.209682393173711</v>
      </c>
      <c r="K1871" s="51" t="n">
        <f aca="false">IF(K1836-Assumptions!$I$35&lt;1,0,IFERROR(INDEX($C$1860:$N$1860,1,K1836-Assumptions!$I$35)/INDEX($C$1861:$N$1861,1,K1836-Assumptions!$I$35),0))</f>
        <v>0.21396356764591</v>
      </c>
      <c r="L1871" s="51" t="n">
        <f aca="false">IF(L1836-Assumptions!$I$35&lt;1,0,IFERROR(INDEX($C$1860:$N$1860,1,L1836-Assumptions!$I$35)/INDEX($C$1861:$N$1861,1,L1836-Assumptions!$I$35),0))</f>
        <v>0.21824209402443</v>
      </c>
      <c r="M1871" s="51" t="n">
        <f aca="false">IF(M1836-Assumptions!$I$35&lt;1,0,IFERROR(INDEX($C$1860:$N$1860,1,M1836-Assumptions!$I$35)/INDEX($C$1861:$N$1861,1,M1836-Assumptions!$I$35),0))</f>
        <v>0.222514449022003</v>
      </c>
      <c r="N1871" s="51" t="n">
        <f aca="false">IF(N1836-Assumptions!$I$35&lt;1,0,IFERROR(INDEX($C$1860:$N$1860,1,N1836-Assumptions!$I$35)/INDEX($C$1861:$N$1861,1,N1836-Assumptions!$I$35),0))</f>
        <v>0.22677712966978</v>
      </c>
      <c r="P1871" s="52"/>
      <c r="Q1871" s="52"/>
      <c r="R1871" s="52"/>
      <c r="S1871" s="53"/>
    </row>
    <row r="1872" customFormat="false" ht="15" hidden="false" customHeight="false" outlineLevel="0" collapsed="false">
      <c r="A1872" s="4" t="s">
        <v>520</v>
      </c>
      <c r="B1872" s="36" t="s">
        <v>516</v>
      </c>
      <c r="C1872" s="48" t="n">
        <f aca="false">C1868*Assumptions!$I$37</f>
        <v>0</v>
      </c>
      <c r="D1872" s="48" t="n">
        <f aca="false">D1868*Assumptions!$I$37</f>
        <v>3.23104819748731</v>
      </c>
      <c r="E1872" s="48" t="n">
        <f aca="false">E1868*Assumptions!$I$37</f>
        <v>5.86006299593144</v>
      </c>
      <c r="F1872" s="48" t="n">
        <f aca="false">F1868*Assumptions!$I$37</f>
        <v>6.22661348846463</v>
      </c>
      <c r="G1872" s="48" t="n">
        <f aca="false">G1868*Assumptions!$I$37</f>
        <v>8.84405106725929</v>
      </c>
      <c r="H1872" s="48" t="n">
        <f aca="false">H1868*Assumptions!$I$37</f>
        <v>11.3466433008805</v>
      </c>
      <c r="I1872" s="48" t="n">
        <f aca="false">I1868*Assumptions!$I$37</f>
        <v>13.8142021608341</v>
      </c>
      <c r="J1872" s="48" t="n">
        <f aca="false">J1868*Assumptions!$I$37</f>
        <v>15.7038210849816</v>
      </c>
      <c r="K1872" s="48" t="n">
        <f aca="false">K1868*Assumptions!$I$37</f>
        <v>15.3896049841534</v>
      </c>
      <c r="L1872" s="48" t="n">
        <f aca="false">L1868*Assumptions!$I$37</f>
        <v>15.0878995263954</v>
      </c>
      <c r="M1872" s="48" t="n">
        <f aca="false">M1868*Assumptions!$I$37</f>
        <v>14.798206595317</v>
      </c>
      <c r="N1872" s="48" t="n">
        <f aca="false">N1868*Assumptions!$I$37</f>
        <v>14.5200479072362</v>
      </c>
      <c r="P1872" s="49" t="n">
        <f aca="false">SUM(C1872:F1872)</f>
        <v>15.3177246818834</v>
      </c>
      <c r="Q1872" s="49" t="n">
        <f aca="false">SUM(G1872:J1872)</f>
        <v>49.7087176139555</v>
      </c>
      <c r="R1872" s="49" t="n">
        <f aca="false">SUM(K1872:N1872)</f>
        <v>59.7957590131019</v>
      </c>
      <c r="S1872" s="50" t="n">
        <f aca="false">SUM(P1872:R1872)</f>
        <v>124.822201308941</v>
      </c>
    </row>
    <row r="1873" customFormat="false" ht="15" hidden="false" customHeight="false" outlineLevel="0" collapsed="false">
      <c r="A1873" s="4" t="s">
        <v>521</v>
      </c>
      <c r="B1873" s="36" t="s">
        <v>516</v>
      </c>
      <c r="C1873" s="48" t="n">
        <f aca="false">C1868*(1-Assumptions!$I$37)</f>
        <v>0</v>
      </c>
      <c r="D1873" s="48" t="n">
        <f aca="false">D1868*(1-Assumptions!$I$37)</f>
        <v>2.15403213165821</v>
      </c>
      <c r="E1873" s="48" t="n">
        <f aca="false">E1868*(1-Assumptions!$I$37)</f>
        <v>3.90670866395429</v>
      </c>
      <c r="F1873" s="48" t="n">
        <f aca="false">F1868*(1-Assumptions!$I$37)</f>
        <v>4.15107565897642</v>
      </c>
      <c r="G1873" s="48" t="n">
        <f aca="false">G1868*(1-Assumptions!$I$37)</f>
        <v>5.89603404483953</v>
      </c>
      <c r="H1873" s="48" t="n">
        <f aca="false">H1868*(1-Assumptions!$I$37)</f>
        <v>7.56442886725369</v>
      </c>
      <c r="I1873" s="48" t="n">
        <f aca="false">I1868*(1-Assumptions!$I$37)</f>
        <v>9.2094681072227</v>
      </c>
      <c r="J1873" s="48" t="n">
        <f aca="false">J1868*(1-Assumptions!$I$37)</f>
        <v>10.4692140566544</v>
      </c>
      <c r="K1873" s="48" t="n">
        <f aca="false">K1868*(1-Assumptions!$I$37)</f>
        <v>10.2597366561022</v>
      </c>
      <c r="L1873" s="48" t="n">
        <f aca="false">L1868*(1-Assumptions!$I$37)</f>
        <v>10.0585996842636</v>
      </c>
      <c r="M1873" s="48" t="n">
        <f aca="false">M1868*(1-Assumptions!$I$37)</f>
        <v>9.86547106354466</v>
      </c>
      <c r="N1873" s="48" t="n">
        <f aca="false">N1868*(1-Assumptions!$I$37)</f>
        <v>9.68003193815747</v>
      </c>
      <c r="P1873" s="49" t="n">
        <f aca="false">SUM(C1873:F1873)</f>
        <v>10.2118164545889</v>
      </c>
      <c r="Q1873" s="49" t="n">
        <f aca="false">SUM(G1873:J1873)</f>
        <v>33.1391450759704</v>
      </c>
      <c r="R1873" s="49" t="n">
        <f aca="false">SUM(K1873:N1873)</f>
        <v>39.8638393420679</v>
      </c>
      <c r="S1873" s="50" t="n">
        <f aca="false">SUM(P1873:R1873)</f>
        <v>83.2148008726272</v>
      </c>
    </row>
    <row r="1874" customFormat="false" ht="15" hidden="false" customHeight="false" outlineLevel="0" collapsed="false">
      <c r="A1874" s="4" t="s">
        <v>522</v>
      </c>
      <c r="B1874" s="36" t="s">
        <v>125</v>
      </c>
      <c r="C1874" s="54" t="n">
        <f aca="false">C1873*$C$1827+C1869*$C$1828+C1870*$C$1829</f>
        <v>0</v>
      </c>
      <c r="D1874" s="54" t="n">
        <f aca="false">D1873*$C$1827+D1869*$C$1828+D1870*$C$1829</f>
        <v>23303.9983069869</v>
      </c>
      <c r="E1874" s="54" t="n">
        <f aca="false">E1873*$C$1827+E1869*$C$1828+E1870*$C$1829</f>
        <v>62668.732728282</v>
      </c>
      <c r="F1874" s="54" t="n">
        <f aca="false">F1873*$C$1827+F1869*$C$1828+F1870*$C$1829</f>
        <v>81913.7735043332</v>
      </c>
      <c r="G1874" s="54" t="n">
        <f aca="false">G1873*$C$1827+G1869*$C$1828+G1870*$C$1829</f>
        <v>103195.017852622</v>
      </c>
      <c r="H1874" s="54" t="n">
        <f aca="false">H1873*$C$1827+H1869*$C$1828+H1870*$C$1829</f>
        <v>135757.314846454</v>
      </c>
      <c r="I1874" s="54" t="n">
        <f aca="false">I1873*$C$1827+I1869*$C$1828+I1870*$C$1829</f>
        <v>169981.852261325</v>
      </c>
      <c r="J1874" s="54" t="n">
        <f aca="false">J1873*$C$1827+J1869*$C$1828+J1870*$C$1829</f>
        <v>203969.849436034</v>
      </c>
      <c r="K1874" s="54" t="n">
        <f aca="false">K1873*$C$1827+K1869*$C$1828+K1870*$C$1829</f>
        <v>215861.725744662</v>
      </c>
      <c r="L1874" s="54" t="n">
        <f aca="false">L1873*$C$1827+L1869*$C$1828+L1870*$C$1829</f>
        <v>211589.448658197</v>
      </c>
      <c r="M1874" s="54" t="n">
        <f aca="false">M1873*$C$1827+M1869*$C$1828+M1870*$C$1829</f>
        <v>207487.274038109</v>
      </c>
      <c r="N1874" s="54" t="n">
        <f aca="false">N1873*$C$1827+N1869*$C$1828+N1870*$C$1829</f>
        <v>203548.429184855</v>
      </c>
      <c r="P1874" s="55" t="n">
        <f aca="false">SUM(C1874:F1874)</f>
        <v>167886.504539602</v>
      </c>
      <c r="Q1874" s="55" t="n">
        <f aca="false">SUM(G1874:J1874)</f>
        <v>612904.034396434</v>
      </c>
      <c r="R1874" s="55" t="n">
        <f aca="false">SUM(K1874:N1874)</f>
        <v>838486.877625823</v>
      </c>
      <c r="S1874" s="56" t="n">
        <f aca="false">SUM(P1874:R1874)</f>
        <v>1619277.41656186</v>
      </c>
    </row>
    <row r="1875" customFormat="false" ht="15" hidden="false" customHeight="false" outlineLevel="0" collapsed="false">
      <c r="A1875" s="4" t="s">
        <v>523</v>
      </c>
      <c r="B1875" s="36" t="s">
        <v>125</v>
      </c>
      <c r="C1875" s="54" t="n">
        <f aca="false">(C1851+Assumptions!$D$104*C1837)*$C$1832</f>
        <v>371875</v>
      </c>
      <c r="D1875" s="54" t="n">
        <f aca="false">(D1851+Assumptions!$D$104*D1837)*$C$1832</f>
        <v>371875</v>
      </c>
      <c r="E1875" s="54" t="n">
        <f aca="false">(E1851+Assumptions!$D$104*E1837)*$C$1832</f>
        <v>371875</v>
      </c>
      <c r="F1875" s="54" t="n">
        <f aca="false">(F1851+Assumptions!$D$104*F1837)*$C$1832</f>
        <v>371875</v>
      </c>
      <c r="G1875" s="54" t="n">
        <f aca="false">(G1851+Assumptions!$D$104*G1837)*$C$1832</f>
        <v>371875</v>
      </c>
      <c r="H1875" s="54" t="n">
        <f aca="false">(H1851+Assumptions!$D$104*H1837)*$C$1832</f>
        <v>371875</v>
      </c>
      <c r="I1875" s="54" t="n">
        <f aca="false">(I1851+Assumptions!$D$104*I1837)*$C$1832</f>
        <v>371875</v>
      </c>
      <c r="J1875" s="54" t="n">
        <f aca="false">(J1851+Assumptions!$D$104*J1837)*$C$1832</f>
        <v>371875</v>
      </c>
      <c r="K1875" s="54" t="n">
        <f aca="false">(K1851+Assumptions!$D$104*K1837)*$C$1832</f>
        <v>371875</v>
      </c>
      <c r="L1875" s="54" t="n">
        <f aca="false">(L1851+Assumptions!$D$104*L1837)*$C$1832</f>
        <v>371875</v>
      </c>
      <c r="M1875" s="54" t="n">
        <f aca="false">(M1851+Assumptions!$D$104*M1837)*$C$1832</f>
        <v>371875</v>
      </c>
      <c r="N1875" s="54" t="n">
        <f aca="false">(N1851+Assumptions!$D$104*N1837)*$C$1832</f>
        <v>371875</v>
      </c>
      <c r="P1875" s="55" t="n">
        <f aca="false">SUM(C1875:F1875)</f>
        <v>1487500</v>
      </c>
      <c r="Q1875" s="55" t="n">
        <f aca="false">SUM(G1875:J1875)</f>
        <v>1487500</v>
      </c>
      <c r="R1875" s="55" t="n">
        <f aca="false">SUM(K1875:N1875)</f>
        <v>1487500</v>
      </c>
      <c r="S1875" s="56" t="n">
        <f aca="false">SUM(P1875:R1875)</f>
        <v>4462500</v>
      </c>
    </row>
    <row r="1876" customFormat="false" ht="15" hidden="false" customHeight="false" outlineLevel="0" collapsed="false">
      <c r="A1876" s="4" t="s">
        <v>524</v>
      </c>
      <c r="B1876" s="36" t="s">
        <v>77</v>
      </c>
      <c r="C1876" s="51" t="n">
        <f aca="false">IF(C1874&gt;0,MIN(1,C1875/C1874),1)</f>
        <v>1</v>
      </c>
      <c r="D1876" s="51" t="n">
        <f aca="false">IF(D1874&gt;0,MIN(1,D1875/D1874),1)</f>
        <v>1</v>
      </c>
      <c r="E1876" s="51" t="n">
        <f aca="false">IF(E1874&gt;0,MIN(1,E1875/E1874),1)</f>
        <v>1</v>
      </c>
      <c r="F1876" s="51" t="n">
        <f aca="false">IF(F1874&gt;0,MIN(1,F1875/F1874),1)</f>
        <v>1</v>
      </c>
      <c r="G1876" s="51" t="n">
        <f aca="false">IF(G1874&gt;0,MIN(1,G1875/G1874),1)</f>
        <v>1</v>
      </c>
      <c r="H1876" s="51" t="n">
        <f aca="false">IF(H1874&gt;0,MIN(1,H1875/H1874),1)</f>
        <v>1</v>
      </c>
      <c r="I1876" s="51" t="n">
        <f aca="false">IF(I1874&gt;0,MIN(1,I1875/I1874),1)</f>
        <v>1</v>
      </c>
      <c r="J1876" s="51" t="n">
        <f aca="false">IF(J1874&gt;0,MIN(1,J1875/J1874),1)</f>
        <v>1</v>
      </c>
      <c r="K1876" s="51" t="n">
        <f aca="false">IF(K1874&gt;0,MIN(1,K1875/K1874),1)</f>
        <v>1</v>
      </c>
      <c r="L1876" s="51" t="n">
        <f aca="false">IF(L1874&gt;0,MIN(1,L1875/L1874),1)</f>
        <v>1</v>
      </c>
      <c r="M1876" s="51" t="n">
        <f aca="false">IF(M1874&gt;0,MIN(1,M1875/M1874),1)</f>
        <v>1</v>
      </c>
      <c r="N1876" s="51" t="n">
        <f aca="false">IF(N1874&gt;0,MIN(1,N1875/N1874),1)</f>
        <v>1</v>
      </c>
      <c r="P1876" s="52"/>
      <c r="Q1876" s="52"/>
      <c r="R1876" s="52"/>
      <c r="S1876" s="53"/>
    </row>
    <row r="1877" customFormat="false" ht="15" hidden="false" customHeight="false" outlineLevel="0" collapsed="false">
      <c r="A1877" s="4" t="s">
        <v>525</v>
      </c>
      <c r="B1877" s="36" t="s">
        <v>125</v>
      </c>
      <c r="C1877" s="54" t="n">
        <f aca="false">C1874*(1-C1876)</f>
        <v>0</v>
      </c>
      <c r="D1877" s="54" t="n">
        <f aca="false">D1874*(1-D1876)</f>
        <v>0</v>
      </c>
      <c r="E1877" s="54" t="n">
        <f aca="false">E1874*(1-E1876)</f>
        <v>0</v>
      </c>
      <c r="F1877" s="54" t="n">
        <f aca="false">F1874*(1-F1876)</f>
        <v>0</v>
      </c>
      <c r="G1877" s="54" t="n">
        <f aca="false">G1874*(1-G1876)</f>
        <v>0</v>
      </c>
      <c r="H1877" s="54" t="n">
        <f aca="false">H1874*(1-H1876)</f>
        <v>0</v>
      </c>
      <c r="I1877" s="54" t="n">
        <f aca="false">I1874*(1-I1876)</f>
        <v>0</v>
      </c>
      <c r="J1877" s="54" t="n">
        <f aca="false">J1874*(1-J1876)</f>
        <v>0</v>
      </c>
      <c r="K1877" s="54" t="n">
        <f aca="false">K1874*(1-K1876)</f>
        <v>0</v>
      </c>
      <c r="L1877" s="54" t="n">
        <f aca="false">L1874*(1-L1876)</f>
        <v>0</v>
      </c>
      <c r="M1877" s="54" t="n">
        <f aca="false">M1874*(1-M1876)</f>
        <v>0</v>
      </c>
      <c r="N1877" s="54" t="n">
        <f aca="false">N1874*(1-N1876)</f>
        <v>0</v>
      </c>
      <c r="P1877" s="55" t="n">
        <f aca="false">SUM(C1877:F1877)</f>
        <v>0</v>
      </c>
      <c r="Q1877" s="55" t="n">
        <f aca="false">SUM(G1877:J1877)</f>
        <v>0</v>
      </c>
      <c r="R1877" s="55" t="n">
        <f aca="false">SUM(K1877:N1877)</f>
        <v>0</v>
      </c>
      <c r="S1877" s="56" t="n">
        <f aca="false">SUM(P1877:R1877)</f>
        <v>0</v>
      </c>
    </row>
    <row r="1878" customFormat="false" ht="15" hidden="false" customHeight="false" outlineLevel="0" collapsed="false">
      <c r="A1878" s="4" t="s">
        <v>526</v>
      </c>
      <c r="B1878" s="36" t="s">
        <v>527</v>
      </c>
      <c r="C1878" s="48" t="n">
        <f aca="false">C1872+C1873*C1876</f>
        <v>0</v>
      </c>
      <c r="D1878" s="48" t="n">
        <f aca="false">D1872+D1873*D1876</f>
        <v>5.38508032914551</v>
      </c>
      <c r="E1878" s="48" t="n">
        <f aca="false">E1872+E1873*E1876</f>
        <v>9.76677165988573</v>
      </c>
      <c r="F1878" s="48" t="n">
        <f aca="false">F1872+F1873*F1876</f>
        <v>10.377689147441</v>
      </c>
      <c r="G1878" s="48" t="n">
        <f aca="false">G1872+G1873*G1876</f>
        <v>14.7400851120988</v>
      </c>
      <c r="H1878" s="48" t="n">
        <f aca="false">H1872+H1873*H1876</f>
        <v>18.9110721681342</v>
      </c>
      <c r="I1878" s="48" t="n">
        <f aca="false">I1872+I1873*I1876</f>
        <v>23.0236702680568</v>
      </c>
      <c r="J1878" s="48" t="n">
        <f aca="false">J1872+J1873*J1876</f>
        <v>26.1730351416361</v>
      </c>
      <c r="K1878" s="48" t="n">
        <f aca="false">K1872+K1873*K1876</f>
        <v>25.6493416402556</v>
      </c>
      <c r="L1878" s="48" t="n">
        <f aca="false">L1872+L1873*L1876</f>
        <v>25.1464992106589</v>
      </c>
      <c r="M1878" s="48" t="n">
        <f aca="false">M1872+M1873*M1876</f>
        <v>24.6636776588616</v>
      </c>
      <c r="N1878" s="48" t="n">
        <f aca="false">N1872+N1873*N1876</f>
        <v>24.2000798453937</v>
      </c>
      <c r="P1878" s="49" t="n">
        <f aca="false">SUM(C1878:F1878)</f>
        <v>25.5295411364723</v>
      </c>
      <c r="Q1878" s="49" t="n">
        <f aca="false">SUM(G1878:J1878)</f>
        <v>82.8478626899259</v>
      </c>
      <c r="R1878" s="49" t="n">
        <f aca="false">SUM(K1878:N1878)</f>
        <v>99.6595983551698</v>
      </c>
      <c r="S1878" s="50" t="n">
        <f aca="false">SUM(P1878:R1878)</f>
        <v>208.037002181568</v>
      </c>
    </row>
    <row r="1879" customFormat="false" ht="15" hidden="false" customHeight="false" outlineLevel="0" collapsed="false">
      <c r="A1879" s="4" t="s">
        <v>528</v>
      </c>
      <c r="B1879" s="36" t="s">
        <v>527</v>
      </c>
      <c r="C1879" s="48" t="n">
        <f aca="false">C1869*C1876</f>
        <v>0</v>
      </c>
      <c r="D1879" s="48" t="n">
        <f aca="false">D1869*D1876</f>
        <v>2.2002276416951</v>
      </c>
      <c r="E1879" s="48" t="n">
        <f aca="false">E1869*E1876</f>
        <v>3.99049218632821</v>
      </c>
      <c r="F1879" s="48" t="n">
        <f aca="false">F1869*F1876</f>
        <v>4.24009989146107</v>
      </c>
      <c r="G1879" s="48" t="n">
        <f aca="false">G1869*G1876</f>
        <v>6.0389772838701</v>
      </c>
      <c r="H1879" s="48" t="n">
        <f aca="false">H1869*H1876</f>
        <v>7.75846557918857</v>
      </c>
      <c r="I1879" s="48" t="n">
        <f aca="false">I1869*I1876</f>
        <v>9.91927245907851</v>
      </c>
      <c r="J1879" s="48" t="n">
        <f aca="false">J1869*J1876</f>
        <v>11.6320194710271</v>
      </c>
      <c r="K1879" s="48" t="n">
        <f aca="false">K1869*K1876</f>
        <v>11.3992756195042</v>
      </c>
      <c r="L1879" s="48" t="n">
        <f aca="false">L1869*L1876</f>
        <v>11.1757985599933</v>
      </c>
      <c r="M1879" s="48" t="n">
        <f aca="false">M1869*M1876</f>
        <v>10.9612193313657</v>
      </c>
      <c r="N1879" s="48" t="n">
        <f aca="false">N1869*N1876</f>
        <v>10.7551836628311</v>
      </c>
      <c r="P1879" s="49" t="n">
        <f aca="false">SUM(C1879:F1879)</f>
        <v>10.4308197194844</v>
      </c>
      <c r="Q1879" s="49" t="n">
        <f aca="false">SUM(G1879:J1879)</f>
        <v>35.3487347931643</v>
      </c>
      <c r="R1879" s="49" t="n">
        <f aca="false">SUM(K1879:N1879)</f>
        <v>44.2914771736944</v>
      </c>
      <c r="S1879" s="50" t="n">
        <f aca="false">SUM(P1879:R1879)</f>
        <v>90.071031686343</v>
      </c>
    </row>
    <row r="1880" customFormat="false" ht="15" hidden="false" customHeight="false" outlineLevel="0" collapsed="false">
      <c r="A1880" s="4" t="s">
        <v>529</v>
      </c>
      <c r="B1880" s="36" t="s">
        <v>527</v>
      </c>
      <c r="C1880" s="48" t="n">
        <f aca="false">C1870*C1876</f>
        <v>0</v>
      </c>
      <c r="D1880" s="48" t="n">
        <f aca="false">D1870*D1876</f>
        <v>0</v>
      </c>
      <c r="E1880" s="48" t="n">
        <f aca="false">E1870*E1876</f>
        <v>0.460458446796887</v>
      </c>
      <c r="F1880" s="48" t="n">
        <f aca="false">F1870*F1876</f>
        <v>0.835120784436735</v>
      </c>
      <c r="G1880" s="48" t="n">
        <f aca="false">G1870*G1876</f>
        <v>0.887358095720337</v>
      </c>
      <c r="H1880" s="48" t="n">
        <f aca="false">H1870*H1876</f>
        <v>1.21302603857132</v>
      </c>
      <c r="I1880" s="48" t="n">
        <f aca="false">I1870*I1876</f>
        <v>1.52572405214355</v>
      </c>
      <c r="J1880" s="48" t="n">
        <f aca="false">J1870*J1876</f>
        <v>1.93374063633225</v>
      </c>
      <c r="K1880" s="48" t="n">
        <f aca="false">K1870*K1876</f>
        <v>2.2555335600455</v>
      </c>
      <c r="L1880" s="48" t="n">
        <f aca="false">L1870*L1876</f>
        <v>2.21040282678705</v>
      </c>
      <c r="M1880" s="48" t="n">
        <f aca="false">M1870*M1876</f>
        <v>2.16706899220376</v>
      </c>
      <c r="N1880" s="48" t="n">
        <f aca="false">N1870*N1876</f>
        <v>2.1254605120371</v>
      </c>
      <c r="P1880" s="49" t="n">
        <f aca="false">SUM(C1880:F1880)</f>
        <v>1.29557923123362</v>
      </c>
      <c r="Q1880" s="49" t="n">
        <f aca="false">SUM(G1880:J1880)</f>
        <v>5.55984882276746</v>
      </c>
      <c r="R1880" s="49" t="n">
        <f aca="false">SUM(K1880:N1880)</f>
        <v>8.75846589107341</v>
      </c>
      <c r="S1880" s="50" t="n">
        <f aca="false">SUM(P1880:R1880)</f>
        <v>15.6138939450745</v>
      </c>
    </row>
    <row r="1881" customFormat="false" ht="15" hidden="false" customHeight="false" outlineLevel="0" collapsed="false">
      <c r="A1881" s="9" t="s">
        <v>530</v>
      </c>
      <c r="B1881" s="36" t="s">
        <v>527</v>
      </c>
      <c r="C1881" s="49" t="n">
        <f aca="false">C1878+C1879+C1880</f>
        <v>0</v>
      </c>
      <c r="D1881" s="49" t="n">
        <f aca="false">D1878+D1879+D1880</f>
        <v>7.58530797084061</v>
      </c>
      <c r="E1881" s="49" t="n">
        <f aca="false">E1878+E1879+E1880</f>
        <v>14.2177222930108</v>
      </c>
      <c r="F1881" s="49" t="n">
        <f aca="false">F1878+F1879+F1880</f>
        <v>15.4529098233389</v>
      </c>
      <c r="G1881" s="49" t="n">
        <f aca="false">G1878+G1879+G1880</f>
        <v>21.6664204916893</v>
      </c>
      <c r="H1881" s="49" t="n">
        <f aca="false">H1878+H1879+H1880</f>
        <v>27.8825637858941</v>
      </c>
      <c r="I1881" s="49" t="n">
        <f aca="false">I1878+I1879+I1880</f>
        <v>34.4686667792788</v>
      </c>
      <c r="J1881" s="49" t="n">
        <f aca="false">J1878+J1879+J1880</f>
        <v>39.7387952489954</v>
      </c>
      <c r="K1881" s="49" t="n">
        <f aca="false">K1878+K1879+K1880</f>
        <v>39.3041508198053</v>
      </c>
      <c r="L1881" s="49" t="n">
        <f aca="false">L1878+L1879+L1880</f>
        <v>38.5327005974393</v>
      </c>
      <c r="M1881" s="49" t="n">
        <f aca="false">M1878+M1879+M1880</f>
        <v>37.7919659824311</v>
      </c>
      <c r="N1881" s="49" t="n">
        <f aca="false">N1878+N1879+N1880</f>
        <v>37.0807240202619</v>
      </c>
      <c r="P1881" s="49" t="n">
        <f aca="false">SUM(C1881:F1881)</f>
        <v>37.2559400871903</v>
      </c>
      <c r="Q1881" s="49" t="n">
        <f aca="false">SUM(G1881:J1881)</f>
        <v>123.756446305858</v>
      </c>
      <c r="R1881" s="49" t="n">
        <f aca="false">SUM(K1881:N1881)</f>
        <v>152.709541419938</v>
      </c>
      <c r="S1881" s="50" t="n">
        <f aca="false">SUM(P1881:R1881)</f>
        <v>313.721927812985</v>
      </c>
    </row>
    <row r="1882" customFormat="false" ht="15" hidden="false" customHeight="false" outlineLevel="0" collapsed="false">
      <c r="A1882" s="35" t="s">
        <v>533</v>
      </c>
      <c r="B1882" s="35" t="s">
        <v>444</v>
      </c>
      <c r="C1882" s="6" t="s">
        <v>354</v>
      </c>
      <c r="D1882" s="6" t="s">
        <v>355</v>
      </c>
      <c r="E1882" s="6" t="s">
        <v>356</v>
      </c>
      <c r="F1882" s="6" t="s">
        <v>357</v>
      </c>
      <c r="G1882" s="6" t="s">
        <v>358</v>
      </c>
      <c r="H1882" s="6" t="s">
        <v>359</v>
      </c>
      <c r="I1882" s="6" t="s">
        <v>360</v>
      </c>
      <c r="J1882" s="6" t="s">
        <v>361</v>
      </c>
      <c r="K1882" s="6" t="s">
        <v>362</v>
      </c>
      <c r="L1882" s="6" t="s">
        <v>363</v>
      </c>
      <c r="M1882" s="6" t="s">
        <v>364</v>
      </c>
      <c r="N1882" s="6" t="s">
        <v>365</v>
      </c>
      <c r="P1882" s="6" t="s">
        <v>445</v>
      </c>
      <c r="Q1882" s="6" t="s">
        <v>446</v>
      </c>
      <c r="R1882" s="6" t="s">
        <v>447</v>
      </c>
      <c r="S1882" s="6" t="s">
        <v>448</v>
      </c>
    </row>
    <row r="1883" customFormat="false" ht="15" hidden="false" customHeight="false" outlineLevel="0" collapsed="false">
      <c r="A1883" s="4" t="s">
        <v>534</v>
      </c>
      <c r="B1883" s="36" t="s">
        <v>527</v>
      </c>
      <c r="C1883" s="48" t="n">
        <f aca="false">0*Assumptions!$I$59^(1/4)+C1878</f>
        <v>0</v>
      </c>
      <c r="D1883" s="48" t="n">
        <f aca="false">C1883*Assumptions!$I$59^(1/4)+D1878</f>
        <v>5.38508032914551</v>
      </c>
      <c r="E1883" s="48" t="n">
        <f aca="false">D1883*Assumptions!$I$59^(1/4)+E1878</f>
        <v>15.0263694487662</v>
      </c>
      <c r="F1883" s="48" t="n">
        <f aca="false">E1883*Assumptions!$I$59^(1/4)+F1878</f>
        <v>25.0539158139007</v>
      </c>
      <c r="G1883" s="48" t="n">
        <f aca="false">F1883*Assumptions!$I$59^(1/4)+G1878</f>
        <v>39.2101973784649</v>
      </c>
      <c r="H1883" s="48" t="n">
        <f aca="false">G1883*Assumptions!$I$59^(1/4)+H1878</f>
        <v>57.2075979074386</v>
      </c>
      <c r="I1883" s="48" t="n">
        <f aca="false">H1883*Assumptions!$I$59^(1/4)+I1878</f>
        <v>78.8982231196896</v>
      </c>
      <c r="J1883" s="48" t="n">
        <f aca="false">I1883*Assumptions!$I$59^(1/4)+J1878</f>
        <v>103.232780679873</v>
      </c>
      <c r="K1883" s="48" t="n">
        <f aca="false">J1883*Assumptions!$I$59^(1/4)+K1878</f>
        <v>126.476603596811</v>
      </c>
      <c r="L1883" s="48" t="n">
        <f aca="false">K1883*Assumptions!$I$59^(1/4)+L1878</f>
        <v>148.675959119098</v>
      </c>
      <c r="M1883" s="48" t="n">
        <f aca="false">L1883*Assumptions!$I$59^(1/4)+M1878</f>
        <v>169.875206187087</v>
      </c>
      <c r="N1883" s="48" t="n">
        <f aca="false">M1883*Assumptions!$I$59^(1/4)+N1878</f>
        <v>190.116872954587</v>
      </c>
      <c r="P1883" s="49" t="n">
        <f aca="false">F1883</f>
        <v>25.0539158139007</v>
      </c>
      <c r="Q1883" s="49" t="n">
        <f aca="false">J1883</f>
        <v>103.232780679873</v>
      </c>
      <c r="R1883" s="49" t="n">
        <f aca="false">N1883</f>
        <v>190.116872954587</v>
      </c>
      <c r="S1883" s="50" t="n">
        <f aca="false">R1883</f>
        <v>190.116872954587</v>
      </c>
    </row>
    <row r="1884" customFormat="false" ht="15" hidden="false" customHeight="false" outlineLevel="0" collapsed="false">
      <c r="A1884" s="4" t="s">
        <v>535</v>
      </c>
      <c r="B1884" s="36" t="s">
        <v>527</v>
      </c>
      <c r="C1884" s="48" t="n">
        <f aca="false">0*Assumptions!$I$60^(1/4)+C1879</f>
        <v>0</v>
      </c>
      <c r="D1884" s="48" t="n">
        <f aca="false">C1884*Assumptions!$I$60^(1/4)+D1879</f>
        <v>2.2002276416951</v>
      </c>
      <c r="E1884" s="48" t="n">
        <f aca="false">D1884*Assumptions!$I$60^(1/4)+E1879</f>
        <v>6.15116174666765</v>
      </c>
      <c r="F1884" s="48" t="n">
        <f aca="false">E1884*Assumptions!$I$60^(1/4)+F1879</f>
        <v>10.2806693738578</v>
      </c>
      <c r="G1884" s="48" t="n">
        <f aca="false">F1884*Assumptions!$I$60^(1/4)+G1879</f>
        <v>16.1348096218799</v>
      </c>
      <c r="H1884" s="48" t="n">
        <f aca="false">G1884*Assumptions!$I$60^(1/4)+H1879</f>
        <v>23.603186075932</v>
      </c>
      <c r="I1884" s="48" t="n">
        <f aca="false">H1884*Assumptions!$I$60^(1/4)+I1879</f>
        <v>33.0980948294782</v>
      </c>
      <c r="J1884" s="48" t="n">
        <f aca="false">I1884*Assumptions!$I$60^(1/4)+J1879</f>
        <v>44.1350408166665</v>
      </c>
      <c r="K1884" s="48" t="n">
        <f aca="false">J1884*Assumptions!$I$60^(1/4)+K1879</f>
        <v>54.740808754431</v>
      </c>
      <c r="L1884" s="48" t="n">
        <f aca="false">K1884*Assumptions!$I$60^(1/4)+L1879</f>
        <v>64.9324176218913</v>
      </c>
      <c r="M1884" s="48" t="n">
        <f aca="false">L1884*Assumptions!$I$60^(1/4)+M1879</f>
        <v>74.7262114513541</v>
      </c>
      <c r="N1884" s="48" t="n">
        <f aca="false">M1884*Assumptions!$I$60^(1/4)+N1879</f>
        <v>84.1378861535781</v>
      </c>
      <c r="P1884" s="49" t="n">
        <f aca="false">F1884</f>
        <v>10.2806693738578</v>
      </c>
      <c r="Q1884" s="49" t="n">
        <f aca="false">J1884</f>
        <v>44.1350408166665</v>
      </c>
      <c r="R1884" s="49" t="n">
        <f aca="false">N1884</f>
        <v>84.1378861535781</v>
      </c>
      <c r="S1884" s="50" t="n">
        <f aca="false">R1884</f>
        <v>84.1378861535781</v>
      </c>
    </row>
    <row r="1885" customFormat="false" ht="15" hidden="false" customHeight="false" outlineLevel="0" collapsed="false">
      <c r="A1885" s="4" t="s">
        <v>536</v>
      </c>
      <c r="B1885" s="36" t="s">
        <v>527</v>
      </c>
      <c r="C1885" s="48" t="n">
        <f aca="false">0*Assumptions!$I$61^(1/4)+C1880</f>
        <v>0</v>
      </c>
      <c r="D1885" s="48" t="n">
        <f aca="false">C1885*Assumptions!$I$61^(1/4)+D1880</f>
        <v>0</v>
      </c>
      <c r="E1885" s="48" t="n">
        <f aca="false">D1885*Assumptions!$I$61^(1/4)+E1880</f>
        <v>0.460458446796887</v>
      </c>
      <c r="F1885" s="48" t="n">
        <f aca="false">E1885*Assumptions!$I$61^(1/4)+F1880</f>
        <v>1.289712320609</v>
      </c>
      <c r="G1885" s="48" t="n">
        <f aca="false">F1885*Assumptions!$I$61^(1/4)+G1880</f>
        <v>2.16063760470623</v>
      </c>
      <c r="H1885" s="48" t="n">
        <f aca="false">G1885*Assumptions!$I$61^(1/4)+H1880</f>
        <v>3.34613397625292</v>
      </c>
      <c r="I1885" s="48" t="n">
        <f aca="false">H1885*Assumptions!$I$61^(1/4)+I1880</f>
        <v>4.82922341258425</v>
      </c>
      <c r="J1885" s="48" t="n">
        <f aca="false">I1885*Assumptions!$I$61^(1/4)+J1880</f>
        <v>6.70143271564411</v>
      </c>
      <c r="K1885" s="48" t="n">
        <f aca="false">J1885*Assumptions!$I$61^(1/4)+K1880</f>
        <v>8.87158027164718</v>
      </c>
      <c r="L1885" s="48" t="n">
        <f aca="false">K1885*Assumptions!$I$61^(1/4)+L1880</f>
        <v>10.9689462567497</v>
      </c>
      <c r="M1885" s="48" t="n">
        <f aca="false">L1885*Assumptions!$I$61^(1/4)+M1880</f>
        <v>12.9962549127445</v>
      </c>
      <c r="N1885" s="48" t="n">
        <f aca="false">M1885*Assumptions!$I$61^(1/4)+N1880</f>
        <v>14.9561242263614</v>
      </c>
      <c r="P1885" s="49" t="n">
        <f aca="false">F1885</f>
        <v>1.289712320609</v>
      </c>
      <c r="Q1885" s="49" t="n">
        <f aca="false">J1885</f>
        <v>6.70143271564411</v>
      </c>
      <c r="R1885" s="49" t="n">
        <f aca="false">N1885</f>
        <v>14.9561242263614</v>
      </c>
      <c r="S1885" s="50" t="n">
        <f aca="false">R1885</f>
        <v>14.9561242263614</v>
      </c>
    </row>
    <row r="1886" customFormat="false" ht="15" hidden="false" customHeight="false" outlineLevel="0" collapsed="false">
      <c r="A1886" s="9" t="s">
        <v>537</v>
      </c>
      <c r="B1886" s="36" t="s">
        <v>527</v>
      </c>
      <c r="C1886" s="49" t="n">
        <f aca="false">C1883+C1884+C1885</f>
        <v>0</v>
      </c>
      <c r="D1886" s="49" t="n">
        <f aca="false">D1883+D1884+D1885</f>
        <v>7.58530797084061</v>
      </c>
      <c r="E1886" s="49" t="n">
        <f aca="false">E1883+E1884+E1885</f>
        <v>21.6379896422308</v>
      </c>
      <c r="F1886" s="49" t="n">
        <f aca="false">F1883+F1884+F1885</f>
        <v>36.6242975083675</v>
      </c>
      <c r="G1886" s="49" t="n">
        <f aca="false">G1883+G1884+G1885</f>
        <v>57.5056446050511</v>
      </c>
      <c r="H1886" s="49" t="n">
        <f aca="false">H1883+H1884+H1885</f>
        <v>84.1569179596235</v>
      </c>
      <c r="I1886" s="49" t="n">
        <f aca="false">I1883+I1884+I1885</f>
        <v>116.825541361752</v>
      </c>
      <c r="J1886" s="49" t="n">
        <f aca="false">J1883+J1884+J1885</f>
        <v>154.069254212184</v>
      </c>
      <c r="K1886" s="49" t="n">
        <f aca="false">K1883+K1884+K1885</f>
        <v>190.088992622889</v>
      </c>
      <c r="L1886" s="49" t="n">
        <f aca="false">L1883+L1884+L1885</f>
        <v>224.577322997739</v>
      </c>
      <c r="M1886" s="49" t="n">
        <f aca="false">M1883+M1884+M1885</f>
        <v>257.597672551186</v>
      </c>
      <c r="N1886" s="49" t="n">
        <f aca="false">N1883+N1884+N1885</f>
        <v>289.210883334527</v>
      </c>
      <c r="P1886" s="49" t="n">
        <f aca="false">F1886</f>
        <v>36.6242975083675</v>
      </c>
      <c r="Q1886" s="49" t="n">
        <f aca="false">J1886</f>
        <v>154.069254212184</v>
      </c>
      <c r="R1886" s="49" t="n">
        <f aca="false">N1886</f>
        <v>289.210883334527</v>
      </c>
      <c r="S1886" s="50" t="n">
        <f aca="false">R1886</f>
        <v>289.210883334527</v>
      </c>
    </row>
    <row r="1887" customFormat="false" ht="15" hidden="false" customHeight="false" outlineLevel="0" collapsed="false">
      <c r="A1887" s="4" t="s">
        <v>538</v>
      </c>
      <c r="B1887" s="36" t="s">
        <v>125</v>
      </c>
      <c r="C1887" s="54" t="n">
        <f aca="false">0*Assumptions!$I$62^(1/4)+C1878*$C$1827</f>
        <v>0</v>
      </c>
      <c r="D1887" s="54" t="n">
        <f aca="false">C1887*Assumptions!$I$62^(1/4)+D1878*$C$1827</f>
        <v>28820.9499215868</v>
      </c>
      <c r="E1887" s="54" t="n">
        <f aca="false">D1887*Assumptions!$I$62^(1/4)+E1878*$C$1827</f>
        <v>81515.6260308792</v>
      </c>
      <c r="F1887" s="54" t="n">
        <f aca="false">E1887*Assumptions!$I$62^(1/4)+F1878*$C$1827</f>
        <v>138253.166104703</v>
      </c>
      <c r="G1887" s="54" t="n">
        <f aca="false">F1887*Assumptions!$I$62^(1/4)+G1878*$C$1827</f>
        <v>219170.807316406</v>
      </c>
      <c r="H1887" s="54" t="n">
        <f aca="false">G1887*Assumptions!$I$62^(1/4)+H1878*$C$1827</f>
        <v>323598.944271482</v>
      </c>
      <c r="I1887" s="54" t="n">
        <f aca="false">H1887*Assumptions!$I$62^(1/4)+I1878*$C$1827</f>
        <v>451570.068674702</v>
      </c>
      <c r="J1887" s="54" t="n">
        <f aca="false">I1887*Assumptions!$I$62^(1/4)+J1878*$C$1827</f>
        <v>598274.422474842</v>
      </c>
      <c r="K1887" s="54" t="n">
        <f aca="false">J1887*Assumptions!$I$62^(1/4)+K1878*$C$1827</f>
        <v>744328.685775529</v>
      </c>
      <c r="L1887" s="54" t="n">
        <f aca="false">K1887*Assumptions!$I$62^(1/4)+L1878*$C$1827</f>
        <v>889834.914184966</v>
      </c>
      <c r="M1887" s="54" t="n">
        <f aca="false">L1887*Assumptions!$I$62^(1/4)+M1878*$C$1827</f>
        <v>1034892.21766145</v>
      </c>
      <c r="N1887" s="54" t="n">
        <f aca="false">M1887*Assumptions!$I$62^(1/4)+N1878*$C$1827</f>
        <v>1179596.8941971</v>
      </c>
      <c r="P1887" s="55" t="n">
        <f aca="false">F1887</f>
        <v>138253.166104703</v>
      </c>
      <c r="Q1887" s="55" t="n">
        <f aca="false">J1887</f>
        <v>598274.422474842</v>
      </c>
      <c r="R1887" s="55" t="n">
        <f aca="false">N1887</f>
        <v>1179596.8941971</v>
      </c>
      <c r="S1887" s="56" t="n">
        <f aca="false">R1887</f>
        <v>1179596.8941971</v>
      </c>
    </row>
    <row r="1888" customFormat="false" ht="15" hidden="false" customHeight="false" outlineLevel="0" collapsed="false">
      <c r="A1888" s="4" t="s">
        <v>539</v>
      </c>
      <c r="B1888" s="36" t="s">
        <v>125</v>
      </c>
      <c r="C1888" s="54" t="n">
        <f aca="false">0*Assumptions!$I$63^(1/4)+C1879*$C$1828</f>
        <v>0</v>
      </c>
      <c r="D1888" s="54" t="n">
        <f aca="false">C1888*Assumptions!$I$63^(1/4)+D1879*$C$1828</f>
        <v>11775.6183383522</v>
      </c>
      <c r="E1888" s="54" t="n">
        <f aca="false">D1888*Assumptions!$I$63^(1/4)+E1879*$C$1828</f>
        <v>33551.4508554257</v>
      </c>
      <c r="F1888" s="54" t="n">
        <f aca="false">E1888*Assumptions!$I$63^(1/4)+F1879*$C$1828</f>
        <v>57437.4905254148</v>
      </c>
      <c r="G1888" s="54" t="n">
        <f aca="false">F1888*Assumptions!$I$63^(1/4)+G1879*$C$1828</f>
        <v>91800.4636216615</v>
      </c>
      <c r="H1888" s="54" t="n">
        <f aca="false">G1888*Assumptions!$I$63^(1/4)+H1879*$C$1828</f>
        <v>136588.019295134</v>
      </c>
      <c r="I1888" s="54" t="n">
        <f aca="false">H1888*Assumptions!$I$63^(1/4)+I1879*$C$1828</f>
        <v>194532.77271357</v>
      </c>
      <c r="J1888" s="54" t="n">
        <f aca="false">I1888*Assumptions!$I$63^(1/4)+J1879*$C$1828</f>
        <v>263704.552105603</v>
      </c>
      <c r="K1888" s="54" t="n">
        <f aca="false">J1888*Assumptions!$I$63^(1/4)+K1879*$C$1828</f>
        <v>334090.301816594</v>
      </c>
      <c r="L1888" s="54" t="n">
        <f aca="false">K1888*Assumptions!$I$63^(1/4)+L1879*$C$1828</f>
        <v>405782.784166668</v>
      </c>
      <c r="M1888" s="54" t="n">
        <f aca="false">L1888*Assumptions!$I$63^(1/4)+M1879*$C$1828</f>
        <v>478876.085245652</v>
      </c>
      <c r="N1888" s="54" t="n">
        <f aca="false">M1888*Assumptions!$I$63^(1/4)+N1879*$C$1828</f>
        <v>553465.740606466</v>
      </c>
      <c r="P1888" s="55" t="n">
        <f aca="false">F1888</f>
        <v>57437.4905254148</v>
      </c>
      <c r="Q1888" s="55" t="n">
        <f aca="false">J1888</f>
        <v>263704.552105603</v>
      </c>
      <c r="R1888" s="55" t="n">
        <f aca="false">N1888</f>
        <v>553465.740606466</v>
      </c>
      <c r="S1888" s="56" t="n">
        <f aca="false">R1888</f>
        <v>553465.740606466</v>
      </c>
    </row>
    <row r="1889" customFormat="false" ht="15" hidden="false" customHeight="false" outlineLevel="0" collapsed="false">
      <c r="A1889" s="4" t="s">
        <v>540</v>
      </c>
      <c r="B1889" s="36" t="s">
        <v>125</v>
      </c>
      <c r="C1889" s="54" t="n">
        <f aca="false">0*Assumptions!$I$64^(1/4)+C1880*$C$1829</f>
        <v>0</v>
      </c>
      <c r="D1889" s="54" t="n">
        <f aca="false">C1889*Assumptions!$I$64^(1/4)+D1880*$C$1829</f>
        <v>0</v>
      </c>
      <c r="E1889" s="54" t="n">
        <f aca="false">D1889*Assumptions!$I$64^(1/4)+E1880*$C$1829</f>
        <v>20402.91377757</v>
      </c>
      <c r="F1889" s="54" t="n">
        <f aca="false">E1889*Assumptions!$I$64^(1/4)+F1880*$C$1829</f>
        <v>58790.2286972605</v>
      </c>
      <c r="G1889" s="54" t="n">
        <f aca="false">F1889*Assumptions!$I$64^(1/4)+G1880*$C$1829</f>
        <v>102094.453897785</v>
      </c>
      <c r="H1889" s="54" t="n">
        <f aca="false">G1889*Assumptions!$I$64^(1/4)+H1880*$C$1829</f>
        <v>162764.617875991</v>
      </c>
      <c r="I1889" s="54" t="n">
        <f aca="false">H1889*Assumptions!$I$64^(1/4)+I1880*$C$1829</f>
        <v>241403.259575496</v>
      </c>
      <c r="J1889" s="54" t="n">
        <f aca="false">I1889*Assumptions!$I$64^(1/4)+J1880*$C$1829</f>
        <v>343452.027468618</v>
      </c>
      <c r="K1889" s="54" t="n">
        <f aca="false">J1889*Assumptions!$I$64^(1/4)+K1880*$C$1829</f>
        <v>466677.322967591</v>
      </c>
      <c r="L1889" s="54" t="n">
        <f aca="false">K1889*Assumptions!$I$64^(1/4)+L1880*$C$1829</f>
        <v>596256.315053342</v>
      </c>
      <c r="M1889" s="54" t="n">
        <f aca="false">L1889*Assumptions!$I$64^(1/4)+M1880*$C$1829</f>
        <v>732699.341222251</v>
      </c>
      <c r="N1889" s="54" t="n">
        <f aca="false">M1889*Assumptions!$I$64^(1/4)+N1880*$C$1829</f>
        <v>876548.164609377</v>
      </c>
      <c r="P1889" s="55" t="n">
        <f aca="false">F1889</f>
        <v>58790.2286972605</v>
      </c>
      <c r="Q1889" s="55" t="n">
        <f aca="false">J1889</f>
        <v>343452.027468618</v>
      </c>
      <c r="R1889" s="55" t="n">
        <f aca="false">N1889</f>
        <v>876548.164609377</v>
      </c>
      <c r="S1889" s="56" t="n">
        <f aca="false">R1889</f>
        <v>876548.164609377</v>
      </c>
    </row>
    <row r="1890" customFormat="false" ht="15" hidden="false" customHeight="false" outlineLevel="0" collapsed="false">
      <c r="A1890" s="9" t="s">
        <v>541</v>
      </c>
      <c r="B1890" s="36" t="s">
        <v>125</v>
      </c>
      <c r="C1890" s="55" t="n">
        <f aca="false">C1887+C1888+C1889</f>
        <v>0</v>
      </c>
      <c r="D1890" s="55" t="n">
        <f aca="false">D1887+D1888+D1889</f>
        <v>40596.568259939</v>
      </c>
      <c r="E1890" s="55" t="n">
        <f aca="false">E1887+E1888+E1889</f>
        <v>135469.990663875</v>
      </c>
      <c r="F1890" s="55" t="n">
        <f aca="false">F1887+F1888+F1889</f>
        <v>254480.885327378</v>
      </c>
      <c r="G1890" s="55" t="n">
        <f aca="false">G1887+G1888+G1889</f>
        <v>413065.724835853</v>
      </c>
      <c r="H1890" s="55" t="n">
        <f aca="false">H1887+H1888+H1889</f>
        <v>622951.581442607</v>
      </c>
      <c r="I1890" s="55" t="n">
        <f aca="false">I1887+I1888+I1889</f>
        <v>887506.100963768</v>
      </c>
      <c r="J1890" s="55" t="n">
        <f aca="false">J1887+J1888+J1889</f>
        <v>1205431.00204906</v>
      </c>
      <c r="K1890" s="55" t="n">
        <f aca="false">K1887+K1888+K1889</f>
        <v>1545096.31055971</v>
      </c>
      <c r="L1890" s="55" t="n">
        <f aca="false">L1887+L1888+L1889</f>
        <v>1891874.01340498</v>
      </c>
      <c r="M1890" s="55" t="n">
        <f aca="false">M1887+M1888+M1889</f>
        <v>2246467.64412935</v>
      </c>
      <c r="N1890" s="55" t="n">
        <f aca="false">N1887+N1888+N1889</f>
        <v>2609610.79941294</v>
      </c>
      <c r="P1890" s="55" t="n">
        <f aca="false">F1890</f>
        <v>254480.885327378</v>
      </c>
      <c r="Q1890" s="55" t="n">
        <f aca="false">J1890</f>
        <v>1205431.00204906</v>
      </c>
      <c r="R1890" s="55" t="n">
        <f aca="false">N1890</f>
        <v>2609610.79941294</v>
      </c>
      <c r="S1890" s="56" t="n">
        <f aca="false">R1890</f>
        <v>2609610.79941294</v>
      </c>
    </row>
    <row r="1891" customFormat="false" ht="15" hidden="false" customHeight="false" outlineLevel="0" collapsed="false">
      <c r="A1891" s="4" t="s">
        <v>542</v>
      </c>
      <c r="B1891" s="36" t="s">
        <v>125</v>
      </c>
      <c r="C1891" s="54" t="n">
        <f aca="false">C1878*$C$1827+C1879*$C$1828+C1880*$C$1829</f>
        <v>0</v>
      </c>
      <c r="D1891" s="54" t="n">
        <f aca="false">D1878*$C$1827+D1879*$C$1828+D1880*$C$1829</f>
        <v>40596.568259939</v>
      </c>
      <c r="E1891" s="54" t="n">
        <f aca="false">E1878*$C$1827+E1879*$C$1828+E1880*$C$1829</f>
        <v>94031.789882507</v>
      </c>
      <c r="F1891" s="54" t="n">
        <f aca="false">F1878*$C$1827+F1879*$C$1828+F1880*$C$1829</f>
        <v>115238.608894596</v>
      </c>
      <c r="G1891" s="54" t="n">
        <f aca="false">G1878*$C$1827+G1879*$C$1828+G1880*$C$1829</f>
        <v>150528.379164594</v>
      </c>
      <c r="H1891" s="54" t="n">
        <f aca="false">H1878*$C$1827+H1879*$C$1828+H1880*$C$1829</f>
        <v>196484.549792767</v>
      </c>
      <c r="I1891" s="54" t="n">
        <f aca="false">I1878*$C$1827+I1879*$C$1828+I1880*$C$1829</f>
        <v>243915.462226109</v>
      </c>
      <c r="J1891" s="54" t="n">
        <f aca="false">J1878*$C$1827+J1879*$C$1828+J1880*$C$1829</f>
        <v>288016.699882855</v>
      </c>
      <c r="K1891" s="54" t="n">
        <f aca="false">K1878*$C$1827+K1879*$C$1828+K1880*$C$1829</f>
        <v>298226.891619851</v>
      </c>
      <c r="L1891" s="54" t="n">
        <f aca="false">L1878*$C$1827+L1879*$C$1828+L1880*$C$1829</f>
        <v>292339.886923465</v>
      </c>
      <c r="M1891" s="54" t="n">
        <f aca="false">M1878*$C$1827+M1879*$C$1828+M1880*$C$1829</f>
        <v>286687.275736245</v>
      </c>
      <c r="N1891" s="54" t="n">
        <f aca="false">N1878*$C$1827+N1879*$C$1828+N1880*$C$1829</f>
        <v>281259.725584383</v>
      </c>
      <c r="P1891" s="55" t="n">
        <f aca="false">SUM(C1891:F1891)</f>
        <v>249866.967037042</v>
      </c>
      <c r="Q1891" s="55" t="n">
        <f aca="false">SUM(G1891:J1891)</f>
        <v>878945.091066324</v>
      </c>
      <c r="R1891" s="55" t="n">
        <f aca="false">SUM(K1891:N1891)</f>
        <v>1158513.77986394</v>
      </c>
      <c r="S1891" s="56" t="n">
        <f aca="false">SUM(P1891:R1891)</f>
        <v>2287325.83796731</v>
      </c>
    </row>
    <row r="1892" customFormat="false" ht="15" hidden="false" customHeight="false" outlineLevel="0" collapsed="false">
      <c r="A1892" s="9" t="s">
        <v>543</v>
      </c>
      <c r="B1892" s="36" t="s">
        <v>125</v>
      </c>
      <c r="C1892" s="55" t="n">
        <f aca="false">(0+C1890)/8</f>
        <v>0</v>
      </c>
      <c r="D1892" s="55" t="n">
        <f aca="false">(C1890+D1890)/8</f>
        <v>5074.57103249237</v>
      </c>
      <c r="E1892" s="55" t="n">
        <f aca="false">(D1890+E1890)/8</f>
        <v>22008.3198654767</v>
      </c>
      <c r="F1892" s="55" t="n">
        <f aca="false">(E1890+F1890)/8</f>
        <v>48743.8594989066</v>
      </c>
      <c r="G1892" s="55" t="n">
        <f aca="false">(F1890+G1890)/8</f>
        <v>83443.3262704039</v>
      </c>
      <c r="H1892" s="55" t="n">
        <f aca="false">(G1890+H1890)/8</f>
        <v>129502.163284808</v>
      </c>
      <c r="I1892" s="55" t="n">
        <f aca="false">(H1890+I1890)/8</f>
        <v>188807.210300797</v>
      </c>
      <c r="J1892" s="55" t="n">
        <f aca="false">(I1890+J1890)/8</f>
        <v>261617.137876604</v>
      </c>
      <c r="K1892" s="55" t="n">
        <f aca="false">(J1890+K1890)/8</f>
        <v>343815.914076097</v>
      </c>
      <c r="L1892" s="55" t="n">
        <f aca="false">(K1890+L1890)/8</f>
        <v>429621.290495586</v>
      </c>
      <c r="M1892" s="55" t="n">
        <f aca="false">(L1890+M1890)/8</f>
        <v>517292.707191791</v>
      </c>
      <c r="N1892" s="55" t="n">
        <f aca="false">(M1890+N1890)/8</f>
        <v>607009.805442786</v>
      </c>
      <c r="P1892" s="55" t="n">
        <f aca="false">SUM(C1892:F1892)</f>
        <v>75826.7503968757</v>
      </c>
      <c r="Q1892" s="55" t="n">
        <f aca="false">SUM(G1892:J1892)</f>
        <v>663369.837732612</v>
      </c>
      <c r="R1892" s="55" t="n">
        <f aca="false">SUM(K1892:N1892)</f>
        <v>1897739.71720626</v>
      </c>
      <c r="S1892" s="56" t="n">
        <f aca="false">SUM(P1892:R1892)</f>
        <v>2636936.30533575</v>
      </c>
    </row>
    <row r="1893" customFormat="false" ht="15" hidden="false" customHeight="false" outlineLevel="0" collapsed="false">
      <c r="A1893" s="4" t="s">
        <v>544</v>
      </c>
      <c r="B1893" s="36" t="s">
        <v>125</v>
      </c>
      <c r="C1893" s="54" t="n">
        <f aca="false">C1892*Assumptions!$I$76</f>
        <v>0</v>
      </c>
      <c r="D1893" s="54" t="n">
        <f aca="false">D1892*Assumptions!$I$76</f>
        <v>3653.69114339451</v>
      </c>
      <c r="E1893" s="54" t="n">
        <f aca="false">E1892*Assumptions!$I$76</f>
        <v>15845.9903031433</v>
      </c>
      <c r="F1893" s="54" t="n">
        <f aca="false">F1892*Assumptions!$I$76</f>
        <v>35095.5788392128</v>
      </c>
      <c r="G1893" s="54" t="n">
        <f aca="false">G1892*Assumptions!$I$76</f>
        <v>60079.1949146908</v>
      </c>
      <c r="H1893" s="54" t="n">
        <f aca="false">H1892*Assumptions!$I$76</f>
        <v>93241.5575650614</v>
      </c>
      <c r="I1893" s="54" t="n">
        <f aca="false">I1892*Assumptions!$I$76</f>
        <v>135941.191416574</v>
      </c>
      <c r="J1893" s="54" t="n">
        <f aca="false">J1892*Assumptions!$I$76</f>
        <v>188364.339271155</v>
      </c>
      <c r="K1893" s="54" t="n">
        <f aca="false">K1892*Assumptions!$I$76</f>
        <v>247547.45813479</v>
      </c>
      <c r="L1893" s="54" t="n">
        <f aca="false">L1892*Assumptions!$I$76</f>
        <v>309327.329156822</v>
      </c>
      <c r="M1893" s="54" t="n">
        <f aca="false">M1892*Assumptions!$I$76</f>
        <v>372450.749178089</v>
      </c>
      <c r="N1893" s="54" t="n">
        <f aca="false">N1892*Assumptions!$I$76</f>
        <v>437047.059918806</v>
      </c>
      <c r="P1893" s="55" t="n">
        <f aca="false">SUM(C1893:F1893)</f>
        <v>54595.2602857505</v>
      </c>
      <c r="Q1893" s="55" t="n">
        <f aca="false">SUM(G1893:J1893)</f>
        <v>477626.283167481</v>
      </c>
      <c r="R1893" s="55" t="n">
        <f aca="false">SUM(K1893:N1893)</f>
        <v>1366372.59638851</v>
      </c>
      <c r="S1893" s="56" t="n">
        <f aca="false">SUM(P1893:R1893)</f>
        <v>1898594.13984174</v>
      </c>
    </row>
    <row r="1894" customFormat="false" ht="15" hidden="false" customHeight="false" outlineLevel="0" collapsed="false">
      <c r="A1894" s="35" t="s">
        <v>547</v>
      </c>
      <c r="B1894" s="35" t="s">
        <v>444</v>
      </c>
      <c r="C1894" s="6" t="s">
        <v>354</v>
      </c>
      <c r="D1894" s="6" t="s">
        <v>355</v>
      </c>
      <c r="E1894" s="6" t="s">
        <v>356</v>
      </c>
      <c r="F1894" s="6" t="s">
        <v>357</v>
      </c>
      <c r="G1894" s="6" t="s">
        <v>358</v>
      </c>
      <c r="H1894" s="6" t="s">
        <v>359</v>
      </c>
      <c r="I1894" s="6" t="s">
        <v>360</v>
      </c>
      <c r="J1894" s="6" t="s">
        <v>361</v>
      </c>
      <c r="K1894" s="6" t="s">
        <v>362</v>
      </c>
      <c r="L1894" s="6" t="s">
        <v>363</v>
      </c>
      <c r="M1894" s="6" t="s">
        <v>364</v>
      </c>
      <c r="N1894" s="6" t="s">
        <v>365</v>
      </c>
      <c r="P1894" s="6" t="s">
        <v>445</v>
      </c>
      <c r="Q1894" s="6" t="s">
        <v>446</v>
      </c>
      <c r="R1894" s="6" t="s">
        <v>447</v>
      </c>
      <c r="S1894" s="6" t="s">
        <v>448</v>
      </c>
    </row>
    <row r="1895" customFormat="false" ht="15" hidden="false" customHeight="false" outlineLevel="0" collapsed="false">
      <c r="A1895" s="4" t="s">
        <v>548</v>
      </c>
      <c r="B1895" s="36" t="s">
        <v>321</v>
      </c>
      <c r="C1895" s="48" t="n">
        <f aca="false">Assumptions!$D$97*C1837</f>
        <v>1</v>
      </c>
      <c r="D1895" s="48" t="n">
        <f aca="false">Assumptions!$D$97*D1837</f>
        <v>1</v>
      </c>
      <c r="E1895" s="48" t="n">
        <f aca="false">Assumptions!$D$97*E1837</f>
        <v>1</v>
      </c>
      <c r="F1895" s="48" t="n">
        <f aca="false">Assumptions!$D$97*F1837</f>
        <v>1</v>
      </c>
      <c r="G1895" s="48" t="n">
        <f aca="false">Assumptions!$D$97*G1837</f>
        <v>1</v>
      </c>
      <c r="H1895" s="48" t="n">
        <f aca="false">Assumptions!$D$97*H1837</f>
        <v>1</v>
      </c>
      <c r="I1895" s="48" t="n">
        <f aca="false">Assumptions!$D$97*I1837</f>
        <v>1</v>
      </c>
      <c r="J1895" s="48" t="n">
        <f aca="false">Assumptions!$D$97*J1837</f>
        <v>1</v>
      </c>
      <c r="K1895" s="48" t="n">
        <f aca="false">Assumptions!$D$97*K1837</f>
        <v>1</v>
      </c>
      <c r="L1895" s="48" t="n">
        <f aca="false">Assumptions!$D$97*L1837</f>
        <v>1</v>
      </c>
      <c r="M1895" s="48" t="n">
        <f aca="false">Assumptions!$D$97*M1837</f>
        <v>1</v>
      </c>
      <c r="N1895" s="48" t="n">
        <f aca="false">Assumptions!$D$97*N1837</f>
        <v>1</v>
      </c>
      <c r="P1895" s="49" t="n">
        <f aca="false">AVERAGE(C1895:F1895)</f>
        <v>1</v>
      </c>
      <c r="Q1895" s="49" t="n">
        <f aca="false">AVERAGE(G1895:J1895)</f>
        <v>1</v>
      </c>
      <c r="R1895" s="49" t="n">
        <f aca="false">AVERAGE(K1895:N1895)</f>
        <v>1</v>
      </c>
      <c r="S1895" s="50"/>
    </row>
    <row r="1896" customFormat="false" ht="15" hidden="false" customHeight="false" outlineLevel="0" collapsed="false">
      <c r="A1896" s="4" t="s">
        <v>549</v>
      </c>
      <c r="B1896" s="36" t="s">
        <v>321</v>
      </c>
      <c r="C1896" s="48" t="n">
        <f aca="false">C1850*C1837</f>
        <v>0</v>
      </c>
      <c r="D1896" s="48" t="n">
        <f aca="false">D1850*D1837</f>
        <v>0</v>
      </c>
      <c r="E1896" s="48" t="n">
        <f aca="false">E1850*E1837</f>
        <v>0</v>
      </c>
      <c r="F1896" s="48" t="n">
        <f aca="false">F1850*F1837</f>
        <v>0</v>
      </c>
      <c r="G1896" s="48" t="n">
        <f aca="false">G1850*G1837</f>
        <v>0</v>
      </c>
      <c r="H1896" s="48" t="n">
        <f aca="false">H1850*H1837</f>
        <v>0</v>
      </c>
      <c r="I1896" s="48" t="n">
        <f aca="false">I1850*I1837</f>
        <v>0</v>
      </c>
      <c r="J1896" s="48" t="n">
        <f aca="false">J1850*J1837</f>
        <v>0</v>
      </c>
      <c r="K1896" s="48" t="n">
        <f aca="false">K1850*K1837</f>
        <v>0</v>
      </c>
      <c r="L1896" s="48" t="n">
        <f aca="false">L1850*L1837</f>
        <v>0</v>
      </c>
      <c r="M1896" s="48" t="n">
        <f aca="false">M1850*M1837</f>
        <v>0</v>
      </c>
      <c r="N1896" s="48" t="n">
        <f aca="false">N1850*N1837</f>
        <v>0</v>
      </c>
      <c r="P1896" s="49" t="n">
        <f aca="false">AVERAGE(C1896:F1896)</f>
        <v>0</v>
      </c>
      <c r="Q1896" s="49" t="n">
        <f aca="false">AVERAGE(G1896:J1896)</f>
        <v>0</v>
      </c>
      <c r="R1896" s="49" t="n">
        <f aca="false">AVERAGE(K1896:N1896)</f>
        <v>0</v>
      </c>
      <c r="S1896" s="50"/>
    </row>
    <row r="1897" customFormat="false" ht="15" hidden="false" customHeight="false" outlineLevel="0" collapsed="false">
      <c r="A1897" s="4" t="s">
        <v>550</v>
      </c>
      <c r="B1897" s="36" t="s">
        <v>321</v>
      </c>
      <c r="C1897" s="48" t="n">
        <f aca="false">IF(C1836&lt;=4,Assumptions!$D$98,Assumptions!$D$99)*C1837</f>
        <v>0</v>
      </c>
      <c r="D1897" s="48" t="n">
        <f aca="false">IF(D1836&lt;=4,Assumptions!$D$98,Assumptions!$D$99)*D1837</f>
        <v>0</v>
      </c>
      <c r="E1897" s="48" t="n">
        <f aca="false">IF(E1836&lt;=4,Assumptions!$D$98,Assumptions!$D$99)*E1837</f>
        <v>0</v>
      </c>
      <c r="F1897" s="48" t="n">
        <f aca="false">IF(F1836&lt;=4,Assumptions!$D$98,Assumptions!$D$99)*F1837</f>
        <v>0</v>
      </c>
      <c r="G1897" s="48" t="n">
        <f aca="false">IF(G1836&lt;=4,Assumptions!$D$98,Assumptions!$D$99)*G1837</f>
        <v>0.5</v>
      </c>
      <c r="H1897" s="48" t="n">
        <f aca="false">IF(H1836&lt;=4,Assumptions!$D$98,Assumptions!$D$99)*H1837</f>
        <v>0.5</v>
      </c>
      <c r="I1897" s="48" t="n">
        <f aca="false">IF(I1836&lt;=4,Assumptions!$D$98,Assumptions!$D$99)*I1837</f>
        <v>0.5</v>
      </c>
      <c r="J1897" s="48" t="n">
        <f aca="false">IF(J1836&lt;=4,Assumptions!$D$98,Assumptions!$D$99)*J1837</f>
        <v>0.5</v>
      </c>
      <c r="K1897" s="48" t="n">
        <f aca="false">IF(K1836&lt;=4,Assumptions!$D$98,Assumptions!$D$99)*K1837</f>
        <v>0.5</v>
      </c>
      <c r="L1897" s="48" t="n">
        <f aca="false">IF(L1836&lt;=4,Assumptions!$D$98,Assumptions!$D$99)*L1837</f>
        <v>0.5</v>
      </c>
      <c r="M1897" s="48" t="n">
        <f aca="false">IF(M1836&lt;=4,Assumptions!$D$98,Assumptions!$D$99)*M1837</f>
        <v>0.5</v>
      </c>
      <c r="N1897" s="48" t="n">
        <f aca="false">IF(N1836&lt;=4,Assumptions!$D$98,Assumptions!$D$99)*N1837</f>
        <v>0.5</v>
      </c>
      <c r="P1897" s="49" t="n">
        <f aca="false">AVERAGE(C1897:F1897)</f>
        <v>0</v>
      </c>
      <c r="Q1897" s="49" t="n">
        <f aca="false">AVERAGE(G1897:J1897)</f>
        <v>0.5</v>
      </c>
      <c r="R1897" s="49" t="n">
        <f aca="false">AVERAGE(K1897:N1897)</f>
        <v>0.5</v>
      </c>
      <c r="S1897" s="50"/>
    </row>
    <row r="1898" customFormat="false" ht="15" hidden="false" customHeight="false" outlineLevel="0" collapsed="false">
      <c r="A1898" s="4" t="s">
        <v>551</v>
      </c>
      <c r="B1898" s="36" t="s">
        <v>321</v>
      </c>
      <c r="C1898" s="48" t="n">
        <f aca="false">IF(C1836&lt;=4,Assumptions!$D$100,Assumptions!$D$101)*C1837</f>
        <v>1</v>
      </c>
      <c r="D1898" s="48" t="n">
        <f aca="false">IF(D1836&lt;=4,Assumptions!$D$100,Assumptions!$D$101)*D1837</f>
        <v>1</v>
      </c>
      <c r="E1898" s="48" t="n">
        <f aca="false">IF(E1836&lt;=4,Assumptions!$D$100,Assumptions!$D$101)*E1837</f>
        <v>1</v>
      </c>
      <c r="F1898" s="48" t="n">
        <f aca="false">IF(F1836&lt;=4,Assumptions!$D$100,Assumptions!$D$101)*F1837</f>
        <v>1</v>
      </c>
      <c r="G1898" s="48" t="n">
        <f aca="false">IF(G1836&lt;=4,Assumptions!$D$100,Assumptions!$D$101)*G1837</f>
        <v>0.5</v>
      </c>
      <c r="H1898" s="48" t="n">
        <f aca="false">IF(H1836&lt;=4,Assumptions!$D$100,Assumptions!$D$101)*H1837</f>
        <v>0.5</v>
      </c>
      <c r="I1898" s="48" t="n">
        <f aca="false">IF(I1836&lt;=4,Assumptions!$D$100,Assumptions!$D$101)*I1837</f>
        <v>0.5</v>
      </c>
      <c r="J1898" s="48" t="n">
        <f aca="false">IF(J1836&lt;=4,Assumptions!$D$100,Assumptions!$D$101)*J1837</f>
        <v>0.5</v>
      </c>
      <c r="K1898" s="48" t="n">
        <f aca="false">IF(K1836&lt;=4,Assumptions!$D$100,Assumptions!$D$101)*K1837</f>
        <v>0.5</v>
      </c>
      <c r="L1898" s="48" t="n">
        <f aca="false">IF(L1836&lt;=4,Assumptions!$D$100,Assumptions!$D$101)*L1837</f>
        <v>0.5</v>
      </c>
      <c r="M1898" s="48" t="n">
        <f aca="false">IF(M1836&lt;=4,Assumptions!$D$100,Assumptions!$D$101)*M1837</f>
        <v>0.5</v>
      </c>
      <c r="N1898" s="48" t="n">
        <f aca="false">IF(N1836&lt;=4,Assumptions!$D$100,Assumptions!$D$101)*N1837</f>
        <v>0.5</v>
      </c>
      <c r="P1898" s="49" t="n">
        <f aca="false">AVERAGE(C1898:F1898)</f>
        <v>1</v>
      </c>
      <c r="Q1898" s="49" t="n">
        <f aca="false">AVERAGE(G1898:J1898)</f>
        <v>0.5</v>
      </c>
      <c r="R1898" s="49" t="n">
        <f aca="false">AVERAGE(K1898:N1898)</f>
        <v>0.5</v>
      </c>
      <c r="S1898" s="50"/>
    </row>
    <row r="1899" customFormat="false" ht="15" hidden="false" customHeight="false" outlineLevel="0" collapsed="false">
      <c r="A1899" s="4" t="s">
        <v>552</v>
      </c>
      <c r="B1899" s="36" t="s">
        <v>321</v>
      </c>
      <c r="C1899" s="48" t="n">
        <f aca="false">Assumptions!$D$102*C1837</f>
        <v>0.25</v>
      </c>
      <c r="D1899" s="48" t="n">
        <f aca="false">Assumptions!$D$102*D1837</f>
        <v>0.25</v>
      </c>
      <c r="E1899" s="48" t="n">
        <f aca="false">Assumptions!$D$102*E1837</f>
        <v>0.25</v>
      </c>
      <c r="F1899" s="48" t="n">
        <f aca="false">Assumptions!$D$102*F1837</f>
        <v>0.25</v>
      </c>
      <c r="G1899" s="48" t="n">
        <f aca="false">Assumptions!$D$102*G1837</f>
        <v>0.25</v>
      </c>
      <c r="H1899" s="48" t="n">
        <f aca="false">Assumptions!$D$102*H1837</f>
        <v>0.25</v>
      </c>
      <c r="I1899" s="48" t="n">
        <f aca="false">Assumptions!$D$102*I1837</f>
        <v>0.25</v>
      </c>
      <c r="J1899" s="48" t="n">
        <f aca="false">Assumptions!$D$102*J1837</f>
        <v>0.25</v>
      </c>
      <c r="K1899" s="48" t="n">
        <f aca="false">Assumptions!$D$102*K1837</f>
        <v>0.25</v>
      </c>
      <c r="L1899" s="48" t="n">
        <f aca="false">Assumptions!$D$102*L1837</f>
        <v>0.25</v>
      </c>
      <c r="M1899" s="48" t="n">
        <f aca="false">Assumptions!$D$102*M1837</f>
        <v>0.25</v>
      </c>
      <c r="N1899" s="48" t="n">
        <f aca="false">Assumptions!$D$102*N1837</f>
        <v>0.25</v>
      </c>
      <c r="P1899" s="49" t="n">
        <f aca="false">AVERAGE(C1899:F1899)</f>
        <v>0.25</v>
      </c>
      <c r="Q1899" s="49" t="n">
        <f aca="false">AVERAGE(G1899:J1899)</f>
        <v>0.25</v>
      </c>
      <c r="R1899" s="49" t="n">
        <f aca="false">AVERAGE(K1899:N1899)</f>
        <v>0.25</v>
      </c>
      <c r="S1899" s="50"/>
    </row>
    <row r="1900" customFormat="false" ht="15" hidden="false" customHeight="false" outlineLevel="0" collapsed="false">
      <c r="A1900" s="4" t="s">
        <v>553</v>
      </c>
      <c r="B1900" s="36" t="s">
        <v>321</v>
      </c>
      <c r="C1900" s="48" t="n">
        <f aca="false">(C1884+C1885)/Assumptions!$I$74+C1883/Assumptions!$I$75</f>
        <v>0</v>
      </c>
      <c r="D1900" s="48" t="n">
        <f aca="false">(D1884+D1885)/Assumptions!$I$74+D1883/Assumptions!$I$75</f>
        <v>0.0765460123589596</v>
      </c>
      <c r="E1900" s="48" t="n">
        <f aca="false">(E1884+E1885)/Assumptions!$I$74+E1883/Assumptions!$I$75</f>
        <v>0.225395982631678</v>
      </c>
      <c r="F1900" s="48" t="n">
        <f aca="false">(F1884+F1885)/Assumptions!$I$74+F1883/Assumptions!$I$75</f>
        <v>0.389475205617273</v>
      </c>
      <c r="G1900" s="48" t="n">
        <f aca="false">(G1884+G1885)/Assumptions!$I$74+G1883/Assumptions!$I$75</f>
        <v>0.614226970178514</v>
      </c>
      <c r="H1900" s="48" t="n">
        <f aca="false">(H1884+H1885)/Assumptions!$I$74+H1883/Assumptions!$I$75</f>
        <v>0.902563392934378</v>
      </c>
      <c r="I1900" s="48" t="n">
        <f aca="false">(I1884+I1885)/Assumptions!$I$74+I1883/Assumptions!$I$75</f>
        <v>1.26377584853032</v>
      </c>
      <c r="J1900" s="48" t="n">
        <f aca="false">(J1884+J1885)/Assumptions!$I$74+J1883/Assumptions!$I$75</f>
        <v>1.68384296102726</v>
      </c>
      <c r="K1900" s="48" t="n">
        <f aca="false">(K1884+K1885)/Assumptions!$I$74+K1883/Assumptions!$I$75</f>
        <v>2.0962161400392</v>
      </c>
      <c r="L1900" s="48" t="n">
        <f aca="false">(L1884+L1885)/Assumptions!$I$74+L1883/Assumptions!$I$75</f>
        <v>2.49223793344242</v>
      </c>
      <c r="M1900" s="48" t="n">
        <f aca="false">(M1884+M1885)/Assumptions!$I$74+M1883/Assumptions!$I$75</f>
        <v>2.87256248385081</v>
      </c>
      <c r="N1900" s="48" t="n">
        <f aca="false">(N1884+N1885)/Assumptions!$I$74+N1883/Assumptions!$I$75</f>
        <v>3.23781775131683</v>
      </c>
      <c r="P1900" s="49" t="n">
        <f aca="false">AVERAGE(C1900:F1900)</f>
        <v>0.172854300151978</v>
      </c>
      <c r="Q1900" s="49" t="n">
        <f aca="false">AVERAGE(G1900:J1900)</f>
        <v>1.11610229316762</v>
      </c>
      <c r="R1900" s="49" t="n">
        <f aca="false">AVERAGE(K1900:N1900)</f>
        <v>2.67470857716232</v>
      </c>
      <c r="S1900" s="50"/>
    </row>
    <row r="1901" customFormat="false" ht="15" hidden="false" customHeight="false" outlineLevel="0" collapsed="false">
      <c r="A1901" s="4" t="s">
        <v>554</v>
      </c>
      <c r="B1901" s="36" t="s">
        <v>125</v>
      </c>
      <c r="C1901" s="54" t="n">
        <f aca="false">(C1895+C1897)*Assumptions!$I$70/Assumptions!$I$69/4</f>
        <v>66753.5714285714</v>
      </c>
      <c r="D1901" s="54" t="n">
        <f aca="false">(D1895+D1897)*Assumptions!$I$70/Assumptions!$I$69/4</f>
        <v>66753.5714285714</v>
      </c>
      <c r="E1901" s="54" t="n">
        <f aca="false">(E1895+E1897)*Assumptions!$I$70/Assumptions!$I$69/4</f>
        <v>66753.5714285714</v>
      </c>
      <c r="F1901" s="54" t="n">
        <f aca="false">(F1895+F1897)*Assumptions!$I$70/Assumptions!$I$69/4</f>
        <v>66753.5714285714</v>
      </c>
      <c r="G1901" s="54" t="n">
        <f aca="false">(G1895+G1897)*Assumptions!$I$70/Assumptions!$I$69/4</f>
        <v>100130.357142857</v>
      </c>
      <c r="H1901" s="54" t="n">
        <f aca="false">(H1895+H1897)*Assumptions!$I$70/Assumptions!$I$69/4</f>
        <v>100130.357142857</v>
      </c>
      <c r="I1901" s="54" t="n">
        <f aca="false">(I1895+I1897)*Assumptions!$I$70/Assumptions!$I$69/4</f>
        <v>100130.357142857</v>
      </c>
      <c r="J1901" s="54" t="n">
        <f aca="false">(J1895+J1897)*Assumptions!$I$70/Assumptions!$I$69/4</f>
        <v>100130.357142857</v>
      </c>
      <c r="K1901" s="54" t="n">
        <f aca="false">(K1895+K1897)*Assumptions!$I$70/Assumptions!$I$69/4</f>
        <v>100130.357142857</v>
      </c>
      <c r="L1901" s="54" t="n">
        <f aca="false">(L1895+L1897)*Assumptions!$I$70/Assumptions!$I$69/4</f>
        <v>100130.357142857</v>
      </c>
      <c r="M1901" s="54" t="n">
        <f aca="false">(M1895+M1897)*Assumptions!$I$70/Assumptions!$I$69/4</f>
        <v>100130.357142857</v>
      </c>
      <c r="N1901" s="54" t="n">
        <f aca="false">(N1895+N1897)*Assumptions!$I$70/Assumptions!$I$69/4</f>
        <v>100130.357142857</v>
      </c>
      <c r="P1901" s="55" t="n">
        <f aca="false">SUM(C1901:F1901)</f>
        <v>267014.285714286</v>
      </c>
      <c r="Q1901" s="55" t="n">
        <f aca="false">SUM(G1901:J1901)</f>
        <v>400521.428571429</v>
      </c>
      <c r="R1901" s="55" t="n">
        <f aca="false">SUM(K1901:N1901)</f>
        <v>400521.428571429</v>
      </c>
      <c r="S1901" s="56" t="n">
        <f aca="false">SUM(P1901:R1901)</f>
        <v>1068057.14285714</v>
      </c>
    </row>
    <row r="1902" customFormat="false" ht="15" hidden="false" customHeight="false" outlineLevel="0" collapsed="false">
      <c r="A1902" s="4" t="s">
        <v>555</v>
      </c>
      <c r="B1902" s="36" t="s">
        <v>125</v>
      </c>
      <c r="C1902" s="54" t="n">
        <f aca="false">C1896*$C$1831/4</f>
        <v>0</v>
      </c>
      <c r="D1902" s="54" t="n">
        <f aca="false">D1896*$C$1831/4</f>
        <v>0</v>
      </c>
      <c r="E1902" s="54" t="n">
        <f aca="false">E1896*$C$1831/4</f>
        <v>0</v>
      </c>
      <c r="F1902" s="54" t="n">
        <f aca="false">F1896*$C$1831/4</f>
        <v>0</v>
      </c>
      <c r="G1902" s="54" t="n">
        <f aca="false">G1896*$C$1831/4</f>
        <v>0</v>
      </c>
      <c r="H1902" s="54" t="n">
        <f aca="false">H1896*$C$1831/4</f>
        <v>0</v>
      </c>
      <c r="I1902" s="54" t="n">
        <f aca="false">I1896*$C$1831/4</f>
        <v>0</v>
      </c>
      <c r="J1902" s="54" t="n">
        <f aca="false">J1896*$C$1831/4</f>
        <v>0</v>
      </c>
      <c r="K1902" s="54" t="n">
        <f aca="false">K1896*$C$1831/4</f>
        <v>0</v>
      </c>
      <c r="L1902" s="54" t="n">
        <f aca="false">L1896*$C$1831/4</f>
        <v>0</v>
      </c>
      <c r="M1902" s="54" t="n">
        <f aca="false">M1896*$C$1831/4</f>
        <v>0</v>
      </c>
      <c r="N1902" s="54" t="n">
        <f aca="false">N1896*$C$1831/4</f>
        <v>0</v>
      </c>
      <c r="P1902" s="55" t="n">
        <f aca="false">SUM(C1902:F1902)</f>
        <v>0</v>
      </c>
      <c r="Q1902" s="55" t="n">
        <f aca="false">SUM(G1902:J1902)</f>
        <v>0</v>
      </c>
      <c r="R1902" s="55" t="n">
        <f aca="false">SUM(K1902:N1902)</f>
        <v>0</v>
      </c>
      <c r="S1902" s="56" t="n">
        <f aca="false">SUM(P1902:R1902)</f>
        <v>0</v>
      </c>
    </row>
    <row r="1903" customFormat="false" ht="15" hidden="false" customHeight="false" outlineLevel="0" collapsed="false">
      <c r="A1903" s="4" t="s">
        <v>556</v>
      </c>
      <c r="B1903" s="36" t="s">
        <v>125</v>
      </c>
      <c r="C1903" s="54" t="n">
        <f aca="false">MAX(0,(C1891-C1872*$C$1827)-C1851*$C$1832)*$C$1833*Assumptions!$D$105</f>
        <v>0</v>
      </c>
      <c r="D1903" s="54" t="n">
        <f aca="false">MAX(0,(D1891-D1872*$C$1827)-D1851*$C$1832)*$C$1833*Assumptions!$D$105</f>
        <v>8952.31627639353</v>
      </c>
      <c r="E1903" s="54" t="n">
        <f aca="false">MAX(0,(E1891-E1872*$C$1827)-E1851*$C$1832)*$C$1833*Assumptions!$D$105</f>
        <v>24074.4231369151</v>
      </c>
      <c r="F1903" s="54" t="n">
        <f aca="false">MAX(0,(F1891-F1872*$C$1827)-F1851*$C$1832)*$C$1833*Assumptions!$D$105</f>
        <v>31467.4760160704</v>
      </c>
      <c r="G1903" s="54" t="n">
        <f aca="false">MAX(0,(G1891-G1872*$C$1827)-G1851*$C$1832)*$C$1833*Assumptions!$D$105</f>
        <v>39642.7439529881</v>
      </c>
      <c r="H1903" s="54" t="n">
        <f aca="false">MAX(0,(H1891-H1872*$C$1827)-H1851*$C$1832)*$C$1833*Assumptions!$D$105</f>
        <v>52151.669568866</v>
      </c>
      <c r="I1903" s="54" t="n">
        <f aca="false">MAX(0,(I1891-I1872*$C$1827)-I1851*$C$1832)*$C$1833*Assumptions!$D$105</f>
        <v>65299.1509287202</v>
      </c>
      <c r="J1903" s="54" t="n">
        <f aca="false">MAX(0,(J1891-J1872*$C$1827)-J1851*$C$1832)*$C$1833*Assumptions!$D$105</f>
        <v>78355.7644892326</v>
      </c>
      <c r="K1903" s="54" t="n">
        <f aca="false">MAX(0,(K1891-K1872*$C$1827)-K1851*$C$1832)*$C$1833*Assumptions!$D$105</f>
        <v>82924.0723148761</v>
      </c>
      <c r="L1903" s="54" t="n">
        <f aca="false">MAX(0,(L1891-L1872*$C$1827)-L1851*$C$1832)*$C$1833*Assumptions!$D$105</f>
        <v>81282.8614293194</v>
      </c>
      <c r="M1903" s="54" t="n">
        <f aca="false">MAX(0,(M1891-M1872*$C$1827)-M1851*$C$1832)*$C$1833*Assumptions!$D$105</f>
        <v>79706.9960290454</v>
      </c>
      <c r="N1903" s="54" t="n">
        <f aca="false">MAX(0,(N1891-N1872*$C$1827)-N1851*$C$1832)*$C$1833*Assumptions!$D$105</f>
        <v>78193.874356727</v>
      </c>
      <c r="P1903" s="55" t="n">
        <f aca="false">SUM(C1903:F1903)</f>
        <v>64494.215429379</v>
      </c>
      <c r="Q1903" s="55" t="n">
        <f aca="false">SUM(G1903:J1903)</f>
        <v>235449.328939807</v>
      </c>
      <c r="R1903" s="55" t="n">
        <f aca="false">SUM(K1903:N1903)</f>
        <v>322107.804129968</v>
      </c>
      <c r="S1903" s="56" t="n">
        <f aca="false">SUM(P1903:R1903)</f>
        <v>622051.348499154</v>
      </c>
    </row>
    <row r="1904" customFormat="false" ht="15" hidden="false" customHeight="false" outlineLevel="0" collapsed="false">
      <c r="A1904" s="4" t="s">
        <v>557</v>
      </c>
      <c r="B1904" s="36" t="s">
        <v>125</v>
      </c>
      <c r="C1904" s="54" t="n">
        <f aca="false">C1899*Assumptions!$I$71/Assumptions!$I$69/4</f>
        <v>18475.8928571429</v>
      </c>
      <c r="D1904" s="54" t="n">
        <f aca="false">D1899*Assumptions!$I$71/Assumptions!$I$69/4</f>
        <v>18475.8928571429</v>
      </c>
      <c r="E1904" s="54" t="n">
        <f aca="false">E1899*Assumptions!$I$71/Assumptions!$I$69/4</f>
        <v>18475.8928571429</v>
      </c>
      <c r="F1904" s="54" t="n">
        <f aca="false">F1899*Assumptions!$I$71/Assumptions!$I$69/4</f>
        <v>18475.8928571429</v>
      </c>
      <c r="G1904" s="54" t="n">
        <f aca="false">G1899*Assumptions!$I$71/Assumptions!$I$69/4</f>
        <v>18475.8928571429</v>
      </c>
      <c r="H1904" s="54" t="n">
        <f aca="false">H1899*Assumptions!$I$71/Assumptions!$I$69/4</f>
        <v>18475.8928571429</v>
      </c>
      <c r="I1904" s="54" t="n">
        <f aca="false">I1899*Assumptions!$I$71/Assumptions!$I$69/4</f>
        <v>18475.8928571429</v>
      </c>
      <c r="J1904" s="54" t="n">
        <f aca="false">J1899*Assumptions!$I$71/Assumptions!$I$69/4</f>
        <v>18475.8928571429</v>
      </c>
      <c r="K1904" s="54" t="n">
        <f aca="false">K1899*Assumptions!$I$71/Assumptions!$I$69/4</f>
        <v>18475.8928571429</v>
      </c>
      <c r="L1904" s="54" t="n">
        <f aca="false">L1899*Assumptions!$I$71/Assumptions!$I$69/4</f>
        <v>18475.8928571429</v>
      </c>
      <c r="M1904" s="54" t="n">
        <f aca="false">M1899*Assumptions!$I$71/Assumptions!$I$69/4</f>
        <v>18475.8928571429</v>
      </c>
      <c r="N1904" s="54" t="n">
        <f aca="false">N1899*Assumptions!$I$71/Assumptions!$I$69/4</f>
        <v>18475.8928571429</v>
      </c>
      <c r="P1904" s="55" t="n">
        <f aca="false">SUM(C1904:F1904)</f>
        <v>73903.5714285714</v>
      </c>
      <c r="Q1904" s="55" t="n">
        <f aca="false">SUM(G1904:J1904)</f>
        <v>73903.5714285714</v>
      </c>
      <c r="R1904" s="55" t="n">
        <f aca="false">SUM(K1904:N1904)</f>
        <v>73903.5714285714</v>
      </c>
      <c r="S1904" s="56" t="n">
        <f aca="false">SUM(P1904:R1904)</f>
        <v>221710.714285714</v>
      </c>
    </row>
    <row r="1905" customFormat="false" ht="15" hidden="false" customHeight="false" outlineLevel="0" collapsed="false">
      <c r="A1905" s="4" t="s">
        <v>558</v>
      </c>
      <c r="B1905" s="36" t="s">
        <v>125</v>
      </c>
      <c r="C1905" s="54" t="n">
        <f aca="false">(Assumptions!$D$103+Assumptions!$I$77*((C1836=Assumptions!$I$13)+(C1836=Assumptions!$I$14)+(C1836=Assumptions!$I$15)))*C1837</f>
        <v>65000</v>
      </c>
      <c r="D1905" s="54" t="n">
        <f aca="false">(Assumptions!$D$103+Assumptions!$I$77*((D1836=Assumptions!$I$13)+(D1836=Assumptions!$I$14)+(D1836=Assumptions!$I$15)))*D1837</f>
        <v>25000</v>
      </c>
      <c r="E1905" s="54" t="n">
        <f aca="false">(Assumptions!$D$103+Assumptions!$I$77*((E1836=Assumptions!$I$13)+(E1836=Assumptions!$I$14)+(E1836=Assumptions!$I$15)))*E1837</f>
        <v>25000</v>
      </c>
      <c r="F1905" s="54" t="n">
        <f aca="false">(Assumptions!$D$103+Assumptions!$I$77*((F1836=Assumptions!$I$13)+(F1836=Assumptions!$I$14)+(F1836=Assumptions!$I$15)))*F1837</f>
        <v>65000</v>
      </c>
      <c r="G1905" s="54" t="n">
        <f aca="false">(Assumptions!$D$103+Assumptions!$I$77*((G1836=Assumptions!$I$13)+(G1836=Assumptions!$I$14)+(G1836=Assumptions!$I$15)))*G1837</f>
        <v>25000</v>
      </c>
      <c r="H1905" s="54" t="n">
        <f aca="false">(Assumptions!$D$103+Assumptions!$I$77*((H1836=Assumptions!$I$13)+(H1836=Assumptions!$I$14)+(H1836=Assumptions!$I$15)))*H1837</f>
        <v>65000</v>
      </c>
      <c r="I1905" s="54" t="n">
        <f aca="false">(Assumptions!$D$103+Assumptions!$I$77*((I1836=Assumptions!$I$13)+(I1836=Assumptions!$I$14)+(I1836=Assumptions!$I$15)))*I1837</f>
        <v>25000</v>
      </c>
      <c r="J1905" s="54" t="n">
        <f aca="false">(Assumptions!$D$103+Assumptions!$I$77*((J1836=Assumptions!$I$13)+(J1836=Assumptions!$I$14)+(J1836=Assumptions!$I$15)))*J1837</f>
        <v>25000</v>
      </c>
      <c r="K1905" s="54" t="n">
        <f aca="false">(Assumptions!$D$103+Assumptions!$I$77*((K1836=Assumptions!$I$13)+(K1836=Assumptions!$I$14)+(K1836=Assumptions!$I$15)))*K1837</f>
        <v>25000</v>
      </c>
      <c r="L1905" s="54" t="n">
        <f aca="false">(Assumptions!$D$103+Assumptions!$I$77*((L1836=Assumptions!$I$13)+(L1836=Assumptions!$I$14)+(L1836=Assumptions!$I$15)))*L1837</f>
        <v>25000</v>
      </c>
      <c r="M1905" s="54" t="n">
        <f aca="false">(Assumptions!$D$103+Assumptions!$I$77*((M1836=Assumptions!$I$13)+(M1836=Assumptions!$I$14)+(M1836=Assumptions!$I$15)))*M1837</f>
        <v>25000</v>
      </c>
      <c r="N1905" s="54" t="n">
        <f aca="false">(Assumptions!$D$103+Assumptions!$I$77*((N1836=Assumptions!$I$13)+(N1836=Assumptions!$I$14)+(N1836=Assumptions!$I$15)))*N1837</f>
        <v>25000</v>
      </c>
      <c r="P1905" s="55" t="n">
        <f aca="false">SUM(C1905:F1905)</f>
        <v>180000</v>
      </c>
      <c r="Q1905" s="55" t="n">
        <f aca="false">SUM(G1905:J1905)</f>
        <v>140000</v>
      </c>
      <c r="R1905" s="55" t="n">
        <f aca="false">SUM(K1905:N1905)</f>
        <v>100000</v>
      </c>
      <c r="S1905" s="56" t="n">
        <f aca="false">SUM(P1905:R1905)</f>
        <v>420000</v>
      </c>
    </row>
    <row r="1906" customFormat="false" ht="15" hidden="false" customHeight="false" outlineLevel="0" collapsed="false">
      <c r="A1906" s="4" t="s">
        <v>559</v>
      </c>
      <c r="B1906" s="36" t="s">
        <v>125</v>
      </c>
      <c r="C1906" s="54" t="n">
        <f aca="false">C1891*C1871*Assumptions!$I$79</f>
        <v>0</v>
      </c>
      <c r="D1906" s="54" t="n">
        <f aca="false">D1891*D1871*Assumptions!$I$79</f>
        <v>1816.45399766271</v>
      </c>
      <c r="E1906" s="54" t="n">
        <f aca="false">E1891*E1871*Assumptions!$I$79</f>
        <v>3479.70313432519</v>
      </c>
      <c r="F1906" s="54" t="n">
        <f aca="false">F1891*F1871*Assumptions!$I$79</f>
        <v>5351.24224773307</v>
      </c>
      <c r="G1906" s="54" t="n">
        <f aca="false">G1891*G1871*Assumptions!$I$79</f>
        <v>6160.19445590078</v>
      </c>
      <c r="H1906" s="54" t="n">
        <f aca="false">H1891*H1871*Assumptions!$I$79</f>
        <v>7526.20476750475</v>
      </c>
      <c r="I1906" s="54" t="n">
        <f aca="false">I1891*I1871*Assumptions!$I$79</f>
        <v>8812.00426089888</v>
      </c>
      <c r="J1906" s="54" t="n">
        <f aca="false">J1891*J1871*Assumptions!$I$79</f>
        <v>9058.80463581472</v>
      </c>
      <c r="K1906" s="54" t="n">
        <f aca="false">K1891*K1871*Assumptions!$I$79</f>
        <v>9571.45345484</v>
      </c>
      <c r="L1906" s="54" t="n">
        <f aca="false">L1891*L1871*Assumptions!$I$79</f>
        <v>9570.13036335631</v>
      </c>
      <c r="M1906" s="54" t="n">
        <f aca="false">M1891*M1871*Assumptions!$I$79</f>
        <v>9568.80918031045</v>
      </c>
      <c r="N1906" s="54" t="n">
        <f aca="false">N1891*N1871*Assumptions!$I$79</f>
        <v>9567.49098896048</v>
      </c>
      <c r="P1906" s="55" t="n">
        <f aca="false">SUM(C1906:F1906)</f>
        <v>10647.399379721</v>
      </c>
      <c r="Q1906" s="55" t="n">
        <f aca="false">SUM(G1906:J1906)</f>
        <v>31557.2081201191</v>
      </c>
      <c r="R1906" s="55" t="n">
        <f aca="false">SUM(K1906:N1906)</f>
        <v>38277.8839874672</v>
      </c>
      <c r="S1906" s="56" t="n">
        <f aca="false">SUM(P1906:R1906)</f>
        <v>80482.4914873073</v>
      </c>
    </row>
    <row r="1907" customFormat="false" ht="15" hidden="false" customHeight="false" outlineLevel="0" collapsed="false">
      <c r="A1907" s="4" t="s">
        <v>560</v>
      </c>
      <c r="B1907" s="36" t="s">
        <v>125</v>
      </c>
      <c r="C1907" s="54" t="n">
        <f aca="false">C1856*Assumptions!$I$80</f>
        <v>8000</v>
      </c>
      <c r="D1907" s="54" t="n">
        <f aca="false">D1856*Assumptions!$I$80</f>
        <v>12000</v>
      </c>
      <c r="E1907" s="54" t="n">
        <f aca="false">E1856*Assumptions!$I$80</f>
        <v>16000</v>
      </c>
      <c r="F1907" s="54" t="n">
        <f aca="false">F1856*Assumptions!$I$80</f>
        <v>20000</v>
      </c>
      <c r="G1907" s="54" t="n">
        <f aca="false">G1856*Assumptions!$I$80</f>
        <v>24000</v>
      </c>
      <c r="H1907" s="54" t="n">
        <f aca="false">H1856*Assumptions!$I$80</f>
        <v>28000</v>
      </c>
      <c r="I1907" s="54" t="n">
        <f aca="false">I1856*Assumptions!$I$80</f>
        <v>28000</v>
      </c>
      <c r="J1907" s="54" t="n">
        <f aca="false">J1856*Assumptions!$I$80</f>
        <v>28000</v>
      </c>
      <c r="K1907" s="54" t="n">
        <f aca="false">K1856*Assumptions!$I$80</f>
        <v>28000</v>
      </c>
      <c r="L1907" s="54" t="n">
        <f aca="false">L1856*Assumptions!$I$80</f>
        <v>28000</v>
      </c>
      <c r="M1907" s="54" t="n">
        <f aca="false">M1856*Assumptions!$I$80</f>
        <v>28000</v>
      </c>
      <c r="N1907" s="54" t="n">
        <f aca="false">N1856*Assumptions!$I$80</f>
        <v>28000</v>
      </c>
      <c r="P1907" s="55" t="n">
        <f aca="false">SUM(C1907:F1907)</f>
        <v>56000</v>
      </c>
      <c r="Q1907" s="55" t="n">
        <f aca="false">SUM(G1907:J1907)</f>
        <v>108000</v>
      </c>
      <c r="R1907" s="55" t="n">
        <f aca="false">SUM(K1907:N1907)</f>
        <v>112000</v>
      </c>
      <c r="S1907" s="56" t="n">
        <f aca="false">SUM(P1907:R1907)</f>
        <v>276000</v>
      </c>
    </row>
    <row r="1908" customFormat="false" ht="15" hidden="false" customHeight="false" outlineLevel="0" collapsed="false">
      <c r="A1908" s="4" t="s">
        <v>561</v>
      </c>
      <c r="B1908" s="36" t="s">
        <v>125</v>
      </c>
      <c r="C1908" s="54" t="n">
        <f aca="false">(C1879*$C$1828+C1880*$C$1829)*Assumptions!$I$81</f>
        <v>0</v>
      </c>
      <c r="D1908" s="54" t="n">
        <f aca="false">(D1879*$C$1828+D1880*$C$1829)*Assumptions!$I$81</f>
        <v>588.780916917609</v>
      </c>
      <c r="E1908" s="54" t="n">
        <f aca="false">(E1879*$C$1828+E1880*$C$1829)*Assumptions!$I$81</f>
        <v>2088.00139793993</v>
      </c>
      <c r="F1908" s="54" t="n">
        <f aca="false">(F1879*$C$1828+F1880*$C$1829)*Assumptions!$I$81</f>
        <v>2984.86082887457</v>
      </c>
      <c r="G1908" s="54" t="n">
        <f aca="false">(G1879*$C$1828+G1880*$C$1829)*Assumptions!$I$81</f>
        <v>3581.97218223205</v>
      </c>
      <c r="H1908" s="54" t="n">
        <f aca="false">(H1879*$C$1828+H1880*$C$1829)*Assumptions!$I$81</f>
        <v>4763.62457744563</v>
      </c>
      <c r="I1908" s="54" t="n">
        <f aca="false">(I1879*$C$1828+I1880*$C$1829)*Assumptions!$I$81</f>
        <v>6034.63894757344</v>
      </c>
      <c r="J1908" s="54" t="n">
        <f aca="false">(J1879*$C$1828+J1880*$C$1829)*Assumptions!$I$81</f>
        <v>7396.93079024095</v>
      </c>
      <c r="K1908" s="54" t="n">
        <f aca="false">(K1879*$C$1828+K1880*$C$1829)*Assumptions!$I$81</f>
        <v>8047.58075806013</v>
      </c>
      <c r="L1908" s="54" t="n">
        <f aca="false">(L1879*$C$1828+L1880*$C$1829)*Assumptions!$I$81</f>
        <v>7887.79115740092</v>
      </c>
      <c r="M1908" s="54" t="n">
        <f aca="false">(M1879*$C$1828+M1880*$C$1829)*Assumptions!$I$81</f>
        <v>7734.36364530089</v>
      </c>
      <c r="N1908" s="54" t="n">
        <f aca="false">(N1879*$C$1828+N1880*$C$1829)*Assumptions!$I$81</f>
        <v>7587.04491259181</v>
      </c>
      <c r="P1908" s="55" t="n">
        <f aca="false">SUM(C1908:F1908)</f>
        <v>5661.64314373211</v>
      </c>
      <c r="Q1908" s="55" t="n">
        <f aca="false">SUM(G1908:J1908)</f>
        <v>21777.1664974921</v>
      </c>
      <c r="R1908" s="55" t="n">
        <f aca="false">SUM(K1908:N1908)</f>
        <v>31256.7804733538</v>
      </c>
      <c r="S1908" s="56" t="n">
        <f aca="false">SUM(P1908:R1908)</f>
        <v>58695.5901145779</v>
      </c>
    </row>
    <row r="1909" customFormat="false" ht="15" hidden="false" customHeight="false" outlineLevel="0" collapsed="false">
      <c r="A1909" s="9" t="s">
        <v>562</v>
      </c>
      <c r="B1909" s="36" t="s">
        <v>125</v>
      </c>
      <c r="C1909" s="55" t="n">
        <f aca="false">C1901+C1902+C1903+C1904+C1905+C1906+C1907+C1908</f>
        <v>158229.464285714</v>
      </c>
      <c r="D1909" s="55" t="n">
        <f aca="false">D1901+D1902+D1903+D1904+D1905+D1906+D1907+D1908</f>
        <v>133587.015476688</v>
      </c>
      <c r="E1909" s="55" t="n">
        <f aca="false">E1901+E1902+E1903+E1904+E1905+E1906+E1907+E1908</f>
        <v>155871.591954894</v>
      </c>
      <c r="F1909" s="55" t="n">
        <f aca="false">F1901+F1902+F1903+F1904+F1905+F1906+F1907+F1908</f>
        <v>210033.043378392</v>
      </c>
      <c r="G1909" s="55" t="n">
        <f aca="false">G1901+G1902+G1903+G1904+G1905+G1906+G1907+G1908</f>
        <v>216991.160591121</v>
      </c>
      <c r="H1909" s="55" t="n">
        <f aca="false">H1901+H1902+H1903+H1904+H1905+H1906+H1907+H1908</f>
        <v>276047.748913816</v>
      </c>
      <c r="I1909" s="55" t="n">
        <f aca="false">I1901+I1902+I1903+I1904+I1905+I1906+I1907+I1908</f>
        <v>251752.044137192</v>
      </c>
      <c r="J1909" s="55" t="n">
        <f aca="false">J1901+J1902+J1903+J1904+J1905+J1906+J1907+J1908</f>
        <v>266417.749915288</v>
      </c>
      <c r="K1909" s="55" t="n">
        <f aca="false">K1901+K1902+K1903+K1904+K1905+K1906+K1907+K1908</f>
        <v>272149.356527776</v>
      </c>
      <c r="L1909" s="55" t="n">
        <f aca="false">L1901+L1902+L1903+L1904+L1905+L1906+L1907+L1908</f>
        <v>270347.032950077</v>
      </c>
      <c r="M1909" s="55" t="n">
        <f aca="false">M1901+M1902+M1903+M1904+M1905+M1906+M1907+M1908</f>
        <v>268616.418854657</v>
      </c>
      <c r="N1909" s="55" t="n">
        <f aca="false">N1901+N1902+N1903+N1904+N1905+N1906+N1907+N1908</f>
        <v>266954.660258279</v>
      </c>
      <c r="P1909" s="55" t="n">
        <f aca="false">SUM(C1909:F1909)</f>
        <v>657721.115095689</v>
      </c>
      <c r="Q1909" s="55" t="n">
        <f aca="false">SUM(G1909:J1909)</f>
        <v>1011208.70355742</v>
      </c>
      <c r="R1909" s="55" t="n">
        <f aca="false">SUM(K1909:N1909)</f>
        <v>1078067.46859079</v>
      </c>
      <c r="S1909" s="56" t="n">
        <f aca="false">SUM(P1909:R1909)</f>
        <v>2746997.2872439</v>
      </c>
    </row>
    <row r="1910" customFormat="false" ht="15" hidden="false" customHeight="false" outlineLevel="0" collapsed="false">
      <c r="A1910" s="4" t="s">
        <v>563</v>
      </c>
      <c r="B1910" s="36" t="s">
        <v>125</v>
      </c>
      <c r="C1910" s="54" t="n">
        <f aca="false">C1898*Assumptions!$I$72/Assumptions!$I$69/4</f>
        <v>56535.7142857143</v>
      </c>
      <c r="D1910" s="54" t="n">
        <f aca="false">D1898*Assumptions!$I$72/Assumptions!$I$69/4</f>
        <v>56535.7142857143</v>
      </c>
      <c r="E1910" s="54" t="n">
        <f aca="false">E1898*Assumptions!$I$72/Assumptions!$I$69/4</f>
        <v>56535.7142857143</v>
      </c>
      <c r="F1910" s="54" t="n">
        <f aca="false">F1898*Assumptions!$I$72/Assumptions!$I$69/4</f>
        <v>56535.7142857143</v>
      </c>
      <c r="G1910" s="54" t="n">
        <f aca="false">G1898*Assumptions!$I$72/Assumptions!$I$69/4</f>
        <v>28267.8571428571</v>
      </c>
      <c r="H1910" s="54" t="n">
        <f aca="false">H1898*Assumptions!$I$72/Assumptions!$I$69/4</f>
        <v>28267.8571428571</v>
      </c>
      <c r="I1910" s="54" t="n">
        <f aca="false">I1898*Assumptions!$I$72/Assumptions!$I$69/4</f>
        <v>28267.8571428571</v>
      </c>
      <c r="J1910" s="54" t="n">
        <f aca="false">J1898*Assumptions!$I$72/Assumptions!$I$69/4</f>
        <v>28267.8571428571</v>
      </c>
      <c r="K1910" s="54" t="n">
        <f aca="false">K1898*Assumptions!$I$72/Assumptions!$I$69/4</f>
        <v>28267.8571428571</v>
      </c>
      <c r="L1910" s="54" t="n">
        <f aca="false">L1898*Assumptions!$I$72/Assumptions!$I$69/4</f>
        <v>28267.8571428571</v>
      </c>
      <c r="M1910" s="54" t="n">
        <f aca="false">M1898*Assumptions!$I$72/Assumptions!$I$69/4</f>
        <v>28267.8571428571</v>
      </c>
      <c r="N1910" s="54" t="n">
        <f aca="false">N1898*Assumptions!$I$72/Assumptions!$I$69/4</f>
        <v>28267.8571428571</v>
      </c>
      <c r="P1910" s="55" t="n">
        <f aca="false">SUM(C1910:F1910)</f>
        <v>226142.857142857</v>
      </c>
      <c r="Q1910" s="55" t="n">
        <f aca="false">SUM(G1910:J1910)</f>
        <v>113071.428571429</v>
      </c>
      <c r="R1910" s="55" t="n">
        <f aca="false">SUM(K1910:N1910)</f>
        <v>113071.428571429</v>
      </c>
      <c r="S1910" s="56" t="n">
        <f aca="false">SUM(P1910:R1910)</f>
        <v>452285.714285714</v>
      </c>
    </row>
    <row r="1911" customFormat="false" ht="15" hidden="false" customHeight="false" outlineLevel="0" collapsed="false">
      <c r="A1911" s="4" t="s">
        <v>564</v>
      </c>
      <c r="B1911" s="36" t="s">
        <v>125</v>
      </c>
      <c r="C1911" s="54" t="n">
        <f aca="false">IF(C1836&lt;=Assumptions!$I$83,Assumptions!$I$82*Assumptions!$D$108/Assumptions!$I$83,0)</f>
        <v>62500</v>
      </c>
      <c r="D1911" s="54" t="n">
        <f aca="false">IF(D1836&lt;=Assumptions!$I$83,Assumptions!$I$82*Assumptions!$D$108/Assumptions!$I$83,0)</f>
        <v>62500</v>
      </c>
      <c r="E1911" s="54" t="n">
        <f aca="false">IF(E1836&lt;=Assumptions!$I$83,Assumptions!$I$82*Assumptions!$D$108/Assumptions!$I$83,0)</f>
        <v>62500</v>
      </c>
      <c r="F1911" s="54" t="n">
        <f aca="false">IF(F1836&lt;=Assumptions!$I$83,Assumptions!$I$82*Assumptions!$D$108/Assumptions!$I$83,0)</f>
        <v>62500</v>
      </c>
      <c r="G1911" s="54" t="n">
        <f aca="false">IF(G1836&lt;=Assumptions!$I$83,Assumptions!$I$82*Assumptions!$D$108/Assumptions!$I$83,0)</f>
        <v>0</v>
      </c>
      <c r="H1911" s="54" t="n">
        <f aca="false">IF(H1836&lt;=Assumptions!$I$83,Assumptions!$I$82*Assumptions!$D$108/Assumptions!$I$83,0)</f>
        <v>0</v>
      </c>
      <c r="I1911" s="54" t="n">
        <f aca="false">IF(I1836&lt;=Assumptions!$I$83,Assumptions!$I$82*Assumptions!$D$108/Assumptions!$I$83,0)</f>
        <v>0</v>
      </c>
      <c r="J1911" s="54" t="n">
        <f aca="false">IF(J1836&lt;=Assumptions!$I$83,Assumptions!$I$82*Assumptions!$D$108/Assumptions!$I$83,0)</f>
        <v>0</v>
      </c>
      <c r="K1911" s="54" t="n">
        <f aca="false">IF(K1836&lt;=Assumptions!$I$83,Assumptions!$I$82*Assumptions!$D$108/Assumptions!$I$83,0)</f>
        <v>0</v>
      </c>
      <c r="L1911" s="54" t="n">
        <f aca="false">IF(L1836&lt;=Assumptions!$I$83,Assumptions!$I$82*Assumptions!$D$108/Assumptions!$I$83,0)</f>
        <v>0</v>
      </c>
      <c r="M1911" s="54" t="n">
        <f aca="false">IF(M1836&lt;=Assumptions!$I$83,Assumptions!$I$82*Assumptions!$D$108/Assumptions!$I$83,0)</f>
        <v>0</v>
      </c>
      <c r="N1911" s="54" t="n">
        <f aca="false">IF(N1836&lt;=Assumptions!$I$83,Assumptions!$I$82*Assumptions!$D$108/Assumptions!$I$83,0)</f>
        <v>0</v>
      </c>
      <c r="P1911" s="55" t="n">
        <f aca="false">SUM(C1911:F1911)</f>
        <v>250000</v>
      </c>
      <c r="Q1911" s="55" t="n">
        <f aca="false">SUM(G1911:J1911)</f>
        <v>0</v>
      </c>
      <c r="R1911" s="55" t="n">
        <f aca="false">SUM(K1911:N1911)</f>
        <v>0</v>
      </c>
      <c r="S1911" s="56" t="n">
        <f aca="false">SUM(P1911:R1911)</f>
        <v>250000</v>
      </c>
    </row>
    <row r="1912" customFormat="false" ht="15" hidden="false" customHeight="false" outlineLevel="0" collapsed="false">
      <c r="A1912" s="4" t="s">
        <v>565</v>
      </c>
      <c r="B1912" s="36" t="s">
        <v>125</v>
      </c>
      <c r="C1912" s="54" t="n">
        <f aca="false">C1900*Assumptions!$I$73/Assumptions!$I$69/4</f>
        <v>0</v>
      </c>
      <c r="D1912" s="54" t="n">
        <f aca="false">D1900*Assumptions!$I$73/Assumptions!$I$69/4</f>
        <v>3075.78280375234</v>
      </c>
      <c r="E1912" s="54" t="n">
        <f aca="false">E1900*Assumptions!$I$73/Assumptions!$I$69/4</f>
        <v>9056.89357353219</v>
      </c>
      <c r="F1912" s="54" t="n">
        <f aca="false">F1900*Assumptions!$I$73/Assumptions!$I$69/4</f>
        <v>15649.9483514284</v>
      </c>
      <c r="G1912" s="54" t="n">
        <f aca="false">G1900*Assumptions!$I$73/Assumptions!$I$69/4</f>
        <v>24680.9558624231</v>
      </c>
      <c r="H1912" s="54" t="n">
        <f aca="false">H1900*Assumptions!$I$73/Assumptions!$I$69/4</f>
        <v>36266.9311925167</v>
      </c>
      <c r="I1912" s="54" t="n">
        <f aca="false">I1900*Assumptions!$I$73/Assumptions!$I$69/4</f>
        <v>50781.2216850522</v>
      </c>
      <c r="J1912" s="54" t="n">
        <f aca="false">J1900*Assumptions!$I$73/Assumptions!$I$69/4</f>
        <v>67660.4184089917</v>
      </c>
      <c r="K1912" s="54" t="n">
        <f aca="false">K1900*Assumptions!$I$73/Assumptions!$I$69/4</f>
        <v>84230.4563985036</v>
      </c>
      <c r="L1912" s="54" t="n">
        <f aca="false">L1900*Assumptions!$I$73/Assumptions!$I$69/4</f>
        <v>100143.460675574</v>
      </c>
      <c r="M1912" s="54" t="n">
        <f aca="false">M1900*Assumptions!$I$73/Assumptions!$I$69/4</f>
        <v>115425.716092163</v>
      </c>
      <c r="N1912" s="54" t="n">
        <f aca="false">N1900*Assumptions!$I$73/Assumptions!$I$69/4</f>
        <v>130102.455428806</v>
      </c>
      <c r="P1912" s="55" t="n">
        <f aca="false">SUM(C1912:F1912)</f>
        <v>27782.6247287129</v>
      </c>
      <c r="Q1912" s="55" t="n">
        <f aca="false">SUM(G1912:J1912)</f>
        <v>179389.527148984</v>
      </c>
      <c r="R1912" s="55" t="n">
        <f aca="false">SUM(K1912:N1912)</f>
        <v>429902.088595046</v>
      </c>
      <c r="S1912" s="56" t="n">
        <f aca="false">SUM(P1912:R1912)</f>
        <v>637074.240472743</v>
      </c>
    </row>
    <row r="1913" customFormat="false" ht="15" hidden="false" customHeight="false" outlineLevel="0" collapsed="false">
      <c r="A1913" s="9" t="s">
        <v>566</v>
      </c>
      <c r="B1913" s="36" t="s">
        <v>125</v>
      </c>
      <c r="C1913" s="55" t="n">
        <f aca="false">C1909+C1910+C1911+C1912</f>
        <v>277265.178571429</v>
      </c>
      <c r="D1913" s="55" t="n">
        <f aca="false">D1909+D1910+D1911+D1912</f>
        <v>255698.512566155</v>
      </c>
      <c r="E1913" s="55" t="n">
        <f aca="false">E1909+E1910+E1911+E1912</f>
        <v>283964.199814141</v>
      </c>
      <c r="F1913" s="55" t="n">
        <f aca="false">F1909+F1910+F1911+F1912</f>
        <v>344718.706015535</v>
      </c>
      <c r="G1913" s="55" t="n">
        <f aca="false">G1909+G1910+G1911+G1912</f>
        <v>269939.973596401</v>
      </c>
      <c r="H1913" s="55" t="n">
        <f aca="false">H1909+H1910+H1911+H1912</f>
        <v>340582.53724919</v>
      </c>
      <c r="I1913" s="55" t="n">
        <f aca="false">I1909+I1910+I1911+I1912</f>
        <v>330801.122965102</v>
      </c>
      <c r="J1913" s="55" t="n">
        <f aca="false">J1909+J1910+J1911+J1912</f>
        <v>362346.025467137</v>
      </c>
      <c r="K1913" s="55" t="n">
        <f aca="false">K1909+K1910+K1911+K1912</f>
        <v>384647.670069137</v>
      </c>
      <c r="L1913" s="55" t="n">
        <f aca="false">L1909+L1910+L1911+L1912</f>
        <v>398758.350768508</v>
      </c>
      <c r="M1913" s="55" t="n">
        <f aca="false">M1909+M1910+M1911+M1912</f>
        <v>412309.992089676</v>
      </c>
      <c r="N1913" s="55" t="n">
        <f aca="false">N1909+N1910+N1911+N1912</f>
        <v>425324.972829943</v>
      </c>
      <c r="P1913" s="55" t="n">
        <f aca="false">SUM(C1913:F1913)</f>
        <v>1161646.59696726</v>
      </c>
      <c r="Q1913" s="55" t="n">
        <f aca="false">SUM(G1913:J1913)</f>
        <v>1303669.65927783</v>
      </c>
      <c r="R1913" s="55" t="n">
        <f aca="false">SUM(K1913:N1913)</f>
        <v>1621040.98575726</v>
      </c>
      <c r="S1913" s="56" t="n">
        <f aca="false">SUM(P1913:R1913)</f>
        <v>4086357.24200235</v>
      </c>
    </row>
    <row r="1914" customFormat="false" ht="15" hidden="false" customHeight="false" outlineLevel="0" collapsed="false">
      <c r="A1914" s="35" t="s">
        <v>567</v>
      </c>
      <c r="B1914" s="35" t="s">
        <v>444</v>
      </c>
      <c r="C1914" s="6" t="s">
        <v>354</v>
      </c>
      <c r="D1914" s="6" t="s">
        <v>355</v>
      </c>
      <c r="E1914" s="6" t="s">
        <v>356</v>
      </c>
      <c r="F1914" s="6" t="s">
        <v>357</v>
      </c>
      <c r="G1914" s="6" t="s">
        <v>358</v>
      </c>
      <c r="H1914" s="6" t="s">
        <v>359</v>
      </c>
      <c r="I1914" s="6" t="s">
        <v>360</v>
      </c>
      <c r="J1914" s="6" t="s">
        <v>361</v>
      </c>
      <c r="K1914" s="6" t="s">
        <v>362</v>
      </c>
      <c r="L1914" s="6" t="s">
        <v>363</v>
      </c>
      <c r="M1914" s="6" t="s">
        <v>364</v>
      </c>
      <c r="N1914" s="6" t="s">
        <v>365</v>
      </c>
      <c r="P1914" s="6" t="s">
        <v>445</v>
      </c>
      <c r="Q1914" s="6" t="s">
        <v>446</v>
      </c>
      <c r="R1914" s="6" t="s">
        <v>447</v>
      </c>
      <c r="S1914" s="6" t="s">
        <v>448</v>
      </c>
    </row>
    <row r="1915" customFormat="false" ht="15" hidden="false" customHeight="false" outlineLevel="0" collapsed="false">
      <c r="A1915" s="9" t="s">
        <v>568</v>
      </c>
      <c r="B1915" s="36" t="s">
        <v>125</v>
      </c>
      <c r="C1915" s="55" t="n">
        <f aca="false">C1893-C1913</f>
        <v>-277265.178571429</v>
      </c>
      <c r="D1915" s="55" t="n">
        <f aca="false">D1893-D1913</f>
        <v>-252044.82142276</v>
      </c>
      <c r="E1915" s="55" t="n">
        <f aca="false">E1893-E1913</f>
        <v>-268118.209510998</v>
      </c>
      <c r="F1915" s="55" t="n">
        <f aca="false">F1893-F1913</f>
        <v>-309623.127176322</v>
      </c>
      <c r="G1915" s="55" t="n">
        <f aca="false">G1893-G1913</f>
        <v>-209860.77868171</v>
      </c>
      <c r="H1915" s="55" t="n">
        <f aca="false">H1893-H1913</f>
        <v>-247340.979684129</v>
      </c>
      <c r="I1915" s="55" t="n">
        <f aca="false">I1893-I1913</f>
        <v>-194859.931548528</v>
      </c>
      <c r="J1915" s="55" t="n">
        <f aca="false">J1893-J1913</f>
        <v>-173981.686195982</v>
      </c>
      <c r="K1915" s="55" t="n">
        <f aca="false">K1893-K1913</f>
        <v>-137100.211934347</v>
      </c>
      <c r="L1915" s="55" t="n">
        <f aca="false">L1893-L1913</f>
        <v>-89431.0216116854</v>
      </c>
      <c r="M1915" s="55" t="n">
        <f aca="false">M1893-M1913</f>
        <v>-39859.2429115872</v>
      </c>
      <c r="N1915" s="55" t="n">
        <f aca="false">N1893-N1913</f>
        <v>11722.0870888635</v>
      </c>
      <c r="P1915" s="55" t="n">
        <f aca="false">SUM(C1915:F1915)</f>
        <v>-1107051.33668151</v>
      </c>
      <c r="Q1915" s="55" t="n">
        <f aca="false">SUM(G1915:J1915)</f>
        <v>-826043.37611035</v>
      </c>
      <c r="R1915" s="55" t="n">
        <f aca="false">SUM(K1915:N1915)</f>
        <v>-254668.389368756</v>
      </c>
      <c r="S1915" s="56" t="n">
        <f aca="false">SUM(P1915:R1915)</f>
        <v>-2187763.10216061</v>
      </c>
    </row>
    <row r="1916" customFormat="false" ht="15" hidden="false" customHeight="false" outlineLevel="0" collapsed="false">
      <c r="A1916" s="9" t="s">
        <v>569</v>
      </c>
      <c r="B1916" s="36" t="s">
        <v>125</v>
      </c>
      <c r="C1916" s="55" t="n">
        <f aca="false">0+C1915</f>
        <v>-277265.178571429</v>
      </c>
      <c r="D1916" s="55" t="n">
        <f aca="false">C1916+D1915</f>
        <v>-529309.999994189</v>
      </c>
      <c r="E1916" s="55" t="n">
        <f aca="false">D1916+E1915</f>
        <v>-797428.209505186</v>
      </c>
      <c r="F1916" s="55" t="n">
        <f aca="false">E1916+F1915</f>
        <v>-1107051.33668151</v>
      </c>
      <c r="G1916" s="55" t="n">
        <f aca="false">F1916+G1915</f>
        <v>-1316912.11536322</v>
      </c>
      <c r="H1916" s="55" t="n">
        <f aca="false">G1916+H1915</f>
        <v>-1564253.09504735</v>
      </c>
      <c r="I1916" s="55" t="n">
        <f aca="false">H1916+I1915</f>
        <v>-1759113.02659588</v>
      </c>
      <c r="J1916" s="55" t="n">
        <f aca="false">I1916+J1915</f>
        <v>-1933094.71279186</v>
      </c>
      <c r="K1916" s="55" t="n">
        <f aca="false">J1916+K1915</f>
        <v>-2070194.92472621</v>
      </c>
      <c r="L1916" s="55" t="n">
        <f aca="false">K1916+L1915</f>
        <v>-2159625.94633789</v>
      </c>
      <c r="M1916" s="55" t="n">
        <f aca="false">L1916+M1915</f>
        <v>-2199485.18924948</v>
      </c>
      <c r="N1916" s="55" t="n">
        <f aca="false">M1916+N1915</f>
        <v>-2187763.10216061</v>
      </c>
      <c r="P1916" s="55" t="n">
        <f aca="false">F1916</f>
        <v>-1107051.33668151</v>
      </c>
      <c r="Q1916" s="55" t="n">
        <f aca="false">J1916</f>
        <v>-1933094.71279186</v>
      </c>
      <c r="R1916" s="55" t="n">
        <f aca="false">N1916</f>
        <v>-2187763.10216061</v>
      </c>
      <c r="S1916" s="56" t="n">
        <f aca="false">R1916</f>
        <v>-2187763.10216061</v>
      </c>
    </row>
    <row r="1917" customFormat="false" ht="15" hidden="false" customHeight="false" outlineLevel="0" collapsed="false">
      <c r="A1917" s="4" t="s">
        <v>570</v>
      </c>
      <c r="B1917" s="36" t="s">
        <v>107</v>
      </c>
      <c r="C1917" s="57" t="n">
        <f aca="false">1/(1+Assumptions!$I$87)^(C1836/4)</f>
        <v>0.972065420906982</v>
      </c>
      <c r="D1917" s="57" t="n">
        <f aca="false">1/(1+Assumptions!$I$87)^(D1836/4)</f>
        <v>0.944911182523068</v>
      </c>
      <c r="E1917" s="57" t="n">
        <f aca="false">1/(1+Assumptions!$I$87)^(E1836/4)</f>
        <v>0.918515486359</v>
      </c>
      <c r="F1917" s="57" t="n">
        <f aca="false">1/(1+Assumptions!$I$87)^(F1836/4)</f>
        <v>0.892857142857143</v>
      </c>
      <c r="G1917" s="57" t="n">
        <f aca="false">1/(1+Assumptions!$I$87)^(G1836/4)</f>
        <v>0.867915554381234</v>
      </c>
      <c r="H1917" s="57" t="n">
        <f aca="false">1/(1+Assumptions!$I$87)^(H1836/4)</f>
        <v>0.843670698681311</v>
      </c>
      <c r="I1917" s="57" t="n">
        <f aca="false">1/(1+Assumptions!$I$87)^(I1836/4)</f>
        <v>0.820103112820536</v>
      </c>
      <c r="J1917" s="57" t="n">
        <f aca="false">1/(1+Assumptions!$I$87)^(J1836/4)</f>
        <v>0.79719387755102</v>
      </c>
      <c r="K1917" s="57" t="n">
        <f aca="false">1/(1+Assumptions!$I$87)^(K1836/4)</f>
        <v>0.774924602126102</v>
      </c>
      <c r="L1917" s="57" t="n">
        <f aca="false">1/(1+Assumptions!$I$87)^(L1836/4)</f>
        <v>0.753277409536885</v>
      </c>
      <c r="M1917" s="57" t="n">
        <f aca="false">1/(1+Assumptions!$I$87)^(M1836/4)</f>
        <v>0.732234922161193</v>
      </c>
      <c r="N1917" s="57" t="n">
        <f aca="false">1/(1+Assumptions!$I$87)^(N1836/4)</f>
        <v>0.711780247813411</v>
      </c>
      <c r="P1917" s="58"/>
      <c r="Q1917" s="58"/>
      <c r="R1917" s="58"/>
      <c r="S1917" s="59"/>
    </row>
    <row r="1918" customFormat="false" ht="15" hidden="false" customHeight="false" outlineLevel="0" collapsed="false">
      <c r="A1918" s="4" t="s">
        <v>571</v>
      </c>
      <c r="B1918" s="36" t="s">
        <v>125</v>
      </c>
      <c r="C1918" s="54" t="n">
        <f aca="false">(C1893*(1-Assumptions!$I$88)-C1913)*C1917</f>
        <v>-269519.892510885</v>
      </c>
      <c r="D1918" s="54" t="n">
        <f aca="false">(D1893*(1-Assumptions!$I$88)-D1913)*D1917</f>
        <v>-239195.69434506</v>
      </c>
      <c r="E1918" s="54" t="n">
        <f aca="false">(E1893*(1-Assumptions!$I$88)-E1913)*E1917</f>
        <v>-250637.163857738</v>
      </c>
      <c r="F1918" s="54" t="n">
        <f aca="false">(F1893*(1-Assumptions!$I$88)-F1913)*F1917</f>
        <v>-285849.822167934</v>
      </c>
      <c r="G1918" s="54" t="n">
        <f aca="false">(G1893*(1-Assumptions!$I$88)-G1913)*G1917</f>
        <v>-197784.534400763</v>
      </c>
      <c r="H1918" s="54" t="n">
        <f aca="false">(H1893*(1-Assumptions!$I$88)-H1913)*H1917</f>
        <v>-232273.888147744</v>
      </c>
      <c r="I1918" s="54" t="n">
        <f aca="false">(I1893*(1-Assumptions!$I$88)-I1913)*I1917</f>
        <v>-193250.974699324</v>
      </c>
      <c r="J1918" s="54" t="n">
        <f aca="false">(J1893*(1-Assumptions!$I$88)-J1913)*J1917</f>
        <v>-183746.004446212</v>
      </c>
      <c r="K1918" s="54" t="n">
        <f aca="false">(K1893*(1-Assumptions!$I$88)-K1913)*K1917</f>
        <v>-163791.511835357</v>
      </c>
      <c r="L1918" s="54" t="n">
        <f aca="false">(L1893*(1-Assumptions!$I$88)-L1913)*L1917</f>
        <v>-137269.155053752</v>
      </c>
      <c r="M1918" s="54" t="n">
        <f aca="false">(M1893*(1-Assumptions!$I$88)-M1913)*M1917</f>
        <v>-111002.763230759</v>
      </c>
      <c r="N1918" s="54" t="n">
        <f aca="false">(N1893*(1-Assumptions!$I$88)-N1913)*N1917</f>
        <v>-84980.8893315375</v>
      </c>
      <c r="P1918" s="55" t="n">
        <f aca="false">SUM(C1918:F1918)</f>
        <v>-1045202.57288162</v>
      </c>
      <c r="Q1918" s="55" t="n">
        <f aca="false">SUM(G1918:J1918)</f>
        <v>-807055.401694042</v>
      </c>
      <c r="R1918" s="55" t="n">
        <f aca="false">SUM(K1918:N1918)</f>
        <v>-497044.319451405</v>
      </c>
      <c r="S1918" s="56" t="n">
        <f aca="false">SUM(P1918:R1918)</f>
        <v>-2349302.29402706</v>
      </c>
    </row>
    <row r="1919" customFormat="false" ht="15" hidden="false" customHeight="false" outlineLevel="0" collapsed="false">
      <c r="A1919" s="4" t="s">
        <v>572</v>
      </c>
      <c r="B1919" s="36" t="s">
        <v>125</v>
      </c>
      <c r="C1919" s="54" t="n">
        <f aca="false">(C1913-C1912)*12/(Assumptions!$I$89*Assumptions!$I$76)*Assumptions!$I$90</f>
        <v>173290.736607143</v>
      </c>
      <c r="D1919" s="54" t="n">
        <f aca="false">(D1913-D1912)*12/(Assumptions!$I$89*Assumptions!$I$76)*Assumptions!$I$90</f>
        <v>157889.206101502</v>
      </c>
      <c r="E1919" s="54" t="n">
        <f aca="false">(E1913-E1912)*12/(Assumptions!$I$89*Assumptions!$I$76)*Assumptions!$I$90</f>
        <v>171817.06640038</v>
      </c>
      <c r="F1919" s="54" t="n">
        <f aca="false">(F1913-F1912)*12/(Assumptions!$I$89*Assumptions!$I$76)*Assumptions!$I$90</f>
        <v>205667.973540067</v>
      </c>
      <c r="G1919" s="54" t="n">
        <f aca="false">(G1913-G1912)*12/(Assumptions!$I$89*Assumptions!$I$76)*Assumptions!$I$90</f>
        <v>153286.886083736</v>
      </c>
      <c r="H1919" s="54" t="n">
        <f aca="false">(H1913-H1912)*12/(Assumptions!$I$89*Assumptions!$I$76)*Assumptions!$I$90</f>
        <v>190197.253785421</v>
      </c>
      <c r="I1919" s="54" t="n">
        <f aca="false">(I1913-I1912)*12/(Assumptions!$I$89*Assumptions!$I$76)*Assumptions!$I$90</f>
        <v>175012.438300031</v>
      </c>
      <c r="J1919" s="54" t="n">
        <f aca="false">(J1913-J1912)*12/(Assumptions!$I$89*Assumptions!$I$76)*Assumptions!$I$90</f>
        <v>184178.504411341</v>
      </c>
      <c r="K1919" s="54" t="n">
        <f aca="false">(K1913-K1912)*12/(Assumptions!$I$89*Assumptions!$I$76)*Assumptions!$I$90</f>
        <v>187760.758544146</v>
      </c>
      <c r="L1919" s="54" t="n">
        <f aca="false">(L1913-L1912)*12/(Assumptions!$I$89*Assumptions!$I$76)*Assumptions!$I$90</f>
        <v>186634.306308084</v>
      </c>
      <c r="M1919" s="54" t="n">
        <f aca="false">(M1913-M1912)*12/(Assumptions!$I$89*Assumptions!$I$76)*Assumptions!$I$90</f>
        <v>185552.672498446</v>
      </c>
      <c r="N1919" s="54" t="n">
        <f aca="false">(N1913-N1912)*12/(Assumptions!$I$89*Assumptions!$I$76)*Assumptions!$I$90</f>
        <v>184514.07337571</v>
      </c>
      <c r="P1919" s="55" t="n">
        <f aca="false">SUM(C1919:F1919)</f>
        <v>708664.982649092</v>
      </c>
      <c r="Q1919" s="55" t="n">
        <f aca="false">SUM(G1919:J1919)</f>
        <v>702675.082580529</v>
      </c>
      <c r="R1919" s="55" t="n">
        <f aca="false">SUM(K1919:N1919)</f>
        <v>744461.810726386</v>
      </c>
      <c r="S1919" s="56" t="n">
        <f aca="false">SUM(P1919:R1919)</f>
        <v>2155801.87595601</v>
      </c>
    </row>
    <row r="1920" customFormat="false" ht="15" hidden="false" customHeight="false" outlineLevel="0" collapsed="false">
      <c r="A1920" s="4" t="s">
        <v>573</v>
      </c>
      <c r="B1920" s="36" t="s">
        <v>125</v>
      </c>
      <c r="C1920" s="54" t="n">
        <f aca="false">0*Assumptions!$I$92^(1/4)+C1919</f>
        <v>173290.736607143</v>
      </c>
      <c r="D1920" s="54" t="n">
        <f aca="false">C1920*Assumptions!$I$92^(1/4)+D1919</f>
        <v>331611.554361675</v>
      </c>
      <c r="E1920" s="54" t="n">
        <f aca="false">D1920*Assumptions!$I$92^(1/4)+E1919</f>
        <v>504254.558800894</v>
      </c>
      <c r="F1920" s="54" t="n">
        <f aca="false">E1920*Assumptions!$I$92^(1/4)+F1919</f>
        <v>711178.468739718</v>
      </c>
      <c r="G1920" s="54" t="n">
        <f aca="false">F1920*Assumptions!$I$92^(1/4)+G1919</f>
        <v>866236.672324335</v>
      </c>
      <c r="H1920" s="54" t="n">
        <f aca="false">G1920*Assumptions!$I$92^(1/4)+H1919</f>
        <v>1058591.44387082</v>
      </c>
      <c r="I1920" s="54" t="n">
        <f aca="false">H1920*Assumptions!$I$92^(1/4)+I1919</f>
        <v>1236240.49398242</v>
      </c>
      <c r="J1920" s="54" t="n">
        <f aca="false">I1920*Assumptions!$I$92^(1/4)+J1919</f>
        <v>1423498.07701965</v>
      </c>
      <c r="K1920" s="54" t="n">
        <f aca="false">J1920*Assumptions!$I$92^(1/4)+K1919</f>
        <v>1614804.3127782</v>
      </c>
      <c r="L1920" s="54" t="n">
        <f aca="false">K1920*Assumptions!$I$92^(1/4)+L1919</f>
        <v>1805460.5787848</v>
      </c>
      <c r="M1920" s="54" t="n">
        <f aca="false">L1920*Assumptions!$I$92^(1/4)+M1919</f>
        <v>1995510.07459965</v>
      </c>
      <c r="N1920" s="54" t="n">
        <f aca="false">M1920*Assumptions!$I$92^(1/4)+N1919</f>
        <v>2184994.32363968</v>
      </c>
      <c r="P1920" s="55" t="n">
        <f aca="false">F1920</f>
        <v>711178.468739718</v>
      </c>
      <c r="Q1920" s="55" t="n">
        <f aca="false">J1920</f>
        <v>1423498.07701965</v>
      </c>
      <c r="R1920" s="55" t="n">
        <f aca="false">N1920</f>
        <v>2184994.32363968</v>
      </c>
      <c r="S1920" s="56" t="n">
        <f aca="false">R1920</f>
        <v>2184994.32363968</v>
      </c>
    </row>
    <row r="1921" customFormat="false" ht="15" hidden="false" customHeight="false" outlineLevel="0" collapsed="false">
      <c r="A1921" s="4" t="s">
        <v>574</v>
      </c>
      <c r="B1921" s="36" t="s">
        <v>125</v>
      </c>
      <c r="C1921" s="54" t="n">
        <f aca="false">(0+C1920)/8*Assumptions!$I$76-(C1913-C1912)-C1920*Assumptions!$I$93/4</f>
        <v>-263835.146484375</v>
      </c>
      <c r="D1921" s="54" t="n">
        <f aca="false">(C1920+D1920)/8*Assumptions!$I$76-(D1913-D1912)-D1920*Assumptions!$I$93/4</f>
        <v>-211326.66800473</v>
      </c>
      <c r="E1921" s="54" t="n">
        <f aca="false">(D1920+E1920)/8*Assumptions!$I$76-(E1913-E1912)-E1920*Assumptions!$I$93/4</f>
        <v>-205982.538040989</v>
      </c>
      <c r="F1921" s="54" t="n">
        <f aca="false">(E1920+F1920)/8*Assumptions!$I$76-(F1913-F1912)-F1920*Assumptions!$I$93/4</f>
        <v>-228569.516044698</v>
      </c>
      <c r="G1921" s="54" t="n">
        <f aca="false">(F1920+G1920)/8*Assumptions!$I$76-(G1913-G1912)-G1920*Assumptions!$I$93/4</f>
        <v>-114119.613442267</v>
      </c>
      <c r="H1921" s="54" t="n">
        <f aca="false">(G1920+H1920)/8*Assumptions!$I$76-(H1913-H1912)-H1920*Assumptions!$I$93/4</f>
        <v>-144313.468647495</v>
      </c>
      <c r="I1921" s="54" t="n">
        <f aca="false">(H1920+I1920)/8*Assumptions!$I$76-(I1913-I1912)-I1920*Assumptions!$I$93/4</f>
        <v>-88938.0330480384</v>
      </c>
      <c r="J1921" s="54" t="n">
        <f aca="false">(I1920+J1920)/8*Assumptions!$I$76-(J1913-J1912)-J1920*Assumptions!$I$93/4</f>
        <v>-73102.8616307051</v>
      </c>
      <c r="K1921" s="54" t="n">
        <f aca="false">(J1920+K1920)/8*Assumptions!$I$76-(K1913-K1912)-K1920*Assumptions!$I$93/4</f>
        <v>-47155.0524985546</v>
      </c>
      <c r="L1921" s="54" t="n">
        <f aca="false">(K1920+L1920)/8*Assumptions!$I$76-(L1913-L1912)-L1920*Assumptions!$I$93/4</f>
        <v>-13359.3070870738</v>
      </c>
      <c r="M1921" s="54" t="n">
        <f aca="false">(L1920+M1920)/8*Assumptions!$I$76-(M1913-M1912)-M1920*Assumptions!$I$93/4</f>
        <v>20259.2068745906</v>
      </c>
      <c r="N1921" s="54" t="n">
        <f aca="false">(M1920+N1920)/8*Assumptions!$I$76-(N1913-N1912)-N1920*Assumptions!$I$93/4</f>
        <v>53710.449394907</v>
      </c>
      <c r="P1921" s="55" t="n">
        <f aca="false">SUM(C1921:F1921)</f>
        <v>-909713.868574791</v>
      </c>
      <c r="Q1921" s="55" t="n">
        <f aca="false">SUM(G1921:J1921)</f>
        <v>-420473.976768506</v>
      </c>
      <c r="R1921" s="55" t="n">
        <f aca="false">SUM(K1921:N1921)</f>
        <v>13455.2966838692</v>
      </c>
      <c r="S1921" s="56" t="n">
        <f aca="false">SUM(P1921:R1921)</f>
        <v>-1316732.54865943</v>
      </c>
    </row>
    <row r="1922" customFormat="false" ht="15" hidden="false" customHeight="false" outlineLevel="0" collapsed="false">
      <c r="A1922" s="4" t="s">
        <v>575</v>
      </c>
      <c r="B1922" s="36" t="s">
        <v>125</v>
      </c>
      <c r="C1922" s="54" t="n">
        <f aca="false">C1921*C1917</f>
        <v>-256465.022717389</v>
      </c>
      <c r="D1922" s="54" t="n">
        <f aca="false">D1921*D1917</f>
        <v>-199684.931763009</v>
      </c>
      <c r="E1922" s="54" t="n">
        <f aca="false">E1921*E1917</f>
        <v>-189198.15111018</v>
      </c>
      <c r="F1922" s="54" t="n">
        <f aca="false">F1921*F1917</f>
        <v>-204079.925039909</v>
      </c>
      <c r="G1922" s="54" t="n">
        <f aca="false">G1921*G1917</f>
        <v>-99046.1875665177</v>
      </c>
      <c r="H1922" s="54" t="n">
        <f aca="false">H1921*H1917</f>
        <v>-121753.044922955</v>
      </c>
      <c r="I1922" s="54" t="n">
        <f aca="false">I1921*I1917</f>
        <v>-72938.3577508319</v>
      </c>
      <c r="J1922" s="54" t="n">
        <f aca="false">J1921*J1917</f>
        <v>-58277.1537234575</v>
      </c>
      <c r="K1922" s="54" t="n">
        <f aca="false">K1921*K1917</f>
        <v>-36541.6102956778</v>
      </c>
      <c r="L1922" s="54" t="n">
        <f aca="false">L1921*L1917</f>
        <v>-10063.2642357587</v>
      </c>
      <c r="M1922" s="54" t="n">
        <f aca="false">M1921*M1917</f>
        <v>14834.4987688633</v>
      </c>
      <c r="N1922" s="54" t="n">
        <f aca="false">N1921*N1917</f>
        <v>38230.0369804765</v>
      </c>
      <c r="P1922" s="55" t="n">
        <f aca="false">SUM(C1922:F1922)</f>
        <v>-849428.030630487</v>
      </c>
      <c r="Q1922" s="55" t="n">
        <f aca="false">SUM(G1922:J1922)</f>
        <v>-352014.743963762</v>
      </c>
      <c r="R1922" s="55" t="n">
        <f aca="false">SUM(K1922:N1922)</f>
        <v>6459.6612179034</v>
      </c>
      <c r="S1922" s="56" t="n">
        <f aca="false">SUM(P1922:R1922)</f>
        <v>-1194983.11337635</v>
      </c>
    </row>
    <row r="1923" customFormat="false" ht="15" hidden="false" customHeight="false" outlineLevel="0" collapsed="false">
      <c r="A1923" s="4" t="s">
        <v>576</v>
      </c>
      <c r="B1923" s="36"/>
      <c r="C1923" s="37" t="n">
        <f aca="false">IFERROR((S1878*$C$1827*Assumptions!$I$59+S1879*$C$1828*Assumptions!$I$60+S1880*$C$1829*Assumptions!$I$61)/(S1878*$C$1827+S1879*$C$1828+S1880*$C$1829),0.9)</f>
        <v>0.926313927924286</v>
      </c>
    </row>
    <row r="1924" customFormat="false" ht="15" hidden="false" customHeight="false" outlineLevel="0" collapsed="false">
      <c r="A1924" s="4" t="s">
        <v>577</v>
      </c>
      <c r="B1924" s="36"/>
      <c r="C1924" s="37" t="n">
        <f aca="false">IFERROR(N1912*4/N1890,0)</f>
        <v>0.199420473670746</v>
      </c>
    </row>
    <row r="1925" customFormat="false" ht="15" hidden="false" customHeight="false" outlineLevel="0" collapsed="false">
      <c r="A1925" s="4" t="s">
        <v>578</v>
      </c>
      <c r="B1925" s="36"/>
      <c r="C1925" s="60" t="n">
        <f aca="false">$C$1923/(1+Assumptions!$I$87)</f>
        <v>0.827066007075256</v>
      </c>
    </row>
    <row r="1926" customFormat="false" ht="15" hidden="false" customHeight="false" outlineLevel="0" collapsed="false">
      <c r="A1926" s="4" t="s">
        <v>579</v>
      </c>
      <c r="B1926" s="36"/>
      <c r="C1926" s="60" t="n">
        <f aca="false">Assumptions!$I$91/(1+Assumptions!$I$87)</f>
        <v>0.803571428571429</v>
      </c>
    </row>
    <row r="1927" customFormat="false" ht="15" hidden="false" customHeight="false" outlineLevel="0" collapsed="false">
      <c r="A1927" s="35" t="s">
        <v>580</v>
      </c>
      <c r="B1927" s="35" t="s">
        <v>444</v>
      </c>
      <c r="C1927" s="6" t="s">
        <v>354</v>
      </c>
      <c r="D1927" s="6" t="s">
        <v>355</v>
      </c>
      <c r="E1927" s="6" t="s">
        <v>356</v>
      </c>
      <c r="F1927" s="6" t="s">
        <v>357</v>
      </c>
      <c r="G1927" s="6" t="s">
        <v>358</v>
      </c>
      <c r="H1927" s="6" t="s">
        <v>359</v>
      </c>
      <c r="I1927" s="6" t="s">
        <v>360</v>
      </c>
      <c r="J1927" s="6" t="s">
        <v>361</v>
      </c>
      <c r="K1927" s="6" t="s">
        <v>362</v>
      </c>
      <c r="L1927" s="6" t="s">
        <v>363</v>
      </c>
      <c r="M1927" s="6" t="s">
        <v>364</v>
      </c>
      <c r="N1927" s="6" t="s">
        <v>365</v>
      </c>
      <c r="P1927" s="6" t="s">
        <v>445</v>
      </c>
      <c r="Q1927" s="6" t="s">
        <v>446</v>
      </c>
      <c r="R1927" s="6" t="s">
        <v>447</v>
      </c>
      <c r="S1927" s="6" t="s">
        <v>448</v>
      </c>
    </row>
    <row r="1928" customFormat="false" ht="15" hidden="false" customHeight="false" outlineLevel="0" collapsed="false">
      <c r="A1928" s="9" t="s">
        <v>581</v>
      </c>
      <c r="C1928" s="61" t="n">
        <f aca="false">N1890</f>
        <v>2609610.79941294</v>
      </c>
      <c r="D1928" s="61"/>
    </row>
    <row r="1929" customFormat="false" ht="15" hidden="false" customHeight="false" outlineLevel="0" collapsed="false">
      <c r="A1929" s="9" t="s">
        <v>582</v>
      </c>
      <c r="C1929" s="62" t="n">
        <f aca="false">N1886</f>
        <v>289.210883334527</v>
      </c>
      <c r="D1929" s="62"/>
    </row>
    <row r="1930" customFormat="false" ht="15" hidden="false" customHeight="false" outlineLevel="0" collapsed="false">
      <c r="A1930" s="9" t="s">
        <v>583</v>
      </c>
      <c r="C1930" s="63" t="n">
        <f aca="false">S1881</f>
        <v>313.721927812985</v>
      </c>
      <c r="D1930" s="63"/>
    </row>
    <row r="1931" customFormat="false" ht="15" hidden="false" customHeight="false" outlineLevel="0" collapsed="false">
      <c r="A1931" s="9" t="s">
        <v>584</v>
      </c>
      <c r="C1931" s="61" t="n">
        <f aca="false">S1892</f>
        <v>2636936.30533575</v>
      </c>
      <c r="D1931" s="61"/>
    </row>
    <row r="1932" customFormat="false" ht="15" hidden="false" customHeight="false" outlineLevel="0" collapsed="false">
      <c r="A1932" s="9" t="s">
        <v>22</v>
      </c>
      <c r="C1932" s="61" t="n">
        <f aca="false">IFERROR(S1891/S1881,0)</f>
        <v>7290.93389777593</v>
      </c>
      <c r="D1932" s="61"/>
    </row>
    <row r="1933" customFormat="false" ht="15" hidden="false" customHeight="false" outlineLevel="0" collapsed="false">
      <c r="A1933" s="9" t="s">
        <v>585</v>
      </c>
      <c r="C1933" s="61" t="n">
        <f aca="false">IFERROR(S1909/S1881,0)</f>
        <v>8756.15328005196</v>
      </c>
      <c r="D1933" s="61"/>
    </row>
    <row r="1934" customFormat="false" ht="23.85" hidden="false" customHeight="false" outlineLevel="0" collapsed="false">
      <c r="A1934" s="9" t="s">
        <v>586</v>
      </c>
      <c r="C1934" s="61" t="n">
        <f aca="false">IFERROR((S1903+S1905+S1906+S1907+S1908)/S1881,0)</f>
        <v>4644.97155254546</v>
      </c>
      <c r="D1934" s="61"/>
    </row>
    <row r="1935" customFormat="false" ht="15" hidden="false" customHeight="false" outlineLevel="0" collapsed="false">
      <c r="A1935" s="9" t="s">
        <v>587</v>
      </c>
      <c r="C1935" s="64" t="n">
        <f aca="false">IFERROR('Engine Runs'!$C$1933/('Engine Runs'!$C$1932*Assumptions!$I$76/12),0)</f>
        <v>20.0160761360603</v>
      </c>
      <c r="D1935" s="64"/>
    </row>
    <row r="1936" customFormat="false" ht="15" hidden="false" customHeight="false" outlineLevel="0" collapsed="false">
      <c r="A1936" s="9" t="s">
        <v>588</v>
      </c>
      <c r="C1936" s="64" t="n">
        <f aca="false">IFERROR((R1909/R1881)/((R1891/R1881)*Assumptions!$I$76/12),0)</f>
        <v>15.5093460738032</v>
      </c>
      <c r="D1936" s="64"/>
    </row>
    <row r="1937" customFormat="false" ht="15" hidden="false" customHeight="false" outlineLevel="0" collapsed="false">
      <c r="A1937" s="9" t="s">
        <v>589</v>
      </c>
      <c r="C1937" s="61" t="n">
        <f aca="false">S1913</f>
        <v>4086357.24200235</v>
      </c>
      <c r="D1937" s="61"/>
    </row>
    <row r="1938" customFormat="false" ht="15" hidden="false" customHeight="false" outlineLevel="0" collapsed="false">
      <c r="A1938" s="9" t="s">
        <v>590</v>
      </c>
      <c r="C1938" s="61" t="n">
        <f aca="false">N1916</f>
        <v>-2187763.10216061</v>
      </c>
      <c r="D1938" s="61"/>
    </row>
    <row r="1939" customFormat="false" ht="15" hidden="false" customHeight="false" outlineLevel="0" collapsed="false">
      <c r="A1939" s="9" t="s">
        <v>591</v>
      </c>
      <c r="C1939" s="61" t="n">
        <f aca="false">MIN($C$1916:$N$1916)</f>
        <v>-2199485.18924948</v>
      </c>
      <c r="D1939" s="61"/>
    </row>
    <row r="1940" customFormat="false" ht="15" hidden="false" customHeight="false" outlineLevel="0" collapsed="false">
      <c r="A1940" s="9" t="s">
        <v>592</v>
      </c>
      <c r="C1940" s="61" t="n">
        <f aca="false">N1890*(Assumptions!$I$76-$C$1924)*$C$1923*(1-$C$1923^Assumptions!$I$85)/(1-$C$1923)</f>
        <v>5430609.64174389</v>
      </c>
      <c r="D1940" s="61"/>
    </row>
    <row r="1941" customFormat="false" ht="15" hidden="false" customHeight="false" outlineLevel="0" collapsed="false">
      <c r="A1941" s="9" t="s">
        <v>593</v>
      </c>
      <c r="C1941" s="61" t="n">
        <f aca="false">N1890*(Assumptions!$I$76-$C$1924)*(1-Assumptions!$I$88)/(1+Assumptions!$I$87)^2.5*$C$1925*(1-$C$1925^Assumptions!$I$85)/(1-$C$1925)</f>
        <v>2100112.04702489</v>
      </c>
      <c r="D1941" s="61"/>
    </row>
    <row r="1942" customFormat="false" ht="15" hidden="false" customHeight="false" outlineLevel="0" collapsed="false">
      <c r="A1942" s="9" t="s">
        <v>594</v>
      </c>
      <c r="C1942" s="61" t="n">
        <f aca="false">SUM($C$1918:$N$1918)+'Engine Runs'!$C$1941</f>
        <v>-249190.24700217</v>
      </c>
      <c r="D1942" s="61"/>
    </row>
    <row r="1943" customFormat="false" ht="15" hidden="false" customHeight="false" outlineLevel="0" collapsed="false">
      <c r="A1943" s="9" t="s">
        <v>595</v>
      </c>
      <c r="C1943" s="61" t="n">
        <f aca="false">SUM($C$1922:$N$1922)+N1920*(Assumptions!$I$76-Assumptions!$I$93)/(1+Assumptions!$I$87)^2.5*$C$1926*(1-$C$1926^Assumptions!$I$85)/(1-$C$1926)</f>
        <v>1804748.65525916</v>
      </c>
      <c r="D1943" s="61"/>
    </row>
    <row r="1944" customFormat="false" ht="15" hidden="false" customHeight="false" outlineLevel="0" collapsed="false">
      <c r="A1944" s="9" t="s">
        <v>596</v>
      </c>
      <c r="C1944" s="61" t="n">
        <f aca="false">'Engine Runs'!$C$1942-'Engine Runs'!$C$1943</f>
        <v>-2053938.90226133</v>
      </c>
      <c r="D1944" s="61"/>
    </row>
    <row r="1945" customFormat="false" ht="15" hidden="false" customHeight="false" outlineLevel="0" collapsed="false">
      <c r="A1945" s="9" t="s">
        <v>597</v>
      </c>
      <c r="C1945" s="61" t="n">
        <f aca="false">S1877</f>
        <v>0</v>
      </c>
      <c r="D1945" s="61"/>
    </row>
    <row r="1946" customFormat="false" ht="15" hidden="false" customHeight="false" outlineLevel="0" collapsed="false">
      <c r="A1946" s="9" t="s">
        <v>598</v>
      </c>
      <c r="C1946" s="63" t="n">
        <f aca="false">P1861</f>
        <v>240.541546469803</v>
      </c>
      <c r="D1946" s="63"/>
    </row>
    <row r="1947" customFormat="false" ht="15" hidden="false" customHeight="false" outlineLevel="0" collapsed="false">
      <c r="A1947" s="9" t="s">
        <v>599</v>
      </c>
      <c r="C1947" s="63" t="n">
        <f aca="false">P1881</f>
        <v>37.2559400871903</v>
      </c>
      <c r="D1947" s="63"/>
    </row>
    <row r="1948" customFormat="false" ht="15" hidden="false" customHeight="false" outlineLevel="0" collapsed="false">
      <c r="A1948" s="9" t="s">
        <v>600</v>
      </c>
      <c r="C1948" s="63" t="n">
        <f aca="false">P1857</f>
        <v>112</v>
      </c>
      <c r="D1948" s="63"/>
    </row>
    <row r="1949" customFormat="false" ht="15" hidden="false" customHeight="false" outlineLevel="0" collapsed="false">
      <c r="A1949" s="9" t="s">
        <v>601</v>
      </c>
      <c r="C1949" s="61" t="n">
        <f aca="false">IFERROR(P1891/P1881,0)</f>
        <v>6706.76854354706</v>
      </c>
      <c r="D1949" s="61"/>
    </row>
    <row r="1952" customFormat="false" ht="15" hidden="false" customHeight="true" outlineLevel="0" collapsed="false">
      <c r="A1952" s="78" t="s">
        <v>791</v>
      </c>
      <c r="B1952" s="78"/>
      <c r="C1952" s="78"/>
      <c r="D1952" s="78"/>
      <c r="E1952" s="78"/>
      <c r="F1952" s="78"/>
      <c r="G1952" s="78"/>
      <c r="H1952" s="78"/>
      <c r="I1952" s="78"/>
      <c r="J1952" s="78"/>
      <c r="K1952" s="78"/>
      <c r="L1952" s="78"/>
      <c r="M1952" s="78"/>
      <c r="N1952" s="78"/>
    </row>
    <row r="1953" customFormat="false" ht="15" hidden="false" customHeight="true" outlineLevel="0" collapsed="false">
      <c r="A1953" s="79" t="s">
        <v>768</v>
      </c>
      <c r="B1953" s="79"/>
      <c r="C1953" s="79"/>
      <c r="D1953" s="79"/>
      <c r="E1953" s="79"/>
      <c r="F1953" s="79"/>
      <c r="G1953" s="79"/>
      <c r="H1953" s="79"/>
      <c r="I1953" s="79"/>
      <c r="J1953" s="79"/>
      <c r="K1953" s="79"/>
      <c r="L1953" s="79"/>
      <c r="M1953" s="79"/>
      <c r="N1953" s="79"/>
    </row>
    <row r="1954" customFormat="false" ht="23.85" hidden="false" customHeight="false" outlineLevel="0" collapsed="false">
      <c r="A1954" s="35" t="s">
        <v>792</v>
      </c>
      <c r="B1954" s="35" t="s">
        <v>444</v>
      </c>
      <c r="C1954" s="6" t="s">
        <v>354</v>
      </c>
      <c r="D1954" s="6" t="s">
        <v>355</v>
      </c>
      <c r="E1954" s="6" t="s">
        <v>356</v>
      </c>
      <c r="F1954" s="6" t="s">
        <v>357</v>
      </c>
      <c r="G1954" s="6" t="s">
        <v>358</v>
      </c>
      <c r="H1954" s="6" t="s">
        <v>359</v>
      </c>
      <c r="I1954" s="6" t="s">
        <v>360</v>
      </c>
      <c r="J1954" s="6" t="s">
        <v>361</v>
      </c>
      <c r="K1954" s="6" t="s">
        <v>362</v>
      </c>
      <c r="L1954" s="6" t="s">
        <v>363</v>
      </c>
      <c r="M1954" s="6" t="s">
        <v>364</v>
      </c>
      <c r="N1954" s="6" t="s">
        <v>365</v>
      </c>
      <c r="P1954" s="6" t="s">
        <v>445</v>
      </c>
      <c r="Q1954" s="6" t="s">
        <v>446</v>
      </c>
      <c r="R1954" s="6" t="s">
        <v>447</v>
      </c>
      <c r="S1954" s="6" t="s">
        <v>448</v>
      </c>
    </row>
    <row r="1955" customFormat="false" ht="15" hidden="false" customHeight="false" outlineLevel="0" collapsed="false">
      <c r="A1955" s="4" t="s">
        <v>449</v>
      </c>
      <c r="B1955" s="36" t="s">
        <v>450</v>
      </c>
      <c r="C1955" s="34" t="n">
        <f aca="false">'Market Sizing'!$C$20*Assumptions!$G$10*Assumptions!$G$11*(1-Assumptions!$G$12)</f>
        <v>2743.814304</v>
      </c>
    </row>
    <row r="1956" customFormat="false" ht="15" hidden="false" customHeight="false" outlineLevel="0" collapsed="false">
      <c r="A1956" s="4" t="s">
        <v>451</v>
      </c>
      <c r="B1956" s="36" t="s">
        <v>450</v>
      </c>
      <c r="C1956" s="34" t="n">
        <f aca="false">'Market Sizing'!$D$20*Assumptions!$G$10*Assumptions!$G$11*(1-Assumptions!$G$12)</f>
        <v>560.531664</v>
      </c>
    </row>
    <row r="1957" customFormat="false" ht="15" hidden="false" customHeight="false" outlineLevel="0" collapsed="false">
      <c r="A1957" s="4" t="s">
        <v>452</v>
      </c>
      <c r="B1957" s="36" t="s">
        <v>450</v>
      </c>
      <c r="C1957" s="34" t="n">
        <f aca="false">'Market Sizing'!$E$20*Assumptions!$G$10*Assumptions!$G$11*(1-Assumptions!$G$12)</f>
        <v>130.340826</v>
      </c>
    </row>
    <row r="1958" customFormat="false" ht="15" hidden="false" customHeight="false" outlineLevel="0" collapsed="false">
      <c r="A1958" s="4" t="s">
        <v>453</v>
      </c>
      <c r="B1958" s="36"/>
      <c r="C1958" s="34" t="n">
        <f aca="false">$C$1955+$C$1956+$C$1957</f>
        <v>3434.686794</v>
      </c>
    </row>
    <row r="1959" customFormat="false" ht="15" hidden="false" customHeight="false" outlineLevel="0" collapsed="false">
      <c r="A1959" s="4" t="s">
        <v>454</v>
      </c>
      <c r="B1959" s="36" t="s">
        <v>450</v>
      </c>
      <c r="C1959" s="34" t="n">
        <f aca="false">'Market Sizing'!$C$21*Assumptions!$G$10*Assumptions!$G$11*(1-Assumptions!$G$12)</f>
        <v>2711.4875865</v>
      </c>
    </row>
    <row r="1960" customFormat="false" ht="15" hidden="false" customHeight="false" outlineLevel="0" collapsed="false">
      <c r="A1960" s="4" t="s">
        <v>455</v>
      </c>
      <c r="B1960" s="36" t="s">
        <v>450</v>
      </c>
      <c r="C1960" s="34" t="n">
        <f aca="false">'Market Sizing'!$D$21*Assumptions!$G$10*Assumptions!$G$11*(1-Assumptions!$G$12)</f>
        <v>558.515727</v>
      </c>
    </row>
    <row r="1961" customFormat="false" ht="15" hidden="false" customHeight="false" outlineLevel="0" collapsed="false">
      <c r="A1961" s="4" t="s">
        <v>456</v>
      </c>
      <c r="B1961" s="36" t="s">
        <v>450</v>
      </c>
      <c r="C1961" s="34" t="n">
        <f aca="false">'Market Sizing'!$E$21*Assumptions!$G$10*Assumptions!$G$11*(1-Assumptions!$G$12)</f>
        <v>114.174522</v>
      </c>
    </row>
    <row r="1962" customFormat="false" ht="15" hidden="false" customHeight="false" outlineLevel="0" collapsed="false">
      <c r="A1962" s="4" t="s">
        <v>457</v>
      </c>
      <c r="B1962" s="36"/>
      <c r="C1962" s="34" t="n">
        <f aca="false">$C$1959+$C$1960+$C$1961</f>
        <v>3384.1778355</v>
      </c>
    </row>
    <row r="1963" customFormat="false" ht="15" hidden="false" customHeight="false" outlineLevel="0" collapsed="false">
      <c r="A1963" s="4" t="s">
        <v>458</v>
      </c>
      <c r="B1963" s="36" t="s">
        <v>450</v>
      </c>
      <c r="C1963" s="34" t="n">
        <f aca="false">'Market Sizing'!$C$22*Assumptions!$G$10*Assumptions!$G$11*(1-Assumptions!$G$12)</f>
        <v>2796.4244385</v>
      </c>
    </row>
    <row r="1964" customFormat="false" ht="15" hidden="false" customHeight="false" outlineLevel="0" collapsed="false">
      <c r="A1964" s="4" t="s">
        <v>459</v>
      </c>
      <c r="B1964" s="36" t="s">
        <v>450</v>
      </c>
      <c r="C1964" s="34" t="n">
        <f aca="false">'Market Sizing'!$D$22*Assumptions!$G$10*Assumptions!$G$11*(1-Assumptions!$G$12)</f>
        <v>714.600117</v>
      </c>
    </row>
    <row r="1965" customFormat="false" ht="15" hidden="false" customHeight="false" outlineLevel="0" collapsed="false">
      <c r="A1965" s="4" t="s">
        <v>460</v>
      </c>
      <c r="B1965" s="36" t="s">
        <v>450</v>
      </c>
      <c r="C1965" s="34" t="n">
        <f aca="false">'Market Sizing'!$E$22*Assumptions!$G$10*Assumptions!$G$11*(1-Assumptions!$G$12)</f>
        <v>150.548706</v>
      </c>
    </row>
    <row r="1966" customFormat="false" ht="15" hidden="false" customHeight="false" outlineLevel="0" collapsed="false">
      <c r="A1966" s="4" t="s">
        <v>461</v>
      </c>
      <c r="B1966" s="36"/>
      <c r="C1966" s="34" t="n">
        <f aca="false">$C$1963+$C$1964+$C$1965</f>
        <v>3661.5732615</v>
      </c>
    </row>
    <row r="1967" customFormat="false" ht="15" hidden="false" customHeight="false" outlineLevel="0" collapsed="false">
      <c r="A1967" s="4" t="s">
        <v>462</v>
      </c>
      <c r="B1967" s="36" t="s">
        <v>463</v>
      </c>
      <c r="C1967" s="33" t="n">
        <f aca="false">MAX((Assumptions!$G$51+Assumptions!$G$53)*12,(((('Market Sizing'!$E$28*Assumptions!$G$41*Assumptions!$G$42*Assumptions!$G$43)*Assumptions!$G$44)*Assumptions!$G$45*Assumptions!$G$46+('Market Sizing'!$E$28*Assumptions!$G$41*Assumptions!$G$42*Assumptions!$G$43)*Assumptions!$G$47+('Market Sizing'!$E$28*Assumptions!$G$41*Assumptions!$G$42*Assumptions!$G$43)*Assumptions!$G$48*Assumptions!$G$49)*(Assumptions!$G$51*12/Assumptions!$G$52)+((('Market Sizing'!$E$28*Assumptions!$G$41*Assumptions!$G$42*Assumptions!$G$43)*Assumptions!$G$44)*Assumptions!$G$45+('Market Sizing'!$E$28*Assumptions!$G$41*Assumptions!$G$42*Assumptions!$G$43)+('Market Sizing'!$E$28*Assumptions!$G$41*Assumptions!$G$42*Assumptions!$G$43)*Assumptions!$G$48)*Assumptions!$G$50*(Assumptions!$G$53*12/Assumptions!$G$54)))</f>
        <v>5352</v>
      </c>
    </row>
    <row r="1968" customFormat="false" ht="15" hidden="false" customHeight="false" outlineLevel="0" collapsed="false">
      <c r="A1968" s="4" t="s">
        <v>464</v>
      </c>
      <c r="B1968" s="36" t="s">
        <v>463</v>
      </c>
      <c r="C1968" s="33" t="n">
        <f aca="false">MAX((Assumptions!$G$51+Assumptions!$G$53)*12,(((('Market Sizing'!$E$29*Assumptions!$G$41*Assumptions!$G$42*Assumptions!$G$43)*Assumptions!$G$44)*Assumptions!$G$45*Assumptions!$G$46+('Market Sizing'!$E$29*Assumptions!$G$41*Assumptions!$G$42*Assumptions!$G$43)*Assumptions!$G$47+('Market Sizing'!$E$29*Assumptions!$G$41*Assumptions!$G$42*Assumptions!$G$43)*Assumptions!$G$48*Assumptions!$G$49)*(Assumptions!$G$51*12/Assumptions!$G$52)+((('Market Sizing'!$E$29*Assumptions!$G$41*Assumptions!$G$42*Assumptions!$G$43)*Assumptions!$G$44)*Assumptions!$G$45+('Market Sizing'!$E$29*Assumptions!$G$41*Assumptions!$G$42*Assumptions!$G$43)+('Market Sizing'!$E$29*Assumptions!$G$41*Assumptions!$G$42*Assumptions!$G$43)*Assumptions!$G$48)*Assumptions!$G$50*(Assumptions!$G$53*12/Assumptions!$G$54)))</f>
        <v>5352</v>
      </c>
    </row>
    <row r="1969" customFormat="false" ht="15" hidden="false" customHeight="false" outlineLevel="0" collapsed="false">
      <c r="A1969" s="4" t="s">
        <v>465</v>
      </c>
      <c r="B1969" s="36" t="s">
        <v>463</v>
      </c>
      <c r="C1969" s="33" t="n">
        <f aca="false">MAX(Assumptions!$G$55*(Assumptions!$G$51*12/Assumptions!$G$52)+Assumptions!$G$56*(Assumptions!$G$53*12/Assumptions!$G$54),(((('Market Sizing'!$E$30*Assumptions!$G$41*Assumptions!$G$42*Assumptions!$G$43)*Assumptions!$G$44)*Assumptions!$G$45*Assumptions!$G$46+('Market Sizing'!$E$30*Assumptions!$G$41*Assumptions!$G$42*Assumptions!$G$43)*Assumptions!$G$47+('Market Sizing'!$E$30*Assumptions!$G$41*Assumptions!$G$42*Assumptions!$G$43)*Assumptions!$G$48*Assumptions!$G$49)*(Assumptions!$G$51*12/Assumptions!$G$52)+((('Market Sizing'!$E$30*Assumptions!$G$41*Assumptions!$G$42*Assumptions!$G$43)*Assumptions!$G$44)*Assumptions!$G$45+('Market Sizing'!$E$30*Assumptions!$G$41*Assumptions!$G$42*Assumptions!$G$43)+('Market Sizing'!$E$30*Assumptions!$G$41*Assumptions!$G$42*Assumptions!$G$43)*Assumptions!$G$48)*Assumptions!$G$50*(Assumptions!$G$53*12/Assumptions!$G$54)))*(1-Assumptions!$G$57)</f>
        <v>44310</v>
      </c>
    </row>
    <row r="1970" customFormat="false" ht="23.85" hidden="false" customHeight="false" outlineLevel="0" collapsed="false">
      <c r="A1970" s="4" t="s">
        <v>466</v>
      </c>
      <c r="B1970" s="36" t="s">
        <v>467</v>
      </c>
      <c r="C1970" s="37" t="n">
        <f aca="false">Assumptions!$G$17*Assumptions!$D$106</f>
        <v>0.3</v>
      </c>
    </row>
    <row r="1971" customFormat="false" ht="23.85" hidden="false" customHeight="false" outlineLevel="0" collapsed="false">
      <c r="A1971" s="4" t="s">
        <v>468</v>
      </c>
      <c r="B1971" s="36" t="s">
        <v>469</v>
      </c>
      <c r="C1971" s="33" t="n">
        <f aca="false">Assumptions!$G$68/Assumptions!$G$69</f>
        <v>285714.285714286</v>
      </c>
    </row>
    <row r="1972" customFormat="false" ht="23.85" hidden="false" customHeight="false" outlineLevel="0" collapsed="false">
      <c r="A1972" s="4" t="s">
        <v>470</v>
      </c>
      <c r="B1972" s="36" t="s">
        <v>471</v>
      </c>
      <c r="C1972" s="33" t="n">
        <f aca="false">Assumptions!$G$66*Assumptions!$G$67/4</f>
        <v>120312.5</v>
      </c>
    </row>
    <row r="1973" customFormat="false" ht="15" hidden="false" customHeight="false" outlineLevel="0" collapsed="false">
      <c r="A1973" s="4" t="s">
        <v>472</v>
      </c>
      <c r="B1973" s="36"/>
      <c r="C1973" s="38" t="n">
        <f aca="false">$C$1971/Assumptions!$G$66/Assumptions!$G$67</f>
        <v>0.593692022263451</v>
      </c>
    </row>
    <row r="1974" customFormat="false" ht="15" hidden="false" customHeight="false" outlineLevel="0" collapsed="false">
      <c r="A1974" s="4" t="s">
        <v>473</v>
      </c>
      <c r="B1974" s="36"/>
      <c r="C1974" s="33" t="n">
        <f aca="false">MAX(0,Assumptions!$D$103-Assumptions!$G$78)</f>
        <v>0</v>
      </c>
    </row>
    <row r="1975" customFormat="false" ht="15" hidden="false" customHeight="false" outlineLevel="0" collapsed="false">
      <c r="A1975" s="35" t="s">
        <v>474</v>
      </c>
      <c r="B1975" s="35" t="s">
        <v>444</v>
      </c>
      <c r="C1975" s="6" t="s">
        <v>354</v>
      </c>
      <c r="D1975" s="6" t="s">
        <v>355</v>
      </c>
      <c r="E1975" s="6" t="s">
        <v>356</v>
      </c>
      <c r="F1975" s="6" t="s">
        <v>357</v>
      </c>
      <c r="G1975" s="6" t="s">
        <v>358</v>
      </c>
      <c r="H1975" s="6" t="s">
        <v>359</v>
      </c>
      <c r="I1975" s="6" t="s">
        <v>360</v>
      </c>
      <c r="J1975" s="6" t="s">
        <v>361</v>
      </c>
      <c r="K1975" s="6" t="s">
        <v>362</v>
      </c>
      <c r="L1975" s="6" t="s">
        <v>363</v>
      </c>
      <c r="M1975" s="6" t="s">
        <v>364</v>
      </c>
      <c r="N1975" s="6" t="s">
        <v>365</v>
      </c>
      <c r="P1975" s="6" t="s">
        <v>445</v>
      </c>
      <c r="Q1975" s="6" t="s">
        <v>446</v>
      </c>
      <c r="R1975" s="6" t="s">
        <v>447</v>
      </c>
      <c r="S1975" s="6" t="s">
        <v>448</v>
      </c>
    </row>
    <row r="1976" customFormat="false" ht="15" hidden="false" customHeight="false" outlineLevel="0" collapsed="false">
      <c r="A1976" s="4" t="s">
        <v>475</v>
      </c>
      <c r="B1976" s="36" t="s">
        <v>133</v>
      </c>
      <c r="C1976" s="39" t="n">
        <v>1</v>
      </c>
      <c r="D1976" s="39" t="n">
        <v>2</v>
      </c>
      <c r="E1976" s="39" t="n">
        <v>3</v>
      </c>
      <c r="F1976" s="39" t="n">
        <v>4</v>
      </c>
      <c r="G1976" s="39" t="n">
        <v>5</v>
      </c>
      <c r="H1976" s="39" t="n">
        <v>6</v>
      </c>
      <c r="I1976" s="39" t="n">
        <v>7</v>
      </c>
      <c r="J1976" s="39" t="n">
        <v>8</v>
      </c>
      <c r="K1976" s="39" t="n">
        <v>9</v>
      </c>
      <c r="L1976" s="39" t="n">
        <v>10</v>
      </c>
      <c r="M1976" s="39" t="n">
        <v>11</v>
      </c>
      <c r="N1976" s="39" t="n">
        <v>12</v>
      </c>
      <c r="P1976" s="40"/>
      <c r="Q1976" s="40"/>
      <c r="R1976" s="40"/>
      <c r="S1976" s="41"/>
    </row>
    <row r="1977" customFormat="false" ht="15" hidden="false" customHeight="false" outlineLevel="0" collapsed="false">
      <c r="A1977" s="4" t="s">
        <v>476</v>
      </c>
      <c r="B1977" s="36" t="s">
        <v>343</v>
      </c>
      <c r="C1977" s="39" t="n">
        <f aca="false">IF(C1976&lt;=4,1,0)</f>
        <v>1</v>
      </c>
      <c r="D1977" s="39" t="n">
        <f aca="false">IF(D1976&lt;=4,1,0)</f>
        <v>1</v>
      </c>
      <c r="E1977" s="39" t="n">
        <f aca="false">IF(E1976&lt;=4,1,0)</f>
        <v>1</v>
      </c>
      <c r="F1977" s="39" t="n">
        <f aca="false">IF(F1976&lt;=4,1,0)</f>
        <v>1</v>
      </c>
      <c r="G1977" s="39" t="n">
        <f aca="false">IF(G1976&lt;=4,1,0)</f>
        <v>0</v>
      </c>
      <c r="H1977" s="39" t="n">
        <f aca="false">IF(H1976&lt;=4,1,0)</f>
        <v>0</v>
      </c>
      <c r="I1977" s="39" t="n">
        <f aca="false">IF(I1976&lt;=4,1,0)</f>
        <v>0</v>
      </c>
      <c r="J1977" s="39" t="n">
        <f aca="false">IF(J1976&lt;=4,1,0)</f>
        <v>0</v>
      </c>
      <c r="K1977" s="39" t="n">
        <f aca="false">IF(K1976&lt;=4,1,0)</f>
        <v>0</v>
      </c>
      <c r="L1977" s="39" t="n">
        <f aca="false">IF(L1976&lt;=4,1,0)</f>
        <v>0</v>
      </c>
      <c r="M1977" s="39" t="n">
        <f aca="false">IF(M1976&lt;=4,1,0)</f>
        <v>0</v>
      </c>
      <c r="N1977" s="39" t="n">
        <f aca="false">IF(N1976&lt;=4,1,0)</f>
        <v>0</v>
      </c>
      <c r="P1977" s="40"/>
      <c r="Q1977" s="40"/>
      <c r="R1977" s="40"/>
      <c r="S1977" s="41"/>
    </row>
    <row r="1978" customFormat="false" ht="15" hidden="false" customHeight="false" outlineLevel="0" collapsed="false">
      <c r="A1978" s="4" t="s">
        <v>477</v>
      </c>
      <c r="B1978" s="36" t="s">
        <v>478</v>
      </c>
      <c r="C1978" s="42" t="n">
        <f aca="false">IF(C1976=Assumptions!$G$13,0.5,IF(C1976&gt;Assumptions!$G$13,1,0))</f>
        <v>0.5</v>
      </c>
      <c r="D1978" s="42" t="n">
        <f aca="false">IF(D1976=Assumptions!$G$13,0.5,IF(D1976&gt;Assumptions!$G$13,1,0))</f>
        <v>1</v>
      </c>
      <c r="E1978" s="42" t="n">
        <f aca="false">IF(E1976=Assumptions!$G$13,0.5,IF(E1976&gt;Assumptions!$G$13,1,0))</f>
        <v>1</v>
      </c>
      <c r="F1978" s="42" t="n">
        <f aca="false">IF(F1976=Assumptions!$G$13,0.5,IF(F1976&gt;Assumptions!$G$13,1,0))</f>
        <v>1</v>
      </c>
      <c r="G1978" s="42" t="n">
        <f aca="false">IF(G1976=Assumptions!$G$13,0.5,IF(G1976&gt;Assumptions!$G$13,1,0))</f>
        <v>1</v>
      </c>
      <c r="H1978" s="42" t="n">
        <f aca="false">IF(H1976=Assumptions!$G$13,0.5,IF(H1976&gt;Assumptions!$G$13,1,0))</f>
        <v>1</v>
      </c>
      <c r="I1978" s="42" t="n">
        <f aca="false">IF(I1976=Assumptions!$G$13,0.5,IF(I1976&gt;Assumptions!$G$13,1,0))</f>
        <v>1</v>
      </c>
      <c r="J1978" s="42" t="n">
        <f aca="false">IF(J1976=Assumptions!$G$13,0.5,IF(J1976&gt;Assumptions!$G$13,1,0))</f>
        <v>1</v>
      </c>
      <c r="K1978" s="42" t="n">
        <f aca="false">IF(K1976=Assumptions!$G$13,0.5,IF(K1976&gt;Assumptions!$G$13,1,0))</f>
        <v>1</v>
      </c>
      <c r="L1978" s="42" t="n">
        <f aca="false">IF(L1976=Assumptions!$G$13,0.5,IF(L1976&gt;Assumptions!$G$13,1,0))</f>
        <v>1</v>
      </c>
      <c r="M1978" s="42" t="n">
        <f aca="false">IF(M1976=Assumptions!$G$13,0.5,IF(M1976&gt;Assumptions!$G$13,1,0))</f>
        <v>1</v>
      </c>
      <c r="N1978" s="42" t="n">
        <f aca="false">IF(N1976=Assumptions!$G$13,0.5,IF(N1976&gt;Assumptions!$G$13,1,0))</f>
        <v>1</v>
      </c>
      <c r="P1978" s="43"/>
      <c r="Q1978" s="43"/>
      <c r="R1978" s="43"/>
      <c r="S1978" s="44"/>
    </row>
    <row r="1979" customFormat="false" ht="15" hidden="false" customHeight="false" outlineLevel="0" collapsed="false">
      <c r="A1979" s="4" t="s">
        <v>479</v>
      </c>
      <c r="B1979" s="36" t="s">
        <v>478</v>
      </c>
      <c r="C1979" s="42" t="n">
        <f aca="false">IF(C1976=Assumptions!$G$14,0.5,IF(C1976&gt;Assumptions!$G$14,1,0))</f>
        <v>0</v>
      </c>
      <c r="D1979" s="42" t="n">
        <f aca="false">IF(D1976=Assumptions!$G$14,0.5,IF(D1976&gt;Assumptions!$G$14,1,0))</f>
        <v>0</v>
      </c>
      <c r="E1979" s="42" t="n">
        <f aca="false">IF(E1976=Assumptions!$G$14,0.5,IF(E1976&gt;Assumptions!$G$14,1,0))</f>
        <v>0</v>
      </c>
      <c r="F1979" s="42" t="n">
        <f aca="false">IF(F1976=Assumptions!$G$14,0.5,IF(F1976&gt;Assumptions!$G$14,1,0))</f>
        <v>0</v>
      </c>
      <c r="G1979" s="42" t="n">
        <f aca="false">IF(G1976=Assumptions!$G$14,0.5,IF(G1976&gt;Assumptions!$G$14,1,0))</f>
        <v>0</v>
      </c>
      <c r="H1979" s="42" t="n">
        <f aca="false">IF(H1976=Assumptions!$G$14,0.5,IF(H1976&gt;Assumptions!$G$14,1,0))</f>
        <v>0</v>
      </c>
      <c r="I1979" s="42" t="n">
        <f aca="false">IF(I1976=Assumptions!$G$14,0.5,IF(I1976&gt;Assumptions!$G$14,1,0))</f>
        <v>0.5</v>
      </c>
      <c r="J1979" s="42" t="n">
        <f aca="false">IF(J1976=Assumptions!$G$14,0.5,IF(J1976&gt;Assumptions!$G$14,1,0))</f>
        <v>1</v>
      </c>
      <c r="K1979" s="42" t="n">
        <f aca="false">IF(K1976=Assumptions!$G$14,0.5,IF(K1976&gt;Assumptions!$G$14,1,0))</f>
        <v>1</v>
      </c>
      <c r="L1979" s="42" t="n">
        <f aca="false">IF(L1976=Assumptions!$G$14,0.5,IF(L1976&gt;Assumptions!$G$14,1,0))</f>
        <v>1</v>
      </c>
      <c r="M1979" s="42" t="n">
        <f aca="false">IF(M1976=Assumptions!$G$14,0.5,IF(M1976&gt;Assumptions!$G$14,1,0))</f>
        <v>1</v>
      </c>
      <c r="N1979" s="42" t="n">
        <f aca="false">IF(N1976=Assumptions!$G$14,0.5,IF(N1976&gt;Assumptions!$G$14,1,0))</f>
        <v>1</v>
      </c>
      <c r="P1979" s="43"/>
      <c r="Q1979" s="43"/>
      <c r="R1979" s="43"/>
      <c r="S1979" s="44"/>
    </row>
    <row r="1980" customFormat="false" ht="15" hidden="false" customHeight="false" outlineLevel="0" collapsed="false">
      <c r="A1980" s="4" t="s">
        <v>480</v>
      </c>
      <c r="B1980" s="36" t="s">
        <v>478</v>
      </c>
      <c r="C1980" s="42" t="n">
        <f aca="false">IF(C1976=Assumptions!$G$15,0.5,IF(C1976&gt;Assumptions!$G$15,1,0))</f>
        <v>0</v>
      </c>
      <c r="D1980" s="42" t="n">
        <f aca="false">IF(D1976=Assumptions!$G$15,0.5,IF(D1976&gt;Assumptions!$G$15,1,0))</f>
        <v>0</v>
      </c>
      <c r="E1980" s="42" t="n">
        <f aca="false">IF(E1976=Assumptions!$G$15,0.5,IF(E1976&gt;Assumptions!$G$15,1,0))</f>
        <v>0</v>
      </c>
      <c r="F1980" s="42" t="n">
        <f aca="false">IF(F1976=Assumptions!$G$15,0.5,IF(F1976&gt;Assumptions!$G$15,1,0))</f>
        <v>0</v>
      </c>
      <c r="G1980" s="42" t="n">
        <f aca="false">IF(G1976=Assumptions!$G$15,0.5,IF(G1976&gt;Assumptions!$G$15,1,0))</f>
        <v>0</v>
      </c>
      <c r="H1980" s="42" t="n">
        <f aca="false">IF(H1976=Assumptions!$G$15,0.5,IF(H1976&gt;Assumptions!$G$15,1,0))</f>
        <v>0</v>
      </c>
      <c r="I1980" s="42" t="n">
        <f aca="false">IF(I1976=Assumptions!$G$15,0.5,IF(I1976&gt;Assumptions!$G$15,1,0))</f>
        <v>0</v>
      </c>
      <c r="J1980" s="42" t="n">
        <f aca="false">IF(J1976=Assumptions!$G$15,0.5,IF(J1976&gt;Assumptions!$G$15,1,0))</f>
        <v>0</v>
      </c>
      <c r="K1980" s="42" t="n">
        <f aca="false">IF(K1976=Assumptions!$G$15,0.5,IF(K1976&gt;Assumptions!$G$15,1,0))</f>
        <v>0</v>
      </c>
      <c r="L1980" s="42" t="n">
        <f aca="false">IF(L1976=Assumptions!$G$15,0.5,IF(L1976&gt;Assumptions!$G$15,1,0))</f>
        <v>0</v>
      </c>
      <c r="M1980" s="42" t="n">
        <f aca="false">IF(M1976=Assumptions!$G$15,0.5,IF(M1976&gt;Assumptions!$G$15,1,0))</f>
        <v>0</v>
      </c>
      <c r="N1980" s="42" t="n">
        <f aca="false">IF(N1976=Assumptions!$G$15,0.5,IF(N1976&gt;Assumptions!$G$15,1,0))</f>
        <v>0</v>
      </c>
      <c r="P1980" s="43"/>
      <c r="Q1980" s="43"/>
      <c r="R1980" s="43"/>
      <c r="S1980" s="44"/>
    </row>
    <row r="1981" customFormat="false" ht="15" hidden="false" customHeight="false" outlineLevel="0" collapsed="false">
      <c r="A1981" s="4" t="s">
        <v>481</v>
      </c>
      <c r="B1981" s="36" t="s">
        <v>478</v>
      </c>
      <c r="C1981" s="45" t="n">
        <f aca="false">Assumptions!$G$21^(MAX(0,C1976-Assumptions!$G$13)/4)</f>
        <v>1</v>
      </c>
      <c r="D1981" s="45" t="n">
        <f aca="false">Assumptions!$G$21^(MAX(0,D1976-Assumptions!$G$13)/4)</f>
        <v>0.880111736793393</v>
      </c>
      <c r="E1981" s="45" t="n">
        <f aca="false">Assumptions!$G$21^(MAX(0,E1976-Assumptions!$G$13)/4)</f>
        <v>0.774596669241483</v>
      </c>
      <c r="F1981" s="45" t="n">
        <f aca="false">Assumptions!$G$21^(MAX(0,F1976-Assumptions!$G$13)/4)</f>
        <v>0.6817316198805</v>
      </c>
      <c r="G1981" s="45" t="n">
        <f aca="false">Assumptions!$G$21^(MAX(0,G1976-Assumptions!$G$13)/4)</f>
        <v>0.6</v>
      </c>
      <c r="H1981" s="45" t="n">
        <f aca="false">Assumptions!$G$21^(MAX(0,H1976-Assumptions!$G$13)/4)</f>
        <v>0.528067042076036</v>
      </c>
      <c r="I1981" s="45" t="n">
        <f aca="false">Assumptions!$G$21^(MAX(0,I1976-Assumptions!$G$13)/4)</f>
        <v>0.46475800154489</v>
      </c>
      <c r="J1981" s="45" t="n">
        <f aca="false">Assumptions!$G$21^(MAX(0,J1976-Assumptions!$G$13)/4)</f>
        <v>0.4090389719283</v>
      </c>
      <c r="K1981" s="45" t="n">
        <f aca="false">Assumptions!$G$21^(MAX(0,K1976-Assumptions!$G$13)/4)</f>
        <v>0.36</v>
      </c>
      <c r="L1981" s="45" t="n">
        <f aca="false">Assumptions!$G$21^(MAX(0,L1976-Assumptions!$G$13)/4)</f>
        <v>0.316840225245622</v>
      </c>
      <c r="M1981" s="45" t="n">
        <f aca="false">Assumptions!$G$21^(MAX(0,M1976-Assumptions!$G$13)/4)</f>
        <v>0.278854800926934</v>
      </c>
      <c r="N1981" s="45" t="n">
        <f aca="false">Assumptions!$G$21^(MAX(0,N1976-Assumptions!$G$13)/4)</f>
        <v>0.24542338315698</v>
      </c>
      <c r="P1981" s="46"/>
      <c r="Q1981" s="46"/>
      <c r="R1981" s="46"/>
      <c r="S1981" s="47"/>
    </row>
    <row r="1982" customFormat="false" ht="15" hidden="false" customHeight="false" outlineLevel="0" collapsed="false">
      <c r="A1982" s="4" t="s">
        <v>482</v>
      </c>
      <c r="B1982" s="36" t="s">
        <v>478</v>
      </c>
      <c r="C1982" s="45" t="n">
        <f aca="false">Assumptions!$G$21^(MAX(0,C1976-Assumptions!$G$14)/4)</f>
        <v>1</v>
      </c>
      <c r="D1982" s="45" t="n">
        <f aca="false">Assumptions!$G$21^(MAX(0,D1976-Assumptions!$G$14)/4)</f>
        <v>1</v>
      </c>
      <c r="E1982" s="45" t="n">
        <f aca="false">Assumptions!$G$21^(MAX(0,E1976-Assumptions!$G$14)/4)</f>
        <v>1</v>
      </c>
      <c r="F1982" s="45" t="n">
        <f aca="false">Assumptions!$G$21^(MAX(0,F1976-Assumptions!$G$14)/4)</f>
        <v>1</v>
      </c>
      <c r="G1982" s="45" t="n">
        <f aca="false">Assumptions!$G$21^(MAX(0,G1976-Assumptions!$G$14)/4)</f>
        <v>1</v>
      </c>
      <c r="H1982" s="45" t="n">
        <f aca="false">Assumptions!$G$21^(MAX(0,H1976-Assumptions!$G$14)/4)</f>
        <v>1</v>
      </c>
      <c r="I1982" s="45" t="n">
        <f aca="false">Assumptions!$G$21^(MAX(0,I1976-Assumptions!$G$14)/4)</f>
        <v>1</v>
      </c>
      <c r="J1982" s="45" t="n">
        <f aca="false">Assumptions!$G$21^(MAX(0,J1976-Assumptions!$G$14)/4)</f>
        <v>0.880111736793393</v>
      </c>
      <c r="K1982" s="45" t="n">
        <f aca="false">Assumptions!$G$21^(MAX(0,K1976-Assumptions!$G$14)/4)</f>
        <v>0.774596669241483</v>
      </c>
      <c r="L1982" s="45" t="n">
        <f aca="false">Assumptions!$G$21^(MAX(0,L1976-Assumptions!$G$14)/4)</f>
        <v>0.6817316198805</v>
      </c>
      <c r="M1982" s="45" t="n">
        <f aca="false">Assumptions!$G$21^(MAX(0,M1976-Assumptions!$G$14)/4)</f>
        <v>0.6</v>
      </c>
      <c r="N1982" s="45" t="n">
        <f aca="false">Assumptions!$G$21^(MAX(0,N1976-Assumptions!$G$14)/4)</f>
        <v>0.528067042076036</v>
      </c>
      <c r="P1982" s="46"/>
      <c r="Q1982" s="46"/>
      <c r="R1982" s="46"/>
      <c r="S1982" s="47"/>
    </row>
    <row r="1983" customFormat="false" ht="15" hidden="false" customHeight="false" outlineLevel="0" collapsed="false">
      <c r="A1983" s="4" t="s">
        <v>483</v>
      </c>
      <c r="B1983" s="36" t="s">
        <v>478</v>
      </c>
      <c r="C1983" s="45" t="n">
        <f aca="false">Assumptions!$G$21^(MAX(0,C1976-Assumptions!$G$15)/4)</f>
        <v>1</v>
      </c>
      <c r="D1983" s="45" t="n">
        <f aca="false">Assumptions!$G$21^(MAX(0,D1976-Assumptions!$G$15)/4)</f>
        <v>1</v>
      </c>
      <c r="E1983" s="45" t="n">
        <f aca="false">Assumptions!$G$21^(MAX(0,E1976-Assumptions!$G$15)/4)</f>
        <v>1</v>
      </c>
      <c r="F1983" s="45" t="n">
        <f aca="false">Assumptions!$G$21^(MAX(0,F1976-Assumptions!$G$15)/4)</f>
        <v>1</v>
      </c>
      <c r="G1983" s="45" t="n">
        <f aca="false">Assumptions!$G$21^(MAX(0,G1976-Assumptions!$G$15)/4)</f>
        <v>1</v>
      </c>
      <c r="H1983" s="45" t="n">
        <f aca="false">Assumptions!$G$21^(MAX(0,H1976-Assumptions!$G$15)/4)</f>
        <v>1</v>
      </c>
      <c r="I1983" s="45" t="n">
        <f aca="false">Assumptions!$G$21^(MAX(0,I1976-Assumptions!$G$15)/4)</f>
        <v>1</v>
      </c>
      <c r="J1983" s="45" t="n">
        <f aca="false">Assumptions!$G$21^(MAX(0,J1976-Assumptions!$G$15)/4)</f>
        <v>1</v>
      </c>
      <c r="K1983" s="45" t="n">
        <f aca="false">Assumptions!$G$21^(MAX(0,K1976-Assumptions!$G$15)/4)</f>
        <v>1</v>
      </c>
      <c r="L1983" s="45" t="n">
        <f aca="false">Assumptions!$G$21^(MAX(0,L1976-Assumptions!$G$15)/4)</f>
        <v>1</v>
      </c>
      <c r="M1983" s="45" t="n">
        <f aca="false">Assumptions!$G$21^(MAX(0,M1976-Assumptions!$G$15)/4)</f>
        <v>1</v>
      </c>
      <c r="N1983" s="45" t="n">
        <f aca="false">Assumptions!$G$21^(MAX(0,N1976-Assumptions!$G$15)/4)</f>
        <v>1</v>
      </c>
      <c r="P1983" s="46"/>
      <c r="Q1983" s="46"/>
      <c r="R1983" s="46"/>
      <c r="S1983" s="47"/>
    </row>
    <row r="1984" customFormat="false" ht="15" hidden="false" customHeight="false" outlineLevel="0" collapsed="false">
      <c r="A1984" s="4" t="s">
        <v>484</v>
      </c>
      <c r="B1984" s="36" t="s">
        <v>485</v>
      </c>
      <c r="C1984" s="39" t="n">
        <f aca="false">$C$1955*C1978+$C$1959*C1979+$C$1963*C1980</f>
        <v>1371.907152</v>
      </c>
      <c r="D1984" s="39" t="n">
        <f aca="false">$C$1955*D1978+$C$1959*D1979+$C$1963*D1980</f>
        <v>2743.814304</v>
      </c>
      <c r="E1984" s="39" t="n">
        <f aca="false">$C$1955*E1978+$C$1959*E1979+$C$1963*E1980</f>
        <v>2743.814304</v>
      </c>
      <c r="F1984" s="39" t="n">
        <f aca="false">$C$1955*F1978+$C$1959*F1979+$C$1963*F1980</f>
        <v>2743.814304</v>
      </c>
      <c r="G1984" s="39" t="n">
        <f aca="false">$C$1955*G1978+$C$1959*G1979+$C$1963*G1980</f>
        <v>2743.814304</v>
      </c>
      <c r="H1984" s="39" t="n">
        <f aca="false">$C$1955*H1978+$C$1959*H1979+$C$1963*H1980</f>
        <v>2743.814304</v>
      </c>
      <c r="I1984" s="39" t="n">
        <f aca="false">$C$1955*I1978+$C$1959*I1979+$C$1963*I1980</f>
        <v>4099.55809725</v>
      </c>
      <c r="J1984" s="39" t="n">
        <f aca="false">$C$1955*J1978+$C$1959*J1979+$C$1963*J1980</f>
        <v>5455.3018905</v>
      </c>
      <c r="K1984" s="39" t="n">
        <f aca="false">$C$1955*K1978+$C$1959*K1979+$C$1963*K1980</f>
        <v>5455.3018905</v>
      </c>
      <c r="L1984" s="39" t="n">
        <f aca="false">$C$1955*L1978+$C$1959*L1979+$C$1963*L1980</f>
        <v>5455.3018905</v>
      </c>
      <c r="M1984" s="39" t="n">
        <f aca="false">$C$1955*M1978+$C$1959*M1979+$C$1963*M1980</f>
        <v>5455.3018905</v>
      </c>
      <c r="N1984" s="39" t="n">
        <f aca="false">$C$1955*N1978+$C$1959*N1979+$C$1963*N1980</f>
        <v>5455.3018905</v>
      </c>
      <c r="P1984" s="40" t="n">
        <f aca="false">F1984</f>
        <v>2743.814304</v>
      </c>
      <c r="Q1984" s="40" t="n">
        <f aca="false">J1984</f>
        <v>5455.3018905</v>
      </c>
      <c r="R1984" s="40" t="n">
        <f aca="false">N1984</f>
        <v>5455.3018905</v>
      </c>
      <c r="S1984" s="41" t="n">
        <f aca="false">R1984</f>
        <v>5455.3018905</v>
      </c>
    </row>
    <row r="1985" customFormat="false" ht="15" hidden="false" customHeight="false" outlineLevel="0" collapsed="false">
      <c r="A1985" s="4" t="s">
        <v>486</v>
      </c>
      <c r="B1985" s="36" t="s">
        <v>485</v>
      </c>
      <c r="C1985" s="39" t="n">
        <f aca="false">$C$1956*C1978+$C$1960*C1979+$C$1964*C1980</f>
        <v>280.265832</v>
      </c>
      <c r="D1985" s="39" t="n">
        <f aca="false">$C$1956*D1978+$C$1960*D1979+$C$1964*D1980</f>
        <v>560.531664</v>
      </c>
      <c r="E1985" s="39" t="n">
        <f aca="false">$C$1956*E1978+$C$1960*E1979+$C$1964*E1980</f>
        <v>560.531664</v>
      </c>
      <c r="F1985" s="39" t="n">
        <f aca="false">$C$1956*F1978+$C$1960*F1979+$C$1964*F1980</f>
        <v>560.531664</v>
      </c>
      <c r="G1985" s="39" t="n">
        <f aca="false">$C$1956*G1978+$C$1960*G1979+$C$1964*G1980</f>
        <v>560.531664</v>
      </c>
      <c r="H1985" s="39" t="n">
        <f aca="false">$C$1956*H1978+$C$1960*H1979+$C$1964*H1980</f>
        <v>560.531664</v>
      </c>
      <c r="I1985" s="39" t="n">
        <f aca="false">$C$1956*I1978+$C$1960*I1979+$C$1964*I1980</f>
        <v>839.7895275</v>
      </c>
      <c r="J1985" s="39" t="n">
        <f aca="false">$C$1956*J1978+$C$1960*J1979+$C$1964*J1980</f>
        <v>1119.047391</v>
      </c>
      <c r="K1985" s="39" t="n">
        <f aca="false">$C$1956*K1978+$C$1960*K1979+$C$1964*K1980</f>
        <v>1119.047391</v>
      </c>
      <c r="L1985" s="39" t="n">
        <f aca="false">$C$1956*L1978+$C$1960*L1979+$C$1964*L1980</f>
        <v>1119.047391</v>
      </c>
      <c r="M1985" s="39" t="n">
        <f aca="false">$C$1956*M1978+$C$1960*M1979+$C$1964*M1980</f>
        <v>1119.047391</v>
      </c>
      <c r="N1985" s="39" t="n">
        <f aca="false">$C$1956*N1978+$C$1960*N1979+$C$1964*N1980</f>
        <v>1119.047391</v>
      </c>
      <c r="P1985" s="40" t="n">
        <f aca="false">F1985</f>
        <v>560.531664</v>
      </c>
      <c r="Q1985" s="40" t="n">
        <f aca="false">J1985</f>
        <v>1119.047391</v>
      </c>
      <c r="R1985" s="40" t="n">
        <f aca="false">N1985</f>
        <v>1119.047391</v>
      </c>
      <c r="S1985" s="41" t="n">
        <f aca="false">R1985</f>
        <v>1119.047391</v>
      </c>
    </row>
    <row r="1986" customFormat="false" ht="15" hidden="false" customHeight="false" outlineLevel="0" collapsed="false">
      <c r="A1986" s="4" t="s">
        <v>487</v>
      </c>
      <c r="B1986" s="36" t="s">
        <v>485</v>
      </c>
      <c r="C1986" s="39" t="n">
        <f aca="false">$C$1957*C1978+$C$1961*C1979+$C$1965*C1980</f>
        <v>65.170413</v>
      </c>
      <c r="D1986" s="39" t="n">
        <f aca="false">$C$1957*D1978+$C$1961*D1979+$C$1965*D1980</f>
        <v>130.340826</v>
      </c>
      <c r="E1986" s="39" t="n">
        <f aca="false">$C$1957*E1978+$C$1961*E1979+$C$1965*E1980</f>
        <v>130.340826</v>
      </c>
      <c r="F1986" s="39" t="n">
        <f aca="false">$C$1957*F1978+$C$1961*F1979+$C$1965*F1980</f>
        <v>130.340826</v>
      </c>
      <c r="G1986" s="39" t="n">
        <f aca="false">$C$1957*G1978+$C$1961*G1979+$C$1965*G1980</f>
        <v>130.340826</v>
      </c>
      <c r="H1986" s="39" t="n">
        <f aca="false">$C$1957*H1978+$C$1961*H1979+$C$1965*H1980</f>
        <v>130.340826</v>
      </c>
      <c r="I1986" s="39" t="n">
        <f aca="false">$C$1957*I1978+$C$1961*I1979+$C$1965*I1980</f>
        <v>187.428087</v>
      </c>
      <c r="J1986" s="39" t="n">
        <f aca="false">$C$1957*J1978+$C$1961*J1979+$C$1965*J1980</f>
        <v>244.515348</v>
      </c>
      <c r="K1986" s="39" t="n">
        <f aca="false">$C$1957*K1978+$C$1961*K1979+$C$1965*K1980</f>
        <v>244.515348</v>
      </c>
      <c r="L1986" s="39" t="n">
        <f aca="false">$C$1957*L1978+$C$1961*L1979+$C$1965*L1980</f>
        <v>244.515348</v>
      </c>
      <c r="M1986" s="39" t="n">
        <f aca="false">$C$1957*M1978+$C$1961*M1979+$C$1965*M1980</f>
        <v>244.515348</v>
      </c>
      <c r="N1986" s="39" t="n">
        <f aca="false">$C$1957*N1978+$C$1961*N1979+$C$1965*N1980</f>
        <v>244.515348</v>
      </c>
      <c r="P1986" s="40" t="n">
        <f aca="false">F1986</f>
        <v>130.340826</v>
      </c>
      <c r="Q1986" s="40" t="n">
        <f aca="false">J1986</f>
        <v>244.515348</v>
      </c>
      <c r="R1986" s="40" t="n">
        <f aca="false">N1986</f>
        <v>244.515348</v>
      </c>
      <c r="S1986" s="41" t="n">
        <f aca="false">R1986</f>
        <v>244.515348</v>
      </c>
    </row>
    <row r="1987" customFormat="false" ht="15" hidden="false" customHeight="false" outlineLevel="0" collapsed="false">
      <c r="A1987" s="4" t="s">
        <v>488</v>
      </c>
      <c r="B1987" s="36" t="s">
        <v>485</v>
      </c>
      <c r="C1987" s="39" t="n">
        <f aca="false">C1984+C1985+C1986</f>
        <v>1717.343397</v>
      </c>
      <c r="D1987" s="39" t="n">
        <f aca="false">D1984+D1985+D1986</f>
        <v>3434.686794</v>
      </c>
      <c r="E1987" s="39" t="n">
        <f aca="false">E1984+E1985+E1986</f>
        <v>3434.686794</v>
      </c>
      <c r="F1987" s="39" t="n">
        <f aca="false">F1984+F1985+F1986</f>
        <v>3434.686794</v>
      </c>
      <c r="G1987" s="39" t="n">
        <f aca="false">G1984+G1985+G1986</f>
        <v>3434.686794</v>
      </c>
      <c r="H1987" s="39" t="n">
        <f aca="false">H1984+H1985+H1986</f>
        <v>3434.686794</v>
      </c>
      <c r="I1987" s="39" t="n">
        <f aca="false">I1984+I1985+I1986</f>
        <v>5126.77571175</v>
      </c>
      <c r="J1987" s="39" t="n">
        <f aca="false">J1984+J1985+J1986</f>
        <v>6818.8646295</v>
      </c>
      <c r="K1987" s="39" t="n">
        <f aca="false">K1984+K1985+K1986</f>
        <v>6818.8646295</v>
      </c>
      <c r="L1987" s="39" t="n">
        <f aca="false">L1984+L1985+L1986</f>
        <v>6818.8646295</v>
      </c>
      <c r="M1987" s="39" t="n">
        <f aca="false">M1984+M1985+M1986</f>
        <v>6818.8646295</v>
      </c>
      <c r="N1987" s="39" t="n">
        <f aca="false">N1984+N1985+N1986</f>
        <v>6818.8646295</v>
      </c>
      <c r="P1987" s="40" t="n">
        <f aca="false">F1987</f>
        <v>3434.686794</v>
      </c>
      <c r="Q1987" s="40" t="n">
        <f aca="false">J1987</f>
        <v>6818.8646295</v>
      </c>
      <c r="R1987" s="40" t="n">
        <f aca="false">N1987</f>
        <v>6818.8646295</v>
      </c>
      <c r="S1987" s="41" t="n">
        <f aca="false">R1987</f>
        <v>6818.8646295</v>
      </c>
    </row>
    <row r="1988" customFormat="false" ht="15" hidden="false" customHeight="false" outlineLevel="0" collapsed="false">
      <c r="A1988" s="4" t="s">
        <v>489</v>
      </c>
      <c r="B1988" s="36" t="s">
        <v>485</v>
      </c>
      <c r="C1988" s="39" t="n">
        <f aca="false">$C$1958*C1978*C1981+$C$1962*C1979*C1982+$C$1966*C1980*C1983</f>
        <v>1717.343397</v>
      </c>
      <c r="D1988" s="39" t="n">
        <f aca="false">$C$1958*D1978*D1981+$C$1962*D1979*D1982+$C$1966*D1980*D1983</f>
        <v>3022.90815960867</v>
      </c>
      <c r="E1988" s="39" t="n">
        <f aca="false">$C$1958*E1978*E1981+$C$1962*E1979*E1982+$C$1966*E1980*E1983</f>
        <v>2660.49695052011</v>
      </c>
      <c r="F1988" s="39" t="n">
        <f aca="false">$C$1958*F1978*F1981+$C$1962*F1979*F1982+$C$1966*F1980*F1983</f>
        <v>2341.53459185578</v>
      </c>
      <c r="G1988" s="39" t="n">
        <f aca="false">$C$1958*G1978*G1981+$C$1962*G1979*G1982+$C$1966*G1980*G1983</f>
        <v>2060.8120764</v>
      </c>
      <c r="H1988" s="39" t="n">
        <f aca="false">$C$1958*H1978*H1981+$C$1962*H1979*H1982+$C$1966*H1980*H1983</f>
        <v>1813.7448957652</v>
      </c>
      <c r="I1988" s="39" t="n">
        <f aca="false">$C$1958*I1978*I1981+$C$1962*I1979*I1982+$C$1966*I1980*I1983</f>
        <v>3288.38708806207</v>
      </c>
      <c r="J1988" s="39" t="n">
        <f aca="false">$C$1958*J1978*J1981+$C$1962*J1979*J1982+$C$1966*J1980*J1983</f>
        <v>4383.37538753308</v>
      </c>
      <c r="K1988" s="39" t="n">
        <f aca="false">$C$1958*K1978*K1981+$C$1962*K1979*K1982+$C$1966*K1980*K1983</f>
        <v>3857.86012533915</v>
      </c>
      <c r="L1988" s="39" t="n">
        <f aca="false">$C$1958*L1978*L1981+$C$1962*L1979*L1982+$C$1966*L1980*L1983</f>
        <v>3395.34797521822</v>
      </c>
      <c r="M1988" s="39" t="n">
        <f aca="false">$C$1958*M1978*M1981+$C$1962*M1979*M1982+$C$1966*M1980*M1983</f>
        <v>2988.28560348724</v>
      </c>
      <c r="N1988" s="39" t="n">
        <f aca="false">$C$1958*N1978*N1981+$C$1962*N1979*N1982+$C$1966*N1980*N1983</f>
        <v>2630.02523251985</v>
      </c>
      <c r="P1988" s="40"/>
      <c r="Q1988" s="40"/>
      <c r="R1988" s="40"/>
      <c r="S1988" s="41"/>
    </row>
    <row r="1989" customFormat="false" ht="15" hidden="false" customHeight="false" outlineLevel="0" collapsed="false">
      <c r="A1989" s="4" t="s">
        <v>490</v>
      </c>
      <c r="B1989" s="36" t="s">
        <v>491</v>
      </c>
      <c r="C1989" s="48" t="n">
        <f aca="false">$C$1970*Assumptions!$G$20*C1977*C1988</f>
        <v>7.7280452865</v>
      </c>
      <c r="D1989" s="48" t="n">
        <f aca="false">$C$1970*Assumptions!$G$20*D1977*D1988</f>
        <v>13.603086718239</v>
      </c>
      <c r="E1989" s="48" t="n">
        <f aca="false">$C$1970*Assumptions!$G$20*E1977*E1988</f>
        <v>11.9722362773405</v>
      </c>
      <c r="F1989" s="48" t="n">
        <f aca="false">$C$1970*Assumptions!$G$20*F1977*F1988</f>
        <v>10.536905663351</v>
      </c>
      <c r="G1989" s="48" t="n">
        <f aca="false">$C$1970*Assumptions!$G$20*G1977*G1988</f>
        <v>0</v>
      </c>
      <c r="H1989" s="48" t="n">
        <f aca="false">$C$1970*Assumptions!$G$20*H1977*H1988</f>
        <v>0</v>
      </c>
      <c r="I1989" s="48" t="n">
        <f aca="false">$C$1970*Assumptions!$G$20*I1977*I1988</f>
        <v>0</v>
      </c>
      <c r="J1989" s="48" t="n">
        <f aca="false">$C$1970*Assumptions!$G$20*J1977*J1988</f>
        <v>0</v>
      </c>
      <c r="K1989" s="48" t="n">
        <f aca="false">$C$1970*Assumptions!$G$20*K1977*K1988</f>
        <v>0</v>
      </c>
      <c r="L1989" s="48" t="n">
        <f aca="false">$C$1970*Assumptions!$G$20*L1977*L1988</f>
        <v>0</v>
      </c>
      <c r="M1989" s="48" t="n">
        <f aca="false">$C$1970*Assumptions!$G$20*M1977*M1988</f>
        <v>0</v>
      </c>
      <c r="N1989" s="48" t="n">
        <f aca="false">$C$1970*Assumptions!$G$20*N1977*N1988</f>
        <v>0</v>
      </c>
      <c r="P1989" s="49" t="n">
        <f aca="false">SUM(C1989:F1989)</f>
        <v>43.8402739454305</v>
      </c>
      <c r="Q1989" s="49" t="n">
        <f aca="false">SUM(G1989:J1989)</f>
        <v>0</v>
      </c>
      <c r="R1989" s="49" t="n">
        <f aca="false">SUM(K1989:N1989)</f>
        <v>0</v>
      </c>
      <c r="S1989" s="50" t="n">
        <f aca="false">SUM(P1989:R1989)</f>
        <v>43.8402739454305</v>
      </c>
    </row>
    <row r="1990" customFormat="false" ht="15" hidden="false" customHeight="false" outlineLevel="0" collapsed="false">
      <c r="A1990" s="4" t="s">
        <v>492</v>
      </c>
      <c r="B1990" s="36" t="s">
        <v>321</v>
      </c>
      <c r="C1990" s="48" t="n">
        <f aca="false">Assumptions!$D$111</f>
        <v>0</v>
      </c>
      <c r="D1990" s="48" t="n">
        <f aca="false">Assumptions!$E$111</f>
        <v>0</v>
      </c>
      <c r="E1990" s="48" t="n">
        <f aca="false">Assumptions!$F$111</f>
        <v>0</v>
      </c>
      <c r="F1990" s="48" t="n">
        <f aca="false">Assumptions!$G$111</f>
        <v>0</v>
      </c>
      <c r="G1990" s="48" t="n">
        <f aca="false">Assumptions!$H$111</f>
        <v>0</v>
      </c>
      <c r="H1990" s="48" t="n">
        <f aca="false">Assumptions!$I$111</f>
        <v>0</v>
      </c>
      <c r="I1990" s="48" t="n">
        <f aca="false">Assumptions!$J$111</f>
        <v>0</v>
      </c>
      <c r="J1990" s="48" t="n">
        <f aca="false">Assumptions!$K$111</f>
        <v>0</v>
      </c>
      <c r="K1990" s="48" t="n">
        <f aca="false">Assumptions!$L$111</f>
        <v>0</v>
      </c>
      <c r="L1990" s="48" t="n">
        <f aca="false">Assumptions!$M$111</f>
        <v>0</v>
      </c>
      <c r="M1990" s="48" t="n">
        <f aca="false">Assumptions!$N$111</f>
        <v>0</v>
      </c>
      <c r="N1990" s="48" t="n">
        <f aca="false">Assumptions!$O$111</f>
        <v>0</v>
      </c>
      <c r="P1990" s="49" t="n">
        <f aca="false">F1990</f>
        <v>0</v>
      </c>
      <c r="Q1990" s="49" t="n">
        <f aca="false">J1990</f>
        <v>0</v>
      </c>
      <c r="R1990" s="49" t="n">
        <f aca="false">N1990</f>
        <v>0</v>
      </c>
      <c r="S1990" s="50" t="n">
        <f aca="false">R1990</f>
        <v>0</v>
      </c>
    </row>
    <row r="1991" customFormat="false" ht="15" hidden="false" customHeight="false" outlineLevel="0" collapsed="false">
      <c r="A1991" s="4" t="s">
        <v>493</v>
      </c>
      <c r="B1991" s="36" t="s">
        <v>321</v>
      </c>
      <c r="C1991" s="48" t="n">
        <f aca="false">0</f>
        <v>0</v>
      </c>
      <c r="D1991" s="48" t="n">
        <f aca="false">0.5*C1990</f>
        <v>0</v>
      </c>
      <c r="E1991" s="48" t="n">
        <f aca="false">C1990+0.5*(D1990-C1990)</f>
        <v>0</v>
      </c>
      <c r="F1991" s="48" t="n">
        <f aca="false">D1990+0.5*(E1990-D1990)</f>
        <v>0</v>
      </c>
      <c r="G1991" s="48" t="n">
        <f aca="false">E1990+0.5*(F1990-E1990)</f>
        <v>0</v>
      </c>
      <c r="H1991" s="48" t="n">
        <f aca="false">F1990+0.5*(G1990-F1990)</f>
        <v>0</v>
      </c>
      <c r="I1991" s="48" t="n">
        <f aca="false">G1990+0.5*(H1990-G1990)</f>
        <v>0</v>
      </c>
      <c r="J1991" s="48" t="n">
        <f aca="false">H1990+0.5*(I1990-H1990)</f>
        <v>0</v>
      </c>
      <c r="K1991" s="48" t="n">
        <f aca="false">I1990+0.5*(J1990-I1990)</f>
        <v>0</v>
      </c>
      <c r="L1991" s="48" t="n">
        <f aca="false">J1990+0.5*(K1990-J1990)</f>
        <v>0</v>
      </c>
      <c r="M1991" s="48" t="n">
        <f aca="false">K1990+0.5*(L1990-K1990)</f>
        <v>0</v>
      </c>
      <c r="N1991" s="48" t="n">
        <f aca="false">L1990+0.5*(M1990-L1990)</f>
        <v>0</v>
      </c>
      <c r="P1991" s="49" t="n">
        <f aca="false">F1991</f>
        <v>0</v>
      </c>
      <c r="Q1991" s="49" t="n">
        <f aca="false">J1991</f>
        <v>0</v>
      </c>
      <c r="R1991" s="49" t="n">
        <f aca="false">N1991</f>
        <v>0</v>
      </c>
      <c r="S1991" s="50" t="n">
        <f aca="false">R1991</f>
        <v>0</v>
      </c>
    </row>
    <row r="1992" customFormat="false" ht="15" hidden="false" customHeight="false" outlineLevel="0" collapsed="false">
      <c r="A1992" s="4" t="s">
        <v>494</v>
      </c>
      <c r="B1992" s="36" t="s">
        <v>485</v>
      </c>
      <c r="C1992" s="39" t="n">
        <f aca="false">MIN(C1991*Assumptions!$G$38,C1987*(1-$C$1970))</f>
        <v>0</v>
      </c>
      <c r="D1992" s="39" t="n">
        <f aca="false">MIN(D1991*Assumptions!$G$38,D1987*(1-$C$1970))</f>
        <v>0</v>
      </c>
      <c r="E1992" s="39" t="n">
        <f aca="false">MIN(E1991*Assumptions!$G$38,E1987*(1-$C$1970))</f>
        <v>0</v>
      </c>
      <c r="F1992" s="39" t="n">
        <f aca="false">MIN(F1991*Assumptions!$G$38,F1987*(1-$C$1970))</f>
        <v>0</v>
      </c>
      <c r="G1992" s="39" t="n">
        <f aca="false">MIN(G1991*Assumptions!$G$38,G1987*(1-$C$1970))</f>
        <v>0</v>
      </c>
      <c r="H1992" s="39" t="n">
        <f aca="false">MIN(H1991*Assumptions!$G$38,H1987*(1-$C$1970))</f>
        <v>0</v>
      </c>
      <c r="I1992" s="39" t="n">
        <f aca="false">MIN(I1991*Assumptions!$G$38,I1987*(1-$C$1970))</f>
        <v>0</v>
      </c>
      <c r="J1992" s="39" t="n">
        <f aca="false">MIN(J1991*Assumptions!$G$38,J1987*(1-$C$1970))</f>
        <v>0</v>
      </c>
      <c r="K1992" s="39" t="n">
        <f aca="false">MIN(K1991*Assumptions!$G$38,K1987*(1-$C$1970))</f>
        <v>0</v>
      </c>
      <c r="L1992" s="39" t="n">
        <f aca="false">MIN(L1991*Assumptions!$G$38,L1987*(1-$C$1970))</f>
        <v>0</v>
      </c>
      <c r="M1992" s="39" t="n">
        <f aca="false">MIN(M1991*Assumptions!$G$38,M1987*(1-$C$1970))</f>
        <v>0</v>
      </c>
      <c r="N1992" s="39" t="n">
        <f aca="false">MIN(N1991*Assumptions!$G$38,N1987*(1-$C$1970))</f>
        <v>0</v>
      </c>
      <c r="P1992" s="40" t="n">
        <f aca="false">SUM(C1992:F1992)</f>
        <v>0</v>
      </c>
      <c r="Q1992" s="40" t="n">
        <f aca="false">SUM(G1992:J1992)</f>
        <v>0</v>
      </c>
      <c r="R1992" s="40" t="n">
        <f aca="false">SUM(K1992:N1992)</f>
        <v>0</v>
      </c>
      <c r="S1992" s="41" t="n">
        <f aca="false">SUM(P1992:R1992)</f>
        <v>0</v>
      </c>
    </row>
    <row r="1993" customFormat="false" ht="15" hidden="false" customHeight="false" outlineLevel="0" collapsed="false">
      <c r="A1993" s="4" t="s">
        <v>495</v>
      </c>
      <c r="B1993" s="36" t="s">
        <v>491</v>
      </c>
      <c r="C1993" s="48" t="n">
        <f aca="false">C1992*Assumptions!$G$20*Assumptions!$G$39*IF(C1987&gt;0,C1988/C1987,0)*C1977</f>
        <v>0</v>
      </c>
      <c r="D1993" s="48" t="n">
        <f aca="false">D1992*Assumptions!$G$20*Assumptions!$G$39*IF(D1987&gt;0,D1988/D1987,0)*D1977</f>
        <v>0</v>
      </c>
      <c r="E1993" s="48" t="n">
        <f aca="false">E1992*Assumptions!$G$20*Assumptions!$G$39*IF(E1987&gt;0,E1988/E1987,0)*E1977</f>
        <v>0</v>
      </c>
      <c r="F1993" s="48" t="n">
        <f aca="false">F1992*Assumptions!$G$20*Assumptions!$G$39*IF(F1987&gt;0,F1988/F1987,0)*F1977</f>
        <v>0</v>
      </c>
      <c r="G1993" s="48" t="n">
        <f aca="false">G1992*Assumptions!$G$20*Assumptions!$G$39*IF(G1987&gt;0,G1988/G1987,0)*G1977</f>
        <v>0</v>
      </c>
      <c r="H1993" s="48" t="n">
        <f aca="false">H1992*Assumptions!$G$20*Assumptions!$G$39*IF(H1987&gt;0,H1988/H1987,0)*H1977</f>
        <v>0</v>
      </c>
      <c r="I1993" s="48" t="n">
        <f aca="false">I1992*Assumptions!$G$20*Assumptions!$G$39*IF(I1987&gt;0,I1988/I1987,0)*I1977</f>
        <v>0</v>
      </c>
      <c r="J1993" s="48" t="n">
        <f aca="false">J1992*Assumptions!$G$20*Assumptions!$G$39*IF(J1987&gt;0,J1988/J1987,0)*J1977</f>
        <v>0</v>
      </c>
      <c r="K1993" s="48" t="n">
        <f aca="false">K1992*Assumptions!$G$20*Assumptions!$G$39*IF(K1987&gt;0,K1988/K1987,0)*K1977</f>
        <v>0</v>
      </c>
      <c r="L1993" s="48" t="n">
        <f aca="false">L1992*Assumptions!$G$20*Assumptions!$G$39*IF(L1987&gt;0,L1988/L1987,0)*L1977</f>
        <v>0</v>
      </c>
      <c r="M1993" s="48" t="n">
        <f aca="false">M1992*Assumptions!$G$20*Assumptions!$G$39*IF(M1987&gt;0,M1988/M1987,0)*M1977</f>
        <v>0</v>
      </c>
      <c r="N1993" s="48" t="n">
        <f aca="false">N1992*Assumptions!$G$20*Assumptions!$G$39*IF(N1987&gt;0,N1988/N1987,0)*N1977</f>
        <v>0</v>
      </c>
      <c r="P1993" s="49" t="n">
        <f aca="false">SUM(C1993:F1993)</f>
        <v>0</v>
      </c>
      <c r="Q1993" s="49" t="n">
        <f aca="false">SUM(G1993:J1993)</f>
        <v>0</v>
      </c>
      <c r="R1993" s="49" t="n">
        <f aca="false">SUM(K1993:N1993)</f>
        <v>0</v>
      </c>
      <c r="S1993" s="50" t="n">
        <f aca="false">SUM(P1993:R1993)</f>
        <v>0</v>
      </c>
    </row>
    <row r="1994" customFormat="false" ht="15" hidden="false" customHeight="false" outlineLevel="0" collapsed="false">
      <c r="A1994" s="4" t="s">
        <v>496</v>
      </c>
      <c r="B1994" s="36" t="s">
        <v>497</v>
      </c>
      <c r="C1994" s="48" t="n">
        <f aca="false">IF(AND(C1987&gt;0,$C$1974&gt;0),C1987*Assumptions!$G$24*(1-EXP(-$C$1974/(Assumptions!$G$23*C1987*Assumptions!$G$24))),0)</f>
        <v>0</v>
      </c>
      <c r="D1994" s="48" t="n">
        <f aca="false">IF(AND(D1987&gt;0,$C$1974&gt;0),D1987*Assumptions!$G$24*(1-EXP(-$C$1974/(Assumptions!$G$23*D1987*Assumptions!$G$24))),0)</f>
        <v>0</v>
      </c>
      <c r="E1994" s="48" t="n">
        <f aca="false">IF(AND(E1987&gt;0,$C$1974&gt;0),E1987*Assumptions!$G$24*(1-EXP(-$C$1974/(Assumptions!$G$23*E1987*Assumptions!$G$24))),0)</f>
        <v>0</v>
      </c>
      <c r="F1994" s="48" t="n">
        <f aca="false">IF(AND(F1987&gt;0,$C$1974&gt;0),F1987*Assumptions!$G$24*(1-EXP(-$C$1974/(Assumptions!$G$23*F1987*Assumptions!$G$24))),0)</f>
        <v>0</v>
      </c>
      <c r="G1994" s="48" t="n">
        <f aca="false">IF(AND(G1987&gt;0,$C$1974&gt;0),G1987*Assumptions!$G$24*(1-EXP(-$C$1974/(Assumptions!$G$23*G1987*Assumptions!$G$24))),0)</f>
        <v>0</v>
      </c>
      <c r="H1994" s="48" t="n">
        <f aca="false">IF(AND(H1987&gt;0,$C$1974&gt;0),H1987*Assumptions!$G$24*(1-EXP(-$C$1974/(Assumptions!$G$23*H1987*Assumptions!$G$24))),0)</f>
        <v>0</v>
      </c>
      <c r="I1994" s="48" t="n">
        <f aca="false">IF(AND(I1987&gt;0,$C$1974&gt;0),I1987*Assumptions!$G$24*(1-EXP(-$C$1974/(Assumptions!$G$23*I1987*Assumptions!$G$24))),0)</f>
        <v>0</v>
      </c>
      <c r="J1994" s="48" t="n">
        <f aca="false">IF(AND(J1987&gt;0,$C$1974&gt;0),J1987*Assumptions!$G$24*(1-EXP(-$C$1974/(Assumptions!$G$23*J1987*Assumptions!$G$24))),0)</f>
        <v>0</v>
      </c>
      <c r="K1994" s="48" t="n">
        <f aca="false">IF(AND(K1987&gt;0,$C$1974&gt;0),K1987*Assumptions!$G$24*(1-EXP(-$C$1974/(Assumptions!$G$23*K1987*Assumptions!$G$24))),0)</f>
        <v>0</v>
      </c>
      <c r="L1994" s="48" t="n">
        <f aca="false">IF(AND(L1987&gt;0,$C$1974&gt;0),L1987*Assumptions!$G$24*(1-EXP(-$C$1974/(Assumptions!$G$23*L1987*Assumptions!$G$24))),0)</f>
        <v>0</v>
      </c>
      <c r="M1994" s="48" t="n">
        <f aca="false">IF(AND(M1987&gt;0,$C$1974&gt;0),M1987*Assumptions!$G$24*(1-EXP(-$C$1974/(Assumptions!$G$23*M1987*Assumptions!$G$24))),0)</f>
        <v>0</v>
      </c>
      <c r="N1994" s="48" t="n">
        <f aca="false">IF(AND(N1987&gt;0,$C$1974&gt;0),N1987*Assumptions!$G$24*(1-EXP(-$C$1974/(Assumptions!$G$23*N1987*Assumptions!$G$24))),0)</f>
        <v>0</v>
      </c>
      <c r="P1994" s="49" t="n">
        <f aca="false">SUM(C1994:F1994)</f>
        <v>0</v>
      </c>
      <c r="Q1994" s="49" t="n">
        <f aca="false">SUM(G1994:J1994)</f>
        <v>0</v>
      </c>
      <c r="R1994" s="49" t="n">
        <f aca="false">SUM(K1994:N1994)</f>
        <v>0</v>
      </c>
      <c r="S1994" s="50" t="n">
        <f aca="false">SUM(P1994:R1994)</f>
        <v>0</v>
      </c>
    </row>
    <row r="1995" customFormat="false" ht="15" hidden="false" customHeight="false" outlineLevel="0" collapsed="false">
      <c r="A1995" s="4" t="s">
        <v>498</v>
      </c>
      <c r="B1995" s="36" t="s">
        <v>497</v>
      </c>
      <c r="C1995" s="48" t="n">
        <f aca="false">(C1987*Assumptions!$G$22*MIN(1,Assumptions!$D$103/Assumptions!$G$78)+C1994)*C1977</f>
        <v>17.17343397</v>
      </c>
      <c r="D1995" s="48" t="n">
        <f aca="false">(D1987*Assumptions!$G$22*MIN(1,Assumptions!$D$103/Assumptions!$G$78)+D1994)*D1977</f>
        <v>34.34686794</v>
      </c>
      <c r="E1995" s="48" t="n">
        <f aca="false">(E1987*Assumptions!$G$22*MIN(1,Assumptions!$D$103/Assumptions!$G$78)+E1994)*E1977</f>
        <v>34.34686794</v>
      </c>
      <c r="F1995" s="48" t="n">
        <f aca="false">(F1987*Assumptions!$G$22*MIN(1,Assumptions!$D$103/Assumptions!$G$78)+F1994)*F1977</f>
        <v>34.34686794</v>
      </c>
      <c r="G1995" s="48" t="n">
        <f aca="false">(G1987*Assumptions!$G$22*MIN(1,Assumptions!$D$103/Assumptions!$G$78)+G1994)*G1977</f>
        <v>0</v>
      </c>
      <c r="H1995" s="48" t="n">
        <f aca="false">(H1987*Assumptions!$G$22*MIN(1,Assumptions!$D$103/Assumptions!$G$78)+H1994)*H1977</f>
        <v>0</v>
      </c>
      <c r="I1995" s="48" t="n">
        <f aca="false">(I1987*Assumptions!$G$22*MIN(1,Assumptions!$D$103/Assumptions!$G$78)+I1994)*I1977</f>
        <v>0</v>
      </c>
      <c r="J1995" s="48" t="n">
        <f aca="false">(J1987*Assumptions!$G$22*MIN(1,Assumptions!$D$103/Assumptions!$G$78)+J1994)*J1977</f>
        <v>0</v>
      </c>
      <c r="K1995" s="48" t="n">
        <f aca="false">(K1987*Assumptions!$G$22*MIN(1,Assumptions!$D$103/Assumptions!$G$78)+K1994)*K1977</f>
        <v>0</v>
      </c>
      <c r="L1995" s="48" t="n">
        <f aca="false">(L1987*Assumptions!$G$22*MIN(1,Assumptions!$D$103/Assumptions!$G$78)+L1994)*L1977</f>
        <v>0</v>
      </c>
      <c r="M1995" s="48" t="n">
        <f aca="false">(M1987*Assumptions!$G$22*MIN(1,Assumptions!$D$103/Assumptions!$G$78)+M1994)*M1977</f>
        <v>0</v>
      </c>
      <c r="N1995" s="48" t="n">
        <f aca="false">(N1987*Assumptions!$G$22*MIN(1,Assumptions!$D$103/Assumptions!$G$78)+N1994)*N1977</f>
        <v>0</v>
      </c>
      <c r="P1995" s="49" t="n">
        <f aca="false">SUM(C1995:F1995)</f>
        <v>120.21403779</v>
      </c>
      <c r="Q1995" s="49" t="n">
        <f aca="false">SUM(G1995:J1995)</f>
        <v>0</v>
      </c>
      <c r="R1995" s="49" t="n">
        <f aca="false">SUM(K1995:N1995)</f>
        <v>0</v>
      </c>
      <c r="S1995" s="50" t="n">
        <f aca="false">SUM(P1995:R1995)</f>
        <v>120.21403779</v>
      </c>
    </row>
    <row r="1996" customFormat="false" ht="15" hidden="false" customHeight="false" outlineLevel="0" collapsed="false">
      <c r="A1996" s="4" t="s">
        <v>499</v>
      </c>
      <c r="B1996" s="36" t="s">
        <v>500</v>
      </c>
      <c r="C1996" s="48" t="n">
        <f aca="false">C1977*MIN(Assumptions!$G$27,Assumptions!$G$25+Assumptions!$G$26*(C1976-1))*Assumptions!$D$107</f>
        <v>2</v>
      </c>
      <c r="D1996" s="48" t="n">
        <f aca="false">D1977*MIN(Assumptions!$G$27,Assumptions!$G$25+Assumptions!$G$26*(D1976-1))*Assumptions!$D$107</f>
        <v>3</v>
      </c>
      <c r="E1996" s="48" t="n">
        <f aca="false">E1977*MIN(Assumptions!$G$27,Assumptions!$G$25+Assumptions!$G$26*(E1976-1))*Assumptions!$D$107</f>
        <v>4</v>
      </c>
      <c r="F1996" s="48" t="n">
        <f aca="false">F1977*MIN(Assumptions!$G$27,Assumptions!$G$25+Assumptions!$G$26*(F1976-1))*Assumptions!$D$107</f>
        <v>5</v>
      </c>
      <c r="G1996" s="48" t="n">
        <f aca="false">G1977*MIN(Assumptions!$G$27,Assumptions!$G$25+Assumptions!$G$26*(G1976-1))*Assumptions!$D$107</f>
        <v>0</v>
      </c>
      <c r="H1996" s="48" t="n">
        <f aca="false">H1977*MIN(Assumptions!$G$27,Assumptions!$G$25+Assumptions!$G$26*(H1976-1))*Assumptions!$D$107</f>
        <v>0</v>
      </c>
      <c r="I1996" s="48" t="n">
        <f aca="false">I1977*MIN(Assumptions!$G$27,Assumptions!$G$25+Assumptions!$G$26*(I1976-1))*Assumptions!$D$107</f>
        <v>0</v>
      </c>
      <c r="J1996" s="48" t="n">
        <f aca="false">J1977*MIN(Assumptions!$G$27,Assumptions!$G$25+Assumptions!$G$26*(J1976-1))*Assumptions!$D$107</f>
        <v>0</v>
      </c>
      <c r="K1996" s="48" t="n">
        <f aca="false">K1977*MIN(Assumptions!$G$27,Assumptions!$G$25+Assumptions!$G$26*(K1976-1))*Assumptions!$D$107</f>
        <v>0</v>
      </c>
      <c r="L1996" s="48" t="n">
        <f aca="false">L1977*MIN(Assumptions!$G$27,Assumptions!$G$25+Assumptions!$G$26*(L1976-1))*Assumptions!$D$107</f>
        <v>0</v>
      </c>
      <c r="M1996" s="48" t="n">
        <f aca="false">M1977*MIN(Assumptions!$G$27,Assumptions!$G$25+Assumptions!$G$26*(M1976-1))*Assumptions!$D$107</f>
        <v>0</v>
      </c>
      <c r="N1996" s="48" t="n">
        <f aca="false">N1977*MIN(Assumptions!$G$27,Assumptions!$G$25+Assumptions!$G$26*(N1976-1))*Assumptions!$D$107</f>
        <v>0</v>
      </c>
      <c r="P1996" s="49" t="n">
        <f aca="false">F1996</f>
        <v>5</v>
      </c>
      <c r="Q1996" s="49" t="n">
        <f aca="false">J1996</f>
        <v>0</v>
      </c>
      <c r="R1996" s="49" t="n">
        <f aca="false">N1996</f>
        <v>0</v>
      </c>
      <c r="S1996" s="50" t="n">
        <f aca="false">R1996</f>
        <v>0</v>
      </c>
    </row>
    <row r="1997" customFormat="false" ht="15" hidden="false" customHeight="false" outlineLevel="0" collapsed="false">
      <c r="A1997" s="4" t="s">
        <v>501</v>
      </c>
      <c r="B1997" s="36" t="s">
        <v>502</v>
      </c>
      <c r="C1997" s="48" t="n">
        <f aca="false">C1996*Assumptions!$G$28</f>
        <v>4</v>
      </c>
      <c r="D1997" s="48" t="n">
        <f aca="false">D1996*Assumptions!$G$28</f>
        <v>6</v>
      </c>
      <c r="E1997" s="48" t="n">
        <f aca="false">E1996*Assumptions!$G$28</f>
        <v>8</v>
      </c>
      <c r="F1997" s="48" t="n">
        <f aca="false">F1996*Assumptions!$G$28</f>
        <v>10</v>
      </c>
      <c r="G1997" s="48" t="n">
        <f aca="false">G1996*Assumptions!$G$28</f>
        <v>0</v>
      </c>
      <c r="H1997" s="48" t="n">
        <f aca="false">H1996*Assumptions!$G$28</f>
        <v>0</v>
      </c>
      <c r="I1997" s="48" t="n">
        <f aca="false">I1996*Assumptions!$G$28</f>
        <v>0</v>
      </c>
      <c r="J1997" s="48" t="n">
        <f aca="false">J1996*Assumptions!$G$28</f>
        <v>0</v>
      </c>
      <c r="K1997" s="48" t="n">
        <f aca="false">K1996*Assumptions!$G$28</f>
        <v>0</v>
      </c>
      <c r="L1997" s="48" t="n">
        <f aca="false">L1996*Assumptions!$G$28</f>
        <v>0</v>
      </c>
      <c r="M1997" s="48" t="n">
        <f aca="false">M1996*Assumptions!$G$28</f>
        <v>0</v>
      </c>
      <c r="N1997" s="48" t="n">
        <f aca="false">N1996*Assumptions!$G$28</f>
        <v>0</v>
      </c>
      <c r="P1997" s="49" t="n">
        <f aca="false">SUM(C1997:F1997)</f>
        <v>28</v>
      </c>
      <c r="Q1997" s="49" t="n">
        <f aca="false">SUM(G1997:J1997)</f>
        <v>0</v>
      </c>
      <c r="R1997" s="49" t="n">
        <f aca="false">SUM(K1997:N1997)</f>
        <v>0</v>
      </c>
      <c r="S1997" s="50" t="n">
        <f aca="false">SUM(P1997:R1997)</f>
        <v>28</v>
      </c>
    </row>
    <row r="1998" customFormat="false" ht="15" hidden="false" customHeight="false" outlineLevel="0" collapsed="false">
      <c r="A1998" s="4" t="s">
        <v>503</v>
      </c>
      <c r="B1998" s="36" t="s">
        <v>504</v>
      </c>
      <c r="C1998" s="48" t="n">
        <f aca="false">(C1989+C1993)*Assumptions!$G$29</f>
        <v>2.31841358595</v>
      </c>
      <c r="D1998" s="48" t="n">
        <f aca="false">(D1989+D1993)*Assumptions!$G$29</f>
        <v>4.08092601547171</v>
      </c>
      <c r="E1998" s="48" t="n">
        <f aca="false">(E1989+E1993)*Assumptions!$G$29</f>
        <v>3.59167088320215</v>
      </c>
      <c r="F1998" s="48" t="n">
        <f aca="false">(F1989+F1993)*Assumptions!$G$29</f>
        <v>3.1610716990053</v>
      </c>
      <c r="G1998" s="48" t="n">
        <f aca="false">(G1989+G1993)*Assumptions!$G$29</f>
        <v>0</v>
      </c>
      <c r="H1998" s="48" t="n">
        <f aca="false">(H1989+H1993)*Assumptions!$G$29</f>
        <v>0</v>
      </c>
      <c r="I1998" s="48" t="n">
        <f aca="false">(I1989+I1993)*Assumptions!$G$29</f>
        <v>0</v>
      </c>
      <c r="J1998" s="48" t="n">
        <f aca="false">(J1989+J1993)*Assumptions!$G$29</f>
        <v>0</v>
      </c>
      <c r="K1998" s="48" t="n">
        <f aca="false">(K1989+K1993)*Assumptions!$G$29</f>
        <v>0</v>
      </c>
      <c r="L1998" s="48" t="n">
        <f aca="false">(L1989+L1993)*Assumptions!$G$29</f>
        <v>0</v>
      </c>
      <c r="M1998" s="48" t="n">
        <f aca="false">(M1989+M1993)*Assumptions!$G$29</f>
        <v>0</v>
      </c>
      <c r="N1998" s="48" t="n">
        <f aca="false">(N1989+N1993)*Assumptions!$G$29</f>
        <v>0</v>
      </c>
      <c r="P1998" s="49" t="n">
        <f aca="false">SUM(C1998:F1998)</f>
        <v>13.1520821836292</v>
      </c>
      <c r="Q1998" s="49" t="n">
        <f aca="false">SUM(G1998:J1998)</f>
        <v>0</v>
      </c>
      <c r="R1998" s="49" t="n">
        <f aca="false">SUM(K1998:N1998)</f>
        <v>0</v>
      </c>
      <c r="S1998" s="50" t="n">
        <f aca="false">SUM(P1998:R1998)</f>
        <v>13.1520821836292</v>
      </c>
    </row>
    <row r="1999" customFormat="false" ht="15" hidden="false" customHeight="false" outlineLevel="0" collapsed="false">
      <c r="A1999" s="4" t="s">
        <v>505</v>
      </c>
      <c r="B1999" s="36" t="s">
        <v>504</v>
      </c>
      <c r="C1999" s="48" t="n">
        <f aca="false">C1995*Assumptions!$G$31</f>
        <v>1.717343397</v>
      </c>
      <c r="D1999" s="48" t="n">
        <f aca="false">D1995*Assumptions!$G$31</f>
        <v>3.434686794</v>
      </c>
      <c r="E1999" s="48" t="n">
        <f aca="false">E1995*Assumptions!$G$31</f>
        <v>3.434686794</v>
      </c>
      <c r="F1999" s="48" t="n">
        <f aca="false">F1995*Assumptions!$G$31</f>
        <v>3.434686794</v>
      </c>
      <c r="G1999" s="48" t="n">
        <f aca="false">G1995*Assumptions!$G$31</f>
        <v>0</v>
      </c>
      <c r="H1999" s="48" t="n">
        <f aca="false">H1995*Assumptions!$G$31</f>
        <v>0</v>
      </c>
      <c r="I1999" s="48" t="n">
        <f aca="false">I1995*Assumptions!$G$31</f>
        <v>0</v>
      </c>
      <c r="J1999" s="48" t="n">
        <f aca="false">J1995*Assumptions!$G$31</f>
        <v>0</v>
      </c>
      <c r="K1999" s="48" t="n">
        <f aca="false">K1995*Assumptions!$G$31</f>
        <v>0</v>
      </c>
      <c r="L1999" s="48" t="n">
        <f aca="false">L1995*Assumptions!$G$31</f>
        <v>0</v>
      </c>
      <c r="M1999" s="48" t="n">
        <f aca="false">M1995*Assumptions!$G$31</f>
        <v>0</v>
      </c>
      <c r="N1999" s="48" t="n">
        <f aca="false">N1995*Assumptions!$G$31</f>
        <v>0</v>
      </c>
      <c r="P1999" s="49" t="n">
        <f aca="false">SUM(C1999:F1999)</f>
        <v>12.021403779</v>
      </c>
      <c r="Q1999" s="49" t="n">
        <f aca="false">SUM(G1999:J1999)</f>
        <v>0</v>
      </c>
      <c r="R1999" s="49" t="n">
        <f aca="false">SUM(K1999:N1999)</f>
        <v>0</v>
      </c>
      <c r="S1999" s="50" t="n">
        <f aca="false">SUM(P1999:R1999)</f>
        <v>12.021403779</v>
      </c>
    </row>
    <row r="2000" customFormat="false" ht="15" hidden="false" customHeight="false" outlineLevel="0" collapsed="false">
      <c r="A2000" s="4" t="s">
        <v>506</v>
      </c>
      <c r="B2000" s="36" t="s">
        <v>504</v>
      </c>
      <c r="C2000" s="48" t="n">
        <f aca="false">C1997*Assumptions!$G$30</f>
        <v>1.6</v>
      </c>
      <c r="D2000" s="48" t="n">
        <f aca="false">D1997*Assumptions!$G$30</f>
        <v>2.4</v>
      </c>
      <c r="E2000" s="48" t="n">
        <f aca="false">E1997*Assumptions!$G$30</f>
        <v>3.2</v>
      </c>
      <c r="F2000" s="48" t="n">
        <f aca="false">F1997*Assumptions!$G$30</f>
        <v>4</v>
      </c>
      <c r="G2000" s="48" t="n">
        <f aca="false">G1997*Assumptions!$G$30</f>
        <v>0</v>
      </c>
      <c r="H2000" s="48" t="n">
        <f aca="false">H1997*Assumptions!$G$30</f>
        <v>0</v>
      </c>
      <c r="I2000" s="48" t="n">
        <f aca="false">I1997*Assumptions!$G$30</f>
        <v>0</v>
      </c>
      <c r="J2000" s="48" t="n">
        <f aca="false">J1997*Assumptions!$G$30</f>
        <v>0</v>
      </c>
      <c r="K2000" s="48" t="n">
        <f aca="false">K1997*Assumptions!$G$30</f>
        <v>0</v>
      </c>
      <c r="L2000" s="48" t="n">
        <f aca="false">L1997*Assumptions!$G$30</f>
        <v>0</v>
      </c>
      <c r="M2000" s="48" t="n">
        <f aca="false">M1997*Assumptions!$G$30</f>
        <v>0</v>
      </c>
      <c r="N2000" s="48" t="n">
        <f aca="false">N1997*Assumptions!$G$30</f>
        <v>0</v>
      </c>
      <c r="P2000" s="49" t="n">
        <f aca="false">SUM(C2000:F2000)</f>
        <v>11.2</v>
      </c>
      <c r="Q2000" s="49" t="n">
        <f aca="false">SUM(G2000:J2000)</f>
        <v>0</v>
      </c>
      <c r="R2000" s="49" t="n">
        <f aca="false">SUM(K2000:N2000)</f>
        <v>0</v>
      </c>
      <c r="S2000" s="50" t="n">
        <f aca="false">SUM(P2000:R2000)</f>
        <v>11.2</v>
      </c>
    </row>
    <row r="2001" customFormat="false" ht="15" hidden="false" customHeight="false" outlineLevel="0" collapsed="false">
      <c r="A2001" s="9" t="s">
        <v>507</v>
      </c>
      <c r="B2001" s="36" t="s">
        <v>504</v>
      </c>
      <c r="C2001" s="49" t="n">
        <f aca="false">C1998+C1999+C2000</f>
        <v>5.63575698295</v>
      </c>
      <c r="D2001" s="49" t="n">
        <f aca="false">D1998+D1999+D2000</f>
        <v>9.91561280947171</v>
      </c>
      <c r="E2001" s="49" t="n">
        <f aca="false">E1998+E1999+E2000</f>
        <v>10.2263576772021</v>
      </c>
      <c r="F2001" s="49" t="n">
        <f aca="false">F1998+F1999+F2000</f>
        <v>10.5957584930053</v>
      </c>
      <c r="G2001" s="49" t="n">
        <f aca="false">G1998+G1999+G2000</f>
        <v>0</v>
      </c>
      <c r="H2001" s="49" t="n">
        <f aca="false">H1998+H1999+H2000</f>
        <v>0</v>
      </c>
      <c r="I2001" s="49" t="n">
        <f aca="false">I1998+I1999+I2000</f>
        <v>0</v>
      </c>
      <c r="J2001" s="49" t="n">
        <f aca="false">J1998+J1999+J2000</f>
        <v>0</v>
      </c>
      <c r="K2001" s="49" t="n">
        <f aca="false">K1998+K1999+K2000</f>
        <v>0</v>
      </c>
      <c r="L2001" s="49" t="n">
        <f aca="false">L1998+L1999+L2000</f>
        <v>0</v>
      </c>
      <c r="M2001" s="49" t="n">
        <f aca="false">M1998+M1999+M2000</f>
        <v>0</v>
      </c>
      <c r="N2001" s="49" t="n">
        <f aca="false">N1998+N1999+N2000</f>
        <v>0</v>
      </c>
      <c r="P2001" s="49" t="n">
        <f aca="false">SUM(C2001:F2001)</f>
        <v>36.3734859626292</v>
      </c>
      <c r="Q2001" s="49" t="n">
        <f aca="false">SUM(G2001:J2001)</f>
        <v>0</v>
      </c>
      <c r="R2001" s="49" t="n">
        <f aca="false">SUM(K2001:N2001)</f>
        <v>0</v>
      </c>
      <c r="S2001" s="50" t="n">
        <f aca="false">SUM(P2001:R2001)</f>
        <v>36.3734859626292</v>
      </c>
    </row>
    <row r="2002" customFormat="false" ht="15" hidden="false" customHeight="false" outlineLevel="0" collapsed="false">
      <c r="A2002" s="4" t="s">
        <v>508</v>
      </c>
      <c r="B2002" s="36" t="s">
        <v>509</v>
      </c>
      <c r="C2002" s="48" t="n">
        <f aca="false">C1984</f>
        <v>1371.907152</v>
      </c>
      <c r="D2002" s="48" t="n">
        <f aca="false">D1984</f>
        <v>2743.814304</v>
      </c>
      <c r="E2002" s="48" t="n">
        <f aca="false">E1984</f>
        <v>2743.814304</v>
      </c>
      <c r="F2002" s="48" t="n">
        <f aca="false">F1984</f>
        <v>2743.814304</v>
      </c>
      <c r="G2002" s="48" t="n">
        <f aca="false">G1984</f>
        <v>2743.814304</v>
      </c>
      <c r="H2002" s="48" t="n">
        <f aca="false">H1984</f>
        <v>2743.814304</v>
      </c>
      <c r="I2002" s="48" t="n">
        <f aca="false">I1984</f>
        <v>4099.55809725</v>
      </c>
      <c r="J2002" s="48" t="n">
        <f aca="false">J1984</f>
        <v>5455.3018905</v>
      </c>
      <c r="K2002" s="48" t="n">
        <f aca="false">K1984</f>
        <v>5455.3018905</v>
      </c>
      <c r="L2002" s="48" t="n">
        <f aca="false">L1984</f>
        <v>5455.3018905</v>
      </c>
      <c r="M2002" s="48" t="n">
        <f aca="false">M1984</f>
        <v>5455.3018905</v>
      </c>
      <c r="N2002" s="48" t="n">
        <f aca="false">N1984</f>
        <v>5455.3018905</v>
      </c>
      <c r="P2002" s="49"/>
      <c r="Q2002" s="49"/>
      <c r="R2002" s="49"/>
      <c r="S2002" s="50"/>
    </row>
    <row r="2003" customFormat="false" ht="15" hidden="false" customHeight="false" outlineLevel="0" collapsed="false">
      <c r="A2003" s="4" t="s">
        <v>510</v>
      </c>
      <c r="B2003" s="36" t="s">
        <v>509</v>
      </c>
      <c r="C2003" s="48" t="n">
        <f aca="false">C1985*Assumptions!$G$18*Assumptions!$G$33</f>
        <v>560.531664</v>
      </c>
      <c r="D2003" s="48" t="n">
        <f aca="false">D1985*Assumptions!$G$18*Assumptions!$G$33</f>
        <v>1121.063328</v>
      </c>
      <c r="E2003" s="48" t="n">
        <f aca="false">E1985*Assumptions!$G$18*Assumptions!$G$33</f>
        <v>1121.063328</v>
      </c>
      <c r="F2003" s="48" t="n">
        <f aca="false">F1985*Assumptions!$G$18*Assumptions!$G$33</f>
        <v>1121.063328</v>
      </c>
      <c r="G2003" s="48" t="n">
        <f aca="false">G1985*Assumptions!$G$18*Assumptions!$G$33</f>
        <v>1121.063328</v>
      </c>
      <c r="H2003" s="48" t="n">
        <f aca="false">H1985*Assumptions!$G$18*Assumptions!$G$33</f>
        <v>1121.063328</v>
      </c>
      <c r="I2003" s="48" t="n">
        <f aca="false">I1985*Assumptions!$G$18*Assumptions!$G$33</f>
        <v>1679.579055</v>
      </c>
      <c r="J2003" s="48" t="n">
        <f aca="false">J1985*Assumptions!$G$18*Assumptions!$G$33</f>
        <v>2238.094782</v>
      </c>
      <c r="K2003" s="48" t="n">
        <f aca="false">K1985*Assumptions!$G$18*Assumptions!$G$33</f>
        <v>2238.094782</v>
      </c>
      <c r="L2003" s="48" t="n">
        <f aca="false">L1985*Assumptions!$G$18*Assumptions!$G$33</f>
        <v>2238.094782</v>
      </c>
      <c r="M2003" s="48" t="n">
        <f aca="false">M1985*Assumptions!$G$18*Assumptions!$G$33</f>
        <v>2238.094782</v>
      </c>
      <c r="N2003" s="48" t="n">
        <f aca="false">N1985*Assumptions!$G$18*Assumptions!$G$33</f>
        <v>2238.094782</v>
      </c>
      <c r="P2003" s="49"/>
      <c r="Q2003" s="49"/>
      <c r="R2003" s="49"/>
      <c r="S2003" s="50"/>
    </row>
    <row r="2004" customFormat="false" ht="15" hidden="false" customHeight="false" outlineLevel="0" collapsed="false">
      <c r="A2004" s="4" t="s">
        <v>511</v>
      </c>
      <c r="B2004" s="36" t="s">
        <v>509</v>
      </c>
      <c r="C2004" s="48" t="n">
        <f aca="false">C1986*Assumptions!$G$19*Assumptions!$G$34</f>
        <v>65.170413</v>
      </c>
      <c r="D2004" s="48" t="n">
        <f aca="false">D1986*Assumptions!$G$19*Assumptions!$G$34</f>
        <v>130.340826</v>
      </c>
      <c r="E2004" s="48" t="n">
        <f aca="false">E1986*Assumptions!$G$19*Assumptions!$G$34</f>
        <v>130.340826</v>
      </c>
      <c r="F2004" s="48" t="n">
        <f aca="false">F1986*Assumptions!$G$19*Assumptions!$G$34</f>
        <v>130.340826</v>
      </c>
      <c r="G2004" s="48" t="n">
        <f aca="false">G1986*Assumptions!$G$19*Assumptions!$G$34</f>
        <v>130.340826</v>
      </c>
      <c r="H2004" s="48" t="n">
        <f aca="false">H1986*Assumptions!$G$19*Assumptions!$G$34</f>
        <v>130.340826</v>
      </c>
      <c r="I2004" s="48" t="n">
        <f aca="false">I1986*Assumptions!$G$19*Assumptions!$G$34</f>
        <v>187.428087</v>
      </c>
      <c r="J2004" s="48" t="n">
        <f aca="false">J1986*Assumptions!$G$19*Assumptions!$G$34</f>
        <v>244.515348</v>
      </c>
      <c r="K2004" s="48" t="n">
        <f aca="false">K1986*Assumptions!$G$19*Assumptions!$G$34</f>
        <v>244.515348</v>
      </c>
      <c r="L2004" s="48" t="n">
        <f aca="false">L1986*Assumptions!$G$19*Assumptions!$G$34</f>
        <v>244.515348</v>
      </c>
      <c r="M2004" s="48" t="n">
        <f aca="false">M1986*Assumptions!$G$19*Assumptions!$G$34</f>
        <v>244.515348</v>
      </c>
      <c r="N2004" s="48" t="n">
        <f aca="false">N1986*Assumptions!$G$19*Assumptions!$G$34</f>
        <v>244.515348</v>
      </c>
      <c r="P2004" s="49"/>
      <c r="Q2004" s="49"/>
      <c r="R2004" s="49"/>
      <c r="S2004" s="50"/>
    </row>
    <row r="2005" customFormat="false" ht="15" hidden="false" customHeight="false" outlineLevel="0" collapsed="false">
      <c r="A2005" s="4" t="s">
        <v>512</v>
      </c>
      <c r="B2005" s="36" t="s">
        <v>77</v>
      </c>
      <c r="C2005" s="51" t="n">
        <f aca="false">IFERROR(C2002/(C2002+C2003+C2004),0)</f>
        <v>0.686774536322489</v>
      </c>
      <c r="D2005" s="51" t="n">
        <f aca="false">IFERROR(D2002/(D2002+D2003+D2004),0)</f>
        <v>0.686774536322489</v>
      </c>
      <c r="E2005" s="51" t="n">
        <f aca="false">IFERROR(E2002/(E2002+E2003+E2004),0)</f>
        <v>0.686774536322489</v>
      </c>
      <c r="F2005" s="51" t="n">
        <f aca="false">IFERROR(F2002/(F2002+F2003+F2004),0)</f>
        <v>0.686774536322489</v>
      </c>
      <c r="G2005" s="51" t="n">
        <f aca="false">IFERROR(G2002/(G2002+G2003+G2004),0)</f>
        <v>0.686774536322489</v>
      </c>
      <c r="H2005" s="51" t="n">
        <f aca="false">IFERROR(H2002/(H2002+H2003+H2004),0)</f>
        <v>0.686774536322489</v>
      </c>
      <c r="I2005" s="51" t="n">
        <f aca="false">IFERROR(I2002/(I2002+I2003+I2004),0)</f>
        <v>0.687088455897839</v>
      </c>
      <c r="J2005" s="51" t="n">
        <f aca="false">IFERROR(J2002/(J2002+J2003+J2004),0)</f>
        <v>0.687246454283122</v>
      </c>
      <c r="K2005" s="51" t="n">
        <f aca="false">IFERROR(K2002/(K2002+K2003+K2004),0)</f>
        <v>0.687246454283122</v>
      </c>
      <c r="L2005" s="51" t="n">
        <f aca="false">IFERROR(L2002/(L2002+L2003+L2004),0)</f>
        <v>0.687246454283122</v>
      </c>
      <c r="M2005" s="51" t="n">
        <f aca="false">IFERROR(M2002/(M2002+M2003+M2004),0)</f>
        <v>0.687246454283122</v>
      </c>
      <c r="N2005" s="51" t="n">
        <f aca="false">IFERROR(N2002/(N2002+N2003+N2004),0)</f>
        <v>0.687246454283122</v>
      </c>
      <c r="P2005" s="52"/>
      <c r="Q2005" s="52"/>
      <c r="R2005" s="52"/>
      <c r="S2005" s="53"/>
    </row>
    <row r="2006" customFormat="false" ht="15" hidden="false" customHeight="false" outlineLevel="0" collapsed="false">
      <c r="A2006" s="4" t="s">
        <v>513</v>
      </c>
      <c r="B2006" s="36" t="s">
        <v>77</v>
      </c>
      <c r="C2006" s="51" t="n">
        <f aca="false">IFERROR(C2003/(C2002+C2003+C2004),0)</f>
        <v>0.280601258675903</v>
      </c>
      <c r="D2006" s="51" t="n">
        <f aca="false">IFERROR(D2003/(D2002+D2003+D2004),0)</f>
        <v>0.280601258675903</v>
      </c>
      <c r="E2006" s="51" t="n">
        <f aca="false">IFERROR(E2003/(E2002+E2003+E2004),0)</f>
        <v>0.280601258675903</v>
      </c>
      <c r="F2006" s="51" t="n">
        <f aca="false">IFERROR(F2003/(F2002+F2003+F2004),0)</f>
        <v>0.280601258675903</v>
      </c>
      <c r="G2006" s="51" t="n">
        <f aca="false">IFERROR(G2003/(G2002+G2003+G2004),0)</f>
        <v>0.280601258675903</v>
      </c>
      <c r="H2006" s="51" t="n">
        <f aca="false">IFERROR(H2003/(H2002+H2003+H2004),0)</f>
        <v>0.280601258675903</v>
      </c>
      <c r="I2006" s="51" t="n">
        <f aca="false">IFERROR(I2003/(I2002+I2003+I2004),0)</f>
        <v>0.281498481563762</v>
      </c>
      <c r="J2006" s="51" t="n">
        <f aca="false">IFERROR(J2003/(J2002+J2003+J2004),0)</f>
        <v>0.281950061454451</v>
      </c>
      <c r="K2006" s="51" t="n">
        <f aca="false">IFERROR(K2003/(K2002+K2003+K2004),0)</f>
        <v>0.281950061454451</v>
      </c>
      <c r="L2006" s="51" t="n">
        <f aca="false">IFERROR(L2003/(L2002+L2003+L2004),0)</f>
        <v>0.281950061454451</v>
      </c>
      <c r="M2006" s="51" t="n">
        <f aca="false">IFERROR(M2003/(M2002+M2003+M2004),0)</f>
        <v>0.281950061454451</v>
      </c>
      <c r="N2006" s="51" t="n">
        <f aca="false">IFERROR(N2003/(N2002+N2003+N2004),0)</f>
        <v>0.281950061454451</v>
      </c>
      <c r="P2006" s="52"/>
      <c r="Q2006" s="52"/>
      <c r="R2006" s="52"/>
      <c r="S2006" s="53"/>
    </row>
    <row r="2007" customFormat="false" ht="15" hidden="false" customHeight="false" outlineLevel="0" collapsed="false">
      <c r="A2007" s="4" t="s">
        <v>514</v>
      </c>
      <c r="B2007" s="36" t="s">
        <v>77</v>
      </c>
      <c r="C2007" s="51" t="n">
        <f aca="false">IFERROR(C2004/(C2002+C2003+C2004),0)</f>
        <v>0.0326242050016079</v>
      </c>
      <c r="D2007" s="51" t="n">
        <f aca="false">IFERROR(D2004/(D2002+D2003+D2004),0)</f>
        <v>0.0326242050016079</v>
      </c>
      <c r="E2007" s="51" t="n">
        <f aca="false">IFERROR(E2004/(E2002+E2003+E2004),0)</f>
        <v>0.0326242050016079</v>
      </c>
      <c r="F2007" s="51" t="n">
        <f aca="false">IFERROR(F2004/(F2002+F2003+F2004),0)</f>
        <v>0.0326242050016079</v>
      </c>
      <c r="G2007" s="51" t="n">
        <f aca="false">IFERROR(G2004/(G2002+G2003+G2004),0)</f>
        <v>0.0326242050016079</v>
      </c>
      <c r="H2007" s="51" t="n">
        <f aca="false">IFERROR(H2004/(H2002+H2003+H2004),0)</f>
        <v>0.0326242050016079</v>
      </c>
      <c r="I2007" s="51" t="n">
        <f aca="false">IFERROR(I2004/(I2002+I2003+I2004),0)</f>
        <v>0.0314130625383994</v>
      </c>
      <c r="J2007" s="51" t="n">
        <f aca="false">IFERROR(J2004/(J2002+J2003+J2004),0)</f>
        <v>0.0308034842624268</v>
      </c>
      <c r="K2007" s="51" t="n">
        <f aca="false">IFERROR(K2004/(K2002+K2003+K2004),0)</f>
        <v>0.0308034842624268</v>
      </c>
      <c r="L2007" s="51" t="n">
        <f aca="false">IFERROR(L2004/(L2002+L2003+L2004),0)</f>
        <v>0.0308034842624268</v>
      </c>
      <c r="M2007" s="51" t="n">
        <f aca="false">IFERROR(M2004/(M2002+M2003+M2004),0)</f>
        <v>0.0308034842624268</v>
      </c>
      <c r="N2007" s="51" t="n">
        <f aca="false">IFERROR(N2004/(N2002+N2003+N2004),0)</f>
        <v>0.0308034842624268</v>
      </c>
      <c r="P2007" s="52"/>
      <c r="Q2007" s="52"/>
      <c r="R2007" s="52"/>
      <c r="S2007" s="53"/>
    </row>
    <row r="2008" customFormat="false" ht="15" hidden="false" customHeight="false" outlineLevel="0" collapsed="false">
      <c r="A2008" s="4" t="s">
        <v>515</v>
      </c>
      <c r="B2008" s="36" t="s">
        <v>516</v>
      </c>
      <c r="C2008" s="48" t="n">
        <f aca="false">IF(C1976-Assumptions!$G$35&lt;1,0,INDEX($C$2001:$N$2001,1,C1976-Assumptions!$G$35)*INDEX($C$2005:$N$2005,1,C1976-Assumptions!$G$35)*Assumptions!$G$32)</f>
        <v>0</v>
      </c>
      <c r="D2008" s="48" t="n">
        <f aca="false">IF(D1976-Assumptions!$G$35&lt;1,0,INDEX($C$2001:$N$2001,1,D1976-Assumptions!$G$35)*INDEX($C$2005:$N$2005,1,D1976-Assumptions!$G$35)*Assumptions!$G$32)</f>
        <v>0.503164270542923</v>
      </c>
      <c r="E2008" s="48" t="n">
        <f aca="false">IF(E1976-Assumptions!$G$35&lt;1,0,INDEX($C$2001:$N$2001,1,E1976-Assumptions!$G$35)*INDEX($C$2005:$N$2005,1,E1976-Assumptions!$G$35)*Assumptions!$G$32)</f>
        <v>0.885272750645175</v>
      </c>
      <c r="F2008" s="48" t="n">
        <f aca="false">IF(F1976-Assumptions!$G$35&lt;1,0,INDEX($C$2001:$N$2001,1,F1976-Assumptions!$G$35)*INDEX($C$2005:$N$2005,1,F1976-Assumptions!$G$35)*Assumptions!$G$32)</f>
        <v>0.913016266763696</v>
      </c>
      <c r="G2008" s="48" t="n">
        <f aca="false">IF(G1976-Assumptions!$G$35&lt;1,0,INDEX($C$2001:$N$2001,1,G1976-Assumptions!$G$35)*INDEX($C$2005:$N$2005,1,G1976-Assumptions!$G$35)*Assumptions!$G$32)</f>
        <v>0.945996626382443</v>
      </c>
      <c r="H2008" s="48" t="n">
        <f aca="false">IF(H1976-Assumptions!$G$35&lt;1,0,INDEX($C$2001:$N$2001,1,H1976-Assumptions!$G$35)*INDEX($C$2005:$N$2005,1,H1976-Assumptions!$G$35)*Assumptions!$G$32)</f>
        <v>0</v>
      </c>
      <c r="I2008" s="48" t="n">
        <f aca="false">IF(I1976-Assumptions!$G$35&lt;1,0,INDEX($C$2001:$N$2001,1,I1976-Assumptions!$G$35)*INDEX($C$2005:$N$2005,1,I1976-Assumptions!$G$35)*Assumptions!$G$32)</f>
        <v>0</v>
      </c>
      <c r="J2008" s="48" t="n">
        <f aca="false">IF(J1976-Assumptions!$G$35&lt;1,0,INDEX($C$2001:$N$2001,1,J1976-Assumptions!$G$35)*INDEX($C$2005:$N$2005,1,J1976-Assumptions!$G$35)*Assumptions!$G$32)</f>
        <v>0</v>
      </c>
      <c r="K2008" s="48" t="n">
        <f aca="false">IF(K1976-Assumptions!$G$35&lt;1,0,INDEX($C$2001:$N$2001,1,K1976-Assumptions!$G$35)*INDEX($C$2005:$N$2005,1,K1976-Assumptions!$G$35)*Assumptions!$G$32)</f>
        <v>0</v>
      </c>
      <c r="L2008" s="48" t="n">
        <f aca="false">IF(L1976-Assumptions!$G$35&lt;1,0,INDEX($C$2001:$N$2001,1,L1976-Assumptions!$G$35)*INDEX($C$2005:$N$2005,1,L1976-Assumptions!$G$35)*Assumptions!$G$32)</f>
        <v>0</v>
      </c>
      <c r="M2008" s="48" t="n">
        <f aca="false">IF(M1976-Assumptions!$G$35&lt;1,0,INDEX($C$2001:$N$2001,1,M1976-Assumptions!$G$35)*INDEX($C$2005:$N$2005,1,M1976-Assumptions!$G$35)*Assumptions!$G$32)</f>
        <v>0</v>
      </c>
      <c r="N2008" s="48" t="n">
        <f aca="false">IF(N1976-Assumptions!$G$35&lt;1,0,INDEX($C$2001:$N$2001,1,N1976-Assumptions!$G$35)*INDEX($C$2005:$N$2005,1,N1976-Assumptions!$G$35)*Assumptions!$G$32)</f>
        <v>0</v>
      </c>
      <c r="P2008" s="49" t="n">
        <f aca="false">SUM(C2008:F2008)</f>
        <v>2.30145328795179</v>
      </c>
      <c r="Q2008" s="49" t="n">
        <f aca="false">SUM(G2008:J2008)</f>
        <v>0.945996626382443</v>
      </c>
      <c r="R2008" s="49" t="n">
        <f aca="false">SUM(K2008:N2008)</f>
        <v>0</v>
      </c>
      <c r="S2008" s="50" t="n">
        <f aca="false">SUM(P2008:R2008)</f>
        <v>3.24744991433424</v>
      </c>
    </row>
    <row r="2009" customFormat="false" ht="15" hidden="false" customHeight="false" outlineLevel="0" collapsed="false">
      <c r="A2009" s="4" t="s">
        <v>517</v>
      </c>
      <c r="B2009" s="36" t="s">
        <v>516</v>
      </c>
      <c r="C2009" s="48" t="n">
        <f aca="false">IF(C1976-Assumptions!$G$35&lt;1,0,INDEX($C$2001:$N$2001,1,C1976-Assumptions!$G$35)*INDEX($C$2006:$N$2006,1,C1976-Assumptions!$G$35)*Assumptions!$G$32)</f>
        <v>0</v>
      </c>
      <c r="D2009" s="48" t="n">
        <f aca="false">IF(D1976-Assumptions!$G$35&lt;1,0,INDEX($C$2001:$N$2001,1,D1976-Assumptions!$G$35)*INDEX($C$2006:$N$2006,1,D1976-Assumptions!$G$35)*Assumptions!$G$32)</f>
        <v>0.205582065390946</v>
      </c>
      <c r="E2009" s="48" t="n">
        <f aca="false">IF(E1976-Assumptions!$G$35&lt;1,0,INDEX($C$2001:$N$2001,1,E1976-Assumptions!$G$35)*INDEX($C$2006:$N$2006,1,E1976-Assumptions!$G$35)*Assumptions!$G$32)</f>
        <v>0.361703346534487</v>
      </c>
      <c r="F2009" s="48" t="n">
        <f aca="false">IF(F1976-Assumptions!$G$35&lt;1,0,INDEX($C$2001:$N$2001,1,F1976-Assumptions!$G$35)*INDEX($C$2006:$N$2006,1,F1976-Assumptions!$G$35)*Assumptions!$G$32)</f>
        <v>0.373038748666078</v>
      </c>
      <c r="G2009" s="48" t="n">
        <f aca="false">IF(G1976-Assumptions!$G$35&lt;1,0,INDEX($C$2001:$N$2001,1,G1976-Assumptions!$G$35)*INDEX($C$2006:$N$2006,1,G1976-Assumptions!$G$35)*Assumptions!$G$32)</f>
        <v>0.386513812069213</v>
      </c>
      <c r="H2009" s="48" t="n">
        <f aca="false">IF(H1976-Assumptions!$G$35&lt;1,0,INDEX($C$2001:$N$2001,1,H1976-Assumptions!$G$35)*INDEX($C$2006:$N$2006,1,H1976-Assumptions!$G$35)*Assumptions!$G$32)</f>
        <v>0</v>
      </c>
      <c r="I2009" s="48" t="n">
        <f aca="false">IF(I1976-Assumptions!$G$35&lt;1,0,INDEX($C$2001:$N$2001,1,I1976-Assumptions!$G$35)*INDEX($C$2006:$N$2006,1,I1976-Assumptions!$G$35)*Assumptions!$G$32)</f>
        <v>0</v>
      </c>
      <c r="J2009" s="48" t="n">
        <f aca="false">IF(J1976-Assumptions!$G$35&lt;1,0,INDEX($C$2001:$N$2001,1,J1976-Assumptions!$G$35)*INDEX($C$2006:$N$2006,1,J1976-Assumptions!$G$35)*Assumptions!$G$32)</f>
        <v>0</v>
      </c>
      <c r="K2009" s="48" t="n">
        <f aca="false">IF(K1976-Assumptions!$G$35&lt;1,0,INDEX($C$2001:$N$2001,1,K1976-Assumptions!$G$35)*INDEX($C$2006:$N$2006,1,K1976-Assumptions!$G$35)*Assumptions!$G$32)</f>
        <v>0</v>
      </c>
      <c r="L2009" s="48" t="n">
        <f aca="false">IF(L1976-Assumptions!$G$35&lt;1,0,INDEX($C$2001:$N$2001,1,L1976-Assumptions!$G$35)*INDEX($C$2006:$N$2006,1,L1976-Assumptions!$G$35)*Assumptions!$G$32)</f>
        <v>0</v>
      </c>
      <c r="M2009" s="48" t="n">
        <f aca="false">IF(M1976-Assumptions!$G$35&lt;1,0,INDEX($C$2001:$N$2001,1,M1976-Assumptions!$G$35)*INDEX($C$2006:$N$2006,1,M1976-Assumptions!$G$35)*Assumptions!$G$32)</f>
        <v>0</v>
      </c>
      <c r="N2009" s="48" t="n">
        <f aca="false">IF(N1976-Assumptions!$G$35&lt;1,0,INDEX($C$2001:$N$2001,1,N1976-Assumptions!$G$35)*INDEX($C$2006:$N$2006,1,N1976-Assumptions!$G$35)*Assumptions!$G$32)</f>
        <v>0</v>
      </c>
      <c r="P2009" s="49" t="n">
        <f aca="false">SUM(C2009:F2009)</f>
        <v>0.940324160591511</v>
      </c>
      <c r="Q2009" s="49" t="n">
        <f aca="false">SUM(G2009:J2009)</f>
        <v>0.386513812069213</v>
      </c>
      <c r="R2009" s="49" t="n">
        <f aca="false">SUM(K2009:N2009)</f>
        <v>0</v>
      </c>
      <c r="S2009" s="50" t="n">
        <f aca="false">SUM(P2009:R2009)</f>
        <v>1.32683797266072</v>
      </c>
    </row>
    <row r="2010" customFormat="false" ht="15" hidden="false" customHeight="false" outlineLevel="0" collapsed="false">
      <c r="A2010" s="4" t="s">
        <v>518</v>
      </c>
      <c r="B2010" s="36" t="s">
        <v>516</v>
      </c>
      <c r="C2010" s="48" t="n">
        <f aca="false">IF(C1976-Assumptions!$G$36&lt;1,0,INDEX($C$2001:$N$2001,1,C1976-Assumptions!$G$36)*INDEX($C$2007:$N$2007,1,C1976-Assumptions!$G$36)*Assumptions!$G$32)</f>
        <v>0</v>
      </c>
      <c r="D2010" s="48" t="n">
        <f aca="false">IF(D1976-Assumptions!$G$36&lt;1,0,INDEX($C$2001:$N$2001,1,D1976-Assumptions!$G$36)*INDEX($C$2007:$N$2007,1,D1976-Assumptions!$G$36)*Assumptions!$G$32)</f>
        <v>0</v>
      </c>
      <c r="E2010" s="48" t="n">
        <f aca="false">IF(E1976-Assumptions!$G$36&lt;1,0,INDEX($C$2001:$N$2001,1,E1976-Assumptions!$G$36)*INDEX($C$2007:$N$2007,1,E1976-Assumptions!$G$36)*Assumptions!$G$32)</f>
        <v>0.0239020718496306</v>
      </c>
      <c r="F2010" s="48" t="n">
        <f aca="false">IF(F1976-Assumptions!$G$36&lt;1,0,INDEX($C$2001:$N$2001,1,F1976-Assumptions!$G$36)*INDEX($C$2007:$N$2007,1,F1976-Assumptions!$G$36)*Assumptions!$G$32)</f>
        <v>0.0420535680516607</v>
      </c>
      <c r="G2010" s="48" t="n">
        <f aca="false">IF(G1976-Assumptions!$G$36&lt;1,0,INDEX($C$2001:$N$2001,1,G1976-Assumptions!$G$36)*INDEX($C$2007:$N$2007,1,G1976-Assumptions!$G$36)*Assumptions!$G$32)</f>
        <v>0.0433714826065053</v>
      </c>
      <c r="H2010" s="48" t="n">
        <f aca="false">IF(H1976-Assumptions!$G$36&lt;1,0,INDEX($C$2001:$N$2001,1,H1976-Assumptions!$G$36)*INDEX($C$2007:$N$2007,1,H1976-Assumptions!$G$36)*Assumptions!$G$32)</f>
        <v>0.0449381656390334</v>
      </c>
      <c r="I2010" s="48" t="n">
        <f aca="false">IF(I1976-Assumptions!$G$36&lt;1,0,INDEX($C$2001:$N$2001,1,I1976-Assumptions!$G$36)*INDEX($C$2007:$N$2007,1,I1976-Assumptions!$G$36)*Assumptions!$G$32)</f>
        <v>0</v>
      </c>
      <c r="J2010" s="48" t="n">
        <f aca="false">IF(J1976-Assumptions!$G$36&lt;1,0,INDEX($C$2001:$N$2001,1,J1976-Assumptions!$G$36)*INDEX($C$2007:$N$2007,1,J1976-Assumptions!$G$36)*Assumptions!$G$32)</f>
        <v>0</v>
      </c>
      <c r="K2010" s="48" t="n">
        <f aca="false">IF(K1976-Assumptions!$G$36&lt;1,0,INDEX($C$2001:$N$2001,1,K1976-Assumptions!$G$36)*INDEX($C$2007:$N$2007,1,K1976-Assumptions!$G$36)*Assumptions!$G$32)</f>
        <v>0</v>
      </c>
      <c r="L2010" s="48" t="n">
        <f aca="false">IF(L1976-Assumptions!$G$36&lt;1,0,INDEX($C$2001:$N$2001,1,L1976-Assumptions!$G$36)*INDEX($C$2007:$N$2007,1,L1976-Assumptions!$G$36)*Assumptions!$G$32)</f>
        <v>0</v>
      </c>
      <c r="M2010" s="48" t="n">
        <f aca="false">IF(M1976-Assumptions!$G$36&lt;1,0,INDEX($C$2001:$N$2001,1,M1976-Assumptions!$G$36)*INDEX($C$2007:$N$2007,1,M1976-Assumptions!$G$36)*Assumptions!$G$32)</f>
        <v>0</v>
      </c>
      <c r="N2010" s="48" t="n">
        <f aca="false">IF(N1976-Assumptions!$G$36&lt;1,0,INDEX($C$2001:$N$2001,1,N1976-Assumptions!$G$36)*INDEX($C$2007:$N$2007,1,N1976-Assumptions!$G$36)*Assumptions!$G$32)</f>
        <v>0</v>
      </c>
      <c r="P2010" s="49" t="n">
        <f aca="false">SUM(C2010:F2010)</f>
        <v>0.0659556399012913</v>
      </c>
      <c r="Q2010" s="49" t="n">
        <f aca="false">SUM(G2010:J2010)</f>
        <v>0.0883096482455387</v>
      </c>
      <c r="R2010" s="49" t="n">
        <f aca="false">SUM(K2010:N2010)</f>
        <v>0</v>
      </c>
      <c r="S2010" s="50" t="n">
        <f aca="false">SUM(P2010:R2010)</f>
        <v>0.15426528814683</v>
      </c>
    </row>
    <row r="2011" customFormat="false" ht="15" hidden="false" customHeight="false" outlineLevel="0" collapsed="false">
      <c r="A2011" s="4" t="s">
        <v>519</v>
      </c>
      <c r="B2011" s="36" t="s">
        <v>77</v>
      </c>
      <c r="C2011" s="51" t="n">
        <f aca="false">IF(C1976-Assumptions!$G$35&lt;1,0,IFERROR(INDEX($C$2000:$N$2000,1,C1976-Assumptions!$G$35)/INDEX($C$2001:$N$2001,1,C1976-Assumptions!$G$35),0))</f>
        <v>0</v>
      </c>
      <c r="D2011" s="51" t="n">
        <f aca="false">IF(D1976-Assumptions!$G$35&lt;1,0,IFERROR(INDEX($C$2000:$N$2000,1,D1976-Assumptions!$G$35)/INDEX($C$2001:$N$2001,1,D1976-Assumptions!$G$35),0))</f>
        <v>0.283901524647092</v>
      </c>
      <c r="E2011" s="51" t="n">
        <f aca="false">IF(E1976-Assumptions!$G$35&lt;1,0,IFERROR(INDEX($C$2000:$N$2000,1,E1976-Assumptions!$G$35)/INDEX($C$2001:$N$2001,1,E1976-Assumptions!$G$35),0))</f>
        <v>0.242042528900225</v>
      </c>
      <c r="F2011" s="51" t="n">
        <f aca="false">IF(F1976-Assumptions!$G$35&lt;1,0,IFERROR(INDEX($C$2000:$N$2000,1,F1976-Assumptions!$G$35)/INDEX($C$2001:$N$2001,1,F1976-Assumptions!$G$35),0))</f>
        <v>0.312916886051603</v>
      </c>
      <c r="G2011" s="51" t="n">
        <f aca="false">IF(G1976-Assumptions!$G$35&lt;1,0,IFERROR(INDEX($C$2000:$N$2000,1,G1976-Assumptions!$G$35)/INDEX($C$2001:$N$2001,1,G1976-Assumptions!$G$35),0))</f>
        <v>0.377509548055532</v>
      </c>
      <c r="H2011" s="51" t="n">
        <f aca="false">IF(H1976-Assumptions!$G$35&lt;1,0,IFERROR(INDEX($C$2000:$N$2000,1,H1976-Assumptions!$G$35)/INDEX($C$2001:$N$2001,1,H1976-Assumptions!$G$35),0))</f>
        <v>0</v>
      </c>
      <c r="I2011" s="51" t="n">
        <f aca="false">IF(I1976-Assumptions!$G$35&lt;1,0,IFERROR(INDEX($C$2000:$N$2000,1,I1976-Assumptions!$G$35)/INDEX($C$2001:$N$2001,1,I1976-Assumptions!$G$35),0))</f>
        <v>0</v>
      </c>
      <c r="J2011" s="51" t="n">
        <f aca="false">IF(J1976-Assumptions!$G$35&lt;1,0,IFERROR(INDEX($C$2000:$N$2000,1,J1976-Assumptions!$G$35)/INDEX($C$2001:$N$2001,1,J1976-Assumptions!$G$35),0))</f>
        <v>0</v>
      </c>
      <c r="K2011" s="51" t="n">
        <f aca="false">IF(K1976-Assumptions!$G$35&lt;1,0,IFERROR(INDEX($C$2000:$N$2000,1,K1976-Assumptions!$G$35)/INDEX($C$2001:$N$2001,1,K1976-Assumptions!$G$35),0))</f>
        <v>0</v>
      </c>
      <c r="L2011" s="51" t="n">
        <f aca="false">IF(L1976-Assumptions!$G$35&lt;1,0,IFERROR(INDEX($C$2000:$N$2000,1,L1976-Assumptions!$G$35)/INDEX($C$2001:$N$2001,1,L1976-Assumptions!$G$35),0))</f>
        <v>0</v>
      </c>
      <c r="M2011" s="51" t="n">
        <f aca="false">IF(M1976-Assumptions!$G$35&lt;1,0,IFERROR(INDEX($C$2000:$N$2000,1,M1976-Assumptions!$G$35)/INDEX($C$2001:$N$2001,1,M1976-Assumptions!$G$35),0))</f>
        <v>0</v>
      </c>
      <c r="N2011" s="51" t="n">
        <f aca="false">IF(N1976-Assumptions!$G$35&lt;1,0,IFERROR(INDEX($C$2000:$N$2000,1,N1976-Assumptions!$G$35)/INDEX($C$2001:$N$2001,1,N1976-Assumptions!$G$35),0))</f>
        <v>0</v>
      </c>
      <c r="P2011" s="52"/>
      <c r="Q2011" s="52"/>
      <c r="R2011" s="52"/>
      <c r="S2011" s="53"/>
    </row>
    <row r="2012" customFormat="false" ht="15" hidden="false" customHeight="false" outlineLevel="0" collapsed="false">
      <c r="A2012" s="4" t="s">
        <v>520</v>
      </c>
      <c r="B2012" s="36" t="s">
        <v>516</v>
      </c>
      <c r="C2012" s="48" t="n">
        <f aca="false">C2008*Assumptions!$G$37</f>
        <v>0</v>
      </c>
      <c r="D2012" s="48" t="n">
        <f aca="false">D2008*Assumptions!$G$37</f>
        <v>0.150949281162877</v>
      </c>
      <c r="E2012" s="48" t="n">
        <f aca="false">E2008*Assumptions!$G$37</f>
        <v>0.265581825193552</v>
      </c>
      <c r="F2012" s="48" t="n">
        <f aca="false">F2008*Assumptions!$G$37</f>
        <v>0.273904880029109</v>
      </c>
      <c r="G2012" s="48" t="n">
        <f aca="false">G2008*Assumptions!$G$37</f>
        <v>0.283798987914733</v>
      </c>
      <c r="H2012" s="48" t="n">
        <f aca="false">H2008*Assumptions!$G$37</f>
        <v>0</v>
      </c>
      <c r="I2012" s="48" t="n">
        <f aca="false">I2008*Assumptions!$G$37</f>
        <v>0</v>
      </c>
      <c r="J2012" s="48" t="n">
        <f aca="false">J2008*Assumptions!$G$37</f>
        <v>0</v>
      </c>
      <c r="K2012" s="48" t="n">
        <f aca="false">K2008*Assumptions!$G$37</f>
        <v>0</v>
      </c>
      <c r="L2012" s="48" t="n">
        <f aca="false">L2008*Assumptions!$G$37</f>
        <v>0</v>
      </c>
      <c r="M2012" s="48" t="n">
        <f aca="false">M2008*Assumptions!$G$37</f>
        <v>0</v>
      </c>
      <c r="N2012" s="48" t="n">
        <f aca="false">N2008*Assumptions!$G$37</f>
        <v>0</v>
      </c>
      <c r="P2012" s="49" t="n">
        <f aca="false">SUM(C2012:F2012)</f>
        <v>0.690435986385538</v>
      </c>
      <c r="Q2012" s="49" t="n">
        <f aca="false">SUM(G2012:J2012)</f>
        <v>0.283798987914733</v>
      </c>
      <c r="R2012" s="49" t="n">
        <f aca="false">SUM(K2012:N2012)</f>
        <v>0</v>
      </c>
      <c r="S2012" s="50" t="n">
        <f aca="false">SUM(P2012:R2012)</f>
        <v>0.974234974300271</v>
      </c>
    </row>
    <row r="2013" customFormat="false" ht="15" hidden="false" customHeight="false" outlineLevel="0" collapsed="false">
      <c r="A2013" s="4" t="s">
        <v>521</v>
      </c>
      <c r="B2013" s="36" t="s">
        <v>516</v>
      </c>
      <c r="C2013" s="48" t="n">
        <f aca="false">C2008*(1-Assumptions!$G$37)</f>
        <v>0</v>
      </c>
      <c r="D2013" s="48" t="n">
        <f aca="false">D2008*(1-Assumptions!$G$37)</f>
        <v>0.352214989380046</v>
      </c>
      <c r="E2013" s="48" t="n">
        <f aca="false">E2008*(1-Assumptions!$G$37)</f>
        <v>0.619690925451622</v>
      </c>
      <c r="F2013" s="48" t="n">
        <f aca="false">F2008*(1-Assumptions!$G$37)</f>
        <v>0.639111386734587</v>
      </c>
      <c r="G2013" s="48" t="n">
        <f aca="false">G2008*(1-Assumptions!$G$37)</f>
        <v>0.66219763846771</v>
      </c>
      <c r="H2013" s="48" t="n">
        <f aca="false">H2008*(1-Assumptions!$G$37)</f>
        <v>0</v>
      </c>
      <c r="I2013" s="48" t="n">
        <f aca="false">I2008*(1-Assumptions!$G$37)</f>
        <v>0</v>
      </c>
      <c r="J2013" s="48" t="n">
        <f aca="false">J2008*(1-Assumptions!$G$37)</f>
        <v>0</v>
      </c>
      <c r="K2013" s="48" t="n">
        <f aca="false">K2008*(1-Assumptions!$G$37)</f>
        <v>0</v>
      </c>
      <c r="L2013" s="48" t="n">
        <f aca="false">L2008*(1-Assumptions!$G$37)</f>
        <v>0</v>
      </c>
      <c r="M2013" s="48" t="n">
        <f aca="false">M2008*(1-Assumptions!$G$37)</f>
        <v>0</v>
      </c>
      <c r="N2013" s="48" t="n">
        <f aca="false">N2008*(1-Assumptions!$G$37)</f>
        <v>0</v>
      </c>
      <c r="P2013" s="49" t="n">
        <f aca="false">SUM(C2013:F2013)</f>
        <v>1.61101730156626</v>
      </c>
      <c r="Q2013" s="49" t="n">
        <f aca="false">SUM(G2013:J2013)</f>
        <v>0.66219763846771</v>
      </c>
      <c r="R2013" s="49" t="n">
        <f aca="false">SUM(K2013:N2013)</f>
        <v>0</v>
      </c>
      <c r="S2013" s="50" t="n">
        <f aca="false">SUM(P2013:R2013)</f>
        <v>2.27321494003397</v>
      </c>
    </row>
    <row r="2014" customFormat="false" ht="15" hidden="false" customHeight="false" outlineLevel="0" collapsed="false">
      <c r="A2014" s="4" t="s">
        <v>522</v>
      </c>
      <c r="B2014" s="36" t="s">
        <v>125</v>
      </c>
      <c r="C2014" s="54" t="n">
        <f aca="false">C2013*$C$1967+C2009*$C$1968+C2010*$C$1969</f>
        <v>0</v>
      </c>
      <c r="D2014" s="54" t="n">
        <f aca="false">D2013*$C$1967+D2009*$C$1968+D2010*$C$1969</f>
        <v>2985.32983713435</v>
      </c>
      <c r="E2014" s="54" t="n">
        <f aca="false">E2013*$C$1967+E2009*$C$1968+E2010*$C$1969</f>
        <v>6311.52294732679</v>
      </c>
      <c r="F2014" s="54" t="n">
        <f aca="false">F2013*$C$1967+F2009*$C$1968+F2010*$C$1969</f>
        <v>7280.42112503345</v>
      </c>
      <c r="G2014" s="54" t="n">
        <f aca="false">G2013*$C$1967+G2009*$C$1968+G2010*$C$1969</f>
        <v>7534.49407756786</v>
      </c>
      <c r="H2014" s="54" t="n">
        <f aca="false">H2013*$C$1967+H2009*$C$1968+H2010*$C$1969</f>
        <v>1991.21011946557</v>
      </c>
      <c r="I2014" s="54" t="n">
        <f aca="false">I2013*$C$1967+I2009*$C$1968+I2010*$C$1969</f>
        <v>0</v>
      </c>
      <c r="J2014" s="54" t="n">
        <f aca="false">J2013*$C$1967+J2009*$C$1968+J2010*$C$1969</f>
        <v>0</v>
      </c>
      <c r="K2014" s="54" t="n">
        <f aca="false">K2013*$C$1967+K2009*$C$1968+K2010*$C$1969</f>
        <v>0</v>
      </c>
      <c r="L2014" s="54" t="n">
        <f aca="false">L2013*$C$1967+L2009*$C$1968+L2010*$C$1969</f>
        <v>0</v>
      </c>
      <c r="M2014" s="54" t="n">
        <f aca="false">M2013*$C$1967+M2009*$C$1968+M2010*$C$1969</f>
        <v>0</v>
      </c>
      <c r="N2014" s="54" t="n">
        <f aca="false">N2013*$C$1967+N2009*$C$1968+N2010*$C$1969</f>
        <v>0</v>
      </c>
      <c r="P2014" s="55" t="n">
        <f aca="false">SUM(C2014:F2014)</f>
        <v>16577.2739094946</v>
      </c>
      <c r="Q2014" s="55" t="n">
        <f aca="false">SUM(G2014:J2014)</f>
        <v>9525.70419703343</v>
      </c>
      <c r="R2014" s="55" t="n">
        <f aca="false">SUM(K2014:N2014)</f>
        <v>0</v>
      </c>
      <c r="S2014" s="56" t="n">
        <f aca="false">SUM(P2014:R2014)</f>
        <v>26102.978106528</v>
      </c>
    </row>
    <row r="2015" customFormat="false" ht="15" hidden="false" customHeight="false" outlineLevel="0" collapsed="false">
      <c r="A2015" s="4" t="s">
        <v>523</v>
      </c>
      <c r="B2015" s="36" t="s">
        <v>125</v>
      </c>
      <c r="C2015" s="54" t="n">
        <f aca="false">(C1991+Assumptions!$D$104*C1977)*$C$1972</f>
        <v>240625</v>
      </c>
      <c r="D2015" s="54" t="n">
        <f aca="false">(D1991+Assumptions!$D$104*D1977)*$C$1972</f>
        <v>240625</v>
      </c>
      <c r="E2015" s="54" t="n">
        <f aca="false">(E1991+Assumptions!$D$104*E1977)*$C$1972</f>
        <v>240625</v>
      </c>
      <c r="F2015" s="54" t="n">
        <f aca="false">(F1991+Assumptions!$D$104*F1977)*$C$1972</f>
        <v>240625</v>
      </c>
      <c r="G2015" s="54" t="n">
        <f aca="false">(G1991+Assumptions!$D$104*G1977)*$C$1972</f>
        <v>0</v>
      </c>
      <c r="H2015" s="54" t="n">
        <f aca="false">(H1991+Assumptions!$D$104*H1977)*$C$1972</f>
        <v>0</v>
      </c>
      <c r="I2015" s="54" t="n">
        <f aca="false">(I1991+Assumptions!$D$104*I1977)*$C$1972</f>
        <v>0</v>
      </c>
      <c r="J2015" s="54" t="n">
        <f aca="false">(J1991+Assumptions!$D$104*J1977)*$C$1972</f>
        <v>0</v>
      </c>
      <c r="K2015" s="54" t="n">
        <f aca="false">(K1991+Assumptions!$D$104*K1977)*$C$1972</f>
        <v>0</v>
      </c>
      <c r="L2015" s="54" t="n">
        <f aca="false">(L1991+Assumptions!$D$104*L1977)*$C$1972</f>
        <v>0</v>
      </c>
      <c r="M2015" s="54" t="n">
        <f aca="false">(M1991+Assumptions!$D$104*M1977)*$C$1972</f>
        <v>0</v>
      </c>
      <c r="N2015" s="54" t="n">
        <f aca="false">(N1991+Assumptions!$D$104*N1977)*$C$1972</f>
        <v>0</v>
      </c>
      <c r="P2015" s="55" t="n">
        <f aca="false">SUM(C2015:F2015)</f>
        <v>962500</v>
      </c>
      <c r="Q2015" s="55" t="n">
        <f aca="false">SUM(G2015:J2015)</f>
        <v>0</v>
      </c>
      <c r="R2015" s="55" t="n">
        <f aca="false">SUM(K2015:N2015)</f>
        <v>0</v>
      </c>
      <c r="S2015" s="56" t="n">
        <f aca="false">SUM(P2015:R2015)</f>
        <v>962500</v>
      </c>
    </row>
    <row r="2016" customFormat="false" ht="15" hidden="false" customHeight="false" outlineLevel="0" collapsed="false">
      <c r="A2016" s="4" t="s">
        <v>524</v>
      </c>
      <c r="B2016" s="36" t="s">
        <v>77</v>
      </c>
      <c r="C2016" s="51" t="n">
        <f aca="false">IF(C2014&gt;0,MIN(1,C2015/C2014),1)</f>
        <v>1</v>
      </c>
      <c r="D2016" s="51" t="n">
        <f aca="false">IF(D2014&gt;0,MIN(1,D2015/D2014),1)</f>
        <v>1</v>
      </c>
      <c r="E2016" s="51" t="n">
        <f aca="false">IF(E2014&gt;0,MIN(1,E2015/E2014),1)</f>
        <v>1</v>
      </c>
      <c r="F2016" s="51" t="n">
        <f aca="false">IF(F2014&gt;0,MIN(1,F2015/F2014),1)</f>
        <v>1</v>
      </c>
      <c r="G2016" s="51" t="n">
        <f aca="false">IF(G2014&gt;0,MIN(1,G2015/G2014),1)</f>
        <v>0</v>
      </c>
      <c r="H2016" s="51" t="n">
        <f aca="false">IF(H2014&gt;0,MIN(1,H2015/H2014),1)</f>
        <v>0</v>
      </c>
      <c r="I2016" s="51" t="n">
        <f aca="false">IF(I2014&gt;0,MIN(1,I2015/I2014),1)</f>
        <v>1</v>
      </c>
      <c r="J2016" s="51" t="n">
        <f aca="false">IF(J2014&gt;0,MIN(1,J2015/J2014),1)</f>
        <v>1</v>
      </c>
      <c r="K2016" s="51" t="n">
        <f aca="false">IF(K2014&gt;0,MIN(1,K2015/K2014),1)</f>
        <v>1</v>
      </c>
      <c r="L2016" s="51" t="n">
        <f aca="false">IF(L2014&gt;0,MIN(1,L2015/L2014),1)</f>
        <v>1</v>
      </c>
      <c r="M2016" s="51" t="n">
        <f aca="false">IF(M2014&gt;0,MIN(1,M2015/M2014),1)</f>
        <v>1</v>
      </c>
      <c r="N2016" s="51" t="n">
        <f aca="false">IF(N2014&gt;0,MIN(1,N2015/N2014),1)</f>
        <v>1</v>
      </c>
      <c r="P2016" s="52"/>
      <c r="Q2016" s="52"/>
      <c r="R2016" s="52"/>
      <c r="S2016" s="53"/>
    </row>
    <row r="2017" customFormat="false" ht="15" hidden="false" customHeight="false" outlineLevel="0" collapsed="false">
      <c r="A2017" s="4" t="s">
        <v>525</v>
      </c>
      <c r="B2017" s="36" t="s">
        <v>125</v>
      </c>
      <c r="C2017" s="54" t="n">
        <f aca="false">C2014*(1-C2016)</f>
        <v>0</v>
      </c>
      <c r="D2017" s="54" t="n">
        <f aca="false">D2014*(1-D2016)</f>
        <v>0</v>
      </c>
      <c r="E2017" s="54" t="n">
        <f aca="false">E2014*(1-E2016)</f>
        <v>0</v>
      </c>
      <c r="F2017" s="54" t="n">
        <f aca="false">F2014*(1-F2016)</f>
        <v>0</v>
      </c>
      <c r="G2017" s="54" t="n">
        <f aca="false">G2014*(1-G2016)</f>
        <v>7534.49407756786</v>
      </c>
      <c r="H2017" s="54" t="n">
        <f aca="false">H2014*(1-H2016)</f>
        <v>1991.21011946557</v>
      </c>
      <c r="I2017" s="54" t="n">
        <f aca="false">I2014*(1-I2016)</f>
        <v>0</v>
      </c>
      <c r="J2017" s="54" t="n">
        <f aca="false">J2014*(1-J2016)</f>
        <v>0</v>
      </c>
      <c r="K2017" s="54" t="n">
        <f aca="false">K2014*(1-K2016)</f>
        <v>0</v>
      </c>
      <c r="L2017" s="54" t="n">
        <f aca="false">L2014*(1-L2016)</f>
        <v>0</v>
      </c>
      <c r="M2017" s="54" t="n">
        <f aca="false">M2014*(1-M2016)</f>
        <v>0</v>
      </c>
      <c r="N2017" s="54" t="n">
        <f aca="false">N2014*(1-N2016)</f>
        <v>0</v>
      </c>
      <c r="P2017" s="55" t="n">
        <f aca="false">SUM(C2017:F2017)</f>
        <v>0</v>
      </c>
      <c r="Q2017" s="55" t="n">
        <f aca="false">SUM(G2017:J2017)</f>
        <v>9525.70419703343</v>
      </c>
      <c r="R2017" s="55" t="n">
        <f aca="false">SUM(K2017:N2017)</f>
        <v>0</v>
      </c>
      <c r="S2017" s="56" t="n">
        <f aca="false">SUM(P2017:R2017)</f>
        <v>9525.70419703343</v>
      </c>
    </row>
    <row r="2018" customFormat="false" ht="15" hidden="false" customHeight="false" outlineLevel="0" collapsed="false">
      <c r="A2018" s="4" t="s">
        <v>526</v>
      </c>
      <c r="B2018" s="36" t="s">
        <v>527</v>
      </c>
      <c r="C2018" s="48" t="n">
        <f aca="false">C2012+C2013*C2016</f>
        <v>0</v>
      </c>
      <c r="D2018" s="48" t="n">
        <f aca="false">D2012+D2013*D2016</f>
        <v>0.503164270542923</v>
      </c>
      <c r="E2018" s="48" t="n">
        <f aca="false">E2012+E2013*E2016</f>
        <v>0.885272750645175</v>
      </c>
      <c r="F2018" s="48" t="n">
        <f aca="false">F2012+F2013*F2016</f>
        <v>0.913016266763696</v>
      </c>
      <c r="G2018" s="48" t="n">
        <f aca="false">G2012+G2013*G2016</f>
        <v>0.283798987914733</v>
      </c>
      <c r="H2018" s="48" t="n">
        <f aca="false">H2012+H2013*H2016</f>
        <v>0</v>
      </c>
      <c r="I2018" s="48" t="n">
        <f aca="false">I2012+I2013*I2016</f>
        <v>0</v>
      </c>
      <c r="J2018" s="48" t="n">
        <f aca="false">J2012+J2013*J2016</f>
        <v>0</v>
      </c>
      <c r="K2018" s="48" t="n">
        <f aca="false">K2012+K2013*K2016</f>
        <v>0</v>
      </c>
      <c r="L2018" s="48" t="n">
        <f aca="false">L2012+L2013*L2016</f>
        <v>0</v>
      </c>
      <c r="M2018" s="48" t="n">
        <f aca="false">M2012+M2013*M2016</f>
        <v>0</v>
      </c>
      <c r="N2018" s="48" t="n">
        <f aca="false">N2012+N2013*N2016</f>
        <v>0</v>
      </c>
      <c r="P2018" s="49" t="n">
        <f aca="false">SUM(C2018:F2018)</f>
        <v>2.30145328795179</v>
      </c>
      <c r="Q2018" s="49" t="n">
        <f aca="false">SUM(G2018:J2018)</f>
        <v>0.283798987914733</v>
      </c>
      <c r="R2018" s="49" t="n">
        <f aca="false">SUM(K2018:N2018)</f>
        <v>0</v>
      </c>
      <c r="S2018" s="50" t="n">
        <f aca="false">SUM(P2018:R2018)</f>
        <v>2.58525227586653</v>
      </c>
    </row>
    <row r="2019" customFormat="false" ht="15" hidden="false" customHeight="false" outlineLevel="0" collapsed="false">
      <c r="A2019" s="4" t="s">
        <v>528</v>
      </c>
      <c r="B2019" s="36" t="s">
        <v>527</v>
      </c>
      <c r="C2019" s="48" t="n">
        <f aca="false">C2009*C2016</f>
        <v>0</v>
      </c>
      <c r="D2019" s="48" t="n">
        <f aca="false">D2009*D2016</f>
        <v>0.205582065390946</v>
      </c>
      <c r="E2019" s="48" t="n">
        <f aca="false">E2009*E2016</f>
        <v>0.361703346534487</v>
      </c>
      <c r="F2019" s="48" t="n">
        <f aca="false">F2009*F2016</f>
        <v>0.373038748666078</v>
      </c>
      <c r="G2019" s="48" t="n">
        <f aca="false">G2009*G2016</f>
        <v>0</v>
      </c>
      <c r="H2019" s="48" t="n">
        <f aca="false">H2009*H2016</f>
        <v>0</v>
      </c>
      <c r="I2019" s="48" t="n">
        <f aca="false">I2009*I2016</f>
        <v>0</v>
      </c>
      <c r="J2019" s="48" t="n">
        <f aca="false">J2009*J2016</f>
        <v>0</v>
      </c>
      <c r="K2019" s="48" t="n">
        <f aca="false">K2009*K2016</f>
        <v>0</v>
      </c>
      <c r="L2019" s="48" t="n">
        <f aca="false">L2009*L2016</f>
        <v>0</v>
      </c>
      <c r="M2019" s="48" t="n">
        <f aca="false">M2009*M2016</f>
        <v>0</v>
      </c>
      <c r="N2019" s="48" t="n">
        <f aca="false">N2009*N2016</f>
        <v>0</v>
      </c>
      <c r="P2019" s="49" t="n">
        <f aca="false">SUM(C2019:F2019)</f>
        <v>0.940324160591511</v>
      </c>
      <c r="Q2019" s="49" t="n">
        <f aca="false">SUM(G2019:J2019)</f>
        <v>0</v>
      </c>
      <c r="R2019" s="49" t="n">
        <f aca="false">SUM(K2019:N2019)</f>
        <v>0</v>
      </c>
      <c r="S2019" s="50" t="n">
        <f aca="false">SUM(P2019:R2019)</f>
        <v>0.940324160591511</v>
      </c>
    </row>
    <row r="2020" customFormat="false" ht="15" hidden="false" customHeight="false" outlineLevel="0" collapsed="false">
      <c r="A2020" s="4" t="s">
        <v>529</v>
      </c>
      <c r="B2020" s="36" t="s">
        <v>527</v>
      </c>
      <c r="C2020" s="48" t="n">
        <f aca="false">C2010*C2016</f>
        <v>0</v>
      </c>
      <c r="D2020" s="48" t="n">
        <f aca="false">D2010*D2016</f>
        <v>0</v>
      </c>
      <c r="E2020" s="48" t="n">
        <f aca="false">E2010*E2016</f>
        <v>0.0239020718496306</v>
      </c>
      <c r="F2020" s="48" t="n">
        <f aca="false">F2010*F2016</f>
        <v>0.0420535680516607</v>
      </c>
      <c r="G2020" s="48" t="n">
        <f aca="false">G2010*G2016</f>
        <v>0</v>
      </c>
      <c r="H2020" s="48" t="n">
        <f aca="false">H2010*H2016</f>
        <v>0</v>
      </c>
      <c r="I2020" s="48" t="n">
        <f aca="false">I2010*I2016</f>
        <v>0</v>
      </c>
      <c r="J2020" s="48" t="n">
        <f aca="false">J2010*J2016</f>
        <v>0</v>
      </c>
      <c r="K2020" s="48" t="n">
        <f aca="false">K2010*K2016</f>
        <v>0</v>
      </c>
      <c r="L2020" s="48" t="n">
        <f aca="false">L2010*L2016</f>
        <v>0</v>
      </c>
      <c r="M2020" s="48" t="n">
        <f aca="false">M2010*M2016</f>
        <v>0</v>
      </c>
      <c r="N2020" s="48" t="n">
        <f aca="false">N2010*N2016</f>
        <v>0</v>
      </c>
      <c r="P2020" s="49" t="n">
        <f aca="false">SUM(C2020:F2020)</f>
        <v>0.0659556399012913</v>
      </c>
      <c r="Q2020" s="49" t="n">
        <f aca="false">SUM(G2020:J2020)</f>
        <v>0</v>
      </c>
      <c r="R2020" s="49" t="n">
        <f aca="false">SUM(K2020:N2020)</f>
        <v>0</v>
      </c>
      <c r="S2020" s="50" t="n">
        <f aca="false">SUM(P2020:R2020)</f>
        <v>0.0659556399012913</v>
      </c>
    </row>
    <row r="2021" customFormat="false" ht="15" hidden="false" customHeight="false" outlineLevel="0" collapsed="false">
      <c r="A2021" s="9" t="s">
        <v>530</v>
      </c>
      <c r="B2021" s="36" t="s">
        <v>527</v>
      </c>
      <c r="C2021" s="49" t="n">
        <f aca="false">C2018+C2019+C2020</f>
        <v>0</v>
      </c>
      <c r="D2021" s="49" t="n">
        <f aca="false">D2018+D2019+D2020</f>
        <v>0.708746335933869</v>
      </c>
      <c r="E2021" s="49" t="n">
        <f aca="false">E2018+E2019+E2020</f>
        <v>1.27087816902929</v>
      </c>
      <c r="F2021" s="49" t="n">
        <f aca="false">F2018+F2019+F2020</f>
        <v>1.32810858348143</v>
      </c>
      <c r="G2021" s="49" t="n">
        <f aca="false">G2018+G2019+G2020</f>
        <v>0.283798987914733</v>
      </c>
      <c r="H2021" s="49" t="n">
        <f aca="false">H2018+H2019+H2020</f>
        <v>0</v>
      </c>
      <c r="I2021" s="49" t="n">
        <f aca="false">I2018+I2019+I2020</f>
        <v>0</v>
      </c>
      <c r="J2021" s="49" t="n">
        <f aca="false">J2018+J2019+J2020</f>
        <v>0</v>
      </c>
      <c r="K2021" s="49" t="n">
        <f aca="false">K2018+K2019+K2020</f>
        <v>0</v>
      </c>
      <c r="L2021" s="49" t="n">
        <f aca="false">L2018+L2019+L2020</f>
        <v>0</v>
      </c>
      <c r="M2021" s="49" t="n">
        <f aca="false">M2018+M2019+M2020</f>
        <v>0</v>
      </c>
      <c r="N2021" s="49" t="n">
        <f aca="false">N2018+N2019+N2020</f>
        <v>0</v>
      </c>
      <c r="P2021" s="49" t="n">
        <f aca="false">SUM(C2021:F2021)</f>
        <v>3.3077330884446</v>
      </c>
      <c r="Q2021" s="49" t="n">
        <f aca="false">SUM(G2021:J2021)</f>
        <v>0.283798987914733</v>
      </c>
      <c r="R2021" s="49" t="n">
        <f aca="false">SUM(K2021:N2021)</f>
        <v>0</v>
      </c>
      <c r="S2021" s="50" t="n">
        <f aca="false">SUM(P2021:R2021)</f>
        <v>3.59153207635933</v>
      </c>
    </row>
    <row r="2022" customFormat="false" ht="15" hidden="false" customHeight="false" outlineLevel="0" collapsed="false">
      <c r="A2022" s="35" t="s">
        <v>533</v>
      </c>
      <c r="B2022" s="35" t="s">
        <v>444</v>
      </c>
      <c r="C2022" s="6" t="s">
        <v>354</v>
      </c>
      <c r="D2022" s="6" t="s">
        <v>355</v>
      </c>
      <c r="E2022" s="6" t="s">
        <v>356</v>
      </c>
      <c r="F2022" s="6" t="s">
        <v>357</v>
      </c>
      <c r="G2022" s="6" t="s">
        <v>358</v>
      </c>
      <c r="H2022" s="6" t="s">
        <v>359</v>
      </c>
      <c r="I2022" s="6" t="s">
        <v>360</v>
      </c>
      <c r="J2022" s="6" t="s">
        <v>361</v>
      </c>
      <c r="K2022" s="6" t="s">
        <v>362</v>
      </c>
      <c r="L2022" s="6" t="s">
        <v>363</v>
      </c>
      <c r="M2022" s="6" t="s">
        <v>364</v>
      </c>
      <c r="N2022" s="6" t="s">
        <v>365</v>
      </c>
      <c r="P2022" s="6" t="s">
        <v>445</v>
      </c>
      <c r="Q2022" s="6" t="s">
        <v>446</v>
      </c>
      <c r="R2022" s="6" t="s">
        <v>447</v>
      </c>
      <c r="S2022" s="6" t="s">
        <v>448</v>
      </c>
    </row>
    <row r="2023" customFormat="false" ht="15" hidden="false" customHeight="false" outlineLevel="0" collapsed="false">
      <c r="A2023" s="4" t="s">
        <v>534</v>
      </c>
      <c r="B2023" s="36" t="s">
        <v>527</v>
      </c>
      <c r="C2023" s="48" t="n">
        <f aca="false">0*Assumptions!$G$59^(1/4)+C2018</f>
        <v>0</v>
      </c>
      <c r="D2023" s="48" t="n">
        <f aca="false">C2023*Assumptions!$G$59^(1/4)+D2018</f>
        <v>0.503164270542923</v>
      </c>
      <c r="E2023" s="48" t="n">
        <f aca="false">D2023*Assumptions!$G$59^(1/4)+E2018</f>
        <v>1.36840332915929</v>
      </c>
      <c r="F2023" s="48" t="n">
        <f aca="false">E2023*Assumptions!$G$59^(1/4)+F2018</f>
        <v>2.22693605551183</v>
      </c>
      <c r="G2023" s="48" t="n">
        <f aca="false">F2023*Assumptions!$G$59^(1/4)+G2018</f>
        <v>2.42206867000574</v>
      </c>
      <c r="H2023" s="48" t="n">
        <f aca="false">G2023*Assumptions!$G$59^(1/4)+H2018</f>
        <v>2.32563301141821</v>
      </c>
      <c r="I2023" s="48" t="n">
        <f aca="false">H2023*Assumptions!$G$59^(1/4)+I2018</f>
        <v>2.23303697817342</v>
      </c>
      <c r="J2023" s="48" t="n">
        <f aca="false">I2023*Assumptions!$G$59^(1/4)+J2018</f>
        <v>2.14412769401181</v>
      </c>
      <c r="K2023" s="48" t="n">
        <f aca="false">J2023*Assumptions!$G$59^(1/4)+K2018</f>
        <v>2.05875836950488</v>
      </c>
      <c r="L2023" s="48" t="n">
        <f aca="false">K2023*Assumptions!$G$59^(1/4)+L2018</f>
        <v>1.97678805970548</v>
      </c>
      <c r="M2023" s="48" t="n">
        <f aca="false">L2023*Assumptions!$G$59^(1/4)+M2018</f>
        <v>1.89808143144741</v>
      </c>
      <c r="N2023" s="48" t="n">
        <f aca="false">M2023*Assumptions!$G$59^(1/4)+N2018</f>
        <v>1.82250853991004</v>
      </c>
      <c r="P2023" s="49" t="n">
        <f aca="false">F2023</f>
        <v>2.22693605551183</v>
      </c>
      <c r="Q2023" s="49" t="n">
        <f aca="false">J2023</f>
        <v>2.14412769401181</v>
      </c>
      <c r="R2023" s="49" t="n">
        <f aca="false">N2023</f>
        <v>1.82250853991004</v>
      </c>
      <c r="S2023" s="50" t="n">
        <f aca="false">R2023</f>
        <v>1.82250853991004</v>
      </c>
    </row>
    <row r="2024" customFormat="false" ht="15" hidden="false" customHeight="false" outlineLevel="0" collapsed="false">
      <c r="A2024" s="4" t="s">
        <v>535</v>
      </c>
      <c r="B2024" s="36" t="s">
        <v>527</v>
      </c>
      <c r="C2024" s="48" t="n">
        <f aca="false">0*Assumptions!$G$60^(1/4)+C2019</f>
        <v>0</v>
      </c>
      <c r="D2024" s="48" t="n">
        <f aca="false">C2024*Assumptions!$G$60^(1/4)+D2019</f>
        <v>0.205582065390946</v>
      </c>
      <c r="E2024" s="48" t="n">
        <f aca="false">D2024*Assumptions!$G$60^(1/4)+E2019</f>
        <v>0.559678112262354</v>
      </c>
      <c r="F2024" s="48" t="n">
        <f aca="false">E2024*Assumptions!$G$60^(1/4)+F2019</f>
        <v>0.912006692914749</v>
      </c>
      <c r="G2024" s="48" t="n">
        <f aca="false">F2024*Assumptions!$G$60^(1/4)+G2019</f>
        <v>0.878259059362459</v>
      </c>
      <c r="H2024" s="48" t="n">
        <f aca="false">G2024*Assumptions!$G$60^(1/4)+H2019</f>
        <v>0.845760213543009</v>
      </c>
      <c r="I2024" s="48" t="n">
        <f aca="false">H2024*Assumptions!$G$60^(1/4)+I2019</f>
        <v>0.814463945674036</v>
      </c>
      <c r="J2024" s="48" t="n">
        <f aca="false">I2024*Assumptions!$G$60^(1/4)+J2019</f>
        <v>0.784325755906684</v>
      </c>
      <c r="K2024" s="48" t="n">
        <f aca="false">J2024*Assumptions!$G$60^(1/4)+K2019</f>
        <v>0.755302791051715</v>
      </c>
      <c r="L2024" s="48" t="n">
        <f aca="false">K2024*Assumptions!$G$60^(1/4)+L2019</f>
        <v>0.727353783646988</v>
      </c>
      <c r="M2024" s="48" t="n">
        <f aca="false">L2024*Assumptions!$G$60^(1/4)+M2019</f>
        <v>0.700438993279671</v>
      </c>
      <c r="N2024" s="48" t="n">
        <f aca="false">M2024*Assumptions!$G$60^(1/4)+N2019</f>
        <v>0.674520150079748</v>
      </c>
      <c r="P2024" s="49" t="n">
        <f aca="false">F2024</f>
        <v>0.912006692914749</v>
      </c>
      <c r="Q2024" s="49" t="n">
        <f aca="false">J2024</f>
        <v>0.784325755906684</v>
      </c>
      <c r="R2024" s="49" t="n">
        <f aca="false">N2024</f>
        <v>0.674520150079748</v>
      </c>
      <c r="S2024" s="50" t="n">
        <f aca="false">R2024</f>
        <v>0.674520150079748</v>
      </c>
    </row>
    <row r="2025" customFormat="false" ht="15" hidden="false" customHeight="false" outlineLevel="0" collapsed="false">
      <c r="A2025" s="4" t="s">
        <v>536</v>
      </c>
      <c r="B2025" s="36" t="s">
        <v>527</v>
      </c>
      <c r="C2025" s="48" t="n">
        <f aca="false">0*Assumptions!$G$61^(1/4)+C2020</f>
        <v>0</v>
      </c>
      <c r="D2025" s="48" t="n">
        <f aca="false">C2025*Assumptions!$G$61^(1/4)+D2020</f>
        <v>0</v>
      </c>
      <c r="E2025" s="48" t="n">
        <f aca="false">D2025*Assumptions!$G$61^(1/4)+E2020</f>
        <v>0.0239020718496306</v>
      </c>
      <c r="F2025" s="48" t="n">
        <f aca="false">E2025*Assumptions!$G$61^(1/4)+F2020</f>
        <v>0.0652038463172499</v>
      </c>
      <c r="G2025" s="48" t="n">
        <f aca="false">F2025*Assumptions!$G$61^(1/4)+G2020</f>
        <v>0.0631529850519789</v>
      </c>
      <c r="H2025" s="48" t="n">
        <f aca="false">G2025*Assumptions!$G$61^(1/4)+H2020</f>
        <v>0.0611666296735067</v>
      </c>
      <c r="I2025" s="48" t="n">
        <f aca="false">H2025*Assumptions!$G$61^(1/4)+I2020</f>
        <v>0.059242751273539</v>
      </c>
      <c r="J2025" s="48" t="n">
        <f aca="false">I2025*Assumptions!$G$61^(1/4)+J2020</f>
        <v>0.0573793847591799</v>
      </c>
      <c r="K2025" s="48" t="n">
        <f aca="false">J2025*Assumptions!$G$61^(1/4)+K2020</f>
        <v>0.0555746268457414</v>
      </c>
      <c r="L2025" s="48" t="n">
        <f aca="false">K2025*Assumptions!$G$61^(1/4)+L2020</f>
        <v>0.0538266341126859</v>
      </c>
      <c r="M2025" s="48" t="n">
        <f aca="false">L2025*Assumptions!$G$61^(1/4)+M2020</f>
        <v>0.0521336211207143</v>
      </c>
      <c r="N2025" s="48" t="n">
        <f aca="false">M2025*Assumptions!$G$61^(1/4)+N2020</f>
        <v>0.0504938585880783</v>
      </c>
      <c r="P2025" s="49" t="n">
        <f aca="false">F2025</f>
        <v>0.0652038463172499</v>
      </c>
      <c r="Q2025" s="49" t="n">
        <f aca="false">J2025</f>
        <v>0.0573793847591799</v>
      </c>
      <c r="R2025" s="49" t="n">
        <f aca="false">N2025</f>
        <v>0.0504938585880783</v>
      </c>
      <c r="S2025" s="50" t="n">
        <f aca="false">R2025</f>
        <v>0.0504938585880783</v>
      </c>
    </row>
    <row r="2026" customFormat="false" ht="15" hidden="false" customHeight="false" outlineLevel="0" collapsed="false">
      <c r="A2026" s="9" t="s">
        <v>537</v>
      </c>
      <c r="B2026" s="36" t="s">
        <v>527</v>
      </c>
      <c r="C2026" s="49" t="n">
        <f aca="false">C2023+C2024+C2025</f>
        <v>0</v>
      </c>
      <c r="D2026" s="49" t="n">
        <f aca="false">D2023+D2024+D2025</f>
        <v>0.708746335933869</v>
      </c>
      <c r="E2026" s="49" t="n">
        <f aca="false">E2023+E2024+E2025</f>
        <v>1.95198351327127</v>
      </c>
      <c r="F2026" s="49" t="n">
        <f aca="false">F2023+F2024+F2025</f>
        <v>3.20414659474383</v>
      </c>
      <c r="G2026" s="49" t="n">
        <f aca="false">G2023+G2024+G2025</f>
        <v>3.36348071442018</v>
      </c>
      <c r="H2026" s="49" t="n">
        <f aca="false">H2023+H2024+H2025</f>
        <v>3.23255985463473</v>
      </c>
      <c r="I2026" s="49" t="n">
        <f aca="false">I2023+I2024+I2025</f>
        <v>3.106743675121</v>
      </c>
      <c r="J2026" s="49" t="n">
        <f aca="false">J2023+J2024+J2025</f>
        <v>2.98583283467768</v>
      </c>
      <c r="K2026" s="49" t="n">
        <f aca="false">K2023+K2024+K2025</f>
        <v>2.86963578740234</v>
      </c>
      <c r="L2026" s="49" t="n">
        <f aca="false">L2023+L2024+L2025</f>
        <v>2.75796847746515</v>
      </c>
      <c r="M2026" s="49" t="n">
        <f aca="false">M2023+M2024+M2025</f>
        <v>2.65065404584779</v>
      </c>
      <c r="N2026" s="49" t="n">
        <f aca="false">N2023+N2024+N2025</f>
        <v>2.54752254857787</v>
      </c>
      <c r="P2026" s="49" t="n">
        <f aca="false">F2026</f>
        <v>3.20414659474383</v>
      </c>
      <c r="Q2026" s="49" t="n">
        <f aca="false">J2026</f>
        <v>2.98583283467768</v>
      </c>
      <c r="R2026" s="49" t="n">
        <f aca="false">N2026</f>
        <v>2.54752254857787</v>
      </c>
      <c r="S2026" s="50" t="n">
        <f aca="false">R2026</f>
        <v>2.54752254857787</v>
      </c>
    </row>
    <row r="2027" customFormat="false" ht="15" hidden="false" customHeight="false" outlineLevel="0" collapsed="false">
      <c r="A2027" s="4" t="s">
        <v>538</v>
      </c>
      <c r="B2027" s="36" t="s">
        <v>125</v>
      </c>
      <c r="C2027" s="54" t="n">
        <f aca="false">0*Assumptions!$G$62^(1/4)+C2018*$C$1967</f>
        <v>0</v>
      </c>
      <c r="D2027" s="54" t="n">
        <f aca="false">C2027*Assumptions!$G$62^(1/4)+D2018*$C$1967</f>
        <v>2692.93517594572</v>
      </c>
      <c r="E2027" s="54" t="n">
        <f aca="false">D2027*Assumptions!$G$62^(1/4)+E2018*$C$1967</f>
        <v>7375.36065777218</v>
      </c>
      <c r="F2027" s="54" t="n">
        <f aca="false">E2027*Assumptions!$G$62^(1/4)+F2018*$C$1967</f>
        <v>12109.6726921017</v>
      </c>
      <c r="G2027" s="54" t="n">
        <f aca="false">F2027*Assumptions!$G$62^(1/4)+G2018*$C$1967</f>
        <v>13378.7467034387</v>
      </c>
      <c r="H2027" s="54" t="n">
        <f aca="false">G2027*Assumptions!$G$62^(1/4)+H2018*$C$1967</f>
        <v>13102.7479931636</v>
      </c>
      <c r="I2027" s="54" t="n">
        <f aca="false">H2027*Assumptions!$G$62^(1/4)+I2018*$C$1967</f>
        <v>12832.4430365534</v>
      </c>
      <c r="J2027" s="54" t="n">
        <f aca="false">I2027*Assumptions!$G$62^(1/4)+J2018*$C$1967</f>
        <v>12567.7143735273</v>
      </c>
      <c r="K2027" s="54" t="n">
        <f aca="false">J2027*Assumptions!$G$62^(1/4)+K2018*$C$1967</f>
        <v>12308.4469671636</v>
      </c>
      <c r="L2027" s="54" t="n">
        <f aca="false">K2027*Assumptions!$G$62^(1/4)+L2018*$C$1967</f>
        <v>12054.5281537106</v>
      </c>
      <c r="M2027" s="54" t="n">
        <f aca="false">L2027*Assumptions!$G$62^(1/4)+M2018*$C$1967</f>
        <v>11805.8475936292</v>
      </c>
      <c r="N2027" s="54" t="n">
        <f aca="false">M2027*Assumptions!$G$62^(1/4)+N2018*$C$1967</f>
        <v>11562.2972236452</v>
      </c>
      <c r="P2027" s="55" t="n">
        <f aca="false">F2027</f>
        <v>12109.6726921017</v>
      </c>
      <c r="Q2027" s="55" t="n">
        <f aca="false">J2027</f>
        <v>12567.7143735273</v>
      </c>
      <c r="R2027" s="55" t="n">
        <f aca="false">N2027</f>
        <v>11562.2972236452</v>
      </c>
      <c r="S2027" s="56" t="n">
        <f aca="false">R2027</f>
        <v>11562.2972236452</v>
      </c>
    </row>
    <row r="2028" customFormat="false" ht="15" hidden="false" customHeight="false" outlineLevel="0" collapsed="false">
      <c r="A2028" s="4" t="s">
        <v>539</v>
      </c>
      <c r="B2028" s="36" t="s">
        <v>125</v>
      </c>
      <c r="C2028" s="54" t="n">
        <f aca="false">0*Assumptions!$G$63^(1/4)+C2019*$C$1968</f>
        <v>0</v>
      </c>
      <c r="D2028" s="54" t="n">
        <f aca="false">C2028*Assumptions!$G$63^(1/4)+D2019*$C$1968</f>
        <v>1100.27521397234</v>
      </c>
      <c r="E2028" s="54" t="n">
        <f aca="false">D2028*Assumptions!$G$63^(1/4)+E2019*$C$1968</f>
        <v>3030.5684001444</v>
      </c>
      <c r="F2028" s="54" t="n">
        <f aca="false">E2028*Assumptions!$G$63^(1/4)+F2019*$C$1968</f>
        <v>5011.80395030722</v>
      </c>
      <c r="G2028" s="54" t="n">
        <f aca="false">F2028*Assumptions!$G$63^(1/4)+G2019*$C$1968</f>
        <v>4986.55476463467</v>
      </c>
      <c r="H2028" s="54" t="n">
        <f aca="false">G2028*Assumptions!$G$63^(1/4)+H2019*$C$1968</f>
        <v>4961.43278293567</v>
      </c>
      <c r="I2028" s="54" t="n">
        <f aca="false">H2028*Assumptions!$G$63^(1/4)+I2019*$C$1968</f>
        <v>4936.43736436377</v>
      </c>
      <c r="J2028" s="54" t="n">
        <f aca="false">I2028*Assumptions!$G$63^(1/4)+J2019*$C$1968</f>
        <v>4911.56787130108</v>
      </c>
      <c r="K2028" s="54" t="n">
        <f aca="false">J2028*Assumptions!$G$63^(1/4)+K2019*$C$1968</f>
        <v>4886.82366934198</v>
      </c>
      <c r="L2028" s="54" t="n">
        <f aca="false">K2028*Assumptions!$G$63^(1/4)+L2019*$C$1968</f>
        <v>4862.20412727695</v>
      </c>
      <c r="M2028" s="54" t="n">
        <f aca="false">L2028*Assumptions!$G$63^(1/4)+M2019*$C$1968</f>
        <v>4837.70861707649</v>
      </c>
      <c r="N2028" s="54" t="n">
        <f aca="false">M2028*Assumptions!$G$63^(1/4)+N2019*$C$1968</f>
        <v>4813.33651387506</v>
      </c>
      <c r="P2028" s="55" t="n">
        <f aca="false">F2028</f>
        <v>5011.80395030722</v>
      </c>
      <c r="Q2028" s="55" t="n">
        <f aca="false">J2028</f>
        <v>4911.56787130108</v>
      </c>
      <c r="R2028" s="55" t="n">
        <f aca="false">N2028</f>
        <v>4813.33651387506</v>
      </c>
      <c r="S2028" s="56" t="n">
        <f aca="false">R2028</f>
        <v>4813.33651387506</v>
      </c>
    </row>
    <row r="2029" customFormat="false" ht="15" hidden="false" customHeight="false" outlineLevel="0" collapsed="false">
      <c r="A2029" s="4" t="s">
        <v>540</v>
      </c>
      <c r="B2029" s="36" t="s">
        <v>125</v>
      </c>
      <c r="C2029" s="54" t="n">
        <f aca="false">0*Assumptions!$G$64^(1/4)+C2020*$C$1969</f>
        <v>0</v>
      </c>
      <c r="D2029" s="54" t="n">
        <f aca="false">C2029*Assumptions!$G$64^(1/4)+D2020*$C$1969</f>
        <v>0</v>
      </c>
      <c r="E2029" s="54" t="n">
        <f aca="false">D2029*Assumptions!$G$64^(1/4)+E2020*$C$1969</f>
        <v>1059.10080365713</v>
      </c>
      <c r="F2029" s="54" t="n">
        <f aca="false">E2029*Assumptions!$G$64^(1/4)+F2020*$C$1969</f>
        <v>2935.49193737268</v>
      </c>
      <c r="G2029" s="54" t="n">
        <f aca="false">F2029*Assumptions!$G$64^(1/4)+G2020*$C$1969</f>
        <v>2971.51698259267</v>
      </c>
      <c r="H2029" s="54" t="n">
        <f aca="false">G2029*Assumptions!$G$64^(1/4)+H2020*$C$1969</f>
        <v>3007.98413561292</v>
      </c>
      <c r="I2029" s="54" t="n">
        <f aca="false">H2029*Assumptions!$G$64^(1/4)+I2020*$C$1969</f>
        <v>3044.89882208399</v>
      </c>
      <c r="J2029" s="54" t="n">
        <f aca="false">I2029*Assumptions!$G$64^(1/4)+J2020*$C$1969</f>
        <v>3082.26653424132</v>
      </c>
      <c r="K2029" s="54" t="n">
        <f aca="false">J2029*Assumptions!$G$64^(1/4)+K2020*$C$1969</f>
        <v>3120.09283172231</v>
      </c>
      <c r="L2029" s="54" t="n">
        <f aca="false">K2029*Assumptions!$G$64^(1/4)+L2020*$C$1969</f>
        <v>3158.38334239357</v>
      </c>
      <c r="M2029" s="54" t="n">
        <f aca="false">L2029*Assumptions!$G$64^(1/4)+M2020*$C$1969</f>
        <v>3197.1437631882</v>
      </c>
      <c r="N2029" s="54" t="n">
        <f aca="false">M2029*Assumptions!$G$64^(1/4)+N2020*$C$1969</f>
        <v>3236.37986095338</v>
      </c>
      <c r="P2029" s="55" t="n">
        <f aca="false">F2029</f>
        <v>2935.49193737268</v>
      </c>
      <c r="Q2029" s="55" t="n">
        <f aca="false">J2029</f>
        <v>3082.26653424132</v>
      </c>
      <c r="R2029" s="55" t="n">
        <f aca="false">N2029</f>
        <v>3236.37986095338</v>
      </c>
      <c r="S2029" s="56" t="n">
        <f aca="false">R2029</f>
        <v>3236.37986095338</v>
      </c>
    </row>
    <row r="2030" customFormat="false" ht="15" hidden="false" customHeight="false" outlineLevel="0" collapsed="false">
      <c r="A2030" s="9" t="s">
        <v>541</v>
      </c>
      <c r="B2030" s="36" t="s">
        <v>125</v>
      </c>
      <c r="C2030" s="55" t="n">
        <f aca="false">C2027+C2028+C2029</f>
        <v>0</v>
      </c>
      <c r="D2030" s="55" t="n">
        <f aca="false">D2027+D2028+D2029</f>
        <v>3793.21038991807</v>
      </c>
      <c r="E2030" s="55" t="n">
        <f aca="false">E2027+E2028+E2029</f>
        <v>11465.0298615737</v>
      </c>
      <c r="F2030" s="55" t="n">
        <f aca="false">F2027+F2028+F2029</f>
        <v>20056.9685797816</v>
      </c>
      <c r="G2030" s="55" t="n">
        <f aca="false">G2027+G2028+G2029</f>
        <v>21336.818450666</v>
      </c>
      <c r="H2030" s="55" t="n">
        <f aca="false">H2027+H2028+H2029</f>
        <v>21072.1649117122</v>
      </c>
      <c r="I2030" s="55" t="n">
        <f aca="false">I2027+I2028+I2029</f>
        <v>20813.7792230012</v>
      </c>
      <c r="J2030" s="55" t="n">
        <f aca="false">J2027+J2028+J2029</f>
        <v>20561.5487790697</v>
      </c>
      <c r="K2030" s="55" t="n">
        <f aca="false">K2027+K2028+K2029</f>
        <v>20315.3634682279</v>
      </c>
      <c r="L2030" s="55" t="n">
        <f aca="false">L2027+L2028+L2029</f>
        <v>20075.1156233811</v>
      </c>
      <c r="M2030" s="55" t="n">
        <f aca="false">M2027+M2028+M2029</f>
        <v>19840.6999738939</v>
      </c>
      <c r="N2030" s="55" t="n">
        <f aca="false">N2027+N2028+N2029</f>
        <v>19612.0135984736</v>
      </c>
      <c r="P2030" s="55" t="n">
        <f aca="false">F2030</f>
        <v>20056.9685797816</v>
      </c>
      <c r="Q2030" s="55" t="n">
        <f aca="false">J2030</f>
        <v>20561.5487790697</v>
      </c>
      <c r="R2030" s="55" t="n">
        <f aca="false">N2030</f>
        <v>19612.0135984736</v>
      </c>
      <c r="S2030" s="56" t="n">
        <f aca="false">R2030</f>
        <v>19612.0135984736</v>
      </c>
    </row>
    <row r="2031" customFormat="false" ht="15" hidden="false" customHeight="false" outlineLevel="0" collapsed="false">
      <c r="A2031" s="4" t="s">
        <v>542</v>
      </c>
      <c r="B2031" s="36" t="s">
        <v>125</v>
      </c>
      <c r="C2031" s="54" t="n">
        <f aca="false">C2018*$C$1967+C2019*$C$1968+C2020*$C$1969</f>
        <v>0</v>
      </c>
      <c r="D2031" s="54" t="n">
        <f aca="false">D2018*$C$1967+D2019*$C$1968+D2020*$C$1969</f>
        <v>3793.21038991807</v>
      </c>
      <c r="E2031" s="54" t="n">
        <f aca="false">E2018*$C$1967+E2019*$C$1968+E2020*$C$1969</f>
        <v>7732.91687576268</v>
      </c>
      <c r="F2031" s="54" t="n">
        <f aca="false">F2018*$C$1967+F2019*$C$1968+F2020*$C$1969</f>
        <v>8746.36004294924</v>
      </c>
      <c r="G2031" s="54" t="n">
        <f aca="false">G2018*$C$1967+G2019*$C$1968+G2020*$C$1969</f>
        <v>1518.89218331965</v>
      </c>
      <c r="H2031" s="54" t="n">
        <f aca="false">H2018*$C$1967+H2019*$C$1968+H2020*$C$1969</f>
        <v>0</v>
      </c>
      <c r="I2031" s="54" t="n">
        <f aca="false">I2018*$C$1967+I2019*$C$1968+I2020*$C$1969</f>
        <v>0</v>
      </c>
      <c r="J2031" s="54" t="n">
        <f aca="false">J2018*$C$1967+J2019*$C$1968+J2020*$C$1969</f>
        <v>0</v>
      </c>
      <c r="K2031" s="54" t="n">
        <f aca="false">K2018*$C$1967+K2019*$C$1968+K2020*$C$1969</f>
        <v>0</v>
      </c>
      <c r="L2031" s="54" t="n">
        <f aca="false">L2018*$C$1967+L2019*$C$1968+L2020*$C$1969</f>
        <v>0</v>
      </c>
      <c r="M2031" s="54" t="n">
        <f aca="false">M2018*$C$1967+M2019*$C$1968+M2020*$C$1969</f>
        <v>0</v>
      </c>
      <c r="N2031" s="54" t="n">
        <f aca="false">N2018*$C$1967+N2019*$C$1968+N2020*$C$1969</f>
        <v>0</v>
      </c>
      <c r="P2031" s="55" t="n">
        <f aca="false">SUM(C2031:F2031)</f>
        <v>20272.48730863</v>
      </c>
      <c r="Q2031" s="55" t="n">
        <f aca="false">SUM(G2031:J2031)</f>
        <v>1518.89218331965</v>
      </c>
      <c r="R2031" s="55" t="n">
        <f aca="false">SUM(K2031:N2031)</f>
        <v>0</v>
      </c>
      <c r="S2031" s="56" t="n">
        <f aca="false">SUM(P2031:R2031)</f>
        <v>21791.3794919496</v>
      </c>
    </row>
    <row r="2032" customFormat="false" ht="15" hidden="false" customHeight="false" outlineLevel="0" collapsed="false">
      <c r="A2032" s="9" t="s">
        <v>543</v>
      </c>
      <c r="B2032" s="36" t="s">
        <v>125</v>
      </c>
      <c r="C2032" s="55" t="n">
        <f aca="false">(0+C2030)/8</f>
        <v>0</v>
      </c>
      <c r="D2032" s="55" t="n">
        <f aca="false">(C2030+D2030)/8</f>
        <v>474.151298739759</v>
      </c>
      <c r="E2032" s="55" t="n">
        <f aca="false">(D2030+E2030)/8</f>
        <v>1907.28003143647</v>
      </c>
      <c r="F2032" s="55" t="n">
        <f aca="false">(E2030+F2030)/8</f>
        <v>3940.24980516941</v>
      </c>
      <c r="G2032" s="55" t="n">
        <f aca="false">(F2030+G2030)/8</f>
        <v>5174.22337880595</v>
      </c>
      <c r="H2032" s="55" t="n">
        <f aca="false">(G2030+H2030)/8</f>
        <v>5301.12292029728</v>
      </c>
      <c r="I2032" s="55" t="n">
        <f aca="false">(H2030+I2030)/8</f>
        <v>5235.74301683918</v>
      </c>
      <c r="J2032" s="55" t="n">
        <f aca="false">(I2030+J2030)/8</f>
        <v>5171.91600025887</v>
      </c>
      <c r="K2032" s="55" t="n">
        <f aca="false">(J2030+K2030)/8</f>
        <v>5109.6140309122</v>
      </c>
      <c r="L2032" s="55" t="n">
        <f aca="false">(K2030+L2030)/8</f>
        <v>5048.80988645112</v>
      </c>
      <c r="M2032" s="55" t="n">
        <f aca="false">(L2030+M2030)/8</f>
        <v>4989.47694965937</v>
      </c>
      <c r="N2032" s="55" t="n">
        <f aca="false">(M2030+N2030)/8</f>
        <v>4931.58919654593</v>
      </c>
      <c r="P2032" s="55" t="n">
        <f aca="false">SUM(C2032:F2032)</f>
        <v>6321.68113534565</v>
      </c>
      <c r="Q2032" s="55" t="n">
        <f aca="false">SUM(G2032:J2032)</f>
        <v>20883.0053162013</v>
      </c>
      <c r="R2032" s="55" t="n">
        <f aca="false">SUM(K2032:N2032)</f>
        <v>20079.4900635686</v>
      </c>
      <c r="S2032" s="56" t="n">
        <f aca="false">SUM(P2032:R2032)</f>
        <v>47284.1765151155</v>
      </c>
    </row>
    <row r="2033" customFormat="false" ht="15" hidden="false" customHeight="false" outlineLevel="0" collapsed="false">
      <c r="A2033" s="4" t="s">
        <v>544</v>
      </c>
      <c r="B2033" s="36" t="s">
        <v>125</v>
      </c>
      <c r="C2033" s="54" t="n">
        <f aca="false">C2032*Assumptions!$G$76</f>
        <v>0</v>
      </c>
      <c r="D2033" s="54" t="n">
        <f aca="false">D2032*Assumptions!$G$76</f>
        <v>260.783214306867</v>
      </c>
      <c r="E2033" s="54" t="n">
        <f aca="false">E2032*Assumptions!$G$76</f>
        <v>1049.00401729006</v>
      </c>
      <c r="F2033" s="54" t="n">
        <f aca="false">F2032*Assumptions!$G$76</f>
        <v>2167.13739284318</v>
      </c>
      <c r="G2033" s="54" t="n">
        <f aca="false">G2032*Assumptions!$G$76</f>
        <v>2845.82285834327</v>
      </c>
      <c r="H2033" s="54" t="n">
        <f aca="false">H2032*Assumptions!$G$76</f>
        <v>2915.6176061635</v>
      </c>
      <c r="I2033" s="54" t="n">
        <f aca="false">I2032*Assumptions!$G$76</f>
        <v>2879.65865926155</v>
      </c>
      <c r="J2033" s="54" t="n">
        <f aca="false">J2032*Assumptions!$G$76</f>
        <v>2844.55380014238</v>
      </c>
      <c r="K2033" s="54" t="n">
        <f aca="false">K2032*Assumptions!$G$76</f>
        <v>2810.28771700171</v>
      </c>
      <c r="L2033" s="54" t="n">
        <f aca="false">L2032*Assumptions!$G$76</f>
        <v>2776.84543754811</v>
      </c>
      <c r="M2033" s="54" t="n">
        <f aca="false">M2032*Assumptions!$G$76</f>
        <v>2744.21232231265</v>
      </c>
      <c r="N2033" s="54" t="n">
        <f aca="false">N2032*Assumptions!$G$76</f>
        <v>2712.37405810026</v>
      </c>
      <c r="P2033" s="55" t="n">
        <f aca="false">SUM(C2033:F2033)</f>
        <v>3476.92462444011</v>
      </c>
      <c r="Q2033" s="55" t="n">
        <f aca="false">SUM(G2033:J2033)</f>
        <v>11485.6529239107</v>
      </c>
      <c r="R2033" s="55" t="n">
        <f aca="false">SUM(K2033:N2033)</f>
        <v>11043.7195349627</v>
      </c>
      <c r="S2033" s="56" t="n">
        <f aca="false">SUM(P2033:R2033)</f>
        <v>26006.2970833135</v>
      </c>
    </row>
    <row r="2034" customFormat="false" ht="15" hidden="false" customHeight="false" outlineLevel="0" collapsed="false">
      <c r="A2034" s="35" t="s">
        <v>547</v>
      </c>
      <c r="B2034" s="35" t="s">
        <v>444</v>
      </c>
      <c r="C2034" s="6" t="s">
        <v>354</v>
      </c>
      <c r="D2034" s="6" t="s">
        <v>355</v>
      </c>
      <c r="E2034" s="6" t="s">
        <v>356</v>
      </c>
      <c r="F2034" s="6" t="s">
        <v>357</v>
      </c>
      <c r="G2034" s="6" t="s">
        <v>358</v>
      </c>
      <c r="H2034" s="6" t="s">
        <v>359</v>
      </c>
      <c r="I2034" s="6" t="s">
        <v>360</v>
      </c>
      <c r="J2034" s="6" t="s">
        <v>361</v>
      </c>
      <c r="K2034" s="6" t="s">
        <v>362</v>
      </c>
      <c r="L2034" s="6" t="s">
        <v>363</v>
      </c>
      <c r="M2034" s="6" t="s">
        <v>364</v>
      </c>
      <c r="N2034" s="6" t="s">
        <v>365</v>
      </c>
      <c r="P2034" s="6" t="s">
        <v>445</v>
      </c>
      <c r="Q2034" s="6" t="s">
        <v>446</v>
      </c>
      <c r="R2034" s="6" t="s">
        <v>447</v>
      </c>
      <c r="S2034" s="6" t="s">
        <v>448</v>
      </c>
    </row>
    <row r="2035" customFormat="false" ht="15" hidden="false" customHeight="false" outlineLevel="0" collapsed="false">
      <c r="A2035" s="4" t="s">
        <v>548</v>
      </c>
      <c r="B2035" s="36" t="s">
        <v>321</v>
      </c>
      <c r="C2035" s="48" t="n">
        <f aca="false">Assumptions!$D$97*C1977</f>
        <v>1</v>
      </c>
      <c r="D2035" s="48" t="n">
        <f aca="false">Assumptions!$D$97*D1977</f>
        <v>1</v>
      </c>
      <c r="E2035" s="48" t="n">
        <f aca="false">Assumptions!$D$97*E1977</f>
        <v>1</v>
      </c>
      <c r="F2035" s="48" t="n">
        <f aca="false">Assumptions!$D$97*F1977</f>
        <v>1</v>
      </c>
      <c r="G2035" s="48" t="n">
        <f aca="false">Assumptions!$D$97*G1977</f>
        <v>0</v>
      </c>
      <c r="H2035" s="48" t="n">
        <f aca="false">Assumptions!$D$97*H1977</f>
        <v>0</v>
      </c>
      <c r="I2035" s="48" t="n">
        <f aca="false">Assumptions!$D$97*I1977</f>
        <v>0</v>
      </c>
      <c r="J2035" s="48" t="n">
        <f aca="false">Assumptions!$D$97*J1977</f>
        <v>0</v>
      </c>
      <c r="K2035" s="48" t="n">
        <f aca="false">Assumptions!$D$97*K1977</f>
        <v>0</v>
      </c>
      <c r="L2035" s="48" t="n">
        <f aca="false">Assumptions!$D$97*L1977</f>
        <v>0</v>
      </c>
      <c r="M2035" s="48" t="n">
        <f aca="false">Assumptions!$D$97*M1977</f>
        <v>0</v>
      </c>
      <c r="N2035" s="48" t="n">
        <f aca="false">Assumptions!$D$97*N1977</f>
        <v>0</v>
      </c>
      <c r="P2035" s="49" t="n">
        <f aca="false">AVERAGE(C2035:F2035)</f>
        <v>1</v>
      </c>
      <c r="Q2035" s="49" t="n">
        <f aca="false">AVERAGE(G2035:J2035)</f>
        <v>0</v>
      </c>
      <c r="R2035" s="49" t="n">
        <f aca="false">AVERAGE(K2035:N2035)</f>
        <v>0</v>
      </c>
      <c r="S2035" s="50"/>
    </row>
    <row r="2036" customFormat="false" ht="15" hidden="false" customHeight="false" outlineLevel="0" collapsed="false">
      <c r="A2036" s="4" t="s">
        <v>549</v>
      </c>
      <c r="B2036" s="36" t="s">
        <v>321</v>
      </c>
      <c r="C2036" s="48" t="n">
        <f aca="false">C1990*C1977</f>
        <v>0</v>
      </c>
      <c r="D2036" s="48" t="n">
        <f aca="false">D1990*D1977</f>
        <v>0</v>
      </c>
      <c r="E2036" s="48" t="n">
        <f aca="false">E1990*E1977</f>
        <v>0</v>
      </c>
      <c r="F2036" s="48" t="n">
        <f aca="false">F1990*F1977</f>
        <v>0</v>
      </c>
      <c r="G2036" s="48" t="n">
        <f aca="false">G1990*G1977</f>
        <v>0</v>
      </c>
      <c r="H2036" s="48" t="n">
        <f aca="false">H1990*H1977</f>
        <v>0</v>
      </c>
      <c r="I2036" s="48" t="n">
        <f aca="false">I1990*I1977</f>
        <v>0</v>
      </c>
      <c r="J2036" s="48" t="n">
        <f aca="false">J1990*J1977</f>
        <v>0</v>
      </c>
      <c r="K2036" s="48" t="n">
        <f aca="false">K1990*K1977</f>
        <v>0</v>
      </c>
      <c r="L2036" s="48" t="n">
        <f aca="false">L1990*L1977</f>
        <v>0</v>
      </c>
      <c r="M2036" s="48" t="n">
        <f aca="false">M1990*M1977</f>
        <v>0</v>
      </c>
      <c r="N2036" s="48" t="n">
        <f aca="false">N1990*N1977</f>
        <v>0</v>
      </c>
      <c r="P2036" s="49" t="n">
        <f aca="false">AVERAGE(C2036:F2036)</f>
        <v>0</v>
      </c>
      <c r="Q2036" s="49" t="n">
        <f aca="false">AVERAGE(G2036:J2036)</f>
        <v>0</v>
      </c>
      <c r="R2036" s="49" t="n">
        <f aca="false">AVERAGE(K2036:N2036)</f>
        <v>0</v>
      </c>
      <c r="S2036" s="50"/>
    </row>
    <row r="2037" customFormat="false" ht="15" hidden="false" customHeight="false" outlineLevel="0" collapsed="false">
      <c r="A2037" s="4" t="s">
        <v>550</v>
      </c>
      <c r="B2037" s="36" t="s">
        <v>321</v>
      </c>
      <c r="C2037" s="48" t="n">
        <f aca="false">IF(C1976&lt;=4,Assumptions!$D$98,Assumptions!$D$99)*C1977</f>
        <v>0</v>
      </c>
      <c r="D2037" s="48" t="n">
        <f aca="false">IF(D1976&lt;=4,Assumptions!$D$98,Assumptions!$D$99)*D1977</f>
        <v>0</v>
      </c>
      <c r="E2037" s="48" t="n">
        <f aca="false">IF(E1976&lt;=4,Assumptions!$D$98,Assumptions!$D$99)*E1977</f>
        <v>0</v>
      </c>
      <c r="F2037" s="48" t="n">
        <f aca="false">IF(F1976&lt;=4,Assumptions!$D$98,Assumptions!$D$99)*F1977</f>
        <v>0</v>
      </c>
      <c r="G2037" s="48" t="n">
        <f aca="false">IF(G1976&lt;=4,Assumptions!$D$98,Assumptions!$D$99)*G1977</f>
        <v>0</v>
      </c>
      <c r="H2037" s="48" t="n">
        <f aca="false">IF(H1976&lt;=4,Assumptions!$D$98,Assumptions!$D$99)*H1977</f>
        <v>0</v>
      </c>
      <c r="I2037" s="48" t="n">
        <f aca="false">IF(I1976&lt;=4,Assumptions!$D$98,Assumptions!$D$99)*I1977</f>
        <v>0</v>
      </c>
      <c r="J2037" s="48" t="n">
        <f aca="false">IF(J1976&lt;=4,Assumptions!$D$98,Assumptions!$D$99)*J1977</f>
        <v>0</v>
      </c>
      <c r="K2037" s="48" t="n">
        <f aca="false">IF(K1976&lt;=4,Assumptions!$D$98,Assumptions!$D$99)*K1977</f>
        <v>0</v>
      </c>
      <c r="L2037" s="48" t="n">
        <f aca="false">IF(L1976&lt;=4,Assumptions!$D$98,Assumptions!$D$99)*L1977</f>
        <v>0</v>
      </c>
      <c r="M2037" s="48" t="n">
        <f aca="false">IF(M1976&lt;=4,Assumptions!$D$98,Assumptions!$D$99)*M1977</f>
        <v>0</v>
      </c>
      <c r="N2037" s="48" t="n">
        <f aca="false">IF(N1976&lt;=4,Assumptions!$D$98,Assumptions!$D$99)*N1977</f>
        <v>0</v>
      </c>
      <c r="P2037" s="49" t="n">
        <f aca="false">AVERAGE(C2037:F2037)</f>
        <v>0</v>
      </c>
      <c r="Q2037" s="49" t="n">
        <f aca="false">AVERAGE(G2037:J2037)</f>
        <v>0</v>
      </c>
      <c r="R2037" s="49" t="n">
        <f aca="false">AVERAGE(K2037:N2037)</f>
        <v>0</v>
      </c>
      <c r="S2037" s="50"/>
    </row>
    <row r="2038" customFormat="false" ht="15" hidden="false" customHeight="false" outlineLevel="0" collapsed="false">
      <c r="A2038" s="4" t="s">
        <v>551</v>
      </c>
      <c r="B2038" s="36" t="s">
        <v>321</v>
      </c>
      <c r="C2038" s="48" t="n">
        <f aca="false">IF(C1976&lt;=4,Assumptions!$D$100,Assumptions!$D$101)*C1977</f>
        <v>1</v>
      </c>
      <c r="D2038" s="48" t="n">
        <f aca="false">IF(D1976&lt;=4,Assumptions!$D$100,Assumptions!$D$101)*D1977</f>
        <v>1</v>
      </c>
      <c r="E2038" s="48" t="n">
        <f aca="false">IF(E1976&lt;=4,Assumptions!$D$100,Assumptions!$D$101)*E1977</f>
        <v>1</v>
      </c>
      <c r="F2038" s="48" t="n">
        <f aca="false">IF(F1976&lt;=4,Assumptions!$D$100,Assumptions!$D$101)*F1977</f>
        <v>1</v>
      </c>
      <c r="G2038" s="48" t="n">
        <f aca="false">IF(G1976&lt;=4,Assumptions!$D$100,Assumptions!$D$101)*G1977</f>
        <v>0</v>
      </c>
      <c r="H2038" s="48" t="n">
        <f aca="false">IF(H1976&lt;=4,Assumptions!$D$100,Assumptions!$D$101)*H1977</f>
        <v>0</v>
      </c>
      <c r="I2038" s="48" t="n">
        <f aca="false">IF(I1976&lt;=4,Assumptions!$D$100,Assumptions!$D$101)*I1977</f>
        <v>0</v>
      </c>
      <c r="J2038" s="48" t="n">
        <f aca="false">IF(J1976&lt;=4,Assumptions!$D$100,Assumptions!$D$101)*J1977</f>
        <v>0</v>
      </c>
      <c r="K2038" s="48" t="n">
        <f aca="false">IF(K1976&lt;=4,Assumptions!$D$100,Assumptions!$D$101)*K1977</f>
        <v>0</v>
      </c>
      <c r="L2038" s="48" t="n">
        <f aca="false">IF(L1976&lt;=4,Assumptions!$D$100,Assumptions!$D$101)*L1977</f>
        <v>0</v>
      </c>
      <c r="M2038" s="48" t="n">
        <f aca="false">IF(M1976&lt;=4,Assumptions!$D$100,Assumptions!$D$101)*M1977</f>
        <v>0</v>
      </c>
      <c r="N2038" s="48" t="n">
        <f aca="false">IF(N1976&lt;=4,Assumptions!$D$100,Assumptions!$D$101)*N1977</f>
        <v>0</v>
      </c>
      <c r="P2038" s="49" t="n">
        <f aca="false">AVERAGE(C2038:F2038)</f>
        <v>1</v>
      </c>
      <c r="Q2038" s="49" t="n">
        <f aca="false">AVERAGE(G2038:J2038)</f>
        <v>0</v>
      </c>
      <c r="R2038" s="49" t="n">
        <f aca="false">AVERAGE(K2038:N2038)</f>
        <v>0</v>
      </c>
      <c r="S2038" s="50"/>
    </row>
    <row r="2039" customFormat="false" ht="15" hidden="false" customHeight="false" outlineLevel="0" collapsed="false">
      <c r="A2039" s="4" t="s">
        <v>552</v>
      </c>
      <c r="B2039" s="36" t="s">
        <v>321</v>
      </c>
      <c r="C2039" s="48" t="n">
        <f aca="false">Assumptions!$D$102*C1977</f>
        <v>0.25</v>
      </c>
      <c r="D2039" s="48" t="n">
        <f aca="false">Assumptions!$D$102*D1977</f>
        <v>0.25</v>
      </c>
      <c r="E2039" s="48" t="n">
        <f aca="false">Assumptions!$D$102*E1977</f>
        <v>0.25</v>
      </c>
      <c r="F2039" s="48" t="n">
        <f aca="false">Assumptions!$D$102*F1977</f>
        <v>0.25</v>
      </c>
      <c r="G2039" s="48" t="n">
        <f aca="false">Assumptions!$D$102*G1977</f>
        <v>0</v>
      </c>
      <c r="H2039" s="48" t="n">
        <f aca="false">Assumptions!$D$102*H1977</f>
        <v>0</v>
      </c>
      <c r="I2039" s="48" t="n">
        <f aca="false">Assumptions!$D$102*I1977</f>
        <v>0</v>
      </c>
      <c r="J2039" s="48" t="n">
        <f aca="false">Assumptions!$D$102*J1977</f>
        <v>0</v>
      </c>
      <c r="K2039" s="48" t="n">
        <f aca="false">Assumptions!$D$102*K1977</f>
        <v>0</v>
      </c>
      <c r="L2039" s="48" t="n">
        <f aca="false">Assumptions!$D$102*L1977</f>
        <v>0</v>
      </c>
      <c r="M2039" s="48" t="n">
        <f aca="false">Assumptions!$D$102*M1977</f>
        <v>0</v>
      </c>
      <c r="N2039" s="48" t="n">
        <f aca="false">Assumptions!$D$102*N1977</f>
        <v>0</v>
      </c>
      <c r="P2039" s="49" t="n">
        <f aca="false">AVERAGE(C2039:F2039)</f>
        <v>0.25</v>
      </c>
      <c r="Q2039" s="49" t="n">
        <f aca="false">AVERAGE(G2039:J2039)</f>
        <v>0</v>
      </c>
      <c r="R2039" s="49" t="n">
        <f aca="false">AVERAGE(K2039:N2039)</f>
        <v>0</v>
      </c>
      <c r="S2039" s="50"/>
    </row>
    <row r="2040" customFormat="false" ht="15" hidden="false" customHeight="false" outlineLevel="0" collapsed="false">
      <c r="A2040" s="4" t="s">
        <v>553</v>
      </c>
      <c r="B2040" s="36" t="s">
        <v>321</v>
      </c>
      <c r="C2040" s="48" t="n">
        <f aca="false">(C2024+C2025)/Assumptions!$G$74+C2023/Assumptions!$G$75</f>
        <v>0</v>
      </c>
      <c r="D2040" s="48" t="n">
        <f aca="false">(D2024+D2025)/Assumptions!$G$74+D2023/Assumptions!$G$75</f>
        <v>0.00715220871694535</v>
      </c>
      <c r="E2040" s="48" t="n">
        <f aca="false">(E2024+E2025)/Assumptions!$G$74+E2023/Assumptions!$G$75</f>
        <v>0.0200631179194368</v>
      </c>
      <c r="F2040" s="48" t="n">
        <f aca="false">(F2024+F2025)/Assumptions!$G$74+F2023/Assumptions!$G$75</f>
        <v>0.0333380077028473</v>
      </c>
      <c r="G2040" s="48" t="n">
        <f aca="false">(G2024+G2025)/Assumptions!$G$74+G2023/Assumptions!$G$75</f>
        <v>0.0332235757903839</v>
      </c>
      <c r="H2040" s="48" t="n">
        <f aca="false">(H2024+H2025)/Assumptions!$G$74+H2023/Assumptions!$G$75</f>
        <v>0.0319757031260857</v>
      </c>
      <c r="I2040" s="48" t="n">
        <f aca="false">(I2024+I2025)/Assumptions!$G$74+I2023/Assumptions!$G$75</f>
        <v>0.0307748153363831</v>
      </c>
      <c r="J2040" s="48" t="n">
        <f aca="false">(J2024+J2025)/Assumptions!$G$74+J2023/Assumptions!$G$75</f>
        <v>0.0296191392926939</v>
      </c>
      <c r="K2040" s="48" t="n">
        <f aca="false">(K2024+K2025)/Assumptions!$G$74+K2023/Assumptions!$G$75</f>
        <v>0.0285069689254559</v>
      </c>
      <c r="L2040" s="48" t="n">
        <f aca="false">(L2024+L2025)/Assumptions!$G$74+L2023/Assumptions!$G$75</f>
        <v>0.0274366626828138</v>
      </c>
      <c r="M2040" s="48" t="n">
        <f aca="false">(M2024+M2025)/Assumptions!$G$74+M2023/Assumptions!$G$75</f>
        <v>0.0264066410857993</v>
      </c>
      <c r="N2040" s="48" t="n">
        <f aca="false">(N2024+N2025)/Assumptions!$G$74+N2023/Assumptions!$G$75</f>
        <v>0.0254153843763358</v>
      </c>
      <c r="P2040" s="49" t="n">
        <f aca="false">AVERAGE(C2040:F2040)</f>
        <v>0.0151383335848074</v>
      </c>
      <c r="Q2040" s="49" t="n">
        <f aca="false">AVERAGE(G2040:J2040)</f>
        <v>0.0313983083863866</v>
      </c>
      <c r="R2040" s="49" t="n">
        <f aca="false">AVERAGE(K2040:N2040)</f>
        <v>0.0269414142676012</v>
      </c>
      <c r="S2040" s="50"/>
    </row>
    <row r="2041" customFormat="false" ht="15" hidden="false" customHeight="false" outlineLevel="0" collapsed="false">
      <c r="A2041" s="4" t="s">
        <v>554</v>
      </c>
      <c r="B2041" s="36" t="s">
        <v>125</v>
      </c>
      <c r="C2041" s="54" t="n">
        <f aca="false">(C2035+C2037)*Assumptions!$G$70/Assumptions!$G$69/4</f>
        <v>66753.5714285714</v>
      </c>
      <c r="D2041" s="54" t="n">
        <f aca="false">(D2035+D2037)*Assumptions!$G$70/Assumptions!$G$69/4</f>
        <v>66753.5714285714</v>
      </c>
      <c r="E2041" s="54" t="n">
        <f aca="false">(E2035+E2037)*Assumptions!$G$70/Assumptions!$G$69/4</f>
        <v>66753.5714285714</v>
      </c>
      <c r="F2041" s="54" t="n">
        <f aca="false">(F2035+F2037)*Assumptions!$G$70/Assumptions!$G$69/4</f>
        <v>66753.5714285714</v>
      </c>
      <c r="G2041" s="54" t="n">
        <f aca="false">(G2035+G2037)*Assumptions!$G$70/Assumptions!$G$69/4</f>
        <v>0</v>
      </c>
      <c r="H2041" s="54" t="n">
        <f aca="false">(H2035+H2037)*Assumptions!$G$70/Assumptions!$G$69/4</f>
        <v>0</v>
      </c>
      <c r="I2041" s="54" t="n">
        <f aca="false">(I2035+I2037)*Assumptions!$G$70/Assumptions!$G$69/4</f>
        <v>0</v>
      </c>
      <c r="J2041" s="54" t="n">
        <f aca="false">(J2035+J2037)*Assumptions!$G$70/Assumptions!$G$69/4</f>
        <v>0</v>
      </c>
      <c r="K2041" s="54" t="n">
        <f aca="false">(K2035+K2037)*Assumptions!$G$70/Assumptions!$G$69/4</f>
        <v>0</v>
      </c>
      <c r="L2041" s="54" t="n">
        <f aca="false">(L2035+L2037)*Assumptions!$G$70/Assumptions!$G$69/4</f>
        <v>0</v>
      </c>
      <c r="M2041" s="54" t="n">
        <f aca="false">(M2035+M2037)*Assumptions!$G$70/Assumptions!$G$69/4</f>
        <v>0</v>
      </c>
      <c r="N2041" s="54" t="n">
        <f aca="false">(N2035+N2037)*Assumptions!$G$70/Assumptions!$G$69/4</f>
        <v>0</v>
      </c>
      <c r="P2041" s="55" t="n">
        <f aca="false">SUM(C2041:F2041)</f>
        <v>267014.285714286</v>
      </c>
      <c r="Q2041" s="55" t="n">
        <f aca="false">SUM(G2041:J2041)</f>
        <v>0</v>
      </c>
      <c r="R2041" s="55" t="n">
        <f aca="false">SUM(K2041:N2041)</f>
        <v>0</v>
      </c>
      <c r="S2041" s="56" t="n">
        <f aca="false">SUM(P2041:R2041)</f>
        <v>267014.285714286</v>
      </c>
    </row>
    <row r="2042" customFormat="false" ht="15" hidden="false" customHeight="false" outlineLevel="0" collapsed="false">
      <c r="A2042" s="4" t="s">
        <v>555</v>
      </c>
      <c r="B2042" s="36" t="s">
        <v>125</v>
      </c>
      <c r="C2042" s="54" t="n">
        <f aca="false">C2036*$C$1971/4</f>
        <v>0</v>
      </c>
      <c r="D2042" s="54" t="n">
        <f aca="false">D2036*$C$1971/4</f>
        <v>0</v>
      </c>
      <c r="E2042" s="54" t="n">
        <f aca="false">E2036*$C$1971/4</f>
        <v>0</v>
      </c>
      <c r="F2042" s="54" t="n">
        <f aca="false">F2036*$C$1971/4</f>
        <v>0</v>
      </c>
      <c r="G2042" s="54" t="n">
        <f aca="false">G2036*$C$1971/4</f>
        <v>0</v>
      </c>
      <c r="H2042" s="54" t="n">
        <f aca="false">H2036*$C$1971/4</f>
        <v>0</v>
      </c>
      <c r="I2042" s="54" t="n">
        <f aca="false">I2036*$C$1971/4</f>
        <v>0</v>
      </c>
      <c r="J2042" s="54" t="n">
        <f aca="false">J2036*$C$1971/4</f>
        <v>0</v>
      </c>
      <c r="K2042" s="54" t="n">
        <f aca="false">K2036*$C$1971/4</f>
        <v>0</v>
      </c>
      <c r="L2042" s="54" t="n">
        <f aca="false">L2036*$C$1971/4</f>
        <v>0</v>
      </c>
      <c r="M2042" s="54" t="n">
        <f aca="false">M2036*$C$1971/4</f>
        <v>0</v>
      </c>
      <c r="N2042" s="54" t="n">
        <f aca="false">N2036*$C$1971/4</f>
        <v>0</v>
      </c>
      <c r="P2042" s="55" t="n">
        <f aca="false">SUM(C2042:F2042)</f>
        <v>0</v>
      </c>
      <c r="Q2042" s="55" t="n">
        <f aca="false">SUM(G2042:J2042)</f>
        <v>0</v>
      </c>
      <c r="R2042" s="55" t="n">
        <f aca="false">SUM(K2042:N2042)</f>
        <v>0</v>
      </c>
      <c r="S2042" s="56" t="n">
        <f aca="false">SUM(P2042:R2042)</f>
        <v>0</v>
      </c>
    </row>
    <row r="2043" customFormat="false" ht="15" hidden="false" customHeight="false" outlineLevel="0" collapsed="false">
      <c r="A2043" s="4" t="s">
        <v>556</v>
      </c>
      <c r="B2043" s="36" t="s">
        <v>125</v>
      </c>
      <c r="C2043" s="54" t="n">
        <f aca="false">MAX(0,(C2031-C2012*$C$1967)-C1991*$C$1972)*$C$1973*Assumptions!$D$105</f>
        <v>0</v>
      </c>
      <c r="D2043" s="54" t="n">
        <f aca="false">MAX(0,(D2031-D2012*$C$1967)-D1991*$C$1972)*$C$1973*Assumptions!$D$105</f>
        <v>1772.36650813171</v>
      </c>
      <c r="E2043" s="54" t="n">
        <f aca="false">MAX(0,(E2031-E2012*$C$1967)-E1991*$C$1972)*$C$1973*Assumptions!$D$105</f>
        <v>3747.10082216062</v>
      </c>
      <c r="F2043" s="54" t="n">
        <f aca="false">MAX(0,(F2031-F2012*$C$1967)-F1991*$C$1972)*$C$1973*Assumptions!$D$105</f>
        <v>4322.32794065065</v>
      </c>
      <c r="G2043" s="54" t="n">
        <f aca="false">MAX(0,(G2031-G2012*$C$1967)-G1991*$C$1972)*$C$1973*Assumptions!$D$105</f>
        <v>0</v>
      </c>
      <c r="H2043" s="54" t="n">
        <f aca="false">MAX(0,(H2031-H2012*$C$1967)-H1991*$C$1972)*$C$1973*Assumptions!$D$105</f>
        <v>0</v>
      </c>
      <c r="I2043" s="54" t="n">
        <f aca="false">MAX(0,(I2031-I2012*$C$1967)-I1991*$C$1972)*$C$1973*Assumptions!$D$105</f>
        <v>0</v>
      </c>
      <c r="J2043" s="54" t="n">
        <f aca="false">MAX(0,(J2031-J2012*$C$1967)-J1991*$C$1972)*$C$1973*Assumptions!$D$105</f>
        <v>0</v>
      </c>
      <c r="K2043" s="54" t="n">
        <f aca="false">MAX(0,(K2031-K2012*$C$1967)-K1991*$C$1972)*$C$1973*Assumptions!$D$105</f>
        <v>0</v>
      </c>
      <c r="L2043" s="54" t="n">
        <f aca="false">MAX(0,(L2031-L2012*$C$1967)-L1991*$C$1972)*$C$1973*Assumptions!$D$105</f>
        <v>0</v>
      </c>
      <c r="M2043" s="54" t="n">
        <f aca="false">MAX(0,(M2031-M2012*$C$1967)-M1991*$C$1972)*$C$1973*Assumptions!$D$105</f>
        <v>0</v>
      </c>
      <c r="N2043" s="54" t="n">
        <f aca="false">MAX(0,(N2031-N2012*$C$1967)-N1991*$C$1972)*$C$1973*Assumptions!$D$105</f>
        <v>0</v>
      </c>
      <c r="P2043" s="55" t="n">
        <f aca="false">SUM(C2043:F2043)</f>
        <v>9841.79527094298</v>
      </c>
      <c r="Q2043" s="55" t="n">
        <f aca="false">SUM(G2043:J2043)</f>
        <v>0</v>
      </c>
      <c r="R2043" s="55" t="n">
        <f aca="false">SUM(K2043:N2043)</f>
        <v>0</v>
      </c>
      <c r="S2043" s="56" t="n">
        <f aca="false">SUM(P2043:R2043)</f>
        <v>9841.79527094298</v>
      </c>
    </row>
    <row r="2044" customFormat="false" ht="15" hidden="false" customHeight="false" outlineLevel="0" collapsed="false">
      <c r="A2044" s="4" t="s">
        <v>557</v>
      </c>
      <c r="B2044" s="36" t="s">
        <v>125</v>
      </c>
      <c r="C2044" s="54" t="n">
        <f aca="false">C2039*Assumptions!$G$71/Assumptions!$G$69/4</f>
        <v>18475.8928571429</v>
      </c>
      <c r="D2044" s="54" t="n">
        <f aca="false">D2039*Assumptions!$G$71/Assumptions!$G$69/4</f>
        <v>18475.8928571429</v>
      </c>
      <c r="E2044" s="54" t="n">
        <f aca="false">E2039*Assumptions!$G$71/Assumptions!$G$69/4</f>
        <v>18475.8928571429</v>
      </c>
      <c r="F2044" s="54" t="n">
        <f aca="false">F2039*Assumptions!$G$71/Assumptions!$G$69/4</f>
        <v>18475.8928571429</v>
      </c>
      <c r="G2044" s="54" t="n">
        <f aca="false">G2039*Assumptions!$G$71/Assumptions!$G$69/4</f>
        <v>0</v>
      </c>
      <c r="H2044" s="54" t="n">
        <f aca="false">H2039*Assumptions!$G$71/Assumptions!$G$69/4</f>
        <v>0</v>
      </c>
      <c r="I2044" s="54" t="n">
        <f aca="false">I2039*Assumptions!$G$71/Assumptions!$G$69/4</f>
        <v>0</v>
      </c>
      <c r="J2044" s="54" t="n">
        <f aca="false">J2039*Assumptions!$G$71/Assumptions!$G$69/4</f>
        <v>0</v>
      </c>
      <c r="K2044" s="54" t="n">
        <f aca="false">K2039*Assumptions!$G$71/Assumptions!$G$69/4</f>
        <v>0</v>
      </c>
      <c r="L2044" s="54" t="n">
        <f aca="false">L2039*Assumptions!$G$71/Assumptions!$G$69/4</f>
        <v>0</v>
      </c>
      <c r="M2044" s="54" t="n">
        <f aca="false">M2039*Assumptions!$G$71/Assumptions!$G$69/4</f>
        <v>0</v>
      </c>
      <c r="N2044" s="54" t="n">
        <f aca="false">N2039*Assumptions!$G$71/Assumptions!$G$69/4</f>
        <v>0</v>
      </c>
      <c r="P2044" s="55" t="n">
        <f aca="false">SUM(C2044:F2044)</f>
        <v>73903.5714285714</v>
      </c>
      <c r="Q2044" s="55" t="n">
        <f aca="false">SUM(G2044:J2044)</f>
        <v>0</v>
      </c>
      <c r="R2044" s="55" t="n">
        <f aca="false">SUM(K2044:N2044)</f>
        <v>0</v>
      </c>
      <c r="S2044" s="56" t="n">
        <f aca="false">SUM(P2044:R2044)</f>
        <v>73903.5714285714</v>
      </c>
    </row>
    <row r="2045" customFormat="false" ht="15" hidden="false" customHeight="false" outlineLevel="0" collapsed="false">
      <c r="A2045" s="4" t="s">
        <v>558</v>
      </c>
      <c r="B2045" s="36" t="s">
        <v>125</v>
      </c>
      <c r="C2045" s="54" t="n">
        <f aca="false">(Assumptions!$D$103+Assumptions!$G$77*((C1976=Assumptions!$G$13)+(C1976=Assumptions!$G$14)+(C1976=Assumptions!$G$15)))*C1977</f>
        <v>65000</v>
      </c>
      <c r="D2045" s="54" t="n">
        <f aca="false">(Assumptions!$D$103+Assumptions!$G$77*((D1976=Assumptions!$G$13)+(D1976=Assumptions!$G$14)+(D1976=Assumptions!$G$15)))*D1977</f>
        <v>25000</v>
      </c>
      <c r="E2045" s="54" t="n">
        <f aca="false">(Assumptions!$D$103+Assumptions!$G$77*((E1976=Assumptions!$G$13)+(E1976=Assumptions!$G$14)+(E1976=Assumptions!$G$15)))*E1977</f>
        <v>25000</v>
      </c>
      <c r="F2045" s="54" t="n">
        <f aca="false">(Assumptions!$D$103+Assumptions!$G$77*((F1976=Assumptions!$G$13)+(F1976=Assumptions!$G$14)+(F1976=Assumptions!$G$15)))*F1977</f>
        <v>25000</v>
      </c>
      <c r="G2045" s="54" t="n">
        <f aca="false">(Assumptions!$D$103+Assumptions!$G$77*((G1976=Assumptions!$G$13)+(G1976=Assumptions!$G$14)+(G1976=Assumptions!$G$15)))*G1977</f>
        <v>0</v>
      </c>
      <c r="H2045" s="54" t="n">
        <f aca="false">(Assumptions!$D$103+Assumptions!$G$77*((H1976=Assumptions!$G$13)+(H1976=Assumptions!$G$14)+(H1976=Assumptions!$G$15)))*H1977</f>
        <v>0</v>
      </c>
      <c r="I2045" s="54" t="n">
        <f aca="false">(Assumptions!$D$103+Assumptions!$G$77*((I1976=Assumptions!$G$13)+(I1976=Assumptions!$G$14)+(I1976=Assumptions!$G$15)))*I1977</f>
        <v>0</v>
      </c>
      <c r="J2045" s="54" t="n">
        <f aca="false">(Assumptions!$D$103+Assumptions!$G$77*((J1976=Assumptions!$G$13)+(J1976=Assumptions!$G$14)+(J1976=Assumptions!$G$15)))*J1977</f>
        <v>0</v>
      </c>
      <c r="K2045" s="54" t="n">
        <f aca="false">(Assumptions!$D$103+Assumptions!$G$77*((K1976=Assumptions!$G$13)+(K1976=Assumptions!$G$14)+(K1976=Assumptions!$G$15)))*K1977</f>
        <v>0</v>
      </c>
      <c r="L2045" s="54" t="n">
        <f aca="false">(Assumptions!$D$103+Assumptions!$G$77*((L1976=Assumptions!$G$13)+(L1976=Assumptions!$G$14)+(L1976=Assumptions!$G$15)))*L1977</f>
        <v>0</v>
      </c>
      <c r="M2045" s="54" t="n">
        <f aca="false">(Assumptions!$D$103+Assumptions!$G$77*((M1976=Assumptions!$G$13)+(M1976=Assumptions!$G$14)+(M1976=Assumptions!$G$15)))*M1977</f>
        <v>0</v>
      </c>
      <c r="N2045" s="54" t="n">
        <f aca="false">(Assumptions!$D$103+Assumptions!$G$77*((N1976=Assumptions!$G$13)+(N1976=Assumptions!$G$14)+(N1976=Assumptions!$G$15)))*N1977</f>
        <v>0</v>
      </c>
      <c r="P2045" s="55" t="n">
        <f aca="false">SUM(C2045:F2045)</f>
        <v>140000</v>
      </c>
      <c r="Q2045" s="55" t="n">
        <f aca="false">SUM(G2045:J2045)</f>
        <v>0</v>
      </c>
      <c r="R2045" s="55" t="n">
        <f aca="false">SUM(K2045:N2045)</f>
        <v>0</v>
      </c>
      <c r="S2045" s="56" t="n">
        <f aca="false">SUM(P2045:R2045)</f>
        <v>140000</v>
      </c>
    </row>
    <row r="2046" customFormat="false" ht="15" hidden="false" customHeight="false" outlineLevel="0" collapsed="false">
      <c r="A2046" s="4" t="s">
        <v>559</v>
      </c>
      <c r="B2046" s="36" t="s">
        <v>125</v>
      </c>
      <c r="C2046" s="54" t="n">
        <f aca="false">C2031*C2011*Assumptions!$G$79</f>
        <v>0</v>
      </c>
      <c r="D2046" s="54" t="n">
        <f aca="false">D2031*D2011*Assumptions!$G$79</f>
        <v>269.224553251233</v>
      </c>
      <c r="E2046" s="54" t="n">
        <f aca="false">E2031*E2011*Assumptions!$G$79</f>
        <v>467.923689096207</v>
      </c>
      <c r="F2046" s="54" t="n">
        <f aca="false">F2031*F2011*Assumptions!$G$79</f>
        <v>684.22093723146</v>
      </c>
      <c r="G2046" s="54" t="n">
        <f aca="false">G2031*G2011*Assumptions!$G$79</f>
        <v>143.349075417521</v>
      </c>
      <c r="H2046" s="54" t="n">
        <f aca="false">H2031*H2011*Assumptions!$G$79</f>
        <v>0</v>
      </c>
      <c r="I2046" s="54" t="n">
        <f aca="false">I2031*I2011*Assumptions!$G$79</f>
        <v>0</v>
      </c>
      <c r="J2046" s="54" t="n">
        <f aca="false">J2031*J2011*Assumptions!$G$79</f>
        <v>0</v>
      </c>
      <c r="K2046" s="54" t="n">
        <f aca="false">K2031*K2011*Assumptions!$G$79</f>
        <v>0</v>
      </c>
      <c r="L2046" s="54" t="n">
        <f aca="false">L2031*L2011*Assumptions!$G$79</f>
        <v>0</v>
      </c>
      <c r="M2046" s="54" t="n">
        <f aca="false">M2031*M2011*Assumptions!$G$79</f>
        <v>0</v>
      </c>
      <c r="N2046" s="54" t="n">
        <f aca="false">N2031*N2011*Assumptions!$G$79</f>
        <v>0</v>
      </c>
      <c r="P2046" s="55" t="n">
        <f aca="false">SUM(C2046:F2046)</f>
        <v>1421.3691795789</v>
      </c>
      <c r="Q2046" s="55" t="n">
        <f aca="false">SUM(G2046:J2046)</f>
        <v>143.349075417521</v>
      </c>
      <c r="R2046" s="55" t="n">
        <f aca="false">SUM(K2046:N2046)</f>
        <v>0</v>
      </c>
      <c r="S2046" s="56" t="n">
        <f aca="false">SUM(P2046:R2046)</f>
        <v>1564.71825499642</v>
      </c>
    </row>
    <row r="2047" customFormat="false" ht="15" hidden="false" customHeight="false" outlineLevel="0" collapsed="false">
      <c r="A2047" s="4" t="s">
        <v>560</v>
      </c>
      <c r="B2047" s="36" t="s">
        <v>125</v>
      </c>
      <c r="C2047" s="54" t="n">
        <f aca="false">C1996*Assumptions!$G$80</f>
        <v>4000</v>
      </c>
      <c r="D2047" s="54" t="n">
        <f aca="false">D1996*Assumptions!$G$80</f>
        <v>6000</v>
      </c>
      <c r="E2047" s="54" t="n">
        <f aca="false">E1996*Assumptions!$G$80</f>
        <v>8000</v>
      </c>
      <c r="F2047" s="54" t="n">
        <f aca="false">F1996*Assumptions!$G$80</f>
        <v>10000</v>
      </c>
      <c r="G2047" s="54" t="n">
        <f aca="false">G1996*Assumptions!$G$80</f>
        <v>0</v>
      </c>
      <c r="H2047" s="54" t="n">
        <f aca="false">H1996*Assumptions!$G$80</f>
        <v>0</v>
      </c>
      <c r="I2047" s="54" t="n">
        <f aca="false">I1996*Assumptions!$G$80</f>
        <v>0</v>
      </c>
      <c r="J2047" s="54" t="n">
        <f aca="false">J1996*Assumptions!$G$80</f>
        <v>0</v>
      </c>
      <c r="K2047" s="54" t="n">
        <f aca="false">K1996*Assumptions!$G$80</f>
        <v>0</v>
      </c>
      <c r="L2047" s="54" t="n">
        <f aca="false">L1996*Assumptions!$G$80</f>
        <v>0</v>
      </c>
      <c r="M2047" s="54" t="n">
        <f aca="false">M1996*Assumptions!$G$80</f>
        <v>0</v>
      </c>
      <c r="N2047" s="54" t="n">
        <f aca="false">N1996*Assumptions!$G$80</f>
        <v>0</v>
      </c>
      <c r="P2047" s="55" t="n">
        <f aca="false">SUM(C2047:F2047)</f>
        <v>28000</v>
      </c>
      <c r="Q2047" s="55" t="n">
        <f aca="false">SUM(G2047:J2047)</f>
        <v>0</v>
      </c>
      <c r="R2047" s="55" t="n">
        <f aca="false">SUM(K2047:N2047)</f>
        <v>0</v>
      </c>
      <c r="S2047" s="56" t="n">
        <f aca="false">SUM(P2047:R2047)</f>
        <v>28000</v>
      </c>
    </row>
    <row r="2048" customFormat="false" ht="15" hidden="false" customHeight="false" outlineLevel="0" collapsed="false">
      <c r="A2048" s="4" t="s">
        <v>561</v>
      </c>
      <c r="B2048" s="36" t="s">
        <v>125</v>
      </c>
      <c r="C2048" s="54" t="n">
        <f aca="false">(C2019*$C$1968+C2020*$C$1969)*Assumptions!$G$81</f>
        <v>0</v>
      </c>
      <c r="D2048" s="54" t="n">
        <f aca="false">(D2019*$C$1968+D2020*$C$1969)*Assumptions!$G$81</f>
        <v>110.027521397234</v>
      </c>
      <c r="E2048" s="54" t="n">
        <f aca="false">(E2019*$C$1968+E2020*$C$1969)*Assumptions!$G$81</f>
        <v>299.49371143097</v>
      </c>
      <c r="F2048" s="54" t="n">
        <f aca="false">(F2019*$C$1968+F2020*$C$1969)*Assumptions!$G$81</f>
        <v>385.989698322994</v>
      </c>
      <c r="G2048" s="54" t="n">
        <f aca="false">(G2019*$C$1968+G2020*$C$1969)*Assumptions!$G$81</f>
        <v>0</v>
      </c>
      <c r="H2048" s="54" t="n">
        <f aca="false">(H2019*$C$1968+H2020*$C$1969)*Assumptions!$G$81</f>
        <v>0</v>
      </c>
      <c r="I2048" s="54" t="n">
        <f aca="false">(I2019*$C$1968+I2020*$C$1969)*Assumptions!$G$81</f>
        <v>0</v>
      </c>
      <c r="J2048" s="54" t="n">
        <f aca="false">(J2019*$C$1968+J2020*$C$1969)*Assumptions!$G$81</f>
        <v>0</v>
      </c>
      <c r="K2048" s="54" t="n">
        <f aca="false">(K2019*$C$1968+K2020*$C$1969)*Assumptions!$G$81</f>
        <v>0</v>
      </c>
      <c r="L2048" s="54" t="n">
        <f aca="false">(L2019*$C$1968+L2020*$C$1969)*Assumptions!$G$81</f>
        <v>0</v>
      </c>
      <c r="M2048" s="54" t="n">
        <f aca="false">(M2019*$C$1968+M2020*$C$1969)*Assumptions!$G$81</f>
        <v>0</v>
      </c>
      <c r="N2048" s="54" t="n">
        <f aca="false">(N2019*$C$1968+N2020*$C$1969)*Assumptions!$G$81</f>
        <v>0</v>
      </c>
      <c r="P2048" s="55" t="n">
        <f aca="false">SUM(C2048:F2048)</f>
        <v>795.510931151198</v>
      </c>
      <c r="Q2048" s="55" t="n">
        <f aca="false">SUM(G2048:J2048)</f>
        <v>0</v>
      </c>
      <c r="R2048" s="55" t="n">
        <f aca="false">SUM(K2048:N2048)</f>
        <v>0</v>
      </c>
      <c r="S2048" s="56" t="n">
        <f aca="false">SUM(P2048:R2048)</f>
        <v>795.510931151198</v>
      </c>
    </row>
    <row r="2049" customFormat="false" ht="15" hidden="false" customHeight="false" outlineLevel="0" collapsed="false">
      <c r="A2049" s="9" t="s">
        <v>562</v>
      </c>
      <c r="B2049" s="36" t="s">
        <v>125</v>
      </c>
      <c r="C2049" s="55" t="n">
        <f aca="false">C2041+C2042+C2043+C2044+C2045+C2046+C2047+C2048</f>
        <v>154229.464285714</v>
      </c>
      <c r="D2049" s="55" t="n">
        <f aca="false">D2041+D2042+D2043+D2044+D2045+D2046+D2047+D2048</f>
        <v>118381.082868494</v>
      </c>
      <c r="E2049" s="55" t="n">
        <f aca="false">E2041+E2042+E2043+E2044+E2045+E2046+E2047+E2048</f>
        <v>122743.982508402</v>
      </c>
      <c r="F2049" s="55" t="n">
        <f aca="false">F2041+F2042+F2043+F2044+F2045+F2046+F2047+F2048</f>
        <v>125622.002861919</v>
      </c>
      <c r="G2049" s="55" t="n">
        <f aca="false">G2041+G2042+G2043+G2044+G2045+G2046+G2047+G2048</f>
        <v>143.349075417521</v>
      </c>
      <c r="H2049" s="55" t="n">
        <f aca="false">H2041+H2042+H2043+H2044+H2045+H2046+H2047+H2048</f>
        <v>0</v>
      </c>
      <c r="I2049" s="55" t="n">
        <f aca="false">I2041+I2042+I2043+I2044+I2045+I2046+I2047+I2048</f>
        <v>0</v>
      </c>
      <c r="J2049" s="55" t="n">
        <f aca="false">J2041+J2042+J2043+J2044+J2045+J2046+J2047+J2048</f>
        <v>0</v>
      </c>
      <c r="K2049" s="55" t="n">
        <f aca="false">K2041+K2042+K2043+K2044+K2045+K2046+K2047+K2048</f>
        <v>0</v>
      </c>
      <c r="L2049" s="55" t="n">
        <f aca="false">L2041+L2042+L2043+L2044+L2045+L2046+L2047+L2048</f>
        <v>0</v>
      </c>
      <c r="M2049" s="55" t="n">
        <f aca="false">M2041+M2042+M2043+M2044+M2045+M2046+M2047+M2048</f>
        <v>0</v>
      </c>
      <c r="N2049" s="55" t="n">
        <f aca="false">N2041+N2042+N2043+N2044+N2045+N2046+N2047+N2048</f>
        <v>0</v>
      </c>
      <c r="P2049" s="55" t="n">
        <f aca="false">SUM(C2049:F2049)</f>
        <v>520976.53252453</v>
      </c>
      <c r="Q2049" s="55" t="n">
        <f aca="false">SUM(G2049:J2049)</f>
        <v>143.349075417521</v>
      </c>
      <c r="R2049" s="55" t="n">
        <f aca="false">SUM(K2049:N2049)</f>
        <v>0</v>
      </c>
      <c r="S2049" s="56" t="n">
        <f aca="false">SUM(P2049:R2049)</f>
        <v>521119.881599948</v>
      </c>
    </row>
    <row r="2050" customFormat="false" ht="15" hidden="false" customHeight="false" outlineLevel="0" collapsed="false">
      <c r="A2050" s="4" t="s">
        <v>563</v>
      </c>
      <c r="B2050" s="36" t="s">
        <v>125</v>
      </c>
      <c r="C2050" s="54" t="n">
        <f aca="false">C2038*Assumptions!$G$72/Assumptions!$G$69/4</f>
        <v>56535.7142857143</v>
      </c>
      <c r="D2050" s="54" t="n">
        <f aca="false">D2038*Assumptions!$G$72/Assumptions!$G$69/4</f>
        <v>56535.7142857143</v>
      </c>
      <c r="E2050" s="54" t="n">
        <f aca="false">E2038*Assumptions!$G$72/Assumptions!$G$69/4</f>
        <v>56535.7142857143</v>
      </c>
      <c r="F2050" s="54" t="n">
        <f aca="false">F2038*Assumptions!$G$72/Assumptions!$G$69/4</f>
        <v>56535.7142857143</v>
      </c>
      <c r="G2050" s="54" t="n">
        <f aca="false">G2038*Assumptions!$G$72/Assumptions!$G$69/4</f>
        <v>0</v>
      </c>
      <c r="H2050" s="54" t="n">
        <f aca="false">H2038*Assumptions!$G$72/Assumptions!$G$69/4</f>
        <v>0</v>
      </c>
      <c r="I2050" s="54" t="n">
        <f aca="false">I2038*Assumptions!$G$72/Assumptions!$G$69/4</f>
        <v>0</v>
      </c>
      <c r="J2050" s="54" t="n">
        <f aca="false">J2038*Assumptions!$G$72/Assumptions!$G$69/4</f>
        <v>0</v>
      </c>
      <c r="K2050" s="54" t="n">
        <f aca="false">K2038*Assumptions!$G$72/Assumptions!$G$69/4</f>
        <v>0</v>
      </c>
      <c r="L2050" s="54" t="n">
        <f aca="false">L2038*Assumptions!$G$72/Assumptions!$G$69/4</f>
        <v>0</v>
      </c>
      <c r="M2050" s="54" t="n">
        <f aca="false">M2038*Assumptions!$G$72/Assumptions!$G$69/4</f>
        <v>0</v>
      </c>
      <c r="N2050" s="54" t="n">
        <f aca="false">N2038*Assumptions!$G$72/Assumptions!$G$69/4</f>
        <v>0</v>
      </c>
      <c r="P2050" s="55" t="n">
        <f aca="false">SUM(C2050:F2050)</f>
        <v>226142.857142857</v>
      </c>
      <c r="Q2050" s="55" t="n">
        <f aca="false">SUM(G2050:J2050)</f>
        <v>0</v>
      </c>
      <c r="R2050" s="55" t="n">
        <f aca="false">SUM(K2050:N2050)</f>
        <v>0</v>
      </c>
      <c r="S2050" s="56" t="n">
        <f aca="false">SUM(P2050:R2050)</f>
        <v>226142.857142857</v>
      </c>
    </row>
    <row r="2051" customFormat="false" ht="15" hidden="false" customHeight="false" outlineLevel="0" collapsed="false">
      <c r="A2051" s="4" t="s">
        <v>564</v>
      </c>
      <c r="B2051" s="36" t="s">
        <v>125</v>
      </c>
      <c r="C2051" s="54" t="n">
        <f aca="false">IF(C1976&lt;=Assumptions!$G$83,Assumptions!$G$82*Assumptions!$D$108/Assumptions!$G$83,0)</f>
        <v>62500</v>
      </c>
      <c r="D2051" s="54" t="n">
        <f aca="false">IF(D1976&lt;=Assumptions!$G$83,Assumptions!$G$82*Assumptions!$D$108/Assumptions!$G$83,0)</f>
        <v>62500</v>
      </c>
      <c r="E2051" s="54" t="n">
        <f aca="false">IF(E1976&lt;=Assumptions!$G$83,Assumptions!$G$82*Assumptions!$D$108/Assumptions!$G$83,0)</f>
        <v>62500</v>
      </c>
      <c r="F2051" s="54" t="n">
        <f aca="false">IF(F1976&lt;=Assumptions!$G$83,Assumptions!$G$82*Assumptions!$D$108/Assumptions!$G$83,0)</f>
        <v>62500</v>
      </c>
      <c r="G2051" s="54" t="n">
        <f aca="false">IF(G1976&lt;=Assumptions!$G$83,Assumptions!$G$82*Assumptions!$D$108/Assumptions!$G$83,0)</f>
        <v>0</v>
      </c>
      <c r="H2051" s="54" t="n">
        <f aca="false">IF(H1976&lt;=Assumptions!$G$83,Assumptions!$G$82*Assumptions!$D$108/Assumptions!$G$83,0)</f>
        <v>0</v>
      </c>
      <c r="I2051" s="54" t="n">
        <f aca="false">IF(I1976&lt;=Assumptions!$G$83,Assumptions!$G$82*Assumptions!$D$108/Assumptions!$G$83,0)</f>
        <v>0</v>
      </c>
      <c r="J2051" s="54" t="n">
        <f aca="false">IF(J1976&lt;=Assumptions!$G$83,Assumptions!$G$82*Assumptions!$D$108/Assumptions!$G$83,0)</f>
        <v>0</v>
      </c>
      <c r="K2051" s="54" t="n">
        <f aca="false">IF(K1976&lt;=Assumptions!$G$83,Assumptions!$G$82*Assumptions!$D$108/Assumptions!$G$83,0)</f>
        <v>0</v>
      </c>
      <c r="L2051" s="54" t="n">
        <f aca="false">IF(L1976&lt;=Assumptions!$G$83,Assumptions!$G$82*Assumptions!$D$108/Assumptions!$G$83,0)</f>
        <v>0</v>
      </c>
      <c r="M2051" s="54" t="n">
        <f aca="false">IF(M1976&lt;=Assumptions!$G$83,Assumptions!$G$82*Assumptions!$D$108/Assumptions!$G$83,0)</f>
        <v>0</v>
      </c>
      <c r="N2051" s="54" t="n">
        <f aca="false">IF(N1976&lt;=Assumptions!$G$83,Assumptions!$G$82*Assumptions!$D$108/Assumptions!$G$83,0)</f>
        <v>0</v>
      </c>
      <c r="P2051" s="55" t="n">
        <f aca="false">SUM(C2051:F2051)</f>
        <v>250000</v>
      </c>
      <c r="Q2051" s="55" t="n">
        <f aca="false">SUM(G2051:J2051)</f>
        <v>0</v>
      </c>
      <c r="R2051" s="55" t="n">
        <f aca="false">SUM(K2051:N2051)</f>
        <v>0</v>
      </c>
      <c r="S2051" s="56" t="n">
        <f aca="false">SUM(P2051:R2051)</f>
        <v>250000</v>
      </c>
    </row>
    <row r="2052" customFormat="false" ht="15" hidden="false" customHeight="false" outlineLevel="0" collapsed="false">
      <c r="A2052" s="4" t="s">
        <v>565</v>
      </c>
      <c r="B2052" s="36" t="s">
        <v>125</v>
      </c>
      <c r="C2052" s="54" t="n">
        <f aca="false">C2040*Assumptions!$G$73/Assumptions!$G$69/4</f>
        <v>0</v>
      </c>
      <c r="D2052" s="54" t="n">
        <f aca="false">D2040*Assumptions!$G$73/Assumptions!$G$69/4</f>
        <v>287.3910724084</v>
      </c>
      <c r="E2052" s="54" t="n">
        <f aca="false">E2040*Assumptions!$G$73/Assumptions!$G$69/4</f>
        <v>806.179070398511</v>
      </c>
      <c r="F2052" s="54" t="n">
        <f aca="false">F2040*Assumptions!$G$73/Assumptions!$G$69/4</f>
        <v>1339.59258808834</v>
      </c>
      <c r="G2052" s="54" t="n">
        <f aca="false">G2040*Assumptions!$G$73/Assumptions!$G$69/4</f>
        <v>1334.99446863432</v>
      </c>
      <c r="H2052" s="54" t="n">
        <f aca="false">H2040*Assumptions!$G$73/Assumptions!$G$69/4</f>
        <v>1284.85227096997</v>
      </c>
      <c r="I2052" s="54" t="n">
        <f aca="false">I2040*Assumptions!$G$73/Assumptions!$G$69/4</f>
        <v>1236.59802624874</v>
      </c>
      <c r="J2052" s="54" t="n">
        <f aca="false">J2040*Assumptions!$G$73/Assumptions!$G$69/4</f>
        <v>1190.16048636464</v>
      </c>
      <c r="K2052" s="54" t="n">
        <f aca="false">K2040*Assumptions!$G$73/Assumptions!$G$69/4</f>
        <v>1145.4710977868</v>
      </c>
      <c r="L2052" s="54" t="n">
        <f aca="false">L2040*Assumptions!$G$73/Assumptions!$G$69/4</f>
        <v>1102.46389944406</v>
      </c>
      <c r="M2052" s="54" t="n">
        <f aca="false">M2040*Assumptions!$G$73/Assumptions!$G$69/4</f>
        <v>1061.07542448688</v>
      </c>
      <c r="N2052" s="54" t="n">
        <f aca="false">N2040*Assumptions!$G$73/Assumptions!$G$69/4</f>
        <v>1021.24460577912</v>
      </c>
      <c r="P2052" s="55" t="n">
        <f aca="false">SUM(C2052:F2052)</f>
        <v>2433.16273089525</v>
      </c>
      <c r="Q2052" s="55" t="n">
        <f aca="false">SUM(G2052:J2052)</f>
        <v>5046.60525221766</v>
      </c>
      <c r="R2052" s="55" t="n">
        <f aca="false">SUM(K2052:N2052)</f>
        <v>4330.25502749687</v>
      </c>
      <c r="S2052" s="56" t="n">
        <f aca="false">SUM(P2052:R2052)</f>
        <v>11810.0230106098</v>
      </c>
    </row>
    <row r="2053" customFormat="false" ht="15" hidden="false" customHeight="false" outlineLevel="0" collapsed="false">
      <c r="A2053" s="9" t="s">
        <v>566</v>
      </c>
      <c r="B2053" s="36" t="s">
        <v>125</v>
      </c>
      <c r="C2053" s="55" t="n">
        <f aca="false">C2049+C2050+C2051+C2052</f>
        <v>273265.178571429</v>
      </c>
      <c r="D2053" s="55" t="n">
        <f aca="false">D2049+D2050+D2051+D2052</f>
        <v>237704.188226617</v>
      </c>
      <c r="E2053" s="55" t="n">
        <f aca="false">E2049+E2050+E2051+E2052</f>
        <v>242585.875864515</v>
      </c>
      <c r="F2053" s="55" t="n">
        <f aca="false">F2049+F2050+F2051+F2052</f>
        <v>245997.309735722</v>
      </c>
      <c r="G2053" s="55" t="n">
        <f aca="false">G2049+G2050+G2051+G2052</f>
        <v>1478.34354405184</v>
      </c>
      <c r="H2053" s="55" t="n">
        <f aca="false">H2049+H2050+H2051+H2052</f>
        <v>1284.85227096997</v>
      </c>
      <c r="I2053" s="55" t="n">
        <f aca="false">I2049+I2050+I2051+I2052</f>
        <v>1236.59802624874</v>
      </c>
      <c r="J2053" s="55" t="n">
        <f aca="false">J2049+J2050+J2051+J2052</f>
        <v>1190.16048636464</v>
      </c>
      <c r="K2053" s="55" t="n">
        <f aca="false">K2049+K2050+K2051+K2052</f>
        <v>1145.4710977868</v>
      </c>
      <c r="L2053" s="55" t="n">
        <f aca="false">L2049+L2050+L2051+L2052</f>
        <v>1102.46389944406</v>
      </c>
      <c r="M2053" s="55" t="n">
        <f aca="false">M2049+M2050+M2051+M2052</f>
        <v>1061.07542448688</v>
      </c>
      <c r="N2053" s="55" t="n">
        <f aca="false">N2049+N2050+N2051+N2052</f>
        <v>1021.24460577912</v>
      </c>
      <c r="P2053" s="55" t="n">
        <f aca="false">SUM(C2053:F2053)</f>
        <v>999552.552398283</v>
      </c>
      <c r="Q2053" s="55" t="n">
        <f aca="false">SUM(G2053:J2053)</f>
        <v>5189.95432763518</v>
      </c>
      <c r="R2053" s="55" t="n">
        <f aca="false">SUM(K2053:N2053)</f>
        <v>4330.25502749687</v>
      </c>
      <c r="S2053" s="56" t="n">
        <f aca="false">SUM(P2053:R2053)</f>
        <v>1009072.76175341</v>
      </c>
    </row>
    <row r="2054" customFormat="false" ht="15" hidden="false" customHeight="false" outlineLevel="0" collapsed="false">
      <c r="A2054" s="35" t="s">
        <v>567</v>
      </c>
      <c r="B2054" s="35" t="s">
        <v>444</v>
      </c>
      <c r="C2054" s="6" t="s">
        <v>354</v>
      </c>
      <c r="D2054" s="6" t="s">
        <v>355</v>
      </c>
      <c r="E2054" s="6" t="s">
        <v>356</v>
      </c>
      <c r="F2054" s="6" t="s">
        <v>357</v>
      </c>
      <c r="G2054" s="6" t="s">
        <v>358</v>
      </c>
      <c r="H2054" s="6" t="s">
        <v>359</v>
      </c>
      <c r="I2054" s="6" t="s">
        <v>360</v>
      </c>
      <c r="J2054" s="6" t="s">
        <v>361</v>
      </c>
      <c r="K2054" s="6" t="s">
        <v>362</v>
      </c>
      <c r="L2054" s="6" t="s">
        <v>363</v>
      </c>
      <c r="M2054" s="6" t="s">
        <v>364</v>
      </c>
      <c r="N2054" s="6" t="s">
        <v>365</v>
      </c>
      <c r="P2054" s="6" t="s">
        <v>445</v>
      </c>
      <c r="Q2054" s="6" t="s">
        <v>446</v>
      </c>
      <c r="R2054" s="6" t="s">
        <v>447</v>
      </c>
      <c r="S2054" s="6" t="s">
        <v>448</v>
      </c>
    </row>
    <row r="2055" customFormat="false" ht="15" hidden="false" customHeight="false" outlineLevel="0" collapsed="false">
      <c r="A2055" s="9" t="s">
        <v>568</v>
      </c>
      <c r="B2055" s="36" t="s">
        <v>125</v>
      </c>
      <c r="C2055" s="55" t="n">
        <f aca="false">C2033-C2053</f>
        <v>-273265.178571429</v>
      </c>
      <c r="D2055" s="55" t="n">
        <f aca="false">D2033-D2053</f>
        <v>-237443.40501231</v>
      </c>
      <c r="E2055" s="55" t="n">
        <f aca="false">E2033-E2053</f>
        <v>-241536.871847225</v>
      </c>
      <c r="F2055" s="55" t="n">
        <f aca="false">F2033-F2053</f>
        <v>-243830.172342879</v>
      </c>
      <c r="G2055" s="55" t="n">
        <f aca="false">G2033-G2053</f>
        <v>1367.47931429143</v>
      </c>
      <c r="H2055" s="55" t="n">
        <f aca="false">H2033-H2053</f>
        <v>1630.76533519354</v>
      </c>
      <c r="I2055" s="55" t="n">
        <f aca="false">I2033-I2053</f>
        <v>1643.06063301281</v>
      </c>
      <c r="J2055" s="55" t="n">
        <f aca="false">J2033-J2053</f>
        <v>1654.39331377774</v>
      </c>
      <c r="K2055" s="55" t="n">
        <f aca="false">K2033-K2053</f>
        <v>1664.81661921491</v>
      </c>
      <c r="L2055" s="55" t="n">
        <f aca="false">L2033-L2053</f>
        <v>1674.38153810405</v>
      </c>
      <c r="M2055" s="55" t="n">
        <f aca="false">M2033-M2053</f>
        <v>1683.13689782577</v>
      </c>
      <c r="N2055" s="55" t="n">
        <f aca="false">N2033-N2053</f>
        <v>1691.12945232114</v>
      </c>
      <c r="P2055" s="55" t="n">
        <f aca="false">SUM(C2055:F2055)</f>
        <v>-996075.627773843</v>
      </c>
      <c r="Q2055" s="55" t="n">
        <f aca="false">SUM(G2055:J2055)</f>
        <v>6295.69859627552</v>
      </c>
      <c r="R2055" s="55" t="n">
        <f aca="false">SUM(K2055:N2055)</f>
        <v>6713.46450746587</v>
      </c>
      <c r="S2055" s="56" t="n">
        <f aca="false">SUM(P2055:R2055)</f>
        <v>-983066.464670101</v>
      </c>
    </row>
    <row r="2056" customFormat="false" ht="15" hidden="false" customHeight="false" outlineLevel="0" collapsed="false">
      <c r="A2056" s="9" t="s">
        <v>569</v>
      </c>
      <c r="B2056" s="36" t="s">
        <v>125</v>
      </c>
      <c r="C2056" s="55" t="n">
        <f aca="false">0+C2055</f>
        <v>-273265.178571429</v>
      </c>
      <c r="D2056" s="55" t="n">
        <f aca="false">C2056+D2055</f>
        <v>-510708.583583739</v>
      </c>
      <c r="E2056" s="55" t="n">
        <f aca="false">D2056+E2055</f>
        <v>-752245.455430964</v>
      </c>
      <c r="F2056" s="55" t="n">
        <f aca="false">E2056+F2055</f>
        <v>-996075.627773843</v>
      </c>
      <c r="G2056" s="55" t="n">
        <f aca="false">F2056+G2055</f>
        <v>-994708.148459551</v>
      </c>
      <c r="H2056" s="55" t="n">
        <f aca="false">G2056+H2055</f>
        <v>-993077.383124358</v>
      </c>
      <c r="I2056" s="55" t="n">
        <f aca="false">H2056+I2055</f>
        <v>-991434.322491345</v>
      </c>
      <c r="J2056" s="55" t="n">
        <f aca="false">I2056+J2055</f>
        <v>-989779.929177567</v>
      </c>
      <c r="K2056" s="55" t="n">
        <f aca="false">J2056+K2055</f>
        <v>-988115.112558352</v>
      </c>
      <c r="L2056" s="55" t="n">
        <f aca="false">K2056+L2055</f>
        <v>-986440.731020248</v>
      </c>
      <c r="M2056" s="55" t="n">
        <f aca="false">L2056+M2055</f>
        <v>-984757.594122422</v>
      </c>
      <c r="N2056" s="55" t="n">
        <f aca="false">M2056+N2055</f>
        <v>-983066.464670101</v>
      </c>
      <c r="P2056" s="55" t="n">
        <f aca="false">F2056</f>
        <v>-996075.627773843</v>
      </c>
      <c r="Q2056" s="55" t="n">
        <f aca="false">J2056</f>
        <v>-989779.929177567</v>
      </c>
      <c r="R2056" s="55" t="n">
        <f aca="false">N2056</f>
        <v>-983066.464670101</v>
      </c>
      <c r="S2056" s="56" t="n">
        <f aca="false">R2056</f>
        <v>-983066.464670101</v>
      </c>
    </row>
    <row r="2057" customFormat="false" ht="15" hidden="false" customHeight="false" outlineLevel="0" collapsed="false">
      <c r="A2057" s="4" t="s">
        <v>570</v>
      </c>
      <c r="B2057" s="36" t="s">
        <v>107</v>
      </c>
      <c r="C2057" s="57" t="n">
        <f aca="false">1/(1+Assumptions!$G$87)^(C1976/4)</f>
        <v>0.972065420906982</v>
      </c>
      <c r="D2057" s="57" t="n">
        <f aca="false">1/(1+Assumptions!$G$87)^(D1976/4)</f>
        <v>0.944911182523068</v>
      </c>
      <c r="E2057" s="57" t="n">
        <f aca="false">1/(1+Assumptions!$G$87)^(E1976/4)</f>
        <v>0.918515486359</v>
      </c>
      <c r="F2057" s="57" t="n">
        <f aca="false">1/(1+Assumptions!$G$87)^(F1976/4)</f>
        <v>0.892857142857143</v>
      </c>
      <c r="G2057" s="57" t="n">
        <f aca="false">1/(1+Assumptions!$G$87)^(G1976/4)</f>
        <v>0.867915554381234</v>
      </c>
      <c r="H2057" s="57" t="n">
        <f aca="false">1/(1+Assumptions!$G$87)^(H1976/4)</f>
        <v>0.843670698681311</v>
      </c>
      <c r="I2057" s="57" t="n">
        <f aca="false">1/(1+Assumptions!$G$87)^(I1976/4)</f>
        <v>0.820103112820536</v>
      </c>
      <c r="J2057" s="57" t="n">
        <f aca="false">1/(1+Assumptions!$G$87)^(J1976/4)</f>
        <v>0.79719387755102</v>
      </c>
      <c r="K2057" s="57" t="n">
        <f aca="false">1/(1+Assumptions!$G$87)^(K1976/4)</f>
        <v>0.774924602126102</v>
      </c>
      <c r="L2057" s="57" t="n">
        <f aca="false">1/(1+Assumptions!$G$87)^(L1976/4)</f>
        <v>0.753277409536885</v>
      </c>
      <c r="M2057" s="57" t="n">
        <f aca="false">1/(1+Assumptions!$G$87)^(M1976/4)</f>
        <v>0.732234922161193</v>
      </c>
      <c r="N2057" s="57" t="n">
        <f aca="false">1/(1+Assumptions!$G$87)^(N1976/4)</f>
        <v>0.711780247813411</v>
      </c>
      <c r="P2057" s="58"/>
      <c r="Q2057" s="58"/>
      <c r="R2057" s="58"/>
      <c r="S2057" s="59"/>
    </row>
    <row r="2058" customFormat="false" ht="15" hidden="false" customHeight="false" outlineLevel="0" collapsed="false">
      <c r="A2058" s="4" t="s">
        <v>571</v>
      </c>
      <c r="B2058" s="36" t="s">
        <v>125</v>
      </c>
      <c r="C2058" s="54" t="n">
        <f aca="false">(C2033*(1-Assumptions!$G$88)-C2053)*C2057</f>
        <v>-265631.630827257</v>
      </c>
      <c r="D2058" s="54" t="n">
        <f aca="false">(D2033*(1-Assumptions!$G$88)-D2053)*D2057</f>
        <v>-224510.778797734</v>
      </c>
      <c r="E2058" s="54" t="n">
        <f aca="false">(E2033*(1-Assumptions!$G$88)-E2053)*E2057</f>
        <v>-222433.473179465</v>
      </c>
      <c r="F2058" s="54" t="n">
        <f aca="false">(F2033*(1-Assumptions!$G$88)-F2053)*F2057</f>
        <v>-218866.477480879</v>
      </c>
      <c r="G2058" s="54" t="n">
        <f aca="false">(G2033*(1-Assumptions!$G$88)-G2053)*G2057</f>
        <v>-295.103787093755</v>
      </c>
      <c r="H2058" s="54" t="n">
        <f aca="false">(H2033*(1-Assumptions!$G$88)-H2053)*H2057</f>
        <v>-100.063755999703</v>
      </c>
      <c r="I2058" s="54" t="n">
        <f aca="false">(I2033*(1-Assumptions!$G$88)-I2053)*I2057</f>
        <v>-69.4910785059153</v>
      </c>
      <c r="J2058" s="54" t="n">
        <f aca="false">(J2033*(1-Assumptions!$G$88)-J2053)*J2057</f>
        <v>-41.7243034978371</v>
      </c>
      <c r="K2058" s="54" t="n">
        <f aca="false">(K2033*(1-Assumptions!$G$88)-K2053)*K2057</f>
        <v>-16.549298316419</v>
      </c>
      <c r="L2058" s="54" t="n">
        <f aca="false">(L2033*(1-Assumptions!$G$88)-L2053)*L2057</f>
        <v>6.23282487106789</v>
      </c>
      <c r="M2058" s="54" t="n">
        <f aca="false">(M2033*(1-Assumptions!$G$88)-M2053)*M2057</f>
        <v>26.8067576326484</v>
      </c>
      <c r="N2058" s="54" t="n">
        <f aca="false">(N2033*(1-Assumptions!$G$88)-N2053)*N2057</f>
        <v>45.3439731153355</v>
      </c>
      <c r="P2058" s="55" t="n">
        <f aca="false">SUM(C2058:F2058)</f>
        <v>-931442.360285336</v>
      </c>
      <c r="Q2058" s="55" t="n">
        <f aca="false">SUM(G2058:J2058)</f>
        <v>-506.38292509721</v>
      </c>
      <c r="R2058" s="55" t="n">
        <f aca="false">SUM(K2058:N2058)</f>
        <v>61.8342573026327</v>
      </c>
      <c r="S2058" s="56" t="n">
        <f aca="false">SUM(P2058:R2058)</f>
        <v>-931886.90895313</v>
      </c>
    </row>
    <row r="2059" customFormat="false" ht="15" hidden="false" customHeight="false" outlineLevel="0" collapsed="false">
      <c r="A2059" s="4" t="s">
        <v>572</v>
      </c>
      <c r="B2059" s="36" t="s">
        <v>125</v>
      </c>
      <c r="C2059" s="54" t="n">
        <f aca="false">(C2053-C2052)*12/(Assumptions!$G$89*Assumptions!$G$76)*Assumptions!$G$90</f>
        <v>223580.600649351</v>
      </c>
      <c r="D2059" s="54" t="n">
        <f aca="false">(D2053-D2052)*12/(Assumptions!$G$89*Assumptions!$G$76)*Assumptions!$G$90</f>
        <v>194250.106762534</v>
      </c>
      <c r="E2059" s="54" t="n">
        <f aca="false">(E2053-E2052)*12/(Assumptions!$G$89*Assumptions!$G$76)*Assumptions!$G$90</f>
        <v>197819.751922459</v>
      </c>
      <c r="F2059" s="54" t="n">
        <f aca="false">(F2053-F2052)*12/(Assumptions!$G$89*Assumptions!$G$76)*Assumptions!$G$90</f>
        <v>200174.495848064</v>
      </c>
      <c r="G2059" s="54" t="n">
        <f aca="false">(G2053-G2052)*12/(Assumptions!$G$89*Assumptions!$G$76)*Assumptions!$G$90</f>
        <v>117.285607159789</v>
      </c>
      <c r="H2059" s="54" t="n">
        <f aca="false">(H2053-H2052)*12/(Assumptions!$G$89*Assumptions!$G$76)*Assumptions!$G$90</f>
        <v>0</v>
      </c>
      <c r="I2059" s="54" t="n">
        <f aca="false">(I2053-I2052)*12/(Assumptions!$G$89*Assumptions!$G$76)*Assumptions!$G$90</f>
        <v>0</v>
      </c>
      <c r="J2059" s="54" t="n">
        <f aca="false">(J2053-J2052)*12/(Assumptions!$G$89*Assumptions!$G$76)*Assumptions!$G$90</f>
        <v>0</v>
      </c>
      <c r="K2059" s="54" t="n">
        <f aca="false">(K2053-K2052)*12/(Assumptions!$G$89*Assumptions!$G$76)*Assumptions!$G$90</f>
        <v>0</v>
      </c>
      <c r="L2059" s="54" t="n">
        <f aca="false">(L2053-L2052)*12/(Assumptions!$G$89*Assumptions!$G$76)*Assumptions!$G$90</f>
        <v>0</v>
      </c>
      <c r="M2059" s="54" t="n">
        <f aca="false">(M2053-M2052)*12/(Assumptions!$G$89*Assumptions!$G$76)*Assumptions!$G$90</f>
        <v>0</v>
      </c>
      <c r="N2059" s="54" t="n">
        <f aca="false">(N2053-N2052)*12/(Assumptions!$G$89*Assumptions!$G$76)*Assumptions!$G$90</f>
        <v>0</v>
      </c>
      <c r="P2059" s="55" t="n">
        <f aca="false">SUM(C2059:F2059)</f>
        <v>815824.955182408</v>
      </c>
      <c r="Q2059" s="55" t="n">
        <f aca="false">SUM(G2059:J2059)</f>
        <v>117.285607159789</v>
      </c>
      <c r="R2059" s="55" t="n">
        <f aca="false">SUM(K2059:N2059)</f>
        <v>0</v>
      </c>
      <c r="S2059" s="56" t="n">
        <f aca="false">SUM(P2059:R2059)</f>
        <v>815942.240789568</v>
      </c>
    </row>
    <row r="2060" customFormat="false" ht="15" hidden="false" customHeight="false" outlineLevel="0" collapsed="false">
      <c r="A2060" s="4" t="s">
        <v>573</v>
      </c>
      <c r="B2060" s="36" t="s">
        <v>125</v>
      </c>
      <c r="C2060" s="54" t="n">
        <f aca="false">0*Assumptions!$G$92^(1/4)+C2059</f>
        <v>223580.600649351</v>
      </c>
      <c r="D2060" s="54" t="n">
        <f aca="false">C2060*Assumptions!$G$92^(1/4)+D2059</f>
        <v>418387.574989006</v>
      </c>
      <c r="E2060" s="54" t="n">
        <f aca="false">D2060*Assumptions!$G$92^(1/4)+E2059</f>
        <v>617249.396189859</v>
      </c>
      <c r="F2060" s="54" t="n">
        <f aca="false">E2060*Assumptions!$G$92^(1/4)+F2059</f>
        <v>818961.26234079</v>
      </c>
      <c r="G2060" s="54" t="n">
        <f aca="false">F2060*Assumptions!$G$92^(1/4)+G2059</f>
        <v>821118.317823292</v>
      </c>
      <c r="H2060" s="54" t="n">
        <f aca="false">G2060*Assumptions!$G$92^(1/4)+H2059</f>
        <v>823163.460232105</v>
      </c>
      <c r="I2060" s="54" t="n">
        <f aca="false">H2060*Assumptions!$G$92^(1/4)+I2059</f>
        <v>825213.69643481</v>
      </c>
      <c r="J2060" s="54" t="n">
        <f aca="false">I2060*Assumptions!$G$92^(1/4)+J2059</f>
        <v>827269.039118415</v>
      </c>
      <c r="K2060" s="54" t="n">
        <f aca="false">J2060*Assumptions!$G$92^(1/4)+K2059</f>
        <v>829329.501001525</v>
      </c>
      <c r="L2060" s="54" t="n">
        <f aca="false">K2060*Assumptions!$G$92^(1/4)+L2059</f>
        <v>831395.094834426</v>
      </c>
      <c r="M2060" s="54" t="n">
        <f aca="false">L2060*Assumptions!$G$92^(1/4)+M2059</f>
        <v>833465.833399158</v>
      </c>
      <c r="N2060" s="54" t="n">
        <f aca="false">M2060*Assumptions!$G$92^(1/4)+N2059</f>
        <v>835541.729509599</v>
      </c>
      <c r="P2060" s="55" t="n">
        <f aca="false">F2060</f>
        <v>818961.26234079</v>
      </c>
      <c r="Q2060" s="55" t="n">
        <f aca="false">J2060</f>
        <v>827269.039118415</v>
      </c>
      <c r="R2060" s="55" t="n">
        <f aca="false">N2060</f>
        <v>835541.729509599</v>
      </c>
      <c r="S2060" s="56" t="n">
        <f aca="false">R2060</f>
        <v>835541.729509599</v>
      </c>
    </row>
    <row r="2061" customFormat="false" ht="15" hidden="false" customHeight="false" outlineLevel="0" collapsed="false">
      <c r="A2061" s="4" t="s">
        <v>574</v>
      </c>
      <c r="B2061" s="36" t="s">
        <v>125</v>
      </c>
      <c r="C2061" s="54" t="n">
        <f aca="false">(0+C2060)/8*Assumptions!$G$76-(C2053-C2052)-C2060*Assumptions!$G$93/4</f>
        <v>-260688.769784903</v>
      </c>
      <c r="D2061" s="54" t="n">
        <f aca="false">(C2060+D2060)/8*Assumptions!$G$76-(D2053-D2052)-D2060*Assumptions!$G$93/4</f>
        <v>-198511.329766434</v>
      </c>
      <c r="E2061" s="54" t="n">
        <f aca="false">(D2060+E2060)/8*Assumptions!$G$76-(E2053-E2052)-E2060*Assumptions!$G$93/4</f>
        <v>-178295.272477943</v>
      </c>
      <c r="F2061" s="54" t="n">
        <f aca="false">(E2060+F2060)/8*Assumptions!$G$76-(F2053-F2052)-F2060*Assumptions!$G$93/4</f>
        <v>-156155.250152911</v>
      </c>
      <c r="G2061" s="54" t="n">
        <f aca="false">(F2060+G2060)/8*Assumptions!$G$76-(G2053-G2052)-G2060*Assumptions!$G$93/4</f>
        <v>102348.143088072</v>
      </c>
      <c r="H2061" s="54" t="n">
        <f aca="false">(G2060+H2060)/8*Assumptions!$G$76-(H2053-H2052)-H2060*Assumptions!$G$93/4</f>
        <v>102754.828988407</v>
      </c>
      <c r="I2061" s="54" t="n">
        <f aca="false">(H2060+I2060)/8*Assumptions!$G$76-(I2053-I2052)-I2060*Assumptions!$G$93/4</f>
        <v>103010.758315415</v>
      </c>
      <c r="J2061" s="54" t="n">
        <f aca="false">(I2060+J2060)/8*Assumptions!$G$76-(J2053-J2052)-J2060*Assumptions!$G$93/4</f>
        <v>103267.325080304</v>
      </c>
      <c r="K2061" s="54" t="n">
        <f aca="false">(J2060+K2060)/8*Assumptions!$G$76-(K2053-K2052)-K2060*Assumptions!$G$93/4</f>
        <v>103524.530870727</v>
      </c>
      <c r="L2061" s="54" t="n">
        <f aca="false">(K2060+L2060)/8*Assumptions!$G$76-(L2053-L2052)-L2060*Assumptions!$G$93/4</f>
        <v>103782.377278291</v>
      </c>
      <c r="M2061" s="54" t="n">
        <f aca="false">(L2060+M2060)/8*Assumptions!$G$76-(M2053-M2052)-M2060*Assumptions!$G$93/4</f>
        <v>104040.865898569</v>
      </c>
      <c r="N2061" s="54" t="n">
        <f aca="false">(M2060+N2060)/8*Assumptions!$G$76-(N2053-N2052)-N2060*Assumptions!$G$93/4</f>
        <v>104299.998331107</v>
      </c>
      <c r="P2061" s="55" t="n">
        <f aca="false">SUM(C2061:F2061)</f>
        <v>-793650.622182191</v>
      </c>
      <c r="Q2061" s="55" t="n">
        <f aca="false">SUM(G2061:J2061)</f>
        <v>411381.055472199</v>
      </c>
      <c r="R2061" s="55" t="n">
        <f aca="false">SUM(K2061:N2061)</f>
        <v>415647.772378695</v>
      </c>
      <c r="S2061" s="56" t="n">
        <f aca="false">SUM(P2061:R2061)</f>
        <v>33378.2056687023</v>
      </c>
    </row>
    <row r="2062" customFormat="false" ht="15" hidden="false" customHeight="false" outlineLevel="0" collapsed="false">
      <c r="A2062" s="4" t="s">
        <v>575</v>
      </c>
      <c r="B2062" s="36" t="s">
        <v>125</v>
      </c>
      <c r="C2062" s="54" t="n">
        <f aca="false">C2061*C2057</f>
        <v>-253406.538726685</v>
      </c>
      <c r="D2062" s="54" t="n">
        <f aca="false">D2061*D2057</f>
        <v>-187575.575353828</v>
      </c>
      <c r="E2062" s="54" t="n">
        <f aca="false">E2061*E2057</f>
        <v>-163766.968915588</v>
      </c>
      <c r="F2062" s="54" t="n">
        <f aca="false">F2061*F2057</f>
        <v>-139424.330493671</v>
      </c>
      <c r="G2062" s="54" t="n">
        <f aca="false">G2061*G2057</f>
        <v>88829.5453481739</v>
      </c>
      <c r="H2062" s="54" t="n">
        <f aca="false">H2061*H2057</f>
        <v>86691.2383655282</v>
      </c>
      <c r="I2062" s="54" t="n">
        <f aca="false">I2061*I2057</f>
        <v>84479.443548476</v>
      </c>
      <c r="J2062" s="54" t="n">
        <f aca="false">J2061*J2057</f>
        <v>82324.0793050893</v>
      </c>
      <c r="K2062" s="54" t="n">
        <f aca="false">K2061*K2057</f>
        <v>80223.7058952893</v>
      </c>
      <c r="L2062" s="54" t="n">
        <f aca="false">L2061*L2057</f>
        <v>78176.9203117709</v>
      </c>
      <c r="M2062" s="54" t="n">
        <f aca="false">M2061*M2057</f>
        <v>76182.3553428221</v>
      </c>
      <c r="N2062" s="54" t="n">
        <f aca="false">N2061*N2057</f>
        <v>74238.6786590537</v>
      </c>
      <c r="P2062" s="55" t="n">
        <f aca="false">SUM(C2062:F2062)</f>
        <v>-744173.413489772</v>
      </c>
      <c r="Q2062" s="55" t="n">
        <f aca="false">SUM(G2062:J2062)</f>
        <v>342324.306567267</v>
      </c>
      <c r="R2062" s="55" t="n">
        <f aca="false">SUM(K2062:N2062)</f>
        <v>308821.660208936</v>
      </c>
      <c r="S2062" s="56" t="n">
        <f aca="false">SUM(P2062:R2062)</f>
        <v>-93027.4467135683</v>
      </c>
    </row>
    <row r="2063" customFormat="false" ht="15" hidden="false" customHeight="false" outlineLevel="0" collapsed="false">
      <c r="A2063" s="4" t="s">
        <v>576</v>
      </c>
      <c r="B2063" s="36"/>
      <c r="C2063" s="37" t="n">
        <f aca="false">IFERROR((S2018*$C$1967*Assumptions!$G$59+S2019*$C$1968*Assumptions!$G$60+S2020*$C$1969*Assumptions!$G$61)/(S2018*$C$1967+S2019*$C$1968+S2020*$C$1969),0.9)</f>
        <v>0.856332824466052</v>
      </c>
    </row>
    <row r="2064" customFormat="false" ht="15" hidden="false" customHeight="false" outlineLevel="0" collapsed="false">
      <c r="A2064" s="4" t="s">
        <v>577</v>
      </c>
      <c r="B2064" s="36"/>
      <c r="C2064" s="37" t="n">
        <f aca="false">IFERROR(N2052*4/N2030,0)</f>
        <v>0.208289597730772</v>
      </c>
    </row>
    <row r="2065" customFormat="false" ht="15" hidden="false" customHeight="false" outlineLevel="0" collapsed="false">
      <c r="A2065" s="4" t="s">
        <v>578</v>
      </c>
      <c r="B2065" s="36"/>
      <c r="C2065" s="60" t="n">
        <f aca="false">$C$2063/(1+Assumptions!$G$87)</f>
        <v>0.764582878987546</v>
      </c>
    </row>
    <row r="2066" customFormat="false" ht="15" hidden="false" customHeight="false" outlineLevel="0" collapsed="false">
      <c r="A2066" s="4" t="s">
        <v>579</v>
      </c>
      <c r="B2066" s="36"/>
      <c r="C2066" s="60" t="n">
        <f aca="false">Assumptions!$G$91/(1+Assumptions!$G$87)</f>
        <v>0.803571428571429</v>
      </c>
    </row>
    <row r="2067" customFormat="false" ht="15" hidden="false" customHeight="false" outlineLevel="0" collapsed="false">
      <c r="A2067" s="35" t="s">
        <v>580</v>
      </c>
      <c r="B2067" s="35" t="s">
        <v>444</v>
      </c>
      <c r="C2067" s="6" t="s">
        <v>354</v>
      </c>
      <c r="D2067" s="6" t="s">
        <v>355</v>
      </c>
      <c r="E2067" s="6" t="s">
        <v>356</v>
      </c>
      <c r="F2067" s="6" t="s">
        <v>357</v>
      </c>
      <c r="G2067" s="6" t="s">
        <v>358</v>
      </c>
      <c r="H2067" s="6" t="s">
        <v>359</v>
      </c>
      <c r="I2067" s="6" t="s">
        <v>360</v>
      </c>
      <c r="J2067" s="6" t="s">
        <v>361</v>
      </c>
      <c r="K2067" s="6" t="s">
        <v>362</v>
      </c>
      <c r="L2067" s="6" t="s">
        <v>363</v>
      </c>
      <c r="M2067" s="6" t="s">
        <v>364</v>
      </c>
      <c r="N2067" s="6" t="s">
        <v>365</v>
      </c>
      <c r="P2067" s="6" t="s">
        <v>445</v>
      </c>
      <c r="Q2067" s="6" t="s">
        <v>446</v>
      </c>
      <c r="R2067" s="6" t="s">
        <v>447</v>
      </c>
      <c r="S2067" s="6" t="s">
        <v>448</v>
      </c>
    </row>
    <row r="2068" customFormat="false" ht="15" hidden="false" customHeight="false" outlineLevel="0" collapsed="false">
      <c r="A2068" s="9" t="s">
        <v>581</v>
      </c>
      <c r="C2068" s="61" t="n">
        <f aca="false">N2030</f>
        <v>19612.0135984736</v>
      </c>
      <c r="D2068" s="61"/>
    </row>
    <row r="2069" customFormat="false" ht="15" hidden="false" customHeight="false" outlineLevel="0" collapsed="false">
      <c r="A2069" s="9" t="s">
        <v>582</v>
      </c>
      <c r="C2069" s="62" t="n">
        <f aca="false">N2026</f>
        <v>2.54752254857787</v>
      </c>
      <c r="D2069" s="62"/>
    </row>
    <row r="2070" customFormat="false" ht="15" hidden="false" customHeight="false" outlineLevel="0" collapsed="false">
      <c r="A2070" s="9" t="s">
        <v>583</v>
      </c>
      <c r="C2070" s="63" t="n">
        <f aca="false">S2021</f>
        <v>3.59153207635933</v>
      </c>
      <c r="D2070" s="63"/>
    </row>
    <row r="2071" customFormat="false" ht="15" hidden="false" customHeight="false" outlineLevel="0" collapsed="false">
      <c r="A2071" s="9" t="s">
        <v>584</v>
      </c>
      <c r="C2071" s="61" t="n">
        <f aca="false">S2032</f>
        <v>47284.1765151155</v>
      </c>
      <c r="D2071" s="61"/>
    </row>
    <row r="2072" customFormat="false" ht="15" hidden="false" customHeight="false" outlineLevel="0" collapsed="false">
      <c r="A2072" s="9" t="s">
        <v>22</v>
      </c>
      <c r="C2072" s="61" t="n">
        <f aca="false">IFERROR(S2031/S2021,0)</f>
        <v>6067.43279153424</v>
      </c>
      <c r="D2072" s="61"/>
    </row>
    <row r="2073" customFormat="false" ht="15" hidden="false" customHeight="false" outlineLevel="0" collapsed="false">
      <c r="A2073" s="9" t="s">
        <v>585</v>
      </c>
      <c r="C2073" s="61" t="n">
        <f aca="false">IFERROR(S2049/S2021,0)</f>
        <v>145096.819552339</v>
      </c>
      <c r="D2073" s="61"/>
    </row>
    <row r="2074" customFormat="false" ht="23.85" hidden="false" customHeight="false" outlineLevel="0" collapsed="false">
      <c r="A2074" s="9" t="s">
        <v>586</v>
      </c>
      <c r="C2074" s="61" t="n">
        <f aca="false">IFERROR((S2043+S2045+S2046+S2047+S2048)/S2021,0)</f>
        <v>50174.1375618614</v>
      </c>
      <c r="D2074" s="61"/>
    </row>
    <row r="2075" customFormat="false" ht="15" hidden="false" customHeight="false" outlineLevel="0" collapsed="false">
      <c r="A2075" s="9" t="s">
        <v>587</v>
      </c>
      <c r="C2075" s="64" t="n">
        <f aca="false">IFERROR('Engine Runs'!$C$2073/('Engine Runs'!$C$2072*Assumptions!$G$76/12),0)</f>
        <v>521.760833453312</v>
      </c>
      <c r="D2075" s="64"/>
    </row>
    <row r="2076" customFormat="false" ht="15" hidden="false" customHeight="false" outlineLevel="0" collapsed="false">
      <c r="A2076" s="9" t="s">
        <v>588</v>
      </c>
      <c r="C2076" s="64" t="n">
        <f aca="false">IFERROR((R2049/R2021)/((R2031/R2021)*Assumptions!$G$76/12),0)</f>
        <v>0</v>
      </c>
      <c r="D2076" s="64"/>
    </row>
    <row r="2077" customFormat="false" ht="15" hidden="false" customHeight="false" outlineLevel="0" collapsed="false">
      <c r="A2077" s="9" t="s">
        <v>589</v>
      </c>
      <c r="C2077" s="61" t="n">
        <f aca="false">S2053</f>
        <v>1009072.76175341</v>
      </c>
      <c r="D2077" s="61"/>
    </row>
    <row r="2078" customFormat="false" ht="15" hidden="false" customHeight="false" outlineLevel="0" collapsed="false">
      <c r="A2078" s="9" t="s">
        <v>590</v>
      </c>
      <c r="C2078" s="61" t="n">
        <f aca="false">N2056</f>
        <v>-983066.464670101</v>
      </c>
      <c r="D2078" s="61"/>
    </row>
    <row r="2079" customFormat="false" ht="15" hidden="false" customHeight="false" outlineLevel="0" collapsed="false">
      <c r="A2079" s="9" t="s">
        <v>591</v>
      </c>
      <c r="C2079" s="61" t="n">
        <f aca="false">MIN($C$2056:$N$2056)</f>
        <v>-996075.627773843</v>
      </c>
      <c r="D2079" s="61"/>
    </row>
    <row r="2080" customFormat="false" ht="15" hidden="false" customHeight="false" outlineLevel="0" collapsed="false">
      <c r="A2080" s="9" t="s">
        <v>592</v>
      </c>
      <c r="C2080" s="61" t="n">
        <f aca="false">N2030*(Assumptions!$G$76-$C$2064)*$C$2063*(1-$C$2063^Assumptions!$G$85)/(1-$C$2063)</f>
        <v>21551.1826069862</v>
      </c>
      <c r="D2080" s="61"/>
    </row>
    <row r="2081" customFormat="false" ht="15" hidden="false" customHeight="false" outlineLevel="0" collapsed="false">
      <c r="A2081" s="9" t="s">
        <v>593</v>
      </c>
      <c r="C2081" s="61" t="n">
        <f aca="false">N2030*(Assumptions!$G$76-$C$2064)*(1-Assumptions!$G$88)/(1+Assumptions!$G$87)^2.5*$C$2065*(1-$C$2065^Assumptions!$G$85)/(1-$C$2065)</f>
        <v>4844.57633319454</v>
      </c>
      <c r="D2081" s="61"/>
    </row>
    <row r="2082" customFormat="false" ht="15" hidden="false" customHeight="false" outlineLevel="0" collapsed="false">
      <c r="A2082" s="9" t="s">
        <v>594</v>
      </c>
      <c r="C2082" s="61" t="n">
        <f aca="false">SUM($C$2058:$N$2058)+'Engine Runs'!$C$2081</f>
        <v>-927042.332619936</v>
      </c>
      <c r="D2082" s="61"/>
    </row>
    <row r="2083" customFormat="false" ht="15" hidden="false" customHeight="false" outlineLevel="0" collapsed="false">
      <c r="A2083" s="9" t="s">
        <v>595</v>
      </c>
      <c r="C2083" s="61" t="n">
        <f aca="false">SUM($C$2062:$N$2062)+N2060*(Assumptions!$G$76-Assumptions!$G$93)/(1+Assumptions!$G$87)^2.5*$C$2066*(1-$C$2066^Assumptions!$G$85)/(1-$C$2066)</f>
        <v>763015.307946136</v>
      </c>
      <c r="D2083" s="61"/>
    </row>
    <row r="2084" customFormat="false" ht="15" hidden="false" customHeight="false" outlineLevel="0" collapsed="false">
      <c r="A2084" s="9" t="s">
        <v>596</v>
      </c>
      <c r="C2084" s="61" t="n">
        <f aca="false">'Engine Runs'!$C$2082-'Engine Runs'!$C$2083</f>
        <v>-1690057.64056607</v>
      </c>
      <c r="D2084" s="61"/>
    </row>
    <row r="2085" customFormat="false" ht="15" hidden="false" customHeight="false" outlineLevel="0" collapsed="false">
      <c r="A2085" s="9" t="s">
        <v>597</v>
      </c>
      <c r="C2085" s="61" t="n">
        <f aca="false">S2017</f>
        <v>9525.70419703343</v>
      </c>
      <c r="D2085" s="61"/>
    </row>
    <row r="2086" customFormat="false" ht="15" hidden="false" customHeight="false" outlineLevel="0" collapsed="false">
      <c r="A2086" s="9" t="s">
        <v>598</v>
      </c>
      <c r="C2086" s="63" t="n">
        <f aca="false">P2001</f>
        <v>36.3734859626292</v>
      </c>
      <c r="D2086" s="63"/>
    </row>
    <row r="2087" customFormat="false" ht="15" hidden="false" customHeight="false" outlineLevel="0" collapsed="false">
      <c r="A2087" s="9" t="s">
        <v>599</v>
      </c>
      <c r="C2087" s="63" t="n">
        <f aca="false">P2021</f>
        <v>3.3077330884446</v>
      </c>
      <c r="D2087" s="63"/>
    </row>
    <row r="2088" customFormat="false" ht="15" hidden="false" customHeight="false" outlineLevel="0" collapsed="false">
      <c r="A2088" s="9" t="s">
        <v>600</v>
      </c>
      <c r="C2088" s="63" t="n">
        <f aca="false">P1997</f>
        <v>28</v>
      </c>
      <c r="D2088" s="63"/>
    </row>
    <row r="2089" customFormat="false" ht="15" hidden="false" customHeight="false" outlineLevel="0" collapsed="false">
      <c r="A2089" s="9" t="s">
        <v>601</v>
      </c>
      <c r="C2089" s="61" t="n">
        <f aca="false">IFERROR(P2031/P2021,0)</f>
        <v>6128.81594934335</v>
      </c>
      <c r="D2089" s="61"/>
    </row>
    <row r="2092" customFormat="false" ht="15" hidden="false" customHeight="true" outlineLevel="0" collapsed="false">
      <c r="A2092" s="78" t="s">
        <v>793</v>
      </c>
      <c r="B2092" s="78"/>
      <c r="C2092" s="78"/>
      <c r="D2092" s="78"/>
      <c r="E2092" s="78"/>
      <c r="F2092" s="78"/>
      <c r="G2092" s="78"/>
      <c r="H2092" s="78"/>
      <c r="I2092" s="78"/>
      <c r="J2092" s="78"/>
      <c r="K2092" s="78"/>
      <c r="L2092" s="78"/>
      <c r="M2092" s="78"/>
      <c r="N2092" s="78"/>
    </row>
    <row r="2093" customFormat="false" ht="15" hidden="false" customHeight="true" outlineLevel="0" collapsed="false">
      <c r="A2093" s="79" t="s">
        <v>771</v>
      </c>
      <c r="B2093" s="79"/>
      <c r="C2093" s="79"/>
      <c r="D2093" s="79"/>
      <c r="E2093" s="79"/>
      <c r="F2093" s="79"/>
      <c r="G2093" s="79"/>
      <c r="H2093" s="79"/>
      <c r="I2093" s="79"/>
      <c r="J2093" s="79"/>
      <c r="K2093" s="79"/>
      <c r="L2093" s="79"/>
      <c r="M2093" s="79"/>
      <c r="N2093" s="79"/>
    </row>
    <row r="2094" customFormat="false" ht="23.85" hidden="false" customHeight="false" outlineLevel="0" collapsed="false">
      <c r="A2094" s="35" t="s">
        <v>794</v>
      </c>
      <c r="B2094" s="35" t="s">
        <v>444</v>
      </c>
      <c r="C2094" s="6" t="s">
        <v>354</v>
      </c>
      <c r="D2094" s="6" t="s">
        <v>355</v>
      </c>
      <c r="E2094" s="6" t="s">
        <v>356</v>
      </c>
      <c r="F2094" s="6" t="s">
        <v>357</v>
      </c>
      <c r="G2094" s="6" t="s">
        <v>358</v>
      </c>
      <c r="H2094" s="6" t="s">
        <v>359</v>
      </c>
      <c r="I2094" s="6" t="s">
        <v>360</v>
      </c>
      <c r="J2094" s="6" t="s">
        <v>361</v>
      </c>
      <c r="K2094" s="6" t="s">
        <v>362</v>
      </c>
      <c r="L2094" s="6" t="s">
        <v>363</v>
      </c>
      <c r="M2094" s="6" t="s">
        <v>364</v>
      </c>
      <c r="N2094" s="6" t="s">
        <v>365</v>
      </c>
      <c r="P2094" s="6" t="s">
        <v>445</v>
      </c>
      <c r="Q2094" s="6" t="s">
        <v>446</v>
      </c>
      <c r="R2094" s="6" t="s">
        <v>447</v>
      </c>
      <c r="S2094" s="6" t="s">
        <v>448</v>
      </c>
    </row>
    <row r="2095" customFormat="false" ht="15" hidden="false" customHeight="false" outlineLevel="0" collapsed="false">
      <c r="A2095" s="4" t="s">
        <v>449</v>
      </c>
      <c r="B2095" s="36" t="s">
        <v>450</v>
      </c>
      <c r="C2095" s="34" t="n">
        <f aca="false">'Market Sizing'!$C$20*Assumptions!$I$10*Assumptions!$I$11*(1-Assumptions!$I$12)</f>
        <v>2743.814304</v>
      </c>
    </row>
    <row r="2096" customFormat="false" ht="15" hidden="false" customHeight="false" outlineLevel="0" collapsed="false">
      <c r="A2096" s="4" t="s">
        <v>451</v>
      </c>
      <c r="B2096" s="36" t="s">
        <v>450</v>
      </c>
      <c r="C2096" s="34" t="n">
        <f aca="false">'Market Sizing'!$D$20*Assumptions!$I$10*Assumptions!$I$11*(1-Assumptions!$I$12)</f>
        <v>560.531664</v>
      </c>
    </row>
    <row r="2097" customFormat="false" ht="15" hidden="false" customHeight="false" outlineLevel="0" collapsed="false">
      <c r="A2097" s="4" t="s">
        <v>452</v>
      </c>
      <c r="B2097" s="36" t="s">
        <v>450</v>
      </c>
      <c r="C2097" s="34" t="n">
        <f aca="false">'Market Sizing'!$E$20*Assumptions!$I$10*Assumptions!$I$11*(1-Assumptions!$I$12)</f>
        <v>130.340826</v>
      </c>
    </row>
    <row r="2098" customFormat="false" ht="15" hidden="false" customHeight="false" outlineLevel="0" collapsed="false">
      <c r="A2098" s="4" t="s">
        <v>453</v>
      </c>
      <c r="B2098" s="36"/>
      <c r="C2098" s="34" t="n">
        <f aca="false">$C$2095+$C$2096+$C$2097</f>
        <v>3434.686794</v>
      </c>
    </row>
    <row r="2099" customFormat="false" ht="15" hidden="false" customHeight="false" outlineLevel="0" collapsed="false">
      <c r="A2099" s="4" t="s">
        <v>454</v>
      </c>
      <c r="B2099" s="36" t="s">
        <v>450</v>
      </c>
      <c r="C2099" s="34" t="n">
        <f aca="false">'Market Sizing'!$C$21*Assumptions!$I$10*Assumptions!$I$11*(1-Assumptions!$I$12)</f>
        <v>2711.4875865</v>
      </c>
    </row>
    <row r="2100" customFormat="false" ht="15" hidden="false" customHeight="false" outlineLevel="0" collapsed="false">
      <c r="A2100" s="4" t="s">
        <v>455</v>
      </c>
      <c r="B2100" s="36" t="s">
        <v>450</v>
      </c>
      <c r="C2100" s="34" t="n">
        <f aca="false">'Market Sizing'!$D$21*Assumptions!$I$10*Assumptions!$I$11*(1-Assumptions!$I$12)</f>
        <v>558.515727</v>
      </c>
    </row>
    <row r="2101" customFormat="false" ht="15" hidden="false" customHeight="false" outlineLevel="0" collapsed="false">
      <c r="A2101" s="4" t="s">
        <v>456</v>
      </c>
      <c r="B2101" s="36" t="s">
        <v>450</v>
      </c>
      <c r="C2101" s="34" t="n">
        <f aca="false">'Market Sizing'!$E$21*Assumptions!$I$10*Assumptions!$I$11*(1-Assumptions!$I$12)</f>
        <v>114.174522</v>
      </c>
    </row>
    <row r="2102" customFormat="false" ht="15" hidden="false" customHeight="false" outlineLevel="0" collapsed="false">
      <c r="A2102" s="4" t="s">
        <v>457</v>
      </c>
      <c r="B2102" s="36"/>
      <c r="C2102" s="34" t="n">
        <f aca="false">$C$2099+$C$2100+$C$2101</f>
        <v>3384.1778355</v>
      </c>
    </row>
    <row r="2103" customFormat="false" ht="15" hidden="false" customHeight="false" outlineLevel="0" collapsed="false">
      <c r="A2103" s="4" t="s">
        <v>458</v>
      </c>
      <c r="B2103" s="36" t="s">
        <v>450</v>
      </c>
      <c r="C2103" s="34" t="n">
        <f aca="false">'Market Sizing'!$C$22*Assumptions!$I$10*Assumptions!$I$11*(1-Assumptions!$I$12)</f>
        <v>2796.4244385</v>
      </c>
    </row>
    <row r="2104" customFormat="false" ht="15" hidden="false" customHeight="false" outlineLevel="0" collapsed="false">
      <c r="A2104" s="4" t="s">
        <v>459</v>
      </c>
      <c r="B2104" s="36" t="s">
        <v>450</v>
      </c>
      <c r="C2104" s="34" t="n">
        <f aca="false">'Market Sizing'!$D$22*Assumptions!$I$10*Assumptions!$I$11*(1-Assumptions!$I$12)</f>
        <v>714.600117</v>
      </c>
    </row>
    <row r="2105" customFormat="false" ht="15" hidden="false" customHeight="false" outlineLevel="0" collapsed="false">
      <c r="A2105" s="4" t="s">
        <v>460</v>
      </c>
      <c r="B2105" s="36" t="s">
        <v>450</v>
      </c>
      <c r="C2105" s="34" t="n">
        <f aca="false">'Market Sizing'!$E$22*Assumptions!$I$10*Assumptions!$I$11*(1-Assumptions!$I$12)</f>
        <v>150.548706</v>
      </c>
    </row>
    <row r="2106" customFormat="false" ht="15" hidden="false" customHeight="false" outlineLevel="0" collapsed="false">
      <c r="A2106" s="4" t="s">
        <v>461</v>
      </c>
      <c r="B2106" s="36"/>
      <c r="C2106" s="34" t="n">
        <f aca="false">$C$2103+$C$2104+$C$2105</f>
        <v>3661.5732615</v>
      </c>
    </row>
    <row r="2107" customFormat="false" ht="15" hidden="false" customHeight="false" outlineLevel="0" collapsed="false">
      <c r="A2107" s="4" t="s">
        <v>462</v>
      </c>
      <c r="B2107" s="36" t="s">
        <v>463</v>
      </c>
      <c r="C2107" s="33" t="n">
        <f aca="false">MAX((Assumptions!$I$51+Assumptions!$I$53)*12,(((('Market Sizing'!$E$28*Assumptions!$I$41*Assumptions!$I$42*Assumptions!$I$43)*Assumptions!$I$44)*Assumptions!$I$45*Assumptions!$I$46+('Market Sizing'!$E$28*Assumptions!$I$41*Assumptions!$I$42*Assumptions!$I$43)*Assumptions!$I$47+('Market Sizing'!$E$28*Assumptions!$I$41*Assumptions!$I$42*Assumptions!$I$43)*Assumptions!$I$48*Assumptions!$I$49)*(Assumptions!$I$51*12/Assumptions!$I$52)+((('Market Sizing'!$E$28*Assumptions!$I$41*Assumptions!$I$42*Assumptions!$I$43)*Assumptions!$I$44)*Assumptions!$I$45+('Market Sizing'!$E$28*Assumptions!$I$41*Assumptions!$I$42*Assumptions!$I$43)+('Market Sizing'!$E$28*Assumptions!$I$41*Assumptions!$I$42*Assumptions!$I$43)*Assumptions!$I$48)*Assumptions!$I$50*(Assumptions!$I$53*12/Assumptions!$I$54)))</f>
        <v>5352</v>
      </c>
    </row>
    <row r="2108" customFormat="false" ht="15" hidden="false" customHeight="false" outlineLevel="0" collapsed="false">
      <c r="A2108" s="4" t="s">
        <v>464</v>
      </c>
      <c r="B2108" s="36" t="s">
        <v>463</v>
      </c>
      <c r="C2108" s="33" t="n">
        <f aca="false">MAX((Assumptions!$I$51+Assumptions!$I$53)*12,(((('Market Sizing'!$E$29*Assumptions!$I$41*Assumptions!$I$42*Assumptions!$I$43)*Assumptions!$I$44)*Assumptions!$I$45*Assumptions!$I$46+('Market Sizing'!$E$29*Assumptions!$I$41*Assumptions!$I$42*Assumptions!$I$43)*Assumptions!$I$47+('Market Sizing'!$E$29*Assumptions!$I$41*Assumptions!$I$42*Assumptions!$I$43)*Assumptions!$I$48*Assumptions!$I$49)*(Assumptions!$I$51*12/Assumptions!$I$52)+((('Market Sizing'!$E$29*Assumptions!$I$41*Assumptions!$I$42*Assumptions!$I$43)*Assumptions!$I$44)*Assumptions!$I$45+('Market Sizing'!$E$29*Assumptions!$I$41*Assumptions!$I$42*Assumptions!$I$43)+('Market Sizing'!$E$29*Assumptions!$I$41*Assumptions!$I$42*Assumptions!$I$43)*Assumptions!$I$48)*Assumptions!$I$50*(Assumptions!$I$53*12/Assumptions!$I$54)))</f>
        <v>5352</v>
      </c>
    </row>
    <row r="2109" customFormat="false" ht="15" hidden="false" customHeight="false" outlineLevel="0" collapsed="false">
      <c r="A2109" s="4" t="s">
        <v>465</v>
      </c>
      <c r="B2109" s="36" t="s">
        <v>463</v>
      </c>
      <c r="C2109" s="33" t="n">
        <f aca="false">MAX(Assumptions!$I$55*(Assumptions!$I$51*12/Assumptions!$I$52)+Assumptions!$I$56*(Assumptions!$I$53*12/Assumptions!$I$54),(((('Market Sizing'!$E$30*Assumptions!$I$41*Assumptions!$I$42*Assumptions!$I$43)*Assumptions!$I$44)*Assumptions!$I$45*Assumptions!$I$46+('Market Sizing'!$E$30*Assumptions!$I$41*Assumptions!$I$42*Assumptions!$I$43)*Assumptions!$I$47+('Market Sizing'!$E$30*Assumptions!$I$41*Assumptions!$I$42*Assumptions!$I$43)*Assumptions!$I$48*Assumptions!$I$49)*(Assumptions!$I$51*12/Assumptions!$I$52)+((('Market Sizing'!$E$30*Assumptions!$I$41*Assumptions!$I$42*Assumptions!$I$43)*Assumptions!$I$44)*Assumptions!$I$45+('Market Sizing'!$E$30*Assumptions!$I$41*Assumptions!$I$42*Assumptions!$I$43)+('Market Sizing'!$E$30*Assumptions!$I$41*Assumptions!$I$42*Assumptions!$I$43)*Assumptions!$I$48)*Assumptions!$I$50*(Assumptions!$I$53*12/Assumptions!$I$54)))*(1-Assumptions!$I$57)</f>
        <v>44310</v>
      </c>
    </row>
    <row r="2110" customFormat="false" ht="23.85" hidden="false" customHeight="false" outlineLevel="0" collapsed="false">
      <c r="A2110" s="4" t="s">
        <v>466</v>
      </c>
      <c r="B2110" s="36" t="s">
        <v>467</v>
      </c>
      <c r="C2110" s="37" t="n">
        <f aca="false">Assumptions!$I$17*Assumptions!$D$106</f>
        <v>0.5</v>
      </c>
    </row>
    <row r="2111" customFormat="false" ht="23.85" hidden="false" customHeight="false" outlineLevel="0" collapsed="false">
      <c r="A2111" s="4" t="s">
        <v>468</v>
      </c>
      <c r="B2111" s="36" t="s">
        <v>469</v>
      </c>
      <c r="C2111" s="33" t="n">
        <f aca="false">Assumptions!$I$68/Assumptions!$I$69</f>
        <v>285714.285714286</v>
      </c>
    </row>
    <row r="2112" customFormat="false" ht="23.85" hidden="false" customHeight="false" outlineLevel="0" collapsed="false">
      <c r="A2112" s="4" t="s">
        <v>470</v>
      </c>
      <c r="B2112" s="36" t="s">
        <v>471</v>
      </c>
      <c r="C2112" s="33" t="n">
        <f aca="false">Assumptions!$I$66*Assumptions!$I$67/4</f>
        <v>185937.5</v>
      </c>
    </row>
    <row r="2113" customFormat="false" ht="15" hidden="false" customHeight="false" outlineLevel="0" collapsed="false">
      <c r="A2113" s="4" t="s">
        <v>472</v>
      </c>
      <c r="B2113" s="36"/>
      <c r="C2113" s="38" t="n">
        <f aca="false">$C$2111/Assumptions!$I$66/Assumptions!$I$67</f>
        <v>0.384153661464586</v>
      </c>
    </row>
    <row r="2114" customFormat="false" ht="15" hidden="false" customHeight="false" outlineLevel="0" collapsed="false">
      <c r="A2114" s="4" t="s">
        <v>473</v>
      </c>
      <c r="B2114" s="36"/>
      <c r="C2114" s="33" t="n">
        <f aca="false">MAX(0,Assumptions!$D$103-Assumptions!$I$78)</f>
        <v>0</v>
      </c>
    </row>
    <row r="2115" customFormat="false" ht="15" hidden="false" customHeight="false" outlineLevel="0" collapsed="false">
      <c r="A2115" s="35" t="s">
        <v>474</v>
      </c>
      <c r="B2115" s="35" t="s">
        <v>444</v>
      </c>
      <c r="C2115" s="6" t="s">
        <v>354</v>
      </c>
      <c r="D2115" s="6" t="s">
        <v>355</v>
      </c>
      <c r="E2115" s="6" t="s">
        <v>356</v>
      </c>
      <c r="F2115" s="6" t="s">
        <v>357</v>
      </c>
      <c r="G2115" s="6" t="s">
        <v>358</v>
      </c>
      <c r="H2115" s="6" t="s">
        <v>359</v>
      </c>
      <c r="I2115" s="6" t="s">
        <v>360</v>
      </c>
      <c r="J2115" s="6" t="s">
        <v>361</v>
      </c>
      <c r="K2115" s="6" t="s">
        <v>362</v>
      </c>
      <c r="L2115" s="6" t="s">
        <v>363</v>
      </c>
      <c r="M2115" s="6" t="s">
        <v>364</v>
      </c>
      <c r="N2115" s="6" t="s">
        <v>365</v>
      </c>
      <c r="P2115" s="6" t="s">
        <v>445</v>
      </c>
      <c r="Q2115" s="6" t="s">
        <v>446</v>
      </c>
      <c r="R2115" s="6" t="s">
        <v>447</v>
      </c>
      <c r="S2115" s="6" t="s">
        <v>448</v>
      </c>
    </row>
    <row r="2116" customFormat="false" ht="15" hidden="false" customHeight="false" outlineLevel="0" collapsed="false">
      <c r="A2116" s="4" t="s">
        <v>475</v>
      </c>
      <c r="B2116" s="36" t="s">
        <v>133</v>
      </c>
      <c r="C2116" s="39" t="n">
        <v>1</v>
      </c>
      <c r="D2116" s="39" t="n">
        <v>2</v>
      </c>
      <c r="E2116" s="39" t="n">
        <v>3</v>
      </c>
      <c r="F2116" s="39" t="n">
        <v>4</v>
      </c>
      <c r="G2116" s="39" t="n">
        <v>5</v>
      </c>
      <c r="H2116" s="39" t="n">
        <v>6</v>
      </c>
      <c r="I2116" s="39" t="n">
        <v>7</v>
      </c>
      <c r="J2116" s="39" t="n">
        <v>8</v>
      </c>
      <c r="K2116" s="39" t="n">
        <v>9</v>
      </c>
      <c r="L2116" s="39" t="n">
        <v>10</v>
      </c>
      <c r="M2116" s="39" t="n">
        <v>11</v>
      </c>
      <c r="N2116" s="39" t="n">
        <v>12</v>
      </c>
      <c r="P2116" s="40"/>
      <c r="Q2116" s="40"/>
      <c r="R2116" s="40"/>
      <c r="S2116" s="41"/>
    </row>
    <row r="2117" customFormat="false" ht="15" hidden="false" customHeight="false" outlineLevel="0" collapsed="false">
      <c r="A2117" s="4" t="s">
        <v>476</v>
      </c>
      <c r="B2117" s="36" t="s">
        <v>343</v>
      </c>
      <c r="C2117" s="39" t="n">
        <f aca="false">IF(C2116&lt;=Assumptions!$I$84,1,0)</f>
        <v>1</v>
      </c>
      <c r="D2117" s="39" t="n">
        <f aca="false">IF(D2116&lt;=Assumptions!$I$84,1,0)</f>
        <v>1</v>
      </c>
      <c r="E2117" s="39" t="n">
        <f aca="false">IF(E2116&lt;=Assumptions!$I$84,1,0)</f>
        <v>1</v>
      </c>
      <c r="F2117" s="39" t="n">
        <f aca="false">IF(F2116&lt;=Assumptions!$I$84,1,0)</f>
        <v>1</v>
      </c>
      <c r="G2117" s="39" t="n">
        <f aca="false">IF(G2116&lt;=Assumptions!$I$84,1,0)</f>
        <v>1</v>
      </c>
      <c r="H2117" s="39" t="n">
        <f aca="false">IF(H2116&lt;=Assumptions!$I$84,1,0)</f>
        <v>1</v>
      </c>
      <c r="I2117" s="39" t="n">
        <f aca="false">IF(I2116&lt;=Assumptions!$I$84,1,0)</f>
        <v>1</v>
      </c>
      <c r="J2117" s="39" t="n">
        <f aca="false">IF(J2116&lt;=Assumptions!$I$84,1,0)</f>
        <v>1</v>
      </c>
      <c r="K2117" s="39" t="n">
        <f aca="false">IF(K2116&lt;=Assumptions!$I$84,1,0)</f>
        <v>1</v>
      </c>
      <c r="L2117" s="39" t="n">
        <f aca="false">IF(L2116&lt;=Assumptions!$I$84,1,0)</f>
        <v>1</v>
      </c>
      <c r="M2117" s="39" t="n">
        <f aca="false">IF(M2116&lt;=Assumptions!$I$84,1,0)</f>
        <v>1</v>
      </c>
      <c r="N2117" s="39" t="n">
        <f aca="false">IF(N2116&lt;=Assumptions!$I$84,1,0)</f>
        <v>1</v>
      </c>
      <c r="P2117" s="40"/>
      <c r="Q2117" s="40"/>
      <c r="R2117" s="40"/>
      <c r="S2117" s="41"/>
    </row>
    <row r="2118" customFormat="false" ht="15" hidden="false" customHeight="false" outlineLevel="0" collapsed="false">
      <c r="A2118" s="4" t="s">
        <v>477</v>
      </c>
      <c r="B2118" s="36" t="s">
        <v>478</v>
      </c>
      <c r="C2118" s="42" t="n">
        <f aca="false">IF(C2116=Assumptions!$I$13,0.5,IF(C2116&gt;Assumptions!$I$13,1,0))</f>
        <v>0.5</v>
      </c>
      <c r="D2118" s="42" t="n">
        <f aca="false">IF(D2116=Assumptions!$I$13,0.5,IF(D2116&gt;Assumptions!$I$13,1,0))</f>
        <v>1</v>
      </c>
      <c r="E2118" s="42" t="n">
        <f aca="false">IF(E2116=Assumptions!$I$13,0.5,IF(E2116&gt;Assumptions!$I$13,1,0))</f>
        <v>1</v>
      </c>
      <c r="F2118" s="42" t="n">
        <f aca="false">IF(F2116=Assumptions!$I$13,0.5,IF(F2116&gt;Assumptions!$I$13,1,0))</f>
        <v>1</v>
      </c>
      <c r="G2118" s="42" t="n">
        <f aca="false">IF(G2116=Assumptions!$I$13,0.5,IF(G2116&gt;Assumptions!$I$13,1,0))</f>
        <v>1</v>
      </c>
      <c r="H2118" s="42" t="n">
        <f aca="false">IF(H2116=Assumptions!$I$13,0.5,IF(H2116&gt;Assumptions!$I$13,1,0))</f>
        <v>1</v>
      </c>
      <c r="I2118" s="42" t="n">
        <f aca="false">IF(I2116=Assumptions!$I$13,0.5,IF(I2116&gt;Assumptions!$I$13,1,0))</f>
        <v>1</v>
      </c>
      <c r="J2118" s="42" t="n">
        <f aca="false">IF(J2116=Assumptions!$I$13,0.5,IF(J2116&gt;Assumptions!$I$13,1,0))</f>
        <v>1</v>
      </c>
      <c r="K2118" s="42" t="n">
        <f aca="false">IF(K2116=Assumptions!$I$13,0.5,IF(K2116&gt;Assumptions!$I$13,1,0))</f>
        <v>1</v>
      </c>
      <c r="L2118" s="42" t="n">
        <f aca="false">IF(L2116=Assumptions!$I$13,0.5,IF(L2116&gt;Assumptions!$I$13,1,0))</f>
        <v>1</v>
      </c>
      <c r="M2118" s="42" t="n">
        <f aca="false">IF(M2116=Assumptions!$I$13,0.5,IF(M2116&gt;Assumptions!$I$13,1,0))</f>
        <v>1</v>
      </c>
      <c r="N2118" s="42" t="n">
        <f aca="false">IF(N2116=Assumptions!$I$13,0.5,IF(N2116&gt;Assumptions!$I$13,1,0))</f>
        <v>1</v>
      </c>
      <c r="P2118" s="43"/>
      <c r="Q2118" s="43"/>
      <c r="R2118" s="43"/>
      <c r="S2118" s="44"/>
    </row>
    <row r="2119" customFormat="false" ht="15" hidden="false" customHeight="false" outlineLevel="0" collapsed="false">
      <c r="A2119" s="4" t="s">
        <v>479</v>
      </c>
      <c r="B2119" s="36" t="s">
        <v>478</v>
      </c>
      <c r="C2119" s="42" t="n">
        <f aca="false">IF(C2116=Assumptions!$I$14,0.5,IF(C2116&gt;Assumptions!$I$14,1,0))</f>
        <v>0</v>
      </c>
      <c r="D2119" s="42" t="n">
        <f aca="false">IF(D2116=Assumptions!$I$14,0.5,IF(D2116&gt;Assumptions!$I$14,1,0))</f>
        <v>0</v>
      </c>
      <c r="E2119" s="42" t="n">
        <f aca="false">IF(E2116=Assumptions!$I$14,0.5,IF(E2116&gt;Assumptions!$I$14,1,0))</f>
        <v>0</v>
      </c>
      <c r="F2119" s="42" t="n">
        <f aca="false">IF(F2116=Assumptions!$I$14,0.5,IF(F2116&gt;Assumptions!$I$14,1,0))</f>
        <v>0.5</v>
      </c>
      <c r="G2119" s="42" t="n">
        <f aca="false">IF(G2116=Assumptions!$I$14,0.5,IF(G2116&gt;Assumptions!$I$14,1,0))</f>
        <v>1</v>
      </c>
      <c r="H2119" s="42" t="n">
        <f aca="false">IF(H2116=Assumptions!$I$14,0.5,IF(H2116&gt;Assumptions!$I$14,1,0))</f>
        <v>1</v>
      </c>
      <c r="I2119" s="42" t="n">
        <f aca="false">IF(I2116=Assumptions!$I$14,0.5,IF(I2116&gt;Assumptions!$I$14,1,0))</f>
        <v>1</v>
      </c>
      <c r="J2119" s="42" t="n">
        <f aca="false">IF(J2116=Assumptions!$I$14,0.5,IF(J2116&gt;Assumptions!$I$14,1,0))</f>
        <v>1</v>
      </c>
      <c r="K2119" s="42" t="n">
        <f aca="false">IF(K2116=Assumptions!$I$14,0.5,IF(K2116&gt;Assumptions!$I$14,1,0))</f>
        <v>1</v>
      </c>
      <c r="L2119" s="42" t="n">
        <f aca="false">IF(L2116=Assumptions!$I$14,0.5,IF(L2116&gt;Assumptions!$I$14,1,0))</f>
        <v>1</v>
      </c>
      <c r="M2119" s="42" t="n">
        <f aca="false">IF(M2116=Assumptions!$I$14,0.5,IF(M2116&gt;Assumptions!$I$14,1,0))</f>
        <v>1</v>
      </c>
      <c r="N2119" s="42" t="n">
        <f aca="false">IF(N2116=Assumptions!$I$14,0.5,IF(N2116&gt;Assumptions!$I$14,1,0))</f>
        <v>1</v>
      </c>
      <c r="P2119" s="43"/>
      <c r="Q2119" s="43"/>
      <c r="R2119" s="43"/>
      <c r="S2119" s="44"/>
    </row>
    <row r="2120" customFormat="false" ht="15" hidden="false" customHeight="false" outlineLevel="0" collapsed="false">
      <c r="A2120" s="4" t="s">
        <v>480</v>
      </c>
      <c r="B2120" s="36" t="s">
        <v>478</v>
      </c>
      <c r="C2120" s="42" t="n">
        <f aca="false">IF(C2116=Assumptions!$I$15,0.5,IF(C2116&gt;Assumptions!$I$15,1,0))</f>
        <v>0</v>
      </c>
      <c r="D2120" s="42" t="n">
        <f aca="false">IF(D2116=Assumptions!$I$15,0.5,IF(D2116&gt;Assumptions!$I$15,1,0))</f>
        <v>0</v>
      </c>
      <c r="E2120" s="42" t="n">
        <f aca="false">IF(E2116=Assumptions!$I$15,0.5,IF(E2116&gt;Assumptions!$I$15,1,0))</f>
        <v>0</v>
      </c>
      <c r="F2120" s="42" t="n">
        <f aca="false">IF(F2116=Assumptions!$I$15,0.5,IF(F2116&gt;Assumptions!$I$15,1,0))</f>
        <v>0</v>
      </c>
      <c r="G2120" s="42" t="n">
        <f aca="false">IF(G2116=Assumptions!$I$15,0.5,IF(G2116&gt;Assumptions!$I$15,1,0))</f>
        <v>0</v>
      </c>
      <c r="H2120" s="42" t="n">
        <f aca="false">IF(H2116=Assumptions!$I$15,0.5,IF(H2116&gt;Assumptions!$I$15,1,0))</f>
        <v>0.5</v>
      </c>
      <c r="I2120" s="42" t="n">
        <f aca="false">IF(I2116=Assumptions!$I$15,0.5,IF(I2116&gt;Assumptions!$I$15,1,0))</f>
        <v>1</v>
      </c>
      <c r="J2120" s="42" t="n">
        <f aca="false">IF(J2116=Assumptions!$I$15,0.5,IF(J2116&gt;Assumptions!$I$15,1,0))</f>
        <v>1</v>
      </c>
      <c r="K2120" s="42" t="n">
        <f aca="false">IF(K2116=Assumptions!$I$15,0.5,IF(K2116&gt;Assumptions!$I$15,1,0))</f>
        <v>1</v>
      </c>
      <c r="L2120" s="42" t="n">
        <f aca="false">IF(L2116=Assumptions!$I$15,0.5,IF(L2116&gt;Assumptions!$I$15,1,0))</f>
        <v>1</v>
      </c>
      <c r="M2120" s="42" t="n">
        <f aca="false">IF(M2116=Assumptions!$I$15,0.5,IF(M2116&gt;Assumptions!$I$15,1,0))</f>
        <v>1</v>
      </c>
      <c r="N2120" s="42" t="n">
        <f aca="false">IF(N2116=Assumptions!$I$15,0.5,IF(N2116&gt;Assumptions!$I$15,1,0))</f>
        <v>1</v>
      </c>
      <c r="P2120" s="43"/>
      <c r="Q2120" s="43"/>
      <c r="R2120" s="43"/>
      <c r="S2120" s="44"/>
    </row>
    <row r="2121" customFormat="false" ht="15" hidden="false" customHeight="false" outlineLevel="0" collapsed="false">
      <c r="A2121" s="4" t="s">
        <v>481</v>
      </c>
      <c r="B2121" s="36" t="s">
        <v>478</v>
      </c>
      <c r="C2121" s="45" t="n">
        <f aca="false">Assumptions!$I$21^(MAX(0,C2116-Assumptions!$I$13)/4)</f>
        <v>1</v>
      </c>
      <c r="D2121" s="45" t="n">
        <f aca="false">Assumptions!$I$21^(MAX(0,D2116-Assumptions!$I$13)/4)</f>
        <v>0.960184589404188</v>
      </c>
      <c r="E2121" s="45" t="n">
        <f aca="false">Assumptions!$I$21^(MAX(0,E2116-Assumptions!$I$13)/4)</f>
        <v>0.921954445729289</v>
      </c>
      <c r="F2121" s="45" t="n">
        <f aca="false">Assumptions!$I$21^(MAX(0,F2116-Assumptions!$I$13)/4)</f>
        <v>0.885246450921943</v>
      </c>
      <c r="G2121" s="45" t="n">
        <f aca="false">Assumptions!$I$21^(MAX(0,G2116-Assumptions!$I$13)/4)</f>
        <v>0.85</v>
      </c>
      <c r="H2121" s="45" t="n">
        <f aca="false">Assumptions!$I$21^(MAX(0,H2116-Assumptions!$I$13)/4)</f>
        <v>0.81615690099356</v>
      </c>
      <c r="I2121" s="45" t="n">
        <f aca="false">Assumptions!$I$21^(MAX(0,I2116-Assumptions!$I$13)/4)</f>
        <v>0.783661278869895</v>
      </c>
      <c r="J2121" s="45" t="n">
        <f aca="false">Assumptions!$I$21^(MAX(0,J2116-Assumptions!$I$13)/4)</f>
        <v>0.752459483283651</v>
      </c>
      <c r="K2121" s="45" t="n">
        <f aca="false">Assumptions!$I$21^(MAX(0,K2116-Assumptions!$I$13)/4)</f>
        <v>0.7225</v>
      </c>
      <c r="L2121" s="45" t="n">
        <f aca="false">Assumptions!$I$21^(MAX(0,L2116-Assumptions!$I$13)/4)</f>
        <v>0.693733365844526</v>
      </c>
      <c r="M2121" s="45" t="n">
        <f aca="false">Assumptions!$I$21^(MAX(0,M2116-Assumptions!$I$13)/4)</f>
        <v>0.666112087039411</v>
      </c>
      <c r="N2121" s="45" t="n">
        <f aca="false">Assumptions!$I$21^(MAX(0,N2116-Assumptions!$I$13)/4)</f>
        <v>0.639590560791104</v>
      </c>
      <c r="P2121" s="46"/>
      <c r="Q2121" s="46"/>
      <c r="R2121" s="46"/>
      <c r="S2121" s="47"/>
    </row>
    <row r="2122" customFormat="false" ht="15" hidden="false" customHeight="false" outlineLevel="0" collapsed="false">
      <c r="A2122" s="4" t="s">
        <v>482</v>
      </c>
      <c r="B2122" s="36" t="s">
        <v>478</v>
      </c>
      <c r="C2122" s="45" t="n">
        <f aca="false">Assumptions!$I$21^(MAX(0,C2116-Assumptions!$I$14)/4)</f>
        <v>1</v>
      </c>
      <c r="D2122" s="45" t="n">
        <f aca="false">Assumptions!$I$21^(MAX(0,D2116-Assumptions!$I$14)/4)</f>
        <v>1</v>
      </c>
      <c r="E2122" s="45" t="n">
        <f aca="false">Assumptions!$I$21^(MAX(0,E2116-Assumptions!$I$14)/4)</f>
        <v>1</v>
      </c>
      <c r="F2122" s="45" t="n">
        <f aca="false">Assumptions!$I$21^(MAX(0,F2116-Assumptions!$I$14)/4)</f>
        <v>1</v>
      </c>
      <c r="G2122" s="45" t="n">
        <f aca="false">Assumptions!$I$21^(MAX(0,G2116-Assumptions!$I$14)/4)</f>
        <v>0.960184589404188</v>
      </c>
      <c r="H2122" s="45" t="n">
        <f aca="false">Assumptions!$I$21^(MAX(0,H2116-Assumptions!$I$14)/4)</f>
        <v>0.921954445729289</v>
      </c>
      <c r="I2122" s="45" t="n">
        <f aca="false">Assumptions!$I$21^(MAX(0,I2116-Assumptions!$I$14)/4)</f>
        <v>0.885246450921943</v>
      </c>
      <c r="J2122" s="45" t="n">
        <f aca="false">Assumptions!$I$21^(MAX(0,J2116-Assumptions!$I$14)/4)</f>
        <v>0.85</v>
      </c>
      <c r="K2122" s="45" t="n">
        <f aca="false">Assumptions!$I$21^(MAX(0,K2116-Assumptions!$I$14)/4)</f>
        <v>0.81615690099356</v>
      </c>
      <c r="L2122" s="45" t="n">
        <f aca="false">Assumptions!$I$21^(MAX(0,L2116-Assumptions!$I$14)/4)</f>
        <v>0.783661278869895</v>
      </c>
      <c r="M2122" s="45" t="n">
        <f aca="false">Assumptions!$I$21^(MAX(0,M2116-Assumptions!$I$14)/4)</f>
        <v>0.752459483283651</v>
      </c>
      <c r="N2122" s="45" t="n">
        <f aca="false">Assumptions!$I$21^(MAX(0,N2116-Assumptions!$I$14)/4)</f>
        <v>0.7225</v>
      </c>
      <c r="P2122" s="46"/>
      <c r="Q2122" s="46"/>
      <c r="R2122" s="46"/>
      <c r="S2122" s="47"/>
    </row>
    <row r="2123" customFormat="false" ht="15" hidden="false" customHeight="false" outlineLevel="0" collapsed="false">
      <c r="A2123" s="4" t="s">
        <v>483</v>
      </c>
      <c r="B2123" s="36" t="s">
        <v>478</v>
      </c>
      <c r="C2123" s="45" t="n">
        <f aca="false">Assumptions!$I$21^(MAX(0,C2116-Assumptions!$I$15)/4)</f>
        <v>1</v>
      </c>
      <c r="D2123" s="45" t="n">
        <f aca="false">Assumptions!$I$21^(MAX(0,D2116-Assumptions!$I$15)/4)</f>
        <v>1</v>
      </c>
      <c r="E2123" s="45" t="n">
        <f aca="false">Assumptions!$I$21^(MAX(0,E2116-Assumptions!$I$15)/4)</f>
        <v>1</v>
      </c>
      <c r="F2123" s="45" t="n">
        <f aca="false">Assumptions!$I$21^(MAX(0,F2116-Assumptions!$I$15)/4)</f>
        <v>1</v>
      </c>
      <c r="G2123" s="45" t="n">
        <f aca="false">Assumptions!$I$21^(MAX(0,G2116-Assumptions!$I$15)/4)</f>
        <v>1</v>
      </c>
      <c r="H2123" s="45" t="n">
        <f aca="false">Assumptions!$I$21^(MAX(0,H2116-Assumptions!$I$15)/4)</f>
        <v>1</v>
      </c>
      <c r="I2123" s="45" t="n">
        <f aca="false">Assumptions!$I$21^(MAX(0,I2116-Assumptions!$I$15)/4)</f>
        <v>0.960184589404188</v>
      </c>
      <c r="J2123" s="45" t="n">
        <f aca="false">Assumptions!$I$21^(MAX(0,J2116-Assumptions!$I$15)/4)</f>
        <v>0.921954445729289</v>
      </c>
      <c r="K2123" s="45" t="n">
        <f aca="false">Assumptions!$I$21^(MAX(0,K2116-Assumptions!$I$15)/4)</f>
        <v>0.885246450921943</v>
      </c>
      <c r="L2123" s="45" t="n">
        <f aca="false">Assumptions!$I$21^(MAX(0,L2116-Assumptions!$I$15)/4)</f>
        <v>0.85</v>
      </c>
      <c r="M2123" s="45" t="n">
        <f aca="false">Assumptions!$I$21^(MAX(0,M2116-Assumptions!$I$15)/4)</f>
        <v>0.81615690099356</v>
      </c>
      <c r="N2123" s="45" t="n">
        <f aca="false">Assumptions!$I$21^(MAX(0,N2116-Assumptions!$I$15)/4)</f>
        <v>0.783661278869895</v>
      </c>
      <c r="P2123" s="46"/>
      <c r="Q2123" s="46"/>
      <c r="R2123" s="46"/>
      <c r="S2123" s="47"/>
    </row>
    <row r="2124" customFormat="false" ht="15" hidden="false" customHeight="false" outlineLevel="0" collapsed="false">
      <c r="A2124" s="4" t="s">
        <v>484</v>
      </c>
      <c r="B2124" s="36" t="s">
        <v>485</v>
      </c>
      <c r="C2124" s="39" t="n">
        <f aca="false">$C$2095*C2118+$C$2099*C2119+$C$2103*C2120</f>
        <v>1371.907152</v>
      </c>
      <c r="D2124" s="39" t="n">
        <f aca="false">$C$2095*D2118+$C$2099*D2119+$C$2103*D2120</f>
        <v>2743.814304</v>
      </c>
      <c r="E2124" s="39" t="n">
        <f aca="false">$C$2095*E2118+$C$2099*E2119+$C$2103*E2120</f>
        <v>2743.814304</v>
      </c>
      <c r="F2124" s="39" t="n">
        <f aca="false">$C$2095*F2118+$C$2099*F2119+$C$2103*F2120</f>
        <v>4099.55809725</v>
      </c>
      <c r="G2124" s="39" t="n">
        <f aca="false">$C$2095*G2118+$C$2099*G2119+$C$2103*G2120</f>
        <v>5455.3018905</v>
      </c>
      <c r="H2124" s="39" t="n">
        <f aca="false">$C$2095*H2118+$C$2099*H2119+$C$2103*H2120</f>
        <v>6853.51410975</v>
      </c>
      <c r="I2124" s="39" t="n">
        <f aca="false">$C$2095*I2118+$C$2099*I2119+$C$2103*I2120</f>
        <v>8251.726329</v>
      </c>
      <c r="J2124" s="39" t="n">
        <f aca="false">$C$2095*J2118+$C$2099*J2119+$C$2103*J2120</f>
        <v>8251.726329</v>
      </c>
      <c r="K2124" s="39" t="n">
        <f aca="false">$C$2095*K2118+$C$2099*K2119+$C$2103*K2120</f>
        <v>8251.726329</v>
      </c>
      <c r="L2124" s="39" t="n">
        <f aca="false">$C$2095*L2118+$C$2099*L2119+$C$2103*L2120</f>
        <v>8251.726329</v>
      </c>
      <c r="M2124" s="39" t="n">
        <f aca="false">$C$2095*M2118+$C$2099*M2119+$C$2103*M2120</f>
        <v>8251.726329</v>
      </c>
      <c r="N2124" s="39" t="n">
        <f aca="false">$C$2095*N2118+$C$2099*N2119+$C$2103*N2120</f>
        <v>8251.726329</v>
      </c>
      <c r="P2124" s="40" t="n">
        <f aca="false">F2124</f>
        <v>4099.55809725</v>
      </c>
      <c r="Q2124" s="40" t="n">
        <f aca="false">J2124</f>
        <v>8251.726329</v>
      </c>
      <c r="R2124" s="40" t="n">
        <f aca="false">N2124</f>
        <v>8251.726329</v>
      </c>
      <c r="S2124" s="41" t="n">
        <f aca="false">R2124</f>
        <v>8251.726329</v>
      </c>
    </row>
    <row r="2125" customFormat="false" ht="15" hidden="false" customHeight="false" outlineLevel="0" collapsed="false">
      <c r="A2125" s="4" t="s">
        <v>486</v>
      </c>
      <c r="B2125" s="36" t="s">
        <v>485</v>
      </c>
      <c r="C2125" s="39" t="n">
        <f aca="false">$C$2096*C2118+$C$2100*C2119+$C$2104*C2120</f>
        <v>280.265832</v>
      </c>
      <c r="D2125" s="39" t="n">
        <f aca="false">$C$2096*D2118+$C$2100*D2119+$C$2104*D2120</f>
        <v>560.531664</v>
      </c>
      <c r="E2125" s="39" t="n">
        <f aca="false">$C$2096*E2118+$C$2100*E2119+$C$2104*E2120</f>
        <v>560.531664</v>
      </c>
      <c r="F2125" s="39" t="n">
        <f aca="false">$C$2096*F2118+$C$2100*F2119+$C$2104*F2120</f>
        <v>839.7895275</v>
      </c>
      <c r="G2125" s="39" t="n">
        <f aca="false">$C$2096*G2118+$C$2100*G2119+$C$2104*G2120</f>
        <v>1119.047391</v>
      </c>
      <c r="H2125" s="39" t="n">
        <f aca="false">$C$2096*H2118+$C$2100*H2119+$C$2104*H2120</f>
        <v>1476.3474495</v>
      </c>
      <c r="I2125" s="39" t="n">
        <f aca="false">$C$2096*I2118+$C$2100*I2119+$C$2104*I2120</f>
        <v>1833.647508</v>
      </c>
      <c r="J2125" s="39" t="n">
        <f aca="false">$C$2096*J2118+$C$2100*J2119+$C$2104*J2120</f>
        <v>1833.647508</v>
      </c>
      <c r="K2125" s="39" t="n">
        <f aca="false">$C$2096*K2118+$C$2100*K2119+$C$2104*K2120</f>
        <v>1833.647508</v>
      </c>
      <c r="L2125" s="39" t="n">
        <f aca="false">$C$2096*L2118+$C$2100*L2119+$C$2104*L2120</f>
        <v>1833.647508</v>
      </c>
      <c r="M2125" s="39" t="n">
        <f aca="false">$C$2096*M2118+$C$2100*M2119+$C$2104*M2120</f>
        <v>1833.647508</v>
      </c>
      <c r="N2125" s="39" t="n">
        <f aca="false">$C$2096*N2118+$C$2100*N2119+$C$2104*N2120</f>
        <v>1833.647508</v>
      </c>
      <c r="P2125" s="40" t="n">
        <f aca="false">F2125</f>
        <v>839.7895275</v>
      </c>
      <c r="Q2125" s="40" t="n">
        <f aca="false">J2125</f>
        <v>1833.647508</v>
      </c>
      <c r="R2125" s="40" t="n">
        <f aca="false">N2125</f>
        <v>1833.647508</v>
      </c>
      <c r="S2125" s="41" t="n">
        <f aca="false">R2125</f>
        <v>1833.647508</v>
      </c>
    </row>
    <row r="2126" customFormat="false" ht="15" hidden="false" customHeight="false" outlineLevel="0" collapsed="false">
      <c r="A2126" s="4" t="s">
        <v>487</v>
      </c>
      <c r="B2126" s="36" t="s">
        <v>485</v>
      </c>
      <c r="C2126" s="39" t="n">
        <f aca="false">$C$2097*C2118+$C$2101*C2119+$C$2105*C2120</f>
        <v>65.170413</v>
      </c>
      <c r="D2126" s="39" t="n">
        <f aca="false">$C$2097*D2118+$C$2101*D2119+$C$2105*D2120</f>
        <v>130.340826</v>
      </c>
      <c r="E2126" s="39" t="n">
        <f aca="false">$C$2097*E2118+$C$2101*E2119+$C$2105*E2120</f>
        <v>130.340826</v>
      </c>
      <c r="F2126" s="39" t="n">
        <f aca="false">$C$2097*F2118+$C$2101*F2119+$C$2105*F2120</f>
        <v>187.428087</v>
      </c>
      <c r="G2126" s="39" t="n">
        <f aca="false">$C$2097*G2118+$C$2101*G2119+$C$2105*G2120</f>
        <v>244.515348</v>
      </c>
      <c r="H2126" s="39" t="n">
        <f aca="false">$C$2097*H2118+$C$2101*H2119+$C$2105*H2120</f>
        <v>319.789701</v>
      </c>
      <c r="I2126" s="39" t="n">
        <f aca="false">$C$2097*I2118+$C$2101*I2119+$C$2105*I2120</f>
        <v>395.064054</v>
      </c>
      <c r="J2126" s="39" t="n">
        <f aca="false">$C$2097*J2118+$C$2101*J2119+$C$2105*J2120</f>
        <v>395.064054</v>
      </c>
      <c r="K2126" s="39" t="n">
        <f aca="false">$C$2097*K2118+$C$2101*K2119+$C$2105*K2120</f>
        <v>395.064054</v>
      </c>
      <c r="L2126" s="39" t="n">
        <f aca="false">$C$2097*L2118+$C$2101*L2119+$C$2105*L2120</f>
        <v>395.064054</v>
      </c>
      <c r="M2126" s="39" t="n">
        <f aca="false">$C$2097*M2118+$C$2101*M2119+$C$2105*M2120</f>
        <v>395.064054</v>
      </c>
      <c r="N2126" s="39" t="n">
        <f aca="false">$C$2097*N2118+$C$2101*N2119+$C$2105*N2120</f>
        <v>395.064054</v>
      </c>
      <c r="P2126" s="40" t="n">
        <f aca="false">F2126</f>
        <v>187.428087</v>
      </c>
      <c r="Q2126" s="40" t="n">
        <f aca="false">J2126</f>
        <v>395.064054</v>
      </c>
      <c r="R2126" s="40" t="n">
        <f aca="false">N2126</f>
        <v>395.064054</v>
      </c>
      <c r="S2126" s="41" t="n">
        <f aca="false">R2126</f>
        <v>395.064054</v>
      </c>
    </row>
    <row r="2127" customFormat="false" ht="15" hidden="false" customHeight="false" outlineLevel="0" collapsed="false">
      <c r="A2127" s="4" t="s">
        <v>488</v>
      </c>
      <c r="B2127" s="36" t="s">
        <v>485</v>
      </c>
      <c r="C2127" s="39" t="n">
        <f aca="false">C2124+C2125+C2126</f>
        <v>1717.343397</v>
      </c>
      <c r="D2127" s="39" t="n">
        <f aca="false">D2124+D2125+D2126</f>
        <v>3434.686794</v>
      </c>
      <c r="E2127" s="39" t="n">
        <f aca="false">E2124+E2125+E2126</f>
        <v>3434.686794</v>
      </c>
      <c r="F2127" s="39" t="n">
        <f aca="false">F2124+F2125+F2126</f>
        <v>5126.77571175</v>
      </c>
      <c r="G2127" s="39" t="n">
        <f aca="false">G2124+G2125+G2126</f>
        <v>6818.8646295</v>
      </c>
      <c r="H2127" s="39" t="n">
        <f aca="false">H2124+H2125+H2126</f>
        <v>8649.65126025</v>
      </c>
      <c r="I2127" s="39" t="n">
        <f aca="false">I2124+I2125+I2126</f>
        <v>10480.437891</v>
      </c>
      <c r="J2127" s="39" t="n">
        <f aca="false">J2124+J2125+J2126</f>
        <v>10480.437891</v>
      </c>
      <c r="K2127" s="39" t="n">
        <f aca="false">K2124+K2125+K2126</f>
        <v>10480.437891</v>
      </c>
      <c r="L2127" s="39" t="n">
        <f aca="false">L2124+L2125+L2126</f>
        <v>10480.437891</v>
      </c>
      <c r="M2127" s="39" t="n">
        <f aca="false">M2124+M2125+M2126</f>
        <v>10480.437891</v>
      </c>
      <c r="N2127" s="39" t="n">
        <f aca="false">N2124+N2125+N2126</f>
        <v>10480.437891</v>
      </c>
      <c r="P2127" s="40" t="n">
        <f aca="false">F2127</f>
        <v>5126.77571175</v>
      </c>
      <c r="Q2127" s="40" t="n">
        <f aca="false">J2127</f>
        <v>10480.437891</v>
      </c>
      <c r="R2127" s="40" t="n">
        <f aca="false">N2127</f>
        <v>10480.437891</v>
      </c>
      <c r="S2127" s="41" t="n">
        <f aca="false">R2127</f>
        <v>10480.437891</v>
      </c>
    </row>
    <row r="2128" customFormat="false" ht="15" hidden="false" customHeight="false" outlineLevel="0" collapsed="false">
      <c r="A2128" s="4" t="s">
        <v>489</v>
      </c>
      <c r="B2128" s="36" t="s">
        <v>485</v>
      </c>
      <c r="C2128" s="39" t="n">
        <f aca="false">$C$2098*C2118*C2121+$C$2102*C2119*C2122+$C$2106*C2120*C2123</f>
        <v>1717.343397</v>
      </c>
      <c r="D2128" s="39" t="n">
        <f aca="false">$C$2098*D2118*D2121+$C$2102*D2119*D2122+$C$2106*D2120*D2123</f>
        <v>3297.93332902888</v>
      </c>
      <c r="E2128" s="39" t="n">
        <f aca="false">$C$2098*E2118*E2121+$C$2102*E2119*E2122+$C$2106*E2120*E2123</f>
        <v>3166.62475941598</v>
      </c>
      <c r="F2128" s="39" t="n">
        <f aca="false">$C$2098*F2118*F2121+$C$2102*F2119*F2122+$C$2106*F2120*F2123</f>
        <v>4732.63321216697</v>
      </c>
      <c r="G2128" s="39" t="n">
        <f aca="false">$C$2098*G2118*G2121+$C$2102*G2119*G2122+$C$2106*G2120*G2123</f>
        <v>6168.91918035032</v>
      </c>
      <c r="H2128" s="39" t="n">
        <f aca="false">$C$2098*H2118*H2121+$C$2102*H2119*H2122+$C$2106*H2120*H2123</f>
        <v>7754.08776100229</v>
      </c>
      <c r="I2128" s="39" t="n">
        <f aca="false">$C$2098*I2118*I2121+$C$2102*I2119*I2122+$C$2106*I2120*I2123</f>
        <v>9203.24868233539</v>
      </c>
      <c r="J2128" s="39" t="n">
        <f aca="false">$C$2098*J2118*J2121+$C$2102*J2119*J2122+$C$2106*J2120*J2123</f>
        <v>8836.81755723284</v>
      </c>
      <c r="K2128" s="39" t="n">
        <f aca="false">$C$2098*K2118*K2121+$C$2102*K2119*K2122+$C$2106*K2120*K2123</f>
        <v>8484.97603783133</v>
      </c>
      <c r="L2128" s="39" t="n">
        <f aca="false">$C$2098*L2118*L2121+$C$2102*L2119*L2122+$C$2106*L2120*L2123</f>
        <v>8147.14323298945</v>
      </c>
      <c r="M2128" s="39" t="n">
        <f aca="false">$C$2098*M2118*M2121+$C$2102*M2119*M2122+$C$2106*M2120*M2123</f>
        <v>7822.76137998508</v>
      </c>
      <c r="N2128" s="39" t="n">
        <f aca="false">$C$2098*N2118*N2121+$C$2102*N2119*N2122+$C$2106*N2120*N2123</f>
        <v>7511.29492364791</v>
      </c>
      <c r="P2128" s="40"/>
      <c r="Q2128" s="40"/>
      <c r="R2128" s="40"/>
      <c r="S2128" s="41"/>
    </row>
    <row r="2129" customFormat="false" ht="15" hidden="false" customHeight="false" outlineLevel="0" collapsed="false">
      <c r="A2129" s="4" t="s">
        <v>490</v>
      </c>
      <c r="B2129" s="36" t="s">
        <v>491</v>
      </c>
      <c r="C2129" s="48" t="n">
        <f aca="false">$C$2110*Assumptions!$I$20*C2117*C2128</f>
        <v>30.0535094475</v>
      </c>
      <c r="D2129" s="48" t="n">
        <f aca="false">$C$2110*Assumptions!$I$20*D2117*D2128</f>
        <v>57.7138332580053</v>
      </c>
      <c r="E2129" s="48" t="n">
        <f aca="false">$C$2110*Assumptions!$I$20*E2117*E2128</f>
        <v>55.4159332897796</v>
      </c>
      <c r="F2129" s="48" t="n">
        <f aca="false">$C$2110*Assumptions!$I$20*F2117*F2128</f>
        <v>82.8210812129219</v>
      </c>
      <c r="G2129" s="48" t="n">
        <f aca="false">$C$2110*Assumptions!$I$20*G2117*G2128</f>
        <v>107.956085656131</v>
      </c>
      <c r="H2129" s="48" t="n">
        <f aca="false">$C$2110*Assumptions!$I$20*H2117*H2128</f>
        <v>135.69653581754</v>
      </c>
      <c r="I2129" s="48" t="n">
        <f aca="false">$C$2110*Assumptions!$I$20*I2117*I2128</f>
        <v>161.056851940869</v>
      </c>
      <c r="J2129" s="48" t="n">
        <f aca="false">$C$2110*Assumptions!$I$20*J2117*J2128</f>
        <v>154.644307251575</v>
      </c>
      <c r="K2129" s="48" t="n">
        <f aca="false">$C$2110*Assumptions!$I$20*K2117*K2128</f>
        <v>148.487080662048</v>
      </c>
      <c r="L2129" s="48" t="n">
        <f aca="false">$C$2110*Assumptions!$I$20*L2117*L2128</f>
        <v>142.575006577315</v>
      </c>
      <c r="M2129" s="48" t="n">
        <f aca="false">$C$2110*Assumptions!$I$20*M2117*M2128</f>
        <v>136.898324149739</v>
      </c>
      <c r="N2129" s="48" t="n">
        <f aca="false">$C$2110*Assumptions!$I$20*N2117*N2128</f>
        <v>131.447661163838</v>
      </c>
      <c r="P2129" s="49" t="n">
        <f aca="false">SUM(C2129:F2129)</f>
        <v>226.004357208207</v>
      </c>
      <c r="Q2129" s="49" t="n">
        <f aca="false">SUM(G2129:J2129)</f>
        <v>559.353780666115</v>
      </c>
      <c r="R2129" s="49" t="n">
        <f aca="false">SUM(K2129:N2129)</f>
        <v>559.408072552941</v>
      </c>
      <c r="S2129" s="50" t="n">
        <f aca="false">SUM(P2129:R2129)</f>
        <v>1344.76621042726</v>
      </c>
    </row>
    <row r="2130" customFormat="false" ht="15" hidden="false" customHeight="false" outlineLevel="0" collapsed="false">
      <c r="A2130" s="4" t="s">
        <v>492</v>
      </c>
      <c r="B2130" s="36" t="s">
        <v>321</v>
      </c>
      <c r="C2130" s="48" t="n">
        <f aca="false">Assumptions!$D$114</f>
        <v>0</v>
      </c>
      <c r="D2130" s="48" t="n">
        <f aca="false">Assumptions!$E$114</f>
        <v>0</v>
      </c>
      <c r="E2130" s="48" t="n">
        <f aca="false">Assumptions!$F$114</f>
        <v>0</v>
      </c>
      <c r="F2130" s="48" t="n">
        <f aca="false">Assumptions!$G$114</f>
        <v>0</v>
      </c>
      <c r="G2130" s="48" t="n">
        <f aca="false">Assumptions!$H$114</f>
        <v>1</v>
      </c>
      <c r="H2130" s="48" t="n">
        <f aca="false">Assumptions!$I$114</f>
        <v>2</v>
      </c>
      <c r="I2130" s="48" t="n">
        <f aca="false">Assumptions!$J$114</f>
        <v>2</v>
      </c>
      <c r="J2130" s="48" t="n">
        <f aca="false">Assumptions!$K$114</f>
        <v>2</v>
      </c>
      <c r="K2130" s="48" t="n">
        <f aca="false">Assumptions!$L$114</f>
        <v>2</v>
      </c>
      <c r="L2130" s="48" t="n">
        <f aca="false">Assumptions!$M$114</f>
        <v>2</v>
      </c>
      <c r="M2130" s="48" t="n">
        <f aca="false">Assumptions!$N$114</f>
        <v>2</v>
      </c>
      <c r="N2130" s="48" t="n">
        <f aca="false">Assumptions!$O$114</f>
        <v>2</v>
      </c>
      <c r="P2130" s="49" t="n">
        <f aca="false">F2130</f>
        <v>0</v>
      </c>
      <c r="Q2130" s="49" t="n">
        <f aca="false">J2130</f>
        <v>2</v>
      </c>
      <c r="R2130" s="49" t="n">
        <f aca="false">N2130</f>
        <v>2</v>
      </c>
      <c r="S2130" s="50" t="n">
        <f aca="false">R2130</f>
        <v>2</v>
      </c>
    </row>
    <row r="2131" customFormat="false" ht="15" hidden="false" customHeight="false" outlineLevel="0" collapsed="false">
      <c r="A2131" s="4" t="s">
        <v>493</v>
      </c>
      <c r="B2131" s="36" t="s">
        <v>321</v>
      </c>
      <c r="C2131" s="48" t="n">
        <f aca="false">0</f>
        <v>0</v>
      </c>
      <c r="D2131" s="48" t="n">
        <f aca="false">0.5*C2130</f>
        <v>0</v>
      </c>
      <c r="E2131" s="48" t="n">
        <f aca="false">C2130+0.5*(D2130-C2130)</f>
        <v>0</v>
      </c>
      <c r="F2131" s="48" t="n">
        <f aca="false">D2130+0.5*(E2130-D2130)</f>
        <v>0</v>
      </c>
      <c r="G2131" s="48" t="n">
        <f aca="false">E2130+0.5*(F2130-E2130)</f>
        <v>0</v>
      </c>
      <c r="H2131" s="48" t="n">
        <f aca="false">F2130+0.5*(G2130-F2130)</f>
        <v>0.5</v>
      </c>
      <c r="I2131" s="48" t="n">
        <f aca="false">G2130+0.5*(H2130-G2130)</f>
        <v>1.5</v>
      </c>
      <c r="J2131" s="48" t="n">
        <f aca="false">H2130+0.5*(I2130-H2130)</f>
        <v>2</v>
      </c>
      <c r="K2131" s="48" t="n">
        <f aca="false">I2130+0.5*(J2130-I2130)</f>
        <v>2</v>
      </c>
      <c r="L2131" s="48" t="n">
        <f aca="false">J2130+0.5*(K2130-J2130)</f>
        <v>2</v>
      </c>
      <c r="M2131" s="48" t="n">
        <f aca="false">K2130+0.5*(L2130-K2130)</f>
        <v>2</v>
      </c>
      <c r="N2131" s="48" t="n">
        <f aca="false">L2130+0.5*(M2130-L2130)</f>
        <v>2</v>
      </c>
      <c r="P2131" s="49" t="n">
        <f aca="false">F2131</f>
        <v>0</v>
      </c>
      <c r="Q2131" s="49" t="n">
        <f aca="false">J2131</f>
        <v>2</v>
      </c>
      <c r="R2131" s="49" t="n">
        <f aca="false">N2131</f>
        <v>2</v>
      </c>
      <c r="S2131" s="50" t="n">
        <f aca="false">R2131</f>
        <v>2</v>
      </c>
    </row>
    <row r="2132" customFormat="false" ht="15" hidden="false" customHeight="false" outlineLevel="0" collapsed="false">
      <c r="A2132" s="4" t="s">
        <v>494</v>
      </c>
      <c r="B2132" s="36" t="s">
        <v>485</v>
      </c>
      <c r="C2132" s="39" t="n">
        <f aca="false">MIN(C2131*Assumptions!$I$38,C2127*(1-$C$2110))</f>
        <v>0</v>
      </c>
      <c r="D2132" s="39" t="n">
        <f aca="false">MIN(D2131*Assumptions!$I$38,D2127*(1-$C$2110))</f>
        <v>0</v>
      </c>
      <c r="E2132" s="39" t="n">
        <f aca="false">MIN(E2131*Assumptions!$I$38,E2127*(1-$C$2110))</f>
        <v>0</v>
      </c>
      <c r="F2132" s="39" t="n">
        <f aca="false">MIN(F2131*Assumptions!$I$38,F2127*(1-$C$2110))</f>
        <v>0</v>
      </c>
      <c r="G2132" s="39" t="n">
        <f aca="false">MIN(G2131*Assumptions!$I$38,G2127*(1-$C$2110))</f>
        <v>0</v>
      </c>
      <c r="H2132" s="39" t="n">
        <f aca="false">MIN(H2131*Assumptions!$I$38,H2127*(1-$C$2110))</f>
        <v>100</v>
      </c>
      <c r="I2132" s="39" t="n">
        <f aca="false">MIN(I2131*Assumptions!$I$38,I2127*(1-$C$2110))</f>
        <v>300</v>
      </c>
      <c r="J2132" s="39" t="n">
        <f aca="false">MIN(J2131*Assumptions!$I$38,J2127*(1-$C$2110))</f>
        <v>400</v>
      </c>
      <c r="K2132" s="39" t="n">
        <f aca="false">MIN(K2131*Assumptions!$I$38,K2127*(1-$C$2110))</f>
        <v>400</v>
      </c>
      <c r="L2132" s="39" t="n">
        <f aca="false">MIN(L2131*Assumptions!$I$38,L2127*(1-$C$2110))</f>
        <v>400</v>
      </c>
      <c r="M2132" s="39" t="n">
        <f aca="false">MIN(M2131*Assumptions!$I$38,M2127*(1-$C$2110))</f>
        <v>400</v>
      </c>
      <c r="N2132" s="39" t="n">
        <f aca="false">MIN(N2131*Assumptions!$I$38,N2127*(1-$C$2110))</f>
        <v>400</v>
      </c>
      <c r="P2132" s="40" t="n">
        <f aca="false">SUM(C2132:F2132)</f>
        <v>0</v>
      </c>
      <c r="Q2132" s="40" t="n">
        <f aca="false">SUM(G2132:J2132)</f>
        <v>800</v>
      </c>
      <c r="R2132" s="40" t="n">
        <f aca="false">SUM(K2132:N2132)</f>
        <v>1600</v>
      </c>
      <c r="S2132" s="41" t="n">
        <f aca="false">SUM(P2132:R2132)</f>
        <v>2400</v>
      </c>
    </row>
    <row r="2133" customFormat="false" ht="15" hidden="false" customHeight="false" outlineLevel="0" collapsed="false">
      <c r="A2133" s="4" t="s">
        <v>495</v>
      </c>
      <c r="B2133" s="36" t="s">
        <v>491</v>
      </c>
      <c r="C2133" s="48" t="n">
        <f aca="false">C2132*Assumptions!$I$20*Assumptions!$I$39*IF(C2127&gt;0,C2128/C2127,0)*C2117</f>
        <v>0</v>
      </c>
      <c r="D2133" s="48" t="n">
        <f aca="false">D2132*Assumptions!$I$20*Assumptions!$I$39*IF(D2127&gt;0,D2128/D2127,0)*D2117</f>
        <v>0</v>
      </c>
      <c r="E2133" s="48" t="n">
        <f aca="false">E2132*Assumptions!$I$20*Assumptions!$I$39*IF(E2127&gt;0,E2128/E2127,0)*E2117</f>
        <v>0</v>
      </c>
      <c r="F2133" s="48" t="n">
        <f aca="false">F2132*Assumptions!$I$20*Assumptions!$I$39*IF(F2127&gt;0,F2128/F2127,0)*F2117</f>
        <v>0</v>
      </c>
      <c r="G2133" s="48" t="n">
        <f aca="false">G2132*Assumptions!$I$20*Assumptions!$I$39*IF(G2127&gt;0,G2128/G2127,0)*G2117</f>
        <v>0</v>
      </c>
      <c r="H2133" s="48" t="n">
        <f aca="false">H2132*Assumptions!$I$20*Assumptions!$I$39*IF(H2127&gt;0,H2128/H2127,0)*H2117</f>
        <v>5.49083264829412</v>
      </c>
      <c r="I2133" s="48" t="n">
        <f aca="false">I2132*Assumptions!$I$20*Assumptions!$I$39*IF(I2127&gt;0,I2128/I2127,0)*I2117</f>
        <v>16.1357470266709</v>
      </c>
      <c r="J2133" s="48" t="n">
        <f aca="false">J2132*Assumptions!$I$20*Assumptions!$I$39*IF(J2127&gt;0,J2128/J2127,0)*J2117</f>
        <v>20.6577275113785</v>
      </c>
      <c r="K2133" s="48" t="n">
        <f aca="false">K2132*Assumptions!$I$20*Assumptions!$I$39*IF(K2127&gt;0,K2128/K2127,0)*K2117</f>
        <v>19.8352316085366</v>
      </c>
      <c r="L2133" s="48" t="n">
        <f aca="false">L2132*Assumptions!$I$20*Assumptions!$I$39*IF(L2127&gt;0,L2128/L2127,0)*L2117</f>
        <v>19.0454837177797</v>
      </c>
      <c r="M2133" s="48" t="n">
        <f aca="false">M2132*Assumptions!$I$20*Assumptions!$I$39*IF(M2127&gt;0,M2128/M2127,0)*M2117</f>
        <v>18.2871799635604</v>
      </c>
      <c r="N2133" s="48" t="n">
        <f aca="false">N2132*Assumptions!$I$20*Assumptions!$I$39*IF(N2127&gt;0,N2128/N2127,0)*N2117</f>
        <v>17.5590683846717</v>
      </c>
      <c r="P2133" s="49" t="n">
        <f aca="false">SUM(C2133:F2133)</f>
        <v>0</v>
      </c>
      <c r="Q2133" s="49" t="n">
        <f aca="false">SUM(G2133:J2133)</f>
        <v>42.2843071863436</v>
      </c>
      <c r="R2133" s="49" t="n">
        <f aca="false">SUM(K2133:N2133)</f>
        <v>74.7269636745484</v>
      </c>
      <c r="S2133" s="50" t="n">
        <f aca="false">SUM(P2133:R2133)</f>
        <v>117.011270860892</v>
      </c>
    </row>
    <row r="2134" customFormat="false" ht="15" hidden="false" customHeight="false" outlineLevel="0" collapsed="false">
      <c r="A2134" s="4" t="s">
        <v>496</v>
      </c>
      <c r="B2134" s="36" t="s">
        <v>497</v>
      </c>
      <c r="C2134" s="48" t="n">
        <f aca="false">IF(AND(C2127&gt;0,$C$2114&gt;0),C2127*Assumptions!$I$24*(1-EXP(-$C$2114/(Assumptions!$I$23*C2127*Assumptions!$I$24))),0)</f>
        <v>0</v>
      </c>
      <c r="D2134" s="48" t="n">
        <f aca="false">IF(AND(D2127&gt;0,$C$2114&gt;0),D2127*Assumptions!$I$24*(1-EXP(-$C$2114/(Assumptions!$I$23*D2127*Assumptions!$I$24))),0)</f>
        <v>0</v>
      </c>
      <c r="E2134" s="48" t="n">
        <f aca="false">IF(AND(E2127&gt;0,$C$2114&gt;0),E2127*Assumptions!$I$24*(1-EXP(-$C$2114/(Assumptions!$I$23*E2127*Assumptions!$I$24))),0)</f>
        <v>0</v>
      </c>
      <c r="F2134" s="48" t="n">
        <f aca="false">IF(AND(F2127&gt;0,$C$2114&gt;0),F2127*Assumptions!$I$24*(1-EXP(-$C$2114/(Assumptions!$I$23*F2127*Assumptions!$I$24))),0)</f>
        <v>0</v>
      </c>
      <c r="G2134" s="48" t="n">
        <f aca="false">IF(AND(G2127&gt;0,$C$2114&gt;0),G2127*Assumptions!$I$24*(1-EXP(-$C$2114/(Assumptions!$I$23*G2127*Assumptions!$I$24))),0)</f>
        <v>0</v>
      </c>
      <c r="H2134" s="48" t="n">
        <f aca="false">IF(AND(H2127&gt;0,$C$2114&gt;0),H2127*Assumptions!$I$24*(1-EXP(-$C$2114/(Assumptions!$I$23*H2127*Assumptions!$I$24))),0)</f>
        <v>0</v>
      </c>
      <c r="I2134" s="48" t="n">
        <f aca="false">IF(AND(I2127&gt;0,$C$2114&gt;0),I2127*Assumptions!$I$24*(1-EXP(-$C$2114/(Assumptions!$I$23*I2127*Assumptions!$I$24))),0)</f>
        <v>0</v>
      </c>
      <c r="J2134" s="48" t="n">
        <f aca="false">IF(AND(J2127&gt;0,$C$2114&gt;0),J2127*Assumptions!$I$24*(1-EXP(-$C$2114/(Assumptions!$I$23*J2127*Assumptions!$I$24))),0)</f>
        <v>0</v>
      </c>
      <c r="K2134" s="48" t="n">
        <f aca="false">IF(AND(K2127&gt;0,$C$2114&gt;0),K2127*Assumptions!$I$24*(1-EXP(-$C$2114/(Assumptions!$I$23*K2127*Assumptions!$I$24))),0)</f>
        <v>0</v>
      </c>
      <c r="L2134" s="48" t="n">
        <f aca="false">IF(AND(L2127&gt;0,$C$2114&gt;0),L2127*Assumptions!$I$24*(1-EXP(-$C$2114/(Assumptions!$I$23*L2127*Assumptions!$I$24))),0)</f>
        <v>0</v>
      </c>
      <c r="M2134" s="48" t="n">
        <f aca="false">IF(AND(M2127&gt;0,$C$2114&gt;0),M2127*Assumptions!$I$24*(1-EXP(-$C$2114/(Assumptions!$I$23*M2127*Assumptions!$I$24))),0)</f>
        <v>0</v>
      </c>
      <c r="N2134" s="48" t="n">
        <f aca="false">IF(AND(N2127&gt;0,$C$2114&gt;0),N2127*Assumptions!$I$24*(1-EXP(-$C$2114/(Assumptions!$I$23*N2127*Assumptions!$I$24))),0)</f>
        <v>0</v>
      </c>
      <c r="P2134" s="49" t="n">
        <f aca="false">SUM(C2134:F2134)</f>
        <v>0</v>
      </c>
      <c r="Q2134" s="49" t="n">
        <f aca="false">SUM(G2134:J2134)</f>
        <v>0</v>
      </c>
      <c r="R2134" s="49" t="n">
        <f aca="false">SUM(K2134:N2134)</f>
        <v>0</v>
      </c>
      <c r="S2134" s="50" t="n">
        <f aca="false">SUM(P2134:R2134)</f>
        <v>0</v>
      </c>
    </row>
    <row r="2135" customFormat="false" ht="15" hidden="false" customHeight="false" outlineLevel="0" collapsed="false">
      <c r="A2135" s="4" t="s">
        <v>498</v>
      </c>
      <c r="B2135" s="36" t="s">
        <v>497</v>
      </c>
      <c r="C2135" s="48" t="n">
        <f aca="false">(C2127*Assumptions!$I$22*MIN(1,Assumptions!$D$103/Assumptions!$I$78)+C2134)*C2117</f>
        <v>34.34686794</v>
      </c>
      <c r="D2135" s="48" t="n">
        <f aca="false">(D2127*Assumptions!$I$22*MIN(1,Assumptions!$D$103/Assumptions!$I$78)+D2134)*D2117</f>
        <v>68.69373588</v>
      </c>
      <c r="E2135" s="48" t="n">
        <f aca="false">(E2127*Assumptions!$I$22*MIN(1,Assumptions!$D$103/Assumptions!$I$78)+E2134)*E2117</f>
        <v>68.69373588</v>
      </c>
      <c r="F2135" s="48" t="n">
        <f aca="false">(F2127*Assumptions!$I$22*MIN(1,Assumptions!$D$103/Assumptions!$I$78)+F2134)*F2117</f>
        <v>102.535514235</v>
      </c>
      <c r="G2135" s="48" t="n">
        <f aca="false">(G2127*Assumptions!$I$22*MIN(1,Assumptions!$D$103/Assumptions!$I$78)+G2134)*G2117</f>
        <v>136.37729259</v>
      </c>
      <c r="H2135" s="48" t="n">
        <f aca="false">(H2127*Assumptions!$I$22*MIN(1,Assumptions!$D$103/Assumptions!$I$78)+H2134)*H2117</f>
        <v>172.993025205</v>
      </c>
      <c r="I2135" s="48" t="n">
        <f aca="false">(I2127*Assumptions!$I$22*MIN(1,Assumptions!$D$103/Assumptions!$I$78)+I2134)*I2117</f>
        <v>209.60875782</v>
      </c>
      <c r="J2135" s="48" t="n">
        <f aca="false">(J2127*Assumptions!$I$22*MIN(1,Assumptions!$D$103/Assumptions!$I$78)+J2134)*J2117</f>
        <v>209.60875782</v>
      </c>
      <c r="K2135" s="48" t="n">
        <f aca="false">(K2127*Assumptions!$I$22*MIN(1,Assumptions!$D$103/Assumptions!$I$78)+K2134)*K2117</f>
        <v>209.60875782</v>
      </c>
      <c r="L2135" s="48" t="n">
        <f aca="false">(L2127*Assumptions!$I$22*MIN(1,Assumptions!$D$103/Assumptions!$I$78)+L2134)*L2117</f>
        <v>209.60875782</v>
      </c>
      <c r="M2135" s="48" t="n">
        <f aca="false">(M2127*Assumptions!$I$22*MIN(1,Assumptions!$D$103/Assumptions!$I$78)+M2134)*M2117</f>
        <v>209.60875782</v>
      </c>
      <c r="N2135" s="48" t="n">
        <f aca="false">(N2127*Assumptions!$I$22*MIN(1,Assumptions!$D$103/Assumptions!$I$78)+N2134)*N2117</f>
        <v>209.60875782</v>
      </c>
      <c r="P2135" s="49" t="n">
        <f aca="false">SUM(C2135:F2135)</f>
        <v>274.269853935</v>
      </c>
      <c r="Q2135" s="49" t="n">
        <f aca="false">SUM(G2135:J2135)</f>
        <v>728.587833435</v>
      </c>
      <c r="R2135" s="49" t="n">
        <f aca="false">SUM(K2135:N2135)</f>
        <v>838.43503128</v>
      </c>
      <c r="S2135" s="50" t="n">
        <f aca="false">SUM(P2135:R2135)</f>
        <v>1841.29271865</v>
      </c>
    </row>
    <row r="2136" customFormat="false" ht="15" hidden="false" customHeight="false" outlineLevel="0" collapsed="false">
      <c r="A2136" s="4" t="s">
        <v>499</v>
      </c>
      <c r="B2136" s="36" t="s">
        <v>500</v>
      </c>
      <c r="C2136" s="48" t="n">
        <f aca="false">C2117*MIN(Assumptions!$I$27,Assumptions!$I$25+Assumptions!$I$26*(C2116-1))*Assumptions!$D$107</f>
        <v>4</v>
      </c>
      <c r="D2136" s="48" t="n">
        <f aca="false">D2117*MIN(Assumptions!$I$27,Assumptions!$I$25+Assumptions!$I$26*(D2116-1))*Assumptions!$D$107</f>
        <v>6</v>
      </c>
      <c r="E2136" s="48" t="n">
        <f aca="false">E2117*MIN(Assumptions!$I$27,Assumptions!$I$25+Assumptions!$I$26*(E2116-1))*Assumptions!$D$107</f>
        <v>8</v>
      </c>
      <c r="F2136" s="48" t="n">
        <f aca="false">F2117*MIN(Assumptions!$I$27,Assumptions!$I$25+Assumptions!$I$26*(F2116-1))*Assumptions!$D$107</f>
        <v>10</v>
      </c>
      <c r="G2136" s="48" t="n">
        <f aca="false">G2117*MIN(Assumptions!$I$27,Assumptions!$I$25+Assumptions!$I$26*(G2116-1))*Assumptions!$D$107</f>
        <v>12</v>
      </c>
      <c r="H2136" s="48" t="n">
        <f aca="false">H2117*MIN(Assumptions!$I$27,Assumptions!$I$25+Assumptions!$I$26*(H2116-1))*Assumptions!$D$107</f>
        <v>14</v>
      </c>
      <c r="I2136" s="48" t="n">
        <f aca="false">I2117*MIN(Assumptions!$I$27,Assumptions!$I$25+Assumptions!$I$26*(I2116-1))*Assumptions!$D$107</f>
        <v>14</v>
      </c>
      <c r="J2136" s="48" t="n">
        <f aca="false">J2117*MIN(Assumptions!$I$27,Assumptions!$I$25+Assumptions!$I$26*(J2116-1))*Assumptions!$D$107</f>
        <v>14</v>
      </c>
      <c r="K2136" s="48" t="n">
        <f aca="false">K2117*MIN(Assumptions!$I$27,Assumptions!$I$25+Assumptions!$I$26*(K2116-1))*Assumptions!$D$107</f>
        <v>14</v>
      </c>
      <c r="L2136" s="48" t="n">
        <f aca="false">L2117*MIN(Assumptions!$I$27,Assumptions!$I$25+Assumptions!$I$26*(L2116-1))*Assumptions!$D$107</f>
        <v>14</v>
      </c>
      <c r="M2136" s="48" t="n">
        <f aca="false">M2117*MIN(Assumptions!$I$27,Assumptions!$I$25+Assumptions!$I$26*(M2116-1))*Assumptions!$D$107</f>
        <v>14</v>
      </c>
      <c r="N2136" s="48" t="n">
        <f aca="false">N2117*MIN(Assumptions!$I$27,Assumptions!$I$25+Assumptions!$I$26*(N2116-1))*Assumptions!$D$107</f>
        <v>14</v>
      </c>
      <c r="P2136" s="49" t="n">
        <f aca="false">F2136</f>
        <v>10</v>
      </c>
      <c r="Q2136" s="49" t="n">
        <f aca="false">J2136</f>
        <v>14</v>
      </c>
      <c r="R2136" s="49" t="n">
        <f aca="false">N2136</f>
        <v>14</v>
      </c>
      <c r="S2136" s="50" t="n">
        <f aca="false">R2136</f>
        <v>14</v>
      </c>
    </row>
    <row r="2137" customFormat="false" ht="15" hidden="false" customHeight="false" outlineLevel="0" collapsed="false">
      <c r="A2137" s="4" t="s">
        <v>501</v>
      </c>
      <c r="B2137" s="36" t="s">
        <v>502</v>
      </c>
      <c r="C2137" s="48" t="n">
        <f aca="false">C2136*Assumptions!$I$28</f>
        <v>16</v>
      </c>
      <c r="D2137" s="48" t="n">
        <f aca="false">D2136*Assumptions!$I$28</f>
        <v>24</v>
      </c>
      <c r="E2137" s="48" t="n">
        <f aca="false">E2136*Assumptions!$I$28</f>
        <v>32</v>
      </c>
      <c r="F2137" s="48" t="n">
        <f aca="false">F2136*Assumptions!$I$28</f>
        <v>40</v>
      </c>
      <c r="G2137" s="48" t="n">
        <f aca="false">G2136*Assumptions!$I$28</f>
        <v>48</v>
      </c>
      <c r="H2137" s="48" t="n">
        <f aca="false">H2136*Assumptions!$I$28</f>
        <v>56</v>
      </c>
      <c r="I2137" s="48" t="n">
        <f aca="false">I2136*Assumptions!$I$28</f>
        <v>56</v>
      </c>
      <c r="J2137" s="48" t="n">
        <f aca="false">J2136*Assumptions!$I$28</f>
        <v>56</v>
      </c>
      <c r="K2137" s="48" t="n">
        <f aca="false">K2136*Assumptions!$I$28</f>
        <v>56</v>
      </c>
      <c r="L2137" s="48" t="n">
        <f aca="false">L2136*Assumptions!$I$28</f>
        <v>56</v>
      </c>
      <c r="M2137" s="48" t="n">
        <f aca="false">M2136*Assumptions!$I$28</f>
        <v>56</v>
      </c>
      <c r="N2137" s="48" t="n">
        <f aca="false">N2136*Assumptions!$I$28</f>
        <v>56</v>
      </c>
      <c r="P2137" s="49" t="n">
        <f aca="false">SUM(C2137:F2137)</f>
        <v>112</v>
      </c>
      <c r="Q2137" s="49" t="n">
        <f aca="false">SUM(G2137:J2137)</f>
        <v>216</v>
      </c>
      <c r="R2137" s="49" t="n">
        <f aca="false">SUM(K2137:N2137)</f>
        <v>224</v>
      </c>
      <c r="S2137" s="50" t="n">
        <f aca="false">SUM(P2137:R2137)</f>
        <v>552</v>
      </c>
    </row>
    <row r="2138" customFormat="false" ht="15" hidden="false" customHeight="false" outlineLevel="0" collapsed="false">
      <c r="A2138" s="4" t="s">
        <v>503</v>
      </c>
      <c r="B2138" s="36" t="s">
        <v>504</v>
      </c>
      <c r="C2138" s="48" t="n">
        <f aca="false">(C2129+C2133)*Assumptions!$I$29</f>
        <v>15.02675472375</v>
      </c>
      <c r="D2138" s="48" t="n">
        <f aca="false">(D2129+D2133)*Assumptions!$I$29</f>
        <v>28.8569166290027</v>
      </c>
      <c r="E2138" s="48" t="n">
        <f aca="false">(E2129+E2133)*Assumptions!$I$29</f>
        <v>27.7079666448898</v>
      </c>
      <c r="F2138" s="48" t="n">
        <f aca="false">(F2129+F2133)*Assumptions!$I$29</f>
        <v>41.410540606461</v>
      </c>
      <c r="G2138" s="48" t="n">
        <f aca="false">(G2129+G2133)*Assumptions!$I$29</f>
        <v>53.9780428280653</v>
      </c>
      <c r="H2138" s="48" t="n">
        <f aca="false">(H2129+H2133)*Assumptions!$I$29</f>
        <v>70.5936842329171</v>
      </c>
      <c r="I2138" s="48" t="n">
        <f aca="false">(I2129+I2133)*Assumptions!$I$29</f>
        <v>88.5962994837701</v>
      </c>
      <c r="J2138" s="48" t="n">
        <f aca="false">(J2129+J2133)*Assumptions!$I$29</f>
        <v>87.6510173814766</v>
      </c>
      <c r="K2138" s="48" t="n">
        <f aca="false">(K2129+K2133)*Assumptions!$I$29</f>
        <v>84.1611561352924</v>
      </c>
      <c r="L2138" s="48" t="n">
        <f aca="false">(L2129+L2133)*Assumptions!$I$29</f>
        <v>80.8102451475475</v>
      </c>
      <c r="M2138" s="48" t="n">
        <f aca="false">(M2129+M2133)*Assumptions!$I$29</f>
        <v>77.5927520566496</v>
      </c>
      <c r="N2138" s="48" t="n">
        <f aca="false">(N2129+N2133)*Assumptions!$I$29</f>
        <v>74.5033647742551</v>
      </c>
      <c r="P2138" s="49" t="n">
        <f aca="false">SUM(C2138:F2138)</f>
        <v>113.002178604103</v>
      </c>
      <c r="Q2138" s="49" t="n">
        <f aca="false">SUM(G2138:J2138)</f>
        <v>300.819043926229</v>
      </c>
      <c r="R2138" s="49" t="n">
        <f aca="false">SUM(K2138:N2138)</f>
        <v>317.067518113745</v>
      </c>
      <c r="S2138" s="50" t="n">
        <f aca="false">SUM(P2138:R2138)</f>
        <v>730.888740644077</v>
      </c>
    </row>
    <row r="2139" customFormat="false" ht="15" hidden="false" customHeight="false" outlineLevel="0" collapsed="false">
      <c r="A2139" s="4" t="s">
        <v>505</v>
      </c>
      <c r="B2139" s="36" t="s">
        <v>504</v>
      </c>
      <c r="C2139" s="48" t="n">
        <f aca="false">C2135*Assumptions!$I$31</f>
        <v>7.5563109468</v>
      </c>
      <c r="D2139" s="48" t="n">
        <f aca="false">D2135*Assumptions!$I$31</f>
        <v>15.1126218936</v>
      </c>
      <c r="E2139" s="48" t="n">
        <f aca="false">E2135*Assumptions!$I$31</f>
        <v>15.1126218936</v>
      </c>
      <c r="F2139" s="48" t="n">
        <f aca="false">F2135*Assumptions!$I$31</f>
        <v>22.5578131317</v>
      </c>
      <c r="G2139" s="48" t="n">
        <f aca="false">G2135*Assumptions!$I$31</f>
        <v>30.0030043698</v>
      </c>
      <c r="H2139" s="48" t="n">
        <f aca="false">H2135*Assumptions!$I$31</f>
        <v>38.0584655451</v>
      </c>
      <c r="I2139" s="48" t="n">
        <f aca="false">I2135*Assumptions!$I$31</f>
        <v>46.1139267204</v>
      </c>
      <c r="J2139" s="48" t="n">
        <f aca="false">J2135*Assumptions!$I$31</f>
        <v>46.1139267204</v>
      </c>
      <c r="K2139" s="48" t="n">
        <f aca="false">K2135*Assumptions!$I$31</f>
        <v>46.1139267204</v>
      </c>
      <c r="L2139" s="48" t="n">
        <f aca="false">L2135*Assumptions!$I$31</f>
        <v>46.1139267204</v>
      </c>
      <c r="M2139" s="48" t="n">
        <f aca="false">M2135*Assumptions!$I$31</f>
        <v>46.1139267204</v>
      </c>
      <c r="N2139" s="48" t="n">
        <f aca="false">N2135*Assumptions!$I$31</f>
        <v>46.1139267204</v>
      </c>
      <c r="P2139" s="49" t="n">
        <f aca="false">SUM(C2139:F2139)</f>
        <v>60.3393678657</v>
      </c>
      <c r="Q2139" s="49" t="n">
        <f aca="false">SUM(G2139:J2139)</f>
        <v>160.2893233557</v>
      </c>
      <c r="R2139" s="49" t="n">
        <f aca="false">SUM(K2139:N2139)</f>
        <v>184.4557068816</v>
      </c>
      <c r="S2139" s="50" t="n">
        <f aca="false">SUM(P2139:R2139)</f>
        <v>405.084398103</v>
      </c>
    </row>
    <row r="2140" customFormat="false" ht="15" hidden="false" customHeight="false" outlineLevel="0" collapsed="false">
      <c r="A2140" s="4" t="s">
        <v>506</v>
      </c>
      <c r="B2140" s="36" t="s">
        <v>504</v>
      </c>
      <c r="C2140" s="48" t="n">
        <f aca="false">C2137*Assumptions!$I$30</f>
        <v>9.6</v>
      </c>
      <c r="D2140" s="48" t="n">
        <f aca="false">D2137*Assumptions!$I$30</f>
        <v>14.4</v>
      </c>
      <c r="E2140" s="48" t="n">
        <f aca="false">E2137*Assumptions!$I$30</f>
        <v>19.2</v>
      </c>
      <c r="F2140" s="48" t="n">
        <f aca="false">F2137*Assumptions!$I$30</f>
        <v>24</v>
      </c>
      <c r="G2140" s="48" t="n">
        <f aca="false">G2137*Assumptions!$I$30</f>
        <v>28.8</v>
      </c>
      <c r="H2140" s="48" t="n">
        <f aca="false">H2137*Assumptions!$I$30</f>
        <v>33.6</v>
      </c>
      <c r="I2140" s="48" t="n">
        <f aca="false">I2137*Assumptions!$I$30</f>
        <v>33.6</v>
      </c>
      <c r="J2140" s="48" t="n">
        <f aca="false">J2137*Assumptions!$I$30</f>
        <v>33.6</v>
      </c>
      <c r="K2140" s="48" t="n">
        <f aca="false">K2137*Assumptions!$I$30</f>
        <v>33.6</v>
      </c>
      <c r="L2140" s="48" t="n">
        <f aca="false">L2137*Assumptions!$I$30</f>
        <v>33.6</v>
      </c>
      <c r="M2140" s="48" t="n">
        <f aca="false">M2137*Assumptions!$I$30</f>
        <v>33.6</v>
      </c>
      <c r="N2140" s="48" t="n">
        <f aca="false">N2137*Assumptions!$I$30</f>
        <v>33.6</v>
      </c>
      <c r="P2140" s="49" t="n">
        <f aca="false">SUM(C2140:F2140)</f>
        <v>67.2</v>
      </c>
      <c r="Q2140" s="49" t="n">
        <f aca="false">SUM(G2140:J2140)</f>
        <v>129.6</v>
      </c>
      <c r="R2140" s="49" t="n">
        <f aca="false">SUM(K2140:N2140)</f>
        <v>134.4</v>
      </c>
      <c r="S2140" s="50" t="n">
        <f aca="false">SUM(P2140:R2140)</f>
        <v>331.2</v>
      </c>
    </row>
    <row r="2141" customFormat="false" ht="15" hidden="false" customHeight="false" outlineLevel="0" collapsed="false">
      <c r="A2141" s="9" t="s">
        <v>507</v>
      </c>
      <c r="B2141" s="36" t="s">
        <v>504</v>
      </c>
      <c r="C2141" s="49" t="n">
        <f aca="false">C2138+C2139+C2140</f>
        <v>32.18306567055</v>
      </c>
      <c r="D2141" s="49" t="n">
        <f aca="false">D2138+D2139+D2140</f>
        <v>58.3695385226027</v>
      </c>
      <c r="E2141" s="49" t="n">
        <f aca="false">E2138+E2139+E2140</f>
        <v>62.0205885384898</v>
      </c>
      <c r="F2141" s="49" t="n">
        <f aca="false">F2138+F2139+F2140</f>
        <v>87.968353738161</v>
      </c>
      <c r="G2141" s="49" t="n">
        <f aca="false">G2138+G2139+G2140</f>
        <v>112.781047197865</v>
      </c>
      <c r="H2141" s="49" t="n">
        <f aca="false">H2138+H2139+H2140</f>
        <v>142.252149778017</v>
      </c>
      <c r="I2141" s="49" t="n">
        <f aca="false">I2138+I2139+I2140</f>
        <v>168.31022620417</v>
      </c>
      <c r="J2141" s="49" t="n">
        <f aca="false">J2138+J2139+J2140</f>
        <v>167.364944101877</v>
      </c>
      <c r="K2141" s="49" t="n">
        <f aca="false">K2138+K2139+K2140</f>
        <v>163.875082855692</v>
      </c>
      <c r="L2141" s="49" t="n">
        <f aca="false">L2138+L2139+L2140</f>
        <v>160.524171867948</v>
      </c>
      <c r="M2141" s="49" t="n">
        <f aca="false">M2138+M2139+M2140</f>
        <v>157.30667877705</v>
      </c>
      <c r="N2141" s="49" t="n">
        <f aca="false">N2138+N2139+N2140</f>
        <v>154.217291494655</v>
      </c>
      <c r="P2141" s="49" t="n">
        <f aca="false">SUM(C2141:F2141)</f>
        <v>240.541546469803</v>
      </c>
      <c r="Q2141" s="49" t="n">
        <f aca="false">SUM(G2141:J2141)</f>
        <v>590.708367281929</v>
      </c>
      <c r="R2141" s="49" t="n">
        <f aca="false">SUM(K2141:N2141)</f>
        <v>635.923224995345</v>
      </c>
      <c r="S2141" s="50" t="n">
        <f aca="false">SUM(P2141:R2141)</f>
        <v>1467.17313874708</v>
      </c>
    </row>
    <row r="2142" customFormat="false" ht="15" hidden="false" customHeight="false" outlineLevel="0" collapsed="false">
      <c r="A2142" s="4" t="s">
        <v>508</v>
      </c>
      <c r="B2142" s="36" t="s">
        <v>509</v>
      </c>
      <c r="C2142" s="48" t="n">
        <f aca="false">C2124</f>
        <v>1371.907152</v>
      </c>
      <c r="D2142" s="48" t="n">
        <f aca="false">D2124</f>
        <v>2743.814304</v>
      </c>
      <c r="E2142" s="48" t="n">
        <f aca="false">E2124</f>
        <v>2743.814304</v>
      </c>
      <c r="F2142" s="48" t="n">
        <f aca="false">F2124</f>
        <v>4099.55809725</v>
      </c>
      <c r="G2142" s="48" t="n">
        <f aca="false">G2124</f>
        <v>5455.3018905</v>
      </c>
      <c r="H2142" s="48" t="n">
        <f aca="false">H2124</f>
        <v>6853.51410975</v>
      </c>
      <c r="I2142" s="48" t="n">
        <f aca="false">I2124</f>
        <v>8251.726329</v>
      </c>
      <c r="J2142" s="48" t="n">
        <f aca="false">J2124</f>
        <v>8251.726329</v>
      </c>
      <c r="K2142" s="48" t="n">
        <f aca="false">K2124</f>
        <v>8251.726329</v>
      </c>
      <c r="L2142" s="48" t="n">
        <f aca="false">L2124</f>
        <v>8251.726329</v>
      </c>
      <c r="M2142" s="48" t="n">
        <f aca="false">M2124</f>
        <v>8251.726329</v>
      </c>
      <c r="N2142" s="48" t="n">
        <f aca="false">N2124</f>
        <v>8251.726329</v>
      </c>
      <c r="P2142" s="49"/>
      <c r="Q2142" s="49"/>
      <c r="R2142" s="49"/>
      <c r="S2142" s="50"/>
    </row>
    <row r="2143" customFormat="false" ht="15" hidden="false" customHeight="false" outlineLevel="0" collapsed="false">
      <c r="A2143" s="4" t="s">
        <v>510</v>
      </c>
      <c r="B2143" s="36" t="s">
        <v>509</v>
      </c>
      <c r="C2143" s="48" t="n">
        <f aca="false">C2125*Assumptions!$I$18*Assumptions!$I$33</f>
        <v>560.531664</v>
      </c>
      <c r="D2143" s="48" t="n">
        <f aca="false">D2125*Assumptions!$I$18*Assumptions!$I$33</f>
        <v>1121.063328</v>
      </c>
      <c r="E2143" s="48" t="n">
        <f aca="false">E2125*Assumptions!$I$18*Assumptions!$I$33</f>
        <v>1121.063328</v>
      </c>
      <c r="F2143" s="48" t="n">
        <f aca="false">F2125*Assumptions!$I$18*Assumptions!$I$33</f>
        <v>1679.579055</v>
      </c>
      <c r="G2143" s="48" t="n">
        <f aca="false">G2125*Assumptions!$I$18*Assumptions!$I$33</f>
        <v>2238.094782</v>
      </c>
      <c r="H2143" s="48" t="n">
        <f aca="false">H2125*Assumptions!$I$18*Assumptions!$I$33</f>
        <v>2952.694899</v>
      </c>
      <c r="I2143" s="48" t="n">
        <f aca="false">I2125*Assumptions!$I$18*Assumptions!$I$33</f>
        <v>3667.295016</v>
      </c>
      <c r="J2143" s="48" t="n">
        <f aca="false">J2125*Assumptions!$I$18*Assumptions!$I$33</f>
        <v>3667.295016</v>
      </c>
      <c r="K2143" s="48" t="n">
        <f aca="false">K2125*Assumptions!$I$18*Assumptions!$I$33</f>
        <v>3667.295016</v>
      </c>
      <c r="L2143" s="48" t="n">
        <f aca="false">L2125*Assumptions!$I$18*Assumptions!$I$33</f>
        <v>3667.295016</v>
      </c>
      <c r="M2143" s="48" t="n">
        <f aca="false">M2125*Assumptions!$I$18*Assumptions!$I$33</f>
        <v>3667.295016</v>
      </c>
      <c r="N2143" s="48" t="n">
        <f aca="false">N2125*Assumptions!$I$18*Assumptions!$I$33</f>
        <v>3667.295016</v>
      </c>
      <c r="P2143" s="49"/>
      <c r="Q2143" s="49"/>
      <c r="R2143" s="49"/>
      <c r="S2143" s="50"/>
    </row>
    <row r="2144" customFormat="false" ht="15" hidden="false" customHeight="false" outlineLevel="0" collapsed="false">
      <c r="A2144" s="4" t="s">
        <v>511</v>
      </c>
      <c r="B2144" s="36" t="s">
        <v>509</v>
      </c>
      <c r="C2144" s="48" t="n">
        <f aca="false">C2126*Assumptions!$I$19*Assumptions!$I$34</f>
        <v>117.3067434</v>
      </c>
      <c r="D2144" s="48" t="n">
        <f aca="false">D2126*Assumptions!$I$19*Assumptions!$I$34</f>
        <v>234.6134868</v>
      </c>
      <c r="E2144" s="48" t="n">
        <f aca="false">E2126*Assumptions!$I$19*Assumptions!$I$34</f>
        <v>234.6134868</v>
      </c>
      <c r="F2144" s="48" t="n">
        <f aca="false">F2126*Assumptions!$I$19*Assumptions!$I$34</f>
        <v>337.3705566</v>
      </c>
      <c r="G2144" s="48" t="n">
        <f aca="false">G2126*Assumptions!$I$19*Assumptions!$I$34</f>
        <v>440.1276264</v>
      </c>
      <c r="H2144" s="48" t="n">
        <f aca="false">H2126*Assumptions!$I$19*Assumptions!$I$34</f>
        <v>575.6214618</v>
      </c>
      <c r="I2144" s="48" t="n">
        <f aca="false">I2126*Assumptions!$I$19*Assumptions!$I$34</f>
        <v>711.1152972</v>
      </c>
      <c r="J2144" s="48" t="n">
        <f aca="false">J2126*Assumptions!$I$19*Assumptions!$I$34</f>
        <v>711.1152972</v>
      </c>
      <c r="K2144" s="48" t="n">
        <f aca="false">K2126*Assumptions!$I$19*Assumptions!$I$34</f>
        <v>711.1152972</v>
      </c>
      <c r="L2144" s="48" t="n">
        <f aca="false">L2126*Assumptions!$I$19*Assumptions!$I$34</f>
        <v>711.1152972</v>
      </c>
      <c r="M2144" s="48" t="n">
        <f aca="false">M2126*Assumptions!$I$19*Assumptions!$I$34</f>
        <v>711.1152972</v>
      </c>
      <c r="N2144" s="48" t="n">
        <f aca="false">N2126*Assumptions!$I$19*Assumptions!$I$34</f>
        <v>711.1152972</v>
      </c>
      <c r="P2144" s="49"/>
      <c r="Q2144" s="49"/>
      <c r="R2144" s="49"/>
      <c r="S2144" s="50"/>
    </row>
    <row r="2145" customFormat="false" ht="15" hidden="false" customHeight="false" outlineLevel="0" collapsed="false">
      <c r="A2145" s="4" t="s">
        <v>512</v>
      </c>
      <c r="B2145" s="36" t="s">
        <v>77</v>
      </c>
      <c r="C2145" s="51" t="n">
        <f aca="false">IFERROR(C2142/(C2142+C2143+C2144),0)</f>
        <v>0.6693060734824</v>
      </c>
      <c r="D2145" s="51" t="n">
        <f aca="false">IFERROR(D2142/(D2142+D2143+D2144),0)</f>
        <v>0.6693060734824</v>
      </c>
      <c r="E2145" s="51" t="n">
        <f aca="false">IFERROR(E2142/(E2142+E2143+E2144),0)</f>
        <v>0.6693060734824</v>
      </c>
      <c r="F2145" s="51" t="n">
        <f aca="false">IFERROR(F2142/(F2142+F2143+F2144),0)</f>
        <v>0.670244899931759</v>
      </c>
      <c r="G2145" s="51" t="n">
        <f aca="false">IFERROR(G2142/(G2142+G2143+G2144),0)</f>
        <v>0.670718090955699</v>
      </c>
      <c r="H2145" s="51" t="n">
        <f aca="false">IFERROR(H2142/(H2142+H2143+H2144),0)</f>
        <v>0.660145061045957</v>
      </c>
      <c r="I2145" s="51" t="n">
        <f aca="false">IFERROR(I2142/(I2142+I2143+I2144),0)</f>
        <v>0.653336267275938</v>
      </c>
      <c r="J2145" s="51" t="n">
        <f aca="false">IFERROR(J2142/(J2142+J2143+J2144),0)</f>
        <v>0.653336267275938</v>
      </c>
      <c r="K2145" s="51" t="n">
        <f aca="false">IFERROR(K2142/(K2142+K2143+K2144),0)</f>
        <v>0.653336267275938</v>
      </c>
      <c r="L2145" s="51" t="n">
        <f aca="false">IFERROR(L2142/(L2142+L2143+L2144),0)</f>
        <v>0.653336267275938</v>
      </c>
      <c r="M2145" s="51" t="n">
        <f aca="false">IFERROR(M2142/(M2142+M2143+M2144),0)</f>
        <v>0.653336267275938</v>
      </c>
      <c r="N2145" s="51" t="n">
        <f aca="false">IFERROR(N2142/(N2142+N2143+N2144),0)</f>
        <v>0.653336267275938</v>
      </c>
      <c r="P2145" s="52"/>
      <c r="Q2145" s="52"/>
      <c r="R2145" s="52"/>
      <c r="S2145" s="53"/>
    </row>
    <row r="2146" customFormat="false" ht="15" hidden="false" customHeight="false" outlineLevel="0" collapsed="false">
      <c r="A2146" s="4" t="s">
        <v>513</v>
      </c>
      <c r="B2146" s="36" t="s">
        <v>77</v>
      </c>
      <c r="C2146" s="51" t="n">
        <f aca="false">IFERROR(C2143/(C2142+C2143+C2144),0)</f>
        <v>0.273464021634021</v>
      </c>
      <c r="D2146" s="51" t="n">
        <f aca="false">IFERROR(D2143/(D2142+D2143+D2144),0)</f>
        <v>0.273464021634021</v>
      </c>
      <c r="E2146" s="51" t="n">
        <f aca="false">IFERROR(E2143/(E2142+E2143+E2144),0)</f>
        <v>0.273464021634021</v>
      </c>
      <c r="F2146" s="51" t="n">
        <f aca="false">IFERROR(F2143/(F2142+F2143+F2144),0)</f>
        <v>0.274597717349364</v>
      </c>
      <c r="G2146" s="51" t="n">
        <f aca="false">IFERROR(G2143/(G2142+G2143+G2144),0)</f>
        <v>0.275169127152259</v>
      </c>
      <c r="H2146" s="51" t="n">
        <f aca="false">IFERROR(H2143/(H2142+H2143+H2144),0)</f>
        <v>0.28440985502276</v>
      </c>
      <c r="I2146" s="51" t="n">
        <f aca="false">IFERROR(I2143/(I2142+I2143+I2144),0)</f>
        <v>0.290360676205733</v>
      </c>
      <c r="J2146" s="51" t="n">
        <f aca="false">IFERROR(J2143/(J2142+J2143+J2144),0)</f>
        <v>0.290360676205733</v>
      </c>
      <c r="K2146" s="51" t="n">
        <f aca="false">IFERROR(K2143/(K2142+K2143+K2144),0)</f>
        <v>0.290360676205733</v>
      </c>
      <c r="L2146" s="51" t="n">
        <f aca="false">IFERROR(L2143/(L2142+L2143+L2144),0)</f>
        <v>0.290360676205733</v>
      </c>
      <c r="M2146" s="51" t="n">
        <f aca="false">IFERROR(M2143/(M2142+M2143+M2144),0)</f>
        <v>0.290360676205733</v>
      </c>
      <c r="N2146" s="51" t="n">
        <f aca="false">IFERROR(N2143/(N2142+N2143+N2144),0)</f>
        <v>0.290360676205733</v>
      </c>
      <c r="P2146" s="52"/>
      <c r="Q2146" s="52"/>
      <c r="R2146" s="52"/>
      <c r="S2146" s="53"/>
    </row>
    <row r="2147" customFormat="false" ht="15" hidden="false" customHeight="false" outlineLevel="0" collapsed="false">
      <c r="A2147" s="4" t="s">
        <v>514</v>
      </c>
      <c r="B2147" s="36" t="s">
        <v>77</v>
      </c>
      <c r="C2147" s="51" t="n">
        <f aca="false">IFERROR(C2144/(C2142+C2143+C2144),0)</f>
        <v>0.0572299048835788</v>
      </c>
      <c r="D2147" s="51" t="n">
        <f aca="false">IFERROR(D2144/(D2142+D2143+D2144),0)</f>
        <v>0.0572299048835788</v>
      </c>
      <c r="E2147" s="51" t="n">
        <f aca="false">IFERROR(E2144/(E2142+E2143+E2144),0)</f>
        <v>0.0572299048835788</v>
      </c>
      <c r="F2147" s="51" t="n">
        <f aca="false">IFERROR(F2144/(F2142+F2143+F2144),0)</f>
        <v>0.0551573827188768</v>
      </c>
      <c r="G2147" s="51" t="n">
        <f aca="false">IFERROR(G2144/(G2142+G2143+G2144),0)</f>
        <v>0.054112781892042</v>
      </c>
      <c r="H2147" s="51" t="n">
        <f aca="false">IFERROR(H2144/(H2142+H2143+H2144),0)</f>
        <v>0.0554450839312834</v>
      </c>
      <c r="I2147" s="51" t="n">
        <f aca="false">IFERROR(I2144/(I2142+I2143+I2144),0)</f>
        <v>0.0563030565183286</v>
      </c>
      <c r="J2147" s="51" t="n">
        <f aca="false">IFERROR(J2144/(J2142+J2143+J2144),0)</f>
        <v>0.0563030565183286</v>
      </c>
      <c r="K2147" s="51" t="n">
        <f aca="false">IFERROR(K2144/(K2142+K2143+K2144),0)</f>
        <v>0.0563030565183286</v>
      </c>
      <c r="L2147" s="51" t="n">
        <f aca="false">IFERROR(L2144/(L2142+L2143+L2144),0)</f>
        <v>0.0563030565183286</v>
      </c>
      <c r="M2147" s="51" t="n">
        <f aca="false">IFERROR(M2144/(M2142+M2143+M2144),0)</f>
        <v>0.0563030565183286</v>
      </c>
      <c r="N2147" s="51" t="n">
        <f aca="false">IFERROR(N2144/(N2142+N2143+N2144),0)</f>
        <v>0.0563030565183286</v>
      </c>
      <c r="P2147" s="52"/>
      <c r="Q2147" s="52"/>
      <c r="R2147" s="52"/>
      <c r="S2147" s="53"/>
    </row>
    <row r="2148" customFormat="false" ht="15" hidden="false" customHeight="false" outlineLevel="0" collapsed="false">
      <c r="A2148" s="4" t="s">
        <v>515</v>
      </c>
      <c r="B2148" s="36" t="s">
        <v>516</v>
      </c>
      <c r="C2148" s="48" t="n">
        <f aca="false">IF(C2116-Assumptions!$I$35&lt;1,0,INDEX($C$2141:$N$2141,1,C2116-Assumptions!$I$35)*INDEX($C$2145:$N$2145,1,C2116-Assumptions!$I$35)*Assumptions!$I$32)</f>
        <v>0</v>
      </c>
      <c r="D2148" s="48" t="n">
        <f aca="false">IF(D2116-Assumptions!$I$35&lt;1,0,INDEX($C$2141:$N$2141,1,D2116-Assumptions!$I$35)*INDEX($C$2145:$N$2145,1,D2116-Assumptions!$I$35)*Assumptions!$I$32)</f>
        <v>5.38508032914551</v>
      </c>
      <c r="E2148" s="48" t="n">
        <f aca="false">IF(E2116-Assumptions!$I$35&lt;1,0,INDEX($C$2141:$N$2141,1,E2116-Assumptions!$I$35)*INDEX($C$2145:$N$2145,1,E2116-Assumptions!$I$35)*Assumptions!$I$32)</f>
        <v>9.76677165988573</v>
      </c>
      <c r="F2148" s="48" t="n">
        <f aca="false">IF(F2116-Assumptions!$I$35&lt;1,0,INDEX($C$2141:$N$2141,1,F2116-Assumptions!$I$35)*INDEX($C$2145:$N$2145,1,F2116-Assumptions!$I$35)*Assumptions!$I$32)</f>
        <v>10.377689147441</v>
      </c>
      <c r="G2148" s="48" t="n">
        <f aca="false">IF(G2116-Assumptions!$I$35&lt;1,0,INDEX($C$2141:$N$2141,1,G2116-Assumptions!$I$35)*INDEX($C$2145:$N$2145,1,G2116-Assumptions!$I$35)*Assumptions!$I$32)</f>
        <v>14.7400851120988</v>
      </c>
      <c r="H2148" s="48" t="n">
        <f aca="false">IF(H2116-Assumptions!$I$35&lt;1,0,INDEX($C$2141:$N$2141,1,H2116-Assumptions!$I$35)*INDEX($C$2145:$N$2145,1,H2116-Assumptions!$I$35)*Assumptions!$I$32)</f>
        <v>18.9110721681342</v>
      </c>
      <c r="I2148" s="48" t="n">
        <f aca="false">IF(I2116-Assumptions!$I$35&lt;1,0,INDEX($C$2141:$N$2141,1,I2116-Assumptions!$I$35)*INDEX($C$2145:$N$2145,1,I2116-Assumptions!$I$35)*Assumptions!$I$32)</f>
        <v>23.4767635247819</v>
      </c>
      <c r="J2148" s="48" t="n">
        <f aca="false">IF(J2116-Assumptions!$I$35&lt;1,0,INDEX($C$2141:$N$2141,1,J2116-Assumptions!$I$35)*INDEX($C$2145:$N$2145,1,J2116-Assumptions!$I$35)*Assumptions!$I$32)</f>
        <v>27.4907937331503</v>
      </c>
      <c r="K2148" s="48" t="n">
        <f aca="false">IF(K2116-Assumptions!$I$35&lt;1,0,INDEX($C$2141:$N$2141,1,K2116-Assumptions!$I$35)*INDEX($C$2145:$N$2145,1,K2116-Assumptions!$I$35)*Assumptions!$I$32)</f>
        <v>27.3363969630915</v>
      </c>
      <c r="L2148" s="48" t="n">
        <f aca="false">IF(L2116-Assumptions!$I$35&lt;1,0,INDEX($C$2141:$N$2141,1,L2116-Assumptions!$I$35)*INDEX($C$2145:$N$2145,1,L2116-Assumptions!$I$35)*Assumptions!$I$32)</f>
        <v>26.7663837331183</v>
      </c>
      <c r="M2148" s="48" t="n">
        <f aca="false">IF(M2116-Assumptions!$I$35&lt;1,0,INDEX($C$2141:$N$2141,1,M2116-Assumptions!$I$35)*INDEX($C$2145:$N$2145,1,M2116-Assumptions!$I$35)*Assumptions!$I$32)</f>
        <v>26.2190658139415</v>
      </c>
      <c r="N2148" s="48" t="n">
        <f aca="false">IF(N2116-Assumptions!$I$35&lt;1,0,INDEX($C$2141:$N$2141,1,N2116-Assumptions!$I$35)*INDEX($C$2145:$N$2145,1,N2116-Assumptions!$I$35)*Assumptions!$I$32)</f>
        <v>25.6935395824432</v>
      </c>
      <c r="P2148" s="49" t="n">
        <f aca="false">SUM(C2148:F2148)</f>
        <v>25.5295411364723</v>
      </c>
      <c r="Q2148" s="49" t="n">
        <f aca="false">SUM(G2148:J2148)</f>
        <v>84.6187145381653</v>
      </c>
      <c r="R2148" s="49" t="n">
        <f aca="false">SUM(K2148:N2148)</f>
        <v>106.015386092594</v>
      </c>
      <c r="S2148" s="50" t="n">
        <f aca="false">SUM(P2148:R2148)</f>
        <v>216.163641767232</v>
      </c>
    </row>
    <row r="2149" customFormat="false" ht="15" hidden="false" customHeight="false" outlineLevel="0" collapsed="false">
      <c r="A2149" s="4" t="s">
        <v>517</v>
      </c>
      <c r="B2149" s="36" t="s">
        <v>516</v>
      </c>
      <c r="C2149" s="48" t="n">
        <f aca="false">IF(C2116-Assumptions!$I$35&lt;1,0,INDEX($C$2141:$N$2141,1,C2116-Assumptions!$I$35)*INDEX($C$2146:$N$2146,1,C2116-Assumptions!$I$35)*Assumptions!$I$32)</f>
        <v>0</v>
      </c>
      <c r="D2149" s="48" t="n">
        <f aca="false">IF(D2116-Assumptions!$I$35&lt;1,0,INDEX($C$2141:$N$2141,1,D2116-Assumptions!$I$35)*INDEX($C$2146:$N$2146,1,D2116-Assumptions!$I$35)*Assumptions!$I$32)</f>
        <v>2.2002276416951</v>
      </c>
      <c r="E2149" s="48" t="n">
        <f aca="false">IF(E2116-Assumptions!$I$35&lt;1,0,INDEX($C$2141:$N$2141,1,E2116-Assumptions!$I$35)*INDEX($C$2146:$N$2146,1,E2116-Assumptions!$I$35)*Assumptions!$I$32)</f>
        <v>3.99049218632821</v>
      </c>
      <c r="F2149" s="48" t="n">
        <f aca="false">IF(F2116-Assumptions!$I$35&lt;1,0,INDEX($C$2141:$N$2141,1,F2116-Assumptions!$I$35)*INDEX($C$2146:$N$2146,1,F2116-Assumptions!$I$35)*Assumptions!$I$32)</f>
        <v>4.24009989146107</v>
      </c>
      <c r="G2149" s="48" t="n">
        <f aca="false">IF(G2116-Assumptions!$I$35&lt;1,0,INDEX($C$2141:$N$2141,1,G2116-Assumptions!$I$35)*INDEX($C$2146:$N$2146,1,G2116-Assumptions!$I$35)*Assumptions!$I$32)</f>
        <v>6.0389772838701</v>
      </c>
      <c r="H2149" s="48" t="n">
        <f aca="false">IF(H2116-Assumptions!$I$35&lt;1,0,INDEX($C$2141:$N$2141,1,H2116-Assumptions!$I$35)*INDEX($C$2146:$N$2146,1,H2116-Assumptions!$I$35)*Assumptions!$I$32)</f>
        <v>7.75846557918857</v>
      </c>
      <c r="I2149" s="48" t="n">
        <f aca="false">IF(I2116-Assumptions!$I$35&lt;1,0,INDEX($C$2141:$N$2141,1,I2116-Assumptions!$I$35)*INDEX($C$2146:$N$2146,1,I2116-Assumptions!$I$35)*Assumptions!$I$32)</f>
        <v>10.1144783237605</v>
      </c>
      <c r="J2149" s="48" t="n">
        <f aca="false">IF(J2116-Assumptions!$I$35&lt;1,0,INDEX($C$2141:$N$2141,1,J2116-Assumptions!$I$35)*INDEX($C$2146:$N$2146,1,J2116-Assumptions!$I$35)*Assumptions!$I$32)</f>
        <v>12.2176677732457</v>
      </c>
      <c r="K2149" s="48" t="n">
        <f aca="false">IF(K2116-Assumptions!$I$35&lt;1,0,INDEX($C$2141:$N$2141,1,K2116-Assumptions!$I$35)*INDEX($C$2146:$N$2146,1,K2116-Assumptions!$I$35)*Assumptions!$I$32)</f>
        <v>12.1490495856389</v>
      </c>
      <c r="L2149" s="48" t="n">
        <f aca="false">IF(L2116-Assumptions!$I$35&lt;1,0,INDEX($C$2141:$N$2141,1,L2116-Assumptions!$I$35)*INDEX($C$2146:$N$2146,1,L2116-Assumptions!$I$35)*Assumptions!$I$32)</f>
        <v>11.8957199678123</v>
      </c>
      <c r="M2149" s="48" t="n">
        <f aca="false">IF(M2116-Assumptions!$I$35&lt;1,0,INDEX($C$2141:$N$2141,1,M2116-Assumptions!$I$35)*INDEX($C$2146:$N$2146,1,M2116-Assumptions!$I$35)*Assumptions!$I$32)</f>
        <v>11.6524767727356</v>
      </c>
      <c r="N2149" s="48" t="n">
        <f aca="false">IF(N2116-Assumptions!$I$35&lt;1,0,INDEX($C$2141:$N$2141,1,N2116-Assumptions!$I$35)*INDEX($C$2146:$N$2146,1,N2116-Assumptions!$I$35)*Assumptions!$I$32)</f>
        <v>11.4189184053455</v>
      </c>
      <c r="P2149" s="49" t="n">
        <f aca="false">SUM(C2149:F2149)</f>
        <v>10.4308197194844</v>
      </c>
      <c r="Q2149" s="49" t="n">
        <f aca="false">SUM(G2149:J2149)</f>
        <v>36.1295889600648</v>
      </c>
      <c r="R2149" s="49" t="n">
        <f aca="false">SUM(K2149:N2149)</f>
        <v>47.1161647315324</v>
      </c>
      <c r="S2149" s="50" t="n">
        <f aca="false">SUM(P2149:R2149)</f>
        <v>93.6765734110816</v>
      </c>
    </row>
    <row r="2150" customFormat="false" ht="15" hidden="false" customHeight="false" outlineLevel="0" collapsed="false">
      <c r="A2150" s="4" t="s">
        <v>518</v>
      </c>
      <c r="B2150" s="36" t="s">
        <v>516</v>
      </c>
      <c r="C2150" s="48" t="n">
        <f aca="false">IF(C2116-Assumptions!$I$36&lt;1,0,INDEX($C$2141:$N$2141,1,C2116-Assumptions!$I$36)*INDEX($C$2147:$N$2147,1,C2116-Assumptions!$I$36)*Assumptions!$I$32)</f>
        <v>0</v>
      </c>
      <c r="D2150" s="48" t="n">
        <f aca="false">IF(D2116-Assumptions!$I$36&lt;1,0,INDEX($C$2141:$N$2141,1,D2116-Assumptions!$I$36)*INDEX($C$2147:$N$2147,1,D2116-Assumptions!$I$36)*Assumptions!$I$32)</f>
        <v>0</v>
      </c>
      <c r="E2150" s="48" t="n">
        <f aca="false">IF(E2116-Assumptions!$I$36&lt;1,0,INDEX($C$2141:$N$2141,1,E2116-Assumptions!$I$36)*INDEX($C$2147:$N$2147,1,E2116-Assumptions!$I$36)*Assumptions!$I$32)</f>
        <v>0.460458446796887</v>
      </c>
      <c r="F2150" s="48" t="n">
        <f aca="false">IF(F2116-Assumptions!$I$36&lt;1,0,INDEX($C$2141:$N$2141,1,F2116-Assumptions!$I$36)*INDEX($C$2147:$N$2147,1,F2116-Assumptions!$I$36)*Assumptions!$I$32)</f>
        <v>0.835120784436735</v>
      </c>
      <c r="G2150" s="48" t="n">
        <f aca="false">IF(G2116-Assumptions!$I$36&lt;1,0,INDEX($C$2141:$N$2141,1,G2116-Assumptions!$I$36)*INDEX($C$2147:$N$2147,1,G2116-Assumptions!$I$36)*Assumptions!$I$32)</f>
        <v>0.887358095720337</v>
      </c>
      <c r="H2150" s="48" t="n">
        <f aca="false">IF(H2116-Assumptions!$I$36&lt;1,0,INDEX($C$2141:$N$2141,1,H2116-Assumptions!$I$36)*INDEX($C$2147:$N$2147,1,H2116-Assumptions!$I$36)*Assumptions!$I$32)</f>
        <v>1.21302603857132</v>
      </c>
      <c r="I2150" s="48" t="n">
        <f aca="false">IF(I2116-Assumptions!$I$36&lt;1,0,INDEX($C$2141:$N$2141,1,I2116-Assumptions!$I$36)*INDEX($C$2147:$N$2147,1,I2116-Assumptions!$I$36)*Assumptions!$I$32)</f>
        <v>1.52572405214355</v>
      </c>
      <c r="J2150" s="48" t="n">
        <f aca="false">IF(J2116-Assumptions!$I$36&lt;1,0,INDEX($C$2141:$N$2141,1,J2116-Assumptions!$I$36)*INDEX($C$2147:$N$2147,1,J2116-Assumptions!$I$36)*Assumptions!$I$32)</f>
        <v>1.97179559596191</v>
      </c>
      <c r="K2150" s="48" t="n">
        <f aca="false">IF(K2116-Assumptions!$I$36&lt;1,0,INDEX($C$2141:$N$2141,1,K2116-Assumptions!$I$36)*INDEX($C$2147:$N$2147,1,K2116-Assumptions!$I$36)*Assumptions!$I$32)</f>
        <v>2.36909504464652</v>
      </c>
      <c r="L2150" s="48" t="n">
        <f aca="false">IF(L2116-Assumptions!$I$36&lt;1,0,INDEX($C$2141:$N$2141,1,L2116-Assumptions!$I$36)*INDEX($C$2147:$N$2147,1,L2116-Assumptions!$I$36)*Assumptions!$I$32)</f>
        <v>2.35578947673872</v>
      </c>
      <c r="M2150" s="48" t="n">
        <f aca="false">IF(M2116-Assumptions!$I$36&lt;1,0,INDEX($C$2141:$N$2141,1,M2116-Assumptions!$I$36)*INDEX($C$2147:$N$2147,1,M2116-Assumptions!$I$36)*Assumptions!$I$32)</f>
        <v>2.30666701299246</v>
      </c>
      <c r="N2150" s="48" t="n">
        <f aca="false">IF(N2116-Assumptions!$I$36&lt;1,0,INDEX($C$2141:$N$2141,1,N2116-Assumptions!$I$36)*INDEX($C$2147:$N$2147,1,N2116-Assumptions!$I$36)*Assumptions!$I$32)</f>
        <v>2.25950038030974</v>
      </c>
      <c r="P2150" s="49" t="n">
        <f aca="false">SUM(C2150:F2150)</f>
        <v>1.29557923123362</v>
      </c>
      <c r="Q2150" s="49" t="n">
        <f aca="false">SUM(G2150:J2150)</f>
        <v>5.59790378239712</v>
      </c>
      <c r="R2150" s="49" t="n">
        <f aca="false">SUM(K2150:N2150)</f>
        <v>9.29105191468743</v>
      </c>
      <c r="S2150" s="50" t="n">
        <f aca="false">SUM(P2150:R2150)</f>
        <v>16.1845349283182</v>
      </c>
    </row>
    <row r="2151" customFormat="false" ht="15" hidden="false" customHeight="false" outlineLevel="0" collapsed="false">
      <c r="A2151" s="4" t="s">
        <v>519</v>
      </c>
      <c r="B2151" s="36" t="s">
        <v>77</v>
      </c>
      <c r="C2151" s="51" t="n">
        <f aca="false">IF(C2116-Assumptions!$I$35&lt;1,0,IFERROR(INDEX($C$2140:$N$2140,1,C2116-Assumptions!$I$35)/INDEX($C$2141:$N$2141,1,C2116-Assumptions!$I$35),0))</f>
        <v>0</v>
      </c>
      <c r="D2151" s="51" t="n">
        <f aca="false">IF(D2116-Assumptions!$I$35&lt;1,0,IFERROR(INDEX($C$2140:$N$2140,1,D2116-Assumptions!$I$35)/INDEX($C$2141:$N$2141,1,D2116-Assumptions!$I$35),0))</f>
        <v>0.298293521763054</v>
      </c>
      <c r="E2151" s="51" t="n">
        <f aca="false">IF(E2116-Assumptions!$I$35&lt;1,0,IFERROR(INDEX($C$2140:$N$2140,1,E2116-Assumptions!$I$35)/INDEX($C$2141:$N$2141,1,E2116-Assumptions!$I$35),0))</f>
        <v>0.246704023442362</v>
      </c>
      <c r="F2151" s="51" t="n">
        <f aca="false">IF(F2116-Assumptions!$I$35&lt;1,0,IFERROR(INDEX($C$2140:$N$2140,1,F2116-Assumptions!$I$35)/INDEX($C$2141:$N$2141,1,F2116-Assumptions!$I$35),0))</f>
        <v>0.309574617920379</v>
      </c>
      <c r="G2151" s="51" t="n">
        <f aca="false">IF(G2116-Assumptions!$I$35&lt;1,0,IFERROR(INDEX($C$2140:$N$2140,1,G2116-Assumptions!$I$35)/INDEX($C$2141:$N$2141,1,G2116-Assumptions!$I$35),0))</f>
        <v>0.272825385267938</v>
      </c>
      <c r="H2151" s="51" t="n">
        <f aca="false">IF(H2116-Assumptions!$I$35&lt;1,0,IFERROR(INDEX($C$2140:$N$2140,1,H2116-Assumptions!$I$35)/INDEX($C$2141:$N$2141,1,H2116-Assumptions!$I$35),0))</f>
        <v>0.255362055199512</v>
      </c>
      <c r="I2151" s="51" t="n">
        <f aca="false">IF(I2116-Assumptions!$I$35&lt;1,0,IFERROR(INDEX($C$2140:$N$2140,1,I2116-Assumptions!$I$35)/INDEX($C$2141:$N$2141,1,I2116-Assumptions!$I$35),0))</f>
        <v>0.23620029681402</v>
      </c>
      <c r="J2151" s="51" t="n">
        <f aca="false">IF(J2116-Assumptions!$I$35&lt;1,0,IFERROR(INDEX($C$2140:$N$2140,1,J2116-Assumptions!$I$35)/INDEX($C$2141:$N$2141,1,J2116-Assumptions!$I$35),0))</f>
        <v>0.19963136380817</v>
      </c>
      <c r="K2151" s="51" t="n">
        <f aca="false">IF(K2116-Assumptions!$I$35&lt;1,0,IFERROR(INDEX($C$2140:$N$2140,1,K2116-Assumptions!$I$35)/INDEX($C$2141:$N$2141,1,K2116-Assumptions!$I$35),0))</f>
        <v>0.200758887593255</v>
      </c>
      <c r="L2151" s="51" t="n">
        <f aca="false">IF(L2116-Assumptions!$I$35&lt;1,0,IFERROR(INDEX($C$2140:$N$2140,1,L2116-Assumptions!$I$35)/INDEX($C$2141:$N$2141,1,L2116-Assumptions!$I$35),0))</f>
        <v>0.205034221276873</v>
      </c>
      <c r="M2151" s="51" t="n">
        <f aca="false">IF(M2116-Assumptions!$I$35&lt;1,0,IFERROR(INDEX($C$2140:$N$2140,1,M2116-Assumptions!$I$35)/INDEX($C$2141:$N$2141,1,M2116-Assumptions!$I$35),0))</f>
        <v>0.20931427092264</v>
      </c>
      <c r="N2151" s="51" t="n">
        <f aca="false">IF(N2116-Assumptions!$I$35&lt;1,0,IFERROR(INDEX($C$2140:$N$2140,1,N2116-Assumptions!$I$35)/INDEX($C$2141:$N$2141,1,N2116-Assumptions!$I$35),0))</f>
        <v>0.213595508221372</v>
      </c>
      <c r="P2151" s="52"/>
      <c r="Q2151" s="52"/>
      <c r="R2151" s="52"/>
      <c r="S2151" s="53"/>
    </row>
    <row r="2152" customFormat="false" ht="15" hidden="false" customHeight="false" outlineLevel="0" collapsed="false">
      <c r="A2152" s="4" t="s">
        <v>520</v>
      </c>
      <c r="B2152" s="36" t="s">
        <v>516</v>
      </c>
      <c r="C2152" s="48" t="n">
        <f aca="false">C2148*Assumptions!$I$37</f>
        <v>0</v>
      </c>
      <c r="D2152" s="48" t="n">
        <f aca="false">D2148*Assumptions!$I$37</f>
        <v>3.23104819748731</v>
      </c>
      <c r="E2152" s="48" t="n">
        <f aca="false">E2148*Assumptions!$I$37</f>
        <v>5.86006299593144</v>
      </c>
      <c r="F2152" s="48" t="n">
        <f aca="false">F2148*Assumptions!$I$37</f>
        <v>6.22661348846463</v>
      </c>
      <c r="G2152" s="48" t="n">
        <f aca="false">G2148*Assumptions!$I$37</f>
        <v>8.84405106725929</v>
      </c>
      <c r="H2152" s="48" t="n">
        <f aca="false">H2148*Assumptions!$I$37</f>
        <v>11.3466433008805</v>
      </c>
      <c r="I2152" s="48" t="n">
        <f aca="false">I2148*Assumptions!$I$37</f>
        <v>14.0860581148691</v>
      </c>
      <c r="J2152" s="48" t="n">
        <f aca="false">J2148*Assumptions!$I$37</f>
        <v>16.4944762398902</v>
      </c>
      <c r="K2152" s="48" t="n">
        <f aca="false">K2148*Assumptions!$I$37</f>
        <v>16.4018381778549</v>
      </c>
      <c r="L2152" s="48" t="n">
        <f aca="false">L2148*Assumptions!$I$37</f>
        <v>16.059830239871</v>
      </c>
      <c r="M2152" s="48" t="n">
        <f aca="false">M2148*Assumptions!$I$37</f>
        <v>15.7314394883649</v>
      </c>
      <c r="N2152" s="48" t="n">
        <f aca="false">N2148*Assumptions!$I$37</f>
        <v>15.4161237494659</v>
      </c>
      <c r="P2152" s="49" t="n">
        <f aca="false">SUM(C2152:F2152)</f>
        <v>15.3177246818834</v>
      </c>
      <c r="Q2152" s="49" t="n">
        <f aca="false">SUM(G2152:J2152)</f>
        <v>50.7712287228992</v>
      </c>
      <c r="R2152" s="49" t="n">
        <f aca="false">SUM(K2152:N2152)</f>
        <v>63.6092316555567</v>
      </c>
      <c r="S2152" s="50" t="n">
        <f aca="false">SUM(P2152:R2152)</f>
        <v>129.698185060339</v>
      </c>
    </row>
    <row r="2153" customFormat="false" ht="15" hidden="false" customHeight="false" outlineLevel="0" collapsed="false">
      <c r="A2153" s="4" t="s">
        <v>521</v>
      </c>
      <c r="B2153" s="36" t="s">
        <v>516</v>
      </c>
      <c r="C2153" s="48" t="n">
        <f aca="false">C2148*(1-Assumptions!$I$37)</f>
        <v>0</v>
      </c>
      <c r="D2153" s="48" t="n">
        <f aca="false">D2148*(1-Assumptions!$I$37)</f>
        <v>2.15403213165821</v>
      </c>
      <c r="E2153" s="48" t="n">
        <f aca="false">E2148*(1-Assumptions!$I$37)</f>
        <v>3.90670866395429</v>
      </c>
      <c r="F2153" s="48" t="n">
        <f aca="false">F2148*(1-Assumptions!$I$37)</f>
        <v>4.15107565897642</v>
      </c>
      <c r="G2153" s="48" t="n">
        <f aca="false">G2148*(1-Assumptions!$I$37)</f>
        <v>5.89603404483953</v>
      </c>
      <c r="H2153" s="48" t="n">
        <f aca="false">H2148*(1-Assumptions!$I$37)</f>
        <v>7.56442886725369</v>
      </c>
      <c r="I2153" s="48" t="n">
        <f aca="false">I2148*(1-Assumptions!$I$37)</f>
        <v>9.39070540991277</v>
      </c>
      <c r="J2153" s="48" t="n">
        <f aca="false">J2148*(1-Assumptions!$I$37)</f>
        <v>10.9963174932601</v>
      </c>
      <c r="K2153" s="48" t="n">
        <f aca="false">K2148*(1-Assumptions!$I$37)</f>
        <v>10.9345587852366</v>
      </c>
      <c r="L2153" s="48" t="n">
        <f aca="false">L2148*(1-Assumptions!$I$37)</f>
        <v>10.7065534932473</v>
      </c>
      <c r="M2153" s="48" t="n">
        <f aca="false">M2148*(1-Assumptions!$I$37)</f>
        <v>10.4876263255766</v>
      </c>
      <c r="N2153" s="48" t="n">
        <f aca="false">N2148*(1-Assumptions!$I$37)</f>
        <v>10.2774158329773</v>
      </c>
      <c r="P2153" s="49" t="n">
        <f aca="false">SUM(C2153:F2153)</f>
        <v>10.2118164545889</v>
      </c>
      <c r="Q2153" s="49" t="n">
        <f aca="false">SUM(G2153:J2153)</f>
        <v>33.8474858152661</v>
      </c>
      <c r="R2153" s="49" t="n">
        <f aca="false">SUM(K2153:N2153)</f>
        <v>42.4061544370378</v>
      </c>
      <c r="S2153" s="50" t="n">
        <f aca="false">SUM(P2153:R2153)</f>
        <v>86.4654567068928</v>
      </c>
    </row>
    <row r="2154" customFormat="false" ht="15" hidden="false" customHeight="false" outlineLevel="0" collapsed="false">
      <c r="A2154" s="4" t="s">
        <v>522</v>
      </c>
      <c r="B2154" s="36" t="s">
        <v>125</v>
      </c>
      <c r="C2154" s="54" t="n">
        <f aca="false">C2153*$C$2107+C2149*$C$2108+C2150*$C$2109</f>
        <v>0</v>
      </c>
      <c r="D2154" s="54" t="n">
        <f aca="false">D2153*$C$2107+D2149*$C$2108+D2150*$C$2109</f>
        <v>23303.9983069869</v>
      </c>
      <c r="E2154" s="54" t="n">
        <f aca="false">E2153*$C$2107+E2149*$C$2108+E2150*$C$2109</f>
        <v>62668.732728282</v>
      </c>
      <c r="F2154" s="54" t="n">
        <f aca="false">F2153*$C$2107+F2149*$C$2108+F2150*$C$2109</f>
        <v>81913.7735043332</v>
      </c>
      <c r="G2154" s="54" t="n">
        <f aca="false">G2153*$C$2107+G2149*$C$2108+G2150*$C$2109</f>
        <v>103195.017852622</v>
      </c>
      <c r="H2154" s="54" t="n">
        <f aca="false">H2153*$C$2107+H2149*$C$2108+H2150*$C$2109</f>
        <v>135757.314846454</v>
      </c>
      <c r="I2154" s="54" t="n">
        <f aca="false">I2153*$C$2107+I2149*$C$2108+I2150*$C$2109</f>
        <v>171996.5760931</v>
      </c>
      <c r="J2154" s="54" t="n">
        <f aca="false">J2153*$C$2107+J2149*$C$2108+J2150*$C$2109</f>
        <v>211611.512003411</v>
      </c>
      <c r="K2154" s="54" t="n">
        <f aca="false">K2153*$C$2107+K2149*$C$2108+K2150*$C$2109</f>
        <v>228518.073429213</v>
      </c>
      <c r="L2154" s="54" t="n">
        <f aca="false">L2153*$C$2107+L2149*$C$2108+L2150*$C$2109</f>
        <v>225352.399277884</v>
      </c>
      <c r="M2154" s="54" t="n">
        <f aca="false">M2153*$C$2107+M2149*$C$2108+M2150*$C$2109</f>
        <v>220702.247127863</v>
      </c>
      <c r="N2154" s="54" t="n">
        <f aca="false">N2153*$C$2107+N2149*$C$2108+N2150*$C$2109</f>
        <v>216237.242695028</v>
      </c>
      <c r="P2154" s="55" t="n">
        <f aca="false">SUM(C2154:F2154)</f>
        <v>167886.504539602</v>
      </c>
      <c r="Q2154" s="55" t="n">
        <f aca="false">SUM(G2154:J2154)</f>
        <v>622560.420795587</v>
      </c>
      <c r="R2154" s="55" t="n">
        <f aca="false">SUM(K2154:N2154)</f>
        <v>890809.962529988</v>
      </c>
      <c r="S2154" s="56" t="n">
        <f aca="false">SUM(P2154:R2154)</f>
        <v>1681256.88786518</v>
      </c>
    </row>
    <row r="2155" customFormat="false" ht="15" hidden="false" customHeight="false" outlineLevel="0" collapsed="false">
      <c r="A2155" s="4" t="s">
        <v>523</v>
      </c>
      <c r="B2155" s="36" t="s">
        <v>125</v>
      </c>
      <c r="C2155" s="54" t="n">
        <f aca="false">(C2131+Assumptions!$D$104*C2117)*$C$2112</f>
        <v>371875</v>
      </c>
      <c r="D2155" s="54" t="n">
        <f aca="false">(D2131+Assumptions!$D$104*D2117)*$C$2112</f>
        <v>371875</v>
      </c>
      <c r="E2155" s="54" t="n">
        <f aca="false">(E2131+Assumptions!$D$104*E2117)*$C$2112</f>
        <v>371875</v>
      </c>
      <c r="F2155" s="54" t="n">
        <f aca="false">(F2131+Assumptions!$D$104*F2117)*$C$2112</f>
        <v>371875</v>
      </c>
      <c r="G2155" s="54" t="n">
        <f aca="false">(G2131+Assumptions!$D$104*G2117)*$C$2112</f>
        <v>371875</v>
      </c>
      <c r="H2155" s="54" t="n">
        <f aca="false">(H2131+Assumptions!$D$104*H2117)*$C$2112</f>
        <v>464843.75</v>
      </c>
      <c r="I2155" s="54" t="n">
        <f aca="false">(I2131+Assumptions!$D$104*I2117)*$C$2112</f>
        <v>650781.25</v>
      </c>
      <c r="J2155" s="54" t="n">
        <f aca="false">(J2131+Assumptions!$D$104*J2117)*$C$2112</f>
        <v>743750</v>
      </c>
      <c r="K2155" s="54" t="n">
        <f aca="false">(K2131+Assumptions!$D$104*K2117)*$C$2112</f>
        <v>743750</v>
      </c>
      <c r="L2155" s="54" t="n">
        <f aca="false">(L2131+Assumptions!$D$104*L2117)*$C$2112</f>
        <v>743750</v>
      </c>
      <c r="M2155" s="54" t="n">
        <f aca="false">(M2131+Assumptions!$D$104*M2117)*$C$2112</f>
        <v>743750</v>
      </c>
      <c r="N2155" s="54" t="n">
        <f aca="false">(N2131+Assumptions!$D$104*N2117)*$C$2112</f>
        <v>743750</v>
      </c>
      <c r="P2155" s="55" t="n">
        <f aca="false">SUM(C2155:F2155)</f>
        <v>1487500</v>
      </c>
      <c r="Q2155" s="55" t="n">
        <f aca="false">SUM(G2155:J2155)</f>
        <v>2231250</v>
      </c>
      <c r="R2155" s="55" t="n">
        <f aca="false">SUM(K2155:N2155)</f>
        <v>2975000</v>
      </c>
      <c r="S2155" s="56" t="n">
        <f aca="false">SUM(P2155:R2155)</f>
        <v>6693750</v>
      </c>
    </row>
    <row r="2156" customFormat="false" ht="15" hidden="false" customHeight="false" outlineLevel="0" collapsed="false">
      <c r="A2156" s="4" t="s">
        <v>524</v>
      </c>
      <c r="B2156" s="36" t="s">
        <v>77</v>
      </c>
      <c r="C2156" s="51" t="n">
        <f aca="false">IF(C2154&gt;0,MIN(1,C2155/C2154),1)</f>
        <v>1</v>
      </c>
      <c r="D2156" s="51" t="n">
        <f aca="false">IF(D2154&gt;0,MIN(1,D2155/D2154),1)</f>
        <v>1</v>
      </c>
      <c r="E2156" s="51" t="n">
        <f aca="false">IF(E2154&gt;0,MIN(1,E2155/E2154),1)</f>
        <v>1</v>
      </c>
      <c r="F2156" s="51" t="n">
        <f aca="false">IF(F2154&gt;0,MIN(1,F2155/F2154),1)</f>
        <v>1</v>
      </c>
      <c r="G2156" s="51" t="n">
        <f aca="false">IF(G2154&gt;0,MIN(1,G2155/G2154),1)</f>
        <v>1</v>
      </c>
      <c r="H2156" s="51" t="n">
        <f aca="false">IF(H2154&gt;0,MIN(1,H2155/H2154),1)</f>
        <v>1</v>
      </c>
      <c r="I2156" s="51" t="n">
        <f aca="false">IF(I2154&gt;0,MIN(1,I2155/I2154),1)</f>
        <v>1</v>
      </c>
      <c r="J2156" s="51" t="n">
        <f aca="false">IF(J2154&gt;0,MIN(1,J2155/J2154),1)</f>
        <v>1</v>
      </c>
      <c r="K2156" s="51" t="n">
        <f aca="false">IF(K2154&gt;0,MIN(1,K2155/K2154),1)</f>
        <v>1</v>
      </c>
      <c r="L2156" s="51" t="n">
        <f aca="false">IF(L2154&gt;0,MIN(1,L2155/L2154),1)</f>
        <v>1</v>
      </c>
      <c r="M2156" s="51" t="n">
        <f aca="false">IF(M2154&gt;0,MIN(1,M2155/M2154),1)</f>
        <v>1</v>
      </c>
      <c r="N2156" s="51" t="n">
        <f aca="false">IF(N2154&gt;0,MIN(1,N2155/N2154),1)</f>
        <v>1</v>
      </c>
      <c r="P2156" s="52"/>
      <c r="Q2156" s="52"/>
      <c r="R2156" s="52"/>
      <c r="S2156" s="53"/>
    </row>
    <row r="2157" customFormat="false" ht="15" hidden="false" customHeight="false" outlineLevel="0" collapsed="false">
      <c r="A2157" s="4" t="s">
        <v>525</v>
      </c>
      <c r="B2157" s="36" t="s">
        <v>125</v>
      </c>
      <c r="C2157" s="54" t="n">
        <f aca="false">C2154*(1-C2156)</f>
        <v>0</v>
      </c>
      <c r="D2157" s="54" t="n">
        <f aca="false">D2154*(1-D2156)</f>
        <v>0</v>
      </c>
      <c r="E2157" s="54" t="n">
        <f aca="false">E2154*(1-E2156)</f>
        <v>0</v>
      </c>
      <c r="F2157" s="54" t="n">
        <f aca="false">F2154*(1-F2156)</f>
        <v>0</v>
      </c>
      <c r="G2157" s="54" t="n">
        <f aca="false">G2154*(1-G2156)</f>
        <v>0</v>
      </c>
      <c r="H2157" s="54" t="n">
        <f aca="false">H2154*(1-H2156)</f>
        <v>0</v>
      </c>
      <c r="I2157" s="54" t="n">
        <f aca="false">I2154*(1-I2156)</f>
        <v>0</v>
      </c>
      <c r="J2157" s="54" t="n">
        <f aca="false">J2154*(1-J2156)</f>
        <v>0</v>
      </c>
      <c r="K2157" s="54" t="n">
        <f aca="false">K2154*(1-K2156)</f>
        <v>0</v>
      </c>
      <c r="L2157" s="54" t="n">
        <f aca="false">L2154*(1-L2156)</f>
        <v>0</v>
      </c>
      <c r="M2157" s="54" t="n">
        <f aca="false">M2154*(1-M2156)</f>
        <v>0</v>
      </c>
      <c r="N2157" s="54" t="n">
        <f aca="false">N2154*(1-N2156)</f>
        <v>0</v>
      </c>
      <c r="P2157" s="55" t="n">
        <f aca="false">SUM(C2157:F2157)</f>
        <v>0</v>
      </c>
      <c r="Q2157" s="55" t="n">
        <f aca="false">SUM(G2157:J2157)</f>
        <v>0</v>
      </c>
      <c r="R2157" s="55" t="n">
        <f aca="false">SUM(K2157:N2157)</f>
        <v>0</v>
      </c>
      <c r="S2157" s="56" t="n">
        <f aca="false">SUM(P2157:R2157)</f>
        <v>0</v>
      </c>
    </row>
    <row r="2158" customFormat="false" ht="15" hidden="false" customHeight="false" outlineLevel="0" collapsed="false">
      <c r="A2158" s="4" t="s">
        <v>526</v>
      </c>
      <c r="B2158" s="36" t="s">
        <v>527</v>
      </c>
      <c r="C2158" s="48" t="n">
        <f aca="false">C2152+C2153*C2156</f>
        <v>0</v>
      </c>
      <c r="D2158" s="48" t="n">
        <f aca="false">D2152+D2153*D2156</f>
        <v>5.38508032914551</v>
      </c>
      <c r="E2158" s="48" t="n">
        <f aca="false">E2152+E2153*E2156</f>
        <v>9.76677165988573</v>
      </c>
      <c r="F2158" s="48" t="n">
        <f aca="false">F2152+F2153*F2156</f>
        <v>10.377689147441</v>
      </c>
      <c r="G2158" s="48" t="n">
        <f aca="false">G2152+G2153*G2156</f>
        <v>14.7400851120988</v>
      </c>
      <c r="H2158" s="48" t="n">
        <f aca="false">H2152+H2153*H2156</f>
        <v>18.9110721681342</v>
      </c>
      <c r="I2158" s="48" t="n">
        <f aca="false">I2152+I2153*I2156</f>
        <v>23.4767635247819</v>
      </c>
      <c r="J2158" s="48" t="n">
        <f aca="false">J2152+J2153*J2156</f>
        <v>27.4907937331503</v>
      </c>
      <c r="K2158" s="48" t="n">
        <f aca="false">K2152+K2153*K2156</f>
        <v>27.3363969630915</v>
      </c>
      <c r="L2158" s="48" t="n">
        <f aca="false">L2152+L2153*L2156</f>
        <v>26.7663837331183</v>
      </c>
      <c r="M2158" s="48" t="n">
        <f aca="false">M2152+M2153*M2156</f>
        <v>26.2190658139415</v>
      </c>
      <c r="N2158" s="48" t="n">
        <f aca="false">N2152+N2153*N2156</f>
        <v>25.6935395824432</v>
      </c>
      <c r="P2158" s="49" t="n">
        <f aca="false">SUM(C2158:F2158)</f>
        <v>25.5295411364723</v>
      </c>
      <c r="Q2158" s="49" t="n">
        <f aca="false">SUM(G2158:J2158)</f>
        <v>84.6187145381653</v>
      </c>
      <c r="R2158" s="49" t="n">
        <f aca="false">SUM(K2158:N2158)</f>
        <v>106.015386092594</v>
      </c>
      <c r="S2158" s="50" t="n">
        <f aca="false">SUM(P2158:R2158)</f>
        <v>216.163641767232</v>
      </c>
    </row>
    <row r="2159" customFormat="false" ht="15" hidden="false" customHeight="false" outlineLevel="0" collapsed="false">
      <c r="A2159" s="4" t="s">
        <v>528</v>
      </c>
      <c r="B2159" s="36" t="s">
        <v>527</v>
      </c>
      <c r="C2159" s="48" t="n">
        <f aca="false">C2149*C2156</f>
        <v>0</v>
      </c>
      <c r="D2159" s="48" t="n">
        <f aca="false">D2149*D2156</f>
        <v>2.2002276416951</v>
      </c>
      <c r="E2159" s="48" t="n">
        <f aca="false">E2149*E2156</f>
        <v>3.99049218632821</v>
      </c>
      <c r="F2159" s="48" t="n">
        <f aca="false">F2149*F2156</f>
        <v>4.24009989146107</v>
      </c>
      <c r="G2159" s="48" t="n">
        <f aca="false">G2149*G2156</f>
        <v>6.0389772838701</v>
      </c>
      <c r="H2159" s="48" t="n">
        <f aca="false">H2149*H2156</f>
        <v>7.75846557918857</v>
      </c>
      <c r="I2159" s="48" t="n">
        <f aca="false">I2149*I2156</f>
        <v>10.1144783237605</v>
      </c>
      <c r="J2159" s="48" t="n">
        <f aca="false">J2149*J2156</f>
        <v>12.2176677732457</v>
      </c>
      <c r="K2159" s="48" t="n">
        <f aca="false">K2149*K2156</f>
        <v>12.1490495856389</v>
      </c>
      <c r="L2159" s="48" t="n">
        <f aca="false">L2149*L2156</f>
        <v>11.8957199678123</v>
      </c>
      <c r="M2159" s="48" t="n">
        <f aca="false">M2149*M2156</f>
        <v>11.6524767727356</v>
      </c>
      <c r="N2159" s="48" t="n">
        <f aca="false">N2149*N2156</f>
        <v>11.4189184053455</v>
      </c>
      <c r="P2159" s="49" t="n">
        <f aca="false">SUM(C2159:F2159)</f>
        <v>10.4308197194844</v>
      </c>
      <c r="Q2159" s="49" t="n">
        <f aca="false">SUM(G2159:J2159)</f>
        <v>36.1295889600648</v>
      </c>
      <c r="R2159" s="49" t="n">
        <f aca="false">SUM(K2159:N2159)</f>
        <v>47.1161647315324</v>
      </c>
      <c r="S2159" s="50" t="n">
        <f aca="false">SUM(P2159:R2159)</f>
        <v>93.6765734110816</v>
      </c>
    </row>
    <row r="2160" customFormat="false" ht="15" hidden="false" customHeight="false" outlineLevel="0" collapsed="false">
      <c r="A2160" s="4" t="s">
        <v>529</v>
      </c>
      <c r="B2160" s="36" t="s">
        <v>527</v>
      </c>
      <c r="C2160" s="48" t="n">
        <f aca="false">C2150*C2156</f>
        <v>0</v>
      </c>
      <c r="D2160" s="48" t="n">
        <f aca="false">D2150*D2156</f>
        <v>0</v>
      </c>
      <c r="E2160" s="48" t="n">
        <f aca="false">E2150*E2156</f>
        <v>0.460458446796887</v>
      </c>
      <c r="F2160" s="48" t="n">
        <f aca="false">F2150*F2156</f>
        <v>0.835120784436735</v>
      </c>
      <c r="G2160" s="48" t="n">
        <f aca="false">G2150*G2156</f>
        <v>0.887358095720337</v>
      </c>
      <c r="H2160" s="48" t="n">
        <f aca="false">H2150*H2156</f>
        <v>1.21302603857132</v>
      </c>
      <c r="I2160" s="48" t="n">
        <f aca="false">I2150*I2156</f>
        <v>1.52572405214355</v>
      </c>
      <c r="J2160" s="48" t="n">
        <f aca="false">J2150*J2156</f>
        <v>1.97179559596191</v>
      </c>
      <c r="K2160" s="48" t="n">
        <f aca="false">K2150*K2156</f>
        <v>2.36909504464652</v>
      </c>
      <c r="L2160" s="48" t="n">
        <f aca="false">L2150*L2156</f>
        <v>2.35578947673872</v>
      </c>
      <c r="M2160" s="48" t="n">
        <f aca="false">M2150*M2156</f>
        <v>2.30666701299246</v>
      </c>
      <c r="N2160" s="48" t="n">
        <f aca="false">N2150*N2156</f>
        <v>2.25950038030974</v>
      </c>
      <c r="P2160" s="49" t="n">
        <f aca="false">SUM(C2160:F2160)</f>
        <v>1.29557923123362</v>
      </c>
      <c r="Q2160" s="49" t="n">
        <f aca="false">SUM(G2160:J2160)</f>
        <v>5.59790378239712</v>
      </c>
      <c r="R2160" s="49" t="n">
        <f aca="false">SUM(K2160:N2160)</f>
        <v>9.29105191468743</v>
      </c>
      <c r="S2160" s="50" t="n">
        <f aca="false">SUM(P2160:R2160)</f>
        <v>16.1845349283182</v>
      </c>
    </row>
    <row r="2161" customFormat="false" ht="15" hidden="false" customHeight="false" outlineLevel="0" collapsed="false">
      <c r="A2161" s="9" t="s">
        <v>530</v>
      </c>
      <c r="B2161" s="36" t="s">
        <v>527</v>
      </c>
      <c r="C2161" s="49" t="n">
        <f aca="false">C2158+C2159+C2160</f>
        <v>0</v>
      </c>
      <c r="D2161" s="49" t="n">
        <f aca="false">D2158+D2159+D2160</f>
        <v>7.58530797084061</v>
      </c>
      <c r="E2161" s="49" t="n">
        <f aca="false">E2158+E2159+E2160</f>
        <v>14.2177222930108</v>
      </c>
      <c r="F2161" s="49" t="n">
        <f aca="false">F2158+F2159+F2160</f>
        <v>15.4529098233389</v>
      </c>
      <c r="G2161" s="49" t="n">
        <f aca="false">G2158+G2159+G2160</f>
        <v>21.6664204916893</v>
      </c>
      <c r="H2161" s="49" t="n">
        <f aca="false">H2158+H2159+H2160</f>
        <v>27.8825637858941</v>
      </c>
      <c r="I2161" s="49" t="n">
        <f aca="false">I2158+I2159+I2160</f>
        <v>35.1169659006859</v>
      </c>
      <c r="J2161" s="49" t="n">
        <f aca="false">J2158+J2159+J2160</f>
        <v>41.6802571023579</v>
      </c>
      <c r="K2161" s="49" t="n">
        <f aca="false">K2158+K2159+K2160</f>
        <v>41.8545415933769</v>
      </c>
      <c r="L2161" s="49" t="n">
        <f aca="false">L2158+L2159+L2160</f>
        <v>41.0178931776694</v>
      </c>
      <c r="M2161" s="49" t="n">
        <f aca="false">M2158+M2159+M2160</f>
        <v>40.1782095996696</v>
      </c>
      <c r="N2161" s="49" t="n">
        <f aca="false">N2158+N2159+N2160</f>
        <v>39.3719583680985</v>
      </c>
      <c r="P2161" s="49" t="n">
        <f aca="false">SUM(C2161:F2161)</f>
        <v>37.2559400871903</v>
      </c>
      <c r="Q2161" s="49" t="n">
        <f aca="false">SUM(G2161:J2161)</f>
        <v>126.346207280627</v>
      </c>
      <c r="R2161" s="49" t="n">
        <f aca="false">SUM(K2161:N2161)</f>
        <v>162.422602738814</v>
      </c>
      <c r="S2161" s="50" t="n">
        <f aca="false">SUM(P2161:R2161)</f>
        <v>326.024750106632</v>
      </c>
    </row>
    <row r="2162" customFormat="false" ht="15" hidden="false" customHeight="false" outlineLevel="0" collapsed="false">
      <c r="A2162" s="35" t="s">
        <v>533</v>
      </c>
      <c r="B2162" s="35" t="s">
        <v>444</v>
      </c>
      <c r="C2162" s="6" t="s">
        <v>354</v>
      </c>
      <c r="D2162" s="6" t="s">
        <v>355</v>
      </c>
      <c r="E2162" s="6" t="s">
        <v>356</v>
      </c>
      <c r="F2162" s="6" t="s">
        <v>357</v>
      </c>
      <c r="G2162" s="6" t="s">
        <v>358</v>
      </c>
      <c r="H2162" s="6" t="s">
        <v>359</v>
      </c>
      <c r="I2162" s="6" t="s">
        <v>360</v>
      </c>
      <c r="J2162" s="6" t="s">
        <v>361</v>
      </c>
      <c r="K2162" s="6" t="s">
        <v>362</v>
      </c>
      <c r="L2162" s="6" t="s">
        <v>363</v>
      </c>
      <c r="M2162" s="6" t="s">
        <v>364</v>
      </c>
      <c r="N2162" s="6" t="s">
        <v>365</v>
      </c>
      <c r="P2162" s="6" t="s">
        <v>445</v>
      </c>
      <c r="Q2162" s="6" t="s">
        <v>446</v>
      </c>
      <c r="R2162" s="6" t="s">
        <v>447</v>
      </c>
      <c r="S2162" s="6" t="s">
        <v>448</v>
      </c>
    </row>
    <row r="2163" customFormat="false" ht="15" hidden="false" customHeight="false" outlineLevel="0" collapsed="false">
      <c r="A2163" s="4" t="s">
        <v>534</v>
      </c>
      <c r="B2163" s="36" t="s">
        <v>527</v>
      </c>
      <c r="C2163" s="48" t="n">
        <f aca="false">0*Assumptions!$I$59^(1/4)+C2158</f>
        <v>0</v>
      </c>
      <c r="D2163" s="48" t="n">
        <f aca="false">C2163*Assumptions!$I$59^(1/4)+D2158</f>
        <v>5.38508032914551</v>
      </c>
      <c r="E2163" s="48" t="n">
        <f aca="false">D2163*Assumptions!$I$59^(1/4)+E2158</f>
        <v>15.0263694487662</v>
      </c>
      <c r="F2163" s="48" t="n">
        <f aca="false">E2163*Assumptions!$I$59^(1/4)+F2158</f>
        <v>25.0539158139007</v>
      </c>
      <c r="G2163" s="48" t="n">
        <f aca="false">F2163*Assumptions!$I$59^(1/4)+G2158</f>
        <v>39.2101973784649</v>
      </c>
      <c r="H2163" s="48" t="n">
        <f aca="false">G2163*Assumptions!$I$59^(1/4)+H2158</f>
        <v>57.2075979074386</v>
      </c>
      <c r="I2163" s="48" t="n">
        <f aca="false">H2163*Assumptions!$I$59^(1/4)+I2158</f>
        <v>79.3513163764148</v>
      </c>
      <c r="J2163" s="48" t="n">
        <f aca="false">I2163*Assumptions!$I$59^(1/4)+J2158</f>
        <v>104.993074599659</v>
      </c>
      <c r="K2163" s="48" t="n">
        <f aca="false">J2163*Assumptions!$I$59^(1/4)+K2158</f>
        <v>129.882934667156</v>
      </c>
      <c r="L2163" s="48" t="n">
        <f aca="false">K2163*Assumptions!$I$59^(1/4)+L2158</f>
        <v>153.622800765821</v>
      </c>
      <c r="M2163" s="48" t="n">
        <f aca="false">L2163*Assumptions!$I$59^(1/4)+M2158</f>
        <v>176.262165237447</v>
      </c>
      <c r="N2163" s="48" t="n">
        <f aca="false">M2163*Assumptions!$I$59^(1/4)+N2158</f>
        <v>197.848463535689</v>
      </c>
      <c r="P2163" s="49" t="n">
        <f aca="false">F2163</f>
        <v>25.0539158139007</v>
      </c>
      <c r="Q2163" s="49" t="n">
        <f aca="false">J2163</f>
        <v>104.993074599659</v>
      </c>
      <c r="R2163" s="49" t="n">
        <f aca="false">N2163</f>
        <v>197.848463535689</v>
      </c>
      <c r="S2163" s="50" t="n">
        <f aca="false">R2163</f>
        <v>197.848463535689</v>
      </c>
    </row>
    <row r="2164" customFormat="false" ht="15" hidden="false" customHeight="false" outlineLevel="0" collapsed="false">
      <c r="A2164" s="4" t="s">
        <v>535</v>
      </c>
      <c r="B2164" s="36" t="s">
        <v>527</v>
      </c>
      <c r="C2164" s="48" t="n">
        <f aca="false">0*Assumptions!$I$60^(1/4)+C2159</f>
        <v>0</v>
      </c>
      <c r="D2164" s="48" t="n">
        <f aca="false">C2164*Assumptions!$I$60^(1/4)+D2159</f>
        <v>2.2002276416951</v>
      </c>
      <c r="E2164" s="48" t="n">
        <f aca="false">D2164*Assumptions!$I$60^(1/4)+E2159</f>
        <v>6.15116174666765</v>
      </c>
      <c r="F2164" s="48" t="n">
        <f aca="false">E2164*Assumptions!$I$60^(1/4)+F2159</f>
        <v>10.2806693738578</v>
      </c>
      <c r="G2164" s="48" t="n">
        <f aca="false">F2164*Assumptions!$I$60^(1/4)+G2159</f>
        <v>16.1348096218799</v>
      </c>
      <c r="H2164" s="48" t="n">
        <f aca="false">G2164*Assumptions!$I$60^(1/4)+H2159</f>
        <v>23.603186075932</v>
      </c>
      <c r="I2164" s="48" t="n">
        <f aca="false">H2164*Assumptions!$I$60^(1/4)+I2159</f>
        <v>33.2933006941601</v>
      </c>
      <c r="J2164" s="48" t="n">
        <f aca="false">I2164*Assumptions!$I$60^(1/4)+J2159</f>
        <v>44.9123853605944</v>
      </c>
      <c r="K2164" s="48" t="n">
        <f aca="false">J2164*Assumptions!$I$60^(1/4)+K2159</f>
        <v>56.2539513203107</v>
      </c>
      <c r="L2164" s="48" t="n">
        <f aca="false">K2164*Assumptions!$I$60^(1/4)+L2159</f>
        <v>67.1382766757038</v>
      </c>
      <c r="M2164" s="48" t="n">
        <f aca="false">L2164*Assumptions!$I$60^(1/4)+M2159</f>
        <v>77.5836686175398</v>
      </c>
      <c r="N2164" s="48" t="n">
        <f aca="false">M2164*Assumptions!$I$60^(1/4)+N2159</f>
        <v>87.6077035949693</v>
      </c>
      <c r="P2164" s="49" t="n">
        <f aca="false">F2164</f>
        <v>10.2806693738578</v>
      </c>
      <c r="Q2164" s="49" t="n">
        <f aca="false">J2164</f>
        <v>44.9123853605944</v>
      </c>
      <c r="R2164" s="49" t="n">
        <f aca="false">N2164</f>
        <v>87.6077035949693</v>
      </c>
      <c r="S2164" s="50" t="n">
        <f aca="false">R2164</f>
        <v>87.6077035949693</v>
      </c>
    </row>
    <row r="2165" customFormat="false" ht="15" hidden="false" customHeight="false" outlineLevel="0" collapsed="false">
      <c r="A2165" s="4" t="s">
        <v>536</v>
      </c>
      <c r="B2165" s="36" t="s">
        <v>527</v>
      </c>
      <c r="C2165" s="48" t="n">
        <f aca="false">0*Assumptions!$I$61^(1/4)+C2160</f>
        <v>0</v>
      </c>
      <c r="D2165" s="48" t="n">
        <f aca="false">C2165*Assumptions!$I$61^(1/4)+D2160</f>
        <v>0</v>
      </c>
      <c r="E2165" s="48" t="n">
        <f aca="false">D2165*Assumptions!$I$61^(1/4)+E2160</f>
        <v>0.460458446796887</v>
      </c>
      <c r="F2165" s="48" t="n">
        <f aca="false">E2165*Assumptions!$I$61^(1/4)+F2160</f>
        <v>1.289712320609</v>
      </c>
      <c r="G2165" s="48" t="n">
        <f aca="false">F2165*Assumptions!$I$61^(1/4)+G2160</f>
        <v>2.16063760470623</v>
      </c>
      <c r="H2165" s="48" t="n">
        <f aca="false">G2165*Assumptions!$I$61^(1/4)+H2160</f>
        <v>3.34613397625292</v>
      </c>
      <c r="I2165" s="48" t="n">
        <f aca="false">H2165*Assumptions!$I$61^(1/4)+I2160</f>
        <v>4.82922341258425</v>
      </c>
      <c r="J2165" s="48" t="n">
        <f aca="false">I2165*Assumptions!$I$61^(1/4)+J2160</f>
        <v>6.73948767527378</v>
      </c>
      <c r="K2165" s="48" t="n">
        <f aca="false">J2165*Assumptions!$I$61^(1/4)+K2160</f>
        <v>9.02271184031845</v>
      </c>
      <c r="L2165" s="48" t="n">
        <f aca="false">K2165*Assumptions!$I$61^(1/4)+L2160</f>
        <v>11.2635388392765</v>
      </c>
      <c r="M2165" s="48" t="n">
        <f aca="false">L2165*Assumptions!$I$61^(1/4)+M2160</f>
        <v>13.4266919778973</v>
      </c>
      <c r="N2165" s="48" t="n">
        <f aca="false">M2165*Assumptions!$I$61^(1/4)+N2160</f>
        <v>15.5151167652484</v>
      </c>
      <c r="P2165" s="49" t="n">
        <f aca="false">F2165</f>
        <v>1.289712320609</v>
      </c>
      <c r="Q2165" s="49" t="n">
        <f aca="false">J2165</f>
        <v>6.73948767527378</v>
      </c>
      <c r="R2165" s="49" t="n">
        <f aca="false">N2165</f>
        <v>15.5151167652484</v>
      </c>
      <c r="S2165" s="50" t="n">
        <f aca="false">R2165</f>
        <v>15.5151167652484</v>
      </c>
    </row>
    <row r="2166" customFormat="false" ht="15" hidden="false" customHeight="false" outlineLevel="0" collapsed="false">
      <c r="A2166" s="9" t="s">
        <v>537</v>
      </c>
      <c r="B2166" s="36" t="s">
        <v>527</v>
      </c>
      <c r="C2166" s="49" t="n">
        <f aca="false">C2163+C2164+C2165</f>
        <v>0</v>
      </c>
      <c r="D2166" s="49" t="n">
        <f aca="false">D2163+D2164+D2165</f>
        <v>7.58530797084061</v>
      </c>
      <c r="E2166" s="49" t="n">
        <f aca="false">E2163+E2164+E2165</f>
        <v>21.6379896422308</v>
      </c>
      <c r="F2166" s="49" t="n">
        <f aca="false">F2163+F2164+F2165</f>
        <v>36.6242975083675</v>
      </c>
      <c r="G2166" s="49" t="n">
        <f aca="false">G2163+G2164+G2165</f>
        <v>57.5056446050511</v>
      </c>
      <c r="H2166" s="49" t="n">
        <f aca="false">H2163+H2164+H2165</f>
        <v>84.1569179596235</v>
      </c>
      <c r="I2166" s="49" t="n">
        <f aca="false">I2163+I2164+I2165</f>
        <v>117.473840483159</v>
      </c>
      <c r="J2166" s="49" t="n">
        <f aca="false">J2163+J2164+J2165</f>
        <v>156.644947635528</v>
      </c>
      <c r="K2166" s="49" t="n">
        <f aca="false">K2163+K2164+K2165</f>
        <v>195.159597827785</v>
      </c>
      <c r="L2166" s="49" t="n">
        <f aca="false">L2163+L2164+L2165</f>
        <v>232.024616280801</v>
      </c>
      <c r="M2166" s="49" t="n">
        <f aca="false">M2163+M2164+M2165</f>
        <v>267.272525832884</v>
      </c>
      <c r="N2166" s="49" t="n">
        <f aca="false">N2163+N2164+N2165</f>
        <v>300.971283895907</v>
      </c>
      <c r="P2166" s="49" t="n">
        <f aca="false">F2166</f>
        <v>36.6242975083675</v>
      </c>
      <c r="Q2166" s="49" t="n">
        <f aca="false">J2166</f>
        <v>156.644947635528</v>
      </c>
      <c r="R2166" s="49" t="n">
        <f aca="false">N2166</f>
        <v>300.971283895907</v>
      </c>
      <c r="S2166" s="50" t="n">
        <f aca="false">R2166</f>
        <v>300.971283895907</v>
      </c>
    </row>
    <row r="2167" customFormat="false" ht="15" hidden="false" customHeight="false" outlineLevel="0" collapsed="false">
      <c r="A2167" s="4" t="s">
        <v>538</v>
      </c>
      <c r="B2167" s="36" t="s">
        <v>125</v>
      </c>
      <c r="C2167" s="54" t="n">
        <f aca="false">0*Assumptions!$I$62^(1/4)+C2158*$C$2107</f>
        <v>0</v>
      </c>
      <c r="D2167" s="54" t="n">
        <f aca="false">C2167*Assumptions!$I$62^(1/4)+D2158*$C$2107</f>
        <v>28820.9499215868</v>
      </c>
      <c r="E2167" s="54" t="n">
        <f aca="false">D2167*Assumptions!$I$62^(1/4)+E2158*$C$2107</f>
        <v>81515.6260308792</v>
      </c>
      <c r="F2167" s="54" t="n">
        <f aca="false">E2167*Assumptions!$I$62^(1/4)+F2158*$C$2107</f>
        <v>138253.166104703</v>
      </c>
      <c r="G2167" s="54" t="n">
        <f aca="false">F2167*Assumptions!$I$62^(1/4)+G2158*$C$2107</f>
        <v>219170.807316406</v>
      </c>
      <c r="H2167" s="54" t="n">
        <f aca="false">G2167*Assumptions!$I$62^(1/4)+H2158*$C$2107</f>
        <v>323598.944271482</v>
      </c>
      <c r="I2167" s="54" t="n">
        <f aca="false">H2167*Assumptions!$I$62^(1/4)+I2158*$C$2107</f>
        <v>453995.023784695</v>
      </c>
      <c r="J2167" s="54" t="n">
        <f aca="false">I2167*Assumptions!$I$62^(1/4)+J2158*$C$2107</f>
        <v>607787.604984869</v>
      </c>
      <c r="K2167" s="54" t="n">
        <f aca="false">J2167*Assumptions!$I$62^(1/4)+K2158*$C$2107</f>
        <v>763010.583350101</v>
      </c>
      <c r="L2167" s="54" t="n">
        <f aca="false">K2167*Assumptions!$I$62^(1/4)+L2158*$C$2107</f>
        <v>917460.569014888</v>
      </c>
      <c r="M2167" s="54" t="n">
        <f aca="false">L2167*Assumptions!$I$62^(1/4)+M2158*$C$2107</f>
        <v>1071247.68450664</v>
      </c>
      <c r="N2167" s="54" t="n">
        <f aca="false">M2167*Assumptions!$I$62^(1/4)+N2158*$C$2107</f>
        <v>1224478.83208286</v>
      </c>
      <c r="P2167" s="55" t="n">
        <f aca="false">F2167</f>
        <v>138253.166104703</v>
      </c>
      <c r="Q2167" s="55" t="n">
        <f aca="false">J2167</f>
        <v>607787.604984869</v>
      </c>
      <c r="R2167" s="55" t="n">
        <f aca="false">N2167</f>
        <v>1224478.83208286</v>
      </c>
      <c r="S2167" s="56" t="n">
        <f aca="false">R2167</f>
        <v>1224478.83208286</v>
      </c>
    </row>
    <row r="2168" customFormat="false" ht="15" hidden="false" customHeight="false" outlineLevel="0" collapsed="false">
      <c r="A2168" s="4" t="s">
        <v>539</v>
      </c>
      <c r="B2168" s="36" t="s">
        <v>125</v>
      </c>
      <c r="C2168" s="54" t="n">
        <f aca="false">0*Assumptions!$I$63^(1/4)+C2159*$C$2108</f>
        <v>0</v>
      </c>
      <c r="D2168" s="54" t="n">
        <f aca="false">C2168*Assumptions!$I$63^(1/4)+D2159*$C$2108</f>
        <v>11775.6183383522</v>
      </c>
      <c r="E2168" s="54" t="n">
        <f aca="false">D2168*Assumptions!$I$63^(1/4)+E2159*$C$2108</f>
        <v>33551.4508554257</v>
      </c>
      <c r="F2168" s="54" t="n">
        <f aca="false">E2168*Assumptions!$I$63^(1/4)+F2159*$C$2108</f>
        <v>57437.4905254148</v>
      </c>
      <c r="G2168" s="54" t="n">
        <f aca="false">F2168*Assumptions!$I$63^(1/4)+G2159*$C$2108</f>
        <v>91800.4636216615</v>
      </c>
      <c r="H2168" s="54" t="n">
        <f aca="false">G2168*Assumptions!$I$63^(1/4)+H2159*$C$2108</f>
        <v>136588.019295134</v>
      </c>
      <c r="I2168" s="54" t="n">
        <f aca="false">H2168*Assumptions!$I$63^(1/4)+I2159*$C$2108</f>
        <v>195577.514501347</v>
      </c>
      <c r="J2168" s="54" t="n">
        <f aca="false">I2168*Assumptions!$I$63^(1/4)+J2159*$C$2108</f>
        <v>267920.832615102</v>
      </c>
      <c r="K2168" s="54" t="n">
        <f aca="false">J2168*Assumptions!$I$63^(1/4)+K2159*$C$2108</f>
        <v>342469.29541708</v>
      </c>
      <c r="L2168" s="54" t="n">
        <f aca="false">K2168*Assumptions!$I$63^(1/4)+L2159*$C$2108</f>
        <v>418312.738035914</v>
      </c>
      <c r="M2168" s="54" t="n">
        <f aca="false">L2168*Assumptions!$I$63^(1/4)+M2159*$C$2108</f>
        <v>495551.189997349</v>
      </c>
      <c r="N2168" s="54" t="n">
        <f aca="false">M2168*Assumptions!$I$63^(1/4)+N2159*$C$2108</f>
        <v>574286.088347866</v>
      </c>
      <c r="P2168" s="55" t="n">
        <f aca="false">F2168</f>
        <v>57437.4905254148</v>
      </c>
      <c r="Q2168" s="55" t="n">
        <f aca="false">J2168</f>
        <v>267920.832615102</v>
      </c>
      <c r="R2168" s="55" t="n">
        <f aca="false">N2168</f>
        <v>574286.088347866</v>
      </c>
      <c r="S2168" s="56" t="n">
        <f aca="false">R2168</f>
        <v>574286.088347866</v>
      </c>
    </row>
    <row r="2169" customFormat="false" ht="15" hidden="false" customHeight="false" outlineLevel="0" collapsed="false">
      <c r="A2169" s="4" t="s">
        <v>540</v>
      </c>
      <c r="B2169" s="36" t="s">
        <v>125</v>
      </c>
      <c r="C2169" s="54" t="n">
        <f aca="false">0*Assumptions!$I$64^(1/4)+C2160*$C$2109</f>
        <v>0</v>
      </c>
      <c r="D2169" s="54" t="n">
        <f aca="false">C2169*Assumptions!$I$64^(1/4)+D2160*$C$2109</f>
        <v>0</v>
      </c>
      <c r="E2169" s="54" t="n">
        <f aca="false">D2169*Assumptions!$I$64^(1/4)+E2160*$C$2109</f>
        <v>20402.91377757</v>
      </c>
      <c r="F2169" s="54" t="n">
        <f aca="false">E2169*Assumptions!$I$64^(1/4)+F2160*$C$2109</f>
        <v>58790.2286972605</v>
      </c>
      <c r="G2169" s="54" t="n">
        <f aca="false">F2169*Assumptions!$I$64^(1/4)+G2160*$C$2109</f>
        <v>102094.453897785</v>
      </c>
      <c r="H2169" s="54" t="n">
        <f aca="false">G2169*Assumptions!$I$64^(1/4)+H2160*$C$2109</f>
        <v>162764.617875991</v>
      </c>
      <c r="I2169" s="54" t="n">
        <f aca="false">H2169*Assumptions!$I$64^(1/4)+I2160*$C$2109</f>
        <v>241403.259575496</v>
      </c>
      <c r="J2169" s="54" t="n">
        <f aca="false">I2169*Assumptions!$I$64^(1/4)+J2160*$C$2109</f>
        <v>345138.242729808</v>
      </c>
      <c r="K2169" s="54" t="n">
        <f aca="false">J2169*Assumptions!$I$64^(1/4)+K2160*$C$2109</f>
        <v>473509.756097422</v>
      </c>
      <c r="L2169" s="54" t="n">
        <f aca="false">K2169*Assumptions!$I$64^(1/4)+L2160*$C$2109</f>
        <v>609994.00109564</v>
      </c>
      <c r="M2169" s="54" t="n">
        <f aca="false">L2169*Assumptions!$I$64^(1/4)+M2160*$C$2109</f>
        <v>753553.892922964</v>
      </c>
      <c r="N2169" s="54" t="n">
        <f aca="false">M2169*Assumptions!$I$64^(1/4)+N2160*$C$2109</f>
        <v>904755.752356881</v>
      </c>
      <c r="P2169" s="55" t="n">
        <f aca="false">F2169</f>
        <v>58790.2286972605</v>
      </c>
      <c r="Q2169" s="55" t="n">
        <f aca="false">J2169</f>
        <v>345138.242729808</v>
      </c>
      <c r="R2169" s="55" t="n">
        <f aca="false">N2169</f>
        <v>904755.752356881</v>
      </c>
      <c r="S2169" s="56" t="n">
        <f aca="false">R2169</f>
        <v>904755.752356881</v>
      </c>
    </row>
    <row r="2170" customFormat="false" ht="15" hidden="false" customHeight="false" outlineLevel="0" collapsed="false">
      <c r="A2170" s="9" t="s">
        <v>541</v>
      </c>
      <c r="B2170" s="36" t="s">
        <v>125</v>
      </c>
      <c r="C2170" s="55" t="n">
        <f aca="false">C2167+C2168+C2169</f>
        <v>0</v>
      </c>
      <c r="D2170" s="55" t="n">
        <f aca="false">D2167+D2168+D2169</f>
        <v>40596.568259939</v>
      </c>
      <c r="E2170" s="55" t="n">
        <f aca="false">E2167+E2168+E2169</f>
        <v>135469.990663875</v>
      </c>
      <c r="F2170" s="55" t="n">
        <f aca="false">F2167+F2168+F2169</f>
        <v>254480.885327378</v>
      </c>
      <c r="G2170" s="55" t="n">
        <f aca="false">G2167+G2168+G2169</f>
        <v>413065.724835853</v>
      </c>
      <c r="H2170" s="55" t="n">
        <f aca="false">H2167+H2168+H2169</f>
        <v>622951.581442607</v>
      </c>
      <c r="I2170" s="55" t="n">
        <f aca="false">I2167+I2168+I2169</f>
        <v>890975.797861539</v>
      </c>
      <c r="J2170" s="55" t="n">
        <f aca="false">J2167+J2168+J2169</f>
        <v>1220846.68032978</v>
      </c>
      <c r="K2170" s="55" t="n">
        <f aca="false">K2167+K2168+K2169</f>
        <v>1578989.6348646</v>
      </c>
      <c r="L2170" s="55" t="n">
        <f aca="false">L2167+L2168+L2169</f>
        <v>1945767.30814644</v>
      </c>
      <c r="M2170" s="55" t="n">
        <f aca="false">M2167+M2168+M2169</f>
        <v>2320352.76742695</v>
      </c>
      <c r="N2170" s="55" t="n">
        <f aca="false">N2167+N2168+N2169</f>
        <v>2703520.6727876</v>
      </c>
      <c r="P2170" s="55" t="n">
        <f aca="false">F2170</f>
        <v>254480.885327378</v>
      </c>
      <c r="Q2170" s="55" t="n">
        <f aca="false">J2170</f>
        <v>1220846.68032978</v>
      </c>
      <c r="R2170" s="55" t="n">
        <f aca="false">N2170</f>
        <v>2703520.6727876</v>
      </c>
      <c r="S2170" s="56" t="n">
        <f aca="false">R2170</f>
        <v>2703520.6727876</v>
      </c>
    </row>
    <row r="2171" customFormat="false" ht="15" hidden="false" customHeight="false" outlineLevel="0" collapsed="false">
      <c r="A2171" s="4" t="s">
        <v>542</v>
      </c>
      <c r="B2171" s="36" t="s">
        <v>125</v>
      </c>
      <c r="C2171" s="54" t="n">
        <f aca="false">C2158*$C$2107+C2159*$C$2108+C2160*$C$2109</f>
        <v>0</v>
      </c>
      <c r="D2171" s="54" t="n">
        <f aca="false">D2158*$C$2107+D2159*$C$2108+D2160*$C$2109</f>
        <v>40596.568259939</v>
      </c>
      <c r="E2171" s="54" t="n">
        <f aca="false">E2158*$C$2107+E2159*$C$2108+E2160*$C$2109</f>
        <v>94031.789882507</v>
      </c>
      <c r="F2171" s="54" t="n">
        <f aca="false">F2158*$C$2107+F2159*$C$2108+F2160*$C$2109</f>
        <v>115238.608894596</v>
      </c>
      <c r="G2171" s="54" t="n">
        <f aca="false">G2158*$C$2107+G2159*$C$2108+G2160*$C$2109</f>
        <v>150528.379164594</v>
      </c>
      <c r="H2171" s="54" t="n">
        <f aca="false">H2158*$C$2107+H2159*$C$2108+H2160*$C$2109</f>
        <v>196484.549792767</v>
      </c>
      <c r="I2171" s="54" t="n">
        <f aca="false">I2158*$C$2107+I2159*$C$2108+I2160*$C$2109</f>
        <v>247385.159123879</v>
      </c>
      <c r="J2171" s="54" t="n">
        <f aca="false">J2158*$C$2107+J2159*$C$2108+J2160*$C$2109</f>
        <v>299889.948839304</v>
      </c>
      <c r="K2171" s="54" t="n">
        <f aca="false">K2158*$C$2107+K2159*$C$2108+K2160*$C$2109</f>
        <v>316300.711357092</v>
      </c>
      <c r="L2171" s="54" t="n">
        <f aca="false">L2158*$C$2107+L2159*$C$2108+L2160*$C$2109</f>
        <v>311304.610721673</v>
      </c>
      <c r="M2171" s="54" t="n">
        <f aca="false">M2158*$C$2107+M2159*$C$2108+M2160*$C$2109</f>
        <v>304896.911269592</v>
      </c>
      <c r="N2171" s="54" t="n">
        <f aca="false">N2158*$C$2107+N2159*$C$2108+N2160*$C$2109</f>
        <v>298744.33700217</v>
      </c>
      <c r="P2171" s="55" t="n">
        <f aca="false">SUM(C2171:F2171)</f>
        <v>249866.967037042</v>
      </c>
      <c r="Q2171" s="55" t="n">
        <f aca="false">SUM(G2171:J2171)</f>
        <v>894288.036920544</v>
      </c>
      <c r="R2171" s="55" t="n">
        <f aca="false">SUM(K2171:N2171)</f>
        <v>1231246.57035053</v>
      </c>
      <c r="S2171" s="56" t="n">
        <f aca="false">SUM(P2171:R2171)</f>
        <v>2375401.57430811</v>
      </c>
    </row>
    <row r="2172" customFormat="false" ht="15" hidden="false" customHeight="false" outlineLevel="0" collapsed="false">
      <c r="A2172" s="9" t="s">
        <v>543</v>
      </c>
      <c r="B2172" s="36" t="s">
        <v>125</v>
      </c>
      <c r="C2172" s="55" t="n">
        <f aca="false">(0+C2170)/8</f>
        <v>0</v>
      </c>
      <c r="D2172" s="55" t="n">
        <f aca="false">(C2170+D2170)/8</f>
        <v>5074.57103249237</v>
      </c>
      <c r="E2172" s="55" t="n">
        <f aca="false">(D2170+E2170)/8</f>
        <v>22008.3198654767</v>
      </c>
      <c r="F2172" s="55" t="n">
        <f aca="false">(E2170+F2170)/8</f>
        <v>48743.8594989066</v>
      </c>
      <c r="G2172" s="55" t="n">
        <f aca="false">(F2170+G2170)/8</f>
        <v>83443.3262704039</v>
      </c>
      <c r="H2172" s="55" t="n">
        <f aca="false">(G2170+H2170)/8</f>
        <v>129502.163284808</v>
      </c>
      <c r="I2172" s="55" t="n">
        <f aca="false">(H2170+I2170)/8</f>
        <v>189240.922413018</v>
      </c>
      <c r="J2172" s="55" t="n">
        <f aca="false">(I2170+J2170)/8</f>
        <v>263977.809773915</v>
      </c>
      <c r="K2172" s="55" t="n">
        <f aca="false">(J2170+K2170)/8</f>
        <v>349979.539399298</v>
      </c>
      <c r="L2172" s="55" t="n">
        <f aca="false">(K2170+L2170)/8</f>
        <v>440594.617876381</v>
      </c>
      <c r="M2172" s="55" t="n">
        <f aca="false">(L2170+M2170)/8</f>
        <v>533265.009446674</v>
      </c>
      <c r="N2172" s="55" t="n">
        <f aca="false">(M2170+N2170)/8</f>
        <v>627984.18002682</v>
      </c>
      <c r="P2172" s="55" t="n">
        <f aca="false">SUM(C2172:F2172)</f>
        <v>75826.7503968757</v>
      </c>
      <c r="Q2172" s="55" t="n">
        <f aca="false">SUM(G2172:J2172)</f>
        <v>666164.221742144</v>
      </c>
      <c r="R2172" s="55" t="n">
        <f aca="false">SUM(K2172:N2172)</f>
        <v>1951823.34674917</v>
      </c>
      <c r="S2172" s="56" t="n">
        <f aca="false">SUM(P2172:R2172)</f>
        <v>2693814.31888819</v>
      </c>
    </row>
    <row r="2173" customFormat="false" ht="15" hidden="false" customHeight="false" outlineLevel="0" collapsed="false">
      <c r="A2173" s="4" t="s">
        <v>544</v>
      </c>
      <c r="B2173" s="36" t="s">
        <v>125</v>
      </c>
      <c r="C2173" s="54" t="n">
        <f aca="false">C2172*Assumptions!$I$76</f>
        <v>0</v>
      </c>
      <c r="D2173" s="54" t="n">
        <f aca="false">D2172*Assumptions!$I$76</f>
        <v>3653.69114339451</v>
      </c>
      <c r="E2173" s="54" t="n">
        <f aca="false">E2172*Assumptions!$I$76</f>
        <v>15845.9903031433</v>
      </c>
      <c r="F2173" s="54" t="n">
        <f aca="false">F2172*Assumptions!$I$76</f>
        <v>35095.5788392128</v>
      </c>
      <c r="G2173" s="54" t="n">
        <f aca="false">G2172*Assumptions!$I$76</f>
        <v>60079.1949146908</v>
      </c>
      <c r="H2173" s="54" t="n">
        <f aca="false">H2172*Assumptions!$I$76</f>
        <v>93241.5575650614</v>
      </c>
      <c r="I2173" s="54" t="n">
        <f aca="false">I2172*Assumptions!$I$76</f>
        <v>136253.464137373</v>
      </c>
      <c r="J2173" s="54" t="n">
        <f aca="false">J2172*Assumptions!$I$76</f>
        <v>190064.023037219</v>
      </c>
      <c r="K2173" s="54" t="n">
        <f aca="false">K2172*Assumptions!$I$76</f>
        <v>251985.268367494</v>
      </c>
      <c r="L2173" s="54" t="n">
        <f aca="false">L2172*Assumptions!$I$76</f>
        <v>317228.124870994</v>
      </c>
      <c r="M2173" s="54" t="n">
        <f aca="false">M2172*Assumptions!$I$76</f>
        <v>383950.806801605</v>
      </c>
      <c r="N2173" s="54" t="n">
        <f aca="false">N2172*Assumptions!$I$76</f>
        <v>452148.60961931</v>
      </c>
      <c r="P2173" s="55" t="n">
        <f aca="false">SUM(C2173:F2173)</f>
        <v>54595.2602857505</v>
      </c>
      <c r="Q2173" s="55" t="n">
        <f aca="false">SUM(G2173:J2173)</f>
        <v>479638.239654344</v>
      </c>
      <c r="R2173" s="55" t="n">
        <f aca="false">SUM(K2173:N2173)</f>
        <v>1405312.8096594</v>
      </c>
      <c r="S2173" s="56" t="n">
        <f aca="false">SUM(P2173:R2173)</f>
        <v>1939546.3095995</v>
      </c>
    </row>
    <row r="2174" customFormat="false" ht="15" hidden="false" customHeight="false" outlineLevel="0" collapsed="false">
      <c r="A2174" s="35" t="s">
        <v>547</v>
      </c>
      <c r="B2174" s="35" t="s">
        <v>444</v>
      </c>
      <c r="C2174" s="6" t="s">
        <v>354</v>
      </c>
      <c r="D2174" s="6" t="s">
        <v>355</v>
      </c>
      <c r="E2174" s="6" t="s">
        <v>356</v>
      </c>
      <c r="F2174" s="6" t="s">
        <v>357</v>
      </c>
      <c r="G2174" s="6" t="s">
        <v>358</v>
      </c>
      <c r="H2174" s="6" t="s">
        <v>359</v>
      </c>
      <c r="I2174" s="6" t="s">
        <v>360</v>
      </c>
      <c r="J2174" s="6" t="s">
        <v>361</v>
      </c>
      <c r="K2174" s="6" t="s">
        <v>362</v>
      </c>
      <c r="L2174" s="6" t="s">
        <v>363</v>
      </c>
      <c r="M2174" s="6" t="s">
        <v>364</v>
      </c>
      <c r="N2174" s="6" t="s">
        <v>365</v>
      </c>
      <c r="P2174" s="6" t="s">
        <v>445</v>
      </c>
      <c r="Q2174" s="6" t="s">
        <v>446</v>
      </c>
      <c r="R2174" s="6" t="s">
        <v>447</v>
      </c>
      <c r="S2174" s="6" t="s">
        <v>448</v>
      </c>
    </row>
    <row r="2175" customFormat="false" ht="15" hidden="false" customHeight="false" outlineLevel="0" collapsed="false">
      <c r="A2175" s="4" t="s">
        <v>548</v>
      </c>
      <c r="B2175" s="36" t="s">
        <v>321</v>
      </c>
      <c r="C2175" s="48" t="n">
        <f aca="false">Assumptions!$D$97*C2117</f>
        <v>1</v>
      </c>
      <c r="D2175" s="48" t="n">
        <f aca="false">Assumptions!$D$97*D2117</f>
        <v>1</v>
      </c>
      <c r="E2175" s="48" t="n">
        <f aca="false">Assumptions!$D$97*E2117</f>
        <v>1</v>
      </c>
      <c r="F2175" s="48" t="n">
        <f aca="false">Assumptions!$D$97*F2117</f>
        <v>1</v>
      </c>
      <c r="G2175" s="48" t="n">
        <f aca="false">Assumptions!$D$97*G2117</f>
        <v>1</v>
      </c>
      <c r="H2175" s="48" t="n">
        <f aca="false">Assumptions!$D$97*H2117</f>
        <v>1</v>
      </c>
      <c r="I2175" s="48" t="n">
        <f aca="false">Assumptions!$D$97*I2117</f>
        <v>1</v>
      </c>
      <c r="J2175" s="48" t="n">
        <f aca="false">Assumptions!$D$97*J2117</f>
        <v>1</v>
      </c>
      <c r="K2175" s="48" t="n">
        <f aca="false">Assumptions!$D$97*K2117</f>
        <v>1</v>
      </c>
      <c r="L2175" s="48" t="n">
        <f aca="false">Assumptions!$D$97*L2117</f>
        <v>1</v>
      </c>
      <c r="M2175" s="48" t="n">
        <f aca="false">Assumptions!$D$97*M2117</f>
        <v>1</v>
      </c>
      <c r="N2175" s="48" t="n">
        <f aca="false">Assumptions!$D$97*N2117</f>
        <v>1</v>
      </c>
      <c r="P2175" s="49" t="n">
        <f aca="false">AVERAGE(C2175:F2175)</f>
        <v>1</v>
      </c>
      <c r="Q2175" s="49" t="n">
        <f aca="false">AVERAGE(G2175:J2175)</f>
        <v>1</v>
      </c>
      <c r="R2175" s="49" t="n">
        <f aca="false">AVERAGE(K2175:N2175)</f>
        <v>1</v>
      </c>
      <c r="S2175" s="50"/>
    </row>
    <row r="2176" customFormat="false" ht="15" hidden="false" customHeight="false" outlineLevel="0" collapsed="false">
      <c r="A2176" s="4" t="s">
        <v>549</v>
      </c>
      <c r="B2176" s="36" t="s">
        <v>321</v>
      </c>
      <c r="C2176" s="48" t="n">
        <f aca="false">C2130*C2117</f>
        <v>0</v>
      </c>
      <c r="D2176" s="48" t="n">
        <f aca="false">D2130*D2117</f>
        <v>0</v>
      </c>
      <c r="E2176" s="48" t="n">
        <f aca="false">E2130*E2117</f>
        <v>0</v>
      </c>
      <c r="F2176" s="48" t="n">
        <f aca="false">F2130*F2117</f>
        <v>0</v>
      </c>
      <c r="G2176" s="48" t="n">
        <f aca="false">G2130*G2117</f>
        <v>1</v>
      </c>
      <c r="H2176" s="48" t="n">
        <f aca="false">H2130*H2117</f>
        <v>2</v>
      </c>
      <c r="I2176" s="48" t="n">
        <f aca="false">I2130*I2117</f>
        <v>2</v>
      </c>
      <c r="J2176" s="48" t="n">
        <f aca="false">J2130*J2117</f>
        <v>2</v>
      </c>
      <c r="K2176" s="48" t="n">
        <f aca="false">K2130*K2117</f>
        <v>2</v>
      </c>
      <c r="L2176" s="48" t="n">
        <f aca="false">L2130*L2117</f>
        <v>2</v>
      </c>
      <c r="M2176" s="48" t="n">
        <f aca="false">M2130*M2117</f>
        <v>2</v>
      </c>
      <c r="N2176" s="48" t="n">
        <f aca="false">N2130*N2117</f>
        <v>2</v>
      </c>
      <c r="P2176" s="49" t="n">
        <f aca="false">AVERAGE(C2176:F2176)</f>
        <v>0</v>
      </c>
      <c r="Q2176" s="49" t="n">
        <f aca="false">AVERAGE(G2176:J2176)</f>
        <v>1.75</v>
      </c>
      <c r="R2176" s="49" t="n">
        <f aca="false">AVERAGE(K2176:N2176)</f>
        <v>2</v>
      </c>
      <c r="S2176" s="50"/>
    </row>
    <row r="2177" customFormat="false" ht="15" hidden="false" customHeight="false" outlineLevel="0" collapsed="false">
      <c r="A2177" s="4" t="s">
        <v>550</v>
      </c>
      <c r="B2177" s="36" t="s">
        <v>321</v>
      </c>
      <c r="C2177" s="48" t="n">
        <f aca="false">IF(C2116&lt;=4,Assumptions!$D$98,Assumptions!$D$99)*C2117</f>
        <v>0</v>
      </c>
      <c r="D2177" s="48" t="n">
        <f aca="false">IF(D2116&lt;=4,Assumptions!$D$98,Assumptions!$D$99)*D2117</f>
        <v>0</v>
      </c>
      <c r="E2177" s="48" t="n">
        <f aca="false">IF(E2116&lt;=4,Assumptions!$D$98,Assumptions!$D$99)*E2117</f>
        <v>0</v>
      </c>
      <c r="F2177" s="48" t="n">
        <f aca="false">IF(F2116&lt;=4,Assumptions!$D$98,Assumptions!$D$99)*F2117</f>
        <v>0</v>
      </c>
      <c r="G2177" s="48" t="n">
        <f aca="false">IF(G2116&lt;=4,Assumptions!$D$98,Assumptions!$D$99)*G2117</f>
        <v>0.5</v>
      </c>
      <c r="H2177" s="48" t="n">
        <f aca="false">IF(H2116&lt;=4,Assumptions!$D$98,Assumptions!$D$99)*H2117</f>
        <v>0.5</v>
      </c>
      <c r="I2177" s="48" t="n">
        <f aca="false">IF(I2116&lt;=4,Assumptions!$D$98,Assumptions!$D$99)*I2117</f>
        <v>0.5</v>
      </c>
      <c r="J2177" s="48" t="n">
        <f aca="false">IF(J2116&lt;=4,Assumptions!$D$98,Assumptions!$D$99)*J2117</f>
        <v>0.5</v>
      </c>
      <c r="K2177" s="48" t="n">
        <f aca="false">IF(K2116&lt;=4,Assumptions!$D$98,Assumptions!$D$99)*K2117</f>
        <v>0.5</v>
      </c>
      <c r="L2177" s="48" t="n">
        <f aca="false">IF(L2116&lt;=4,Assumptions!$D$98,Assumptions!$D$99)*L2117</f>
        <v>0.5</v>
      </c>
      <c r="M2177" s="48" t="n">
        <f aca="false">IF(M2116&lt;=4,Assumptions!$D$98,Assumptions!$D$99)*M2117</f>
        <v>0.5</v>
      </c>
      <c r="N2177" s="48" t="n">
        <f aca="false">IF(N2116&lt;=4,Assumptions!$D$98,Assumptions!$D$99)*N2117</f>
        <v>0.5</v>
      </c>
      <c r="P2177" s="49" t="n">
        <f aca="false">AVERAGE(C2177:F2177)</f>
        <v>0</v>
      </c>
      <c r="Q2177" s="49" t="n">
        <f aca="false">AVERAGE(G2177:J2177)</f>
        <v>0.5</v>
      </c>
      <c r="R2177" s="49" t="n">
        <f aca="false">AVERAGE(K2177:N2177)</f>
        <v>0.5</v>
      </c>
      <c r="S2177" s="50"/>
    </row>
    <row r="2178" customFormat="false" ht="15" hidden="false" customHeight="false" outlineLevel="0" collapsed="false">
      <c r="A2178" s="4" t="s">
        <v>551</v>
      </c>
      <c r="B2178" s="36" t="s">
        <v>321</v>
      </c>
      <c r="C2178" s="48" t="n">
        <f aca="false">IF(C2116&lt;=4,Assumptions!$D$100,Assumptions!$D$101)*C2117</f>
        <v>1</v>
      </c>
      <c r="D2178" s="48" t="n">
        <f aca="false">IF(D2116&lt;=4,Assumptions!$D$100,Assumptions!$D$101)*D2117</f>
        <v>1</v>
      </c>
      <c r="E2178" s="48" t="n">
        <f aca="false">IF(E2116&lt;=4,Assumptions!$D$100,Assumptions!$D$101)*E2117</f>
        <v>1</v>
      </c>
      <c r="F2178" s="48" t="n">
        <f aca="false">IF(F2116&lt;=4,Assumptions!$D$100,Assumptions!$D$101)*F2117</f>
        <v>1</v>
      </c>
      <c r="G2178" s="48" t="n">
        <f aca="false">IF(G2116&lt;=4,Assumptions!$D$100,Assumptions!$D$101)*G2117</f>
        <v>0.5</v>
      </c>
      <c r="H2178" s="48" t="n">
        <f aca="false">IF(H2116&lt;=4,Assumptions!$D$100,Assumptions!$D$101)*H2117</f>
        <v>0.5</v>
      </c>
      <c r="I2178" s="48" t="n">
        <f aca="false">IF(I2116&lt;=4,Assumptions!$D$100,Assumptions!$D$101)*I2117</f>
        <v>0.5</v>
      </c>
      <c r="J2178" s="48" t="n">
        <f aca="false">IF(J2116&lt;=4,Assumptions!$D$100,Assumptions!$D$101)*J2117</f>
        <v>0.5</v>
      </c>
      <c r="K2178" s="48" t="n">
        <f aca="false">IF(K2116&lt;=4,Assumptions!$D$100,Assumptions!$D$101)*K2117</f>
        <v>0.5</v>
      </c>
      <c r="L2178" s="48" t="n">
        <f aca="false">IF(L2116&lt;=4,Assumptions!$D$100,Assumptions!$D$101)*L2117</f>
        <v>0.5</v>
      </c>
      <c r="M2178" s="48" t="n">
        <f aca="false">IF(M2116&lt;=4,Assumptions!$D$100,Assumptions!$D$101)*M2117</f>
        <v>0.5</v>
      </c>
      <c r="N2178" s="48" t="n">
        <f aca="false">IF(N2116&lt;=4,Assumptions!$D$100,Assumptions!$D$101)*N2117</f>
        <v>0.5</v>
      </c>
      <c r="P2178" s="49" t="n">
        <f aca="false">AVERAGE(C2178:F2178)</f>
        <v>1</v>
      </c>
      <c r="Q2178" s="49" t="n">
        <f aca="false">AVERAGE(G2178:J2178)</f>
        <v>0.5</v>
      </c>
      <c r="R2178" s="49" t="n">
        <f aca="false">AVERAGE(K2178:N2178)</f>
        <v>0.5</v>
      </c>
      <c r="S2178" s="50"/>
    </row>
    <row r="2179" customFormat="false" ht="15" hidden="false" customHeight="false" outlineLevel="0" collapsed="false">
      <c r="A2179" s="4" t="s">
        <v>552</v>
      </c>
      <c r="B2179" s="36" t="s">
        <v>321</v>
      </c>
      <c r="C2179" s="48" t="n">
        <f aca="false">Assumptions!$D$102*C2117</f>
        <v>0.25</v>
      </c>
      <c r="D2179" s="48" t="n">
        <f aca="false">Assumptions!$D$102*D2117</f>
        <v>0.25</v>
      </c>
      <c r="E2179" s="48" t="n">
        <f aca="false">Assumptions!$D$102*E2117</f>
        <v>0.25</v>
      </c>
      <c r="F2179" s="48" t="n">
        <f aca="false">Assumptions!$D$102*F2117</f>
        <v>0.25</v>
      </c>
      <c r="G2179" s="48" t="n">
        <f aca="false">Assumptions!$D$102*G2117</f>
        <v>0.25</v>
      </c>
      <c r="H2179" s="48" t="n">
        <f aca="false">Assumptions!$D$102*H2117</f>
        <v>0.25</v>
      </c>
      <c r="I2179" s="48" t="n">
        <f aca="false">Assumptions!$D$102*I2117</f>
        <v>0.25</v>
      </c>
      <c r="J2179" s="48" t="n">
        <f aca="false">Assumptions!$D$102*J2117</f>
        <v>0.25</v>
      </c>
      <c r="K2179" s="48" t="n">
        <f aca="false">Assumptions!$D$102*K2117</f>
        <v>0.25</v>
      </c>
      <c r="L2179" s="48" t="n">
        <f aca="false">Assumptions!$D$102*L2117</f>
        <v>0.25</v>
      </c>
      <c r="M2179" s="48" t="n">
        <f aca="false">Assumptions!$D$102*M2117</f>
        <v>0.25</v>
      </c>
      <c r="N2179" s="48" t="n">
        <f aca="false">Assumptions!$D$102*N2117</f>
        <v>0.25</v>
      </c>
      <c r="P2179" s="49" t="n">
        <f aca="false">AVERAGE(C2179:F2179)</f>
        <v>0.25</v>
      </c>
      <c r="Q2179" s="49" t="n">
        <f aca="false">AVERAGE(G2179:J2179)</f>
        <v>0.25</v>
      </c>
      <c r="R2179" s="49" t="n">
        <f aca="false">AVERAGE(K2179:N2179)</f>
        <v>0.25</v>
      </c>
      <c r="S2179" s="50"/>
    </row>
    <row r="2180" customFormat="false" ht="15" hidden="false" customHeight="false" outlineLevel="0" collapsed="false">
      <c r="A2180" s="4" t="s">
        <v>553</v>
      </c>
      <c r="B2180" s="36" t="s">
        <v>321</v>
      </c>
      <c r="C2180" s="48" t="n">
        <f aca="false">(C2164+C2165)/Assumptions!$I$74+C2163/Assumptions!$I$75</f>
        <v>0</v>
      </c>
      <c r="D2180" s="48" t="n">
        <f aca="false">(D2164+D2165)/Assumptions!$I$74+D2163/Assumptions!$I$75</f>
        <v>0.0765460123589596</v>
      </c>
      <c r="E2180" s="48" t="n">
        <f aca="false">(E2164+E2165)/Assumptions!$I$74+E2163/Assumptions!$I$75</f>
        <v>0.225395982631678</v>
      </c>
      <c r="F2180" s="48" t="n">
        <f aca="false">(F2164+F2165)/Assumptions!$I$74+F2163/Assumptions!$I$75</f>
        <v>0.389475205617273</v>
      </c>
      <c r="G2180" s="48" t="n">
        <f aca="false">(G2164+G2165)/Assumptions!$I$74+G2163/Assumptions!$I$75</f>
        <v>0.614226970178514</v>
      </c>
      <c r="H2180" s="48" t="n">
        <f aca="false">(H2164+H2165)/Assumptions!$I$74+H2163/Assumptions!$I$75</f>
        <v>0.902563392934378</v>
      </c>
      <c r="I2180" s="48" t="n">
        <f aca="false">(I2164+I2165)/Assumptions!$I$74+I2163/Assumptions!$I$75</f>
        <v>1.27046836817427</v>
      </c>
      <c r="J2180" s="48" t="n">
        <f aca="false">(J2164+J2165)/Assumptions!$I$74+J2163/Assumptions!$I$75</f>
        <v>1.71126912429534</v>
      </c>
      <c r="K2180" s="48" t="n">
        <f aca="false">(K2164+K2165)/Assumptions!$I$74+K2163/Assumptions!$I$75</f>
        <v>2.15144831768435</v>
      </c>
      <c r="L2180" s="48" t="n">
        <f aca="false">(L2164+L2165)/Assumptions!$I$74+L2163/Assumptions!$I$75</f>
        <v>2.57453659093779</v>
      </c>
      <c r="M2180" s="48" t="n">
        <f aca="false">(M2164+M2165)/Assumptions!$I$74+M2163/Assumptions!$I$75</f>
        <v>2.98030767583571</v>
      </c>
      <c r="N2180" s="48" t="n">
        <f aca="false">(N2164+N2165)/Assumptions!$I$74+N2163/Assumptions!$I$75</f>
        <v>3.3694643631482</v>
      </c>
      <c r="P2180" s="49" t="n">
        <f aca="false">AVERAGE(C2180:F2180)</f>
        <v>0.172854300151978</v>
      </c>
      <c r="Q2180" s="49" t="n">
        <f aca="false">AVERAGE(G2180:J2180)</f>
        <v>1.12463196389563</v>
      </c>
      <c r="R2180" s="49" t="n">
        <f aca="false">AVERAGE(K2180:N2180)</f>
        <v>2.76893923690151</v>
      </c>
      <c r="S2180" s="50"/>
    </row>
    <row r="2181" customFormat="false" ht="15" hidden="false" customHeight="false" outlineLevel="0" collapsed="false">
      <c r="A2181" s="4" t="s">
        <v>554</v>
      </c>
      <c r="B2181" s="36" t="s">
        <v>125</v>
      </c>
      <c r="C2181" s="54" t="n">
        <f aca="false">(C2175+C2177)*Assumptions!$I$70/Assumptions!$I$69/4</f>
        <v>66753.5714285714</v>
      </c>
      <c r="D2181" s="54" t="n">
        <f aca="false">(D2175+D2177)*Assumptions!$I$70/Assumptions!$I$69/4</f>
        <v>66753.5714285714</v>
      </c>
      <c r="E2181" s="54" t="n">
        <f aca="false">(E2175+E2177)*Assumptions!$I$70/Assumptions!$I$69/4</f>
        <v>66753.5714285714</v>
      </c>
      <c r="F2181" s="54" t="n">
        <f aca="false">(F2175+F2177)*Assumptions!$I$70/Assumptions!$I$69/4</f>
        <v>66753.5714285714</v>
      </c>
      <c r="G2181" s="54" t="n">
        <f aca="false">(G2175+G2177)*Assumptions!$I$70/Assumptions!$I$69/4</f>
        <v>100130.357142857</v>
      </c>
      <c r="H2181" s="54" t="n">
        <f aca="false">(H2175+H2177)*Assumptions!$I$70/Assumptions!$I$69/4</f>
        <v>100130.357142857</v>
      </c>
      <c r="I2181" s="54" t="n">
        <f aca="false">(I2175+I2177)*Assumptions!$I$70/Assumptions!$I$69/4</f>
        <v>100130.357142857</v>
      </c>
      <c r="J2181" s="54" t="n">
        <f aca="false">(J2175+J2177)*Assumptions!$I$70/Assumptions!$I$69/4</f>
        <v>100130.357142857</v>
      </c>
      <c r="K2181" s="54" t="n">
        <f aca="false">(K2175+K2177)*Assumptions!$I$70/Assumptions!$I$69/4</f>
        <v>100130.357142857</v>
      </c>
      <c r="L2181" s="54" t="n">
        <f aca="false">(L2175+L2177)*Assumptions!$I$70/Assumptions!$I$69/4</f>
        <v>100130.357142857</v>
      </c>
      <c r="M2181" s="54" t="n">
        <f aca="false">(M2175+M2177)*Assumptions!$I$70/Assumptions!$I$69/4</f>
        <v>100130.357142857</v>
      </c>
      <c r="N2181" s="54" t="n">
        <f aca="false">(N2175+N2177)*Assumptions!$I$70/Assumptions!$I$69/4</f>
        <v>100130.357142857</v>
      </c>
      <c r="P2181" s="55" t="n">
        <f aca="false">SUM(C2181:F2181)</f>
        <v>267014.285714286</v>
      </c>
      <c r="Q2181" s="55" t="n">
        <f aca="false">SUM(G2181:J2181)</f>
        <v>400521.428571429</v>
      </c>
      <c r="R2181" s="55" t="n">
        <f aca="false">SUM(K2181:N2181)</f>
        <v>400521.428571429</v>
      </c>
      <c r="S2181" s="56" t="n">
        <f aca="false">SUM(P2181:R2181)</f>
        <v>1068057.14285714</v>
      </c>
    </row>
    <row r="2182" customFormat="false" ht="15" hidden="false" customHeight="false" outlineLevel="0" collapsed="false">
      <c r="A2182" s="4" t="s">
        <v>555</v>
      </c>
      <c r="B2182" s="36" t="s">
        <v>125</v>
      </c>
      <c r="C2182" s="54" t="n">
        <f aca="false">C2176*$C$2111/4</f>
        <v>0</v>
      </c>
      <c r="D2182" s="54" t="n">
        <f aca="false">D2176*$C$2111/4</f>
        <v>0</v>
      </c>
      <c r="E2182" s="54" t="n">
        <f aca="false">E2176*$C$2111/4</f>
        <v>0</v>
      </c>
      <c r="F2182" s="54" t="n">
        <f aca="false">F2176*$C$2111/4</f>
        <v>0</v>
      </c>
      <c r="G2182" s="54" t="n">
        <f aca="false">G2176*$C$2111/4</f>
        <v>71428.5714285714</v>
      </c>
      <c r="H2182" s="54" t="n">
        <f aca="false">H2176*$C$2111/4</f>
        <v>142857.142857143</v>
      </c>
      <c r="I2182" s="54" t="n">
        <f aca="false">I2176*$C$2111/4</f>
        <v>142857.142857143</v>
      </c>
      <c r="J2182" s="54" t="n">
        <f aca="false">J2176*$C$2111/4</f>
        <v>142857.142857143</v>
      </c>
      <c r="K2182" s="54" t="n">
        <f aca="false">K2176*$C$2111/4</f>
        <v>142857.142857143</v>
      </c>
      <c r="L2182" s="54" t="n">
        <f aca="false">L2176*$C$2111/4</f>
        <v>142857.142857143</v>
      </c>
      <c r="M2182" s="54" t="n">
        <f aca="false">M2176*$C$2111/4</f>
        <v>142857.142857143</v>
      </c>
      <c r="N2182" s="54" t="n">
        <f aca="false">N2176*$C$2111/4</f>
        <v>142857.142857143</v>
      </c>
      <c r="P2182" s="55" t="n">
        <f aca="false">SUM(C2182:F2182)</f>
        <v>0</v>
      </c>
      <c r="Q2182" s="55" t="n">
        <f aca="false">SUM(G2182:J2182)</f>
        <v>500000</v>
      </c>
      <c r="R2182" s="55" t="n">
        <f aca="false">SUM(K2182:N2182)</f>
        <v>571428.571428572</v>
      </c>
      <c r="S2182" s="56" t="n">
        <f aca="false">SUM(P2182:R2182)</f>
        <v>1071428.57142857</v>
      </c>
    </row>
    <row r="2183" customFormat="false" ht="15" hidden="false" customHeight="false" outlineLevel="0" collapsed="false">
      <c r="A2183" s="4" t="s">
        <v>556</v>
      </c>
      <c r="B2183" s="36" t="s">
        <v>125</v>
      </c>
      <c r="C2183" s="54" t="n">
        <f aca="false">MAX(0,(C2171-C2152*$C$2107)-C2131*$C$2112)*$C$2113*Assumptions!$D$105</f>
        <v>0</v>
      </c>
      <c r="D2183" s="54" t="n">
        <f aca="false">MAX(0,(D2171-D2152*$C$2107)-D2131*$C$2112)*$C$2113*Assumptions!$D$105</f>
        <v>8952.31627639353</v>
      </c>
      <c r="E2183" s="54" t="n">
        <f aca="false">MAX(0,(E2171-E2152*$C$2107)-E2131*$C$2112)*$C$2113*Assumptions!$D$105</f>
        <v>24074.4231369151</v>
      </c>
      <c r="F2183" s="54" t="n">
        <f aca="false">MAX(0,(F2171-F2152*$C$2107)-F2131*$C$2112)*$C$2113*Assumptions!$D$105</f>
        <v>31467.4760160704</v>
      </c>
      <c r="G2183" s="54" t="n">
        <f aca="false">MAX(0,(G2171-G2152*$C$2107)-G2131*$C$2112)*$C$2113*Assumptions!$D$105</f>
        <v>39642.7439529881</v>
      </c>
      <c r="H2183" s="54" t="n">
        <f aca="false">MAX(0,(H2171-H2152*$C$2107)-H2131*$C$2112)*$C$2113*Assumptions!$D$105</f>
        <v>16437.3838545803</v>
      </c>
      <c r="I2183" s="54" t="n">
        <f aca="false">MAX(0,(I2171-I2152*$C$2107)-I2131*$C$2112)*$C$2113*Assumptions!$D$105</f>
        <v>0</v>
      </c>
      <c r="J2183" s="54" t="n">
        <f aca="false">MAX(0,(J2171-J2152*$C$2107)-J2131*$C$2112)*$C$2113*Assumptions!$D$105</f>
        <v>0</v>
      </c>
      <c r="K2183" s="54" t="n">
        <f aca="false">MAX(0,(K2171-K2152*$C$2107)-K2131*$C$2112)*$C$2113*Assumptions!$D$105</f>
        <v>0</v>
      </c>
      <c r="L2183" s="54" t="n">
        <f aca="false">MAX(0,(L2171-L2152*$C$2107)-L2131*$C$2112)*$C$2113*Assumptions!$D$105</f>
        <v>0</v>
      </c>
      <c r="M2183" s="54" t="n">
        <f aca="false">MAX(0,(M2171-M2152*$C$2107)-M2131*$C$2112)*$C$2113*Assumptions!$D$105</f>
        <v>0</v>
      </c>
      <c r="N2183" s="54" t="n">
        <f aca="false">MAX(0,(N2171-N2152*$C$2107)-N2131*$C$2112)*$C$2113*Assumptions!$D$105</f>
        <v>0</v>
      </c>
      <c r="P2183" s="55" t="n">
        <f aca="false">SUM(C2183:F2183)</f>
        <v>64494.215429379</v>
      </c>
      <c r="Q2183" s="55" t="n">
        <f aca="false">SUM(G2183:J2183)</f>
        <v>56080.1278075683</v>
      </c>
      <c r="R2183" s="55" t="n">
        <f aca="false">SUM(K2183:N2183)</f>
        <v>0</v>
      </c>
      <c r="S2183" s="56" t="n">
        <f aca="false">SUM(P2183:R2183)</f>
        <v>120574.343236947</v>
      </c>
    </row>
    <row r="2184" customFormat="false" ht="15" hidden="false" customHeight="false" outlineLevel="0" collapsed="false">
      <c r="A2184" s="4" t="s">
        <v>557</v>
      </c>
      <c r="B2184" s="36" t="s">
        <v>125</v>
      </c>
      <c r="C2184" s="54" t="n">
        <f aca="false">C2179*Assumptions!$I$71/Assumptions!$I$69/4</f>
        <v>18475.8928571429</v>
      </c>
      <c r="D2184" s="54" t="n">
        <f aca="false">D2179*Assumptions!$I$71/Assumptions!$I$69/4</f>
        <v>18475.8928571429</v>
      </c>
      <c r="E2184" s="54" t="n">
        <f aca="false">E2179*Assumptions!$I$71/Assumptions!$I$69/4</f>
        <v>18475.8928571429</v>
      </c>
      <c r="F2184" s="54" t="n">
        <f aca="false">F2179*Assumptions!$I$71/Assumptions!$I$69/4</f>
        <v>18475.8928571429</v>
      </c>
      <c r="G2184" s="54" t="n">
        <f aca="false">G2179*Assumptions!$I$71/Assumptions!$I$69/4</f>
        <v>18475.8928571429</v>
      </c>
      <c r="H2184" s="54" t="n">
        <f aca="false">H2179*Assumptions!$I$71/Assumptions!$I$69/4</f>
        <v>18475.8928571429</v>
      </c>
      <c r="I2184" s="54" t="n">
        <f aca="false">I2179*Assumptions!$I$71/Assumptions!$I$69/4</f>
        <v>18475.8928571429</v>
      </c>
      <c r="J2184" s="54" t="n">
        <f aca="false">J2179*Assumptions!$I$71/Assumptions!$I$69/4</f>
        <v>18475.8928571429</v>
      </c>
      <c r="K2184" s="54" t="n">
        <f aca="false">K2179*Assumptions!$I$71/Assumptions!$I$69/4</f>
        <v>18475.8928571429</v>
      </c>
      <c r="L2184" s="54" t="n">
        <f aca="false">L2179*Assumptions!$I$71/Assumptions!$I$69/4</f>
        <v>18475.8928571429</v>
      </c>
      <c r="M2184" s="54" t="n">
        <f aca="false">M2179*Assumptions!$I$71/Assumptions!$I$69/4</f>
        <v>18475.8928571429</v>
      </c>
      <c r="N2184" s="54" t="n">
        <f aca="false">N2179*Assumptions!$I$71/Assumptions!$I$69/4</f>
        <v>18475.8928571429</v>
      </c>
      <c r="P2184" s="55" t="n">
        <f aca="false">SUM(C2184:F2184)</f>
        <v>73903.5714285714</v>
      </c>
      <c r="Q2184" s="55" t="n">
        <f aca="false">SUM(G2184:J2184)</f>
        <v>73903.5714285714</v>
      </c>
      <c r="R2184" s="55" t="n">
        <f aca="false">SUM(K2184:N2184)</f>
        <v>73903.5714285714</v>
      </c>
      <c r="S2184" s="56" t="n">
        <f aca="false">SUM(P2184:R2184)</f>
        <v>221710.714285714</v>
      </c>
    </row>
    <row r="2185" customFormat="false" ht="15" hidden="false" customHeight="false" outlineLevel="0" collapsed="false">
      <c r="A2185" s="4" t="s">
        <v>558</v>
      </c>
      <c r="B2185" s="36" t="s">
        <v>125</v>
      </c>
      <c r="C2185" s="54" t="n">
        <f aca="false">(Assumptions!$D$103+Assumptions!$I$77*((C2116=Assumptions!$I$13)+(C2116=Assumptions!$I$14)+(C2116=Assumptions!$I$15)))*C2117</f>
        <v>65000</v>
      </c>
      <c r="D2185" s="54" t="n">
        <f aca="false">(Assumptions!$D$103+Assumptions!$I$77*((D2116=Assumptions!$I$13)+(D2116=Assumptions!$I$14)+(D2116=Assumptions!$I$15)))*D2117</f>
        <v>25000</v>
      </c>
      <c r="E2185" s="54" t="n">
        <f aca="false">(Assumptions!$D$103+Assumptions!$I$77*((E2116=Assumptions!$I$13)+(E2116=Assumptions!$I$14)+(E2116=Assumptions!$I$15)))*E2117</f>
        <v>25000</v>
      </c>
      <c r="F2185" s="54" t="n">
        <f aca="false">(Assumptions!$D$103+Assumptions!$I$77*((F2116=Assumptions!$I$13)+(F2116=Assumptions!$I$14)+(F2116=Assumptions!$I$15)))*F2117</f>
        <v>65000</v>
      </c>
      <c r="G2185" s="54" t="n">
        <f aca="false">(Assumptions!$D$103+Assumptions!$I$77*((G2116=Assumptions!$I$13)+(G2116=Assumptions!$I$14)+(G2116=Assumptions!$I$15)))*G2117</f>
        <v>25000</v>
      </c>
      <c r="H2185" s="54" t="n">
        <f aca="false">(Assumptions!$D$103+Assumptions!$I$77*((H2116=Assumptions!$I$13)+(H2116=Assumptions!$I$14)+(H2116=Assumptions!$I$15)))*H2117</f>
        <v>65000</v>
      </c>
      <c r="I2185" s="54" t="n">
        <f aca="false">(Assumptions!$D$103+Assumptions!$I$77*((I2116=Assumptions!$I$13)+(I2116=Assumptions!$I$14)+(I2116=Assumptions!$I$15)))*I2117</f>
        <v>25000</v>
      </c>
      <c r="J2185" s="54" t="n">
        <f aca="false">(Assumptions!$D$103+Assumptions!$I$77*((J2116=Assumptions!$I$13)+(J2116=Assumptions!$I$14)+(J2116=Assumptions!$I$15)))*J2117</f>
        <v>25000</v>
      </c>
      <c r="K2185" s="54" t="n">
        <f aca="false">(Assumptions!$D$103+Assumptions!$I$77*((K2116=Assumptions!$I$13)+(K2116=Assumptions!$I$14)+(K2116=Assumptions!$I$15)))*K2117</f>
        <v>25000</v>
      </c>
      <c r="L2185" s="54" t="n">
        <f aca="false">(Assumptions!$D$103+Assumptions!$I$77*((L2116=Assumptions!$I$13)+(L2116=Assumptions!$I$14)+(L2116=Assumptions!$I$15)))*L2117</f>
        <v>25000</v>
      </c>
      <c r="M2185" s="54" t="n">
        <f aca="false">(Assumptions!$D$103+Assumptions!$I$77*((M2116=Assumptions!$I$13)+(M2116=Assumptions!$I$14)+(M2116=Assumptions!$I$15)))*M2117</f>
        <v>25000</v>
      </c>
      <c r="N2185" s="54" t="n">
        <f aca="false">(Assumptions!$D$103+Assumptions!$I$77*((N2116=Assumptions!$I$13)+(N2116=Assumptions!$I$14)+(N2116=Assumptions!$I$15)))*N2117</f>
        <v>25000</v>
      </c>
      <c r="P2185" s="55" t="n">
        <f aca="false">SUM(C2185:F2185)</f>
        <v>180000</v>
      </c>
      <c r="Q2185" s="55" t="n">
        <f aca="false">SUM(G2185:J2185)</f>
        <v>140000</v>
      </c>
      <c r="R2185" s="55" t="n">
        <f aca="false">SUM(K2185:N2185)</f>
        <v>100000</v>
      </c>
      <c r="S2185" s="56" t="n">
        <f aca="false">SUM(P2185:R2185)</f>
        <v>420000</v>
      </c>
    </row>
    <row r="2186" customFormat="false" ht="15" hidden="false" customHeight="false" outlineLevel="0" collapsed="false">
      <c r="A2186" s="4" t="s">
        <v>559</v>
      </c>
      <c r="B2186" s="36" t="s">
        <v>125</v>
      </c>
      <c r="C2186" s="54" t="n">
        <f aca="false">C2171*C2151*Assumptions!$I$79</f>
        <v>0</v>
      </c>
      <c r="D2186" s="54" t="n">
        <f aca="false">D2171*D2151*Assumptions!$I$79</f>
        <v>1816.45399766271</v>
      </c>
      <c r="E2186" s="54" t="n">
        <f aca="false">E2171*E2151*Assumptions!$I$79</f>
        <v>3479.70313432519</v>
      </c>
      <c r="F2186" s="54" t="n">
        <f aca="false">F2171*F2151*Assumptions!$I$79</f>
        <v>5351.24224773307</v>
      </c>
      <c r="G2186" s="54" t="n">
        <f aca="false">G2171*G2151*Assumptions!$I$79</f>
        <v>6160.19445590078</v>
      </c>
      <c r="H2186" s="54" t="n">
        <f aca="false">H2171*H2151*Assumptions!$I$79</f>
        <v>7526.20476750475</v>
      </c>
      <c r="I2186" s="54" t="n">
        <f aca="false">I2171*I2151*Assumptions!$I$79</f>
        <v>8764.86720186656</v>
      </c>
      <c r="J2186" s="54" t="n">
        <f aca="false">J2171*J2151*Assumptions!$I$79</f>
        <v>8980.11592187287</v>
      </c>
      <c r="K2186" s="54" t="n">
        <f aca="false">K2171*K2151*Assumptions!$I$79</f>
        <v>9525.02684355075</v>
      </c>
      <c r="L2186" s="54" t="n">
        <f aca="false">L2171*L2151*Assumptions!$I$79</f>
        <v>9574.21476588278</v>
      </c>
      <c r="M2186" s="54" t="n">
        <f aca="false">M2171*M2151*Assumptions!$I$79</f>
        <v>9572.89120334393</v>
      </c>
      <c r="N2186" s="54" t="n">
        <f aca="false">N2171*N2151*Assumptions!$I$79</f>
        <v>9571.56727353528</v>
      </c>
      <c r="P2186" s="55" t="n">
        <f aca="false">SUM(C2186:F2186)</f>
        <v>10647.399379721</v>
      </c>
      <c r="Q2186" s="55" t="n">
        <f aca="false">SUM(G2186:J2186)</f>
        <v>31431.382347145</v>
      </c>
      <c r="R2186" s="55" t="n">
        <f aca="false">SUM(K2186:N2186)</f>
        <v>38243.7000863127</v>
      </c>
      <c r="S2186" s="56" t="n">
        <f aca="false">SUM(P2186:R2186)</f>
        <v>80322.4818131787</v>
      </c>
    </row>
    <row r="2187" customFormat="false" ht="15" hidden="false" customHeight="false" outlineLevel="0" collapsed="false">
      <c r="A2187" s="4" t="s">
        <v>560</v>
      </c>
      <c r="B2187" s="36" t="s">
        <v>125</v>
      </c>
      <c r="C2187" s="54" t="n">
        <f aca="false">C2136*Assumptions!$I$80</f>
        <v>8000</v>
      </c>
      <c r="D2187" s="54" t="n">
        <f aca="false">D2136*Assumptions!$I$80</f>
        <v>12000</v>
      </c>
      <c r="E2187" s="54" t="n">
        <f aca="false">E2136*Assumptions!$I$80</f>
        <v>16000</v>
      </c>
      <c r="F2187" s="54" t="n">
        <f aca="false">F2136*Assumptions!$I$80</f>
        <v>20000</v>
      </c>
      <c r="G2187" s="54" t="n">
        <f aca="false">G2136*Assumptions!$I$80</f>
        <v>24000</v>
      </c>
      <c r="H2187" s="54" t="n">
        <f aca="false">H2136*Assumptions!$I$80</f>
        <v>28000</v>
      </c>
      <c r="I2187" s="54" t="n">
        <f aca="false">I2136*Assumptions!$I$80</f>
        <v>28000</v>
      </c>
      <c r="J2187" s="54" t="n">
        <f aca="false">J2136*Assumptions!$I$80</f>
        <v>28000</v>
      </c>
      <c r="K2187" s="54" t="n">
        <f aca="false">K2136*Assumptions!$I$80</f>
        <v>28000</v>
      </c>
      <c r="L2187" s="54" t="n">
        <f aca="false">L2136*Assumptions!$I$80</f>
        <v>28000</v>
      </c>
      <c r="M2187" s="54" t="n">
        <f aca="false">M2136*Assumptions!$I$80</f>
        <v>28000</v>
      </c>
      <c r="N2187" s="54" t="n">
        <f aca="false">N2136*Assumptions!$I$80</f>
        <v>28000</v>
      </c>
      <c r="P2187" s="55" t="n">
        <f aca="false">SUM(C2187:F2187)</f>
        <v>56000</v>
      </c>
      <c r="Q2187" s="55" t="n">
        <f aca="false">SUM(G2187:J2187)</f>
        <v>108000</v>
      </c>
      <c r="R2187" s="55" t="n">
        <f aca="false">SUM(K2187:N2187)</f>
        <v>112000</v>
      </c>
      <c r="S2187" s="56" t="n">
        <f aca="false">SUM(P2187:R2187)</f>
        <v>276000</v>
      </c>
    </row>
    <row r="2188" customFormat="false" ht="15" hidden="false" customHeight="false" outlineLevel="0" collapsed="false">
      <c r="A2188" s="4" t="s">
        <v>561</v>
      </c>
      <c r="B2188" s="36" t="s">
        <v>125</v>
      </c>
      <c r="C2188" s="54" t="n">
        <f aca="false">(C2159*$C$2108+C2160*$C$2109)*Assumptions!$I$81</f>
        <v>0</v>
      </c>
      <c r="D2188" s="54" t="n">
        <f aca="false">(D2159*$C$2108+D2160*$C$2109)*Assumptions!$I$81</f>
        <v>588.780916917609</v>
      </c>
      <c r="E2188" s="54" t="n">
        <f aca="false">(E2159*$C$2108+E2160*$C$2109)*Assumptions!$I$81</f>
        <v>2088.00139793993</v>
      </c>
      <c r="F2188" s="54" t="n">
        <f aca="false">(F2159*$C$2108+F2160*$C$2109)*Assumptions!$I$81</f>
        <v>2984.86082887457</v>
      </c>
      <c r="G2188" s="54" t="n">
        <f aca="false">(G2159*$C$2108+G2160*$C$2109)*Assumptions!$I$81</f>
        <v>3581.97218223205</v>
      </c>
      <c r="H2188" s="54" t="n">
        <f aca="false">(H2159*$C$2108+H2160*$C$2109)*Assumptions!$I$81</f>
        <v>4763.62457744563</v>
      </c>
      <c r="I2188" s="54" t="n">
        <f aca="false">(I2159*$C$2108+I2160*$C$2109)*Assumptions!$I$81</f>
        <v>6086.87603696233</v>
      </c>
      <c r="J2188" s="54" t="n">
        <f aca="false">(J2159*$C$2108+J2160*$C$2109)*Assumptions!$I$81</f>
        <v>7637.96103897417</v>
      </c>
      <c r="K2188" s="54" t="n">
        <f aca="false">(K2159*$C$2108+K2160*$C$2109)*Assumptions!$I$81</f>
        <v>8499.81574053133</v>
      </c>
      <c r="L2188" s="54" t="n">
        <f aca="false">(L2159*$C$2108+L2160*$C$2109)*Assumptions!$I$81</f>
        <v>8402.54624910121</v>
      </c>
      <c r="M2188" s="54" t="n">
        <f aca="false">(M2159*$C$2108+M2160*$C$2109)*Assumptions!$I$81</f>
        <v>8228.62355166885</v>
      </c>
      <c r="N2188" s="54" t="n">
        <f aca="false">(N2159*$C$2108+N2160*$C$2109)*Assumptions!$I$81</f>
        <v>8061.62565784669</v>
      </c>
      <c r="P2188" s="55" t="n">
        <f aca="false">SUM(C2188:F2188)</f>
        <v>5661.64314373211</v>
      </c>
      <c r="Q2188" s="55" t="n">
        <f aca="false">SUM(G2188:J2188)</f>
        <v>22070.4338356142</v>
      </c>
      <c r="R2188" s="55" t="n">
        <f aca="false">SUM(K2188:N2188)</f>
        <v>33192.6111991481</v>
      </c>
      <c r="S2188" s="56" t="n">
        <f aca="false">SUM(P2188:R2188)</f>
        <v>60924.6881784944</v>
      </c>
    </row>
    <row r="2189" customFormat="false" ht="15" hidden="false" customHeight="false" outlineLevel="0" collapsed="false">
      <c r="A2189" s="9" t="s">
        <v>562</v>
      </c>
      <c r="B2189" s="36" t="s">
        <v>125</v>
      </c>
      <c r="C2189" s="55" t="n">
        <f aca="false">C2181+C2182+C2183+C2184+C2185+C2186+C2187+C2188</f>
        <v>158229.464285714</v>
      </c>
      <c r="D2189" s="55" t="n">
        <f aca="false">D2181+D2182+D2183+D2184+D2185+D2186+D2187+D2188</f>
        <v>133587.015476688</v>
      </c>
      <c r="E2189" s="55" t="n">
        <f aca="false">E2181+E2182+E2183+E2184+E2185+E2186+E2187+E2188</f>
        <v>155871.591954894</v>
      </c>
      <c r="F2189" s="55" t="n">
        <f aca="false">F2181+F2182+F2183+F2184+F2185+F2186+F2187+F2188</f>
        <v>210033.043378392</v>
      </c>
      <c r="G2189" s="55" t="n">
        <f aca="false">G2181+G2182+G2183+G2184+G2185+G2186+G2187+G2188</f>
        <v>288419.732019692</v>
      </c>
      <c r="H2189" s="55" t="n">
        <f aca="false">H2181+H2182+H2183+H2184+H2185+H2186+H2187+H2188</f>
        <v>383190.606056674</v>
      </c>
      <c r="I2189" s="55" t="n">
        <f aca="false">I2181+I2182+I2183+I2184+I2185+I2186+I2187+I2188</f>
        <v>329315.136095972</v>
      </c>
      <c r="J2189" s="55" t="n">
        <f aca="false">J2181+J2182+J2183+J2184+J2185+J2186+J2187+J2188</f>
        <v>331081.46981799</v>
      </c>
      <c r="K2189" s="55" t="n">
        <f aca="false">K2181+K2182+K2183+K2184+K2185+K2186+K2187+K2188</f>
        <v>332488.235441225</v>
      </c>
      <c r="L2189" s="55" t="n">
        <f aca="false">L2181+L2182+L2183+L2184+L2185+L2186+L2187+L2188</f>
        <v>332440.153872127</v>
      </c>
      <c r="M2189" s="55" t="n">
        <f aca="false">M2181+M2182+M2183+M2184+M2185+M2186+M2187+M2188</f>
        <v>332264.907612156</v>
      </c>
      <c r="N2189" s="55" t="n">
        <f aca="false">N2181+N2182+N2183+N2184+N2185+N2186+N2187+N2188</f>
        <v>332096.585788525</v>
      </c>
      <c r="P2189" s="55" t="n">
        <f aca="false">SUM(C2189:F2189)</f>
        <v>657721.115095689</v>
      </c>
      <c r="Q2189" s="55" t="n">
        <f aca="false">SUM(G2189:J2189)</f>
        <v>1332006.94399033</v>
      </c>
      <c r="R2189" s="55" t="n">
        <f aca="false">SUM(K2189:N2189)</f>
        <v>1329289.88271403</v>
      </c>
      <c r="S2189" s="56" t="n">
        <f aca="false">SUM(P2189:R2189)</f>
        <v>3319017.94180005</v>
      </c>
    </row>
    <row r="2190" customFormat="false" ht="15" hidden="false" customHeight="false" outlineLevel="0" collapsed="false">
      <c r="A2190" s="4" t="s">
        <v>563</v>
      </c>
      <c r="B2190" s="36" t="s">
        <v>125</v>
      </c>
      <c r="C2190" s="54" t="n">
        <f aca="false">C2178*Assumptions!$I$72/Assumptions!$I$69/4</f>
        <v>56535.7142857143</v>
      </c>
      <c r="D2190" s="54" t="n">
        <f aca="false">D2178*Assumptions!$I$72/Assumptions!$I$69/4</f>
        <v>56535.7142857143</v>
      </c>
      <c r="E2190" s="54" t="n">
        <f aca="false">E2178*Assumptions!$I$72/Assumptions!$I$69/4</f>
        <v>56535.7142857143</v>
      </c>
      <c r="F2190" s="54" t="n">
        <f aca="false">F2178*Assumptions!$I$72/Assumptions!$I$69/4</f>
        <v>56535.7142857143</v>
      </c>
      <c r="G2190" s="54" t="n">
        <f aca="false">G2178*Assumptions!$I$72/Assumptions!$I$69/4</f>
        <v>28267.8571428571</v>
      </c>
      <c r="H2190" s="54" t="n">
        <f aca="false">H2178*Assumptions!$I$72/Assumptions!$I$69/4</f>
        <v>28267.8571428571</v>
      </c>
      <c r="I2190" s="54" t="n">
        <f aca="false">I2178*Assumptions!$I$72/Assumptions!$I$69/4</f>
        <v>28267.8571428571</v>
      </c>
      <c r="J2190" s="54" t="n">
        <f aca="false">J2178*Assumptions!$I$72/Assumptions!$I$69/4</f>
        <v>28267.8571428571</v>
      </c>
      <c r="K2190" s="54" t="n">
        <f aca="false">K2178*Assumptions!$I$72/Assumptions!$I$69/4</f>
        <v>28267.8571428571</v>
      </c>
      <c r="L2190" s="54" t="n">
        <f aca="false">L2178*Assumptions!$I$72/Assumptions!$I$69/4</f>
        <v>28267.8571428571</v>
      </c>
      <c r="M2190" s="54" t="n">
        <f aca="false">M2178*Assumptions!$I$72/Assumptions!$I$69/4</f>
        <v>28267.8571428571</v>
      </c>
      <c r="N2190" s="54" t="n">
        <f aca="false">N2178*Assumptions!$I$72/Assumptions!$I$69/4</f>
        <v>28267.8571428571</v>
      </c>
      <c r="P2190" s="55" t="n">
        <f aca="false">SUM(C2190:F2190)</f>
        <v>226142.857142857</v>
      </c>
      <c r="Q2190" s="55" t="n">
        <f aca="false">SUM(G2190:J2190)</f>
        <v>113071.428571429</v>
      </c>
      <c r="R2190" s="55" t="n">
        <f aca="false">SUM(K2190:N2190)</f>
        <v>113071.428571429</v>
      </c>
      <c r="S2190" s="56" t="n">
        <f aca="false">SUM(P2190:R2190)</f>
        <v>452285.714285714</v>
      </c>
    </row>
    <row r="2191" customFormat="false" ht="15" hidden="false" customHeight="false" outlineLevel="0" collapsed="false">
      <c r="A2191" s="4" t="s">
        <v>564</v>
      </c>
      <c r="B2191" s="36" t="s">
        <v>125</v>
      </c>
      <c r="C2191" s="54" t="n">
        <f aca="false">IF(C2116&lt;=Assumptions!$I$83,Assumptions!$I$82*Assumptions!$D$108/Assumptions!$I$83,0)</f>
        <v>62500</v>
      </c>
      <c r="D2191" s="54" t="n">
        <f aca="false">IF(D2116&lt;=Assumptions!$I$83,Assumptions!$I$82*Assumptions!$D$108/Assumptions!$I$83,0)</f>
        <v>62500</v>
      </c>
      <c r="E2191" s="54" t="n">
        <f aca="false">IF(E2116&lt;=Assumptions!$I$83,Assumptions!$I$82*Assumptions!$D$108/Assumptions!$I$83,0)</f>
        <v>62500</v>
      </c>
      <c r="F2191" s="54" t="n">
        <f aca="false">IF(F2116&lt;=Assumptions!$I$83,Assumptions!$I$82*Assumptions!$D$108/Assumptions!$I$83,0)</f>
        <v>62500</v>
      </c>
      <c r="G2191" s="54" t="n">
        <f aca="false">IF(G2116&lt;=Assumptions!$I$83,Assumptions!$I$82*Assumptions!$D$108/Assumptions!$I$83,0)</f>
        <v>0</v>
      </c>
      <c r="H2191" s="54" t="n">
        <f aca="false">IF(H2116&lt;=Assumptions!$I$83,Assumptions!$I$82*Assumptions!$D$108/Assumptions!$I$83,0)</f>
        <v>0</v>
      </c>
      <c r="I2191" s="54" t="n">
        <f aca="false">IF(I2116&lt;=Assumptions!$I$83,Assumptions!$I$82*Assumptions!$D$108/Assumptions!$I$83,0)</f>
        <v>0</v>
      </c>
      <c r="J2191" s="54" t="n">
        <f aca="false">IF(J2116&lt;=Assumptions!$I$83,Assumptions!$I$82*Assumptions!$D$108/Assumptions!$I$83,0)</f>
        <v>0</v>
      </c>
      <c r="K2191" s="54" t="n">
        <f aca="false">IF(K2116&lt;=Assumptions!$I$83,Assumptions!$I$82*Assumptions!$D$108/Assumptions!$I$83,0)</f>
        <v>0</v>
      </c>
      <c r="L2191" s="54" t="n">
        <f aca="false">IF(L2116&lt;=Assumptions!$I$83,Assumptions!$I$82*Assumptions!$D$108/Assumptions!$I$83,0)</f>
        <v>0</v>
      </c>
      <c r="M2191" s="54" t="n">
        <f aca="false">IF(M2116&lt;=Assumptions!$I$83,Assumptions!$I$82*Assumptions!$D$108/Assumptions!$I$83,0)</f>
        <v>0</v>
      </c>
      <c r="N2191" s="54" t="n">
        <f aca="false">IF(N2116&lt;=Assumptions!$I$83,Assumptions!$I$82*Assumptions!$D$108/Assumptions!$I$83,0)</f>
        <v>0</v>
      </c>
      <c r="P2191" s="55" t="n">
        <f aca="false">SUM(C2191:F2191)</f>
        <v>250000</v>
      </c>
      <c r="Q2191" s="55" t="n">
        <f aca="false">SUM(G2191:J2191)</f>
        <v>0</v>
      </c>
      <c r="R2191" s="55" t="n">
        <f aca="false">SUM(K2191:N2191)</f>
        <v>0</v>
      </c>
      <c r="S2191" s="56" t="n">
        <f aca="false">SUM(P2191:R2191)</f>
        <v>250000</v>
      </c>
    </row>
    <row r="2192" customFormat="false" ht="15" hidden="false" customHeight="false" outlineLevel="0" collapsed="false">
      <c r="A2192" s="4" t="s">
        <v>565</v>
      </c>
      <c r="B2192" s="36" t="s">
        <v>125</v>
      </c>
      <c r="C2192" s="54" t="n">
        <f aca="false">C2180*Assumptions!$I$73/Assumptions!$I$69/4</f>
        <v>0</v>
      </c>
      <c r="D2192" s="54" t="n">
        <f aca="false">D2180*Assumptions!$I$73/Assumptions!$I$69/4</f>
        <v>3075.78280375234</v>
      </c>
      <c r="E2192" s="54" t="n">
        <f aca="false">E2180*Assumptions!$I$73/Assumptions!$I$69/4</f>
        <v>9056.89357353219</v>
      </c>
      <c r="F2192" s="54" t="n">
        <f aca="false">F2180*Assumptions!$I$73/Assumptions!$I$69/4</f>
        <v>15649.9483514284</v>
      </c>
      <c r="G2192" s="54" t="n">
        <f aca="false">G2180*Assumptions!$I$73/Assumptions!$I$69/4</f>
        <v>24680.9558624231</v>
      </c>
      <c r="H2192" s="54" t="n">
        <f aca="false">H2180*Assumptions!$I$73/Assumptions!$I$69/4</f>
        <v>36266.9311925167</v>
      </c>
      <c r="I2192" s="54" t="n">
        <f aca="false">I2180*Assumptions!$I$73/Assumptions!$I$69/4</f>
        <v>51050.1414654596</v>
      </c>
      <c r="J2192" s="54" t="n">
        <f aca="false">J2180*Assumptions!$I$73/Assumptions!$I$69/4</f>
        <v>68762.4604194532</v>
      </c>
      <c r="K2192" s="54" t="n">
        <f aca="false">K2180*Assumptions!$I$73/Assumptions!$I$69/4</f>
        <v>86449.8036509523</v>
      </c>
      <c r="L2192" s="54" t="n">
        <f aca="false">L2180*Assumptions!$I$73/Assumptions!$I$69/4</f>
        <v>103450.397088004</v>
      </c>
      <c r="M2192" s="54" t="n">
        <f aca="false">M2180*Assumptions!$I$73/Assumptions!$I$69/4</f>
        <v>119755.14878867</v>
      </c>
      <c r="N2192" s="54" t="n">
        <f aca="false">N2180*Assumptions!$I$73/Assumptions!$I$69/4</f>
        <v>135392.298392073</v>
      </c>
      <c r="P2192" s="55" t="n">
        <f aca="false">SUM(C2192:F2192)</f>
        <v>27782.6247287129</v>
      </c>
      <c r="Q2192" s="55" t="n">
        <f aca="false">SUM(G2192:J2192)</f>
        <v>180760.488939853</v>
      </c>
      <c r="R2192" s="55" t="n">
        <f aca="false">SUM(K2192:N2192)</f>
        <v>445047.647919699</v>
      </c>
      <c r="S2192" s="56" t="n">
        <f aca="false">SUM(P2192:R2192)</f>
        <v>653590.761588265</v>
      </c>
    </row>
    <row r="2193" customFormat="false" ht="15" hidden="false" customHeight="false" outlineLevel="0" collapsed="false">
      <c r="A2193" s="9" t="s">
        <v>566</v>
      </c>
      <c r="B2193" s="36" t="s">
        <v>125</v>
      </c>
      <c r="C2193" s="55" t="n">
        <f aca="false">C2189+C2190+C2191+C2192</f>
        <v>277265.178571429</v>
      </c>
      <c r="D2193" s="55" t="n">
        <f aca="false">D2189+D2190+D2191+D2192</f>
        <v>255698.512566155</v>
      </c>
      <c r="E2193" s="55" t="n">
        <f aca="false">E2189+E2190+E2191+E2192</f>
        <v>283964.199814141</v>
      </c>
      <c r="F2193" s="55" t="n">
        <f aca="false">F2189+F2190+F2191+F2192</f>
        <v>344718.706015535</v>
      </c>
      <c r="G2193" s="55" t="n">
        <f aca="false">G2189+G2190+G2191+G2192</f>
        <v>341368.545024973</v>
      </c>
      <c r="H2193" s="55" t="n">
        <f aca="false">H2189+H2190+H2191+H2192</f>
        <v>447725.394392047</v>
      </c>
      <c r="I2193" s="55" t="n">
        <f aca="false">I2189+I2190+I2191+I2192</f>
        <v>408633.134704289</v>
      </c>
      <c r="J2193" s="55" t="n">
        <f aca="false">J2189+J2190+J2191+J2192</f>
        <v>428111.7873803</v>
      </c>
      <c r="K2193" s="55" t="n">
        <f aca="false">K2189+K2190+K2191+K2192</f>
        <v>447205.896235034</v>
      </c>
      <c r="L2193" s="55" t="n">
        <f aca="false">L2189+L2190+L2191+L2192</f>
        <v>464158.408102988</v>
      </c>
      <c r="M2193" s="55" t="n">
        <f aca="false">M2189+M2190+M2191+M2192</f>
        <v>480287.913543683</v>
      </c>
      <c r="N2193" s="55" t="n">
        <f aca="false">N2189+N2190+N2191+N2192</f>
        <v>495756.741323455</v>
      </c>
      <c r="P2193" s="55" t="n">
        <f aca="false">SUM(C2193:F2193)</f>
        <v>1161646.59696726</v>
      </c>
      <c r="Q2193" s="55" t="n">
        <f aca="false">SUM(G2193:J2193)</f>
        <v>1625838.86150161</v>
      </c>
      <c r="R2193" s="55" t="n">
        <f aca="false">SUM(K2193:N2193)</f>
        <v>1887408.95920516</v>
      </c>
      <c r="S2193" s="56" t="n">
        <f aca="false">SUM(P2193:R2193)</f>
        <v>4674894.41767403</v>
      </c>
    </row>
    <row r="2194" customFormat="false" ht="15" hidden="false" customHeight="false" outlineLevel="0" collapsed="false">
      <c r="A2194" s="35" t="s">
        <v>567</v>
      </c>
      <c r="B2194" s="35" t="s">
        <v>444</v>
      </c>
      <c r="C2194" s="6" t="s">
        <v>354</v>
      </c>
      <c r="D2194" s="6" t="s">
        <v>355</v>
      </c>
      <c r="E2194" s="6" t="s">
        <v>356</v>
      </c>
      <c r="F2194" s="6" t="s">
        <v>357</v>
      </c>
      <c r="G2194" s="6" t="s">
        <v>358</v>
      </c>
      <c r="H2194" s="6" t="s">
        <v>359</v>
      </c>
      <c r="I2194" s="6" t="s">
        <v>360</v>
      </c>
      <c r="J2194" s="6" t="s">
        <v>361</v>
      </c>
      <c r="K2194" s="6" t="s">
        <v>362</v>
      </c>
      <c r="L2194" s="6" t="s">
        <v>363</v>
      </c>
      <c r="M2194" s="6" t="s">
        <v>364</v>
      </c>
      <c r="N2194" s="6" t="s">
        <v>365</v>
      </c>
      <c r="P2194" s="6" t="s">
        <v>445</v>
      </c>
      <c r="Q2194" s="6" t="s">
        <v>446</v>
      </c>
      <c r="R2194" s="6" t="s">
        <v>447</v>
      </c>
      <c r="S2194" s="6" t="s">
        <v>448</v>
      </c>
    </row>
    <row r="2195" customFormat="false" ht="15" hidden="false" customHeight="false" outlineLevel="0" collapsed="false">
      <c r="A2195" s="9" t="s">
        <v>568</v>
      </c>
      <c r="B2195" s="36" t="s">
        <v>125</v>
      </c>
      <c r="C2195" s="55" t="n">
        <f aca="false">C2173-C2193</f>
        <v>-277265.178571429</v>
      </c>
      <c r="D2195" s="55" t="n">
        <f aca="false">D2173-D2193</f>
        <v>-252044.82142276</v>
      </c>
      <c r="E2195" s="55" t="n">
        <f aca="false">E2173-E2193</f>
        <v>-268118.209510998</v>
      </c>
      <c r="F2195" s="55" t="n">
        <f aca="false">F2173-F2193</f>
        <v>-309623.127176322</v>
      </c>
      <c r="G2195" s="55" t="n">
        <f aca="false">G2173-G2193</f>
        <v>-281289.350110282</v>
      </c>
      <c r="H2195" s="55" t="n">
        <f aca="false">H2173-H2193</f>
        <v>-354483.836826986</v>
      </c>
      <c r="I2195" s="55" t="n">
        <f aca="false">I2173-I2193</f>
        <v>-272379.670566915</v>
      </c>
      <c r="J2195" s="55" t="n">
        <f aca="false">J2173-J2193</f>
        <v>-238047.764343082</v>
      </c>
      <c r="K2195" s="55" t="n">
        <f aca="false">K2173-K2193</f>
        <v>-195220.62786754</v>
      </c>
      <c r="L2195" s="55" t="n">
        <f aca="false">L2173-L2193</f>
        <v>-146930.283231994</v>
      </c>
      <c r="M2195" s="55" t="n">
        <f aca="false">M2173-M2193</f>
        <v>-96337.1067420774</v>
      </c>
      <c r="N2195" s="55" t="n">
        <f aca="false">N2173-N2193</f>
        <v>-43608.1317041448</v>
      </c>
      <c r="P2195" s="55" t="n">
        <f aca="false">SUM(C2195:F2195)</f>
        <v>-1107051.33668151</v>
      </c>
      <c r="Q2195" s="55" t="n">
        <f aca="false">SUM(G2195:J2195)</f>
        <v>-1146200.62184727</v>
      </c>
      <c r="R2195" s="55" t="n">
        <f aca="false">SUM(K2195:N2195)</f>
        <v>-482096.149545756</v>
      </c>
      <c r="S2195" s="56" t="n">
        <f aca="false">SUM(P2195:R2195)</f>
        <v>-2735348.10807453</v>
      </c>
    </row>
    <row r="2196" customFormat="false" ht="15" hidden="false" customHeight="false" outlineLevel="0" collapsed="false">
      <c r="A2196" s="9" t="s">
        <v>569</v>
      </c>
      <c r="B2196" s="36" t="s">
        <v>125</v>
      </c>
      <c r="C2196" s="55" t="n">
        <f aca="false">0+C2195</f>
        <v>-277265.178571429</v>
      </c>
      <c r="D2196" s="55" t="n">
        <f aca="false">C2196+D2195</f>
        <v>-529309.999994189</v>
      </c>
      <c r="E2196" s="55" t="n">
        <f aca="false">D2196+E2195</f>
        <v>-797428.209505186</v>
      </c>
      <c r="F2196" s="55" t="n">
        <f aca="false">E2196+F2195</f>
        <v>-1107051.33668151</v>
      </c>
      <c r="G2196" s="55" t="n">
        <f aca="false">F2196+G2195</f>
        <v>-1388340.68679179</v>
      </c>
      <c r="H2196" s="55" t="n">
        <f aca="false">G2196+H2195</f>
        <v>-1742824.52361878</v>
      </c>
      <c r="I2196" s="55" t="n">
        <f aca="false">H2196+I2195</f>
        <v>-2015204.19418569</v>
      </c>
      <c r="J2196" s="55" t="n">
        <f aca="false">I2196+J2195</f>
        <v>-2253251.95852877</v>
      </c>
      <c r="K2196" s="55" t="n">
        <f aca="false">J2196+K2195</f>
        <v>-2448472.58639631</v>
      </c>
      <c r="L2196" s="55" t="n">
        <f aca="false">K2196+L2195</f>
        <v>-2595402.86962831</v>
      </c>
      <c r="M2196" s="55" t="n">
        <f aca="false">L2196+M2195</f>
        <v>-2691739.97637038</v>
      </c>
      <c r="N2196" s="55" t="n">
        <f aca="false">M2196+N2195</f>
        <v>-2735348.10807453</v>
      </c>
      <c r="P2196" s="55" t="n">
        <f aca="false">F2196</f>
        <v>-1107051.33668151</v>
      </c>
      <c r="Q2196" s="55" t="n">
        <f aca="false">J2196</f>
        <v>-2253251.95852877</v>
      </c>
      <c r="R2196" s="55" t="n">
        <f aca="false">N2196</f>
        <v>-2735348.10807453</v>
      </c>
      <c r="S2196" s="56" t="n">
        <f aca="false">R2196</f>
        <v>-2735348.10807453</v>
      </c>
    </row>
    <row r="2197" customFormat="false" ht="15" hidden="false" customHeight="false" outlineLevel="0" collapsed="false">
      <c r="A2197" s="4" t="s">
        <v>570</v>
      </c>
      <c r="B2197" s="36" t="s">
        <v>107</v>
      </c>
      <c r="C2197" s="57" t="n">
        <f aca="false">1/(1+Assumptions!$I$87)^(C2116/4)</f>
        <v>0.972065420906982</v>
      </c>
      <c r="D2197" s="57" t="n">
        <f aca="false">1/(1+Assumptions!$I$87)^(D2116/4)</f>
        <v>0.944911182523068</v>
      </c>
      <c r="E2197" s="57" t="n">
        <f aca="false">1/(1+Assumptions!$I$87)^(E2116/4)</f>
        <v>0.918515486359</v>
      </c>
      <c r="F2197" s="57" t="n">
        <f aca="false">1/(1+Assumptions!$I$87)^(F2116/4)</f>
        <v>0.892857142857143</v>
      </c>
      <c r="G2197" s="57" t="n">
        <f aca="false">1/(1+Assumptions!$I$87)^(G2116/4)</f>
        <v>0.867915554381234</v>
      </c>
      <c r="H2197" s="57" t="n">
        <f aca="false">1/(1+Assumptions!$I$87)^(H2116/4)</f>
        <v>0.843670698681311</v>
      </c>
      <c r="I2197" s="57" t="n">
        <f aca="false">1/(1+Assumptions!$I$87)^(I2116/4)</f>
        <v>0.820103112820536</v>
      </c>
      <c r="J2197" s="57" t="n">
        <f aca="false">1/(1+Assumptions!$I$87)^(J2116/4)</f>
        <v>0.79719387755102</v>
      </c>
      <c r="K2197" s="57" t="n">
        <f aca="false">1/(1+Assumptions!$I$87)^(K2116/4)</f>
        <v>0.774924602126102</v>
      </c>
      <c r="L2197" s="57" t="n">
        <f aca="false">1/(1+Assumptions!$I$87)^(L2116/4)</f>
        <v>0.753277409536885</v>
      </c>
      <c r="M2197" s="57" t="n">
        <f aca="false">1/(1+Assumptions!$I$87)^(M2116/4)</f>
        <v>0.732234922161193</v>
      </c>
      <c r="N2197" s="57" t="n">
        <f aca="false">1/(1+Assumptions!$I$87)^(N2116/4)</f>
        <v>0.711780247813411</v>
      </c>
      <c r="P2197" s="58"/>
      <c r="Q2197" s="58"/>
      <c r="R2197" s="58"/>
      <c r="S2197" s="59"/>
    </row>
    <row r="2198" customFormat="false" ht="15" hidden="false" customHeight="false" outlineLevel="0" collapsed="false">
      <c r="A2198" s="4" t="s">
        <v>571</v>
      </c>
      <c r="B2198" s="36" t="s">
        <v>125</v>
      </c>
      <c r="C2198" s="54" t="n">
        <f aca="false">(C2173*(1-Assumptions!$I$88)-C2193)*C2197</f>
        <v>-269519.892510885</v>
      </c>
      <c r="D2198" s="54" t="n">
        <f aca="false">(D2173*(1-Assumptions!$I$88)-D2193)*D2197</f>
        <v>-239195.69434506</v>
      </c>
      <c r="E2198" s="54" t="n">
        <f aca="false">(E2173*(1-Assumptions!$I$88)-E2193)*E2197</f>
        <v>-250637.163857738</v>
      </c>
      <c r="F2198" s="54" t="n">
        <f aca="false">(F2173*(1-Assumptions!$I$88)-F2193)*F2197</f>
        <v>-285849.822167934</v>
      </c>
      <c r="G2198" s="54" t="n">
        <f aca="false">(G2173*(1-Assumptions!$I$88)-G2193)*G2197</f>
        <v>-259778.502570851</v>
      </c>
      <c r="H2198" s="54" t="n">
        <f aca="false">(H2173*(1-Assumptions!$I$88)-H2193)*H2197</f>
        <v>-322667.17729217</v>
      </c>
      <c r="I2198" s="54" t="n">
        <f aca="false">(I2173*(1-Assumptions!$I$88)-I2193)*I2197</f>
        <v>-256901.982722452</v>
      </c>
      <c r="J2198" s="54" t="n">
        <f aca="false">(J2173*(1-Assumptions!$I$88)-J2193)*J2197</f>
        <v>-235225.582951409</v>
      </c>
      <c r="K2198" s="54" t="n">
        <f aca="false">(K2173*(1-Assumptions!$I$88)-K2193)*K2197</f>
        <v>-209862.142526457</v>
      </c>
      <c r="L2198" s="54" t="n">
        <f aca="false">(L2173*(1-Assumptions!$I$88)-L2193)*L2197</f>
        <v>-182367.497176037</v>
      </c>
      <c r="M2198" s="54" t="n">
        <f aca="false">(M2173*(1-Assumptions!$I$88)-M2193)*M2197</f>
        <v>-154884.05059615</v>
      </c>
      <c r="N2198" s="54" t="n">
        <f aca="false">(N2173*(1-Assumptions!$I$88)-N2193)*N2197</f>
        <v>-127588.541612053</v>
      </c>
      <c r="P2198" s="55" t="n">
        <f aca="false">SUM(C2198:F2198)</f>
        <v>-1045202.57288162</v>
      </c>
      <c r="Q2198" s="55" t="n">
        <f aca="false">SUM(G2198:J2198)</f>
        <v>-1074573.24553688</v>
      </c>
      <c r="R2198" s="55" t="n">
        <f aca="false">SUM(K2198:N2198)</f>
        <v>-674702.231910696</v>
      </c>
      <c r="S2198" s="56" t="n">
        <f aca="false">SUM(P2198:R2198)</f>
        <v>-2794478.05032919</v>
      </c>
    </row>
    <row r="2199" customFormat="false" ht="15" hidden="false" customHeight="false" outlineLevel="0" collapsed="false">
      <c r="A2199" s="4" t="s">
        <v>572</v>
      </c>
      <c r="B2199" s="36" t="s">
        <v>125</v>
      </c>
      <c r="C2199" s="54" t="n">
        <f aca="false">(C2193-C2192)*12/(Assumptions!$I$89*Assumptions!$I$76)*Assumptions!$I$90</f>
        <v>173290.736607143</v>
      </c>
      <c r="D2199" s="54" t="n">
        <f aca="false">(D2193-D2192)*12/(Assumptions!$I$89*Assumptions!$I$76)*Assumptions!$I$90</f>
        <v>157889.206101502</v>
      </c>
      <c r="E2199" s="54" t="n">
        <f aca="false">(E2193-E2192)*12/(Assumptions!$I$89*Assumptions!$I$76)*Assumptions!$I$90</f>
        <v>171817.06640038</v>
      </c>
      <c r="F2199" s="54" t="n">
        <f aca="false">(F2193-F2192)*12/(Assumptions!$I$89*Assumptions!$I$76)*Assumptions!$I$90</f>
        <v>205667.973540067</v>
      </c>
      <c r="G2199" s="54" t="n">
        <f aca="false">(G2193-G2192)*12/(Assumptions!$I$89*Assumptions!$I$76)*Assumptions!$I$90</f>
        <v>197929.743226593</v>
      </c>
      <c r="H2199" s="54" t="n">
        <f aca="false">(H2193-H2192)*12/(Assumptions!$I$89*Assumptions!$I$76)*Assumptions!$I$90</f>
        <v>257161.539499707</v>
      </c>
      <c r="I2199" s="54" t="n">
        <f aca="false">(I2193-I2192)*12/(Assumptions!$I$89*Assumptions!$I$76)*Assumptions!$I$90</f>
        <v>223489.370774268</v>
      </c>
      <c r="J2199" s="54" t="n">
        <f aca="false">(J2193-J2192)*12/(Assumptions!$I$89*Assumptions!$I$76)*Assumptions!$I$90</f>
        <v>224593.329350529</v>
      </c>
      <c r="K2199" s="54" t="n">
        <f aca="false">(K2193-K2192)*12/(Assumptions!$I$89*Assumptions!$I$76)*Assumptions!$I$90</f>
        <v>225472.557865051</v>
      </c>
      <c r="L2199" s="54" t="n">
        <f aca="false">(L2193-L2192)*12/(Assumptions!$I$89*Assumptions!$I$76)*Assumptions!$I$90</f>
        <v>225442.506884365</v>
      </c>
      <c r="M2199" s="54" t="n">
        <f aca="false">(M2193-M2192)*12/(Assumptions!$I$89*Assumptions!$I$76)*Assumptions!$I$90</f>
        <v>225332.977971883</v>
      </c>
      <c r="N2199" s="54" t="n">
        <f aca="false">(N2193-N2192)*12/(Assumptions!$I$89*Assumptions!$I$76)*Assumptions!$I$90</f>
        <v>225227.776832114</v>
      </c>
      <c r="P2199" s="55" t="n">
        <f aca="false">SUM(C2199:F2199)</f>
        <v>708664.982649092</v>
      </c>
      <c r="Q2199" s="55" t="n">
        <f aca="false">SUM(G2199:J2199)</f>
        <v>903173.982851098</v>
      </c>
      <c r="R2199" s="55" t="n">
        <f aca="false">SUM(K2199:N2199)</f>
        <v>901475.819553413</v>
      </c>
      <c r="S2199" s="56" t="n">
        <f aca="false">SUM(P2199:R2199)</f>
        <v>2513314.7850536</v>
      </c>
    </row>
    <row r="2200" customFormat="false" ht="15" hidden="false" customHeight="false" outlineLevel="0" collapsed="false">
      <c r="A2200" s="4" t="s">
        <v>573</v>
      </c>
      <c r="B2200" s="36" t="s">
        <v>125</v>
      </c>
      <c r="C2200" s="54" t="n">
        <f aca="false">0*Assumptions!$I$92^(1/4)+C2199</f>
        <v>173290.736607143</v>
      </c>
      <c r="D2200" s="54" t="n">
        <f aca="false">C2200*Assumptions!$I$92^(1/4)+D2199</f>
        <v>331611.554361675</v>
      </c>
      <c r="E2200" s="54" t="n">
        <f aca="false">D2200*Assumptions!$I$92^(1/4)+E2199</f>
        <v>504254.558800894</v>
      </c>
      <c r="F2200" s="54" t="n">
        <f aca="false">E2200*Assumptions!$I$92^(1/4)+F2199</f>
        <v>711178.468739718</v>
      </c>
      <c r="G2200" s="54" t="n">
        <f aca="false">F2200*Assumptions!$I$92^(1/4)+G2199</f>
        <v>910879.529467192</v>
      </c>
      <c r="H2200" s="54" t="n">
        <f aca="false">G2200*Assumptions!$I$92^(1/4)+H2199</f>
        <v>1170309.77776878</v>
      </c>
      <c r="I2200" s="54" t="n">
        <f aca="false">H2200*Assumptions!$I$92^(1/4)+I2199</f>
        <v>1396714.01489789</v>
      </c>
      <c r="J2200" s="54" t="n">
        <f aca="false">I2200*Assumptions!$I$92^(1/4)+J2199</f>
        <v>1624786.11095334</v>
      </c>
      <c r="K2200" s="54" t="n">
        <f aca="false">J2200*Assumptions!$I$92^(1/4)+K2199</f>
        <v>1854305.48997514</v>
      </c>
      <c r="L2200" s="54" t="n">
        <f aca="false">K2200*Assumptions!$I$92^(1/4)+L2199</f>
        <v>2084366.47718582</v>
      </c>
      <c r="M2200" s="54" t="n">
        <f aca="false">L2200*Assumptions!$I$92^(1/4)+M2199</f>
        <v>2314890.9436259</v>
      </c>
      <c r="N2200" s="54" t="n">
        <f aca="false">M2200*Assumptions!$I$92^(1/4)+N2199</f>
        <v>2545884.37144621</v>
      </c>
      <c r="P2200" s="55" t="n">
        <f aca="false">F2200</f>
        <v>711178.468739718</v>
      </c>
      <c r="Q2200" s="55" t="n">
        <f aca="false">J2200</f>
        <v>1624786.11095334</v>
      </c>
      <c r="R2200" s="55" t="n">
        <f aca="false">N2200</f>
        <v>2545884.37144621</v>
      </c>
      <c r="S2200" s="56" t="n">
        <f aca="false">R2200</f>
        <v>2545884.37144621</v>
      </c>
    </row>
    <row r="2201" customFormat="false" ht="15" hidden="false" customHeight="false" outlineLevel="0" collapsed="false">
      <c r="A2201" s="4" t="s">
        <v>574</v>
      </c>
      <c r="B2201" s="36" t="s">
        <v>125</v>
      </c>
      <c r="C2201" s="54" t="n">
        <f aca="false">(0+C2200)/8*Assumptions!$I$76-(C2193-C2192)-C2200*Assumptions!$I$93/4</f>
        <v>-263835.146484375</v>
      </c>
      <c r="D2201" s="54" t="n">
        <f aca="false">(C2200+D2200)/8*Assumptions!$I$76-(D2193-D2192)-D2200*Assumptions!$I$93/4</f>
        <v>-211326.66800473</v>
      </c>
      <c r="E2201" s="54" t="n">
        <f aca="false">(D2200+E2200)/8*Assumptions!$I$76-(E2193-E2192)-E2200*Assumptions!$I$93/4</f>
        <v>-205982.538040989</v>
      </c>
      <c r="F2201" s="54" t="n">
        <f aca="false">(E2200+F2200)/8*Assumptions!$I$76-(F2193-F2192)-F2200*Assumptions!$I$93/4</f>
        <v>-228569.516044698</v>
      </c>
      <c r="G2201" s="54" t="n">
        <f aca="false">(F2200+G2200)/8*Assumptions!$I$76-(G2193-G2192)-G2200*Assumptions!$I$93/4</f>
        <v>-182088.363442267</v>
      </c>
      <c r="H2201" s="54" t="n">
        <f aca="false">(G2200+H2200)/8*Assumptions!$I$76-(H2193-H2192)-H2200*Assumptions!$I$93/4</f>
        <v>-238780.297770403</v>
      </c>
      <c r="I2201" s="54" t="n">
        <f aca="false">(H2200+I2200)/8*Assumptions!$I$76-(I2193-I2192)-I2200*Assumptions!$I$93/4</f>
        <v>-144009.777085052</v>
      </c>
      <c r="J2201" s="54" t="n">
        <f aca="false">(I2200+J2200)/8*Assumptions!$I$76-(J2193-J2192)-J2200*Assumptions!$I$93/4</f>
        <v>-107724.142021153</v>
      </c>
      <c r="K2201" s="54" t="n">
        <f aca="false">(J2200+K2200)/8*Assumptions!$I$76-(K2193-K2192)-K2200*Assumptions!$I$93/4</f>
        <v>-70816.6671252076</v>
      </c>
      <c r="L2201" s="54" t="n">
        <f aca="false">(K2200+L2200)/8*Assumptions!$I$76-(L2193-L2192)-L2200*Assumptions!$I$93/4</f>
        <v>-32282.11493532</v>
      </c>
      <c r="M2201" s="54" t="n">
        <f aca="false">(L2200+M2200)/8*Assumptions!$I$76-(M2193-M2192)-M2200*Assumptions!$I$93/4</f>
        <v>6464.266322718</v>
      </c>
      <c r="N2201" s="54" t="n">
        <f aca="false">(M2200+N2200)/8*Assumptions!$I$76-(N2193-N2192)-N2200*Assumptions!$I$93/4</f>
        <v>45281.7807820296</v>
      </c>
      <c r="P2201" s="55" t="n">
        <f aca="false">SUM(C2201:F2201)</f>
        <v>-909713.868574791</v>
      </c>
      <c r="Q2201" s="55" t="n">
        <f aca="false">SUM(G2201:J2201)</f>
        <v>-672602.580318876</v>
      </c>
      <c r="R2201" s="55" t="n">
        <f aca="false">SUM(K2201:N2201)</f>
        <v>-51352.73495578</v>
      </c>
      <c r="S2201" s="56" t="n">
        <f aca="false">SUM(P2201:R2201)</f>
        <v>-1633669.18384945</v>
      </c>
    </row>
    <row r="2202" customFormat="false" ht="15" hidden="false" customHeight="false" outlineLevel="0" collapsed="false">
      <c r="A2202" s="4" t="s">
        <v>575</v>
      </c>
      <c r="B2202" s="36" t="s">
        <v>125</v>
      </c>
      <c r="C2202" s="54" t="n">
        <f aca="false">C2201*C2197</f>
        <v>-256465.022717389</v>
      </c>
      <c r="D2202" s="54" t="n">
        <f aca="false">D2201*D2197</f>
        <v>-199684.931763009</v>
      </c>
      <c r="E2202" s="54" t="n">
        <f aca="false">E2201*E2197</f>
        <v>-189198.15111018</v>
      </c>
      <c r="F2202" s="54" t="n">
        <f aca="false">F2201*F2197</f>
        <v>-204079.925039909</v>
      </c>
      <c r="G2202" s="54" t="n">
        <f aca="false">G2201*G2197</f>
        <v>-158037.322903367</v>
      </c>
      <c r="H2202" s="54" t="n">
        <f aca="false">H2201*H2197</f>
        <v>-201451.940651287</v>
      </c>
      <c r="I2202" s="54" t="n">
        <f aca="false">I2201*I2197</f>
        <v>-118102.866464043</v>
      </c>
      <c r="J2202" s="54" t="n">
        <f aca="false">J2201*J2197</f>
        <v>-85877.0264836999</v>
      </c>
      <c r="K2202" s="54" t="n">
        <f aca="false">K2201*K2197</f>
        <v>-54877.5775958981</v>
      </c>
      <c r="L2202" s="54" t="n">
        <f aca="false">L2201*L2197</f>
        <v>-24317.3879128498</v>
      </c>
      <c r="M2202" s="54" t="n">
        <f aca="false">M2201*M2197</f>
        <v>4733.36154764464</v>
      </c>
      <c r="N2202" s="54" t="n">
        <f aca="false">N2201*N2197</f>
        <v>32230.6771464656</v>
      </c>
      <c r="P2202" s="55" t="n">
        <f aca="false">SUM(C2202:F2202)</f>
        <v>-849428.030630487</v>
      </c>
      <c r="Q2202" s="55" t="n">
        <f aca="false">SUM(G2202:J2202)</f>
        <v>-563469.156502397</v>
      </c>
      <c r="R2202" s="55" t="n">
        <f aca="false">SUM(K2202:N2202)</f>
        <v>-42230.9268146377</v>
      </c>
      <c r="S2202" s="56" t="n">
        <f aca="false">SUM(P2202:R2202)</f>
        <v>-1455128.11394752</v>
      </c>
    </row>
    <row r="2203" customFormat="false" ht="15" hidden="false" customHeight="false" outlineLevel="0" collapsed="false">
      <c r="A2203" s="4" t="s">
        <v>576</v>
      </c>
      <c r="B2203" s="36"/>
      <c r="C2203" s="37" t="n">
        <f aca="false">IFERROR((S2158*$C$2107*Assumptions!$I$59+S2159*$C$2108*Assumptions!$I$60+S2160*$C$2109*Assumptions!$I$61)/(S2158*$C$2107+S2159*$C$2108+S2160*$C$2109),0.9)</f>
        <v>0.926297290758574</v>
      </c>
    </row>
    <row r="2204" customFormat="false" ht="15" hidden="false" customHeight="false" outlineLevel="0" collapsed="false">
      <c r="A2204" s="4" t="s">
        <v>577</v>
      </c>
      <c r="B2204" s="36"/>
      <c r="C2204" s="37" t="n">
        <f aca="false">IFERROR(N2192*4/N2170,0)</f>
        <v>0.200319974993895</v>
      </c>
    </row>
    <row r="2205" customFormat="false" ht="15" hidden="false" customHeight="false" outlineLevel="0" collapsed="false">
      <c r="A2205" s="4" t="s">
        <v>578</v>
      </c>
      <c r="B2205" s="36"/>
      <c r="C2205" s="60" t="n">
        <f aca="false">$C$2203/(1+Assumptions!$I$87)</f>
        <v>0.827051152463012</v>
      </c>
    </row>
    <row r="2206" customFormat="false" ht="15" hidden="false" customHeight="false" outlineLevel="0" collapsed="false">
      <c r="A2206" s="4" t="s">
        <v>579</v>
      </c>
      <c r="B2206" s="36"/>
      <c r="C2206" s="60" t="n">
        <f aca="false">Assumptions!$I$91/(1+Assumptions!$I$87)</f>
        <v>0.803571428571429</v>
      </c>
    </row>
    <row r="2207" customFormat="false" ht="15" hidden="false" customHeight="false" outlineLevel="0" collapsed="false">
      <c r="A2207" s="35" t="s">
        <v>580</v>
      </c>
      <c r="B2207" s="35" t="s">
        <v>444</v>
      </c>
      <c r="C2207" s="6" t="s">
        <v>354</v>
      </c>
      <c r="D2207" s="6" t="s">
        <v>355</v>
      </c>
      <c r="E2207" s="6" t="s">
        <v>356</v>
      </c>
      <c r="F2207" s="6" t="s">
        <v>357</v>
      </c>
      <c r="G2207" s="6" t="s">
        <v>358</v>
      </c>
      <c r="H2207" s="6" t="s">
        <v>359</v>
      </c>
      <c r="I2207" s="6" t="s">
        <v>360</v>
      </c>
      <c r="J2207" s="6" t="s">
        <v>361</v>
      </c>
      <c r="K2207" s="6" t="s">
        <v>362</v>
      </c>
      <c r="L2207" s="6" t="s">
        <v>363</v>
      </c>
      <c r="M2207" s="6" t="s">
        <v>364</v>
      </c>
      <c r="N2207" s="6" t="s">
        <v>365</v>
      </c>
      <c r="P2207" s="6" t="s">
        <v>445</v>
      </c>
      <c r="Q2207" s="6" t="s">
        <v>446</v>
      </c>
      <c r="R2207" s="6" t="s">
        <v>447</v>
      </c>
      <c r="S2207" s="6" t="s">
        <v>448</v>
      </c>
    </row>
    <row r="2208" customFormat="false" ht="15" hidden="false" customHeight="false" outlineLevel="0" collapsed="false">
      <c r="A2208" s="9" t="s">
        <v>581</v>
      </c>
      <c r="C2208" s="61" t="n">
        <f aca="false">N2170</f>
        <v>2703520.6727876</v>
      </c>
      <c r="D2208" s="61"/>
    </row>
    <row r="2209" customFormat="false" ht="15" hidden="false" customHeight="false" outlineLevel="0" collapsed="false">
      <c r="A2209" s="9" t="s">
        <v>582</v>
      </c>
      <c r="C2209" s="62" t="n">
        <f aca="false">N2166</f>
        <v>300.971283895907</v>
      </c>
      <c r="D2209" s="62"/>
    </row>
    <row r="2210" customFormat="false" ht="15" hidden="false" customHeight="false" outlineLevel="0" collapsed="false">
      <c r="A2210" s="9" t="s">
        <v>583</v>
      </c>
      <c r="C2210" s="63" t="n">
        <f aca="false">S2161</f>
        <v>326.024750106632</v>
      </c>
      <c r="D2210" s="63"/>
    </row>
    <row r="2211" customFormat="false" ht="15" hidden="false" customHeight="false" outlineLevel="0" collapsed="false">
      <c r="A2211" s="9" t="s">
        <v>584</v>
      </c>
      <c r="C2211" s="61" t="n">
        <f aca="false">S2172</f>
        <v>2693814.31888819</v>
      </c>
      <c r="D2211" s="61"/>
    </row>
    <row r="2212" customFormat="false" ht="15" hidden="false" customHeight="false" outlineLevel="0" collapsed="false">
      <c r="A2212" s="9" t="s">
        <v>22</v>
      </c>
      <c r="C2212" s="61" t="n">
        <f aca="false">IFERROR(S2171/S2161,0)</f>
        <v>7285.95474279544</v>
      </c>
      <c r="D2212" s="61"/>
    </row>
    <row r="2213" customFormat="false" ht="15" hidden="false" customHeight="false" outlineLevel="0" collapsed="false">
      <c r="A2213" s="9" t="s">
        <v>585</v>
      </c>
      <c r="C2213" s="61" t="n">
        <f aca="false">IFERROR(S2189/S2161,0)</f>
        <v>10180.2637398373</v>
      </c>
      <c r="D2213" s="61"/>
    </row>
    <row r="2214" customFormat="false" ht="23.85" hidden="false" customHeight="false" outlineLevel="0" collapsed="false">
      <c r="A2214" s="9" t="s">
        <v>586</v>
      </c>
      <c r="C2214" s="61" t="n">
        <f aca="false">IFERROR((S2183+S2185+S2186+S2187+S2188)/S2161,0)</f>
        <v>2937.87975580182</v>
      </c>
      <c r="D2214" s="61"/>
    </row>
    <row r="2215" customFormat="false" ht="15" hidden="false" customHeight="false" outlineLevel="0" collapsed="false">
      <c r="A2215" s="9" t="s">
        <v>587</v>
      </c>
      <c r="C2215" s="64" t="n">
        <f aca="false">IFERROR('Engine Runs'!$C$2213/('Engine Runs'!$C$2212*Assumptions!$I$76/12),0)</f>
        <v>23.2874164499027</v>
      </c>
      <c r="D2215" s="64"/>
    </row>
    <row r="2216" customFormat="false" ht="15" hidden="false" customHeight="false" outlineLevel="0" collapsed="false">
      <c r="A2216" s="9" t="s">
        <v>588</v>
      </c>
      <c r="C2216" s="64" t="n">
        <f aca="false">IFERROR((R2189/R2161)/((R2171/R2161)*Assumptions!$I$76/12),0)</f>
        <v>17.9938217998527</v>
      </c>
      <c r="D2216" s="64"/>
    </row>
    <row r="2217" customFormat="false" ht="15" hidden="false" customHeight="false" outlineLevel="0" collapsed="false">
      <c r="A2217" s="9" t="s">
        <v>589</v>
      </c>
      <c r="C2217" s="61" t="n">
        <f aca="false">S2193</f>
        <v>4674894.41767403</v>
      </c>
      <c r="D2217" s="61"/>
    </row>
    <row r="2218" customFormat="false" ht="15" hidden="false" customHeight="false" outlineLevel="0" collapsed="false">
      <c r="A2218" s="9" t="s">
        <v>590</v>
      </c>
      <c r="C2218" s="61" t="n">
        <f aca="false">N2196</f>
        <v>-2735348.10807453</v>
      </c>
      <c r="D2218" s="61"/>
    </row>
    <row r="2219" customFormat="false" ht="15" hidden="false" customHeight="false" outlineLevel="0" collapsed="false">
      <c r="A2219" s="9" t="s">
        <v>591</v>
      </c>
      <c r="C2219" s="61" t="n">
        <f aca="false">MIN($C$2196:$N$2196)</f>
        <v>-2735348.10807453</v>
      </c>
      <c r="D2219" s="61"/>
    </row>
    <row r="2220" customFormat="false" ht="15" hidden="false" customHeight="false" outlineLevel="0" collapsed="false">
      <c r="A2220" s="9" t="s">
        <v>592</v>
      </c>
      <c r="C2220" s="61" t="n">
        <f aca="false">N2170*(Assumptions!$I$76-$C$2204)*$C$2203*(1-$C$2203^Assumptions!$I$85)/(1-$C$2203)</f>
        <v>5616028.08318264</v>
      </c>
      <c r="D2220" s="61"/>
    </row>
    <row r="2221" customFormat="false" ht="15" hidden="false" customHeight="false" outlineLevel="0" collapsed="false">
      <c r="A2221" s="9" t="s">
        <v>593</v>
      </c>
      <c r="C2221" s="61" t="n">
        <f aca="false">N2170*(Assumptions!$I$76-$C$2204)*(1-Assumptions!$I$88)/(1+Assumptions!$I$87)^2.5*$C$2205*(1-$C$2205^Assumptions!$I$85)/(1-$C$2205)</f>
        <v>2171825.24202291</v>
      </c>
      <c r="D2221" s="61"/>
    </row>
    <row r="2222" customFormat="false" ht="15" hidden="false" customHeight="false" outlineLevel="0" collapsed="false">
      <c r="A2222" s="9" t="s">
        <v>594</v>
      </c>
      <c r="C2222" s="61" t="n">
        <f aca="false">SUM($C$2198:$N$2198)+'Engine Runs'!$C$2221</f>
        <v>-622652.808306281</v>
      </c>
      <c r="D2222" s="61"/>
    </row>
    <row r="2223" customFormat="false" ht="15" hidden="false" customHeight="false" outlineLevel="0" collapsed="false">
      <c r="A2223" s="9" t="s">
        <v>595</v>
      </c>
      <c r="C2223" s="61" t="n">
        <f aca="false">SUM($C$2202:$N$2202)+N2200*(Assumptions!$I$76-Assumptions!$I$93)/(1+Assumptions!$I$87)^2.5*$C$2206*(1-$C$2206^Assumptions!$I$85)/(1-$C$2206)</f>
        <v>2040061.8486417</v>
      </c>
      <c r="D2223" s="61"/>
    </row>
    <row r="2224" customFormat="false" ht="15" hidden="false" customHeight="false" outlineLevel="0" collapsed="false">
      <c r="A2224" s="9" t="s">
        <v>596</v>
      </c>
      <c r="C2224" s="61" t="n">
        <f aca="false">'Engine Runs'!$C$2222-'Engine Runs'!$C$2223</f>
        <v>-2662714.65694798</v>
      </c>
      <c r="D2224" s="61"/>
    </row>
    <row r="2225" customFormat="false" ht="15" hidden="false" customHeight="false" outlineLevel="0" collapsed="false">
      <c r="A2225" s="9" t="s">
        <v>597</v>
      </c>
      <c r="C2225" s="61" t="n">
        <f aca="false">S2157</f>
        <v>0</v>
      </c>
      <c r="D2225" s="61"/>
    </row>
    <row r="2226" customFormat="false" ht="15" hidden="false" customHeight="false" outlineLevel="0" collapsed="false">
      <c r="A2226" s="9" t="s">
        <v>598</v>
      </c>
      <c r="C2226" s="63" t="n">
        <f aca="false">P2141</f>
        <v>240.541546469803</v>
      </c>
      <c r="D2226" s="63"/>
    </row>
    <row r="2227" customFormat="false" ht="15" hidden="false" customHeight="false" outlineLevel="0" collapsed="false">
      <c r="A2227" s="9" t="s">
        <v>599</v>
      </c>
      <c r="C2227" s="63" t="n">
        <f aca="false">P2161</f>
        <v>37.2559400871903</v>
      </c>
      <c r="D2227" s="63"/>
    </row>
    <row r="2228" customFormat="false" ht="15" hidden="false" customHeight="false" outlineLevel="0" collapsed="false">
      <c r="A2228" s="9" t="s">
        <v>600</v>
      </c>
      <c r="C2228" s="63" t="n">
        <f aca="false">P2137</f>
        <v>112</v>
      </c>
      <c r="D2228" s="63"/>
    </row>
    <row r="2229" customFormat="false" ht="15" hidden="false" customHeight="false" outlineLevel="0" collapsed="false">
      <c r="A2229" s="9" t="s">
        <v>601</v>
      </c>
      <c r="C2229" s="61" t="n">
        <f aca="false">IFERROR(P2171/P2161,0)</f>
        <v>6706.76854354706</v>
      </c>
      <c r="D2229" s="61"/>
    </row>
    <row r="2232" customFormat="false" ht="15" hidden="false" customHeight="true" outlineLevel="0" collapsed="false">
      <c r="A2232" s="77" t="s">
        <v>795</v>
      </c>
      <c r="B2232" s="77"/>
      <c r="C2232" s="77"/>
      <c r="D2232" s="77"/>
      <c r="E2232" s="77"/>
      <c r="F2232" s="77"/>
      <c r="G2232" s="77"/>
      <c r="H2232" s="77"/>
      <c r="I2232" s="77"/>
      <c r="J2232" s="77"/>
      <c r="K2232" s="77"/>
      <c r="L2232" s="77"/>
      <c r="M2232" s="77"/>
      <c r="N2232" s="77"/>
    </row>
    <row r="2233" customFormat="false" ht="23.85" hidden="false" customHeight="false" outlineLevel="0" collapsed="false">
      <c r="A2233" s="35" t="s">
        <v>796</v>
      </c>
      <c r="B2233" s="35" t="s">
        <v>444</v>
      </c>
      <c r="C2233" s="6" t="s">
        <v>354</v>
      </c>
      <c r="D2233" s="6" t="s">
        <v>355</v>
      </c>
      <c r="E2233" s="6" t="s">
        <v>356</v>
      </c>
      <c r="F2233" s="6" t="s">
        <v>357</v>
      </c>
      <c r="G2233" s="6" t="s">
        <v>358</v>
      </c>
      <c r="H2233" s="6" t="s">
        <v>359</v>
      </c>
      <c r="I2233" s="6" t="s">
        <v>360</v>
      </c>
      <c r="J2233" s="6" t="s">
        <v>361</v>
      </c>
      <c r="K2233" s="6" t="s">
        <v>362</v>
      </c>
      <c r="L2233" s="6" t="s">
        <v>363</v>
      </c>
      <c r="M2233" s="6" t="s">
        <v>364</v>
      </c>
      <c r="N2233" s="6" t="s">
        <v>365</v>
      </c>
      <c r="P2233" s="6" t="s">
        <v>445</v>
      </c>
      <c r="Q2233" s="6" t="s">
        <v>446</v>
      </c>
      <c r="R2233" s="6" t="s">
        <v>447</v>
      </c>
      <c r="S2233" s="6" t="s">
        <v>448</v>
      </c>
    </row>
    <row r="2234" customFormat="false" ht="15" hidden="false" customHeight="false" outlineLevel="0" collapsed="false">
      <c r="A2234" s="4" t="s">
        <v>449</v>
      </c>
      <c r="B2234" s="36" t="s">
        <v>450</v>
      </c>
      <c r="C2234" s="34" t="n">
        <f aca="false">'Market Sizing'!$C$20*Assumptions!$G$10*Assumptions!$G$11*(1-Assumptions!$G$12)</f>
        <v>2743.814304</v>
      </c>
    </row>
    <row r="2235" customFormat="false" ht="15" hidden="false" customHeight="false" outlineLevel="0" collapsed="false">
      <c r="A2235" s="4" t="s">
        <v>451</v>
      </c>
      <c r="B2235" s="36" t="s">
        <v>450</v>
      </c>
      <c r="C2235" s="34" t="n">
        <f aca="false">'Market Sizing'!$D$20*Assumptions!$G$10*Assumptions!$G$11*(1-Assumptions!$G$12)</f>
        <v>560.531664</v>
      </c>
    </row>
    <row r="2236" customFormat="false" ht="15" hidden="false" customHeight="false" outlineLevel="0" collapsed="false">
      <c r="A2236" s="4" t="s">
        <v>452</v>
      </c>
      <c r="B2236" s="36" t="s">
        <v>450</v>
      </c>
      <c r="C2236" s="34" t="n">
        <f aca="false">'Market Sizing'!$E$20*Assumptions!$G$10*Assumptions!$G$11*(1-Assumptions!$G$12)</f>
        <v>130.340826</v>
      </c>
    </row>
    <row r="2237" customFormat="false" ht="15" hidden="false" customHeight="false" outlineLevel="0" collapsed="false">
      <c r="A2237" s="4" t="s">
        <v>453</v>
      </c>
      <c r="B2237" s="36"/>
      <c r="C2237" s="34" t="n">
        <f aca="false">$C$2234+$C$2235+$C$2236</f>
        <v>3434.686794</v>
      </c>
    </row>
    <row r="2238" customFormat="false" ht="15" hidden="false" customHeight="false" outlineLevel="0" collapsed="false">
      <c r="A2238" s="4" t="s">
        <v>454</v>
      </c>
      <c r="B2238" s="36" t="s">
        <v>450</v>
      </c>
      <c r="C2238" s="34" t="n">
        <f aca="false">'Market Sizing'!$C$21*Assumptions!$G$10*Assumptions!$G$11*(1-Assumptions!$G$12)</f>
        <v>2711.4875865</v>
      </c>
    </row>
    <row r="2239" customFormat="false" ht="15" hidden="false" customHeight="false" outlineLevel="0" collapsed="false">
      <c r="A2239" s="4" t="s">
        <v>455</v>
      </c>
      <c r="B2239" s="36" t="s">
        <v>450</v>
      </c>
      <c r="C2239" s="34" t="n">
        <f aca="false">'Market Sizing'!$D$21*Assumptions!$G$10*Assumptions!$G$11*(1-Assumptions!$G$12)</f>
        <v>558.515727</v>
      </c>
    </row>
    <row r="2240" customFormat="false" ht="15" hidden="false" customHeight="false" outlineLevel="0" collapsed="false">
      <c r="A2240" s="4" t="s">
        <v>456</v>
      </c>
      <c r="B2240" s="36" t="s">
        <v>450</v>
      </c>
      <c r="C2240" s="34" t="n">
        <f aca="false">'Market Sizing'!$E$21*Assumptions!$G$10*Assumptions!$G$11*(1-Assumptions!$G$12)</f>
        <v>114.174522</v>
      </c>
    </row>
    <row r="2241" customFormat="false" ht="15" hidden="false" customHeight="false" outlineLevel="0" collapsed="false">
      <c r="A2241" s="4" t="s">
        <v>457</v>
      </c>
      <c r="B2241" s="36"/>
      <c r="C2241" s="34" t="n">
        <f aca="false">$C$2238+$C$2239+$C$2240</f>
        <v>3384.1778355</v>
      </c>
    </row>
    <row r="2242" customFormat="false" ht="15" hidden="false" customHeight="false" outlineLevel="0" collapsed="false">
      <c r="A2242" s="4" t="s">
        <v>458</v>
      </c>
      <c r="B2242" s="36" t="s">
        <v>450</v>
      </c>
      <c r="C2242" s="34" t="n">
        <f aca="false">'Market Sizing'!$C$22*Assumptions!$G$10*Assumptions!$G$11*(1-Assumptions!$G$12)</f>
        <v>2796.4244385</v>
      </c>
    </row>
    <row r="2243" customFormat="false" ht="15" hidden="false" customHeight="false" outlineLevel="0" collapsed="false">
      <c r="A2243" s="4" t="s">
        <v>459</v>
      </c>
      <c r="B2243" s="36" t="s">
        <v>450</v>
      </c>
      <c r="C2243" s="34" t="n">
        <f aca="false">'Market Sizing'!$D$22*Assumptions!$G$10*Assumptions!$G$11*(1-Assumptions!$G$12)</f>
        <v>714.600117</v>
      </c>
    </row>
    <row r="2244" customFormat="false" ht="15" hidden="false" customHeight="false" outlineLevel="0" collapsed="false">
      <c r="A2244" s="4" t="s">
        <v>460</v>
      </c>
      <c r="B2244" s="36" t="s">
        <v>450</v>
      </c>
      <c r="C2244" s="34" t="n">
        <f aca="false">'Market Sizing'!$E$22*Assumptions!$G$10*Assumptions!$G$11*(1-Assumptions!$G$12)</f>
        <v>150.548706</v>
      </c>
    </row>
    <row r="2245" customFormat="false" ht="15" hidden="false" customHeight="false" outlineLevel="0" collapsed="false">
      <c r="A2245" s="4" t="s">
        <v>461</v>
      </c>
      <c r="B2245" s="36"/>
      <c r="C2245" s="34" t="n">
        <f aca="false">$C$2242+$C$2243+$C$2244</f>
        <v>3661.5732615</v>
      </c>
    </row>
    <row r="2246" customFormat="false" ht="15" hidden="false" customHeight="false" outlineLevel="0" collapsed="false">
      <c r="A2246" s="4" t="s">
        <v>462</v>
      </c>
      <c r="B2246" s="36" t="s">
        <v>463</v>
      </c>
      <c r="C2246" s="33" t="n">
        <f aca="false">MAX((Assumptions!$G$51+Assumptions!$G$53)*12,(((('Market Sizing'!$E$28*Assumptions!$G$41*Assumptions!$G$42*Assumptions!$G$43)*Assumptions!$G$44)*Assumptions!$G$45*Assumptions!$G$46+('Market Sizing'!$E$28*Assumptions!$G$41*Assumptions!$G$42*Assumptions!$G$43)*Assumptions!$G$47+('Market Sizing'!$E$28*Assumptions!$G$41*Assumptions!$G$42*Assumptions!$G$43)*Assumptions!$G$48*Assumptions!$G$49)*(Assumptions!$G$51*12/Assumptions!$G$52)+((('Market Sizing'!$E$28*Assumptions!$G$41*Assumptions!$G$42*Assumptions!$G$43)*Assumptions!$G$44)*Assumptions!$G$45+('Market Sizing'!$E$28*Assumptions!$G$41*Assumptions!$G$42*Assumptions!$G$43)+('Market Sizing'!$E$28*Assumptions!$G$41*Assumptions!$G$42*Assumptions!$G$43)*Assumptions!$G$48)*Assumptions!$G$50*(Assumptions!$G$53*12/Assumptions!$G$54)))</f>
        <v>5352</v>
      </c>
    </row>
    <row r="2247" customFormat="false" ht="15" hidden="false" customHeight="false" outlineLevel="0" collapsed="false">
      <c r="A2247" s="4" t="s">
        <v>464</v>
      </c>
      <c r="B2247" s="36" t="s">
        <v>463</v>
      </c>
      <c r="C2247" s="33" t="n">
        <f aca="false">MAX((Assumptions!$G$51+Assumptions!$G$53)*12,(((('Market Sizing'!$E$29*Assumptions!$G$41*Assumptions!$G$42*Assumptions!$G$43)*Assumptions!$G$44)*Assumptions!$G$45*Assumptions!$G$46+('Market Sizing'!$E$29*Assumptions!$G$41*Assumptions!$G$42*Assumptions!$G$43)*Assumptions!$G$47+('Market Sizing'!$E$29*Assumptions!$G$41*Assumptions!$G$42*Assumptions!$G$43)*Assumptions!$G$48*Assumptions!$G$49)*(Assumptions!$G$51*12/Assumptions!$G$52)+((('Market Sizing'!$E$29*Assumptions!$G$41*Assumptions!$G$42*Assumptions!$G$43)*Assumptions!$G$44)*Assumptions!$G$45+('Market Sizing'!$E$29*Assumptions!$G$41*Assumptions!$G$42*Assumptions!$G$43)+('Market Sizing'!$E$29*Assumptions!$G$41*Assumptions!$G$42*Assumptions!$G$43)*Assumptions!$G$48)*Assumptions!$G$50*(Assumptions!$G$53*12/Assumptions!$G$54)))</f>
        <v>5352</v>
      </c>
    </row>
    <row r="2248" customFormat="false" ht="15" hidden="false" customHeight="false" outlineLevel="0" collapsed="false">
      <c r="A2248" s="4" t="s">
        <v>465</v>
      </c>
      <c r="B2248" s="36" t="s">
        <v>463</v>
      </c>
      <c r="C2248" s="33" t="n">
        <f aca="false">MAX(Assumptions!$G$55*(Assumptions!$G$51*12/Assumptions!$G$52)+Assumptions!$G$56*(Assumptions!$G$53*12/Assumptions!$G$54),(((('Market Sizing'!$E$30*Assumptions!$G$41*Assumptions!$G$42*Assumptions!$G$43)*Assumptions!$G$44)*Assumptions!$G$45*Assumptions!$G$46+('Market Sizing'!$E$30*Assumptions!$G$41*Assumptions!$G$42*Assumptions!$G$43)*Assumptions!$G$47+('Market Sizing'!$E$30*Assumptions!$G$41*Assumptions!$G$42*Assumptions!$G$43)*Assumptions!$G$48*Assumptions!$G$49)*(Assumptions!$G$51*12/Assumptions!$G$52)+((('Market Sizing'!$E$30*Assumptions!$G$41*Assumptions!$G$42*Assumptions!$G$43)*Assumptions!$G$44)*Assumptions!$G$45+('Market Sizing'!$E$30*Assumptions!$G$41*Assumptions!$G$42*Assumptions!$G$43)+('Market Sizing'!$E$30*Assumptions!$G$41*Assumptions!$G$42*Assumptions!$G$43)*Assumptions!$G$48)*Assumptions!$G$50*(Assumptions!$G$53*12/Assumptions!$G$54)))*(1-Assumptions!$G$57)</f>
        <v>44310</v>
      </c>
    </row>
    <row r="2249" customFormat="false" ht="23.85" hidden="false" customHeight="false" outlineLevel="0" collapsed="false">
      <c r="A2249" s="4" t="s">
        <v>466</v>
      </c>
      <c r="B2249" s="36" t="s">
        <v>467</v>
      </c>
      <c r="C2249" s="37" t="n">
        <f aca="false">Assumptions!$G$17*Assumptions!$E$106</f>
        <v>0.3</v>
      </c>
    </row>
    <row r="2250" customFormat="false" ht="23.85" hidden="false" customHeight="false" outlineLevel="0" collapsed="false">
      <c r="A2250" s="4" t="s">
        <v>468</v>
      </c>
      <c r="B2250" s="36" t="s">
        <v>469</v>
      </c>
      <c r="C2250" s="33" t="n">
        <f aca="false">Assumptions!$G$68/Assumptions!$G$69</f>
        <v>285714.285714286</v>
      </c>
    </row>
    <row r="2251" customFormat="false" ht="23.85" hidden="false" customHeight="false" outlineLevel="0" collapsed="false">
      <c r="A2251" s="4" t="s">
        <v>470</v>
      </c>
      <c r="B2251" s="36" t="s">
        <v>471</v>
      </c>
      <c r="C2251" s="33" t="n">
        <f aca="false">Assumptions!$G$66*Assumptions!$G$67/4</f>
        <v>120312.5</v>
      </c>
    </row>
    <row r="2252" customFormat="false" ht="15" hidden="false" customHeight="false" outlineLevel="0" collapsed="false">
      <c r="A2252" s="4" t="s">
        <v>472</v>
      </c>
      <c r="B2252" s="36"/>
      <c r="C2252" s="38" t="n">
        <f aca="false">$C$2250/Assumptions!$G$66/Assumptions!$G$67</f>
        <v>0.593692022263451</v>
      </c>
    </row>
    <row r="2253" customFormat="false" ht="15" hidden="false" customHeight="false" outlineLevel="0" collapsed="false">
      <c r="A2253" s="4" t="s">
        <v>473</v>
      </c>
      <c r="B2253" s="36"/>
      <c r="C2253" s="33" t="n">
        <f aca="false">MAX(0,Assumptions!$E$103-Assumptions!$G$78)</f>
        <v>35000</v>
      </c>
    </row>
    <row r="2254" customFormat="false" ht="15" hidden="false" customHeight="false" outlineLevel="0" collapsed="false">
      <c r="A2254" s="35" t="s">
        <v>474</v>
      </c>
      <c r="B2254" s="35" t="s">
        <v>444</v>
      </c>
      <c r="C2254" s="6" t="s">
        <v>354</v>
      </c>
      <c r="D2254" s="6" t="s">
        <v>355</v>
      </c>
      <c r="E2254" s="6" t="s">
        <v>356</v>
      </c>
      <c r="F2254" s="6" t="s">
        <v>357</v>
      </c>
      <c r="G2254" s="6" t="s">
        <v>358</v>
      </c>
      <c r="H2254" s="6" t="s">
        <v>359</v>
      </c>
      <c r="I2254" s="6" t="s">
        <v>360</v>
      </c>
      <c r="J2254" s="6" t="s">
        <v>361</v>
      </c>
      <c r="K2254" s="6" t="s">
        <v>362</v>
      </c>
      <c r="L2254" s="6" t="s">
        <v>363</v>
      </c>
      <c r="M2254" s="6" t="s">
        <v>364</v>
      </c>
      <c r="N2254" s="6" t="s">
        <v>365</v>
      </c>
      <c r="P2254" s="6" t="s">
        <v>445</v>
      </c>
      <c r="Q2254" s="6" t="s">
        <v>446</v>
      </c>
      <c r="R2254" s="6" t="s">
        <v>447</v>
      </c>
      <c r="S2254" s="6" t="s">
        <v>448</v>
      </c>
    </row>
    <row r="2255" customFormat="false" ht="15" hidden="false" customHeight="false" outlineLevel="0" collapsed="false">
      <c r="A2255" s="4" t="s">
        <v>475</v>
      </c>
      <c r="B2255" s="36" t="s">
        <v>133</v>
      </c>
      <c r="C2255" s="39" t="n">
        <v>1</v>
      </c>
      <c r="D2255" s="39" t="n">
        <v>2</v>
      </c>
      <c r="E2255" s="39" t="n">
        <v>3</v>
      </c>
      <c r="F2255" s="39" t="n">
        <v>4</v>
      </c>
      <c r="G2255" s="39" t="n">
        <v>5</v>
      </c>
      <c r="H2255" s="39" t="n">
        <v>6</v>
      </c>
      <c r="I2255" s="39" t="n">
        <v>7</v>
      </c>
      <c r="J2255" s="39" t="n">
        <v>8</v>
      </c>
      <c r="K2255" s="39" t="n">
        <v>9</v>
      </c>
      <c r="L2255" s="39" t="n">
        <v>10</v>
      </c>
      <c r="M2255" s="39" t="n">
        <v>11</v>
      </c>
      <c r="N2255" s="39" t="n">
        <v>12</v>
      </c>
      <c r="P2255" s="40"/>
      <c r="Q2255" s="40"/>
      <c r="R2255" s="40"/>
      <c r="S2255" s="41"/>
    </row>
    <row r="2256" customFormat="false" ht="15" hidden="false" customHeight="false" outlineLevel="0" collapsed="false">
      <c r="A2256" s="4" t="s">
        <v>476</v>
      </c>
      <c r="B2256" s="36" t="s">
        <v>343</v>
      </c>
      <c r="C2256" s="39" t="n">
        <f aca="false">IF(C2255&lt;=Assumptions!$G$84,1,0)</f>
        <v>1</v>
      </c>
      <c r="D2256" s="39" t="n">
        <f aca="false">IF(D2255&lt;=Assumptions!$G$84,1,0)</f>
        <v>1</v>
      </c>
      <c r="E2256" s="39" t="n">
        <f aca="false">IF(E2255&lt;=Assumptions!$G$84,1,0)</f>
        <v>1</v>
      </c>
      <c r="F2256" s="39" t="n">
        <f aca="false">IF(F2255&lt;=Assumptions!$G$84,1,0)</f>
        <v>1</v>
      </c>
      <c r="G2256" s="39" t="n">
        <f aca="false">IF(G2255&lt;=Assumptions!$G$84,1,0)</f>
        <v>1</v>
      </c>
      <c r="H2256" s="39" t="n">
        <f aca="false">IF(H2255&lt;=Assumptions!$G$84,1,0)</f>
        <v>1</v>
      </c>
      <c r="I2256" s="39" t="n">
        <f aca="false">IF(I2255&lt;=Assumptions!$G$84,1,0)</f>
        <v>1</v>
      </c>
      <c r="J2256" s="39" t="n">
        <f aca="false">IF(J2255&lt;=Assumptions!$G$84,1,0)</f>
        <v>1</v>
      </c>
      <c r="K2256" s="39" t="n">
        <f aca="false">IF(K2255&lt;=Assumptions!$G$84,1,0)</f>
        <v>1</v>
      </c>
      <c r="L2256" s="39" t="n">
        <f aca="false">IF(L2255&lt;=Assumptions!$G$84,1,0)</f>
        <v>1</v>
      </c>
      <c r="M2256" s="39" t="n">
        <f aca="false">IF(M2255&lt;=Assumptions!$G$84,1,0)</f>
        <v>1</v>
      </c>
      <c r="N2256" s="39" t="n">
        <f aca="false">IF(N2255&lt;=Assumptions!$G$84,1,0)</f>
        <v>1</v>
      </c>
      <c r="P2256" s="40"/>
      <c r="Q2256" s="40"/>
      <c r="R2256" s="40"/>
      <c r="S2256" s="41"/>
    </row>
    <row r="2257" customFormat="false" ht="15" hidden="false" customHeight="false" outlineLevel="0" collapsed="false">
      <c r="A2257" s="4" t="s">
        <v>477</v>
      </c>
      <c r="B2257" s="36" t="s">
        <v>478</v>
      </c>
      <c r="C2257" s="42" t="n">
        <f aca="false">IF(C2255=Assumptions!$G$13,0.5,IF(C2255&gt;Assumptions!$G$13,1,0))</f>
        <v>0.5</v>
      </c>
      <c r="D2257" s="42" t="n">
        <f aca="false">IF(D2255=Assumptions!$G$13,0.5,IF(D2255&gt;Assumptions!$G$13,1,0))</f>
        <v>1</v>
      </c>
      <c r="E2257" s="42" t="n">
        <f aca="false">IF(E2255=Assumptions!$G$13,0.5,IF(E2255&gt;Assumptions!$G$13,1,0))</f>
        <v>1</v>
      </c>
      <c r="F2257" s="42" t="n">
        <f aca="false">IF(F2255=Assumptions!$G$13,0.5,IF(F2255&gt;Assumptions!$G$13,1,0))</f>
        <v>1</v>
      </c>
      <c r="G2257" s="42" t="n">
        <f aca="false">IF(G2255=Assumptions!$G$13,0.5,IF(G2255&gt;Assumptions!$G$13,1,0))</f>
        <v>1</v>
      </c>
      <c r="H2257" s="42" t="n">
        <f aca="false">IF(H2255=Assumptions!$G$13,0.5,IF(H2255&gt;Assumptions!$G$13,1,0))</f>
        <v>1</v>
      </c>
      <c r="I2257" s="42" t="n">
        <f aca="false">IF(I2255=Assumptions!$G$13,0.5,IF(I2255&gt;Assumptions!$G$13,1,0))</f>
        <v>1</v>
      </c>
      <c r="J2257" s="42" t="n">
        <f aca="false">IF(J2255=Assumptions!$G$13,0.5,IF(J2255&gt;Assumptions!$G$13,1,0))</f>
        <v>1</v>
      </c>
      <c r="K2257" s="42" t="n">
        <f aca="false">IF(K2255=Assumptions!$G$13,0.5,IF(K2255&gt;Assumptions!$G$13,1,0))</f>
        <v>1</v>
      </c>
      <c r="L2257" s="42" t="n">
        <f aca="false">IF(L2255=Assumptions!$G$13,0.5,IF(L2255&gt;Assumptions!$G$13,1,0))</f>
        <v>1</v>
      </c>
      <c r="M2257" s="42" t="n">
        <f aca="false">IF(M2255=Assumptions!$G$13,0.5,IF(M2255&gt;Assumptions!$G$13,1,0))</f>
        <v>1</v>
      </c>
      <c r="N2257" s="42" t="n">
        <f aca="false">IF(N2255=Assumptions!$G$13,0.5,IF(N2255&gt;Assumptions!$G$13,1,0))</f>
        <v>1</v>
      </c>
      <c r="P2257" s="43"/>
      <c r="Q2257" s="43"/>
      <c r="R2257" s="43"/>
      <c r="S2257" s="44"/>
    </row>
    <row r="2258" customFormat="false" ht="15" hidden="false" customHeight="false" outlineLevel="0" collapsed="false">
      <c r="A2258" s="4" t="s">
        <v>479</v>
      </c>
      <c r="B2258" s="36" t="s">
        <v>478</v>
      </c>
      <c r="C2258" s="42" t="n">
        <f aca="false">IF(C2255=Assumptions!$G$14,0.5,IF(C2255&gt;Assumptions!$G$14,1,0))</f>
        <v>0</v>
      </c>
      <c r="D2258" s="42" t="n">
        <f aca="false">IF(D2255=Assumptions!$G$14,0.5,IF(D2255&gt;Assumptions!$G$14,1,0))</f>
        <v>0</v>
      </c>
      <c r="E2258" s="42" t="n">
        <f aca="false">IF(E2255=Assumptions!$G$14,0.5,IF(E2255&gt;Assumptions!$G$14,1,0))</f>
        <v>0</v>
      </c>
      <c r="F2258" s="42" t="n">
        <f aca="false">IF(F2255=Assumptions!$G$14,0.5,IF(F2255&gt;Assumptions!$G$14,1,0))</f>
        <v>0</v>
      </c>
      <c r="G2258" s="42" t="n">
        <f aca="false">IF(G2255=Assumptions!$G$14,0.5,IF(G2255&gt;Assumptions!$G$14,1,0))</f>
        <v>0</v>
      </c>
      <c r="H2258" s="42" t="n">
        <f aca="false">IF(H2255=Assumptions!$G$14,0.5,IF(H2255&gt;Assumptions!$G$14,1,0))</f>
        <v>0</v>
      </c>
      <c r="I2258" s="42" t="n">
        <f aca="false">IF(I2255=Assumptions!$G$14,0.5,IF(I2255&gt;Assumptions!$G$14,1,0))</f>
        <v>0.5</v>
      </c>
      <c r="J2258" s="42" t="n">
        <f aca="false">IF(J2255=Assumptions!$G$14,0.5,IF(J2255&gt;Assumptions!$G$14,1,0))</f>
        <v>1</v>
      </c>
      <c r="K2258" s="42" t="n">
        <f aca="false">IF(K2255=Assumptions!$G$14,0.5,IF(K2255&gt;Assumptions!$G$14,1,0))</f>
        <v>1</v>
      </c>
      <c r="L2258" s="42" t="n">
        <f aca="false">IF(L2255=Assumptions!$G$14,0.5,IF(L2255&gt;Assumptions!$G$14,1,0))</f>
        <v>1</v>
      </c>
      <c r="M2258" s="42" t="n">
        <f aca="false">IF(M2255=Assumptions!$G$14,0.5,IF(M2255&gt;Assumptions!$G$14,1,0))</f>
        <v>1</v>
      </c>
      <c r="N2258" s="42" t="n">
        <f aca="false">IF(N2255=Assumptions!$G$14,0.5,IF(N2255&gt;Assumptions!$G$14,1,0))</f>
        <v>1</v>
      </c>
      <c r="P2258" s="43"/>
      <c r="Q2258" s="43"/>
      <c r="R2258" s="43"/>
      <c r="S2258" s="44"/>
    </row>
    <row r="2259" customFormat="false" ht="15" hidden="false" customHeight="false" outlineLevel="0" collapsed="false">
      <c r="A2259" s="4" t="s">
        <v>480</v>
      </c>
      <c r="B2259" s="36" t="s">
        <v>478</v>
      </c>
      <c r="C2259" s="42" t="n">
        <f aca="false">IF(C2255=Assumptions!$G$15,0.5,IF(C2255&gt;Assumptions!$G$15,1,0))</f>
        <v>0</v>
      </c>
      <c r="D2259" s="42" t="n">
        <f aca="false">IF(D2255=Assumptions!$G$15,0.5,IF(D2255&gt;Assumptions!$G$15,1,0))</f>
        <v>0</v>
      </c>
      <c r="E2259" s="42" t="n">
        <f aca="false">IF(E2255=Assumptions!$G$15,0.5,IF(E2255&gt;Assumptions!$G$15,1,0))</f>
        <v>0</v>
      </c>
      <c r="F2259" s="42" t="n">
        <f aca="false">IF(F2255=Assumptions!$G$15,0.5,IF(F2255&gt;Assumptions!$G$15,1,0))</f>
        <v>0</v>
      </c>
      <c r="G2259" s="42" t="n">
        <f aca="false">IF(G2255=Assumptions!$G$15,0.5,IF(G2255&gt;Assumptions!$G$15,1,0))</f>
        <v>0</v>
      </c>
      <c r="H2259" s="42" t="n">
        <f aca="false">IF(H2255=Assumptions!$G$15,0.5,IF(H2255&gt;Assumptions!$G$15,1,0))</f>
        <v>0</v>
      </c>
      <c r="I2259" s="42" t="n">
        <f aca="false">IF(I2255=Assumptions!$G$15,0.5,IF(I2255&gt;Assumptions!$G$15,1,0))</f>
        <v>0</v>
      </c>
      <c r="J2259" s="42" t="n">
        <f aca="false">IF(J2255=Assumptions!$G$15,0.5,IF(J2255&gt;Assumptions!$G$15,1,0))</f>
        <v>0</v>
      </c>
      <c r="K2259" s="42" t="n">
        <f aca="false">IF(K2255=Assumptions!$G$15,0.5,IF(K2255&gt;Assumptions!$G$15,1,0))</f>
        <v>0</v>
      </c>
      <c r="L2259" s="42" t="n">
        <f aca="false">IF(L2255=Assumptions!$G$15,0.5,IF(L2255&gt;Assumptions!$G$15,1,0))</f>
        <v>0</v>
      </c>
      <c r="M2259" s="42" t="n">
        <f aca="false">IF(M2255=Assumptions!$G$15,0.5,IF(M2255&gt;Assumptions!$G$15,1,0))</f>
        <v>0</v>
      </c>
      <c r="N2259" s="42" t="n">
        <f aca="false">IF(N2255=Assumptions!$G$15,0.5,IF(N2255&gt;Assumptions!$G$15,1,0))</f>
        <v>0</v>
      </c>
      <c r="P2259" s="43"/>
      <c r="Q2259" s="43"/>
      <c r="R2259" s="43"/>
      <c r="S2259" s="44"/>
    </row>
    <row r="2260" customFormat="false" ht="15" hidden="false" customHeight="false" outlineLevel="0" collapsed="false">
      <c r="A2260" s="4" t="s">
        <v>481</v>
      </c>
      <c r="B2260" s="36" t="s">
        <v>478</v>
      </c>
      <c r="C2260" s="45" t="n">
        <f aca="false">Assumptions!$G$21^(MAX(0,C2255-Assumptions!$G$13)/4)</f>
        <v>1</v>
      </c>
      <c r="D2260" s="45" t="n">
        <f aca="false">Assumptions!$G$21^(MAX(0,D2255-Assumptions!$G$13)/4)</f>
        <v>0.880111736793393</v>
      </c>
      <c r="E2260" s="45" t="n">
        <f aca="false">Assumptions!$G$21^(MAX(0,E2255-Assumptions!$G$13)/4)</f>
        <v>0.774596669241483</v>
      </c>
      <c r="F2260" s="45" t="n">
        <f aca="false">Assumptions!$G$21^(MAX(0,F2255-Assumptions!$G$13)/4)</f>
        <v>0.6817316198805</v>
      </c>
      <c r="G2260" s="45" t="n">
        <f aca="false">Assumptions!$G$21^(MAX(0,G2255-Assumptions!$G$13)/4)</f>
        <v>0.6</v>
      </c>
      <c r="H2260" s="45" t="n">
        <f aca="false">Assumptions!$G$21^(MAX(0,H2255-Assumptions!$G$13)/4)</f>
        <v>0.528067042076036</v>
      </c>
      <c r="I2260" s="45" t="n">
        <f aca="false">Assumptions!$G$21^(MAX(0,I2255-Assumptions!$G$13)/4)</f>
        <v>0.46475800154489</v>
      </c>
      <c r="J2260" s="45" t="n">
        <f aca="false">Assumptions!$G$21^(MAX(0,J2255-Assumptions!$G$13)/4)</f>
        <v>0.4090389719283</v>
      </c>
      <c r="K2260" s="45" t="n">
        <f aca="false">Assumptions!$G$21^(MAX(0,K2255-Assumptions!$G$13)/4)</f>
        <v>0.36</v>
      </c>
      <c r="L2260" s="45" t="n">
        <f aca="false">Assumptions!$G$21^(MAX(0,L2255-Assumptions!$G$13)/4)</f>
        <v>0.316840225245622</v>
      </c>
      <c r="M2260" s="45" t="n">
        <f aca="false">Assumptions!$G$21^(MAX(0,M2255-Assumptions!$G$13)/4)</f>
        <v>0.278854800926934</v>
      </c>
      <c r="N2260" s="45" t="n">
        <f aca="false">Assumptions!$G$21^(MAX(0,N2255-Assumptions!$G$13)/4)</f>
        <v>0.24542338315698</v>
      </c>
      <c r="P2260" s="46"/>
      <c r="Q2260" s="46"/>
      <c r="R2260" s="46"/>
      <c r="S2260" s="47"/>
    </row>
    <row r="2261" customFormat="false" ht="15" hidden="false" customHeight="false" outlineLevel="0" collapsed="false">
      <c r="A2261" s="4" t="s">
        <v>482</v>
      </c>
      <c r="B2261" s="36" t="s">
        <v>478</v>
      </c>
      <c r="C2261" s="45" t="n">
        <f aca="false">Assumptions!$G$21^(MAX(0,C2255-Assumptions!$G$14)/4)</f>
        <v>1</v>
      </c>
      <c r="D2261" s="45" t="n">
        <f aca="false">Assumptions!$G$21^(MAX(0,D2255-Assumptions!$G$14)/4)</f>
        <v>1</v>
      </c>
      <c r="E2261" s="45" t="n">
        <f aca="false">Assumptions!$G$21^(MAX(0,E2255-Assumptions!$G$14)/4)</f>
        <v>1</v>
      </c>
      <c r="F2261" s="45" t="n">
        <f aca="false">Assumptions!$G$21^(MAX(0,F2255-Assumptions!$G$14)/4)</f>
        <v>1</v>
      </c>
      <c r="G2261" s="45" t="n">
        <f aca="false">Assumptions!$G$21^(MAX(0,G2255-Assumptions!$G$14)/4)</f>
        <v>1</v>
      </c>
      <c r="H2261" s="45" t="n">
        <f aca="false">Assumptions!$G$21^(MAX(0,H2255-Assumptions!$G$14)/4)</f>
        <v>1</v>
      </c>
      <c r="I2261" s="45" t="n">
        <f aca="false">Assumptions!$G$21^(MAX(0,I2255-Assumptions!$G$14)/4)</f>
        <v>1</v>
      </c>
      <c r="J2261" s="45" t="n">
        <f aca="false">Assumptions!$G$21^(MAX(0,J2255-Assumptions!$G$14)/4)</f>
        <v>0.880111736793393</v>
      </c>
      <c r="K2261" s="45" t="n">
        <f aca="false">Assumptions!$G$21^(MAX(0,K2255-Assumptions!$G$14)/4)</f>
        <v>0.774596669241483</v>
      </c>
      <c r="L2261" s="45" t="n">
        <f aca="false">Assumptions!$G$21^(MAX(0,L2255-Assumptions!$G$14)/4)</f>
        <v>0.6817316198805</v>
      </c>
      <c r="M2261" s="45" t="n">
        <f aca="false">Assumptions!$G$21^(MAX(0,M2255-Assumptions!$G$14)/4)</f>
        <v>0.6</v>
      </c>
      <c r="N2261" s="45" t="n">
        <f aca="false">Assumptions!$G$21^(MAX(0,N2255-Assumptions!$G$14)/4)</f>
        <v>0.528067042076036</v>
      </c>
      <c r="P2261" s="46"/>
      <c r="Q2261" s="46"/>
      <c r="R2261" s="46"/>
      <c r="S2261" s="47"/>
    </row>
    <row r="2262" customFormat="false" ht="15" hidden="false" customHeight="false" outlineLevel="0" collapsed="false">
      <c r="A2262" s="4" t="s">
        <v>483</v>
      </c>
      <c r="B2262" s="36" t="s">
        <v>478</v>
      </c>
      <c r="C2262" s="45" t="n">
        <f aca="false">Assumptions!$G$21^(MAX(0,C2255-Assumptions!$G$15)/4)</f>
        <v>1</v>
      </c>
      <c r="D2262" s="45" t="n">
        <f aca="false">Assumptions!$G$21^(MAX(0,D2255-Assumptions!$G$15)/4)</f>
        <v>1</v>
      </c>
      <c r="E2262" s="45" t="n">
        <f aca="false">Assumptions!$G$21^(MAX(0,E2255-Assumptions!$G$15)/4)</f>
        <v>1</v>
      </c>
      <c r="F2262" s="45" t="n">
        <f aca="false">Assumptions!$G$21^(MAX(0,F2255-Assumptions!$G$15)/4)</f>
        <v>1</v>
      </c>
      <c r="G2262" s="45" t="n">
        <f aca="false">Assumptions!$G$21^(MAX(0,G2255-Assumptions!$G$15)/4)</f>
        <v>1</v>
      </c>
      <c r="H2262" s="45" t="n">
        <f aca="false">Assumptions!$G$21^(MAX(0,H2255-Assumptions!$G$15)/4)</f>
        <v>1</v>
      </c>
      <c r="I2262" s="45" t="n">
        <f aca="false">Assumptions!$G$21^(MAX(0,I2255-Assumptions!$G$15)/4)</f>
        <v>1</v>
      </c>
      <c r="J2262" s="45" t="n">
        <f aca="false">Assumptions!$G$21^(MAX(0,J2255-Assumptions!$G$15)/4)</f>
        <v>1</v>
      </c>
      <c r="K2262" s="45" t="n">
        <f aca="false">Assumptions!$G$21^(MAX(0,K2255-Assumptions!$G$15)/4)</f>
        <v>1</v>
      </c>
      <c r="L2262" s="45" t="n">
        <f aca="false">Assumptions!$G$21^(MAX(0,L2255-Assumptions!$G$15)/4)</f>
        <v>1</v>
      </c>
      <c r="M2262" s="45" t="n">
        <f aca="false">Assumptions!$G$21^(MAX(0,M2255-Assumptions!$G$15)/4)</f>
        <v>1</v>
      </c>
      <c r="N2262" s="45" t="n">
        <f aca="false">Assumptions!$G$21^(MAX(0,N2255-Assumptions!$G$15)/4)</f>
        <v>1</v>
      </c>
      <c r="P2262" s="46"/>
      <c r="Q2262" s="46"/>
      <c r="R2262" s="46"/>
      <c r="S2262" s="47"/>
    </row>
    <row r="2263" customFormat="false" ht="15" hidden="false" customHeight="false" outlineLevel="0" collapsed="false">
      <c r="A2263" s="4" t="s">
        <v>484</v>
      </c>
      <c r="B2263" s="36" t="s">
        <v>485</v>
      </c>
      <c r="C2263" s="39" t="n">
        <f aca="false">$C$2234*C2257+$C$2238*C2258+$C$2242*C2259</f>
        <v>1371.907152</v>
      </c>
      <c r="D2263" s="39" t="n">
        <f aca="false">$C$2234*D2257+$C$2238*D2258+$C$2242*D2259</f>
        <v>2743.814304</v>
      </c>
      <c r="E2263" s="39" t="n">
        <f aca="false">$C$2234*E2257+$C$2238*E2258+$C$2242*E2259</f>
        <v>2743.814304</v>
      </c>
      <c r="F2263" s="39" t="n">
        <f aca="false">$C$2234*F2257+$C$2238*F2258+$C$2242*F2259</f>
        <v>2743.814304</v>
      </c>
      <c r="G2263" s="39" t="n">
        <f aca="false">$C$2234*G2257+$C$2238*G2258+$C$2242*G2259</f>
        <v>2743.814304</v>
      </c>
      <c r="H2263" s="39" t="n">
        <f aca="false">$C$2234*H2257+$C$2238*H2258+$C$2242*H2259</f>
        <v>2743.814304</v>
      </c>
      <c r="I2263" s="39" t="n">
        <f aca="false">$C$2234*I2257+$C$2238*I2258+$C$2242*I2259</f>
        <v>4099.55809725</v>
      </c>
      <c r="J2263" s="39" t="n">
        <f aca="false">$C$2234*J2257+$C$2238*J2258+$C$2242*J2259</f>
        <v>5455.3018905</v>
      </c>
      <c r="K2263" s="39" t="n">
        <f aca="false">$C$2234*K2257+$C$2238*K2258+$C$2242*K2259</f>
        <v>5455.3018905</v>
      </c>
      <c r="L2263" s="39" t="n">
        <f aca="false">$C$2234*L2257+$C$2238*L2258+$C$2242*L2259</f>
        <v>5455.3018905</v>
      </c>
      <c r="M2263" s="39" t="n">
        <f aca="false">$C$2234*M2257+$C$2238*M2258+$C$2242*M2259</f>
        <v>5455.3018905</v>
      </c>
      <c r="N2263" s="39" t="n">
        <f aca="false">$C$2234*N2257+$C$2238*N2258+$C$2242*N2259</f>
        <v>5455.3018905</v>
      </c>
      <c r="P2263" s="40" t="n">
        <f aca="false">F2263</f>
        <v>2743.814304</v>
      </c>
      <c r="Q2263" s="40" t="n">
        <f aca="false">J2263</f>
        <v>5455.3018905</v>
      </c>
      <c r="R2263" s="40" t="n">
        <f aca="false">N2263</f>
        <v>5455.3018905</v>
      </c>
      <c r="S2263" s="41" t="n">
        <f aca="false">R2263</f>
        <v>5455.3018905</v>
      </c>
    </row>
    <row r="2264" customFormat="false" ht="15" hidden="false" customHeight="false" outlineLevel="0" collapsed="false">
      <c r="A2264" s="4" t="s">
        <v>486</v>
      </c>
      <c r="B2264" s="36" t="s">
        <v>485</v>
      </c>
      <c r="C2264" s="39" t="n">
        <f aca="false">$C$2235*C2257+$C$2239*C2258+$C$2243*C2259</f>
        <v>280.265832</v>
      </c>
      <c r="D2264" s="39" t="n">
        <f aca="false">$C$2235*D2257+$C$2239*D2258+$C$2243*D2259</f>
        <v>560.531664</v>
      </c>
      <c r="E2264" s="39" t="n">
        <f aca="false">$C$2235*E2257+$C$2239*E2258+$C$2243*E2259</f>
        <v>560.531664</v>
      </c>
      <c r="F2264" s="39" t="n">
        <f aca="false">$C$2235*F2257+$C$2239*F2258+$C$2243*F2259</f>
        <v>560.531664</v>
      </c>
      <c r="G2264" s="39" t="n">
        <f aca="false">$C$2235*G2257+$C$2239*G2258+$C$2243*G2259</f>
        <v>560.531664</v>
      </c>
      <c r="H2264" s="39" t="n">
        <f aca="false">$C$2235*H2257+$C$2239*H2258+$C$2243*H2259</f>
        <v>560.531664</v>
      </c>
      <c r="I2264" s="39" t="n">
        <f aca="false">$C$2235*I2257+$C$2239*I2258+$C$2243*I2259</f>
        <v>839.7895275</v>
      </c>
      <c r="J2264" s="39" t="n">
        <f aca="false">$C$2235*J2257+$C$2239*J2258+$C$2243*J2259</f>
        <v>1119.047391</v>
      </c>
      <c r="K2264" s="39" t="n">
        <f aca="false">$C$2235*K2257+$C$2239*K2258+$C$2243*K2259</f>
        <v>1119.047391</v>
      </c>
      <c r="L2264" s="39" t="n">
        <f aca="false">$C$2235*L2257+$C$2239*L2258+$C$2243*L2259</f>
        <v>1119.047391</v>
      </c>
      <c r="M2264" s="39" t="n">
        <f aca="false">$C$2235*M2257+$C$2239*M2258+$C$2243*M2259</f>
        <v>1119.047391</v>
      </c>
      <c r="N2264" s="39" t="n">
        <f aca="false">$C$2235*N2257+$C$2239*N2258+$C$2243*N2259</f>
        <v>1119.047391</v>
      </c>
      <c r="P2264" s="40" t="n">
        <f aca="false">F2264</f>
        <v>560.531664</v>
      </c>
      <c r="Q2264" s="40" t="n">
        <f aca="false">J2264</f>
        <v>1119.047391</v>
      </c>
      <c r="R2264" s="40" t="n">
        <f aca="false">N2264</f>
        <v>1119.047391</v>
      </c>
      <c r="S2264" s="41" t="n">
        <f aca="false">R2264</f>
        <v>1119.047391</v>
      </c>
    </row>
    <row r="2265" customFormat="false" ht="15" hidden="false" customHeight="false" outlineLevel="0" collapsed="false">
      <c r="A2265" s="4" t="s">
        <v>487</v>
      </c>
      <c r="B2265" s="36" t="s">
        <v>485</v>
      </c>
      <c r="C2265" s="39" t="n">
        <f aca="false">$C$2236*C2257+$C$2240*C2258+$C$2244*C2259</f>
        <v>65.170413</v>
      </c>
      <c r="D2265" s="39" t="n">
        <f aca="false">$C$2236*D2257+$C$2240*D2258+$C$2244*D2259</f>
        <v>130.340826</v>
      </c>
      <c r="E2265" s="39" t="n">
        <f aca="false">$C$2236*E2257+$C$2240*E2258+$C$2244*E2259</f>
        <v>130.340826</v>
      </c>
      <c r="F2265" s="39" t="n">
        <f aca="false">$C$2236*F2257+$C$2240*F2258+$C$2244*F2259</f>
        <v>130.340826</v>
      </c>
      <c r="G2265" s="39" t="n">
        <f aca="false">$C$2236*G2257+$C$2240*G2258+$C$2244*G2259</f>
        <v>130.340826</v>
      </c>
      <c r="H2265" s="39" t="n">
        <f aca="false">$C$2236*H2257+$C$2240*H2258+$C$2244*H2259</f>
        <v>130.340826</v>
      </c>
      <c r="I2265" s="39" t="n">
        <f aca="false">$C$2236*I2257+$C$2240*I2258+$C$2244*I2259</f>
        <v>187.428087</v>
      </c>
      <c r="J2265" s="39" t="n">
        <f aca="false">$C$2236*J2257+$C$2240*J2258+$C$2244*J2259</f>
        <v>244.515348</v>
      </c>
      <c r="K2265" s="39" t="n">
        <f aca="false">$C$2236*K2257+$C$2240*K2258+$C$2244*K2259</f>
        <v>244.515348</v>
      </c>
      <c r="L2265" s="39" t="n">
        <f aca="false">$C$2236*L2257+$C$2240*L2258+$C$2244*L2259</f>
        <v>244.515348</v>
      </c>
      <c r="M2265" s="39" t="n">
        <f aca="false">$C$2236*M2257+$C$2240*M2258+$C$2244*M2259</f>
        <v>244.515348</v>
      </c>
      <c r="N2265" s="39" t="n">
        <f aca="false">$C$2236*N2257+$C$2240*N2258+$C$2244*N2259</f>
        <v>244.515348</v>
      </c>
      <c r="P2265" s="40" t="n">
        <f aca="false">F2265</f>
        <v>130.340826</v>
      </c>
      <c r="Q2265" s="40" t="n">
        <f aca="false">J2265</f>
        <v>244.515348</v>
      </c>
      <c r="R2265" s="40" t="n">
        <f aca="false">N2265</f>
        <v>244.515348</v>
      </c>
      <c r="S2265" s="41" t="n">
        <f aca="false">R2265</f>
        <v>244.515348</v>
      </c>
    </row>
    <row r="2266" customFormat="false" ht="15" hidden="false" customHeight="false" outlineLevel="0" collapsed="false">
      <c r="A2266" s="4" t="s">
        <v>488</v>
      </c>
      <c r="B2266" s="36" t="s">
        <v>485</v>
      </c>
      <c r="C2266" s="39" t="n">
        <f aca="false">C2263+C2264+C2265</f>
        <v>1717.343397</v>
      </c>
      <c r="D2266" s="39" t="n">
        <f aca="false">D2263+D2264+D2265</f>
        <v>3434.686794</v>
      </c>
      <c r="E2266" s="39" t="n">
        <f aca="false">E2263+E2264+E2265</f>
        <v>3434.686794</v>
      </c>
      <c r="F2266" s="39" t="n">
        <f aca="false">F2263+F2264+F2265</f>
        <v>3434.686794</v>
      </c>
      <c r="G2266" s="39" t="n">
        <f aca="false">G2263+G2264+G2265</f>
        <v>3434.686794</v>
      </c>
      <c r="H2266" s="39" t="n">
        <f aca="false">H2263+H2264+H2265</f>
        <v>3434.686794</v>
      </c>
      <c r="I2266" s="39" t="n">
        <f aca="false">I2263+I2264+I2265</f>
        <v>5126.77571175</v>
      </c>
      <c r="J2266" s="39" t="n">
        <f aca="false">J2263+J2264+J2265</f>
        <v>6818.8646295</v>
      </c>
      <c r="K2266" s="39" t="n">
        <f aca="false">K2263+K2264+K2265</f>
        <v>6818.8646295</v>
      </c>
      <c r="L2266" s="39" t="n">
        <f aca="false">L2263+L2264+L2265</f>
        <v>6818.8646295</v>
      </c>
      <c r="M2266" s="39" t="n">
        <f aca="false">M2263+M2264+M2265</f>
        <v>6818.8646295</v>
      </c>
      <c r="N2266" s="39" t="n">
        <f aca="false">N2263+N2264+N2265</f>
        <v>6818.8646295</v>
      </c>
      <c r="P2266" s="40" t="n">
        <f aca="false">F2266</f>
        <v>3434.686794</v>
      </c>
      <c r="Q2266" s="40" t="n">
        <f aca="false">J2266</f>
        <v>6818.8646295</v>
      </c>
      <c r="R2266" s="40" t="n">
        <f aca="false">N2266</f>
        <v>6818.8646295</v>
      </c>
      <c r="S2266" s="41" t="n">
        <f aca="false">R2266</f>
        <v>6818.8646295</v>
      </c>
    </row>
    <row r="2267" customFormat="false" ht="15" hidden="false" customHeight="false" outlineLevel="0" collapsed="false">
      <c r="A2267" s="4" t="s">
        <v>489</v>
      </c>
      <c r="B2267" s="36" t="s">
        <v>485</v>
      </c>
      <c r="C2267" s="39" t="n">
        <f aca="false">$C$2237*C2257*C2260+$C$2241*C2258*C2261+$C$2245*C2259*C2262</f>
        <v>1717.343397</v>
      </c>
      <c r="D2267" s="39" t="n">
        <f aca="false">$C$2237*D2257*D2260+$C$2241*D2258*D2261+$C$2245*D2259*D2262</f>
        <v>3022.90815960867</v>
      </c>
      <c r="E2267" s="39" t="n">
        <f aca="false">$C$2237*E2257*E2260+$C$2241*E2258*E2261+$C$2245*E2259*E2262</f>
        <v>2660.49695052011</v>
      </c>
      <c r="F2267" s="39" t="n">
        <f aca="false">$C$2237*F2257*F2260+$C$2241*F2258*F2261+$C$2245*F2259*F2262</f>
        <v>2341.53459185578</v>
      </c>
      <c r="G2267" s="39" t="n">
        <f aca="false">$C$2237*G2257*G2260+$C$2241*G2258*G2261+$C$2245*G2259*G2262</f>
        <v>2060.8120764</v>
      </c>
      <c r="H2267" s="39" t="n">
        <f aca="false">$C$2237*H2257*H2260+$C$2241*H2258*H2261+$C$2245*H2259*H2262</f>
        <v>1813.7448957652</v>
      </c>
      <c r="I2267" s="39" t="n">
        <f aca="false">$C$2237*I2257*I2260+$C$2241*I2258*I2261+$C$2245*I2259*I2262</f>
        <v>3288.38708806207</v>
      </c>
      <c r="J2267" s="39" t="n">
        <f aca="false">$C$2237*J2257*J2260+$C$2241*J2258*J2261+$C$2245*J2259*J2262</f>
        <v>4383.37538753308</v>
      </c>
      <c r="K2267" s="39" t="n">
        <f aca="false">$C$2237*K2257*K2260+$C$2241*K2258*K2261+$C$2245*K2259*K2262</f>
        <v>3857.86012533915</v>
      </c>
      <c r="L2267" s="39" t="n">
        <f aca="false">$C$2237*L2257*L2260+$C$2241*L2258*L2261+$C$2245*L2259*L2262</f>
        <v>3395.34797521822</v>
      </c>
      <c r="M2267" s="39" t="n">
        <f aca="false">$C$2237*M2257*M2260+$C$2241*M2258*M2261+$C$2245*M2259*M2262</f>
        <v>2988.28560348724</v>
      </c>
      <c r="N2267" s="39" t="n">
        <f aca="false">$C$2237*N2257*N2260+$C$2241*N2258*N2261+$C$2245*N2259*N2262</f>
        <v>2630.02523251985</v>
      </c>
      <c r="P2267" s="40"/>
      <c r="Q2267" s="40"/>
      <c r="R2267" s="40"/>
      <c r="S2267" s="41"/>
    </row>
    <row r="2268" customFormat="false" ht="15" hidden="false" customHeight="false" outlineLevel="0" collapsed="false">
      <c r="A2268" s="4" t="s">
        <v>490</v>
      </c>
      <c r="B2268" s="36" t="s">
        <v>491</v>
      </c>
      <c r="C2268" s="48" t="n">
        <f aca="false">$C$2249*Assumptions!$G$20*C2256*C2267</f>
        <v>7.7280452865</v>
      </c>
      <c r="D2268" s="48" t="n">
        <f aca="false">$C$2249*Assumptions!$G$20*D2256*D2267</f>
        <v>13.603086718239</v>
      </c>
      <c r="E2268" s="48" t="n">
        <f aca="false">$C$2249*Assumptions!$G$20*E2256*E2267</f>
        <v>11.9722362773405</v>
      </c>
      <c r="F2268" s="48" t="n">
        <f aca="false">$C$2249*Assumptions!$G$20*F2256*F2267</f>
        <v>10.536905663351</v>
      </c>
      <c r="G2268" s="48" t="n">
        <f aca="false">$C$2249*Assumptions!$G$20*G2256*G2267</f>
        <v>9.2736543438</v>
      </c>
      <c r="H2268" s="48" t="n">
        <f aca="false">$C$2249*Assumptions!$G$20*H2256*H2267</f>
        <v>8.16185203094342</v>
      </c>
      <c r="I2268" s="48" t="n">
        <f aca="false">$C$2249*Assumptions!$G$20*I2256*I2267</f>
        <v>14.7977418962793</v>
      </c>
      <c r="J2268" s="48" t="n">
        <f aca="false">$C$2249*Assumptions!$G$20*J2256*J2267</f>
        <v>19.7251892438989</v>
      </c>
      <c r="K2268" s="48" t="n">
        <f aca="false">$C$2249*Assumptions!$G$20*K2256*K2267</f>
        <v>17.3603705640262</v>
      </c>
      <c r="L2268" s="48" t="n">
        <f aca="false">$C$2249*Assumptions!$G$20*L2256*L2267</f>
        <v>15.279065888482</v>
      </c>
      <c r="M2268" s="48" t="n">
        <f aca="false">$C$2249*Assumptions!$G$20*M2256*M2267</f>
        <v>13.4472852156926</v>
      </c>
      <c r="N2268" s="48" t="n">
        <f aca="false">$C$2249*Assumptions!$G$20*N2256*N2267</f>
        <v>11.8351135463393</v>
      </c>
      <c r="P2268" s="49" t="n">
        <f aca="false">SUM(C2268:F2268)</f>
        <v>43.8402739454305</v>
      </c>
      <c r="Q2268" s="49" t="n">
        <f aca="false">SUM(G2268:J2268)</f>
        <v>51.9584375149216</v>
      </c>
      <c r="R2268" s="49" t="n">
        <f aca="false">SUM(K2268:N2268)</f>
        <v>57.9218352145401</v>
      </c>
      <c r="S2268" s="50" t="n">
        <f aca="false">SUM(P2268:R2268)</f>
        <v>153.720546674892</v>
      </c>
    </row>
    <row r="2269" customFormat="false" ht="15" hidden="false" customHeight="false" outlineLevel="0" collapsed="false">
      <c r="A2269" s="4" t="s">
        <v>492</v>
      </c>
      <c r="B2269" s="36" t="s">
        <v>321</v>
      </c>
      <c r="C2269" s="48" t="n">
        <f aca="false">Assumptions!$D$112</f>
        <v>2</v>
      </c>
      <c r="D2269" s="48" t="n">
        <f aca="false">Assumptions!$E$112</f>
        <v>2</v>
      </c>
      <c r="E2269" s="48" t="n">
        <f aca="false">Assumptions!$F$112</f>
        <v>3</v>
      </c>
      <c r="F2269" s="48" t="n">
        <f aca="false">Assumptions!$G$112</f>
        <v>3</v>
      </c>
      <c r="G2269" s="48" t="n">
        <f aca="false">Assumptions!$H$112</f>
        <v>4</v>
      </c>
      <c r="H2269" s="48" t="n">
        <f aca="false">Assumptions!$I$112</f>
        <v>4</v>
      </c>
      <c r="I2269" s="48" t="n">
        <f aca="false">Assumptions!$J$112</f>
        <v>5</v>
      </c>
      <c r="J2269" s="48" t="n">
        <f aca="false">Assumptions!$K$112</f>
        <v>5</v>
      </c>
      <c r="K2269" s="48" t="n">
        <f aca="false">Assumptions!$L$112</f>
        <v>6</v>
      </c>
      <c r="L2269" s="48" t="n">
        <f aca="false">Assumptions!$M$112</f>
        <v>6</v>
      </c>
      <c r="M2269" s="48" t="n">
        <f aca="false">Assumptions!$N$112</f>
        <v>6</v>
      </c>
      <c r="N2269" s="48" t="n">
        <f aca="false">Assumptions!$O$112</f>
        <v>6</v>
      </c>
      <c r="P2269" s="49" t="n">
        <f aca="false">F2269</f>
        <v>3</v>
      </c>
      <c r="Q2269" s="49" t="n">
        <f aca="false">J2269</f>
        <v>5</v>
      </c>
      <c r="R2269" s="49" t="n">
        <f aca="false">N2269</f>
        <v>6</v>
      </c>
      <c r="S2269" s="50" t="n">
        <f aca="false">R2269</f>
        <v>6</v>
      </c>
    </row>
    <row r="2270" customFormat="false" ht="15" hidden="false" customHeight="false" outlineLevel="0" collapsed="false">
      <c r="A2270" s="4" t="s">
        <v>493</v>
      </c>
      <c r="B2270" s="36" t="s">
        <v>321</v>
      </c>
      <c r="C2270" s="48" t="n">
        <f aca="false">0</f>
        <v>0</v>
      </c>
      <c r="D2270" s="48" t="n">
        <f aca="false">0.5*C2269</f>
        <v>1</v>
      </c>
      <c r="E2270" s="48" t="n">
        <f aca="false">C2269+0.5*(D2269-C2269)</f>
        <v>2</v>
      </c>
      <c r="F2270" s="48" t="n">
        <f aca="false">D2269+0.5*(E2269-D2269)</f>
        <v>2.5</v>
      </c>
      <c r="G2270" s="48" t="n">
        <f aca="false">E2269+0.5*(F2269-E2269)</f>
        <v>3</v>
      </c>
      <c r="H2270" s="48" t="n">
        <f aca="false">F2269+0.5*(G2269-F2269)</f>
        <v>3.5</v>
      </c>
      <c r="I2270" s="48" t="n">
        <f aca="false">G2269+0.5*(H2269-G2269)</f>
        <v>4</v>
      </c>
      <c r="J2270" s="48" t="n">
        <f aca="false">H2269+0.5*(I2269-H2269)</f>
        <v>4.5</v>
      </c>
      <c r="K2270" s="48" t="n">
        <f aca="false">I2269+0.5*(J2269-I2269)</f>
        <v>5</v>
      </c>
      <c r="L2270" s="48" t="n">
        <f aca="false">J2269+0.5*(K2269-J2269)</f>
        <v>5.5</v>
      </c>
      <c r="M2270" s="48" t="n">
        <f aca="false">K2269+0.5*(L2269-K2269)</f>
        <v>6</v>
      </c>
      <c r="N2270" s="48" t="n">
        <f aca="false">L2269+0.5*(M2269-L2269)</f>
        <v>6</v>
      </c>
      <c r="P2270" s="49" t="n">
        <f aca="false">F2270</f>
        <v>2.5</v>
      </c>
      <c r="Q2270" s="49" t="n">
        <f aca="false">J2270</f>
        <v>4.5</v>
      </c>
      <c r="R2270" s="49" t="n">
        <f aca="false">N2270</f>
        <v>6</v>
      </c>
      <c r="S2270" s="50" t="n">
        <f aca="false">R2270</f>
        <v>6</v>
      </c>
    </row>
    <row r="2271" customFormat="false" ht="15" hidden="false" customHeight="false" outlineLevel="0" collapsed="false">
      <c r="A2271" s="4" t="s">
        <v>494</v>
      </c>
      <c r="B2271" s="36" t="s">
        <v>485</v>
      </c>
      <c r="C2271" s="39" t="n">
        <f aca="false">MIN(C2270*Assumptions!$G$38,C2266*(1-$C$2249))</f>
        <v>0</v>
      </c>
      <c r="D2271" s="39" t="n">
        <f aca="false">MIN(D2270*Assumptions!$G$38,D2266*(1-$C$2249))</f>
        <v>100</v>
      </c>
      <c r="E2271" s="39" t="n">
        <f aca="false">MIN(E2270*Assumptions!$G$38,E2266*(1-$C$2249))</f>
        <v>200</v>
      </c>
      <c r="F2271" s="39" t="n">
        <f aca="false">MIN(F2270*Assumptions!$G$38,F2266*(1-$C$2249))</f>
        <v>250</v>
      </c>
      <c r="G2271" s="39" t="n">
        <f aca="false">MIN(G2270*Assumptions!$G$38,G2266*(1-$C$2249))</f>
        <v>300</v>
      </c>
      <c r="H2271" s="39" t="n">
        <f aca="false">MIN(H2270*Assumptions!$G$38,H2266*(1-$C$2249))</f>
        <v>350</v>
      </c>
      <c r="I2271" s="39" t="n">
        <f aca="false">MIN(I2270*Assumptions!$G$38,I2266*(1-$C$2249))</f>
        <v>400</v>
      </c>
      <c r="J2271" s="39" t="n">
        <f aca="false">MIN(J2270*Assumptions!$G$38,J2266*(1-$C$2249))</f>
        <v>450</v>
      </c>
      <c r="K2271" s="39" t="n">
        <f aca="false">MIN(K2270*Assumptions!$G$38,K2266*(1-$C$2249))</f>
        <v>500</v>
      </c>
      <c r="L2271" s="39" t="n">
        <f aca="false">MIN(L2270*Assumptions!$G$38,L2266*(1-$C$2249))</f>
        <v>550</v>
      </c>
      <c r="M2271" s="39" t="n">
        <f aca="false">MIN(M2270*Assumptions!$G$38,M2266*(1-$C$2249))</f>
        <v>600</v>
      </c>
      <c r="N2271" s="39" t="n">
        <f aca="false">MIN(N2270*Assumptions!$G$38,N2266*(1-$C$2249))</f>
        <v>600</v>
      </c>
      <c r="P2271" s="40" t="n">
        <f aca="false">SUM(C2271:F2271)</f>
        <v>550</v>
      </c>
      <c r="Q2271" s="40" t="n">
        <f aca="false">SUM(G2271:J2271)</f>
        <v>1500</v>
      </c>
      <c r="R2271" s="40" t="n">
        <f aca="false">SUM(K2271:N2271)</f>
        <v>2250</v>
      </c>
      <c r="S2271" s="41" t="n">
        <f aca="false">SUM(P2271:R2271)</f>
        <v>4300</v>
      </c>
    </row>
    <row r="2272" customFormat="false" ht="15" hidden="false" customHeight="false" outlineLevel="0" collapsed="false">
      <c r="A2272" s="4" t="s">
        <v>495</v>
      </c>
      <c r="B2272" s="36" t="s">
        <v>491</v>
      </c>
      <c r="C2272" s="48" t="n">
        <f aca="false">C2271*Assumptions!$G$20*Assumptions!$G$39*IF(C2266&gt;0,C2267/C2266,0)*C2256</f>
        <v>0</v>
      </c>
      <c r="D2272" s="48" t="n">
        <f aca="false">D2271*Assumptions!$G$20*Assumptions!$G$39*IF(D2266&gt;0,D2267/D2266,0)*D2256</f>
        <v>1.65020950648761</v>
      </c>
      <c r="E2272" s="48" t="n">
        <f aca="false">E2271*Assumptions!$G$20*Assumptions!$G$39*IF(E2266&gt;0,E2267/E2266,0)*E2256</f>
        <v>2.90473750965556</v>
      </c>
      <c r="F2272" s="48" t="n">
        <f aca="false">F2271*Assumptions!$G$20*Assumptions!$G$39*IF(F2266&gt;0,F2267/F2266,0)*F2256</f>
        <v>3.19561696818984</v>
      </c>
      <c r="G2272" s="48" t="n">
        <f aca="false">G2271*Assumptions!$G$20*Assumptions!$G$39*IF(G2266&gt;0,G2267/G2266,0)*G2256</f>
        <v>3.375</v>
      </c>
      <c r="H2272" s="48" t="n">
        <f aca="false">H2271*Assumptions!$G$20*Assumptions!$G$39*IF(H2266&gt;0,H2267/H2266,0)*H2256</f>
        <v>3.46543996362399</v>
      </c>
      <c r="I2272" s="48" t="n">
        <f aca="false">I2271*Assumptions!$G$20*Assumptions!$G$39*IF(I2266&gt;0,I2267/I2266,0)*I2256</f>
        <v>4.81060700664959</v>
      </c>
      <c r="J2272" s="48" t="n">
        <f aca="false">J2271*Assumptions!$G$20*Assumptions!$G$39*IF(J2266&gt;0,J2267/J2266,0)*J2256</f>
        <v>5.4238838636429</v>
      </c>
      <c r="K2272" s="48" t="n">
        <f aca="false">K2271*Assumptions!$G$20*Assumptions!$G$39*IF(K2266&gt;0,K2267/K2266,0)*K2256</f>
        <v>5.30402649710713</v>
      </c>
      <c r="L2272" s="48" t="n">
        <f aca="false">L2271*Assumptions!$G$20*Assumptions!$G$39*IF(L2266&gt;0,L2267/L2266,0)*L2256</f>
        <v>5.13494956960384</v>
      </c>
      <c r="M2272" s="48" t="n">
        <f aca="false">M2271*Assumptions!$G$20*Assumptions!$G$39*IF(M2266&gt;0,M2267/M2266,0)*M2256</f>
        <v>4.9301775098733</v>
      </c>
      <c r="N2272" s="48" t="n">
        <f aca="false">N2271*Assumptions!$G$20*Assumptions!$G$39*IF(N2266&gt;0,N2267/N2266,0)*N2256</f>
        <v>4.33910709091432</v>
      </c>
      <c r="P2272" s="49" t="n">
        <f aca="false">SUM(C2272:F2272)</f>
        <v>7.75056398433302</v>
      </c>
      <c r="Q2272" s="49" t="n">
        <f aca="false">SUM(G2272:J2272)</f>
        <v>17.0749308339165</v>
      </c>
      <c r="R2272" s="49" t="n">
        <f aca="false">SUM(K2272:N2272)</f>
        <v>19.7082606674986</v>
      </c>
      <c r="S2272" s="50" t="n">
        <f aca="false">SUM(P2272:R2272)</f>
        <v>44.5337554857481</v>
      </c>
    </row>
    <row r="2273" customFormat="false" ht="15" hidden="false" customHeight="false" outlineLevel="0" collapsed="false">
      <c r="A2273" s="4" t="s">
        <v>496</v>
      </c>
      <c r="B2273" s="36" t="s">
        <v>497</v>
      </c>
      <c r="C2273" s="48" t="n">
        <f aca="false">IF(AND(C2266&gt;0,$C$2253&gt;0),C2266*Assumptions!$G$24*(1-EXP(-$C$2253/(Assumptions!$G$23*C2266*Assumptions!$G$24))),0)</f>
        <v>34.9147648096099</v>
      </c>
      <c r="D2273" s="48" t="n">
        <f aca="false">IF(AND(D2266&gt;0,$C$2253&gt;0),D2266*Assumptions!$G$24*(1-EXP(-$C$2253/(Assumptions!$G$23*D2266*Assumptions!$G$24))),0)</f>
        <v>44.5419787151378</v>
      </c>
      <c r="E2273" s="48" t="n">
        <f aca="false">IF(AND(E2266&gt;0,$C$2253&gt;0),E2266*Assumptions!$G$24*(1-EXP(-$C$2253/(Assumptions!$G$23*E2266*Assumptions!$G$24))),0)</f>
        <v>44.5419787151378</v>
      </c>
      <c r="F2273" s="48" t="n">
        <f aca="false">IF(AND(F2266&gt;0,$C$2253&gt;0),F2266*Assumptions!$G$24*(1-EXP(-$C$2253/(Assumptions!$G$23*F2266*Assumptions!$G$24))),0)</f>
        <v>44.5419787151378</v>
      </c>
      <c r="G2273" s="48" t="n">
        <f aca="false">IF(AND(G2266&gt;0,$C$2253&gt;0),G2266*Assumptions!$G$24*(1-EXP(-$C$2253/(Assumptions!$G$23*G2266*Assumptions!$G$24))),0)</f>
        <v>44.5419787151378</v>
      </c>
      <c r="H2273" s="48" t="n">
        <f aca="false">IF(AND(H2266&gt;0,$C$2253&gt;0),H2266*Assumptions!$G$24*(1-EXP(-$C$2253/(Assumptions!$G$23*H2266*Assumptions!$G$24))),0)</f>
        <v>44.5419787151378</v>
      </c>
      <c r="I2273" s="48" t="n">
        <f aca="false">IF(AND(I2266&gt;0,$C$2253&gt;0),I2266*Assumptions!$G$24*(1-EXP(-$C$2253/(Assumptions!$G$23*I2266*Assumptions!$G$24))),0)</f>
        <v>48.5465908343528</v>
      </c>
      <c r="J2273" s="48" t="n">
        <f aca="false">IF(AND(J2266&gt;0,$C$2253&gt;0),J2266*Assumptions!$G$24*(1-EXP(-$C$2253/(Assumptions!$G$23*J2266*Assumptions!$G$24))),0)</f>
        <v>50.7535301099198</v>
      </c>
      <c r="K2273" s="48" t="n">
        <f aca="false">IF(AND(K2266&gt;0,$C$2253&gt;0),K2266*Assumptions!$G$24*(1-EXP(-$C$2253/(Assumptions!$G$23*K2266*Assumptions!$G$24))),0)</f>
        <v>50.7535301099198</v>
      </c>
      <c r="L2273" s="48" t="n">
        <f aca="false">IF(AND(L2266&gt;0,$C$2253&gt;0),L2266*Assumptions!$G$24*(1-EXP(-$C$2253/(Assumptions!$G$23*L2266*Assumptions!$G$24))),0)</f>
        <v>50.7535301099198</v>
      </c>
      <c r="M2273" s="48" t="n">
        <f aca="false">IF(AND(M2266&gt;0,$C$2253&gt;0),M2266*Assumptions!$G$24*(1-EXP(-$C$2253/(Assumptions!$G$23*M2266*Assumptions!$G$24))),0)</f>
        <v>50.7535301099198</v>
      </c>
      <c r="N2273" s="48" t="n">
        <f aca="false">IF(AND(N2266&gt;0,$C$2253&gt;0),N2266*Assumptions!$G$24*(1-EXP(-$C$2253/(Assumptions!$G$23*N2266*Assumptions!$G$24))),0)</f>
        <v>50.7535301099198</v>
      </c>
      <c r="P2273" s="49" t="n">
        <f aca="false">SUM(C2273:F2273)</f>
        <v>168.540700955023</v>
      </c>
      <c r="Q2273" s="49" t="n">
        <f aca="false">SUM(G2273:J2273)</f>
        <v>188.384078374548</v>
      </c>
      <c r="R2273" s="49" t="n">
        <f aca="false">SUM(K2273:N2273)</f>
        <v>203.014120439679</v>
      </c>
      <c r="S2273" s="50" t="n">
        <f aca="false">SUM(P2273:R2273)</f>
        <v>559.938899769251</v>
      </c>
    </row>
    <row r="2274" customFormat="false" ht="15" hidden="false" customHeight="false" outlineLevel="0" collapsed="false">
      <c r="A2274" s="4" t="s">
        <v>498</v>
      </c>
      <c r="B2274" s="36" t="s">
        <v>497</v>
      </c>
      <c r="C2274" s="48" t="n">
        <f aca="false">(C2266*Assumptions!$G$22*MIN(1,Assumptions!$E$103/Assumptions!$G$78)+C2273)*C2256</f>
        <v>52.0881987796099</v>
      </c>
      <c r="D2274" s="48" t="n">
        <f aca="false">(D2266*Assumptions!$G$22*MIN(1,Assumptions!$E$103/Assumptions!$G$78)+D2273)*D2256</f>
        <v>78.8888466551378</v>
      </c>
      <c r="E2274" s="48" t="n">
        <f aca="false">(E2266*Assumptions!$G$22*MIN(1,Assumptions!$E$103/Assumptions!$G$78)+E2273)*E2256</f>
        <v>78.8888466551378</v>
      </c>
      <c r="F2274" s="48" t="n">
        <f aca="false">(F2266*Assumptions!$G$22*MIN(1,Assumptions!$E$103/Assumptions!$G$78)+F2273)*F2256</f>
        <v>78.8888466551378</v>
      </c>
      <c r="G2274" s="48" t="n">
        <f aca="false">(G2266*Assumptions!$G$22*MIN(1,Assumptions!$E$103/Assumptions!$G$78)+G2273)*G2256</f>
        <v>78.8888466551378</v>
      </c>
      <c r="H2274" s="48" t="n">
        <f aca="false">(H2266*Assumptions!$G$22*MIN(1,Assumptions!$E$103/Assumptions!$G$78)+H2273)*H2256</f>
        <v>78.8888466551378</v>
      </c>
      <c r="I2274" s="48" t="n">
        <f aca="false">(I2266*Assumptions!$G$22*MIN(1,Assumptions!$E$103/Assumptions!$G$78)+I2273)*I2256</f>
        <v>99.8143479518528</v>
      </c>
      <c r="J2274" s="48" t="n">
        <f aca="false">(J2266*Assumptions!$G$22*MIN(1,Assumptions!$E$103/Assumptions!$G$78)+J2273)*J2256</f>
        <v>118.94217640492</v>
      </c>
      <c r="K2274" s="48" t="n">
        <f aca="false">(K2266*Assumptions!$G$22*MIN(1,Assumptions!$E$103/Assumptions!$G$78)+K2273)*K2256</f>
        <v>118.94217640492</v>
      </c>
      <c r="L2274" s="48" t="n">
        <f aca="false">(L2266*Assumptions!$G$22*MIN(1,Assumptions!$E$103/Assumptions!$G$78)+L2273)*L2256</f>
        <v>118.94217640492</v>
      </c>
      <c r="M2274" s="48" t="n">
        <f aca="false">(M2266*Assumptions!$G$22*MIN(1,Assumptions!$E$103/Assumptions!$G$78)+M2273)*M2256</f>
        <v>118.94217640492</v>
      </c>
      <c r="N2274" s="48" t="n">
        <f aca="false">(N2266*Assumptions!$G$22*MIN(1,Assumptions!$E$103/Assumptions!$G$78)+N2273)*N2256</f>
        <v>118.94217640492</v>
      </c>
      <c r="P2274" s="49" t="n">
        <f aca="false">SUM(C2274:F2274)</f>
        <v>288.754738745023</v>
      </c>
      <c r="Q2274" s="49" t="n">
        <f aca="false">SUM(G2274:J2274)</f>
        <v>376.534217667048</v>
      </c>
      <c r="R2274" s="49" t="n">
        <f aca="false">SUM(K2274:N2274)</f>
        <v>475.768705619679</v>
      </c>
      <c r="S2274" s="50" t="n">
        <f aca="false">SUM(P2274:R2274)</f>
        <v>1141.05766203175</v>
      </c>
    </row>
    <row r="2275" customFormat="false" ht="15" hidden="false" customHeight="false" outlineLevel="0" collapsed="false">
      <c r="A2275" s="4" t="s">
        <v>499</v>
      </c>
      <c r="B2275" s="36" t="s">
        <v>500</v>
      </c>
      <c r="C2275" s="48" t="n">
        <f aca="false">C2256*MIN(Assumptions!$G$27,Assumptions!$G$25+Assumptions!$G$26*(C2255-1))*Assumptions!$E$107</f>
        <v>2</v>
      </c>
      <c r="D2275" s="48" t="n">
        <f aca="false">D2256*MIN(Assumptions!$G$27,Assumptions!$G$25+Assumptions!$G$26*(D2255-1))*Assumptions!$E$107</f>
        <v>3</v>
      </c>
      <c r="E2275" s="48" t="n">
        <f aca="false">E2256*MIN(Assumptions!$G$27,Assumptions!$G$25+Assumptions!$G$26*(E2255-1))*Assumptions!$E$107</f>
        <v>4</v>
      </c>
      <c r="F2275" s="48" t="n">
        <f aca="false">F2256*MIN(Assumptions!$G$27,Assumptions!$G$25+Assumptions!$G$26*(F2255-1))*Assumptions!$E$107</f>
        <v>5</v>
      </c>
      <c r="G2275" s="48" t="n">
        <f aca="false">G2256*MIN(Assumptions!$G$27,Assumptions!$G$25+Assumptions!$G$26*(G2255-1))*Assumptions!$E$107</f>
        <v>6</v>
      </c>
      <c r="H2275" s="48" t="n">
        <f aca="false">H2256*MIN(Assumptions!$G$27,Assumptions!$G$25+Assumptions!$G$26*(H2255-1))*Assumptions!$E$107</f>
        <v>6</v>
      </c>
      <c r="I2275" s="48" t="n">
        <f aca="false">I2256*MIN(Assumptions!$G$27,Assumptions!$G$25+Assumptions!$G$26*(I2255-1))*Assumptions!$E$107</f>
        <v>6</v>
      </c>
      <c r="J2275" s="48" t="n">
        <f aca="false">J2256*MIN(Assumptions!$G$27,Assumptions!$G$25+Assumptions!$G$26*(J2255-1))*Assumptions!$E$107</f>
        <v>6</v>
      </c>
      <c r="K2275" s="48" t="n">
        <f aca="false">K2256*MIN(Assumptions!$G$27,Assumptions!$G$25+Assumptions!$G$26*(K2255-1))*Assumptions!$E$107</f>
        <v>6</v>
      </c>
      <c r="L2275" s="48" t="n">
        <f aca="false">L2256*MIN(Assumptions!$G$27,Assumptions!$G$25+Assumptions!$G$26*(L2255-1))*Assumptions!$E$107</f>
        <v>6</v>
      </c>
      <c r="M2275" s="48" t="n">
        <f aca="false">M2256*MIN(Assumptions!$G$27,Assumptions!$G$25+Assumptions!$G$26*(M2255-1))*Assumptions!$E$107</f>
        <v>6</v>
      </c>
      <c r="N2275" s="48" t="n">
        <f aca="false">N2256*MIN(Assumptions!$G$27,Assumptions!$G$25+Assumptions!$G$26*(N2255-1))*Assumptions!$E$107</f>
        <v>6</v>
      </c>
      <c r="P2275" s="49" t="n">
        <f aca="false">F2275</f>
        <v>5</v>
      </c>
      <c r="Q2275" s="49" t="n">
        <f aca="false">J2275</f>
        <v>6</v>
      </c>
      <c r="R2275" s="49" t="n">
        <f aca="false">N2275</f>
        <v>6</v>
      </c>
      <c r="S2275" s="50" t="n">
        <f aca="false">R2275</f>
        <v>6</v>
      </c>
    </row>
    <row r="2276" customFormat="false" ht="15" hidden="false" customHeight="false" outlineLevel="0" collapsed="false">
      <c r="A2276" s="4" t="s">
        <v>501</v>
      </c>
      <c r="B2276" s="36" t="s">
        <v>502</v>
      </c>
      <c r="C2276" s="48" t="n">
        <f aca="false">C2275*Assumptions!$G$28</f>
        <v>4</v>
      </c>
      <c r="D2276" s="48" t="n">
        <f aca="false">D2275*Assumptions!$G$28</f>
        <v>6</v>
      </c>
      <c r="E2276" s="48" t="n">
        <f aca="false">E2275*Assumptions!$G$28</f>
        <v>8</v>
      </c>
      <c r="F2276" s="48" t="n">
        <f aca="false">F2275*Assumptions!$G$28</f>
        <v>10</v>
      </c>
      <c r="G2276" s="48" t="n">
        <f aca="false">G2275*Assumptions!$G$28</f>
        <v>12</v>
      </c>
      <c r="H2276" s="48" t="n">
        <f aca="false">H2275*Assumptions!$G$28</f>
        <v>12</v>
      </c>
      <c r="I2276" s="48" t="n">
        <f aca="false">I2275*Assumptions!$G$28</f>
        <v>12</v>
      </c>
      <c r="J2276" s="48" t="n">
        <f aca="false">J2275*Assumptions!$G$28</f>
        <v>12</v>
      </c>
      <c r="K2276" s="48" t="n">
        <f aca="false">K2275*Assumptions!$G$28</f>
        <v>12</v>
      </c>
      <c r="L2276" s="48" t="n">
        <f aca="false">L2275*Assumptions!$G$28</f>
        <v>12</v>
      </c>
      <c r="M2276" s="48" t="n">
        <f aca="false">M2275*Assumptions!$G$28</f>
        <v>12</v>
      </c>
      <c r="N2276" s="48" t="n">
        <f aca="false">N2275*Assumptions!$G$28</f>
        <v>12</v>
      </c>
      <c r="P2276" s="49" t="n">
        <f aca="false">SUM(C2276:F2276)</f>
        <v>28</v>
      </c>
      <c r="Q2276" s="49" t="n">
        <f aca="false">SUM(G2276:J2276)</f>
        <v>48</v>
      </c>
      <c r="R2276" s="49" t="n">
        <f aca="false">SUM(K2276:N2276)</f>
        <v>48</v>
      </c>
      <c r="S2276" s="50" t="n">
        <f aca="false">SUM(P2276:R2276)</f>
        <v>124</v>
      </c>
    </row>
    <row r="2277" customFormat="false" ht="15" hidden="false" customHeight="false" outlineLevel="0" collapsed="false">
      <c r="A2277" s="4" t="s">
        <v>503</v>
      </c>
      <c r="B2277" s="36" t="s">
        <v>504</v>
      </c>
      <c r="C2277" s="48" t="n">
        <f aca="false">(C2268+C2272)*Assumptions!$G$29</f>
        <v>2.31841358595</v>
      </c>
      <c r="D2277" s="48" t="n">
        <f aca="false">(D2268+D2272)*Assumptions!$G$29</f>
        <v>4.57598886741799</v>
      </c>
      <c r="E2277" s="48" t="n">
        <f aca="false">(E2268+E2272)*Assumptions!$G$29</f>
        <v>4.46309213609882</v>
      </c>
      <c r="F2277" s="48" t="n">
        <f aca="false">(F2268+F2272)*Assumptions!$G$29</f>
        <v>4.11975678946226</v>
      </c>
      <c r="G2277" s="48" t="n">
        <f aca="false">(G2268+G2272)*Assumptions!$G$29</f>
        <v>3.79459630314</v>
      </c>
      <c r="H2277" s="48" t="n">
        <f aca="false">(H2268+H2272)*Assumptions!$G$29</f>
        <v>3.48818759837022</v>
      </c>
      <c r="I2277" s="48" t="n">
        <f aca="false">(I2268+I2272)*Assumptions!$G$29</f>
        <v>5.88250467087867</v>
      </c>
      <c r="J2277" s="48" t="n">
        <f aca="false">(J2268+J2272)*Assumptions!$G$29</f>
        <v>7.54472193226253</v>
      </c>
      <c r="K2277" s="48" t="n">
        <f aca="false">(K2268+K2272)*Assumptions!$G$29</f>
        <v>6.79931911833999</v>
      </c>
      <c r="L2277" s="48" t="n">
        <f aca="false">(L2268+L2272)*Assumptions!$G$29</f>
        <v>6.12420463742575</v>
      </c>
      <c r="M2277" s="48" t="n">
        <f aca="false">(M2268+M2272)*Assumptions!$G$29</f>
        <v>5.51323881766976</v>
      </c>
      <c r="N2277" s="48" t="n">
        <f aca="false">(N2268+N2272)*Assumptions!$G$29</f>
        <v>4.85226619117609</v>
      </c>
      <c r="P2277" s="49" t="n">
        <f aca="false">SUM(C2277:F2277)</f>
        <v>15.4772513789291</v>
      </c>
      <c r="Q2277" s="49" t="n">
        <f aca="false">SUM(G2277:J2277)</f>
        <v>20.7100105046514</v>
      </c>
      <c r="R2277" s="49" t="n">
        <f aca="false">SUM(K2277:N2277)</f>
        <v>23.2890287646116</v>
      </c>
      <c r="S2277" s="50" t="n">
        <f aca="false">SUM(P2277:R2277)</f>
        <v>59.4762906481921</v>
      </c>
    </row>
    <row r="2278" customFormat="false" ht="15" hidden="false" customHeight="false" outlineLevel="0" collapsed="false">
      <c r="A2278" s="4" t="s">
        <v>505</v>
      </c>
      <c r="B2278" s="36" t="s">
        <v>504</v>
      </c>
      <c r="C2278" s="48" t="n">
        <f aca="false">C2274*Assumptions!$G$31</f>
        <v>5.20881987796099</v>
      </c>
      <c r="D2278" s="48" t="n">
        <f aca="false">D2274*Assumptions!$G$31</f>
        <v>7.88888466551378</v>
      </c>
      <c r="E2278" s="48" t="n">
        <f aca="false">E2274*Assumptions!$G$31</f>
        <v>7.88888466551378</v>
      </c>
      <c r="F2278" s="48" t="n">
        <f aca="false">F2274*Assumptions!$G$31</f>
        <v>7.88888466551378</v>
      </c>
      <c r="G2278" s="48" t="n">
        <f aca="false">G2274*Assumptions!$G$31</f>
        <v>7.88888466551378</v>
      </c>
      <c r="H2278" s="48" t="n">
        <f aca="false">H2274*Assumptions!$G$31</f>
        <v>7.88888466551378</v>
      </c>
      <c r="I2278" s="48" t="n">
        <f aca="false">I2274*Assumptions!$G$31</f>
        <v>9.98143479518528</v>
      </c>
      <c r="J2278" s="48" t="n">
        <f aca="false">J2274*Assumptions!$G$31</f>
        <v>11.894217640492</v>
      </c>
      <c r="K2278" s="48" t="n">
        <f aca="false">K2274*Assumptions!$G$31</f>
        <v>11.894217640492</v>
      </c>
      <c r="L2278" s="48" t="n">
        <f aca="false">L2274*Assumptions!$G$31</f>
        <v>11.894217640492</v>
      </c>
      <c r="M2278" s="48" t="n">
        <f aca="false">M2274*Assumptions!$G$31</f>
        <v>11.894217640492</v>
      </c>
      <c r="N2278" s="48" t="n">
        <f aca="false">N2274*Assumptions!$G$31</f>
        <v>11.894217640492</v>
      </c>
      <c r="P2278" s="49" t="n">
        <f aca="false">SUM(C2278:F2278)</f>
        <v>28.8754738745023</v>
      </c>
      <c r="Q2278" s="49" t="n">
        <f aca="false">SUM(G2278:J2278)</f>
        <v>37.6534217667048</v>
      </c>
      <c r="R2278" s="49" t="n">
        <f aca="false">SUM(K2278:N2278)</f>
        <v>47.5768705619679</v>
      </c>
      <c r="S2278" s="50" t="n">
        <f aca="false">SUM(P2278:R2278)</f>
        <v>114.105766203175</v>
      </c>
    </row>
    <row r="2279" customFormat="false" ht="15" hidden="false" customHeight="false" outlineLevel="0" collapsed="false">
      <c r="A2279" s="4" t="s">
        <v>506</v>
      </c>
      <c r="B2279" s="36" t="s">
        <v>504</v>
      </c>
      <c r="C2279" s="48" t="n">
        <f aca="false">C2276*Assumptions!$G$30</f>
        <v>1.6</v>
      </c>
      <c r="D2279" s="48" t="n">
        <f aca="false">D2276*Assumptions!$G$30</f>
        <v>2.4</v>
      </c>
      <c r="E2279" s="48" t="n">
        <f aca="false">E2276*Assumptions!$G$30</f>
        <v>3.2</v>
      </c>
      <c r="F2279" s="48" t="n">
        <f aca="false">F2276*Assumptions!$G$30</f>
        <v>4</v>
      </c>
      <c r="G2279" s="48" t="n">
        <f aca="false">G2276*Assumptions!$G$30</f>
        <v>4.8</v>
      </c>
      <c r="H2279" s="48" t="n">
        <f aca="false">H2276*Assumptions!$G$30</f>
        <v>4.8</v>
      </c>
      <c r="I2279" s="48" t="n">
        <f aca="false">I2276*Assumptions!$G$30</f>
        <v>4.8</v>
      </c>
      <c r="J2279" s="48" t="n">
        <f aca="false">J2276*Assumptions!$G$30</f>
        <v>4.8</v>
      </c>
      <c r="K2279" s="48" t="n">
        <f aca="false">K2276*Assumptions!$G$30</f>
        <v>4.8</v>
      </c>
      <c r="L2279" s="48" t="n">
        <f aca="false">L2276*Assumptions!$G$30</f>
        <v>4.8</v>
      </c>
      <c r="M2279" s="48" t="n">
        <f aca="false">M2276*Assumptions!$G$30</f>
        <v>4.8</v>
      </c>
      <c r="N2279" s="48" t="n">
        <f aca="false">N2276*Assumptions!$G$30</f>
        <v>4.8</v>
      </c>
      <c r="P2279" s="49" t="n">
        <f aca="false">SUM(C2279:F2279)</f>
        <v>11.2</v>
      </c>
      <c r="Q2279" s="49" t="n">
        <f aca="false">SUM(G2279:J2279)</f>
        <v>19.2</v>
      </c>
      <c r="R2279" s="49" t="n">
        <f aca="false">SUM(K2279:N2279)</f>
        <v>19.2</v>
      </c>
      <c r="S2279" s="50" t="n">
        <f aca="false">SUM(P2279:R2279)</f>
        <v>49.6</v>
      </c>
    </row>
    <row r="2280" customFormat="false" ht="15" hidden="false" customHeight="false" outlineLevel="0" collapsed="false">
      <c r="A2280" s="9" t="s">
        <v>507</v>
      </c>
      <c r="B2280" s="36" t="s">
        <v>504</v>
      </c>
      <c r="C2280" s="49" t="n">
        <f aca="false">C2277+C2278+C2279</f>
        <v>9.12723346391099</v>
      </c>
      <c r="D2280" s="49" t="n">
        <f aca="false">D2277+D2278+D2279</f>
        <v>14.8648735329318</v>
      </c>
      <c r="E2280" s="49" t="n">
        <f aca="false">E2277+E2278+E2279</f>
        <v>15.5519768016126</v>
      </c>
      <c r="F2280" s="49" t="n">
        <f aca="false">F2277+F2278+F2279</f>
        <v>16.008641454976</v>
      </c>
      <c r="G2280" s="49" t="n">
        <f aca="false">G2277+G2278+G2279</f>
        <v>16.4834809686538</v>
      </c>
      <c r="H2280" s="49" t="n">
        <f aca="false">H2277+H2278+H2279</f>
        <v>16.177072263884</v>
      </c>
      <c r="I2280" s="49" t="n">
        <f aca="false">I2277+I2278+I2279</f>
        <v>20.6639394660639</v>
      </c>
      <c r="J2280" s="49" t="n">
        <f aca="false">J2277+J2278+J2279</f>
        <v>24.2389395727545</v>
      </c>
      <c r="K2280" s="49" t="n">
        <f aca="false">K2277+K2278+K2279</f>
        <v>23.493536758832</v>
      </c>
      <c r="L2280" s="49" t="n">
        <f aca="false">L2277+L2278+L2279</f>
        <v>22.8184222779177</v>
      </c>
      <c r="M2280" s="49" t="n">
        <f aca="false">M2277+M2278+M2279</f>
        <v>22.2074564581617</v>
      </c>
      <c r="N2280" s="49" t="n">
        <f aca="false">N2277+N2278+N2279</f>
        <v>21.5464838316681</v>
      </c>
      <c r="P2280" s="49" t="n">
        <f aca="false">SUM(C2280:F2280)</f>
        <v>55.5527252534314</v>
      </c>
      <c r="Q2280" s="49" t="n">
        <f aca="false">SUM(G2280:J2280)</f>
        <v>77.5634322713562</v>
      </c>
      <c r="R2280" s="49" t="n">
        <f aca="false">SUM(K2280:N2280)</f>
        <v>90.0658993265795</v>
      </c>
      <c r="S2280" s="50" t="n">
        <f aca="false">SUM(P2280:R2280)</f>
        <v>223.182056851367</v>
      </c>
    </row>
    <row r="2281" customFormat="false" ht="15" hidden="false" customHeight="false" outlineLevel="0" collapsed="false">
      <c r="A2281" s="4" t="s">
        <v>508</v>
      </c>
      <c r="B2281" s="36" t="s">
        <v>509</v>
      </c>
      <c r="C2281" s="48" t="n">
        <f aca="false">C2263</f>
        <v>1371.907152</v>
      </c>
      <c r="D2281" s="48" t="n">
        <f aca="false">D2263</f>
        <v>2743.814304</v>
      </c>
      <c r="E2281" s="48" t="n">
        <f aca="false">E2263</f>
        <v>2743.814304</v>
      </c>
      <c r="F2281" s="48" t="n">
        <f aca="false">F2263</f>
        <v>2743.814304</v>
      </c>
      <c r="G2281" s="48" t="n">
        <f aca="false">G2263</f>
        <v>2743.814304</v>
      </c>
      <c r="H2281" s="48" t="n">
        <f aca="false">H2263</f>
        <v>2743.814304</v>
      </c>
      <c r="I2281" s="48" t="n">
        <f aca="false">I2263</f>
        <v>4099.55809725</v>
      </c>
      <c r="J2281" s="48" t="n">
        <f aca="false">J2263</f>
        <v>5455.3018905</v>
      </c>
      <c r="K2281" s="48" t="n">
        <f aca="false">K2263</f>
        <v>5455.3018905</v>
      </c>
      <c r="L2281" s="48" t="n">
        <f aca="false">L2263</f>
        <v>5455.3018905</v>
      </c>
      <c r="M2281" s="48" t="n">
        <f aca="false">M2263</f>
        <v>5455.3018905</v>
      </c>
      <c r="N2281" s="48" t="n">
        <f aca="false">N2263</f>
        <v>5455.3018905</v>
      </c>
      <c r="P2281" s="49"/>
      <c r="Q2281" s="49"/>
      <c r="R2281" s="49"/>
      <c r="S2281" s="50"/>
    </row>
    <row r="2282" customFormat="false" ht="15" hidden="false" customHeight="false" outlineLevel="0" collapsed="false">
      <c r="A2282" s="4" t="s">
        <v>510</v>
      </c>
      <c r="B2282" s="36" t="s">
        <v>509</v>
      </c>
      <c r="C2282" s="48" t="n">
        <f aca="false">C2264*Assumptions!$G$18*Assumptions!$G$33</f>
        <v>560.531664</v>
      </c>
      <c r="D2282" s="48" t="n">
        <f aca="false">D2264*Assumptions!$G$18*Assumptions!$G$33</f>
        <v>1121.063328</v>
      </c>
      <c r="E2282" s="48" t="n">
        <f aca="false">E2264*Assumptions!$G$18*Assumptions!$G$33</f>
        <v>1121.063328</v>
      </c>
      <c r="F2282" s="48" t="n">
        <f aca="false">F2264*Assumptions!$G$18*Assumptions!$G$33</f>
        <v>1121.063328</v>
      </c>
      <c r="G2282" s="48" t="n">
        <f aca="false">G2264*Assumptions!$G$18*Assumptions!$G$33</f>
        <v>1121.063328</v>
      </c>
      <c r="H2282" s="48" t="n">
        <f aca="false">H2264*Assumptions!$G$18*Assumptions!$G$33</f>
        <v>1121.063328</v>
      </c>
      <c r="I2282" s="48" t="n">
        <f aca="false">I2264*Assumptions!$G$18*Assumptions!$G$33</f>
        <v>1679.579055</v>
      </c>
      <c r="J2282" s="48" t="n">
        <f aca="false">J2264*Assumptions!$G$18*Assumptions!$G$33</f>
        <v>2238.094782</v>
      </c>
      <c r="K2282" s="48" t="n">
        <f aca="false">K2264*Assumptions!$G$18*Assumptions!$G$33</f>
        <v>2238.094782</v>
      </c>
      <c r="L2282" s="48" t="n">
        <f aca="false">L2264*Assumptions!$G$18*Assumptions!$G$33</f>
        <v>2238.094782</v>
      </c>
      <c r="M2282" s="48" t="n">
        <f aca="false">M2264*Assumptions!$G$18*Assumptions!$G$33</f>
        <v>2238.094782</v>
      </c>
      <c r="N2282" s="48" t="n">
        <f aca="false">N2264*Assumptions!$G$18*Assumptions!$G$33</f>
        <v>2238.094782</v>
      </c>
      <c r="P2282" s="49"/>
      <c r="Q2282" s="49"/>
      <c r="R2282" s="49"/>
      <c r="S2282" s="50"/>
    </row>
    <row r="2283" customFormat="false" ht="15" hidden="false" customHeight="false" outlineLevel="0" collapsed="false">
      <c r="A2283" s="4" t="s">
        <v>511</v>
      </c>
      <c r="B2283" s="36" t="s">
        <v>509</v>
      </c>
      <c r="C2283" s="48" t="n">
        <f aca="false">C2265*Assumptions!$G$19*Assumptions!$G$34</f>
        <v>65.170413</v>
      </c>
      <c r="D2283" s="48" t="n">
        <f aca="false">D2265*Assumptions!$G$19*Assumptions!$G$34</f>
        <v>130.340826</v>
      </c>
      <c r="E2283" s="48" t="n">
        <f aca="false">E2265*Assumptions!$G$19*Assumptions!$G$34</f>
        <v>130.340826</v>
      </c>
      <c r="F2283" s="48" t="n">
        <f aca="false">F2265*Assumptions!$G$19*Assumptions!$G$34</f>
        <v>130.340826</v>
      </c>
      <c r="G2283" s="48" t="n">
        <f aca="false">G2265*Assumptions!$G$19*Assumptions!$G$34</f>
        <v>130.340826</v>
      </c>
      <c r="H2283" s="48" t="n">
        <f aca="false">H2265*Assumptions!$G$19*Assumptions!$G$34</f>
        <v>130.340826</v>
      </c>
      <c r="I2283" s="48" t="n">
        <f aca="false">I2265*Assumptions!$G$19*Assumptions!$G$34</f>
        <v>187.428087</v>
      </c>
      <c r="J2283" s="48" t="n">
        <f aca="false">J2265*Assumptions!$G$19*Assumptions!$G$34</f>
        <v>244.515348</v>
      </c>
      <c r="K2283" s="48" t="n">
        <f aca="false">K2265*Assumptions!$G$19*Assumptions!$G$34</f>
        <v>244.515348</v>
      </c>
      <c r="L2283" s="48" t="n">
        <f aca="false">L2265*Assumptions!$G$19*Assumptions!$G$34</f>
        <v>244.515348</v>
      </c>
      <c r="M2283" s="48" t="n">
        <f aca="false">M2265*Assumptions!$G$19*Assumptions!$G$34</f>
        <v>244.515348</v>
      </c>
      <c r="N2283" s="48" t="n">
        <f aca="false">N2265*Assumptions!$G$19*Assumptions!$G$34</f>
        <v>244.515348</v>
      </c>
      <c r="P2283" s="49"/>
      <c r="Q2283" s="49"/>
      <c r="R2283" s="49"/>
      <c r="S2283" s="50"/>
    </row>
    <row r="2284" customFormat="false" ht="15" hidden="false" customHeight="false" outlineLevel="0" collapsed="false">
      <c r="A2284" s="4" t="s">
        <v>512</v>
      </c>
      <c r="B2284" s="36" t="s">
        <v>77</v>
      </c>
      <c r="C2284" s="51" t="n">
        <f aca="false">IFERROR(C2281/(C2281+C2282+C2283),0)</f>
        <v>0.686774536322489</v>
      </c>
      <c r="D2284" s="51" t="n">
        <f aca="false">IFERROR(D2281/(D2281+D2282+D2283),0)</f>
        <v>0.686774536322489</v>
      </c>
      <c r="E2284" s="51" t="n">
        <f aca="false">IFERROR(E2281/(E2281+E2282+E2283),0)</f>
        <v>0.686774536322489</v>
      </c>
      <c r="F2284" s="51" t="n">
        <f aca="false">IFERROR(F2281/(F2281+F2282+F2283),0)</f>
        <v>0.686774536322489</v>
      </c>
      <c r="G2284" s="51" t="n">
        <f aca="false">IFERROR(G2281/(G2281+G2282+G2283),0)</f>
        <v>0.686774536322489</v>
      </c>
      <c r="H2284" s="51" t="n">
        <f aca="false">IFERROR(H2281/(H2281+H2282+H2283),0)</f>
        <v>0.686774536322489</v>
      </c>
      <c r="I2284" s="51" t="n">
        <f aca="false">IFERROR(I2281/(I2281+I2282+I2283),0)</f>
        <v>0.687088455897839</v>
      </c>
      <c r="J2284" s="51" t="n">
        <f aca="false">IFERROR(J2281/(J2281+J2282+J2283),0)</f>
        <v>0.687246454283122</v>
      </c>
      <c r="K2284" s="51" t="n">
        <f aca="false">IFERROR(K2281/(K2281+K2282+K2283),0)</f>
        <v>0.687246454283122</v>
      </c>
      <c r="L2284" s="51" t="n">
        <f aca="false">IFERROR(L2281/(L2281+L2282+L2283),0)</f>
        <v>0.687246454283122</v>
      </c>
      <c r="M2284" s="51" t="n">
        <f aca="false">IFERROR(M2281/(M2281+M2282+M2283),0)</f>
        <v>0.687246454283122</v>
      </c>
      <c r="N2284" s="51" t="n">
        <f aca="false">IFERROR(N2281/(N2281+N2282+N2283),0)</f>
        <v>0.687246454283122</v>
      </c>
      <c r="P2284" s="52"/>
      <c r="Q2284" s="52"/>
      <c r="R2284" s="52"/>
      <c r="S2284" s="53"/>
    </row>
    <row r="2285" customFormat="false" ht="15" hidden="false" customHeight="false" outlineLevel="0" collapsed="false">
      <c r="A2285" s="4" t="s">
        <v>513</v>
      </c>
      <c r="B2285" s="36" t="s">
        <v>77</v>
      </c>
      <c r="C2285" s="51" t="n">
        <f aca="false">IFERROR(C2282/(C2281+C2282+C2283),0)</f>
        <v>0.280601258675903</v>
      </c>
      <c r="D2285" s="51" t="n">
        <f aca="false">IFERROR(D2282/(D2281+D2282+D2283),0)</f>
        <v>0.280601258675903</v>
      </c>
      <c r="E2285" s="51" t="n">
        <f aca="false">IFERROR(E2282/(E2281+E2282+E2283),0)</f>
        <v>0.280601258675903</v>
      </c>
      <c r="F2285" s="51" t="n">
        <f aca="false">IFERROR(F2282/(F2281+F2282+F2283),0)</f>
        <v>0.280601258675903</v>
      </c>
      <c r="G2285" s="51" t="n">
        <f aca="false">IFERROR(G2282/(G2281+G2282+G2283),0)</f>
        <v>0.280601258675903</v>
      </c>
      <c r="H2285" s="51" t="n">
        <f aca="false">IFERROR(H2282/(H2281+H2282+H2283),0)</f>
        <v>0.280601258675903</v>
      </c>
      <c r="I2285" s="51" t="n">
        <f aca="false">IFERROR(I2282/(I2281+I2282+I2283),0)</f>
        <v>0.281498481563762</v>
      </c>
      <c r="J2285" s="51" t="n">
        <f aca="false">IFERROR(J2282/(J2281+J2282+J2283),0)</f>
        <v>0.281950061454451</v>
      </c>
      <c r="K2285" s="51" t="n">
        <f aca="false">IFERROR(K2282/(K2281+K2282+K2283),0)</f>
        <v>0.281950061454451</v>
      </c>
      <c r="L2285" s="51" t="n">
        <f aca="false">IFERROR(L2282/(L2281+L2282+L2283),0)</f>
        <v>0.281950061454451</v>
      </c>
      <c r="M2285" s="51" t="n">
        <f aca="false">IFERROR(M2282/(M2281+M2282+M2283),0)</f>
        <v>0.281950061454451</v>
      </c>
      <c r="N2285" s="51" t="n">
        <f aca="false">IFERROR(N2282/(N2281+N2282+N2283),0)</f>
        <v>0.281950061454451</v>
      </c>
      <c r="P2285" s="52"/>
      <c r="Q2285" s="52"/>
      <c r="R2285" s="52"/>
      <c r="S2285" s="53"/>
    </row>
    <row r="2286" customFormat="false" ht="15" hidden="false" customHeight="false" outlineLevel="0" collapsed="false">
      <c r="A2286" s="4" t="s">
        <v>514</v>
      </c>
      <c r="B2286" s="36" t="s">
        <v>77</v>
      </c>
      <c r="C2286" s="51" t="n">
        <f aca="false">IFERROR(C2283/(C2281+C2282+C2283),0)</f>
        <v>0.0326242050016079</v>
      </c>
      <c r="D2286" s="51" t="n">
        <f aca="false">IFERROR(D2283/(D2281+D2282+D2283),0)</f>
        <v>0.0326242050016079</v>
      </c>
      <c r="E2286" s="51" t="n">
        <f aca="false">IFERROR(E2283/(E2281+E2282+E2283),0)</f>
        <v>0.0326242050016079</v>
      </c>
      <c r="F2286" s="51" t="n">
        <f aca="false">IFERROR(F2283/(F2281+F2282+F2283),0)</f>
        <v>0.0326242050016079</v>
      </c>
      <c r="G2286" s="51" t="n">
        <f aca="false">IFERROR(G2283/(G2281+G2282+G2283),0)</f>
        <v>0.0326242050016079</v>
      </c>
      <c r="H2286" s="51" t="n">
        <f aca="false">IFERROR(H2283/(H2281+H2282+H2283),0)</f>
        <v>0.0326242050016079</v>
      </c>
      <c r="I2286" s="51" t="n">
        <f aca="false">IFERROR(I2283/(I2281+I2282+I2283),0)</f>
        <v>0.0314130625383994</v>
      </c>
      <c r="J2286" s="51" t="n">
        <f aca="false">IFERROR(J2283/(J2281+J2282+J2283),0)</f>
        <v>0.0308034842624268</v>
      </c>
      <c r="K2286" s="51" t="n">
        <f aca="false">IFERROR(K2283/(K2281+K2282+K2283),0)</f>
        <v>0.0308034842624268</v>
      </c>
      <c r="L2286" s="51" t="n">
        <f aca="false">IFERROR(L2283/(L2281+L2282+L2283),0)</f>
        <v>0.0308034842624268</v>
      </c>
      <c r="M2286" s="51" t="n">
        <f aca="false">IFERROR(M2283/(M2281+M2282+M2283),0)</f>
        <v>0.0308034842624268</v>
      </c>
      <c r="N2286" s="51" t="n">
        <f aca="false">IFERROR(N2283/(N2281+N2282+N2283),0)</f>
        <v>0.0308034842624268</v>
      </c>
      <c r="P2286" s="52"/>
      <c r="Q2286" s="52"/>
      <c r="R2286" s="52"/>
      <c r="S2286" s="53"/>
    </row>
    <row r="2287" customFormat="false" ht="15" hidden="false" customHeight="false" outlineLevel="0" collapsed="false">
      <c r="A2287" s="4" t="s">
        <v>515</v>
      </c>
      <c r="B2287" s="36" t="s">
        <v>516</v>
      </c>
      <c r="C2287" s="48" t="n">
        <f aca="false">IF(C2255-Assumptions!$G$35&lt;1,0,INDEX($C$2280:$N$2280,1,C2255-Assumptions!$G$35)*INDEX($C$2284:$N$2284,1,C2255-Assumptions!$G$35)*Assumptions!$G$32)</f>
        <v>0</v>
      </c>
      <c r="D2287" s="48" t="n">
        <f aca="false">IF(D2255-Assumptions!$G$35&lt;1,0,INDEX($C$2280:$N$2280,1,D2255-Assumptions!$G$35)*INDEX($C$2284:$N$2284,1,D2255-Assumptions!$G$35)*Assumptions!$G$32)</f>
        <v>0.814885698910995</v>
      </c>
      <c r="E2287" s="48" t="n">
        <f aca="false">IF(E2255-Assumptions!$G$35&lt;1,0,INDEX($C$2280:$N$2280,1,E2255-Assumptions!$G$35)*INDEX($C$2284:$N$2284,1,E2255-Assumptions!$G$35)*Assumptions!$G$32)</f>
        <v>1.32714616164932</v>
      </c>
      <c r="F2287" s="48" t="n">
        <f aca="false">IF(F2255-Assumptions!$G$35&lt;1,0,INDEX($C$2280:$N$2280,1,F2255-Assumptions!$G$35)*INDEX($C$2284:$N$2284,1,F2255-Assumptions!$G$35)*Assumptions!$G$32)</f>
        <v>1.38849121538733</v>
      </c>
      <c r="G2287" s="48" t="n">
        <f aca="false">IF(G2255-Assumptions!$G$35&lt;1,0,INDEX($C$2280:$N$2280,1,G2255-Assumptions!$G$35)*INDEX($C$2284:$N$2284,1,G2255-Assumptions!$G$35)*Assumptions!$G$32)</f>
        <v>1.42926255061124</v>
      </c>
      <c r="H2287" s="48" t="n">
        <f aca="false">IF(H2255-Assumptions!$G$35&lt;1,0,INDEX($C$2280:$N$2280,1,H2255-Assumptions!$G$35)*INDEX($C$2284:$N$2284,1,H2255-Assumptions!$G$35)*Assumptions!$G$32)</f>
        <v>1.47165654989961</v>
      </c>
      <c r="I2287" s="48" t="n">
        <f aca="false">IF(I2255-Assumptions!$G$35&lt;1,0,INDEX($C$2280:$N$2280,1,I2255-Assumptions!$G$35)*INDEX($C$2284:$N$2284,1,I2255-Assumptions!$G$35)*Assumptions!$G$32)</f>
        <v>1.44430016940096</v>
      </c>
      <c r="J2287" s="48" t="n">
        <f aca="false">IF(J2255-Assumptions!$G$35&lt;1,0,INDEX($C$2280:$N$2280,1,J2255-Assumptions!$G$35)*INDEX($C$2284:$N$2284,1,J2255-Assumptions!$G$35)*Assumptions!$G$32)</f>
        <v>1.84573405386556</v>
      </c>
      <c r="K2287" s="48" t="n">
        <f aca="false">IF(K2255-Assumptions!$G$35&lt;1,0,INDEX($C$2280:$N$2280,1,K2255-Assumptions!$G$35)*INDEX($C$2284:$N$2284,1,K2255-Assumptions!$G$35)*Assumptions!$G$32)</f>
        <v>2.16555628600459</v>
      </c>
      <c r="L2287" s="48" t="n">
        <f aca="false">IF(L2255-Assumptions!$G$35&lt;1,0,INDEX($C$2280:$N$2280,1,L2255-Assumptions!$G$35)*INDEX($C$2284:$N$2284,1,L2255-Assumptions!$G$35)*Assumptions!$G$32)</f>
        <v>2.09896047869007</v>
      </c>
      <c r="M2287" s="48" t="n">
        <f aca="false">IF(M2255-Assumptions!$G$35&lt;1,0,INDEX($C$2280:$N$2280,1,M2255-Assumptions!$G$35)*INDEX($C$2284:$N$2284,1,M2255-Assumptions!$G$35)*Assumptions!$G$32)</f>
        <v>2.03864437436842</v>
      </c>
      <c r="N2287" s="48" t="n">
        <f aca="false">IF(N2255-Assumptions!$G$35&lt;1,0,INDEX($C$2280:$N$2280,1,N2255-Assumptions!$G$35)*INDEX($C$2284:$N$2284,1,N2255-Assumptions!$G$35)*Assumptions!$G$32)</f>
        <v>1.9840594422374</v>
      </c>
      <c r="P2287" s="49" t="n">
        <f aca="false">SUM(C2287:F2287)</f>
        <v>3.53052307594764</v>
      </c>
      <c r="Q2287" s="49" t="n">
        <f aca="false">SUM(G2287:J2287)</f>
        <v>6.19095332377737</v>
      </c>
      <c r="R2287" s="49" t="n">
        <f aca="false">SUM(K2287:N2287)</f>
        <v>8.28722058130048</v>
      </c>
      <c r="S2287" s="50" t="n">
        <f aca="false">SUM(P2287:R2287)</f>
        <v>18.0086969810255</v>
      </c>
    </row>
    <row r="2288" customFormat="false" ht="15" hidden="false" customHeight="false" outlineLevel="0" collapsed="false">
      <c r="A2288" s="4" t="s">
        <v>517</v>
      </c>
      <c r="B2288" s="36" t="s">
        <v>516</v>
      </c>
      <c r="C2288" s="48" t="n">
        <f aca="false">IF(C2255-Assumptions!$G$35&lt;1,0,INDEX($C$2280:$N$2280,1,C2255-Assumptions!$G$35)*INDEX($C$2285:$N$2285,1,C2255-Assumptions!$G$35)*Assumptions!$G$32)</f>
        <v>0</v>
      </c>
      <c r="D2288" s="48" t="n">
        <f aca="false">IF(D2255-Assumptions!$G$35&lt;1,0,INDEX($C$2280:$N$2280,1,D2255-Assumptions!$G$35)*INDEX($C$2285:$N$2285,1,D2255-Assumptions!$G$35)*Assumptions!$G$32)</f>
        <v>0.332944715766292</v>
      </c>
      <c r="E2288" s="48" t="n">
        <f aca="false">IF(E2255-Assumptions!$G$35&lt;1,0,INDEX($C$2280:$N$2280,1,E2255-Assumptions!$G$35)*INDEX($C$2285:$N$2285,1,E2255-Assumptions!$G$35)*Assumptions!$G$32)</f>
        <v>0.54224328904184</v>
      </c>
      <c r="F2288" s="48" t="n">
        <f aca="false">IF(F2255-Assumptions!$G$35&lt;1,0,INDEX($C$2280:$N$2280,1,F2255-Assumptions!$G$35)*INDEX($C$2285:$N$2285,1,F2255-Assumptions!$G$35)*Assumptions!$G$32)</f>
        <v>0.567307554506022</v>
      </c>
      <c r="G2288" s="48" t="n">
        <f aca="false">IF(G2255-Assumptions!$G$35&lt;1,0,INDEX($C$2280:$N$2280,1,G2255-Assumptions!$G$35)*INDEX($C$2285:$N$2285,1,G2255-Assumptions!$G$35)*Assumptions!$G$32)</f>
        <v>0.583965842454477</v>
      </c>
      <c r="H2288" s="48" t="n">
        <f aca="false">IF(H2255-Assumptions!$G$35&lt;1,0,INDEX($C$2280:$N$2280,1,H2255-Assumptions!$G$35)*INDEX($C$2285:$N$2285,1,H2255-Assumptions!$G$35)*Assumptions!$G$32)</f>
        <v>0.601287115931391</v>
      </c>
      <c r="I2288" s="48" t="n">
        <f aca="false">IF(I2255-Assumptions!$G$35&lt;1,0,INDEX($C$2280:$N$2280,1,I2255-Assumptions!$G$35)*INDEX($C$2285:$N$2285,1,I2255-Assumptions!$G$35)*Assumptions!$G$32)</f>
        <v>0.590109889061796</v>
      </c>
      <c r="J2288" s="48" t="n">
        <f aca="false">IF(J2255-Assumptions!$G$35&lt;1,0,INDEX($C$2280:$N$2280,1,J2255-Assumptions!$G$35)*INDEX($C$2285:$N$2285,1,J2255-Assumptions!$G$35)*Assumptions!$G$32)</f>
        <v>0.756192785766925</v>
      </c>
      <c r="K2288" s="48" t="n">
        <f aca="false">IF(K2255-Assumptions!$G$35&lt;1,0,INDEX($C$2280:$N$2280,1,K2255-Assumptions!$G$35)*INDEX($C$2285:$N$2285,1,K2255-Assumptions!$G$35)*Assumptions!$G$32)</f>
        <v>0.888442165276751</v>
      </c>
      <c r="L2288" s="48" t="n">
        <f aca="false">IF(L2255-Assumptions!$G$35&lt;1,0,INDEX($C$2280:$N$2280,1,L2255-Assumptions!$G$35)*INDEX($C$2285:$N$2285,1,L2255-Assumptions!$G$35)*Assumptions!$G$32)</f>
        <v>0.86112053728156</v>
      </c>
      <c r="M2288" s="48" t="n">
        <f aca="false">IF(M2255-Assumptions!$G$35&lt;1,0,INDEX($C$2280:$N$2280,1,M2255-Assumptions!$G$35)*INDEX($C$2285:$N$2285,1,M2255-Assumptions!$G$35)*Assumptions!$G$32)</f>
        <v>0.836375223261827</v>
      </c>
      <c r="N2288" s="48" t="n">
        <f aca="false">IF(N2255-Assumptions!$G$35&lt;1,0,INDEX($C$2280:$N$2280,1,N2255-Assumptions!$G$35)*INDEX($C$2285:$N$2285,1,N2255-Assumptions!$G$35)*Assumptions!$G$32)</f>
        <v>0.813981182706347</v>
      </c>
      <c r="P2288" s="49" t="n">
        <f aca="false">SUM(C2288:F2288)</f>
        <v>1.44249555931415</v>
      </c>
      <c r="Q2288" s="49" t="n">
        <f aca="false">SUM(G2288:J2288)</f>
        <v>2.53155563321459</v>
      </c>
      <c r="R2288" s="49" t="n">
        <f aca="false">SUM(K2288:N2288)</f>
        <v>3.39991910852649</v>
      </c>
      <c r="S2288" s="50" t="n">
        <f aca="false">SUM(P2288:R2288)</f>
        <v>7.37397030105523</v>
      </c>
    </row>
    <row r="2289" customFormat="false" ht="15" hidden="false" customHeight="false" outlineLevel="0" collapsed="false">
      <c r="A2289" s="4" t="s">
        <v>518</v>
      </c>
      <c r="B2289" s="36" t="s">
        <v>516</v>
      </c>
      <c r="C2289" s="48" t="n">
        <f aca="false">IF(C2255-Assumptions!$G$36&lt;1,0,INDEX($C$2280:$N$2280,1,C2255-Assumptions!$G$36)*INDEX($C$2286:$N$2286,1,C2255-Assumptions!$G$36)*Assumptions!$G$32)</f>
        <v>0</v>
      </c>
      <c r="D2289" s="48" t="n">
        <f aca="false">IF(D2255-Assumptions!$G$36&lt;1,0,INDEX($C$2280:$N$2280,1,D2255-Assumptions!$G$36)*INDEX($C$2286:$N$2286,1,D2255-Assumptions!$G$36)*Assumptions!$G$32)</f>
        <v>0</v>
      </c>
      <c r="E2289" s="48" t="n">
        <f aca="false">IF(E2255-Assumptions!$G$36&lt;1,0,INDEX($C$2280:$N$2280,1,E2255-Assumptions!$G$36)*INDEX($C$2286:$N$2286,1,E2255-Assumptions!$G$36)*Assumptions!$G$32)</f>
        <v>0.0387099356311419</v>
      </c>
      <c r="F2289" s="48" t="n">
        <f aca="false">IF(F2255-Assumptions!$G$36&lt;1,0,INDEX($C$2280:$N$2280,1,F2255-Assumptions!$G$36)*INDEX($C$2286:$N$2286,1,F2255-Assumptions!$G$36)*Assumptions!$G$32)</f>
        <v>0.0630441085899745</v>
      </c>
      <c r="G2289" s="48" t="n">
        <f aca="false">IF(G2255-Assumptions!$G$36&lt;1,0,INDEX($C$2280:$N$2280,1,G2255-Assumptions!$G$36)*INDEX($C$2286:$N$2286,1,G2255-Assumptions!$G$36)*Assumptions!$G$32)</f>
        <v>0.0659582143162879</v>
      </c>
      <c r="H2289" s="48" t="n">
        <f aca="false">IF(H2255-Assumptions!$G$36&lt;1,0,INDEX($C$2280:$N$2280,1,H2255-Assumptions!$G$36)*INDEX($C$2286:$N$2286,1,H2255-Assumptions!$G$36)*Assumptions!$G$32)</f>
        <v>0.0678949960811691</v>
      </c>
      <c r="I2289" s="48" t="n">
        <f aca="false">IF(I2255-Assumptions!$G$36&lt;1,0,INDEX($C$2280:$N$2280,1,I2255-Assumptions!$G$36)*INDEX($C$2286:$N$2286,1,I2255-Assumptions!$G$36)*Assumptions!$G$32)</f>
        <v>0.0699088600939903</v>
      </c>
      <c r="J2289" s="48" t="n">
        <f aca="false">IF(J2255-Assumptions!$G$36&lt;1,0,INDEX($C$2280:$N$2280,1,J2255-Assumptions!$G$36)*INDEX($C$2286:$N$2286,1,J2255-Assumptions!$G$36)*Assumptions!$G$32)</f>
        <v>0.0686093358421611</v>
      </c>
      <c r="K2289" s="48" t="n">
        <f aca="false">IF(K2255-Assumptions!$G$36&lt;1,0,INDEX($C$2280:$N$2280,1,K2255-Assumptions!$G$36)*INDEX($C$2286:$N$2286,1,K2255-Assumptions!$G$36)*Assumptions!$G$32)</f>
        <v>0.0843852909558315</v>
      </c>
      <c r="L2289" s="48" t="n">
        <f aca="false">IF(L2255-Assumptions!$G$36&lt;1,0,INDEX($C$2280:$N$2280,1,L2255-Assumptions!$G$36)*INDEX($C$2286:$N$2286,1,L2255-Assumptions!$G$36)*Assumptions!$G$32)</f>
        <v>0.0970636931767434</v>
      </c>
      <c r="M2289" s="48" t="n">
        <f aca="false">IF(M2255-Assumptions!$G$36&lt;1,0,INDEX($C$2280:$N$2280,1,M2255-Assumptions!$G$36)*INDEX($C$2286:$N$2286,1,M2255-Assumptions!$G$36)*Assumptions!$G$32)</f>
        <v>0.0940787626765253</v>
      </c>
      <c r="N2289" s="48" t="n">
        <f aca="false">IF(N2255-Assumptions!$G$36&lt;1,0,INDEX($C$2280:$N$2280,1,N2255-Assumptions!$G$36)*INDEX($C$2286:$N$2286,1,N2255-Assumptions!$G$36)*Assumptions!$G$32)</f>
        <v>0.0913752984990621</v>
      </c>
      <c r="P2289" s="49" t="n">
        <f aca="false">SUM(C2289:F2289)</f>
        <v>0.101754044221116</v>
      </c>
      <c r="Q2289" s="49" t="n">
        <f aca="false">SUM(G2289:J2289)</f>
        <v>0.272371406333608</v>
      </c>
      <c r="R2289" s="49" t="n">
        <f aca="false">SUM(K2289:N2289)</f>
        <v>0.366903045308162</v>
      </c>
      <c r="S2289" s="50" t="n">
        <f aca="false">SUM(P2289:R2289)</f>
        <v>0.741028495862887</v>
      </c>
    </row>
    <row r="2290" customFormat="false" ht="15" hidden="false" customHeight="false" outlineLevel="0" collapsed="false">
      <c r="A2290" s="4" t="s">
        <v>519</v>
      </c>
      <c r="B2290" s="36" t="s">
        <v>77</v>
      </c>
      <c r="C2290" s="51" t="n">
        <f aca="false">IF(C2255-Assumptions!$G$35&lt;1,0,IFERROR(INDEX($C$2279:$N$2279,1,C2255-Assumptions!$G$35)/INDEX($C$2280:$N$2280,1,C2255-Assumptions!$G$35),0))</f>
        <v>0</v>
      </c>
      <c r="D2290" s="51" t="n">
        <f aca="false">IF(D2255-Assumptions!$G$35&lt;1,0,IFERROR(INDEX($C$2279:$N$2279,1,D2255-Assumptions!$G$35)/INDEX($C$2280:$N$2280,1,D2255-Assumptions!$G$35),0))</f>
        <v>0.175299558877987</v>
      </c>
      <c r="E2290" s="51" t="n">
        <f aca="false">IF(E2255-Assumptions!$G$35&lt;1,0,IFERROR(INDEX($C$2279:$N$2279,1,E2255-Assumptions!$G$35)/INDEX($C$2280:$N$2280,1,E2255-Assumptions!$G$35),0))</f>
        <v>0.161454451306499</v>
      </c>
      <c r="F2290" s="51" t="n">
        <f aca="false">IF(F2255-Assumptions!$G$35&lt;1,0,IFERROR(INDEX($C$2279:$N$2279,1,F2255-Assumptions!$G$35)/INDEX($C$2280:$N$2280,1,F2255-Assumptions!$G$35),0))</f>
        <v>0.205761623800017</v>
      </c>
      <c r="G2290" s="51" t="n">
        <f aca="false">IF(G2255-Assumptions!$G$35&lt;1,0,IFERROR(INDEX($C$2279:$N$2279,1,G2255-Assumptions!$G$35)/INDEX($C$2280:$N$2280,1,G2255-Assumptions!$G$35),0))</f>
        <v>0.24986505015119</v>
      </c>
      <c r="H2290" s="51" t="n">
        <f aca="false">IF(H2255-Assumptions!$G$35&lt;1,0,IFERROR(INDEX($C$2279:$N$2279,1,H2255-Assumptions!$G$35)/INDEX($C$2280:$N$2280,1,H2255-Assumptions!$G$35),0))</f>
        <v>0.291200627411652</v>
      </c>
      <c r="I2290" s="51" t="n">
        <f aca="false">IF(I2255-Assumptions!$G$35&lt;1,0,IFERROR(INDEX($C$2279:$N$2279,1,I2255-Assumptions!$G$35)/INDEX($C$2280:$N$2280,1,I2255-Assumptions!$G$35),0))</f>
        <v>0.296716236516802</v>
      </c>
      <c r="J2290" s="51" t="n">
        <f aca="false">IF(J2255-Assumptions!$G$35&lt;1,0,IFERROR(INDEX($C$2279:$N$2279,1,J2255-Assumptions!$G$35)/INDEX($C$2280:$N$2280,1,J2255-Assumptions!$G$35),0))</f>
        <v>0.232288717641811</v>
      </c>
      <c r="K2290" s="51" t="n">
        <f aca="false">IF(K2255-Assumptions!$G$35&lt;1,0,IFERROR(INDEX($C$2279:$N$2279,1,K2255-Assumptions!$G$35)/INDEX($C$2280:$N$2280,1,K2255-Assumptions!$G$35),0))</f>
        <v>0.19802846513118</v>
      </c>
      <c r="L2290" s="51" t="n">
        <f aca="false">IF(L2255-Assumptions!$G$35&lt;1,0,IFERROR(INDEX($C$2279:$N$2279,1,L2255-Assumptions!$G$35)/INDEX($C$2280:$N$2280,1,L2255-Assumptions!$G$35),0))</f>
        <v>0.204311511258326</v>
      </c>
      <c r="M2290" s="51" t="n">
        <f aca="false">IF(M2255-Assumptions!$G$35&lt;1,0,IFERROR(INDEX($C$2279:$N$2279,1,M2255-Assumptions!$G$35)/INDEX($C$2280:$N$2280,1,M2255-Assumptions!$G$35),0))</f>
        <v>0.210356348985843</v>
      </c>
      <c r="N2290" s="51" t="n">
        <f aca="false">IF(N2255-Assumptions!$G$35&lt;1,0,IFERROR(INDEX($C$2279:$N$2279,1,N2255-Assumptions!$G$35)/INDEX($C$2280:$N$2280,1,N2255-Assumptions!$G$35),0))</f>
        <v>0.216143618655431</v>
      </c>
      <c r="P2290" s="52"/>
      <c r="Q2290" s="52"/>
      <c r="R2290" s="52"/>
      <c r="S2290" s="53"/>
    </row>
    <row r="2291" customFormat="false" ht="15" hidden="false" customHeight="false" outlineLevel="0" collapsed="false">
      <c r="A2291" s="4" t="s">
        <v>520</v>
      </c>
      <c r="B2291" s="36" t="s">
        <v>516</v>
      </c>
      <c r="C2291" s="48" t="n">
        <f aca="false">C2287*Assumptions!$G$37</f>
        <v>0</v>
      </c>
      <c r="D2291" s="48" t="n">
        <f aca="false">D2287*Assumptions!$G$37</f>
        <v>0.244465709673299</v>
      </c>
      <c r="E2291" s="48" t="n">
        <f aca="false">E2287*Assumptions!$G$37</f>
        <v>0.398143848494795</v>
      </c>
      <c r="F2291" s="48" t="n">
        <f aca="false">F2287*Assumptions!$G$37</f>
        <v>0.416547364616198</v>
      </c>
      <c r="G2291" s="48" t="n">
        <f aca="false">G2287*Assumptions!$G$37</f>
        <v>0.428778765183372</v>
      </c>
      <c r="H2291" s="48" t="n">
        <f aca="false">H2287*Assumptions!$G$37</f>
        <v>0.441496964969883</v>
      </c>
      <c r="I2291" s="48" t="n">
        <f aca="false">I2287*Assumptions!$G$37</f>
        <v>0.433290050820289</v>
      </c>
      <c r="J2291" s="48" t="n">
        <f aca="false">J2287*Assumptions!$G$37</f>
        <v>0.553720216159667</v>
      </c>
      <c r="K2291" s="48" t="n">
        <f aca="false">K2287*Assumptions!$G$37</f>
        <v>0.649666885801377</v>
      </c>
      <c r="L2291" s="48" t="n">
        <f aca="false">L2287*Assumptions!$G$37</f>
        <v>0.629688143607021</v>
      </c>
      <c r="M2291" s="48" t="n">
        <f aca="false">M2287*Assumptions!$G$37</f>
        <v>0.611593312310525</v>
      </c>
      <c r="N2291" s="48" t="n">
        <f aca="false">N2287*Assumptions!$G$37</f>
        <v>0.595217832671221</v>
      </c>
      <c r="P2291" s="49" t="n">
        <f aca="false">SUM(C2291:F2291)</f>
        <v>1.05915692278429</v>
      </c>
      <c r="Q2291" s="49" t="n">
        <f aca="false">SUM(G2291:J2291)</f>
        <v>1.85728599713321</v>
      </c>
      <c r="R2291" s="49" t="n">
        <f aca="false">SUM(K2291:N2291)</f>
        <v>2.48616617439014</v>
      </c>
      <c r="S2291" s="50" t="n">
        <f aca="false">SUM(P2291:R2291)</f>
        <v>5.40260909430765</v>
      </c>
    </row>
    <row r="2292" customFormat="false" ht="15" hidden="false" customHeight="false" outlineLevel="0" collapsed="false">
      <c r="A2292" s="4" t="s">
        <v>521</v>
      </c>
      <c r="B2292" s="36" t="s">
        <v>516</v>
      </c>
      <c r="C2292" s="48" t="n">
        <f aca="false">C2287*(1-Assumptions!$G$37)</f>
        <v>0</v>
      </c>
      <c r="D2292" s="48" t="n">
        <f aca="false">D2287*(1-Assumptions!$G$37)</f>
        <v>0.570419989237697</v>
      </c>
      <c r="E2292" s="48" t="n">
        <f aca="false">E2287*(1-Assumptions!$G$37)</f>
        <v>0.929002313154521</v>
      </c>
      <c r="F2292" s="48" t="n">
        <f aca="false">F2287*(1-Assumptions!$G$37)</f>
        <v>0.971943850771129</v>
      </c>
      <c r="G2292" s="48" t="n">
        <f aca="false">G2287*(1-Assumptions!$G$37)</f>
        <v>1.00048378542787</v>
      </c>
      <c r="H2292" s="48" t="n">
        <f aca="false">H2287*(1-Assumptions!$G$37)</f>
        <v>1.03015958492973</v>
      </c>
      <c r="I2292" s="48" t="n">
        <f aca="false">I2287*(1-Assumptions!$G$37)</f>
        <v>1.01101011858067</v>
      </c>
      <c r="J2292" s="48" t="n">
        <f aca="false">J2287*(1-Assumptions!$G$37)</f>
        <v>1.29201383770589</v>
      </c>
      <c r="K2292" s="48" t="n">
        <f aca="false">K2287*(1-Assumptions!$G$37)</f>
        <v>1.51588940020321</v>
      </c>
      <c r="L2292" s="48" t="n">
        <f aca="false">L2287*(1-Assumptions!$G$37)</f>
        <v>1.46927233508305</v>
      </c>
      <c r="M2292" s="48" t="n">
        <f aca="false">M2287*(1-Assumptions!$G$37)</f>
        <v>1.42705106205789</v>
      </c>
      <c r="N2292" s="48" t="n">
        <f aca="false">N2287*(1-Assumptions!$G$37)</f>
        <v>1.38884160956618</v>
      </c>
      <c r="P2292" s="49" t="n">
        <f aca="false">SUM(C2292:F2292)</f>
        <v>2.47136615316335</v>
      </c>
      <c r="Q2292" s="49" t="n">
        <f aca="false">SUM(G2292:J2292)</f>
        <v>4.33366732664416</v>
      </c>
      <c r="R2292" s="49" t="n">
        <f aca="false">SUM(K2292:N2292)</f>
        <v>5.80105440691034</v>
      </c>
      <c r="S2292" s="50" t="n">
        <f aca="false">SUM(P2292:R2292)</f>
        <v>12.6060878867178</v>
      </c>
    </row>
    <row r="2293" customFormat="false" ht="15" hidden="false" customHeight="false" outlineLevel="0" collapsed="false">
      <c r="A2293" s="4" t="s">
        <v>522</v>
      </c>
      <c r="B2293" s="36" t="s">
        <v>125</v>
      </c>
      <c r="C2293" s="54" t="n">
        <f aca="false">C2292*$C$2246+C2288*$C$2247+C2289*$C$2248</f>
        <v>0</v>
      </c>
      <c r="D2293" s="54" t="n">
        <f aca="false">D2292*$C$2246+D2288*$C$2247+D2289*$C$2248</f>
        <v>4834.80790118135</v>
      </c>
      <c r="E2293" s="54" t="n">
        <f aca="false">E2292*$C$2246+E2288*$C$2247+E2289*$C$2248</f>
        <v>9589.34371077082</v>
      </c>
      <c r="F2293" s="54" t="n">
        <f aca="false">F2292*$C$2246+F2288*$C$2247+F2289*$C$2248</f>
        <v>11031.5579726651</v>
      </c>
      <c r="G2293" s="54" t="n">
        <f aca="false">G2292*$C$2246+G2288*$C$2247+G2289*$C$2248</f>
        <v>11402.582884781</v>
      </c>
      <c r="H2293" s="54" t="n">
        <f aca="false">H2292*$C$2246+H2288*$C$2247+H2289*$C$2248</f>
        <v>11739.9300193653</v>
      </c>
      <c r="I2293" s="54" t="n">
        <f aca="false">I2292*$C$2246+I2288*$C$2247+I2289*$C$2248</f>
        <v>11666.8558716672</v>
      </c>
      <c r="J2293" s="54" t="n">
        <f aca="false">J2292*$C$2246+J2288*$C$2247+J2289*$C$2248</f>
        <v>14002.0815199927</v>
      </c>
      <c r="K2293" s="54" t="n">
        <f aca="false">K2292*$C$2246+K2288*$C$2247+K2289*$C$2248</f>
        <v>16607.0947807017</v>
      </c>
      <c r="L2293" s="54" t="n">
        <f aca="false">L2292*$C$2246+L2288*$C$2247+L2289*$C$2248</f>
        <v>16773.1548975569</v>
      </c>
      <c r="M2293" s="54" t="n">
        <f aca="false">M2292*$C$2246+M2288*$C$2247+M2289*$C$2248</f>
        <v>16282.487453228</v>
      </c>
      <c r="N2293" s="54" t="n">
        <f aca="false">N2292*$C$2246+N2288*$C$2247+N2289*$C$2248</f>
        <v>15838.347060736</v>
      </c>
      <c r="P2293" s="55" t="n">
        <f aca="false">SUM(C2293:F2293)</f>
        <v>25455.7095846173</v>
      </c>
      <c r="Q2293" s="55" t="n">
        <f aca="false">SUM(G2293:J2293)</f>
        <v>48811.4502958062</v>
      </c>
      <c r="R2293" s="55" t="n">
        <f aca="false">SUM(K2293:N2293)</f>
        <v>65501.0841922225</v>
      </c>
      <c r="S2293" s="56" t="n">
        <f aca="false">SUM(P2293:R2293)</f>
        <v>139768.244072646</v>
      </c>
    </row>
    <row r="2294" customFormat="false" ht="15" hidden="false" customHeight="false" outlineLevel="0" collapsed="false">
      <c r="A2294" s="4" t="s">
        <v>523</v>
      </c>
      <c r="B2294" s="36" t="s">
        <v>125</v>
      </c>
      <c r="C2294" s="54" t="n">
        <f aca="false">(C2270+Assumptions!$E$104*C2256)*$C$2251</f>
        <v>0</v>
      </c>
      <c r="D2294" s="54" t="n">
        <f aca="false">(D2270+Assumptions!$E$104*D2256)*$C$2251</f>
        <v>120312.5</v>
      </c>
      <c r="E2294" s="54" t="n">
        <f aca="false">(E2270+Assumptions!$E$104*E2256)*$C$2251</f>
        <v>240625</v>
      </c>
      <c r="F2294" s="54" t="n">
        <f aca="false">(F2270+Assumptions!$E$104*F2256)*$C$2251</f>
        <v>300781.25</v>
      </c>
      <c r="G2294" s="54" t="n">
        <f aca="false">(G2270+Assumptions!$E$104*G2256)*$C$2251</f>
        <v>360937.5</v>
      </c>
      <c r="H2294" s="54" t="n">
        <f aca="false">(H2270+Assumptions!$E$104*H2256)*$C$2251</f>
        <v>421093.75</v>
      </c>
      <c r="I2294" s="54" t="n">
        <f aca="false">(I2270+Assumptions!$E$104*I2256)*$C$2251</f>
        <v>481250</v>
      </c>
      <c r="J2294" s="54" t="n">
        <f aca="false">(J2270+Assumptions!$E$104*J2256)*$C$2251</f>
        <v>541406.25</v>
      </c>
      <c r="K2294" s="54" t="n">
        <f aca="false">(K2270+Assumptions!$E$104*K2256)*$C$2251</f>
        <v>601562.5</v>
      </c>
      <c r="L2294" s="54" t="n">
        <f aca="false">(L2270+Assumptions!$E$104*L2256)*$C$2251</f>
        <v>661718.75</v>
      </c>
      <c r="M2294" s="54" t="n">
        <f aca="false">(M2270+Assumptions!$E$104*M2256)*$C$2251</f>
        <v>721875</v>
      </c>
      <c r="N2294" s="54" t="n">
        <f aca="false">(N2270+Assumptions!$E$104*N2256)*$C$2251</f>
        <v>721875</v>
      </c>
      <c r="P2294" s="55" t="n">
        <f aca="false">SUM(C2294:F2294)</f>
        <v>661718.75</v>
      </c>
      <c r="Q2294" s="55" t="n">
        <f aca="false">SUM(G2294:J2294)</f>
        <v>1804687.5</v>
      </c>
      <c r="R2294" s="55" t="n">
        <f aca="false">SUM(K2294:N2294)</f>
        <v>2707031.25</v>
      </c>
      <c r="S2294" s="56" t="n">
        <f aca="false">SUM(P2294:R2294)</f>
        <v>5173437.5</v>
      </c>
    </row>
    <row r="2295" customFormat="false" ht="15" hidden="false" customHeight="false" outlineLevel="0" collapsed="false">
      <c r="A2295" s="4" t="s">
        <v>524</v>
      </c>
      <c r="B2295" s="36" t="s">
        <v>77</v>
      </c>
      <c r="C2295" s="51" t="n">
        <f aca="false">IF(C2293&gt;0,MIN(1,C2294/C2293),1)</f>
        <v>1</v>
      </c>
      <c r="D2295" s="51" t="n">
        <f aca="false">IF(D2293&gt;0,MIN(1,D2294/D2293),1)</f>
        <v>1</v>
      </c>
      <c r="E2295" s="51" t="n">
        <f aca="false">IF(E2293&gt;0,MIN(1,E2294/E2293),1)</f>
        <v>1</v>
      </c>
      <c r="F2295" s="51" t="n">
        <f aca="false">IF(F2293&gt;0,MIN(1,F2294/F2293),1)</f>
        <v>1</v>
      </c>
      <c r="G2295" s="51" t="n">
        <f aca="false">IF(G2293&gt;0,MIN(1,G2294/G2293),1)</f>
        <v>1</v>
      </c>
      <c r="H2295" s="51" t="n">
        <f aca="false">IF(H2293&gt;0,MIN(1,H2294/H2293),1)</f>
        <v>1</v>
      </c>
      <c r="I2295" s="51" t="n">
        <f aca="false">IF(I2293&gt;0,MIN(1,I2294/I2293),1)</f>
        <v>1</v>
      </c>
      <c r="J2295" s="51" t="n">
        <f aca="false">IF(J2293&gt;0,MIN(1,J2294/J2293),1)</f>
        <v>1</v>
      </c>
      <c r="K2295" s="51" t="n">
        <f aca="false">IF(K2293&gt;0,MIN(1,K2294/K2293),1)</f>
        <v>1</v>
      </c>
      <c r="L2295" s="51" t="n">
        <f aca="false">IF(L2293&gt;0,MIN(1,L2294/L2293),1)</f>
        <v>1</v>
      </c>
      <c r="M2295" s="51" t="n">
        <f aca="false">IF(M2293&gt;0,MIN(1,M2294/M2293),1)</f>
        <v>1</v>
      </c>
      <c r="N2295" s="51" t="n">
        <f aca="false">IF(N2293&gt;0,MIN(1,N2294/N2293),1)</f>
        <v>1</v>
      </c>
      <c r="P2295" s="52"/>
      <c r="Q2295" s="52"/>
      <c r="R2295" s="52"/>
      <c r="S2295" s="53"/>
    </row>
    <row r="2296" customFormat="false" ht="15" hidden="false" customHeight="false" outlineLevel="0" collapsed="false">
      <c r="A2296" s="4" t="s">
        <v>525</v>
      </c>
      <c r="B2296" s="36" t="s">
        <v>125</v>
      </c>
      <c r="C2296" s="54" t="n">
        <f aca="false">C2293*(1-C2295)</f>
        <v>0</v>
      </c>
      <c r="D2296" s="54" t="n">
        <f aca="false">D2293*(1-D2295)</f>
        <v>0</v>
      </c>
      <c r="E2296" s="54" t="n">
        <f aca="false">E2293*(1-E2295)</f>
        <v>0</v>
      </c>
      <c r="F2296" s="54" t="n">
        <f aca="false">F2293*(1-F2295)</f>
        <v>0</v>
      </c>
      <c r="G2296" s="54" t="n">
        <f aca="false">G2293*(1-G2295)</f>
        <v>0</v>
      </c>
      <c r="H2296" s="54" t="n">
        <f aca="false">H2293*(1-H2295)</f>
        <v>0</v>
      </c>
      <c r="I2296" s="54" t="n">
        <f aca="false">I2293*(1-I2295)</f>
        <v>0</v>
      </c>
      <c r="J2296" s="54" t="n">
        <f aca="false">J2293*(1-J2295)</f>
        <v>0</v>
      </c>
      <c r="K2296" s="54" t="n">
        <f aca="false">K2293*(1-K2295)</f>
        <v>0</v>
      </c>
      <c r="L2296" s="54" t="n">
        <f aca="false">L2293*(1-L2295)</f>
        <v>0</v>
      </c>
      <c r="M2296" s="54" t="n">
        <f aca="false">M2293*(1-M2295)</f>
        <v>0</v>
      </c>
      <c r="N2296" s="54" t="n">
        <f aca="false">N2293*(1-N2295)</f>
        <v>0</v>
      </c>
      <c r="P2296" s="55" t="n">
        <f aca="false">SUM(C2296:F2296)</f>
        <v>0</v>
      </c>
      <c r="Q2296" s="55" t="n">
        <f aca="false">SUM(G2296:J2296)</f>
        <v>0</v>
      </c>
      <c r="R2296" s="55" t="n">
        <f aca="false">SUM(K2296:N2296)</f>
        <v>0</v>
      </c>
      <c r="S2296" s="56" t="n">
        <f aca="false">SUM(P2296:R2296)</f>
        <v>0</v>
      </c>
    </row>
    <row r="2297" customFormat="false" ht="15" hidden="false" customHeight="false" outlineLevel="0" collapsed="false">
      <c r="A2297" s="4" t="s">
        <v>526</v>
      </c>
      <c r="B2297" s="36" t="s">
        <v>527</v>
      </c>
      <c r="C2297" s="48" t="n">
        <f aca="false">C2291+C2292*C2295</f>
        <v>0</v>
      </c>
      <c r="D2297" s="48" t="n">
        <f aca="false">D2291+D2292*D2295</f>
        <v>0.814885698910995</v>
      </c>
      <c r="E2297" s="48" t="n">
        <f aca="false">E2291+E2292*E2295</f>
        <v>1.32714616164932</v>
      </c>
      <c r="F2297" s="48" t="n">
        <f aca="false">F2291+F2292*F2295</f>
        <v>1.38849121538733</v>
      </c>
      <c r="G2297" s="48" t="n">
        <f aca="false">G2291+G2292*G2295</f>
        <v>1.42926255061124</v>
      </c>
      <c r="H2297" s="48" t="n">
        <f aca="false">H2291+H2292*H2295</f>
        <v>1.47165654989961</v>
      </c>
      <c r="I2297" s="48" t="n">
        <f aca="false">I2291+I2292*I2295</f>
        <v>1.44430016940096</v>
      </c>
      <c r="J2297" s="48" t="n">
        <f aca="false">J2291+J2292*J2295</f>
        <v>1.84573405386556</v>
      </c>
      <c r="K2297" s="48" t="n">
        <f aca="false">K2291+K2292*K2295</f>
        <v>2.16555628600459</v>
      </c>
      <c r="L2297" s="48" t="n">
        <f aca="false">L2291+L2292*L2295</f>
        <v>2.09896047869007</v>
      </c>
      <c r="M2297" s="48" t="n">
        <f aca="false">M2291+M2292*M2295</f>
        <v>2.03864437436842</v>
      </c>
      <c r="N2297" s="48" t="n">
        <f aca="false">N2291+N2292*N2295</f>
        <v>1.9840594422374</v>
      </c>
      <c r="P2297" s="49" t="n">
        <f aca="false">SUM(C2297:F2297)</f>
        <v>3.53052307594764</v>
      </c>
      <c r="Q2297" s="49" t="n">
        <f aca="false">SUM(G2297:J2297)</f>
        <v>6.19095332377737</v>
      </c>
      <c r="R2297" s="49" t="n">
        <f aca="false">SUM(K2297:N2297)</f>
        <v>8.28722058130048</v>
      </c>
      <c r="S2297" s="50" t="n">
        <f aca="false">SUM(P2297:R2297)</f>
        <v>18.0086969810255</v>
      </c>
    </row>
    <row r="2298" customFormat="false" ht="15" hidden="false" customHeight="false" outlineLevel="0" collapsed="false">
      <c r="A2298" s="4" t="s">
        <v>528</v>
      </c>
      <c r="B2298" s="36" t="s">
        <v>527</v>
      </c>
      <c r="C2298" s="48" t="n">
        <f aca="false">C2288*C2295</f>
        <v>0</v>
      </c>
      <c r="D2298" s="48" t="n">
        <f aca="false">D2288*D2295</f>
        <v>0.332944715766292</v>
      </c>
      <c r="E2298" s="48" t="n">
        <f aca="false">E2288*E2295</f>
        <v>0.54224328904184</v>
      </c>
      <c r="F2298" s="48" t="n">
        <f aca="false">F2288*F2295</f>
        <v>0.567307554506022</v>
      </c>
      <c r="G2298" s="48" t="n">
        <f aca="false">G2288*G2295</f>
        <v>0.583965842454477</v>
      </c>
      <c r="H2298" s="48" t="n">
        <f aca="false">H2288*H2295</f>
        <v>0.601287115931391</v>
      </c>
      <c r="I2298" s="48" t="n">
        <f aca="false">I2288*I2295</f>
        <v>0.590109889061796</v>
      </c>
      <c r="J2298" s="48" t="n">
        <f aca="false">J2288*J2295</f>
        <v>0.756192785766925</v>
      </c>
      <c r="K2298" s="48" t="n">
        <f aca="false">K2288*K2295</f>
        <v>0.888442165276751</v>
      </c>
      <c r="L2298" s="48" t="n">
        <f aca="false">L2288*L2295</f>
        <v>0.86112053728156</v>
      </c>
      <c r="M2298" s="48" t="n">
        <f aca="false">M2288*M2295</f>
        <v>0.836375223261827</v>
      </c>
      <c r="N2298" s="48" t="n">
        <f aca="false">N2288*N2295</f>
        <v>0.813981182706347</v>
      </c>
      <c r="P2298" s="49" t="n">
        <f aca="false">SUM(C2298:F2298)</f>
        <v>1.44249555931415</v>
      </c>
      <c r="Q2298" s="49" t="n">
        <f aca="false">SUM(G2298:J2298)</f>
        <v>2.53155563321459</v>
      </c>
      <c r="R2298" s="49" t="n">
        <f aca="false">SUM(K2298:N2298)</f>
        <v>3.39991910852649</v>
      </c>
      <c r="S2298" s="50" t="n">
        <f aca="false">SUM(P2298:R2298)</f>
        <v>7.37397030105523</v>
      </c>
    </row>
    <row r="2299" customFormat="false" ht="15" hidden="false" customHeight="false" outlineLevel="0" collapsed="false">
      <c r="A2299" s="4" t="s">
        <v>529</v>
      </c>
      <c r="B2299" s="36" t="s">
        <v>527</v>
      </c>
      <c r="C2299" s="48" t="n">
        <f aca="false">C2289*C2295</f>
        <v>0</v>
      </c>
      <c r="D2299" s="48" t="n">
        <f aca="false">D2289*D2295</f>
        <v>0</v>
      </c>
      <c r="E2299" s="48" t="n">
        <f aca="false">E2289*E2295</f>
        <v>0.0387099356311419</v>
      </c>
      <c r="F2299" s="48" t="n">
        <f aca="false">F2289*F2295</f>
        <v>0.0630441085899745</v>
      </c>
      <c r="G2299" s="48" t="n">
        <f aca="false">G2289*G2295</f>
        <v>0.0659582143162879</v>
      </c>
      <c r="H2299" s="48" t="n">
        <f aca="false">H2289*H2295</f>
        <v>0.0678949960811691</v>
      </c>
      <c r="I2299" s="48" t="n">
        <f aca="false">I2289*I2295</f>
        <v>0.0699088600939903</v>
      </c>
      <c r="J2299" s="48" t="n">
        <f aca="false">J2289*J2295</f>
        <v>0.0686093358421611</v>
      </c>
      <c r="K2299" s="48" t="n">
        <f aca="false">K2289*K2295</f>
        <v>0.0843852909558315</v>
      </c>
      <c r="L2299" s="48" t="n">
        <f aca="false">L2289*L2295</f>
        <v>0.0970636931767434</v>
      </c>
      <c r="M2299" s="48" t="n">
        <f aca="false">M2289*M2295</f>
        <v>0.0940787626765253</v>
      </c>
      <c r="N2299" s="48" t="n">
        <f aca="false">N2289*N2295</f>
        <v>0.0913752984990621</v>
      </c>
      <c r="P2299" s="49" t="n">
        <f aca="false">SUM(C2299:F2299)</f>
        <v>0.101754044221116</v>
      </c>
      <c r="Q2299" s="49" t="n">
        <f aca="false">SUM(G2299:J2299)</f>
        <v>0.272371406333608</v>
      </c>
      <c r="R2299" s="49" t="n">
        <f aca="false">SUM(K2299:N2299)</f>
        <v>0.366903045308162</v>
      </c>
      <c r="S2299" s="50" t="n">
        <f aca="false">SUM(P2299:R2299)</f>
        <v>0.741028495862887</v>
      </c>
    </row>
    <row r="2300" customFormat="false" ht="15" hidden="false" customHeight="false" outlineLevel="0" collapsed="false">
      <c r="A2300" s="9" t="s">
        <v>530</v>
      </c>
      <c r="B2300" s="36" t="s">
        <v>527</v>
      </c>
      <c r="C2300" s="49" t="n">
        <f aca="false">C2297+C2298+C2299</f>
        <v>0</v>
      </c>
      <c r="D2300" s="49" t="n">
        <f aca="false">D2297+D2298+D2299</f>
        <v>1.14783041467729</v>
      </c>
      <c r="E2300" s="49" t="n">
        <f aca="false">E2297+E2298+E2299</f>
        <v>1.9080993863223</v>
      </c>
      <c r="F2300" s="49" t="n">
        <f aca="false">F2297+F2298+F2299</f>
        <v>2.01884287848332</v>
      </c>
      <c r="G2300" s="49" t="n">
        <f aca="false">G2297+G2298+G2299</f>
        <v>2.079186607382</v>
      </c>
      <c r="H2300" s="49" t="n">
        <f aca="false">H2297+H2298+H2299</f>
        <v>2.14083866191217</v>
      </c>
      <c r="I2300" s="49" t="n">
        <f aca="false">I2297+I2298+I2299</f>
        <v>2.10431891855675</v>
      </c>
      <c r="J2300" s="49" t="n">
        <f aca="false">J2297+J2298+J2299</f>
        <v>2.67053617547464</v>
      </c>
      <c r="K2300" s="49" t="n">
        <f aca="false">K2297+K2298+K2299</f>
        <v>3.13838374223717</v>
      </c>
      <c r="L2300" s="49" t="n">
        <f aca="false">L2297+L2298+L2299</f>
        <v>3.05714470914837</v>
      </c>
      <c r="M2300" s="49" t="n">
        <f aca="false">M2297+M2298+M2299</f>
        <v>2.96909836030677</v>
      </c>
      <c r="N2300" s="49" t="n">
        <f aca="false">N2297+N2298+N2299</f>
        <v>2.88941592344281</v>
      </c>
      <c r="P2300" s="49" t="n">
        <f aca="false">SUM(C2300:F2300)</f>
        <v>5.07477267948291</v>
      </c>
      <c r="Q2300" s="49" t="n">
        <f aca="false">SUM(G2300:J2300)</f>
        <v>8.99488036332557</v>
      </c>
      <c r="R2300" s="49" t="n">
        <f aca="false">SUM(K2300:N2300)</f>
        <v>12.0540427351351</v>
      </c>
      <c r="S2300" s="50" t="n">
        <f aca="false">SUM(P2300:R2300)</f>
        <v>26.1236957779436</v>
      </c>
    </row>
    <row r="2301" customFormat="false" ht="15" hidden="false" customHeight="false" outlineLevel="0" collapsed="false">
      <c r="A2301" s="35" t="s">
        <v>533</v>
      </c>
      <c r="B2301" s="35" t="s">
        <v>444</v>
      </c>
      <c r="C2301" s="6" t="s">
        <v>354</v>
      </c>
      <c r="D2301" s="6" t="s">
        <v>355</v>
      </c>
      <c r="E2301" s="6" t="s">
        <v>356</v>
      </c>
      <c r="F2301" s="6" t="s">
        <v>357</v>
      </c>
      <c r="G2301" s="6" t="s">
        <v>358</v>
      </c>
      <c r="H2301" s="6" t="s">
        <v>359</v>
      </c>
      <c r="I2301" s="6" t="s">
        <v>360</v>
      </c>
      <c r="J2301" s="6" t="s">
        <v>361</v>
      </c>
      <c r="K2301" s="6" t="s">
        <v>362</v>
      </c>
      <c r="L2301" s="6" t="s">
        <v>363</v>
      </c>
      <c r="M2301" s="6" t="s">
        <v>364</v>
      </c>
      <c r="N2301" s="6" t="s">
        <v>365</v>
      </c>
      <c r="P2301" s="6" t="s">
        <v>445</v>
      </c>
      <c r="Q2301" s="6" t="s">
        <v>446</v>
      </c>
      <c r="R2301" s="6" t="s">
        <v>447</v>
      </c>
      <c r="S2301" s="6" t="s">
        <v>448</v>
      </c>
    </row>
    <row r="2302" customFormat="false" ht="15" hidden="false" customHeight="false" outlineLevel="0" collapsed="false">
      <c r="A2302" s="4" t="s">
        <v>534</v>
      </c>
      <c r="B2302" s="36" t="s">
        <v>527</v>
      </c>
      <c r="C2302" s="48" t="n">
        <f aca="false">0*Assumptions!$G$59^(1/4)+C2297</f>
        <v>0</v>
      </c>
      <c r="D2302" s="48" t="n">
        <f aca="false">C2302*Assumptions!$G$59^(1/4)+D2297</f>
        <v>0.814885698910995</v>
      </c>
      <c r="E2302" s="48" t="n">
        <f aca="false">D2302*Assumptions!$G$59^(1/4)+E2297</f>
        <v>2.10958685186951</v>
      </c>
      <c r="F2302" s="48" t="n">
        <f aca="false">E2302*Assumptions!$G$59^(1/4)+F2297</f>
        <v>3.41408400056213</v>
      </c>
      <c r="G2302" s="48" t="n">
        <f aca="false">F2302*Assumptions!$G$59^(1/4)+G2297</f>
        <v>4.70741339488239</v>
      </c>
      <c r="H2302" s="48" t="n">
        <f aca="false">G2302*Assumptions!$G$59^(1/4)+H2297</f>
        <v>5.99164234762054</v>
      </c>
      <c r="I2302" s="48" t="n">
        <f aca="false">H2302*Assumptions!$G$59^(1/4)+I2297</f>
        <v>7.19738281680773</v>
      </c>
      <c r="J2302" s="48" t="n">
        <f aca="false">I2302*Assumptions!$G$59^(1/4)+J2297</f>
        <v>8.75655011860685</v>
      </c>
      <c r="K2302" s="48" t="n">
        <f aca="false">J2302*Assumptions!$G$59^(1/4)+K2297</f>
        <v>10.5734607662363</v>
      </c>
      <c r="L2302" s="48" t="n">
        <f aca="false">K2302*Assumptions!$G$59^(1/4)+L2297</f>
        <v>12.2514345631</v>
      </c>
      <c r="M2302" s="48" t="n">
        <f aca="false">L2302*Assumptions!$G$59^(1/4)+M2297</f>
        <v>13.8022830399508</v>
      </c>
      <c r="N2302" s="48" t="n">
        <f aca="false">M2302*Assumptions!$G$59^(1/4)+N2297</f>
        <v>15.236798915793</v>
      </c>
      <c r="P2302" s="49" t="n">
        <f aca="false">F2302</f>
        <v>3.41408400056213</v>
      </c>
      <c r="Q2302" s="49" t="n">
        <f aca="false">J2302</f>
        <v>8.75655011860685</v>
      </c>
      <c r="R2302" s="49" t="n">
        <f aca="false">N2302</f>
        <v>15.236798915793</v>
      </c>
      <c r="S2302" s="50" t="n">
        <f aca="false">R2302</f>
        <v>15.236798915793</v>
      </c>
    </row>
    <row r="2303" customFormat="false" ht="15" hidden="false" customHeight="false" outlineLevel="0" collapsed="false">
      <c r="A2303" s="4" t="s">
        <v>535</v>
      </c>
      <c r="B2303" s="36" t="s">
        <v>527</v>
      </c>
      <c r="C2303" s="48" t="n">
        <f aca="false">0*Assumptions!$G$60^(1/4)+C2298</f>
        <v>0</v>
      </c>
      <c r="D2303" s="48" t="n">
        <f aca="false">C2303*Assumptions!$G$60^(1/4)+D2298</f>
        <v>0.332944715766292</v>
      </c>
      <c r="E2303" s="48" t="n">
        <f aca="false">D2303*Assumptions!$G$60^(1/4)+E2298</f>
        <v>0.862867814234813</v>
      </c>
      <c r="F2303" s="48" t="n">
        <f aca="false">E2303*Assumptions!$G$60^(1/4)+F2298</f>
        <v>1.39824605613262</v>
      </c>
      <c r="G2303" s="48" t="n">
        <f aca="false">F2303*Assumptions!$G$60^(1/4)+G2298</f>
        <v>1.93047160338434</v>
      </c>
      <c r="H2303" s="48" t="n">
        <f aca="false">G2303*Assumptions!$G$60^(1/4)+H2298</f>
        <v>2.46032410292503</v>
      </c>
      <c r="I2303" s="48" t="n">
        <f aca="false">H2303*Assumptions!$G$60^(1/4)+I2298</f>
        <v>2.95939286598366</v>
      </c>
      <c r="J2303" s="48" t="n">
        <f aca="false">I2303*Assumptions!$G$60^(1/4)+J2298</f>
        <v>3.60607712867244</v>
      </c>
      <c r="K2303" s="48" t="n">
        <f aca="false">J2303*Assumptions!$G$60^(1/4)+K2298</f>
        <v>4.3610810522727</v>
      </c>
      <c r="L2303" s="48" t="n">
        <f aca="false">K2303*Assumptions!$G$60^(1/4)+L2298</f>
        <v>5.06082539967833</v>
      </c>
      <c r="M2303" s="48" t="n">
        <f aca="false">L2303*Assumptions!$G$60^(1/4)+M2298</f>
        <v>5.70993129434058</v>
      </c>
      <c r="N2303" s="48" t="n">
        <f aca="false">M2303*Assumptions!$G$60^(1/4)+N2298</f>
        <v>6.31262382047544</v>
      </c>
      <c r="P2303" s="49" t="n">
        <f aca="false">F2303</f>
        <v>1.39824605613262</v>
      </c>
      <c r="Q2303" s="49" t="n">
        <f aca="false">J2303</f>
        <v>3.60607712867244</v>
      </c>
      <c r="R2303" s="49" t="n">
        <f aca="false">N2303</f>
        <v>6.31262382047544</v>
      </c>
      <c r="S2303" s="50" t="n">
        <f aca="false">R2303</f>
        <v>6.31262382047544</v>
      </c>
    </row>
    <row r="2304" customFormat="false" ht="15" hidden="false" customHeight="false" outlineLevel="0" collapsed="false">
      <c r="A2304" s="4" t="s">
        <v>536</v>
      </c>
      <c r="B2304" s="36" t="s">
        <v>527</v>
      </c>
      <c r="C2304" s="48" t="n">
        <f aca="false">0*Assumptions!$G$61^(1/4)+C2299</f>
        <v>0</v>
      </c>
      <c r="D2304" s="48" t="n">
        <f aca="false">C2304*Assumptions!$G$61^(1/4)+D2299</f>
        <v>0</v>
      </c>
      <c r="E2304" s="48" t="n">
        <f aca="false">D2304*Assumptions!$G$61^(1/4)+E2299</f>
        <v>0.0387099356311419</v>
      </c>
      <c r="F2304" s="48" t="n">
        <f aca="false">E2304*Assumptions!$G$61^(1/4)+F2299</f>
        <v>0.10053649783312</v>
      </c>
      <c r="G2304" s="48" t="n">
        <f aca="false">F2304*Assumptions!$G$61^(1/4)+G2299</f>
        <v>0.163332530456188</v>
      </c>
      <c r="H2304" s="48" t="n">
        <f aca="false">G2304*Assumptions!$G$61^(1/4)+H2299</f>
        <v>0.22609021671607</v>
      </c>
      <c r="I2304" s="48" t="n">
        <f aca="false">H2304*Assumptions!$G$61^(1/4)+I2299</f>
        <v>0.288887844971624</v>
      </c>
      <c r="J2304" s="48" t="n">
        <f aca="false">I2304*Assumptions!$G$61^(1/4)+J2299</f>
        <v>0.348410770659739</v>
      </c>
      <c r="K2304" s="48" t="n">
        <f aca="false">J2304*Assumptions!$G$61^(1/4)+K2299</f>
        <v>0.421837472601164</v>
      </c>
      <c r="L2304" s="48" t="n">
        <f aca="false">K2304*Assumptions!$G$61^(1/4)+L2299</f>
        <v>0.505633081429199</v>
      </c>
      <c r="M2304" s="48" t="n">
        <f aca="false">L2304*Assumptions!$G$61^(1/4)+M2299</f>
        <v>0.583808130449058</v>
      </c>
      <c r="N2304" s="48" t="n">
        <f aca="false">M2304*Assumptions!$G$61^(1/4)+N2299</f>
        <v>0.656820869855169</v>
      </c>
      <c r="P2304" s="49" t="n">
        <f aca="false">F2304</f>
        <v>0.10053649783312</v>
      </c>
      <c r="Q2304" s="49" t="n">
        <f aca="false">J2304</f>
        <v>0.348410770659739</v>
      </c>
      <c r="R2304" s="49" t="n">
        <f aca="false">N2304</f>
        <v>0.656820869855169</v>
      </c>
      <c r="S2304" s="50" t="n">
        <f aca="false">R2304</f>
        <v>0.656820869855169</v>
      </c>
    </row>
    <row r="2305" customFormat="false" ht="15" hidden="false" customHeight="false" outlineLevel="0" collapsed="false">
      <c r="A2305" s="9" t="s">
        <v>537</v>
      </c>
      <c r="B2305" s="36" t="s">
        <v>527</v>
      </c>
      <c r="C2305" s="49" t="n">
        <f aca="false">C2302+C2303+C2304</f>
        <v>0</v>
      </c>
      <c r="D2305" s="49" t="n">
        <f aca="false">D2302+D2303+D2304</f>
        <v>1.14783041467729</v>
      </c>
      <c r="E2305" s="49" t="n">
        <f aca="false">E2302+E2303+E2304</f>
        <v>3.01116460173547</v>
      </c>
      <c r="F2305" s="49" t="n">
        <f aca="false">F2302+F2303+F2304</f>
        <v>4.91286655452787</v>
      </c>
      <c r="G2305" s="49" t="n">
        <f aca="false">G2302+G2303+G2304</f>
        <v>6.80121752872292</v>
      </c>
      <c r="H2305" s="49" t="n">
        <f aca="false">H2302+H2303+H2304</f>
        <v>8.67805666726163</v>
      </c>
      <c r="I2305" s="49" t="n">
        <f aca="false">I2302+I2303+I2304</f>
        <v>10.445663527763</v>
      </c>
      <c r="J2305" s="49" t="n">
        <f aca="false">J2302+J2303+J2304</f>
        <v>12.711038017939</v>
      </c>
      <c r="K2305" s="49" t="n">
        <f aca="false">K2302+K2303+K2304</f>
        <v>15.3563792911102</v>
      </c>
      <c r="L2305" s="49" t="n">
        <f aca="false">L2302+L2303+L2304</f>
        <v>17.8178930442075</v>
      </c>
      <c r="M2305" s="49" t="n">
        <f aca="false">M2302+M2303+M2304</f>
        <v>20.0960224647405</v>
      </c>
      <c r="N2305" s="49" t="n">
        <f aca="false">N2302+N2303+N2304</f>
        <v>22.2062436061236</v>
      </c>
      <c r="P2305" s="49" t="n">
        <f aca="false">F2305</f>
        <v>4.91286655452787</v>
      </c>
      <c r="Q2305" s="49" t="n">
        <f aca="false">J2305</f>
        <v>12.711038017939</v>
      </c>
      <c r="R2305" s="49" t="n">
        <f aca="false">N2305</f>
        <v>22.2062436061236</v>
      </c>
      <c r="S2305" s="50" t="n">
        <f aca="false">R2305</f>
        <v>22.2062436061236</v>
      </c>
    </row>
    <row r="2306" customFormat="false" ht="15" hidden="false" customHeight="false" outlineLevel="0" collapsed="false">
      <c r="A2306" s="4" t="s">
        <v>538</v>
      </c>
      <c r="B2306" s="36" t="s">
        <v>125</v>
      </c>
      <c r="C2306" s="54" t="n">
        <f aca="false">0*Assumptions!$G$62^(1/4)+C2297*$C$2246</f>
        <v>0</v>
      </c>
      <c r="D2306" s="54" t="n">
        <f aca="false">C2306*Assumptions!$G$62^(1/4)+D2297*$C$2246</f>
        <v>4361.26826057165</v>
      </c>
      <c r="E2306" s="54" t="n">
        <f aca="false">D2306*Assumptions!$G$62^(1/4)+E2297*$C$2246</f>
        <v>11374.1831293845</v>
      </c>
      <c r="F2306" s="54" t="n">
        <f aca="false">E2306*Assumptions!$G$62^(1/4)+F2297*$C$2246</f>
        <v>18570.7428260751</v>
      </c>
      <c r="G2306" s="54" t="n">
        <f aca="false">F2306*Assumptions!$G$62^(1/4)+G2297*$C$2246</f>
        <v>25837.0482827143</v>
      </c>
      <c r="H2306" s="54" t="n">
        <f aca="false">G2306*Assumptions!$G$62^(1/4)+H2297*$C$2246</f>
        <v>33180.3451675489</v>
      </c>
      <c r="I2306" s="54" t="n">
        <f aca="false">H2306*Assumptions!$G$62^(1/4)+I2297*$C$2246</f>
        <v>40225.7411426149</v>
      </c>
      <c r="J2306" s="54" t="n">
        <f aca="false">I2306*Assumptions!$G$62^(1/4)+J2297*$C$2246</f>
        <v>49274.2672941219</v>
      </c>
      <c r="K2306" s="54" t="n">
        <f aca="false">J2306*Assumptions!$G$62^(1/4)+K2297*$C$2246</f>
        <v>59847.8142070856</v>
      </c>
      <c r="L2306" s="54" t="n">
        <f aca="false">K2306*Assumptions!$G$62^(1/4)+L2297*$C$2246</f>
        <v>69846.8119070861</v>
      </c>
      <c r="M2306" s="54" t="n">
        <f aca="false">L2306*Assumptions!$G$62^(1/4)+M2297*$C$2246</f>
        <v>79316.7221071996</v>
      </c>
      <c r="N2306" s="54" t="n">
        <f aca="false">M2306*Assumptions!$G$62^(1/4)+N2297*$C$2246</f>
        <v>88299.1329249348</v>
      </c>
      <c r="P2306" s="55" t="n">
        <f aca="false">F2306</f>
        <v>18570.7428260751</v>
      </c>
      <c r="Q2306" s="55" t="n">
        <f aca="false">J2306</f>
        <v>49274.2672941219</v>
      </c>
      <c r="R2306" s="55" t="n">
        <f aca="false">N2306</f>
        <v>88299.1329249348</v>
      </c>
      <c r="S2306" s="56" t="n">
        <f aca="false">R2306</f>
        <v>88299.1329249348</v>
      </c>
    </row>
    <row r="2307" customFormat="false" ht="15" hidden="false" customHeight="false" outlineLevel="0" collapsed="false">
      <c r="A2307" s="4" t="s">
        <v>539</v>
      </c>
      <c r="B2307" s="36" t="s">
        <v>125</v>
      </c>
      <c r="C2307" s="54" t="n">
        <f aca="false">0*Assumptions!$G$63^(1/4)+C2298*$C$2247</f>
        <v>0</v>
      </c>
      <c r="D2307" s="54" t="n">
        <f aca="false">C2307*Assumptions!$G$63^(1/4)+D2298*$C$2247</f>
        <v>1781.92011878119</v>
      </c>
      <c r="E2307" s="54" t="n">
        <f aca="false">D2307*Assumptions!$G$63^(1/4)+E2298*$C$2247</f>
        <v>4675.02898866197</v>
      </c>
      <c r="F2307" s="54" t="n">
        <f aca="false">E2307*Assumptions!$G$63^(1/4)+F2298*$C$2247</f>
        <v>7687.70648797077</v>
      </c>
      <c r="G2307" s="54" t="n">
        <f aca="false">F2307*Assumptions!$G$63^(1/4)+G2298*$C$2247</f>
        <v>10774.3614450312</v>
      </c>
      <c r="H2307" s="54" t="n">
        <f aca="false">G2307*Assumptions!$G$63^(1/4)+H2298*$C$2247</f>
        <v>13938.1694641311</v>
      </c>
      <c r="I2307" s="54" t="n">
        <f aca="false">H2307*Assumptions!$G$63^(1/4)+I2298*$C$2247</f>
        <v>17026.2178786404</v>
      </c>
      <c r="J2307" s="54" t="n">
        <f aca="false">I2307*Assumptions!$G$63^(1/4)+J2298*$C$2247</f>
        <v>20987.5845425466</v>
      </c>
      <c r="K2307" s="54" t="n">
        <f aca="false">J2307*Assumptions!$G$63^(1/4)+K2298*$C$2247</f>
        <v>25636.7927437287</v>
      </c>
      <c r="L2307" s="54" t="n">
        <f aca="false">K2307*Assumptions!$G$63^(1/4)+L2298*$C$2247</f>
        <v>30116.3531431444</v>
      </c>
      <c r="M2307" s="54" t="n">
        <f aca="false">L2307*Assumptions!$G$63^(1/4)+M2298*$C$2247</f>
        <v>34440.9088492486</v>
      </c>
      <c r="N2307" s="54" t="n">
        <f aca="false">M2307*Assumptions!$G$63^(1/4)+N2298*$C$2247</f>
        <v>38623.8247825259</v>
      </c>
      <c r="P2307" s="55" t="n">
        <f aca="false">F2307</f>
        <v>7687.70648797077</v>
      </c>
      <c r="Q2307" s="55" t="n">
        <f aca="false">J2307</f>
        <v>20987.5845425466</v>
      </c>
      <c r="R2307" s="55" t="n">
        <f aca="false">N2307</f>
        <v>38623.8247825259</v>
      </c>
      <c r="S2307" s="56" t="n">
        <f aca="false">R2307</f>
        <v>38623.8247825259</v>
      </c>
    </row>
    <row r="2308" customFormat="false" ht="15" hidden="false" customHeight="false" outlineLevel="0" collapsed="false">
      <c r="A2308" s="4" t="s">
        <v>540</v>
      </c>
      <c r="B2308" s="36" t="s">
        <v>125</v>
      </c>
      <c r="C2308" s="54" t="n">
        <f aca="false">0*Assumptions!$G$64^(1/4)+C2299*$C$2248</f>
        <v>0</v>
      </c>
      <c r="D2308" s="54" t="n">
        <f aca="false">C2308*Assumptions!$G$64^(1/4)+D2299*$C$2248</f>
        <v>0</v>
      </c>
      <c r="E2308" s="54" t="n">
        <f aca="false">D2308*Assumptions!$G$64^(1/4)+E2299*$C$2248</f>
        <v>1715.2372478159</v>
      </c>
      <c r="F2308" s="54" t="n">
        <f aca="false">E2308*Assumptions!$G$64^(1/4)+F2299*$C$2248</f>
        <v>4529.77149304428</v>
      </c>
      <c r="G2308" s="54" t="n">
        <f aca="false">F2308*Assumptions!$G$64^(1/4)+G2299*$C$2248</f>
        <v>7507.97038707162</v>
      </c>
      <c r="H2308" s="54" t="n">
        <f aca="false">G2308*Assumptions!$G$64^(1/4)+H2299*$C$2248</f>
        <v>10608.5372361046</v>
      </c>
      <c r="I2308" s="54" t="n">
        <f aca="false">H2308*Assumptions!$G$64^(1/4)+I2299*$C$2248</f>
        <v>13836.38928278</v>
      </c>
      <c r="J2308" s="54" t="n">
        <f aca="false">I2308*Assumptions!$G$64^(1/4)+J2299*$C$2248</f>
        <v>17046.2723668759</v>
      </c>
      <c r="K2308" s="54" t="n">
        <f aca="false">J2308*Assumptions!$G$64^(1/4)+K2299*$C$2248</f>
        <v>20994.5804597564</v>
      </c>
      <c r="L2308" s="54" t="n">
        <f aca="false">K2308*Assumptions!$G$64^(1/4)+L2299*$C$2248</f>
        <v>25553.1231175593</v>
      </c>
      <c r="M2308" s="54" t="n">
        <f aca="false">L2308*Assumptions!$G$64^(1/4)+M2299*$C$2248</f>
        <v>30035.347009049</v>
      </c>
      <c r="N2308" s="54" t="n">
        <f aca="false">M2308*Assumptions!$G$64^(1/4)+N2299*$C$2248</f>
        <v>34452.787305195</v>
      </c>
      <c r="P2308" s="55" t="n">
        <f aca="false">F2308</f>
        <v>4529.77149304428</v>
      </c>
      <c r="Q2308" s="55" t="n">
        <f aca="false">J2308</f>
        <v>17046.2723668759</v>
      </c>
      <c r="R2308" s="55" t="n">
        <f aca="false">N2308</f>
        <v>34452.787305195</v>
      </c>
      <c r="S2308" s="56" t="n">
        <f aca="false">R2308</f>
        <v>34452.787305195</v>
      </c>
    </row>
    <row r="2309" customFormat="false" ht="15" hidden="false" customHeight="false" outlineLevel="0" collapsed="false">
      <c r="A2309" s="9" t="s">
        <v>541</v>
      </c>
      <c r="B2309" s="36" t="s">
        <v>125</v>
      </c>
      <c r="C2309" s="55" t="n">
        <f aca="false">C2306+C2307+C2308</f>
        <v>0</v>
      </c>
      <c r="D2309" s="55" t="n">
        <f aca="false">D2306+D2307+D2308</f>
        <v>6143.18837935284</v>
      </c>
      <c r="E2309" s="55" t="n">
        <f aca="false">E2306+E2307+E2308</f>
        <v>17764.4493658624</v>
      </c>
      <c r="F2309" s="55" t="n">
        <f aca="false">F2306+F2307+F2308</f>
        <v>30788.2208070901</v>
      </c>
      <c r="G2309" s="55" t="n">
        <f aca="false">G2306+G2307+G2308</f>
        <v>44119.380114817</v>
      </c>
      <c r="H2309" s="55" t="n">
        <f aca="false">H2306+H2307+H2308</f>
        <v>57727.0518677846</v>
      </c>
      <c r="I2309" s="55" t="n">
        <f aca="false">I2306+I2307+I2308</f>
        <v>71088.3483040353</v>
      </c>
      <c r="J2309" s="55" t="n">
        <f aca="false">J2306+J2307+J2308</f>
        <v>87308.1242035443</v>
      </c>
      <c r="K2309" s="55" t="n">
        <f aca="false">K2306+K2307+K2308</f>
        <v>106479.187410571</v>
      </c>
      <c r="L2309" s="55" t="n">
        <f aca="false">L2306+L2307+L2308</f>
        <v>125516.28816779</v>
      </c>
      <c r="M2309" s="55" t="n">
        <f aca="false">M2306+M2307+M2308</f>
        <v>143792.977965497</v>
      </c>
      <c r="N2309" s="55" t="n">
        <f aca="false">N2306+N2307+N2308</f>
        <v>161375.745012656</v>
      </c>
      <c r="P2309" s="55" t="n">
        <f aca="false">F2309</f>
        <v>30788.2208070901</v>
      </c>
      <c r="Q2309" s="55" t="n">
        <f aca="false">J2309</f>
        <v>87308.1242035443</v>
      </c>
      <c r="R2309" s="55" t="n">
        <f aca="false">N2309</f>
        <v>161375.745012656</v>
      </c>
      <c r="S2309" s="56" t="n">
        <f aca="false">R2309</f>
        <v>161375.745012656</v>
      </c>
    </row>
    <row r="2310" customFormat="false" ht="15" hidden="false" customHeight="false" outlineLevel="0" collapsed="false">
      <c r="A2310" s="4" t="s">
        <v>542</v>
      </c>
      <c r="B2310" s="36" t="s">
        <v>125</v>
      </c>
      <c r="C2310" s="54" t="n">
        <f aca="false">C2297*$C$2246+C2298*$C$2247+C2299*$C$2248</f>
        <v>0</v>
      </c>
      <c r="D2310" s="54" t="n">
        <f aca="false">D2297*$C$2246+D2298*$C$2247+D2299*$C$2248</f>
        <v>6143.18837935284</v>
      </c>
      <c r="E2310" s="54" t="n">
        <f aca="false">E2297*$C$2246+E2298*$C$2247+E2299*$C$2248</f>
        <v>11720.209587915</v>
      </c>
      <c r="F2310" s="54" t="n">
        <f aca="false">F2297*$C$2246+F2298*$C$2247+F2299*$C$2248</f>
        <v>13260.919468091</v>
      </c>
      <c r="G2310" s="54" t="n">
        <f aca="false">G2297*$C$2246+G2298*$C$2247+G2299*$C$2248</f>
        <v>13697.4068360424</v>
      </c>
      <c r="H2310" s="54" t="n">
        <f aca="false">H2297*$C$2246+H2298*$C$2247+H2299*$C$2248</f>
        <v>14102.8217758841</v>
      </c>
      <c r="I2310" s="54" t="n">
        <f aca="false">I2297*$C$2246+I2298*$C$2247+I2299*$C$2248</f>
        <v>13985.8242236574</v>
      </c>
      <c r="J2310" s="54" t="n">
        <f aca="false">J2297*$C$2246+J2298*$C$2247+J2299*$C$2248</f>
        <v>16965.5921168792</v>
      </c>
      <c r="K2310" s="54" t="n">
        <f aca="false">K2297*$C$2246+K2298*$C$2247+K2299*$C$2248</f>
        <v>20084.1119535106</v>
      </c>
      <c r="L2310" s="54" t="n">
        <f aca="false">L2297*$C$2246+L2298*$C$2247+L2299*$C$2248</f>
        <v>20143.2458421417</v>
      </c>
      <c r="M2310" s="54" t="n">
        <f aca="false">M2297*$C$2246+M2298*$C$2247+M2299*$C$2248</f>
        <v>19555.7348607139</v>
      </c>
      <c r="N2310" s="54" t="n">
        <f aca="false">N2297*$C$2246+N2298*$C$2247+N2299*$C$2248</f>
        <v>19023.9529011924</v>
      </c>
      <c r="P2310" s="55" t="n">
        <f aca="false">SUM(C2310:F2310)</f>
        <v>31124.3174353588</v>
      </c>
      <c r="Q2310" s="55" t="n">
        <f aca="false">SUM(G2310:J2310)</f>
        <v>58751.6449524631</v>
      </c>
      <c r="R2310" s="55" t="n">
        <f aca="false">SUM(K2310:N2310)</f>
        <v>78807.0455575586</v>
      </c>
      <c r="S2310" s="56" t="n">
        <f aca="false">SUM(P2310:R2310)</f>
        <v>168683.007945381</v>
      </c>
    </row>
    <row r="2311" customFormat="false" ht="15" hidden="false" customHeight="false" outlineLevel="0" collapsed="false">
      <c r="A2311" s="9" t="s">
        <v>543</v>
      </c>
      <c r="B2311" s="36" t="s">
        <v>125</v>
      </c>
      <c r="C2311" s="55" t="n">
        <f aca="false">(0+C2309)/8</f>
        <v>0</v>
      </c>
      <c r="D2311" s="55" t="n">
        <f aca="false">(C2309+D2309)/8</f>
        <v>767.898547419105</v>
      </c>
      <c r="E2311" s="55" t="n">
        <f aca="false">(D2309+E2309)/8</f>
        <v>2988.4547181519</v>
      </c>
      <c r="F2311" s="55" t="n">
        <f aca="false">(E2309+F2309)/8</f>
        <v>6069.08377161906</v>
      </c>
      <c r="G2311" s="55" t="n">
        <f aca="false">(F2309+G2309)/8</f>
        <v>9363.4501152384</v>
      </c>
      <c r="H2311" s="55" t="n">
        <f aca="false">(G2309+H2309)/8</f>
        <v>12730.8039978252</v>
      </c>
      <c r="I2311" s="55" t="n">
        <f aca="false">(H2309+I2309)/8</f>
        <v>16101.9250214775</v>
      </c>
      <c r="J2311" s="55" t="n">
        <f aca="false">(I2309+J2309)/8</f>
        <v>19799.5590634475</v>
      </c>
      <c r="K2311" s="55" t="n">
        <f aca="false">(J2309+K2309)/8</f>
        <v>24223.4139517644</v>
      </c>
      <c r="L2311" s="55" t="n">
        <f aca="false">(K2309+L2309)/8</f>
        <v>28999.4344472951</v>
      </c>
      <c r="M2311" s="55" t="n">
        <f aca="false">(L2309+M2309)/8</f>
        <v>33663.6582666609</v>
      </c>
      <c r="N2311" s="55" t="n">
        <f aca="false">(M2309+N2309)/8</f>
        <v>38146.0903722691</v>
      </c>
      <c r="P2311" s="55" t="n">
        <f aca="false">SUM(C2311:F2311)</f>
        <v>9825.43703719007</v>
      </c>
      <c r="Q2311" s="55" t="n">
        <f aca="false">SUM(G2311:J2311)</f>
        <v>57995.7381979886</v>
      </c>
      <c r="R2311" s="55" t="n">
        <f aca="false">SUM(K2311:N2311)</f>
        <v>125032.597037989</v>
      </c>
      <c r="S2311" s="56" t="n">
        <f aca="false">SUM(P2311:R2311)</f>
        <v>192853.772273168</v>
      </c>
    </row>
    <row r="2312" customFormat="false" ht="15" hidden="false" customHeight="false" outlineLevel="0" collapsed="false">
      <c r="A2312" s="4" t="s">
        <v>544</v>
      </c>
      <c r="B2312" s="36" t="s">
        <v>125</v>
      </c>
      <c r="C2312" s="54" t="n">
        <f aca="false">C2311*Assumptions!$G$76</f>
        <v>0</v>
      </c>
      <c r="D2312" s="54" t="n">
        <f aca="false">D2311*Assumptions!$G$76</f>
        <v>422.344201080508</v>
      </c>
      <c r="E2312" s="54" t="n">
        <f aca="false">E2311*Assumptions!$G$76</f>
        <v>1643.65009498355</v>
      </c>
      <c r="F2312" s="54" t="n">
        <f aca="false">F2311*Assumptions!$G$76</f>
        <v>3337.99607439049</v>
      </c>
      <c r="G2312" s="54" t="n">
        <f aca="false">G2311*Assumptions!$G$76</f>
        <v>5149.89756338112</v>
      </c>
      <c r="H2312" s="54" t="n">
        <f aca="false">H2311*Assumptions!$G$76</f>
        <v>7001.94219880387</v>
      </c>
      <c r="I2312" s="54" t="n">
        <f aca="false">I2311*Assumptions!$G$76</f>
        <v>8856.05876181262</v>
      </c>
      <c r="J2312" s="54" t="n">
        <f aca="false">J2311*Assumptions!$G$76</f>
        <v>10889.7574848961</v>
      </c>
      <c r="K2312" s="54" t="n">
        <f aca="false">K2311*Assumptions!$G$76</f>
        <v>13322.8776734704</v>
      </c>
      <c r="L2312" s="54" t="n">
        <f aca="false">L2311*Assumptions!$G$76</f>
        <v>15949.6889460123</v>
      </c>
      <c r="M2312" s="54" t="n">
        <f aca="false">M2311*Assumptions!$G$76</f>
        <v>18515.0120466635</v>
      </c>
      <c r="N2312" s="54" t="n">
        <f aca="false">N2311*Assumptions!$G$76</f>
        <v>20980.349704748</v>
      </c>
      <c r="P2312" s="55" t="n">
        <f aca="false">SUM(C2312:F2312)</f>
        <v>5403.99037045454</v>
      </c>
      <c r="Q2312" s="55" t="n">
        <f aca="false">SUM(G2312:J2312)</f>
        <v>31897.6560088937</v>
      </c>
      <c r="R2312" s="55" t="n">
        <f aca="false">SUM(K2312:N2312)</f>
        <v>68767.9283708942</v>
      </c>
      <c r="S2312" s="56" t="n">
        <f aca="false">SUM(P2312:R2312)</f>
        <v>106069.574750242</v>
      </c>
    </row>
    <row r="2313" customFormat="false" ht="15" hidden="false" customHeight="false" outlineLevel="0" collapsed="false">
      <c r="A2313" s="35" t="s">
        <v>547</v>
      </c>
      <c r="B2313" s="35" t="s">
        <v>444</v>
      </c>
      <c r="C2313" s="6" t="s">
        <v>354</v>
      </c>
      <c r="D2313" s="6" t="s">
        <v>355</v>
      </c>
      <c r="E2313" s="6" t="s">
        <v>356</v>
      </c>
      <c r="F2313" s="6" t="s">
        <v>357</v>
      </c>
      <c r="G2313" s="6" t="s">
        <v>358</v>
      </c>
      <c r="H2313" s="6" t="s">
        <v>359</v>
      </c>
      <c r="I2313" s="6" t="s">
        <v>360</v>
      </c>
      <c r="J2313" s="6" t="s">
        <v>361</v>
      </c>
      <c r="K2313" s="6" t="s">
        <v>362</v>
      </c>
      <c r="L2313" s="6" t="s">
        <v>363</v>
      </c>
      <c r="M2313" s="6" t="s">
        <v>364</v>
      </c>
      <c r="N2313" s="6" t="s">
        <v>365</v>
      </c>
      <c r="P2313" s="6" t="s">
        <v>445</v>
      </c>
      <c r="Q2313" s="6" t="s">
        <v>446</v>
      </c>
      <c r="R2313" s="6" t="s">
        <v>447</v>
      </c>
      <c r="S2313" s="6" t="s">
        <v>448</v>
      </c>
    </row>
    <row r="2314" customFormat="false" ht="15" hidden="false" customHeight="false" outlineLevel="0" collapsed="false">
      <c r="A2314" s="4" t="s">
        <v>548</v>
      </c>
      <c r="B2314" s="36" t="s">
        <v>321</v>
      </c>
      <c r="C2314" s="48" t="n">
        <f aca="false">Assumptions!$E$97*C2256</f>
        <v>1</v>
      </c>
      <c r="D2314" s="48" t="n">
        <f aca="false">Assumptions!$E$97*D2256</f>
        <v>1</v>
      </c>
      <c r="E2314" s="48" t="n">
        <f aca="false">Assumptions!$E$97*E2256</f>
        <v>1</v>
      </c>
      <c r="F2314" s="48" t="n">
        <f aca="false">Assumptions!$E$97*F2256</f>
        <v>1</v>
      </c>
      <c r="G2314" s="48" t="n">
        <f aca="false">Assumptions!$E$97*G2256</f>
        <v>1</v>
      </c>
      <c r="H2314" s="48" t="n">
        <f aca="false">Assumptions!$E$97*H2256</f>
        <v>1</v>
      </c>
      <c r="I2314" s="48" t="n">
        <f aca="false">Assumptions!$E$97*I2256</f>
        <v>1</v>
      </c>
      <c r="J2314" s="48" t="n">
        <f aca="false">Assumptions!$E$97*J2256</f>
        <v>1</v>
      </c>
      <c r="K2314" s="48" t="n">
        <f aca="false">Assumptions!$E$97*K2256</f>
        <v>1</v>
      </c>
      <c r="L2314" s="48" t="n">
        <f aca="false">Assumptions!$E$97*L2256</f>
        <v>1</v>
      </c>
      <c r="M2314" s="48" t="n">
        <f aca="false">Assumptions!$E$97*M2256</f>
        <v>1</v>
      </c>
      <c r="N2314" s="48" t="n">
        <f aca="false">Assumptions!$E$97*N2256</f>
        <v>1</v>
      </c>
      <c r="P2314" s="49" t="n">
        <f aca="false">AVERAGE(C2314:F2314)</f>
        <v>1</v>
      </c>
      <c r="Q2314" s="49" t="n">
        <f aca="false">AVERAGE(G2314:J2314)</f>
        <v>1</v>
      </c>
      <c r="R2314" s="49" t="n">
        <f aca="false">AVERAGE(K2314:N2314)</f>
        <v>1</v>
      </c>
      <c r="S2314" s="50"/>
    </row>
    <row r="2315" customFormat="false" ht="15" hidden="false" customHeight="false" outlineLevel="0" collapsed="false">
      <c r="A2315" s="4" t="s">
        <v>549</v>
      </c>
      <c r="B2315" s="36" t="s">
        <v>321</v>
      </c>
      <c r="C2315" s="48" t="n">
        <f aca="false">C2269*C2256</f>
        <v>2</v>
      </c>
      <c r="D2315" s="48" t="n">
        <f aca="false">D2269*D2256</f>
        <v>2</v>
      </c>
      <c r="E2315" s="48" t="n">
        <f aca="false">E2269*E2256</f>
        <v>3</v>
      </c>
      <c r="F2315" s="48" t="n">
        <f aca="false">F2269*F2256</f>
        <v>3</v>
      </c>
      <c r="G2315" s="48" t="n">
        <f aca="false">G2269*G2256</f>
        <v>4</v>
      </c>
      <c r="H2315" s="48" t="n">
        <f aca="false">H2269*H2256</f>
        <v>4</v>
      </c>
      <c r="I2315" s="48" t="n">
        <f aca="false">I2269*I2256</f>
        <v>5</v>
      </c>
      <c r="J2315" s="48" t="n">
        <f aca="false">J2269*J2256</f>
        <v>5</v>
      </c>
      <c r="K2315" s="48" t="n">
        <f aca="false">K2269*K2256</f>
        <v>6</v>
      </c>
      <c r="L2315" s="48" t="n">
        <f aca="false">L2269*L2256</f>
        <v>6</v>
      </c>
      <c r="M2315" s="48" t="n">
        <f aca="false">M2269*M2256</f>
        <v>6</v>
      </c>
      <c r="N2315" s="48" t="n">
        <f aca="false">N2269*N2256</f>
        <v>6</v>
      </c>
      <c r="P2315" s="49" t="n">
        <f aca="false">AVERAGE(C2315:F2315)</f>
        <v>2.5</v>
      </c>
      <c r="Q2315" s="49" t="n">
        <f aca="false">AVERAGE(G2315:J2315)</f>
        <v>4.5</v>
      </c>
      <c r="R2315" s="49" t="n">
        <f aca="false">AVERAGE(K2315:N2315)</f>
        <v>6</v>
      </c>
      <c r="S2315" s="50"/>
    </row>
    <row r="2316" customFormat="false" ht="15" hidden="false" customHeight="false" outlineLevel="0" collapsed="false">
      <c r="A2316" s="4" t="s">
        <v>550</v>
      </c>
      <c r="B2316" s="36" t="s">
        <v>321</v>
      </c>
      <c r="C2316" s="48" t="n">
        <f aca="false">IF(C2255&lt;=4,Assumptions!$E$98,Assumptions!$E$99)*C2256</f>
        <v>1</v>
      </c>
      <c r="D2316" s="48" t="n">
        <f aca="false">IF(D2255&lt;=4,Assumptions!$E$98,Assumptions!$E$99)*D2256</f>
        <v>1</v>
      </c>
      <c r="E2316" s="48" t="n">
        <f aca="false">IF(E2255&lt;=4,Assumptions!$E$98,Assumptions!$E$99)*E2256</f>
        <v>1</v>
      </c>
      <c r="F2316" s="48" t="n">
        <f aca="false">IF(F2255&lt;=4,Assumptions!$E$98,Assumptions!$E$99)*F2256</f>
        <v>1</v>
      </c>
      <c r="G2316" s="48" t="n">
        <f aca="false">IF(G2255&lt;=4,Assumptions!$E$98,Assumptions!$E$99)*G2256</f>
        <v>1</v>
      </c>
      <c r="H2316" s="48" t="n">
        <f aca="false">IF(H2255&lt;=4,Assumptions!$E$98,Assumptions!$E$99)*H2256</f>
        <v>1</v>
      </c>
      <c r="I2316" s="48" t="n">
        <f aca="false">IF(I2255&lt;=4,Assumptions!$E$98,Assumptions!$E$99)*I2256</f>
        <v>1</v>
      </c>
      <c r="J2316" s="48" t="n">
        <f aca="false">IF(J2255&lt;=4,Assumptions!$E$98,Assumptions!$E$99)*J2256</f>
        <v>1</v>
      </c>
      <c r="K2316" s="48" t="n">
        <f aca="false">IF(K2255&lt;=4,Assumptions!$E$98,Assumptions!$E$99)*K2256</f>
        <v>1</v>
      </c>
      <c r="L2316" s="48" t="n">
        <f aca="false">IF(L2255&lt;=4,Assumptions!$E$98,Assumptions!$E$99)*L2256</f>
        <v>1</v>
      </c>
      <c r="M2316" s="48" t="n">
        <f aca="false">IF(M2255&lt;=4,Assumptions!$E$98,Assumptions!$E$99)*M2256</f>
        <v>1</v>
      </c>
      <c r="N2316" s="48" t="n">
        <f aca="false">IF(N2255&lt;=4,Assumptions!$E$98,Assumptions!$E$99)*N2256</f>
        <v>1</v>
      </c>
      <c r="P2316" s="49" t="n">
        <f aca="false">AVERAGE(C2316:F2316)</f>
        <v>1</v>
      </c>
      <c r="Q2316" s="49" t="n">
        <f aca="false">AVERAGE(G2316:J2316)</f>
        <v>1</v>
      </c>
      <c r="R2316" s="49" t="n">
        <f aca="false">AVERAGE(K2316:N2316)</f>
        <v>1</v>
      </c>
      <c r="S2316" s="50"/>
    </row>
    <row r="2317" customFormat="false" ht="15" hidden="false" customHeight="false" outlineLevel="0" collapsed="false">
      <c r="A2317" s="4" t="s">
        <v>551</v>
      </c>
      <c r="B2317" s="36" t="s">
        <v>321</v>
      </c>
      <c r="C2317" s="48" t="n">
        <f aca="false">IF(C2255&lt;=4,Assumptions!$E$100,Assumptions!$E$101)*C2256</f>
        <v>1</v>
      </c>
      <c r="D2317" s="48" t="n">
        <f aca="false">IF(D2255&lt;=4,Assumptions!$E$100,Assumptions!$E$101)*D2256</f>
        <v>1</v>
      </c>
      <c r="E2317" s="48" t="n">
        <f aca="false">IF(E2255&lt;=4,Assumptions!$E$100,Assumptions!$E$101)*E2256</f>
        <v>1</v>
      </c>
      <c r="F2317" s="48" t="n">
        <f aca="false">IF(F2255&lt;=4,Assumptions!$E$100,Assumptions!$E$101)*F2256</f>
        <v>1</v>
      </c>
      <c r="G2317" s="48" t="n">
        <f aca="false">IF(G2255&lt;=4,Assumptions!$E$100,Assumptions!$E$101)*G2256</f>
        <v>0.5</v>
      </c>
      <c r="H2317" s="48" t="n">
        <f aca="false">IF(H2255&lt;=4,Assumptions!$E$100,Assumptions!$E$101)*H2256</f>
        <v>0.5</v>
      </c>
      <c r="I2317" s="48" t="n">
        <f aca="false">IF(I2255&lt;=4,Assumptions!$E$100,Assumptions!$E$101)*I2256</f>
        <v>0.5</v>
      </c>
      <c r="J2317" s="48" t="n">
        <f aca="false">IF(J2255&lt;=4,Assumptions!$E$100,Assumptions!$E$101)*J2256</f>
        <v>0.5</v>
      </c>
      <c r="K2317" s="48" t="n">
        <f aca="false">IF(K2255&lt;=4,Assumptions!$E$100,Assumptions!$E$101)*K2256</f>
        <v>0.5</v>
      </c>
      <c r="L2317" s="48" t="n">
        <f aca="false">IF(L2255&lt;=4,Assumptions!$E$100,Assumptions!$E$101)*L2256</f>
        <v>0.5</v>
      </c>
      <c r="M2317" s="48" t="n">
        <f aca="false">IF(M2255&lt;=4,Assumptions!$E$100,Assumptions!$E$101)*M2256</f>
        <v>0.5</v>
      </c>
      <c r="N2317" s="48" t="n">
        <f aca="false">IF(N2255&lt;=4,Assumptions!$E$100,Assumptions!$E$101)*N2256</f>
        <v>0.5</v>
      </c>
      <c r="P2317" s="49" t="n">
        <f aca="false">AVERAGE(C2317:F2317)</f>
        <v>1</v>
      </c>
      <c r="Q2317" s="49" t="n">
        <f aca="false">AVERAGE(G2317:J2317)</f>
        <v>0.5</v>
      </c>
      <c r="R2317" s="49" t="n">
        <f aca="false">AVERAGE(K2317:N2317)</f>
        <v>0.5</v>
      </c>
      <c r="S2317" s="50"/>
    </row>
    <row r="2318" customFormat="false" ht="15" hidden="false" customHeight="false" outlineLevel="0" collapsed="false">
      <c r="A2318" s="4" t="s">
        <v>552</v>
      </c>
      <c r="B2318" s="36" t="s">
        <v>321</v>
      </c>
      <c r="C2318" s="48" t="n">
        <f aca="false">Assumptions!$E$102*C2256</f>
        <v>0.5</v>
      </c>
      <c r="D2318" s="48" t="n">
        <f aca="false">Assumptions!$E$102*D2256</f>
        <v>0.5</v>
      </c>
      <c r="E2318" s="48" t="n">
        <f aca="false">Assumptions!$E$102*E2256</f>
        <v>0.5</v>
      </c>
      <c r="F2318" s="48" t="n">
        <f aca="false">Assumptions!$E$102*F2256</f>
        <v>0.5</v>
      </c>
      <c r="G2318" s="48" t="n">
        <f aca="false">Assumptions!$E$102*G2256</f>
        <v>0.5</v>
      </c>
      <c r="H2318" s="48" t="n">
        <f aca="false">Assumptions!$E$102*H2256</f>
        <v>0.5</v>
      </c>
      <c r="I2318" s="48" t="n">
        <f aca="false">Assumptions!$E$102*I2256</f>
        <v>0.5</v>
      </c>
      <c r="J2318" s="48" t="n">
        <f aca="false">Assumptions!$E$102*J2256</f>
        <v>0.5</v>
      </c>
      <c r="K2318" s="48" t="n">
        <f aca="false">Assumptions!$E$102*K2256</f>
        <v>0.5</v>
      </c>
      <c r="L2318" s="48" t="n">
        <f aca="false">Assumptions!$E$102*L2256</f>
        <v>0.5</v>
      </c>
      <c r="M2318" s="48" t="n">
        <f aca="false">Assumptions!$E$102*M2256</f>
        <v>0.5</v>
      </c>
      <c r="N2318" s="48" t="n">
        <f aca="false">Assumptions!$E$102*N2256</f>
        <v>0.5</v>
      </c>
      <c r="P2318" s="49" t="n">
        <f aca="false">AVERAGE(C2318:F2318)</f>
        <v>0.5</v>
      </c>
      <c r="Q2318" s="49" t="n">
        <f aca="false">AVERAGE(G2318:J2318)</f>
        <v>0.5</v>
      </c>
      <c r="R2318" s="49" t="n">
        <f aca="false">AVERAGE(K2318:N2318)</f>
        <v>0.5</v>
      </c>
      <c r="S2318" s="50"/>
    </row>
    <row r="2319" customFormat="false" ht="15" hidden="false" customHeight="false" outlineLevel="0" collapsed="false">
      <c r="A2319" s="4" t="s">
        <v>553</v>
      </c>
      <c r="B2319" s="36" t="s">
        <v>321</v>
      </c>
      <c r="C2319" s="48" t="n">
        <f aca="false">(C2303+C2304)/Assumptions!$G$74+C2302/Assumptions!$G$75</f>
        <v>0</v>
      </c>
      <c r="D2319" s="48" t="n">
        <f aca="false">(D2303+D2304)/Assumptions!$G$74+D2302/Assumptions!$G$75</f>
        <v>0.0115831606898013</v>
      </c>
      <c r="E2319" s="48" t="n">
        <f aca="false">(E2303+E2304)/Assumptions!$G$74+E2302/Assumptions!$G$75</f>
        <v>0.0309777911541269</v>
      </c>
      <c r="F2319" s="48" t="n">
        <f aca="false">(F2303+F2304)/Assumptions!$G$74+F2302/Assumptions!$G$75</f>
        <v>0.0511258998513919</v>
      </c>
      <c r="G2319" s="48" t="n">
        <f aca="false">(G2303+G2304)/Assumptions!$G$74+G2302/Assumptions!$G$75</f>
        <v>0.0711747569255427</v>
      </c>
      <c r="H2319" s="48" t="n">
        <f aca="false">(H2303+H2304)/Assumptions!$G$74+H2302/Assumptions!$G$75</f>
        <v>0.0911269273815096</v>
      </c>
      <c r="I2319" s="48" t="n">
        <f aca="false">(I2303+I2304)/Assumptions!$G$74+I2302/Assumptions!$G$75</f>
        <v>0.109996549041113</v>
      </c>
      <c r="J2319" s="48" t="n">
        <f aca="false">(J2303+J2304)/Assumptions!$G$74+J2302/Assumptions!$G$75</f>
        <v>0.133888397957732</v>
      </c>
      <c r="K2319" s="48" t="n">
        <f aca="false">(K2303+K2304)/Assumptions!$G$74+K2302/Assumptions!$G$75</f>
        <v>0.161866806186792</v>
      </c>
      <c r="L2319" s="48" t="n">
        <f aca="false">(L2303+L2304)/Assumptions!$G$74+L2302/Assumptions!$G$75</f>
        <v>0.188167200280088</v>
      </c>
      <c r="M2319" s="48" t="n">
        <f aca="false">(M2303+M2304)/Assumptions!$G$74+M2302/Assumptions!$G$75</f>
        <v>0.212552617779544</v>
      </c>
      <c r="N2319" s="48" t="n">
        <f aca="false">(N2303+N2304)/Assumptions!$G$74+N2302/Assumptions!$G$75</f>
        <v>0.235183312921437</v>
      </c>
      <c r="P2319" s="49" t="n">
        <f aca="false">AVERAGE(C2319:F2319)</f>
        <v>0.02342171292383</v>
      </c>
      <c r="Q2319" s="49" t="n">
        <f aca="false">AVERAGE(G2319:J2319)</f>
        <v>0.101546657826474</v>
      </c>
      <c r="R2319" s="49" t="n">
        <f aca="false">AVERAGE(K2319:N2319)</f>
        <v>0.199442484291965</v>
      </c>
      <c r="S2319" s="50"/>
    </row>
    <row r="2320" customFormat="false" ht="15" hidden="false" customHeight="false" outlineLevel="0" collapsed="false">
      <c r="A2320" s="4" t="s">
        <v>554</v>
      </c>
      <c r="B2320" s="36" t="s">
        <v>125</v>
      </c>
      <c r="C2320" s="54" t="n">
        <f aca="false">(C2314+C2316)*Assumptions!$G$70/Assumptions!$G$69/4</f>
        <v>133507.142857143</v>
      </c>
      <c r="D2320" s="54" t="n">
        <f aca="false">(D2314+D2316)*Assumptions!$G$70/Assumptions!$G$69/4</f>
        <v>133507.142857143</v>
      </c>
      <c r="E2320" s="54" t="n">
        <f aca="false">(E2314+E2316)*Assumptions!$G$70/Assumptions!$G$69/4</f>
        <v>133507.142857143</v>
      </c>
      <c r="F2320" s="54" t="n">
        <f aca="false">(F2314+F2316)*Assumptions!$G$70/Assumptions!$G$69/4</f>
        <v>133507.142857143</v>
      </c>
      <c r="G2320" s="54" t="n">
        <f aca="false">(G2314+G2316)*Assumptions!$G$70/Assumptions!$G$69/4</f>
        <v>133507.142857143</v>
      </c>
      <c r="H2320" s="54" t="n">
        <f aca="false">(H2314+H2316)*Assumptions!$G$70/Assumptions!$G$69/4</f>
        <v>133507.142857143</v>
      </c>
      <c r="I2320" s="54" t="n">
        <f aca="false">(I2314+I2316)*Assumptions!$G$70/Assumptions!$G$69/4</f>
        <v>133507.142857143</v>
      </c>
      <c r="J2320" s="54" t="n">
        <f aca="false">(J2314+J2316)*Assumptions!$G$70/Assumptions!$G$69/4</f>
        <v>133507.142857143</v>
      </c>
      <c r="K2320" s="54" t="n">
        <f aca="false">(K2314+K2316)*Assumptions!$G$70/Assumptions!$G$69/4</f>
        <v>133507.142857143</v>
      </c>
      <c r="L2320" s="54" t="n">
        <f aca="false">(L2314+L2316)*Assumptions!$G$70/Assumptions!$G$69/4</f>
        <v>133507.142857143</v>
      </c>
      <c r="M2320" s="54" t="n">
        <f aca="false">(M2314+M2316)*Assumptions!$G$70/Assumptions!$G$69/4</f>
        <v>133507.142857143</v>
      </c>
      <c r="N2320" s="54" t="n">
        <f aca="false">(N2314+N2316)*Assumptions!$G$70/Assumptions!$G$69/4</f>
        <v>133507.142857143</v>
      </c>
      <c r="P2320" s="55" t="n">
        <f aca="false">SUM(C2320:F2320)</f>
        <v>534028.571428572</v>
      </c>
      <c r="Q2320" s="55" t="n">
        <f aca="false">SUM(G2320:J2320)</f>
        <v>534028.571428572</v>
      </c>
      <c r="R2320" s="55" t="n">
        <f aca="false">SUM(K2320:N2320)</f>
        <v>534028.571428572</v>
      </c>
      <c r="S2320" s="56" t="n">
        <f aca="false">SUM(P2320:R2320)</f>
        <v>1602085.71428571</v>
      </c>
    </row>
    <row r="2321" customFormat="false" ht="15" hidden="false" customHeight="false" outlineLevel="0" collapsed="false">
      <c r="A2321" s="4" t="s">
        <v>555</v>
      </c>
      <c r="B2321" s="36" t="s">
        <v>125</v>
      </c>
      <c r="C2321" s="54" t="n">
        <f aca="false">C2315*$C$2250/4</f>
        <v>142857.142857143</v>
      </c>
      <c r="D2321" s="54" t="n">
        <f aca="false">D2315*$C$2250/4</f>
        <v>142857.142857143</v>
      </c>
      <c r="E2321" s="54" t="n">
        <f aca="false">E2315*$C$2250/4</f>
        <v>214285.714285714</v>
      </c>
      <c r="F2321" s="54" t="n">
        <f aca="false">F2315*$C$2250/4</f>
        <v>214285.714285714</v>
      </c>
      <c r="G2321" s="54" t="n">
        <f aca="false">G2315*$C$2250/4</f>
        <v>285714.285714286</v>
      </c>
      <c r="H2321" s="54" t="n">
        <f aca="false">H2315*$C$2250/4</f>
        <v>285714.285714286</v>
      </c>
      <c r="I2321" s="54" t="n">
        <f aca="false">I2315*$C$2250/4</f>
        <v>357142.857142857</v>
      </c>
      <c r="J2321" s="54" t="n">
        <f aca="false">J2315*$C$2250/4</f>
        <v>357142.857142857</v>
      </c>
      <c r="K2321" s="54" t="n">
        <f aca="false">K2315*$C$2250/4</f>
        <v>428571.428571429</v>
      </c>
      <c r="L2321" s="54" t="n">
        <f aca="false">L2315*$C$2250/4</f>
        <v>428571.428571429</v>
      </c>
      <c r="M2321" s="54" t="n">
        <f aca="false">M2315*$C$2250/4</f>
        <v>428571.428571429</v>
      </c>
      <c r="N2321" s="54" t="n">
        <f aca="false">N2315*$C$2250/4</f>
        <v>428571.428571429</v>
      </c>
      <c r="P2321" s="55" t="n">
        <f aca="false">SUM(C2321:F2321)</f>
        <v>714285.714285714</v>
      </c>
      <c r="Q2321" s="55" t="n">
        <f aca="false">SUM(G2321:J2321)</f>
        <v>1285714.28571429</v>
      </c>
      <c r="R2321" s="55" t="n">
        <f aca="false">SUM(K2321:N2321)</f>
        <v>1714285.71428571</v>
      </c>
      <c r="S2321" s="56" t="n">
        <f aca="false">SUM(P2321:R2321)</f>
        <v>3714285.71428571</v>
      </c>
    </row>
    <row r="2322" customFormat="false" ht="15" hidden="false" customHeight="false" outlineLevel="0" collapsed="false">
      <c r="A2322" s="4" t="s">
        <v>556</v>
      </c>
      <c r="B2322" s="36" t="s">
        <v>125</v>
      </c>
      <c r="C2322" s="54" t="n">
        <f aca="false">MAX(0,(C2310-C2291*$C$2246)-C2270*$C$2251)*$C$2252*Assumptions!$E$105</f>
        <v>0</v>
      </c>
      <c r="D2322" s="54" t="n">
        <f aca="false">MAX(0,(D2310-D2291*$C$2246)-D2270*$C$2251)*$C$2252*Assumptions!$E$105</f>
        <v>0</v>
      </c>
      <c r="E2322" s="54" t="n">
        <f aca="false">MAX(0,(E2310-E2291*$C$2246)-E2270*$C$2251)*$C$2252*Assumptions!$E$105</f>
        <v>0</v>
      </c>
      <c r="F2322" s="54" t="n">
        <f aca="false">MAX(0,(F2310-F2291*$C$2246)-F2270*$C$2251)*$C$2252*Assumptions!$E$105</f>
        <v>0</v>
      </c>
      <c r="G2322" s="54" t="n">
        <f aca="false">MAX(0,(G2310-G2291*$C$2246)-G2270*$C$2251)*$C$2252*Assumptions!$E$105</f>
        <v>0</v>
      </c>
      <c r="H2322" s="54" t="n">
        <f aca="false">MAX(0,(H2310-H2291*$C$2246)-H2270*$C$2251)*$C$2252*Assumptions!$E$105</f>
        <v>0</v>
      </c>
      <c r="I2322" s="54" t="n">
        <f aca="false">MAX(0,(I2310-I2291*$C$2246)-I2270*$C$2251)*$C$2252*Assumptions!$E$105</f>
        <v>0</v>
      </c>
      <c r="J2322" s="54" t="n">
        <f aca="false">MAX(0,(J2310-J2291*$C$2246)-J2270*$C$2251)*$C$2252*Assumptions!$E$105</f>
        <v>0</v>
      </c>
      <c r="K2322" s="54" t="n">
        <f aca="false">MAX(0,(K2310-K2291*$C$2246)-K2270*$C$2251)*$C$2252*Assumptions!$E$105</f>
        <v>0</v>
      </c>
      <c r="L2322" s="54" t="n">
        <f aca="false">MAX(0,(L2310-L2291*$C$2246)-L2270*$C$2251)*$C$2252*Assumptions!$E$105</f>
        <v>0</v>
      </c>
      <c r="M2322" s="54" t="n">
        <f aca="false">MAX(0,(M2310-M2291*$C$2246)-M2270*$C$2251)*$C$2252*Assumptions!$E$105</f>
        <v>0</v>
      </c>
      <c r="N2322" s="54" t="n">
        <f aca="false">MAX(0,(N2310-N2291*$C$2246)-N2270*$C$2251)*$C$2252*Assumptions!$E$105</f>
        <v>0</v>
      </c>
      <c r="P2322" s="55" t="n">
        <f aca="false">SUM(C2322:F2322)</f>
        <v>0</v>
      </c>
      <c r="Q2322" s="55" t="n">
        <f aca="false">SUM(G2322:J2322)</f>
        <v>0</v>
      </c>
      <c r="R2322" s="55" t="n">
        <f aca="false">SUM(K2322:N2322)</f>
        <v>0</v>
      </c>
      <c r="S2322" s="56" t="n">
        <f aca="false">SUM(P2322:R2322)</f>
        <v>0</v>
      </c>
    </row>
    <row r="2323" customFormat="false" ht="15" hidden="false" customHeight="false" outlineLevel="0" collapsed="false">
      <c r="A2323" s="4" t="s">
        <v>557</v>
      </c>
      <c r="B2323" s="36" t="s">
        <v>125</v>
      </c>
      <c r="C2323" s="54" t="n">
        <f aca="false">C2318*Assumptions!$G$71/Assumptions!$G$69/4</f>
        <v>36951.7857142857</v>
      </c>
      <c r="D2323" s="54" t="n">
        <f aca="false">D2318*Assumptions!$G$71/Assumptions!$G$69/4</f>
        <v>36951.7857142857</v>
      </c>
      <c r="E2323" s="54" t="n">
        <f aca="false">E2318*Assumptions!$G$71/Assumptions!$G$69/4</f>
        <v>36951.7857142857</v>
      </c>
      <c r="F2323" s="54" t="n">
        <f aca="false">F2318*Assumptions!$G$71/Assumptions!$G$69/4</f>
        <v>36951.7857142857</v>
      </c>
      <c r="G2323" s="54" t="n">
        <f aca="false">G2318*Assumptions!$G$71/Assumptions!$G$69/4</f>
        <v>36951.7857142857</v>
      </c>
      <c r="H2323" s="54" t="n">
        <f aca="false">H2318*Assumptions!$G$71/Assumptions!$G$69/4</f>
        <v>36951.7857142857</v>
      </c>
      <c r="I2323" s="54" t="n">
        <f aca="false">I2318*Assumptions!$G$71/Assumptions!$G$69/4</f>
        <v>36951.7857142857</v>
      </c>
      <c r="J2323" s="54" t="n">
        <f aca="false">J2318*Assumptions!$G$71/Assumptions!$G$69/4</f>
        <v>36951.7857142857</v>
      </c>
      <c r="K2323" s="54" t="n">
        <f aca="false">K2318*Assumptions!$G$71/Assumptions!$G$69/4</f>
        <v>36951.7857142857</v>
      </c>
      <c r="L2323" s="54" t="n">
        <f aca="false">L2318*Assumptions!$G$71/Assumptions!$G$69/4</f>
        <v>36951.7857142857</v>
      </c>
      <c r="M2323" s="54" t="n">
        <f aca="false">M2318*Assumptions!$G$71/Assumptions!$G$69/4</f>
        <v>36951.7857142857</v>
      </c>
      <c r="N2323" s="54" t="n">
        <f aca="false">N2318*Assumptions!$G$71/Assumptions!$G$69/4</f>
        <v>36951.7857142857</v>
      </c>
      <c r="P2323" s="55" t="n">
        <f aca="false">SUM(C2323:F2323)</f>
        <v>147807.142857143</v>
      </c>
      <c r="Q2323" s="55" t="n">
        <f aca="false">SUM(G2323:J2323)</f>
        <v>147807.142857143</v>
      </c>
      <c r="R2323" s="55" t="n">
        <f aca="false">SUM(K2323:N2323)</f>
        <v>147807.142857143</v>
      </c>
      <c r="S2323" s="56" t="n">
        <f aca="false">SUM(P2323:R2323)</f>
        <v>443421.428571429</v>
      </c>
    </row>
    <row r="2324" customFormat="false" ht="15" hidden="false" customHeight="false" outlineLevel="0" collapsed="false">
      <c r="A2324" s="4" t="s">
        <v>558</v>
      </c>
      <c r="B2324" s="36" t="s">
        <v>125</v>
      </c>
      <c r="C2324" s="54" t="n">
        <f aca="false">(Assumptions!$E$103+Assumptions!$G$77*((C2255=Assumptions!$G$13)+(C2255=Assumptions!$G$14)+(C2255=Assumptions!$G$15)))*C2256</f>
        <v>100000</v>
      </c>
      <c r="D2324" s="54" t="n">
        <f aca="false">(Assumptions!$E$103+Assumptions!$G$77*((D2255=Assumptions!$G$13)+(D2255=Assumptions!$G$14)+(D2255=Assumptions!$G$15)))*D2256</f>
        <v>60000</v>
      </c>
      <c r="E2324" s="54" t="n">
        <f aca="false">(Assumptions!$E$103+Assumptions!$G$77*((E2255=Assumptions!$G$13)+(E2255=Assumptions!$G$14)+(E2255=Assumptions!$G$15)))*E2256</f>
        <v>60000</v>
      </c>
      <c r="F2324" s="54" t="n">
        <f aca="false">(Assumptions!$E$103+Assumptions!$G$77*((F2255=Assumptions!$G$13)+(F2255=Assumptions!$G$14)+(F2255=Assumptions!$G$15)))*F2256</f>
        <v>60000</v>
      </c>
      <c r="G2324" s="54" t="n">
        <f aca="false">(Assumptions!$E$103+Assumptions!$G$77*((G2255=Assumptions!$G$13)+(G2255=Assumptions!$G$14)+(G2255=Assumptions!$G$15)))*G2256</f>
        <v>60000</v>
      </c>
      <c r="H2324" s="54" t="n">
        <f aca="false">(Assumptions!$E$103+Assumptions!$G$77*((H2255=Assumptions!$G$13)+(H2255=Assumptions!$G$14)+(H2255=Assumptions!$G$15)))*H2256</f>
        <v>60000</v>
      </c>
      <c r="I2324" s="54" t="n">
        <f aca="false">(Assumptions!$E$103+Assumptions!$G$77*((I2255=Assumptions!$G$13)+(I2255=Assumptions!$G$14)+(I2255=Assumptions!$G$15)))*I2256</f>
        <v>100000</v>
      </c>
      <c r="J2324" s="54" t="n">
        <f aca="false">(Assumptions!$E$103+Assumptions!$G$77*((J2255=Assumptions!$G$13)+(J2255=Assumptions!$G$14)+(J2255=Assumptions!$G$15)))*J2256</f>
        <v>60000</v>
      </c>
      <c r="K2324" s="54" t="n">
        <f aca="false">(Assumptions!$E$103+Assumptions!$G$77*((K2255=Assumptions!$G$13)+(K2255=Assumptions!$G$14)+(K2255=Assumptions!$G$15)))*K2256</f>
        <v>60000</v>
      </c>
      <c r="L2324" s="54" t="n">
        <f aca="false">(Assumptions!$E$103+Assumptions!$G$77*((L2255=Assumptions!$G$13)+(L2255=Assumptions!$G$14)+(L2255=Assumptions!$G$15)))*L2256</f>
        <v>60000</v>
      </c>
      <c r="M2324" s="54" t="n">
        <f aca="false">(Assumptions!$E$103+Assumptions!$G$77*((M2255=Assumptions!$G$13)+(M2255=Assumptions!$G$14)+(M2255=Assumptions!$G$15)))*M2256</f>
        <v>60000</v>
      </c>
      <c r="N2324" s="54" t="n">
        <f aca="false">(Assumptions!$E$103+Assumptions!$G$77*((N2255=Assumptions!$G$13)+(N2255=Assumptions!$G$14)+(N2255=Assumptions!$G$15)))*N2256</f>
        <v>60000</v>
      </c>
      <c r="P2324" s="55" t="n">
        <f aca="false">SUM(C2324:F2324)</f>
        <v>280000</v>
      </c>
      <c r="Q2324" s="55" t="n">
        <f aca="false">SUM(G2324:J2324)</f>
        <v>280000</v>
      </c>
      <c r="R2324" s="55" t="n">
        <f aca="false">SUM(K2324:N2324)</f>
        <v>240000</v>
      </c>
      <c r="S2324" s="56" t="n">
        <f aca="false">SUM(P2324:R2324)</f>
        <v>800000</v>
      </c>
    </row>
    <row r="2325" customFormat="false" ht="15" hidden="false" customHeight="false" outlineLevel="0" collapsed="false">
      <c r="A2325" s="4" t="s">
        <v>559</v>
      </c>
      <c r="B2325" s="36" t="s">
        <v>125</v>
      </c>
      <c r="C2325" s="54" t="n">
        <f aca="false">C2310*C2290*Assumptions!$G$79</f>
        <v>0</v>
      </c>
      <c r="D2325" s="54" t="n">
        <f aca="false">D2310*D2290*Assumptions!$G$79</f>
        <v>269.224553251233</v>
      </c>
      <c r="E2325" s="54" t="n">
        <f aca="false">E2310*E2290*Assumptions!$G$79</f>
        <v>473.070002053495</v>
      </c>
      <c r="F2325" s="54" t="n">
        <f aca="false">F2310*F2290*Assumptions!$G$79</f>
        <v>682.147080708914</v>
      </c>
      <c r="G2325" s="54" t="n">
        <f aca="false">G2310*G2290*Assumptions!$G$79</f>
        <v>855.625811507247</v>
      </c>
      <c r="H2325" s="54" t="n">
        <f aca="false">H2310*H2290*Assumptions!$G$79</f>
        <v>1026.68763735304</v>
      </c>
      <c r="I2325" s="54" t="n">
        <f aca="false">I2310*I2290*Assumptions!$G$79</f>
        <v>1037.45528205729</v>
      </c>
      <c r="J2325" s="54" t="n">
        <f aca="false">J2310*J2290*Assumptions!$G$79</f>
        <v>985.228909215971</v>
      </c>
      <c r="K2325" s="54" t="n">
        <f aca="false">K2310*K2290*Assumptions!$G$79</f>
        <v>994.306465919126</v>
      </c>
      <c r="L2325" s="54" t="n">
        <f aca="false">L2310*L2290*Assumptions!$G$79</f>
        <v>1028.87424991399</v>
      </c>
      <c r="M2325" s="54" t="n">
        <f aca="false">M2310*M2290*Assumptions!$G$79</f>
        <v>1028.41824675874</v>
      </c>
      <c r="N2325" s="54" t="n">
        <f aca="false">N2310*N2290*Assumptions!$G$79</f>
        <v>1027.97650529855</v>
      </c>
      <c r="P2325" s="55" t="n">
        <f aca="false">SUM(C2325:F2325)</f>
        <v>1424.44163601364</v>
      </c>
      <c r="Q2325" s="55" t="n">
        <f aca="false">SUM(G2325:J2325)</f>
        <v>3904.99764013355</v>
      </c>
      <c r="R2325" s="55" t="n">
        <f aca="false">SUM(K2325:N2325)</f>
        <v>4079.57546789041</v>
      </c>
      <c r="S2325" s="56" t="n">
        <f aca="false">SUM(P2325:R2325)</f>
        <v>9409.01474403759</v>
      </c>
    </row>
    <row r="2326" customFormat="false" ht="15" hidden="false" customHeight="false" outlineLevel="0" collapsed="false">
      <c r="A2326" s="4" t="s">
        <v>560</v>
      </c>
      <c r="B2326" s="36" t="s">
        <v>125</v>
      </c>
      <c r="C2326" s="54" t="n">
        <f aca="false">C2275*Assumptions!$G$80</f>
        <v>4000</v>
      </c>
      <c r="D2326" s="54" t="n">
        <f aca="false">D2275*Assumptions!$G$80</f>
        <v>6000</v>
      </c>
      <c r="E2326" s="54" t="n">
        <f aca="false">E2275*Assumptions!$G$80</f>
        <v>8000</v>
      </c>
      <c r="F2326" s="54" t="n">
        <f aca="false">F2275*Assumptions!$G$80</f>
        <v>10000</v>
      </c>
      <c r="G2326" s="54" t="n">
        <f aca="false">G2275*Assumptions!$G$80</f>
        <v>12000</v>
      </c>
      <c r="H2326" s="54" t="n">
        <f aca="false">H2275*Assumptions!$G$80</f>
        <v>12000</v>
      </c>
      <c r="I2326" s="54" t="n">
        <f aca="false">I2275*Assumptions!$G$80</f>
        <v>12000</v>
      </c>
      <c r="J2326" s="54" t="n">
        <f aca="false">J2275*Assumptions!$G$80</f>
        <v>12000</v>
      </c>
      <c r="K2326" s="54" t="n">
        <f aca="false">K2275*Assumptions!$G$80</f>
        <v>12000</v>
      </c>
      <c r="L2326" s="54" t="n">
        <f aca="false">L2275*Assumptions!$G$80</f>
        <v>12000</v>
      </c>
      <c r="M2326" s="54" t="n">
        <f aca="false">M2275*Assumptions!$G$80</f>
        <v>12000</v>
      </c>
      <c r="N2326" s="54" t="n">
        <f aca="false">N2275*Assumptions!$G$80</f>
        <v>12000</v>
      </c>
      <c r="P2326" s="55" t="n">
        <f aca="false">SUM(C2326:F2326)</f>
        <v>28000</v>
      </c>
      <c r="Q2326" s="55" t="n">
        <f aca="false">SUM(G2326:J2326)</f>
        <v>48000</v>
      </c>
      <c r="R2326" s="55" t="n">
        <f aca="false">SUM(K2326:N2326)</f>
        <v>48000</v>
      </c>
      <c r="S2326" s="56" t="n">
        <f aca="false">SUM(P2326:R2326)</f>
        <v>124000</v>
      </c>
    </row>
    <row r="2327" customFormat="false" ht="15" hidden="false" customHeight="false" outlineLevel="0" collapsed="false">
      <c r="A2327" s="4" t="s">
        <v>561</v>
      </c>
      <c r="B2327" s="36" t="s">
        <v>125</v>
      </c>
      <c r="C2327" s="54" t="n">
        <f aca="false">(C2298*$C$2247+C2299*$C$2248)*Assumptions!$G$81</f>
        <v>0</v>
      </c>
      <c r="D2327" s="54" t="n">
        <f aca="false">(D2298*$C$2247+D2299*$C$2248)*Assumptions!$G$81</f>
        <v>178.192011878119</v>
      </c>
      <c r="E2327" s="54" t="n">
        <f aca="false">(E2298*$C$2247+E2299*$C$2248)*Assumptions!$G$81</f>
        <v>461.732333076783</v>
      </c>
      <c r="F2327" s="54" t="n">
        <f aca="false">(F2298*$C$2247+F2299*$C$2248)*Assumptions!$G$81</f>
        <v>582.9714483338</v>
      </c>
      <c r="G2327" s="54" t="n">
        <f aca="false">(G2298*$C$2247+G2299*$C$2248)*Assumptions!$G$81</f>
        <v>604.799366517108</v>
      </c>
      <c r="H2327" s="54" t="n">
        <f aca="false">(H2298*$C$2247+H2299*$C$2248)*Assumptions!$G$81</f>
        <v>622.651592082141</v>
      </c>
      <c r="I2327" s="54" t="n">
        <f aca="false">(I2298*$C$2247+I2299*$C$2248)*Assumptions!$G$81</f>
        <v>625.592971702344</v>
      </c>
      <c r="J2327" s="54" t="n">
        <f aca="false">(J2298*$C$2247+J2299*$C$2248)*Assumptions!$G$81</f>
        <v>708.722346059074</v>
      </c>
      <c r="K2327" s="54" t="n">
        <f aca="false">(K2298*$C$2247+K2299*$C$2248)*Assumptions!$G$81</f>
        <v>849.405471081407</v>
      </c>
      <c r="L2327" s="54" t="n">
        <f aca="false">(L2298*$C$2247+L2299*$C$2248)*Assumptions!$G$81</f>
        <v>890.960936019241</v>
      </c>
      <c r="M2327" s="54" t="n">
        <f aca="false">(M2298*$C$2247+M2299*$C$2248)*Assumptions!$G$81</f>
        <v>864.491016909414</v>
      </c>
      <c r="N2327" s="54" t="n">
        <f aca="false">(N2298*$C$2247+N2299*$C$2248)*Assumptions!$G$81</f>
        <v>840.526676633781</v>
      </c>
      <c r="P2327" s="55" t="n">
        <f aca="false">SUM(C2327:F2327)</f>
        <v>1222.8957932887</v>
      </c>
      <c r="Q2327" s="55" t="n">
        <f aca="false">SUM(G2327:J2327)</f>
        <v>2561.76627636067</v>
      </c>
      <c r="R2327" s="55" t="n">
        <f aca="false">SUM(K2327:N2327)</f>
        <v>3445.38410064384</v>
      </c>
      <c r="S2327" s="56" t="n">
        <f aca="false">SUM(P2327:R2327)</f>
        <v>7230.04617029321</v>
      </c>
    </row>
    <row r="2328" customFormat="false" ht="15" hidden="false" customHeight="false" outlineLevel="0" collapsed="false">
      <c r="A2328" s="9" t="s">
        <v>562</v>
      </c>
      <c r="B2328" s="36" t="s">
        <v>125</v>
      </c>
      <c r="C2328" s="55" t="n">
        <f aca="false">C2320+C2321+C2322+C2323+C2324+C2325+C2326+C2327</f>
        <v>417316.071428572</v>
      </c>
      <c r="D2328" s="55" t="n">
        <f aca="false">D2320+D2321+D2322+D2323+D2324+D2325+D2326+D2327</f>
        <v>379763.487993701</v>
      </c>
      <c r="E2328" s="55" t="n">
        <f aca="false">E2320+E2321+E2322+E2323+E2324+E2325+E2326+E2327</f>
        <v>453679.445192273</v>
      </c>
      <c r="F2328" s="55" t="n">
        <f aca="false">F2320+F2321+F2322+F2323+F2324+F2325+F2326+F2327</f>
        <v>456009.761386186</v>
      </c>
      <c r="G2328" s="55" t="n">
        <f aca="false">G2320+G2321+G2322+G2323+G2324+G2325+G2326+G2327</f>
        <v>529633.639463739</v>
      </c>
      <c r="H2328" s="55" t="n">
        <f aca="false">H2320+H2321+H2322+H2323+H2324+H2325+H2326+H2327</f>
        <v>529822.55351515</v>
      </c>
      <c r="I2328" s="55" t="n">
        <f aca="false">I2320+I2321+I2322+I2323+I2324+I2325+I2326+I2327</f>
        <v>641264.833968045</v>
      </c>
      <c r="J2328" s="55" t="n">
        <f aca="false">J2320+J2321+J2322+J2323+J2324+J2325+J2326+J2327</f>
        <v>601295.736969561</v>
      </c>
      <c r="K2328" s="55" t="n">
        <f aca="false">K2320+K2321+K2322+K2323+K2324+K2325+K2326+K2327</f>
        <v>672874.069079858</v>
      </c>
      <c r="L2328" s="55" t="n">
        <f aca="false">L2320+L2321+L2322+L2323+L2324+L2325+L2326+L2327</f>
        <v>672950.19232879</v>
      </c>
      <c r="M2328" s="55" t="n">
        <f aca="false">M2320+M2321+M2322+M2323+M2324+M2325+M2326+M2327</f>
        <v>672923.266406525</v>
      </c>
      <c r="N2328" s="55" t="n">
        <f aca="false">N2320+N2321+N2322+N2323+N2324+N2325+N2326+N2327</f>
        <v>672898.860324789</v>
      </c>
      <c r="P2328" s="55" t="n">
        <f aca="false">SUM(C2328:F2328)</f>
        <v>1706768.76600073</v>
      </c>
      <c r="Q2328" s="55" t="n">
        <f aca="false">SUM(G2328:J2328)</f>
        <v>2302016.76391649</v>
      </c>
      <c r="R2328" s="55" t="n">
        <f aca="false">SUM(K2328:N2328)</f>
        <v>2691646.38813996</v>
      </c>
      <c r="S2328" s="56" t="n">
        <f aca="false">SUM(P2328:R2328)</f>
        <v>6700431.91805719</v>
      </c>
    </row>
    <row r="2329" customFormat="false" ht="15" hidden="false" customHeight="false" outlineLevel="0" collapsed="false">
      <c r="A2329" s="4" t="s">
        <v>563</v>
      </c>
      <c r="B2329" s="36" t="s">
        <v>125</v>
      </c>
      <c r="C2329" s="54" t="n">
        <f aca="false">C2317*Assumptions!$G$72/Assumptions!$G$69/4</f>
        <v>56535.7142857143</v>
      </c>
      <c r="D2329" s="54" t="n">
        <f aca="false">D2317*Assumptions!$G$72/Assumptions!$G$69/4</f>
        <v>56535.7142857143</v>
      </c>
      <c r="E2329" s="54" t="n">
        <f aca="false">E2317*Assumptions!$G$72/Assumptions!$G$69/4</f>
        <v>56535.7142857143</v>
      </c>
      <c r="F2329" s="54" t="n">
        <f aca="false">F2317*Assumptions!$G$72/Assumptions!$G$69/4</f>
        <v>56535.7142857143</v>
      </c>
      <c r="G2329" s="54" t="n">
        <f aca="false">G2317*Assumptions!$G$72/Assumptions!$G$69/4</f>
        <v>28267.8571428571</v>
      </c>
      <c r="H2329" s="54" t="n">
        <f aca="false">H2317*Assumptions!$G$72/Assumptions!$G$69/4</f>
        <v>28267.8571428571</v>
      </c>
      <c r="I2329" s="54" t="n">
        <f aca="false">I2317*Assumptions!$G$72/Assumptions!$G$69/4</f>
        <v>28267.8571428571</v>
      </c>
      <c r="J2329" s="54" t="n">
        <f aca="false">J2317*Assumptions!$G$72/Assumptions!$G$69/4</f>
        <v>28267.8571428571</v>
      </c>
      <c r="K2329" s="54" t="n">
        <f aca="false">K2317*Assumptions!$G$72/Assumptions!$G$69/4</f>
        <v>28267.8571428571</v>
      </c>
      <c r="L2329" s="54" t="n">
        <f aca="false">L2317*Assumptions!$G$72/Assumptions!$G$69/4</f>
        <v>28267.8571428571</v>
      </c>
      <c r="M2329" s="54" t="n">
        <f aca="false">M2317*Assumptions!$G$72/Assumptions!$G$69/4</f>
        <v>28267.8571428571</v>
      </c>
      <c r="N2329" s="54" t="n">
        <f aca="false">N2317*Assumptions!$G$72/Assumptions!$G$69/4</f>
        <v>28267.8571428571</v>
      </c>
      <c r="P2329" s="55" t="n">
        <f aca="false">SUM(C2329:F2329)</f>
        <v>226142.857142857</v>
      </c>
      <c r="Q2329" s="55" t="n">
        <f aca="false">SUM(G2329:J2329)</f>
        <v>113071.428571429</v>
      </c>
      <c r="R2329" s="55" t="n">
        <f aca="false">SUM(K2329:N2329)</f>
        <v>113071.428571429</v>
      </c>
      <c r="S2329" s="56" t="n">
        <f aca="false">SUM(P2329:R2329)</f>
        <v>452285.714285714</v>
      </c>
    </row>
    <row r="2330" customFormat="false" ht="15" hidden="false" customHeight="false" outlineLevel="0" collapsed="false">
      <c r="A2330" s="4" t="s">
        <v>564</v>
      </c>
      <c r="B2330" s="36" t="s">
        <v>125</v>
      </c>
      <c r="C2330" s="54" t="n">
        <f aca="false">IF(C2255&lt;=Assumptions!$G$83,Assumptions!$G$82*Assumptions!$E$108/Assumptions!$G$83,0)</f>
        <v>62500</v>
      </c>
      <c r="D2330" s="54" t="n">
        <f aca="false">IF(D2255&lt;=Assumptions!$G$83,Assumptions!$G$82*Assumptions!$E$108/Assumptions!$G$83,0)</f>
        <v>62500</v>
      </c>
      <c r="E2330" s="54" t="n">
        <f aca="false">IF(E2255&lt;=Assumptions!$G$83,Assumptions!$G$82*Assumptions!$E$108/Assumptions!$G$83,0)</f>
        <v>62500</v>
      </c>
      <c r="F2330" s="54" t="n">
        <f aca="false">IF(F2255&lt;=Assumptions!$G$83,Assumptions!$G$82*Assumptions!$E$108/Assumptions!$G$83,0)</f>
        <v>62500</v>
      </c>
      <c r="G2330" s="54" t="n">
        <f aca="false">IF(G2255&lt;=Assumptions!$G$83,Assumptions!$G$82*Assumptions!$E$108/Assumptions!$G$83,0)</f>
        <v>0</v>
      </c>
      <c r="H2330" s="54" t="n">
        <f aca="false">IF(H2255&lt;=Assumptions!$G$83,Assumptions!$G$82*Assumptions!$E$108/Assumptions!$G$83,0)</f>
        <v>0</v>
      </c>
      <c r="I2330" s="54" t="n">
        <f aca="false">IF(I2255&lt;=Assumptions!$G$83,Assumptions!$G$82*Assumptions!$E$108/Assumptions!$G$83,0)</f>
        <v>0</v>
      </c>
      <c r="J2330" s="54" t="n">
        <f aca="false">IF(J2255&lt;=Assumptions!$G$83,Assumptions!$G$82*Assumptions!$E$108/Assumptions!$G$83,0)</f>
        <v>0</v>
      </c>
      <c r="K2330" s="54" t="n">
        <f aca="false">IF(K2255&lt;=Assumptions!$G$83,Assumptions!$G$82*Assumptions!$E$108/Assumptions!$G$83,0)</f>
        <v>0</v>
      </c>
      <c r="L2330" s="54" t="n">
        <f aca="false">IF(L2255&lt;=Assumptions!$G$83,Assumptions!$G$82*Assumptions!$E$108/Assumptions!$G$83,0)</f>
        <v>0</v>
      </c>
      <c r="M2330" s="54" t="n">
        <f aca="false">IF(M2255&lt;=Assumptions!$G$83,Assumptions!$G$82*Assumptions!$E$108/Assumptions!$G$83,0)</f>
        <v>0</v>
      </c>
      <c r="N2330" s="54" t="n">
        <f aca="false">IF(N2255&lt;=Assumptions!$G$83,Assumptions!$G$82*Assumptions!$E$108/Assumptions!$G$83,0)</f>
        <v>0</v>
      </c>
      <c r="P2330" s="55" t="n">
        <f aca="false">SUM(C2330:F2330)</f>
        <v>250000</v>
      </c>
      <c r="Q2330" s="55" t="n">
        <f aca="false">SUM(G2330:J2330)</f>
        <v>0</v>
      </c>
      <c r="R2330" s="55" t="n">
        <f aca="false">SUM(K2330:N2330)</f>
        <v>0</v>
      </c>
      <c r="S2330" s="56" t="n">
        <f aca="false">SUM(P2330:R2330)</f>
        <v>250000</v>
      </c>
    </row>
    <row r="2331" customFormat="false" ht="15" hidden="false" customHeight="false" outlineLevel="0" collapsed="false">
      <c r="A2331" s="4" t="s">
        <v>565</v>
      </c>
      <c r="B2331" s="36" t="s">
        <v>125</v>
      </c>
      <c r="C2331" s="54" t="n">
        <f aca="false">C2319*Assumptions!$G$73/Assumptions!$G$69/4</f>
        <v>0</v>
      </c>
      <c r="D2331" s="54" t="n">
        <f aca="false">D2319*Assumptions!$G$73/Assumptions!$G$69/4</f>
        <v>465.436217574836</v>
      </c>
      <c r="E2331" s="54" t="n">
        <f aca="false">E2319*Assumptions!$G$73/Assumptions!$G$69/4</f>
        <v>1244.75402955386</v>
      </c>
      <c r="F2331" s="54" t="n">
        <f aca="false">F2319*Assumptions!$G$73/Assumptions!$G$69/4</f>
        <v>2054.34821152861</v>
      </c>
      <c r="G2331" s="54" t="n">
        <f aca="false">G2319*Assumptions!$G$73/Assumptions!$G$69/4</f>
        <v>2859.95425060458</v>
      </c>
      <c r="H2331" s="54" t="n">
        <f aca="false">H2319*Assumptions!$G$73/Assumptions!$G$69/4</f>
        <v>3661.6752141763</v>
      </c>
      <c r="I2331" s="54" t="n">
        <f aca="false">I2319*Assumptions!$G$73/Assumptions!$G$69/4</f>
        <v>4419.89704736272</v>
      </c>
      <c r="J2331" s="54" t="n">
        <f aca="false">J2319*Assumptions!$G$73/Assumptions!$G$69/4</f>
        <v>5379.92273365158</v>
      </c>
      <c r="K2331" s="54" t="n">
        <f aca="false">K2319*Assumptions!$G$73/Assumptions!$G$69/4</f>
        <v>6504.15513002713</v>
      </c>
      <c r="L2331" s="54" t="n">
        <f aca="false">L2319*Assumptions!$G$73/Assumptions!$G$69/4</f>
        <v>7560.96132268311</v>
      </c>
      <c r="M2331" s="54" t="n">
        <f aca="false">M2319*Assumptions!$G$73/Assumptions!$G$69/4</f>
        <v>8540.81965227733</v>
      </c>
      <c r="N2331" s="54" t="n">
        <f aca="false">N2319*Assumptions!$G$73/Assumptions!$G$69/4</f>
        <v>9450.16947742532</v>
      </c>
      <c r="P2331" s="55" t="n">
        <f aca="false">SUM(C2331:F2331)</f>
        <v>3764.53845865731</v>
      </c>
      <c r="Q2331" s="55" t="n">
        <f aca="false">SUM(G2331:J2331)</f>
        <v>16321.4492457952</v>
      </c>
      <c r="R2331" s="55" t="n">
        <f aca="false">SUM(K2331:N2331)</f>
        <v>32056.1055824129</v>
      </c>
      <c r="S2331" s="56" t="n">
        <f aca="false">SUM(P2331:R2331)</f>
        <v>52142.0932868654</v>
      </c>
    </row>
    <row r="2332" customFormat="false" ht="15" hidden="false" customHeight="false" outlineLevel="0" collapsed="false">
      <c r="A2332" s="9" t="s">
        <v>566</v>
      </c>
      <c r="B2332" s="36" t="s">
        <v>125</v>
      </c>
      <c r="C2332" s="55" t="n">
        <f aca="false">C2328+C2329+C2330+C2331</f>
        <v>536351.785714286</v>
      </c>
      <c r="D2332" s="55" t="n">
        <f aca="false">D2328+D2329+D2330+D2331</f>
        <v>499264.63849699</v>
      </c>
      <c r="E2332" s="55" t="n">
        <f aca="false">E2328+E2329+E2330+E2331</f>
        <v>573959.913507541</v>
      </c>
      <c r="F2332" s="55" t="n">
        <f aca="false">F2328+F2329+F2330+F2331</f>
        <v>577099.823883429</v>
      </c>
      <c r="G2332" s="55" t="n">
        <f aca="false">G2328+G2329+G2330+G2331</f>
        <v>560761.4508572</v>
      </c>
      <c r="H2332" s="55" t="n">
        <f aca="false">H2328+H2329+H2330+H2331</f>
        <v>561752.085872183</v>
      </c>
      <c r="I2332" s="55" t="n">
        <f aca="false">I2328+I2329+I2330+I2331</f>
        <v>673952.588158265</v>
      </c>
      <c r="J2332" s="55" t="n">
        <f aca="false">J2328+J2329+J2330+J2331</f>
        <v>634943.51684607</v>
      </c>
      <c r="K2332" s="55" t="n">
        <f aca="false">K2328+K2329+K2330+K2331</f>
        <v>707646.081352742</v>
      </c>
      <c r="L2332" s="55" t="n">
        <f aca="false">L2328+L2329+L2330+L2331</f>
        <v>708779.010794331</v>
      </c>
      <c r="M2332" s="55" t="n">
        <f aca="false">M2328+M2329+M2330+M2331</f>
        <v>709731.94320166</v>
      </c>
      <c r="N2332" s="55" t="n">
        <f aca="false">N2328+N2329+N2330+N2331</f>
        <v>710616.886945072</v>
      </c>
      <c r="P2332" s="55" t="n">
        <f aca="false">SUM(C2332:F2332)</f>
        <v>2186676.16160225</v>
      </c>
      <c r="Q2332" s="55" t="n">
        <f aca="false">SUM(G2332:J2332)</f>
        <v>2431409.64173372</v>
      </c>
      <c r="R2332" s="55" t="n">
        <f aca="false">SUM(K2332:N2332)</f>
        <v>2836773.9222938</v>
      </c>
      <c r="S2332" s="56" t="n">
        <f aca="false">SUM(P2332:R2332)</f>
        <v>7454859.72562977</v>
      </c>
    </row>
    <row r="2333" customFormat="false" ht="15" hidden="false" customHeight="false" outlineLevel="0" collapsed="false">
      <c r="A2333" s="35" t="s">
        <v>567</v>
      </c>
      <c r="B2333" s="35" t="s">
        <v>444</v>
      </c>
      <c r="C2333" s="6" t="s">
        <v>354</v>
      </c>
      <c r="D2333" s="6" t="s">
        <v>355</v>
      </c>
      <c r="E2333" s="6" t="s">
        <v>356</v>
      </c>
      <c r="F2333" s="6" t="s">
        <v>357</v>
      </c>
      <c r="G2333" s="6" t="s">
        <v>358</v>
      </c>
      <c r="H2333" s="6" t="s">
        <v>359</v>
      </c>
      <c r="I2333" s="6" t="s">
        <v>360</v>
      </c>
      <c r="J2333" s="6" t="s">
        <v>361</v>
      </c>
      <c r="K2333" s="6" t="s">
        <v>362</v>
      </c>
      <c r="L2333" s="6" t="s">
        <v>363</v>
      </c>
      <c r="M2333" s="6" t="s">
        <v>364</v>
      </c>
      <c r="N2333" s="6" t="s">
        <v>365</v>
      </c>
      <c r="P2333" s="6" t="s">
        <v>445</v>
      </c>
      <c r="Q2333" s="6" t="s">
        <v>446</v>
      </c>
      <c r="R2333" s="6" t="s">
        <v>447</v>
      </c>
      <c r="S2333" s="6" t="s">
        <v>448</v>
      </c>
    </row>
    <row r="2334" customFormat="false" ht="15" hidden="false" customHeight="false" outlineLevel="0" collapsed="false">
      <c r="A2334" s="9" t="s">
        <v>568</v>
      </c>
      <c r="B2334" s="36" t="s">
        <v>125</v>
      </c>
      <c r="C2334" s="55" t="n">
        <f aca="false">C2312-C2332</f>
        <v>-536351.785714286</v>
      </c>
      <c r="D2334" s="55" t="n">
        <f aca="false">D2312-D2332</f>
        <v>-498842.294295909</v>
      </c>
      <c r="E2334" s="55" t="n">
        <f aca="false">E2312-E2332</f>
        <v>-572316.263412558</v>
      </c>
      <c r="F2334" s="55" t="n">
        <f aca="false">F2312-F2332</f>
        <v>-573761.827809038</v>
      </c>
      <c r="G2334" s="55" t="n">
        <f aca="false">G2312-G2332</f>
        <v>-555611.553293819</v>
      </c>
      <c r="H2334" s="55" t="n">
        <f aca="false">H2312-H2332</f>
        <v>-554750.143673379</v>
      </c>
      <c r="I2334" s="55" t="n">
        <f aca="false">I2312-I2332</f>
        <v>-665096.529396453</v>
      </c>
      <c r="J2334" s="55" t="n">
        <f aca="false">J2312-J2332</f>
        <v>-624053.759361173</v>
      </c>
      <c r="K2334" s="55" t="n">
        <f aca="false">K2312-K2332</f>
        <v>-694323.203679272</v>
      </c>
      <c r="L2334" s="55" t="n">
        <f aca="false">L2312-L2332</f>
        <v>-692829.321848318</v>
      </c>
      <c r="M2334" s="55" t="n">
        <f aca="false">M2312-M2332</f>
        <v>-691216.931154996</v>
      </c>
      <c r="N2334" s="55" t="n">
        <f aca="false">N2312-N2332</f>
        <v>-689636.537240324</v>
      </c>
      <c r="P2334" s="55" t="n">
        <f aca="false">SUM(C2334:F2334)</f>
        <v>-2181272.17123179</v>
      </c>
      <c r="Q2334" s="55" t="n">
        <f aca="false">SUM(G2334:J2334)</f>
        <v>-2399511.98572482</v>
      </c>
      <c r="R2334" s="55" t="n">
        <f aca="false">SUM(K2334:N2334)</f>
        <v>-2768005.99392291</v>
      </c>
      <c r="S2334" s="56" t="n">
        <f aca="false">SUM(P2334:R2334)</f>
        <v>-7348790.15087953</v>
      </c>
    </row>
    <row r="2335" customFormat="false" ht="15" hidden="false" customHeight="false" outlineLevel="0" collapsed="false">
      <c r="A2335" s="9" t="s">
        <v>569</v>
      </c>
      <c r="B2335" s="36" t="s">
        <v>125</v>
      </c>
      <c r="C2335" s="55" t="n">
        <f aca="false">0+C2334</f>
        <v>-536351.785714286</v>
      </c>
      <c r="D2335" s="55" t="n">
        <f aca="false">C2335+D2334</f>
        <v>-1035194.0800102</v>
      </c>
      <c r="E2335" s="55" t="n">
        <f aca="false">D2335+E2334</f>
        <v>-1607510.34342275</v>
      </c>
      <c r="F2335" s="55" t="n">
        <f aca="false">E2335+F2334</f>
        <v>-2181272.17123179</v>
      </c>
      <c r="G2335" s="55" t="n">
        <f aca="false">F2335+G2334</f>
        <v>-2736883.72452561</v>
      </c>
      <c r="H2335" s="55" t="n">
        <f aca="false">G2335+H2334</f>
        <v>-3291633.86819899</v>
      </c>
      <c r="I2335" s="55" t="n">
        <f aca="false">H2335+I2334</f>
        <v>-3956730.39759544</v>
      </c>
      <c r="J2335" s="55" t="n">
        <f aca="false">I2335+J2334</f>
        <v>-4580784.15695662</v>
      </c>
      <c r="K2335" s="55" t="n">
        <f aca="false">J2335+K2334</f>
        <v>-5275107.36063589</v>
      </c>
      <c r="L2335" s="55" t="n">
        <f aca="false">K2335+L2334</f>
        <v>-5967936.68248421</v>
      </c>
      <c r="M2335" s="55" t="n">
        <f aca="false">L2335+M2334</f>
        <v>-6659153.6136392</v>
      </c>
      <c r="N2335" s="55" t="n">
        <f aca="false">M2335+N2334</f>
        <v>-7348790.15087953</v>
      </c>
      <c r="P2335" s="55" t="n">
        <f aca="false">F2335</f>
        <v>-2181272.17123179</v>
      </c>
      <c r="Q2335" s="55" t="n">
        <f aca="false">J2335</f>
        <v>-4580784.15695662</v>
      </c>
      <c r="R2335" s="55" t="n">
        <f aca="false">N2335</f>
        <v>-7348790.15087953</v>
      </c>
      <c r="S2335" s="56" t="n">
        <f aca="false">R2335</f>
        <v>-7348790.15087953</v>
      </c>
    </row>
    <row r="2336" customFormat="false" ht="15" hidden="false" customHeight="false" outlineLevel="0" collapsed="false">
      <c r="A2336" s="4" t="s">
        <v>570</v>
      </c>
      <c r="B2336" s="36" t="s">
        <v>107</v>
      </c>
      <c r="C2336" s="57" t="n">
        <f aca="false">1/(1+Assumptions!$G$87)^(C2255/4)</f>
        <v>0.972065420906982</v>
      </c>
      <c r="D2336" s="57" t="n">
        <f aca="false">1/(1+Assumptions!$G$87)^(D2255/4)</f>
        <v>0.944911182523068</v>
      </c>
      <c r="E2336" s="57" t="n">
        <f aca="false">1/(1+Assumptions!$G$87)^(E2255/4)</f>
        <v>0.918515486359</v>
      </c>
      <c r="F2336" s="57" t="n">
        <f aca="false">1/(1+Assumptions!$G$87)^(F2255/4)</f>
        <v>0.892857142857143</v>
      </c>
      <c r="G2336" s="57" t="n">
        <f aca="false">1/(1+Assumptions!$G$87)^(G2255/4)</f>
        <v>0.867915554381234</v>
      </c>
      <c r="H2336" s="57" t="n">
        <f aca="false">1/(1+Assumptions!$G$87)^(H2255/4)</f>
        <v>0.843670698681311</v>
      </c>
      <c r="I2336" s="57" t="n">
        <f aca="false">1/(1+Assumptions!$G$87)^(I2255/4)</f>
        <v>0.820103112820536</v>
      </c>
      <c r="J2336" s="57" t="n">
        <f aca="false">1/(1+Assumptions!$G$87)^(J2255/4)</f>
        <v>0.79719387755102</v>
      </c>
      <c r="K2336" s="57" t="n">
        <f aca="false">1/(1+Assumptions!$G$87)^(K2255/4)</f>
        <v>0.774924602126102</v>
      </c>
      <c r="L2336" s="57" t="n">
        <f aca="false">1/(1+Assumptions!$G$87)^(L2255/4)</f>
        <v>0.753277409536885</v>
      </c>
      <c r="M2336" s="57" t="n">
        <f aca="false">1/(1+Assumptions!$G$87)^(M2255/4)</f>
        <v>0.732234922161193</v>
      </c>
      <c r="N2336" s="57" t="n">
        <f aca="false">1/(1+Assumptions!$G$87)^(N2255/4)</f>
        <v>0.711780247813411</v>
      </c>
      <c r="P2336" s="58"/>
      <c r="Q2336" s="58"/>
      <c r="R2336" s="58"/>
      <c r="S2336" s="59"/>
    </row>
    <row r="2337" customFormat="false" ht="15" hidden="false" customHeight="false" outlineLevel="0" collapsed="false">
      <c r="A2337" s="4" t="s">
        <v>571</v>
      </c>
      <c r="B2337" s="36" t="s">
        <v>125</v>
      </c>
      <c r="C2337" s="54" t="n">
        <f aca="false">(C2312*(1-Assumptions!$G$88)-C2332)*C2336</f>
        <v>-521369.024334569</v>
      </c>
      <c r="D2337" s="54" t="n">
        <f aca="false">(D2312*(1-Assumptions!$G$88)-D2332)*D2336</f>
        <v>-471601.108850753</v>
      </c>
      <c r="E2337" s="54" t="n">
        <f aca="false">(E2312*(1-Assumptions!$G$88)-E2332)*E2336</f>
        <v>-526587.18187939</v>
      </c>
      <c r="F2337" s="54" t="n">
        <f aca="false">(F2312*(1-Assumptions!$G$88)-F2332)*F2336</f>
        <v>-514075.558440779</v>
      </c>
      <c r="G2337" s="54" t="n">
        <f aca="false">(G2312*(1-Assumptions!$G$88)-G2332)*G2336</f>
        <v>-484905.715016861</v>
      </c>
      <c r="H2337" s="54" t="n">
        <f aca="false">(H2312*(1-Assumptions!$G$88)-H2332)*H2336</f>
        <v>-471570.841386672</v>
      </c>
      <c r="I2337" s="54" t="n">
        <f aca="false">(I2312*(1-Assumptions!$G$88)-I2332)*I2336</f>
        <v>-549805.462898896</v>
      </c>
      <c r="J2337" s="54" t="n">
        <f aca="false">(J2312*(1-Assumptions!$G$88)-J2332)*J2336</f>
        <v>-502700.58502241</v>
      </c>
      <c r="K2337" s="54" t="n">
        <f aca="false">(K2312*(1-Assumptions!$G$88)-K2332)*K2336</f>
        <v>-544242.667766253</v>
      </c>
      <c r="L2337" s="54" t="n">
        <f aca="false">(L2312*(1-Assumptions!$G$88)-L2332)*L2336</f>
        <v>-529101.401036401</v>
      </c>
      <c r="M2337" s="54" t="n">
        <f aca="false">(M2312*(1-Assumptions!$G$88)-M2332)*M2336</f>
        <v>-514267.578823658</v>
      </c>
      <c r="N2337" s="54" t="n">
        <f aca="false">(N2312*(1-Assumptions!$G$88)-N2332)*N2336</f>
        <v>-499829.704485335</v>
      </c>
      <c r="P2337" s="55" t="n">
        <f aca="false">SUM(C2337:F2337)</f>
        <v>-2033632.87350549</v>
      </c>
      <c r="Q2337" s="55" t="n">
        <f aca="false">SUM(G2337:J2337)</f>
        <v>-2008982.60432484</v>
      </c>
      <c r="R2337" s="55" t="n">
        <f aca="false">SUM(K2337:N2337)</f>
        <v>-2087441.35211165</v>
      </c>
      <c r="S2337" s="56" t="n">
        <f aca="false">SUM(P2337:R2337)</f>
        <v>-6130056.82994198</v>
      </c>
    </row>
    <row r="2338" customFormat="false" ht="15" hidden="false" customHeight="false" outlineLevel="0" collapsed="false">
      <c r="A2338" s="4" t="s">
        <v>572</v>
      </c>
      <c r="B2338" s="36" t="s">
        <v>125</v>
      </c>
      <c r="C2338" s="54" t="n">
        <f aca="false">(C2332-C2331)*12/(Assumptions!$G$89*Assumptions!$G$76)*Assumptions!$G$90</f>
        <v>438833.279220779</v>
      </c>
      <c r="D2338" s="54" t="n">
        <f aca="false">(D2332-D2331)*12/(Assumptions!$G$89*Assumptions!$G$76)*Assumptions!$G$90</f>
        <v>408108.438228612</v>
      </c>
      <c r="E2338" s="54" t="n">
        <f aca="false">(E2332-E2331)*12/(Assumptions!$G$89*Assumptions!$G$76)*Assumptions!$G$90</f>
        <v>468585.13048199</v>
      </c>
      <c r="F2338" s="54" t="n">
        <f aca="false">(F2332-F2331)*12/(Assumptions!$G$89*Assumptions!$G$76)*Assumptions!$G$90</f>
        <v>470491.752822464</v>
      </c>
      <c r="G2338" s="54" t="n">
        <f aca="false">(G2332-G2331)*12/(Assumptions!$G$89*Assumptions!$G$76)*Assumptions!$G$90</f>
        <v>456464.860859942</v>
      </c>
      <c r="H2338" s="54" t="n">
        <f aca="false">(H2332-H2331)*12/(Assumptions!$G$89*Assumptions!$G$76)*Assumptions!$G$90</f>
        <v>456619.426902005</v>
      </c>
      <c r="I2338" s="54" t="n">
        <f aca="false">(I2332-I2331)*12/(Assumptions!$G$89*Assumptions!$G$76)*Assumptions!$G$90</f>
        <v>547799.474545284</v>
      </c>
      <c r="J2338" s="54" t="n">
        <f aca="false">(J2332-J2331)*12/(Assumptions!$G$89*Assumptions!$G$76)*Assumptions!$G$90</f>
        <v>515097.486091978</v>
      </c>
      <c r="K2338" s="54" t="n">
        <f aca="false">(K2332-K2331)*12/(Assumptions!$G$89*Assumptions!$G$76)*Assumptions!$G$90</f>
        <v>573661.576000403</v>
      </c>
      <c r="L2338" s="54" t="n">
        <f aca="false">(L2332-L2331)*12/(Assumptions!$G$89*Assumptions!$G$76)*Assumptions!$G$90</f>
        <v>573723.858658621</v>
      </c>
      <c r="M2338" s="54" t="n">
        <f aca="false">(M2332-M2331)*12/(Assumptions!$G$89*Assumptions!$G$76)*Assumptions!$G$90</f>
        <v>573701.828358586</v>
      </c>
      <c r="N2338" s="54" t="n">
        <f aca="false">(N2332-N2331)*12/(Assumptions!$G$89*Assumptions!$G$76)*Assumptions!$G$90</f>
        <v>573681.859746256</v>
      </c>
      <c r="P2338" s="55" t="n">
        <f aca="false">SUM(C2338:F2338)</f>
        <v>1786018.60075385</v>
      </c>
      <c r="Q2338" s="55" t="n">
        <f aca="false">SUM(G2338:J2338)</f>
        <v>1975981.24839921</v>
      </c>
      <c r="R2338" s="55" t="n">
        <f aca="false">SUM(K2338:N2338)</f>
        <v>2294769.12276387</v>
      </c>
      <c r="S2338" s="56" t="n">
        <f aca="false">SUM(P2338:R2338)</f>
        <v>6056768.97191692</v>
      </c>
    </row>
    <row r="2339" customFormat="false" ht="15" hidden="false" customHeight="false" outlineLevel="0" collapsed="false">
      <c r="A2339" s="4" t="s">
        <v>573</v>
      </c>
      <c r="B2339" s="36" t="s">
        <v>125</v>
      </c>
      <c r="C2339" s="54" t="n">
        <f aca="false">0*Assumptions!$G$92^(1/4)+C2338</f>
        <v>438833.279220779</v>
      </c>
      <c r="D2339" s="54" t="n">
        <f aca="false">C2339*Assumptions!$G$92^(1/4)+D2338</f>
        <v>848034.710420382</v>
      </c>
      <c r="E2339" s="54" t="n">
        <f aca="false">D2339*Assumptions!$G$92^(1/4)+E2338</f>
        <v>1318732.02341344</v>
      </c>
      <c r="F2339" s="54" t="n">
        <f aca="false">E2339*Assumptions!$G$92^(1/4)+F2338</f>
        <v>1792508.31480776</v>
      </c>
      <c r="G2339" s="54" t="n">
        <f aca="false">F2339*Assumptions!$G$92^(1/4)+G2338</f>
        <v>2253437.73904814</v>
      </c>
      <c r="H2339" s="54" t="n">
        <f aca="false">G2339*Assumptions!$G$92^(1/4)+H2338</f>
        <v>2715669.7567129</v>
      </c>
      <c r="I2339" s="54" t="n">
        <f aca="false">H2339*Assumptions!$G$92^(1/4)+I2338</f>
        <v>3270233.09374576</v>
      </c>
      <c r="J2339" s="54" t="n">
        <f aca="false">I2339*Assumptions!$G$92^(1/4)+J2338</f>
        <v>3793475.68175734</v>
      </c>
      <c r="K2339" s="54" t="n">
        <f aca="false">J2339*Assumptions!$G$92^(1/4)+K2338</f>
        <v>4376585.58916767</v>
      </c>
      <c r="L2339" s="54" t="n">
        <f aca="false">K2339*Assumptions!$G$92^(1/4)+L2338</f>
        <v>4961210.11902059</v>
      </c>
      <c r="M2339" s="54" t="n">
        <f aca="false">L2339*Assumptions!$G$92^(1/4)+M2338</f>
        <v>5547268.73079662</v>
      </c>
      <c r="N2339" s="54" t="n">
        <f aca="false">M2339*Assumptions!$G$92^(1/4)+N2338</f>
        <v>6134767.05802165</v>
      </c>
      <c r="P2339" s="55" t="n">
        <f aca="false">F2339</f>
        <v>1792508.31480776</v>
      </c>
      <c r="Q2339" s="55" t="n">
        <f aca="false">J2339</f>
        <v>3793475.68175734</v>
      </c>
      <c r="R2339" s="55" t="n">
        <f aca="false">N2339</f>
        <v>6134767.05802165</v>
      </c>
      <c r="S2339" s="56" t="n">
        <f aca="false">R2339</f>
        <v>6134767.05802165</v>
      </c>
    </row>
    <row r="2340" customFormat="false" ht="15" hidden="false" customHeight="false" outlineLevel="0" collapsed="false">
      <c r="A2340" s="4" t="s">
        <v>574</v>
      </c>
      <c r="B2340" s="36" t="s">
        <v>125</v>
      </c>
      <c r="C2340" s="54" t="n">
        <f aca="false">(0+C2339)/8*Assumptions!$G$76-(C2332-C2331)-C2339*Assumptions!$G$93/4</f>
        <v>-511667.413758117</v>
      </c>
      <c r="D2340" s="54" t="n">
        <f aca="false">(C2339+D2339)/8*Assumptions!$G$76-(D2332-D2331)-D2339*Assumptions!$G$93/4</f>
        <v>-420927.46187184</v>
      </c>
      <c r="E2340" s="54" t="n">
        <f aca="false">(D2339+E2339)/8*Assumptions!$G$76-(E2332-E2331)-E2339*Assumptions!$G$93/4</f>
        <v>-440234.09681958</v>
      </c>
      <c r="F2340" s="54" t="n">
        <f aca="false">(E2339+F2339)/8*Assumptions!$G$76-(F2332-F2331)-F2339*Assumptions!$G$93/4</f>
        <v>-383554.05635429</v>
      </c>
      <c r="G2340" s="54" t="n">
        <f aca="false">(F2339+G2339)/8*Assumptions!$G$76-(G2332-G2331)-G2339*Assumptions!$G$93/4</f>
        <v>-307910.677142105</v>
      </c>
      <c r="H2340" s="54" t="n">
        <f aca="false">(G2339+H2339)/8*Assumptions!$G$76-(H2332-H2331)-H2339*Assumptions!$G$93/4</f>
        <v>-250410.142283347</v>
      </c>
      <c r="I2340" s="54" t="n">
        <f aca="false">(H2339+I2339)/8*Assumptions!$G$76-(I2332-I2331)-I2339*Assumptions!$G$93/4</f>
        <v>-298879.783813692</v>
      </c>
      <c r="J2340" s="54" t="n">
        <f aca="false">(I2339+J2339)/8*Assumptions!$G$76-(J2332-J2331)-J2339*Assumptions!$G$93/4</f>
        <v>-191352.061818547</v>
      </c>
      <c r="K2340" s="54" t="n">
        <f aca="false">(J2339+K2339)/8*Assumptions!$G$76-(K2332-K2331)-K2339*Assumptions!$G$93/4</f>
        <v>-194157.533711216</v>
      </c>
      <c r="L2340" s="54" t="n">
        <f aca="false">(K2339+L2339)/8*Assumptions!$G$76-(L2332-L2331)-L2339*Assumptions!$G$93/4</f>
        <v>-121259.721021462</v>
      </c>
      <c r="M2340" s="54" t="n">
        <f aca="false">(L2339+M2339)/8*Assumptions!$G$76-(M2332-M2331)-M2339*Assumptions!$G$93/4</f>
        <v>-48074.0617594072</v>
      </c>
      <c r="N2340" s="54" t="n">
        <f aca="false">(M2339+N2339)/8*Assumptions!$G$76-(N2332-N2331)-N2339*Assumptions!$G$93/4</f>
        <v>25288.6547883388</v>
      </c>
      <c r="P2340" s="55" t="n">
        <f aca="false">SUM(C2340:F2340)</f>
        <v>-1756383.02880383</v>
      </c>
      <c r="Q2340" s="55" t="n">
        <f aca="false">SUM(G2340:J2340)</f>
        <v>-1048552.66505769</v>
      </c>
      <c r="R2340" s="55" t="n">
        <f aca="false">SUM(K2340:N2340)</f>
        <v>-338202.661703747</v>
      </c>
      <c r="S2340" s="56" t="n">
        <f aca="false">SUM(P2340:R2340)</f>
        <v>-3143138.35556526</v>
      </c>
    </row>
    <row r="2341" customFormat="false" ht="15" hidden="false" customHeight="false" outlineLevel="0" collapsed="false">
      <c r="A2341" s="4" t="s">
        <v>575</v>
      </c>
      <c r="B2341" s="36" t="s">
        <v>125</v>
      </c>
      <c r="C2341" s="54" t="n">
        <f aca="false">C2340*C2336</f>
        <v>-497374.199919171</v>
      </c>
      <c r="D2341" s="54" t="n">
        <f aca="false">D2340*D2336</f>
        <v>-397739.065753754</v>
      </c>
      <c r="E2341" s="54" t="n">
        <f aca="false">E2340*E2336</f>
        <v>-404361.835552052</v>
      </c>
      <c r="F2341" s="54" t="n">
        <f aca="false">F2340*F2336</f>
        <v>-342458.978887759</v>
      </c>
      <c r="G2341" s="54" t="n">
        <f aca="false">G2340*G2336</f>
        <v>-267240.466051691</v>
      </c>
      <c r="H2341" s="54" t="n">
        <f aca="false">H2340*H2336</f>
        <v>-211263.699697077</v>
      </c>
      <c r="I2341" s="54" t="n">
        <f aca="false">I2340*I2336</f>
        <v>-245112.241064737</v>
      </c>
      <c r="J2341" s="54" t="n">
        <f aca="false">J2340*J2336</f>
        <v>-152544.69213851</v>
      </c>
      <c r="K2341" s="54" t="n">
        <f aca="false">K2340*K2336</f>
        <v>-150457.44956095</v>
      </c>
      <c r="L2341" s="54" t="n">
        <f aca="false">L2340*L2336</f>
        <v>-91342.2085322122</v>
      </c>
      <c r="M2341" s="54" t="n">
        <f aca="false">M2340*M2336</f>
        <v>-35201.5068703719</v>
      </c>
      <c r="N2341" s="54" t="n">
        <f aca="false">N2340*N2336</f>
        <v>17999.9649721116</v>
      </c>
      <c r="P2341" s="55" t="n">
        <f aca="false">SUM(C2341:F2341)</f>
        <v>-1641934.08011274</v>
      </c>
      <c r="Q2341" s="55" t="n">
        <f aca="false">SUM(G2341:J2341)</f>
        <v>-876161.098952016</v>
      </c>
      <c r="R2341" s="55" t="n">
        <f aca="false">SUM(K2341:N2341)</f>
        <v>-259001.199991422</v>
      </c>
      <c r="S2341" s="56" t="n">
        <f aca="false">SUM(P2341:R2341)</f>
        <v>-2777096.37905617</v>
      </c>
    </row>
    <row r="2342" customFormat="false" ht="15" hidden="false" customHeight="false" outlineLevel="0" collapsed="false">
      <c r="A2342" s="4" t="s">
        <v>576</v>
      </c>
      <c r="B2342" s="36"/>
      <c r="C2342" s="37" t="n">
        <f aca="false">IFERROR((S2297*$C$2246*Assumptions!$G$59+S2298*$C$2247*Assumptions!$G$60+S2299*$C$2248*Assumptions!$G$61)/(S2297*$C$2246+S2298*$C$2247+S2299*$C$2248),0.9)</f>
        <v>0.858179271207387</v>
      </c>
    </row>
    <row r="2343" customFormat="false" ht="15" hidden="false" customHeight="false" outlineLevel="0" collapsed="false">
      <c r="A2343" s="4" t="s">
        <v>577</v>
      </c>
      <c r="B2343" s="36"/>
      <c r="C2343" s="37" t="n">
        <f aca="false">IFERROR(N2331*4/N2309,0)</f>
        <v>0.234240144990419</v>
      </c>
    </row>
    <row r="2344" customFormat="false" ht="15" hidden="false" customHeight="false" outlineLevel="0" collapsed="false">
      <c r="A2344" s="4" t="s">
        <v>578</v>
      </c>
      <c r="B2344" s="36"/>
      <c r="C2344" s="60" t="n">
        <f aca="false">$C$2342/(1+Assumptions!$G$87)</f>
        <v>0.766231492149452</v>
      </c>
    </row>
    <row r="2345" customFormat="false" ht="15" hidden="false" customHeight="false" outlineLevel="0" collapsed="false">
      <c r="A2345" s="4" t="s">
        <v>579</v>
      </c>
      <c r="B2345" s="36"/>
      <c r="C2345" s="60" t="n">
        <f aca="false">Assumptions!$G$91/(1+Assumptions!$G$87)</f>
        <v>0.803571428571429</v>
      </c>
    </row>
    <row r="2346" customFormat="false" ht="15" hidden="false" customHeight="false" outlineLevel="0" collapsed="false">
      <c r="A2346" s="35" t="s">
        <v>580</v>
      </c>
      <c r="B2346" s="35" t="s">
        <v>444</v>
      </c>
      <c r="C2346" s="6" t="s">
        <v>354</v>
      </c>
      <c r="D2346" s="6" t="s">
        <v>355</v>
      </c>
      <c r="E2346" s="6" t="s">
        <v>356</v>
      </c>
      <c r="F2346" s="6" t="s">
        <v>357</v>
      </c>
      <c r="G2346" s="6" t="s">
        <v>358</v>
      </c>
      <c r="H2346" s="6" t="s">
        <v>359</v>
      </c>
      <c r="I2346" s="6" t="s">
        <v>360</v>
      </c>
      <c r="J2346" s="6" t="s">
        <v>361</v>
      </c>
      <c r="K2346" s="6" t="s">
        <v>362</v>
      </c>
      <c r="L2346" s="6" t="s">
        <v>363</v>
      </c>
      <c r="M2346" s="6" t="s">
        <v>364</v>
      </c>
      <c r="N2346" s="6" t="s">
        <v>365</v>
      </c>
      <c r="P2346" s="6" t="s">
        <v>445</v>
      </c>
      <c r="Q2346" s="6" t="s">
        <v>446</v>
      </c>
      <c r="R2346" s="6" t="s">
        <v>447</v>
      </c>
      <c r="S2346" s="6" t="s">
        <v>448</v>
      </c>
    </row>
    <row r="2347" customFormat="false" ht="15" hidden="false" customHeight="false" outlineLevel="0" collapsed="false">
      <c r="A2347" s="9" t="s">
        <v>581</v>
      </c>
      <c r="C2347" s="61" t="n">
        <f aca="false">N2309</f>
        <v>161375.745012656</v>
      </c>
      <c r="D2347" s="61"/>
    </row>
    <row r="2348" customFormat="false" ht="15" hidden="false" customHeight="false" outlineLevel="0" collapsed="false">
      <c r="A2348" s="9" t="s">
        <v>582</v>
      </c>
      <c r="C2348" s="62" t="n">
        <f aca="false">N2305</f>
        <v>22.2062436061236</v>
      </c>
      <c r="D2348" s="62"/>
    </row>
    <row r="2349" customFormat="false" ht="15" hidden="false" customHeight="false" outlineLevel="0" collapsed="false">
      <c r="A2349" s="9" t="s">
        <v>583</v>
      </c>
      <c r="C2349" s="63" t="n">
        <f aca="false">S2300</f>
        <v>26.1236957779436</v>
      </c>
      <c r="D2349" s="63"/>
    </row>
    <row r="2350" customFormat="false" ht="15" hidden="false" customHeight="false" outlineLevel="0" collapsed="false">
      <c r="A2350" s="9" t="s">
        <v>584</v>
      </c>
      <c r="C2350" s="61" t="n">
        <f aca="false">S2311</f>
        <v>192853.772273168</v>
      </c>
      <c r="D2350" s="61"/>
    </row>
    <row r="2351" customFormat="false" ht="15" hidden="false" customHeight="false" outlineLevel="0" collapsed="false">
      <c r="A2351" s="9" t="s">
        <v>22</v>
      </c>
      <c r="C2351" s="61" t="n">
        <f aca="false">IFERROR(S2310/S2300,0)</f>
        <v>6457.08820754989</v>
      </c>
      <c r="D2351" s="61"/>
    </row>
    <row r="2352" customFormat="false" ht="15" hidden="false" customHeight="false" outlineLevel="0" collapsed="false">
      <c r="A2352" s="9" t="s">
        <v>585</v>
      </c>
      <c r="C2352" s="61" t="n">
        <f aca="false">IFERROR(S2328/S2300,0)</f>
        <v>256488.667415673</v>
      </c>
      <c r="D2352" s="61"/>
    </row>
    <row r="2353" customFormat="false" ht="23.85" hidden="false" customHeight="false" outlineLevel="0" collapsed="false">
      <c r="A2353" s="9" t="s">
        <v>586</v>
      </c>
      <c r="C2353" s="61" t="n">
        <f aca="false">IFERROR((S2322+S2324+S2325+S2326+S2327)/S2300,0)</f>
        <v>36007.1204667954</v>
      </c>
      <c r="D2353" s="61"/>
    </row>
    <row r="2354" customFormat="false" ht="15" hidden="false" customHeight="false" outlineLevel="0" collapsed="false">
      <c r="A2354" s="9" t="s">
        <v>587</v>
      </c>
      <c r="C2354" s="64" t="n">
        <f aca="false">IFERROR('Engine Runs'!$C$2352/('Engine Runs'!$C$2351*Assumptions!$G$76/12),0)</f>
        <v>866.662526529389</v>
      </c>
      <c r="D2354" s="64"/>
    </row>
    <row r="2355" customFormat="false" ht="15" hidden="false" customHeight="false" outlineLevel="0" collapsed="false">
      <c r="A2355" s="9" t="s">
        <v>588</v>
      </c>
      <c r="C2355" s="64" t="n">
        <f aca="false">IFERROR((R2328/R2300)/((R2310/R2300)*Assumptions!$G$76/12),0)</f>
        <v>745.197715143344</v>
      </c>
      <c r="D2355" s="64"/>
    </row>
    <row r="2356" customFormat="false" ht="15" hidden="false" customHeight="false" outlineLevel="0" collapsed="false">
      <c r="A2356" s="9" t="s">
        <v>589</v>
      </c>
      <c r="C2356" s="61" t="n">
        <f aca="false">S2332</f>
        <v>7454859.72562977</v>
      </c>
      <c r="D2356" s="61"/>
    </row>
    <row r="2357" customFormat="false" ht="15" hidden="false" customHeight="false" outlineLevel="0" collapsed="false">
      <c r="A2357" s="9" t="s">
        <v>590</v>
      </c>
      <c r="C2357" s="61" t="n">
        <f aca="false">N2335</f>
        <v>-7348790.15087953</v>
      </c>
      <c r="D2357" s="61"/>
    </row>
    <row r="2358" customFormat="false" ht="15" hidden="false" customHeight="false" outlineLevel="0" collapsed="false">
      <c r="A2358" s="9" t="s">
        <v>591</v>
      </c>
      <c r="C2358" s="61" t="n">
        <f aca="false">MIN($C$2335:$N$2335)</f>
        <v>-7348790.15087953</v>
      </c>
      <c r="D2358" s="61"/>
    </row>
    <row r="2359" customFormat="false" ht="15" hidden="false" customHeight="false" outlineLevel="0" collapsed="false">
      <c r="A2359" s="9" t="s">
        <v>592</v>
      </c>
      <c r="C2359" s="61" t="n">
        <f aca="false">N2309*(Assumptions!$G$76-$C$2343)*$C$2342*(1-$C$2342^Assumptions!$G$85)/(1-$C$2342)</f>
        <v>164818.878504493</v>
      </c>
      <c r="D2359" s="61"/>
    </row>
    <row r="2360" customFormat="false" ht="15" hidden="false" customHeight="false" outlineLevel="0" collapsed="false">
      <c r="A2360" s="9" t="s">
        <v>593</v>
      </c>
      <c r="C2360" s="61" t="n">
        <f aca="false">N2309*(Assumptions!$G$76-$C$2343)*(1-Assumptions!$G$88)/(1+Assumptions!$G$87)^2.5*$C$2344*(1-$C$2344^Assumptions!$G$85)/(1-$C$2344)</f>
        <v>37033.2279416612</v>
      </c>
      <c r="D2360" s="61"/>
    </row>
    <row r="2361" customFormat="false" ht="15" hidden="false" customHeight="false" outlineLevel="0" collapsed="false">
      <c r="A2361" s="9" t="s">
        <v>594</v>
      </c>
      <c r="C2361" s="61" t="n">
        <f aca="false">SUM($C$2337:$N$2337)+'Engine Runs'!$C$2360</f>
        <v>-6093023.60200031</v>
      </c>
      <c r="D2361" s="61"/>
    </row>
    <row r="2362" customFormat="false" ht="15" hidden="false" customHeight="false" outlineLevel="0" collapsed="false">
      <c r="A2362" s="9" t="s">
        <v>595</v>
      </c>
      <c r="C2362" s="61" t="n">
        <f aca="false">SUM($C$2341:$N$2341)+N2339*(Assumptions!$G$76-Assumptions!$G$93)/(1+Assumptions!$G$87)^2.5*$C$2345*(1-$C$2345^Assumptions!$G$85)/(1-$C$2345)</f>
        <v>3508194.59573066</v>
      </c>
      <c r="D2362" s="61"/>
    </row>
    <row r="2363" customFormat="false" ht="15" hidden="false" customHeight="false" outlineLevel="0" collapsed="false">
      <c r="A2363" s="9" t="s">
        <v>596</v>
      </c>
      <c r="C2363" s="61" t="n">
        <f aca="false">'Engine Runs'!$C$2361-'Engine Runs'!$C$2362</f>
        <v>-9601218.19773097</v>
      </c>
      <c r="D2363" s="61"/>
    </row>
    <row r="2364" customFormat="false" ht="15" hidden="false" customHeight="false" outlineLevel="0" collapsed="false">
      <c r="A2364" s="9" t="s">
        <v>597</v>
      </c>
      <c r="C2364" s="61" t="n">
        <f aca="false">S2296</f>
        <v>0</v>
      </c>
      <c r="D2364" s="61"/>
    </row>
    <row r="2365" customFormat="false" ht="15" hidden="false" customHeight="false" outlineLevel="0" collapsed="false">
      <c r="A2365" s="9" t="s">
        <v>598</v>
      </c>
      <c r="C2365" s="63" t="n">
        <f aca="false">P2280</f>
        <v>55.5527252534314</v>
      </c>
      <c r="D2365" s="63"/>
    </row>
    <row r="2366" customFormat="false" ht="15" hidden="false" customHeight="false" outlineLevel="0" collapsed="false">
      <c r="A2366" s="9" t="s">
        <v>599</v>
      </c>
      <c r="C2366" s="63" t="n">
        <f aca="false">P2300</f>
        <v>5.07477267948291</v>
      </c>
      <c r="D2366" s="63"/>
    </row>
    <row r="2367" customFormat="false" ht="15" hidden="false" customHeight="false" outlineLevel="0" collapsed="false">
      <c r="A2367" s="9" t="s">
        <v>600</v>
      </c>
      <c r="C2367" s="63" t="n">
        <f aca="false">P2276</f>
        <v>28</v>
      </c>
      <c r="D2367" s="63"/>
    </row>
    <row r="2368" customFormat="false" ht="15" hidden="false" customHeight="false" outlineLevel="0" collapsed="false">
      <c r="A2368" s="9" t="s">
        <v>601</v>
      </c>
      <c r="C2368" s="61" t="n">
        <f aca="false">IFERROR(P2310/P2300,0)</f>
        <v>6133.14514780004</v>
      </c>
      <c r="D2368" s="61"/>
    </row>
    <row r="2371" customFormat="false" ht="15" hidden="false" customHeight="true" outlineLevel="0" collapsed="false">
      <c r="A2371" s="77" t="s">
        <v>797</v>
      </c>
      <c r="B2371" s="77"/>
      <c r="C2371" s="77"/>
      <c r="D2371" s="77"/>
      <c r="E2371" s="77"/>
      <c r="F2371" s="77"/>
      <c r="G2371" s="77"/>
      <c r="H2371" s="77"/>
      <c r="I2371" s="77"/>
      <c r="J2371" s="77"/>
      <c r="K2371" s="77"/>
      <c r="L2371" s="77"/>
      <c r="M2371" s="77"/>
      <c r="N2371" s="77"/>
    </row>
    <row r="2372" customFormat="false" ht="23.85" hidden="false" customHeight="false" outlineLevel="0" collapsed="false">
      <c r="A2372" s="35" t="s">
        <v>798</v>
      </c>
      <c r="B2372" s="35" t="s">
        <v>444</v>
      </c>
      <c r="C2372" s="6" t="s">
        <v>354</v>
      </c>
      <c r="D2372" s="6" t="s">
        <v>355</v>
      </c>
      <c r="E2372" s="6" t="s">
        <v>356</v>
      </c>
      <c r="F2372" s="6" t="s">
        <v>357</v>
      </c>
      <c r="G2372" s="6" t="s">
        <v>358</v>
      </c>
      <c r="H2372" s="6" t="s">
        <v>359</v>
      </c>
      <c r="I2372" s="6" t="s">
        <v>360</v>
      </c>
      <c r="J2372" s="6" t="s">
        <v>361</v>
      </c>
      <c r="K2372" s="6" t="s">
        <v>362</v>
      </c>
      <c r="L2372" s="6" t="s">
        <v>363</v>
      </c>
      <c r="M2372" s="6" t="s">
        <v>364</v>
      </c>
      <c r="N2372" s="6" t="s">
        <v>365</v>
      </c>
      <c r="P2372" s="6" t="s">
        <v>445</v>
      </c>
      <c r="Q2372" s="6" t="s">
        <v>446</v>
      </c>
      <c r="R2372" s="6" t="s">
        <v>447</v>
      </c>
      <c r="S2372" s="6" t="s">
        <v>448</v>
      </c>
    </row>
    <row r="2373" customFormat="false" ht="15" hidden="false" customHeight="false" outlineLevel="0" collapsed="false">
      <c r="A2373" s="4" t="s">
        <v>449</v>
      </c>
      <c r="B2373" s="36" t="s">
        <v>450</v>
      </c>
      <c r="C2373" s="34" t="n">
        <f aca="false">'Market Sizing'!$C$20*Assumptions!$H$10*Assumptions!$H$11*(1-Assumptions!$H$12)</f>
        <v>2743.814304</v>
      </c>
    </row>
    <row r="2374" customFormat="false" ht="15" hidden="false" customHeight="false" outlineLevel="0" collapsed="false">
      <c r="A2374" s="4" t="s">
        <v>451</v>
      </c>
      <c r="B2374" s="36" t="s">
        <v>450</v>
      </c>
      <c r="C2374" s="34" t="n">
        <f aca="false">'Market Sizing'!$D$20*Assumptions!$H$10*Assumptions!$H$11*(1-Assumptions!$H$12)</f>
        <v>560.531664</v>
      </c>
    </row>
    <row r="2375" customFormat="false" ht="15" hidden="false" customHeight="false" outlineLevel="0" collapsed="false">
      <c r="A2375" s="4" t="s">
        <v>452</v>
      </c>
      <c r="B2375" s="36" t="s">
        <v>450</v>
      </c>
      <c r="C2375" s="34" t="n">
        <f aca="false">'Market Sizing'!$E$20*Assumptions!$H$10*Assumptions!$H$11*(1-Assumptions!$H$12)</f>
        <v>130.340826</v>
      </c>
    </row>
    <row r="2376" customFormat="false" ht="15" hidden="false" customHeight="false" outlineLevel="0" collapsed="false">
      <c r="A2376" s="4" t="s">
        <v>453</v>
      </c>
      <c r="B2376" s="36"/>
      <c r="C2376" s="34" t="n">
        <f aca="false">$C$2373+$C$2374+$C$2375</f>
        <v>3434.686794</v>
      </c>
    </row>
    <row r="2377" customFormat="false" ht="15" hidden="false" customHeight="false" outlineLevel="0" collapsed="false">
      <c r="A2377" s="4" t="s">
        <v>454</v>
      </c>
      <c r="B2377" s="36" t="s">
        <v>450</v>
      </c>
      <c r="C2377" s="34" t="n">
        <f aca="false">'Market Sizing'!$C$21*Assumptions!$H$10*Assumptions!$H$11*(1-Assumptions!$H$12)</f>
        <v>2711.4875865</v>
      </c>
    </row>
    <row r="2378" customFormat="false" ht="15" hidden="false" customHeight="false" outlineLevel="0" collapsed="false">
      <c r="A2378" s="4" t="s">
        <v>455</v>
      </c>
      <c r="B2378" s="36" t="s">
        <v>450</v>
      </c>
      <c r="C2378" s="34" t="n">
        <f aca="false">'Market Sizing'!$D$21*Assumptions!$H$10*Assumptions!$H$11*(1-Assumptions!$H$12)</f>
        <v>558.515727</v>
      </c>
    </row>
    <row r="2379" customFormat="false" ht="15" hidden="false" customHeight="false" outlineLevel="0" collapsed="false">
      <c r="A2379" s="4" t="s">
        <v>456</v>
      </c>
      <c r="B2379" s="36" t="s">
        <v>450</v>
      </c>
      <c r="C2379" s="34" t="n">
        <f aca="false">'Market Sizing'!$E$21*Assumptions!$H$10*Assumptions!$H$11*(1-Assumptions!$H$12)</f>
        <v>114.174522</v>
      </c>
    </row>
    <row r="2380" customFormat="false" ht="15" hidden="false" customHeight="false" outlineLevel="0" collapsed="false">
      <c r="A2380" s="4" t="s">
        <v>457</v>
      </c>
      <c r="B2380" s="36"/>
      <c r="C2380" s="34" t="n">
        <f aca="false">$C$2377+$C$2378+$C$2379</f>
        <v>3384.1778355</v>
      </c>
    </row>
    <row r="2381" customFormat="false" ht="15" hidden="false" customHeight="false" outlineLevel="0" collapsed="false">
      <c r="A2381" s="4" t="s">
        <v>458</v>
      </c>
      <c r="B2381" s="36" t="s">
        <v>450</v>
      </c>
      <c r="C2381" s="34" t="n">
        <f aca="false">'Market Sizing'!$C$22*Assumptions!$H$10*Assumptions!$H$11*(1-Assumptions!$H$12)</f>
        <v>2796.4244385</v>
      </c>
    </row>
    <row r="2382" customFormat="false" ht="15" hidden="false" customHeight="false" outlineLevel="0" collapsed="false">
      <c r="A2382" s="4" t="s">
        <v>459</v>
      </c>
      <c r="B2382" s="36" t="s">
        <v>450</v>
      </c>
      <c r="C2382" s="34" t="n">
        <f aca="false">'Market Sizing'!$D$22*Assumptions!$H$10*Assumptions!$H$11*(1-Assumptions!$H$12)</f>
        <v>714.600117</v>
      </c>
    </row>
    <row r="2383" customFormat="false" ht="15" hidden="false" customHeight="false" outlineLevel="0" collapsed="false">
      <c r="A2383" s="4" t="s">
        <v>460</v>
      </c>
      <c r="B2383" s="36" t="s">
        <v>450</v>
      </c>
      <c r="C2383" s="34" t="n">
        <f aca="false">'Market Sizing'!$E$22*Assumptions!$H$10*Assumptions!$H$11*(1-Assumptions!$H$12)</f>
        <v>150.548706</v>
      </c>
    </row>
    <row r="2384" customFormat="false" ht="15" hidden="false" customHeight="false" outlineLevel="0" collapsed="false">
      <c r="A2384" s="4" t="s">
        <v>461</v>
      </c>
      <c r="B2384" s="36"/>
      <c r="C2384" s="34" t="n">
        <f aca="false">$C$2381+$C$2382+$C$2383</f>
        <v>3661.5732615</v>
      </c>
    </row>
    <row r="2385" customFormat="false" ht="15" hidden="false" customHeight="false" outlineLevel="0" collapsed="false">
      <c r="A2385" s="4" t="s">
        <v>462</v>
      </c>
      <c r="B2385" s="36" t="s">
        <v>463</v>
      </c>
      <c r="C2385" s="33" t="n">
        <f aca="false">MAX((Assumptions!$H$51+Assumptions!$H$53)*12,(((('Market Sizing'!$E$28*Assumptions!$H$41*Assumptions!$H$42*Assumptions!$H$43)*Assumptions!$H$44)*Assumptions!$H$45*Assumptions!$H$46+('Market Sizing'!$E$28*Assumptions!$H$41*Assumptions!$H$42*Assumptions!$H$43)*Assumptions!$H$47+('Market Sizing'!$E$28*Assumptions!$H$41*Assumptions!$H$42*Assumptions!$H$43)*Assumptions!$H$48*Assumptions!$H$49)*(Assumptions!$H$51*12/Assumptions!$H$52)+((('Market Sizing'!$E$28*Assumptions!$H$41*Assumptions!$H$42*Assumptions!$H$43)*Assumptions!$H$44)*Assumptions!$H$45+('Market Sizing'!$E$28*Assumptions!$H$41*Assumptions!$H$42*Assumptions!$H$43)+('Market Sizing'!$E$28*Assumptions!$H$41*Assumptions!$H$42*Assumptions!$H$43)*Assumptions!$H$48)*Assumptions!$H$50*(Assumptions!$H$53*12/Assumptions!$H$54)))</f>
        <v>5352</v>
      </c>
    </row>
    <row r="2386" customFormat="false" ht="15" hidden="false" customHeight="false" outlineLevel="0" collapsed="false">
      <c r="A2386" s="4" t="s">
        <v>464</v>
      </c>
      <c r="B2386" s="36" t="s">
        <v>463</v>
      </c>
      <c r="C2386" s="33" t="n">
        <f aca="false">MAX((Assumptions!$H$51+Assumptions!$H$53)*12,(((('Market Sizing'!$E$29*Assumptions!$H$41*Assumptions!$H$42*Assumptions!$H$43)*Assumptions!$H$44)*Assumptions!$H$45*Assumptions!$H$46+('Market Sizing'!$E$29*Assumptions!$H$41*Assumptions!$H$42*Assumptions!$H$43)*Assumptions!$H$47+('Market Sizing'!$E$29*Assumptions!$H$41*Assumptions!$H$42*Assumptions!$H$43)*Assumptions!$H$48*Assumptions!$H$49)*(Assumptions!$H$51*12/Assumptions!$H$52)+((('Market Sizing'!$E$29*Assumptions!$H$41*Assumptions!$H$42*Assumptions!$H$43)*Assumptions!$H$44)*Assumptions!$H$45+('Market Sizing'!$E$29*Assumptions!$H$41*Assumptions!$H$42*Assumptions!$H$43)+('Market Sizing'!$E$29*Assumptions!$H$41*Assumptions!$H$42*Assumptions!$H$43)*Assumptions!$H$48)*Assumptions!$H$50*(Assumptions!$H$53*12/Assumptions!$H$54)))</f>
        <v>5352</v>
      </c>
    </row>
    <row r="2387" customFormat="false" ht="15" hidden="false" customHeight="false" outlineLevel="0" collapsed="false">
      <c r="A2387" s="4" t="s">
        <v>465</v>
      </c>
      <c r="B2387" s="36" t="s">
        <v>463</v>
      </c>
      <c r="C2387" s="33" t="n">
        <f aca="false">MAX(Assumptions!$H$55*(Assumptions!$H$51*12/Assumptions!$H$52)+Assumptions!$H$56*(Assumptions!$H$53*12/Assumptions!$H$54),(((('Market Sizing'!$E$30*Assumptions!$H$41*Assumptions!$H$42*Assumptions!$H$43)*Assumptions!$H$44)*Assumptions!$H$45*Assumptions!$H$46+('Market Sizing'!$E$30*Assumptions!$H$41*Assumptions!$H$42*Assumptions!$H$43)*Assumptions!$H$47+('Market Sizing'!$E$30*Assumptions!$H$41*Assumptions!$H$42*Assumptions!$H$43)*Assumptions!$H$48*Assumptions!$H$49)*(Assumptions!$H$51*12/Assumptions!$H$52)+((('Market Sizing'!$E$30*Assumptions!$H$41*Assumptions!$H$42*Assumptions!$H$43)*Assumptions!$H$44)*Assumptions!$H$45+('Market Sizing'!$E$30*Assumptions!$H$41*Assumptions!$H$42*Assumptions!$H$43)+('Market Sizing'!$E$30*Assumptions!$H$41*Assumptions!$H$42*Assumptions!$H$43)*Assumptions!$H$48)*Assumptions!$H$50*(Assumptions!$H$53*12/Assumptions!$H$54)))*(1-Assumptions!$H$57)</f>
        <v>44310</v>
      </c>
    </row>
    <row r="2388" customFormat="false" ht="23.85" hidden="false" customHeight="false" outlineLevel="0" collapsed="false">
      <c r="A2388" s="4" t="s">
        <v>466</v>
      </c>
      <c r="B2388" s="36" t="s">
        <v>467</v>
      </c>
      <c r="C2388" s="37" t="n">
        <f aca="false">Assumptions!$H$17*Assumptions!$E$106</f>
        <v>0.4</v>
      </c>
    </row>
    <row r="2389" customFormat="false" ht="23.85" hidden="false" customHeight="false" outlineLevel="0" collapsed="false">
      <c r="A2389" s="4" t="s">
        <v>468</v>
      </c>
      <c r="B2389" s="36" t="s">
        <v>469</v>
      </c>
      <c r="C2389" s="33" t="n">
        <f aca="false">Assumptions!$H$68/Assumptions!$H$69</f>
        <v>285714.285714286</v>
      </c>
    </row>
    <row r="2390" customFormat="false" ht="23.85" hidden="false" customHeight="false" outlineLevel="0" collapsed="false">
      <c r="A2390" s="4" t="s">
        <v>470</v>
      </c>
      <c r="B2390" s="36" t="s">
        <v>471</v>
      </c>
      <c r="C2390" s="33" t="n">
        <f aca="false">Assumptions!$H$66*Assumptions!$H$67/4</f>
        <v>153125</v>
      </c>
    </row>
    <row r="2391" customFormat="false" ht="15" hidden="false" customHeight="false" outlineLevel="0" collapsed="false">
      <c r="A2391" s="4" t="s">
        <v>472</v>
      </c>
      <c r="B2391" s="36"/>
      <c r="C2391" s="38" t="n">
        <f aca="false">$C$2389/Assumptions!$H$66/Assumptions!$H$67</f>
        <v>0.466472303206997</v>
      </c>
    </row>
    <row r="2392" customFormat="false" ht="15" hidden="false" customHeight="false" outlineLevel="0" collapsed="false">
      <c r="A2392" s="4" t="s">
        <v>473</v>
      </c>
      <c r="B2392" s="36"/>
      <c r="C2392" s="33" t="n">
        <f aca="false">MAX(0,Assumptions!$E$103-Assumptions!$H$78)</f>
        <v>35000</v>
      </c>
    </row>
    <row r="2393" customFormat="false" ht="15" hidden="false" customHeight="false" outlineLevel="0" collapsed="false">
      <c r="A2393" s="35" t="s">
        <v>474</v>
      </c>
      <c r="B2393" s="35" t="s">
        <v>444</v>
      </c>
      <c r="C2393" s="6" t="s">
        <v>354</v>
      </c>
      <c r="D2393" s="6" t="s">
        <v>355</v>
      </c>
      <c r="E2393" s="6" t="s">
        <v>356</v>
      </c>
      <c r="F2393" s="6" t="s">
        <v>357</v>
      </c>
      <c r="G2393" s="6" t="s">
        <v>358</v>
      </c>
      <c r="H2393" s="6" t="s">
        <v>359</v>
      </c>
      <c r="I2393" s="6" t="s">
        <v>360</v>
      </c>
      <c r="J2393" s="6" t="s">
        <v>361</v>
      </c>
      <c r="K2393" s="6" t="s">
        <v>362</v>
      </c>
      <c r="L2393" s="6" t="s">
        <v>363</v>
      </c>
      <c r="M2393" s="6" t="s">
        <v>364</v>
      </c>
      <c r="N2393" s="6" t="s">
        <v>365</v>
      </c>
      <c r="P2393" s="6" t="s">
        <v>445</v>
      </c>
      <c r="Q2393" s="6" t="s">
        <v>446</v>
      </c>
      <c r="R2393" s="6" t="s">
        <v>447</v>
      </c>
      <c r="S2393" s="6" t="s">
        <v>448</v>
      </c>
    </row>
    <row r="2394" customFormat="false" ht="15" hidden="false" customHeight="false" outlineLevel="0" collapsed="false">
      <c r="A2394" s="4" t="s">
        <v>475</v>
      </c>
      <c r="B2394" s="36" t="s">
        <v>133</v>
      </c>
      <c r="C2394" s="39" t="n">
        <v>1</v>
      </c>
      <c r="D2394" s="39" t="n">
        <v>2</v>
      </c>
      <c r="E2394" s="39" t="n">
        <v>3</v>
      </c>
      <c r="F2394" s="39" t="n">
        <v>4</v>
      </c>
      <c r="G2394" s="39" t="n">
        <v>5</v>
      </c>
      <c r="H2394" s="39" t="n">
        <v>6</v>
      </c>
      <c r="I2394" s="39" t="n">
        <v>7</v>
      </c>
      <c r="J2394" s="39" t="n">
        <v>8</v>
      </c>
      <c r="K2394" s="39" t="n">
        <v>9</v>
      </c>
      <c r="L2394" s="39" t="n">
        <v>10</v>
      </c>
      <c r="M2394" s="39" t="n">
        <v>11</v>
      </c>
      <c r="N2394" s="39" t="n">
        <v>12</v>
      </c>
      <c r="P2394" s="40"/>
      <c r="Q2394" s="40"/>
      <c r="R2394" s="40"/>
      <c r="S2394" s="41"/>
    </row>
    <row r="2395" customFormat="false" ht="15" hidden="false" customHeight="false" outlineLevel="0" collapsed="false">
      <c r="A2395" s="4" t="s">
        <v>476</v>
      </c>
      <c r="B2395" s="36" t="s">
        <v>343</v>
      </c>
      <c r="C2395" s="39" t="n">
        <f aca="false">IF(C2394&lt;=Assumptions!$H$84,1,0)</f>
        <v>1</v>
      </c>
      <c r="D2395" s="39" t="n">
        <f aca="false">IF(D2394&lt;=Assumptions!$H$84,1,0)</f>
        <v>1</v>
      </c>
      <c r="E2395" s="39" t="n">
        <f aca="false">IF(E2394&lt;=Assumptions!$H$84,1,0)</f>
        <v>1</v>
      </c>
      <c r="F2395" s="39" t="n">
        <f aca="false">IF(F2394&lt;=Assumptions!$H$84,1,0)</f>
        <v>1</v>
      </c>
      <c r="G2395" s="39" t="n">
        <f aca="false">IF(G2394&lt;=Assumptions!$H$84,1,0)</f>
        <v>1</v>
      </c>
      <c r="H2395" s="39" t="n">
        <f aca="false">IF(H2394&lt;=Assumptions!$H$84,1,0)</f>
        <v>1</v>
      </c>
      <c r="I2395" s="39" t="n">
        <f aca="false">IF(I2394&lt;=Assumptions!$H$84,1,0)</f>
        <v>1</v>
      </c>
      <c r="J2395" s="39" t="n">
        <f aca="false">IF(J2394&lt;=Assumptions!$H$84,1,0)</f>
        <v>1</v>
      </c>
      <c r="K2395" s="39" t="n">
        <f aca="false">IF(K2394&lt;=Assumptions!$H$84,1,0)</f>
        <v>1</v>
      </c>
      <c r="L2395" s="39" t="n">
        <f aca="false">IF(L2394&lt;=Assumptions!$H$84,1,0)</f>
        <v>1</v>
      </c>
      <c r="M2395" s="39" t="n">
        <f aca="false">IF(M2394&lt;=Assumptions!$H$84,1,0)</f>
        <v>1</v>
      </c>
      <c r="N2395" s="39" t="n">
        <f aca="false">IF(N2394&lt;=Assumptions!$H$84,1,0)</f>
        <v>1</v>
      </c>
      <c r="P2395" s="40"/>
      <c r="Q2395" s="40"/>
      <c r="R2395" s="40"/>
      <c r="S2395" s="41"/>
    </row>
    <row r="2396" customFormat="false" ht="15" hidden="false" customHeight="false" outlineLevel="0" collapsed="false">
      <c r="A2396" s="4" t="s">
        <v>477</v>
      </c>
      <c r="B2396" s="36" t="s">
        <v>478</v>
      </c>
      <c r="C2396" s="42" t="n">
        <f aca="false">IF(C2394=Assumptions!$H$13,0.5,IF(C2394&gt;Assumptions!$H$13,1,0))</f>
        <v>0.5</v>
      </c>
      <c r="D2396" s="42" t="n">
        <f aca="false">IF(D2394=Assumptions!$H$13,0.5,IF(D2394&gt;Assumptions!$H$13,1,0))</f>
        <v>1</v>
      </c>
      <c r="E2396" s="42" t="n">
        <f aca="false">IF(E2394=Assumptions!$H$13,0.5,IF(E2394&gt;Assumptions!$H$13,1,0))</f>
        <v>1</v>
      </c>
      <c r="F2396" s="42" t="n">
        <f aca="false">IF(F2394=Assumptions!$H$13,0.5,IF(F2394&gt;Assumptions!$H$13,1,0))</f>
        <v>1</v>
      </c>
      <c r="G2396" s="42" t="n">
        <f aca="false">IF(G2394=Assumptions!$H$13,0.5,IF(G2394&gt;Assumptions!$H$13,1,0))</f>
        <v>1</v>
      </c>
      <c r="H2396" s="42" t="n">
        <f aca="false">IF(H2394=Assumptions!$H$13,0.5,IF(H2394&gt;Assumptions!$H$13,1,0))</f>
        <v>1</v>
      </c>
      <c r="I2396" s="42" t="n">
        <f aca="false">IF(I2394=Assumptions!$H$13,0.5,IF(I2394&gt;Assumptions!$H$13,1,0))</f>
        <v>1</v>
      </c>
      <c r="J2396" s="42" t="n">
        <f aca="false">IF(J2394=Assumptions!$H$13,0.5,IF(J2394&gt;Assumptions!$H$13,1,0))</f>
        <v>1</v>
      </c>
      <c r="K2396" s="42" t="n">
        <f aca="false">IF(K2394=Assumptions!$H$13,0.5,IF(K2394&gt;Assumptions!$H$13,1,0))</f>
        <v>1</v>
      </c>
      <c r="L2396" s="42" t="n">
        <f aca="false">IF(L2394=Assumptions!$H$13,0.5,IF(L2394&gt;Assumptions!$H$13,1,0))</f>
        <v>1</v>
      </c>
      <c r="M2396" s="42" t="n">
        <f aca="false">IF(M2394=Assumptions!$H$13,0.5,IF(M2394&gt;Assumptions!$H$13,1,0))</f>
        <v>1</v>
      </c>
      <c r="N2396" s="42" t="n">
        <f aca="false">IF(N2394=Assumptions!$H$13,0.5,IF(N2394&gt;Assumptions!$H$13,1,0))</f>
        <v>1</v>
      </c>
      <c r="P2396" s="43"/>
      <c r="Q2396" s="43"/>
      <c r="R2396" s="43"/>
      <c r="S2396" s="44"/>
    </row>
    <row r="2397" customFormat="false" ht="15" hidden="false" customHeight="false" outlineLevel="0" collapsed="false">
      <c r="A2397" s="4" t="s">
        <v>479</v>
      </c>
      <c r="B2397" s="36" t="s">
        <v>478</v>
      </c>
      <c r="C2397" s="42" t="n">
        <f aca="false">IF(C2394=Assumptions!$H$14,0.5,IF(C2394&gt;Assumptions!$H$14,1,0))</f>
        <v>0</v>
      </c>
      <c r="D2397" s="42" t="n">
        <f aca="false">IF(D2394=Assumptions!$H$14,0.5,IF(D2394&gt;Assumptions!$H$14,1,0))</f>
        <v>0</v>
      </c>
      <c r="E2397" s="42" t="n">
        <f aca="false">IF(E2394=Assumptions!$H$14,0.5,IF(E2394&gt;Assumptions!$H$14,1,0))</f>
        <v>0</v>
      </c>
      <c r="F2397" s="42" t="n">
        <f aca="false">IF(F2394=Assumptions!$H$14,0.5,IF(F2394&gt;Assumptions!$H$14,1,0))</f>
        <v>0</v>
      </c>
      <c r="G2397" s="42" t="n">
        <f aca="false">IF(G2394=Assumptions!$H$14,0.5,IF(G2394&gt;Assumptions!$H$14,1,0))</f>
        <v>0.5</v>
      </c>
      <c r="H2397" s="42" t="n">
        <f aca="false">IF(H2394=Assumptions!$H$14,0.5,IF(H2394&gt;Assumptions!$H$14,1,0))</f>
        <v>1</v>
      </c>
      <c r="I2397" s="42" t="n">
        <f aca="false">IF(I2394=Assumptions!$H$14,0.5,IF(I2394&gt;Assumptions!$H$14,1,0))</f>
        <v>1</v>
      </c>
      <c r="J2397" s="42" t="n">
        <f aca="false">IF(J2394=Assumptions!$H$14,0.5,IF(J2394&gt;Assumptions!$H$14,1,0))</f>
        <v>1</v>
      </c>
      <c r="K2397" s="42" t="n">
        <f aca="false">IF(K2394=Assumptions!$H$14,0.5,IF(K2394&gt;Assumptions!$H$14,1,0))</f>
        <v>1</v>
      </c>
      <c r="L2397" s="42" t="n">
        <f aca="false">IF(L2394=Assumptions!$H$14,0.5,IF(L2394&gt;Assumptions!$H$14,1,0))</f>
        <v>1</v>
      </c>
      <c r="M2397" s="42" t="n">
        <f aca="false">IF(M2394=Assumptions!$H$14,0.5,IF(M2394&gt;Assumptions!$H$14,1,0))</f>
        <v>1</v>
      </c>
      <c r="N2397" s="42" t="n">
        <f aca="false">IF(N2394=Assumptions!$H$14,0.5,IF(N2394&gt;Assumptions!$H$14,1,0))</f>
        <v>1</v>
      </c>
      <c r="P2397" s="43"/>
      <c r="Q2397" s="43"/>
      <c r="R2397" s="43"/>
      <c r="S2397" s="44"/>
    </row>
    <row r="2398" customFormat="false" ht="15" hidden="false" customHeight="false" outlineLevel="0" collapsed="false">
      <c r="A2398" s="4" t="s">
        <v>480</v>
      </c>
      <c r="B2398" s="36" t="s">
        <v>478</v>
      </c>
      <c r="C2398" s="42" t="n">
        <f aca="false">IF(C2394=Assumptions!$H$15,0.5,IF(C2394&gt;Assumptions!$H$15,1,0))</f>
        <v>0</v>
      </c>
      <c r="D2398" s="42" t="n">
        <f aca="false">IF(D2394=Assumptions!$H$15,0.5,IF(D2394&gt;Assumptions!$H$15,1,0))</f>
        <v>0</v>
      </c>
      <c r="E2398" s="42" t="n">
        <f aca="false">IF(E2394=Assumptions!$H$15,0.5,IF(E2394&gt;Assumptions!$H$15,1,0))</f>
        <v>0</v>
      </c>
      <c r="F2398" s="42" t="n">
        <f aca="false">IF(F2394=Assumptions!$H$15,0.5,IF(F2394&gt;Assumptions!$H$15,1,0))</f>
        <v>0</v>
      </c>
      <c r="G2398" s="42" t="n">
        <f aca="false">IF(G2394=Assumptions!$H$15,0.5,IF(G2394&gt;Assumptions!$H$15,1,0))</f>
        <v>0</v>
      </c>
      <c r="H2398" s="42" t="n">
        <f aca="false">IF(H2394=Assumptions!$H$15,0.5,IF(H2394&gt;Assumptions!$H$15,1,0))</f>
        <v>0</v>
      </c>
      <c r="I2398" s="42" t="n">
        <f aca="false">IF(I2394=Assumptions!$H$15,0.5,IF(I2394&gt;Assumptions!$H$15,1,0))</f>
        <v>0.5</v>
      </c>
      <c r="J2398" s="42" t="n">
        <f aca="false">IF(J2394=Assumptions!$H$15,0.5,IF(J2394&gt;Assumptions!$H$15,1,0))</f>
        <v>1</v>
      </c>
      <c r="K2398" s="42" t="n">
        <f aca="false">IF(K2394=Assumptions!$H$15,0.5,IF(K2394&gt;Assumptions!$H$15,1,0))</f>
        <v>1</v>
      </c>
      <c r="L2398" s="42" t="n">
        <f aca="false">IF(L2394=Assumptions!$H$15,0.5,IF(L2394&gt;Assumptions!$H$15,1,0))</f>
        <v>1</v>
      </c>
      <c r="M2398" s="42" t="n">
        <f aca="false">IF(M2394=Assumptions!$H$15,0.5,IF(M2394&gt;Assumptions!$H$15,1,0))</f>
        <v>1</v>
      </c>
      <c r="N2398" s="42" t="n">
        <f aca="false">IF(N2394=Assumptions!$H$15,0.5,IF(N2394&gt;Assumptions!$H$15,1,0))</f>
        <v>1</v>
      </c>
      <c r="P2398" s="43"/>
      <c r="Q2398" s="43"/>
      <c r="R2398" s="43"/>
      <c r="S2398" s="44"/>
    </row>
    <row r="2399" customFormat="false" ht="15" hidden="false" customHeight="false" outlineLevel="0" collapsed="false">
      <c r="A2399" s="4" t="s">
        <v>481</v>
      </c>
      <c r="B2399" s="36" t="s">
        <v>478</v>
      </c>
      <c r="C2399" s="45" t="n">
        <f aca="false">Assumptions!$H$21^(MAX(0,C2394-Assumptions!$H$13)/4)</f>
        <v>1</v>
      </c>
      <c r="D2399" s="45" t="n">
        <f aca="false">Assumptions!$H$21^(MAX(0,D2394-Assumptions!$H$13)/4)</f>
        <v>0.9306048591021</v>
      </c>
      <c r="E2399" s="45" t="n">
        <f aca="false">Assumptions!$H$21^(MAX(0,E2394-Assumptions!$H$13)/4)</f>
        <v>0.866025403784439</v>
      </c>
      <c r="F2399" s="45" t="n">
        <f aca="false">Assumptions!$H$21^(MAX(0,F2394-Assumptions!$H$13)/4)</f>
        <v>0.805927448867656</v>
      </c>
      <c r="G2399" s="45" t="n">
        <f aca="false">Assumptions!$H$21^(MAX(0,G2394-Assumptions!$H$13)/4)</f>
        <v>0.75</v>
      </c>
      <c r="H2399" s="45" t="n">
        <f aca="false">Assumptions!$H$21^(MAX(0,H2394-Assumptions!$H$13)/4)</f>
        <v>0.697953644326575</v>
      </c>
      <c r="I2399" s="45" t="n">
        <f aca="false">Assumptions!$H$21^(MAX(0,I2394-Assumptions!$H$13)/4)</f>
        <v>0.649519052838329</v>
      </c>
      <c r="J2399" s="45" t="n">
        <f aca="false">Assumptions!$H$21^(MAX(0,J2394-Assumptions!$H$13)/4)</f>
        <v>0.604445586650742</v>
      </c>
      <c r="K2399" s="45" t="n">
        <f aca="false">Assumptions!$H$21^(MAX(0,K2394-Assumptions!$H$13)/4)</f>
        <v>0.5625</v>
      </c>
      <c r="L2399" s="45" t="n">
        <f aca="false">Assumptions!$H$21^(MAX(0,L2394-Assumptions!$H$13)/4)</f>
        <v>0.523465233244931</v>
      </c>
      <c r="M2399" s="45" t="n">
        <f aca="false">Assumptions!$H$21^(MAX(0,M2394-Assumptions!$H$13)/4)</f>
        <v>0.487139289628747</v>
      </c>
      <c r="N2399" s="45" t="n">
        <f aca="false">Assumptions!$H$21^(MAX(0,N2394-Assumptions!$H$13)/4)</f>
        <v>0.453334189988057</v>
      </c>
      <c r="P2399" s="46"/>
      <c r="Q2399" s="46"/>
      <c r="R2399" s="46"/>
      <c r="S2399" s="47"/>
    </row>
    <row r="2400" customFormat="false" ht="15" hidden="false" customHeight="false" outlineLevel="0" collapsed="false">
      <c r="A2400" s="4" t="s">
        <v>482</v>
      </c>
      <c r="B2400" s="36" t="s">
        <v>478</v>
      </c>
      <c r="C2400" s="45" t="n">
        <f aca="false">Assumptions!$H$21^(MAX(0,C2394-Assumptions!$H$14)/4)</f>
        <v>1</v>
      </c>
      <c r="D2400" s="45" t="n">
        <f aca="false">Assumptions!$H$21^(MAX(0,D2394-Assumptions!$H$14)/4)</f>
        <v>1</v>
      </c>
      <c r="E2400" s="45" t="n">
        <f aca="false">Assumptions!$H$21^(MAX(0,E2394-Assumptions!$H$14)/4)</f>
        <v>1</v>
      </c>
      <c r="F2400" s="45" t="n">
        <f aca="false">Assumptions!$H$21^(MAX(0,F2394-Assumptions!$H$14)/4)</f>
        <v>1</v>
      </c>
      <c r="G2400" s="45" t="n">
        <f aca="false">Assumptions!$H$21^(MAX(0,G2394-Assumptions!$H$14)/4)</f>
        <v>1</v>
      </c>
      <c r="H2400" s="45" t="n">
        <f aca="false">Assumptions!$H$21^(MAX(0,H2394-Assumptions!$H$14)/4)</f>
        <v>0.9306048591021</v>
      </c>
      <c r="I2400" s="45" t="n">
        <f aca="false">Assumptions!$H$21^(MAX(0,I2394-Assumptions!$H$14)/4)</f>
        <v>0.866025403784439</v>
      </c>
      <c r="J2400" s="45" t="n">
        <f aca="false">Assumptions!$H$21^(MAX(0,J2394-Assumptions!$H$14)/4)</f>
        <v>0.805927448867656</v>
      </c>
      <c r="K2400" s="45" t="n">
        <f aca="false">Assumptions!$H$21^(MAX(0,K2394-Assumptions!$H$14)/4)</f>
        <v>0.75</v>
      </c>
      <c r="L2400" s="45" t="n">
        <f aca="false">Assumptions!$H$21^(MAX(0,L2394-Assumptions!$H$14)/4)</f>
        <v>0.697953644326575</v>
      </c>
      <c r="M2400" s="45" t="n">
        <f aca="false">Assumptions!$H$21^(MAX(0,M2394-Assumptions!$H$14)/4)</f>
        <v>0.649519052838329</v>
      </c>
      <c r="N2400" s="45" t="n">
        <f aca="false">Assumptions!$H$21^(MAX(0,N2394-Assumptions!$H$14)/4)</f>
        <v>0.604445586650742</v>
      </c>
      <c r="P2400" s="46"/>
      <c r="Q2400" s="46"/>
      <c r="R2400" s="46"/>
      <c r="S2400" s="47"/>
    </row>
    <row r="2401" customFormat="false" ht="15" hidden="false" customHeight="false" outlineLevel="0" collapsed="false">
      <c r="A2401" s="4" t="s">
        <v>483</v>
      </c>
      <c r="B2401" s="36" t="s">
        <v>478</v>
      </c>
      <c r="C2401" s="45" t="n">
        <f aca="false">Assumptions!$H$21^(MAX(0,C2394-Assumptions!$H$15)/4)</f>
        <v>1</v>
      </c>
      <c r="D2401" s="45" t="n">
        <f aca="false">Assumptions!$H$21^(MAX(0,D2394-Assumptions!$H$15)/4)</f>
        <v>1</v>
      </c>
      <c r="E2401" s="45" t="n">
        <f aca="false">Assumptions!$H$21^(MAX(0,E2394-Assumptions!$H$15)/4)</f>
        <v>1</v>
      </c>
      <c r="F2401" s="45" t="n">
        <f aca="false">Assumptions!$H$21^(MAX(0,F2394-Assumptions!$H$15)/4)</f>
        <v>1</v>
      </c>
      <c r="G2401" s="45" t="n">
        <f aca="false">Assumptions!$H$21^(MAX(0,G2394-Assumptions!$H$15)/4)</f>
        <v>1</v>
      </c>
      <c r="H2401" s="45" t="n">
        <f aca="false">Assumptions!$H$21^(MAX(0,H2394-Assumptions!$H$15)/4)</f>
        <v>1</v>
      </c>
      <c r="I2401" s="45" t="n">
        <f aca="false">Assumptions!$H$21^(MAX(0,I2394-Assumptions!$H$15)/4)</f>
        <v>1</v>
      </c>
      <c r="J2401" s="45" t="n">
        <f aca="false">Assumptions!$H$21^(MAX(0,J2394-Assumptions!$H$15)/4)</f>
        <v>0.9306048591021</v>
      </c>
      <c r="K2401" s="45" t="n">
        <f aca="false">Assumptions!$H$21^(MAX(0,K2394-Assumptions!$H$15)/4)</f>
        <v>0.866025403784439</v>
      </c>
      <c r="L2401" s="45" t="n">
        <f aca="false">Assumptions!$H$21^(MAX(0,L2394-Assumptions!$H$15)/4)</f>
        <v>0.805927448867656</v>
      </c>
      <c r="M2401" s="45" t="n">
        <f aca="false">Assumptions!$H$21^(MAX(0,M2394-Assumptions!$H$15)/4)</f>
        <v>0.75</v>
      </c>
      <c r="N2401" s="45" t="n">
        <f aca="false">Assumptions!$H$21^(MAX(0,N2394-Assumptions!$H$15)/4)</f>
        <v>0.697953644326575</v>
      </c>
      <c r="P2401" s="46"/>
      <c r="Q2401" s="46"/>
      <c r="R2401" s="46"/>
      <c r="S2401" s="47"/>
    </row>
    <row r="2402" customFormat="false" ht="15" hidden="false" customHeight="false" outlineLevel="0" collapsed="false">
      <c r="A2402" s="4" t="s">
        <v>484</v>
      </c>
      <c r="B2402" s="36" t="s">
        <v>485</v>
      </c>
      <c r="C2402" s="39" t="n">
        <f aca="false">$C$2373*C2396+$C$2377*C2397+$C$2381*C2398</f>
        <v>1371.907152</v>
      </c>
      <c r="D2402" s="39" t="n">
        <f aca="false">$C$2373*D2396+$C$2377*D2397+$C$2381*D2398</f>
        <v>2743.814304</v>
      </c>
      <c r="E2402" s="39" t="n">
        <f aca="false">$C$2373*E2396+$C$2377*E2397+$C$2381*E2398</f>
        <v>2743.814304</v>
      </c>
      <c r="F2402" s="39" t="n">
        <f aca="false">$C$2373*F2396+$C$2377*F2397+$C$2381*F2398</f>
        <v>2743.814304</v>
      </c>
      <c r="G2402" s="39" t="n">
        <f aca="false">$C$2373*G2396+$C$2377*G2397+$C$2381*G2398</f>
        <v>4099.55809725</v>
      </c>
      <c r="H2402" s="39" t="n">
        <f aca="false">$C$2373*H2396+$C$2377*H2397+$C$2381*H2398</f>
        <v>5455.3018905</v>
      </c>
      <c r="I2402" s="39" t="n">
        <f aca="false">$C$2373*I2396+$C$2377*I2397+$C$2381*I2398</f>
        <v>6853.51410975</v>
      </c>
      <c r="J2402" s="39" t="n">
        <f aca="false">$C$2373*J2396+$C$2377*J2397+$C$2381*J2398</f>
        <v>8251.726329</v>
      </c>
      <c r="K2402" s="39" t="n">
        <f aca="false">$C$2373*K2396+$C$2377*K2397+$C$2381*K2398</f>
        <v>8251.726329</v>
      </c>
      <c r="L2402" s="39" t="n">
        <f aca="false">$C$2373*L2396+$C$2377*L2397+$C$2381*L2398</f>
        <v>8251.726329</v>
      </c>
      <c r="M2402" s="39" t="n">
        <f aca="false">$C$2373*M2396+$C$2377*M2397+$C$2381*M2398</f>
        <v>8251.726329</v>
      </c>
      <c r="N2402" s="39" t="n">
        <f aca="false">$C$2373*N2396+$C$2377*N2397+$C$2381*N2398</f>
        <v>8251.726329</v>
      </c>
      <c r="P2402" s="40" t="n">
        <f aca="false">F2402</f>
        <v>2743.814304</v>
      </c>
      <c r="Q2402" s="40" t="n">
        <f aca="false">J2402</f>
        <v>8251.726329</v>
      </c>
      <c r="R2402" s="40" t="n">
        <f aca="false">N2402</f>
        <v>8251.726329</v>
      </c>
      <c r="S2402" s="41" t="n">
        <f aca="false">R2402</f>
        <v>8251.726329</v>
      </c>
    </row>
    <row r="2403" customFormat="false" ht="15" hidden="false" customHeight="false" outlineLevel="0" collapsed="false">
      <c r="A2403" s="4" t="s">
        <v>486</v>
      </c>
      <c r="B2403" s="36" t="s">
        <v>485</v>
      </c>
      <c r="C2403" s="39" t="n">
        <f aca="false">$C$2374*C2396+$C$2378*C2397+$C$2382*C2398</f>
        <v>280.265832</v>
      </c>
      <c r="D2403" s="39" t="n">
        <f aca="false">$C$2374*D2396+$C$2378*D2397+$C$2382*D2398</f>
        <v>560.531664</v>
      </c>
      <c r="E2403" s="39" t="n">
        <f aca="false">$C$2374*E2396+$C$2378*E2397+$C$2382*E2398</f>
        <v>560.531664</v>
      </c>
      <c r="F2403" s="39" t="n">
        <f aca="false">$C$2374*F2396+$C$2378*F2397+$C$2382*F2398</f>
        <v>560.531664</v>
      </c>
      <c r="G2403" s="39" t="n">
        <f aca="false">$C$2374*G2396+$C$2378*G2397+$C$2382*G2398</f>
        <v>839.7895275</v>
      </c>
      <c r="H2403" s="39" t="n">
        <f aca="false">$C$2374*H2396+$C$2378*H2397+$C$2382*H2398</f>
        <v>1119.047391</v>
      </c>
      <c r="I2403" s="39" t="n">
        <f aca="false">$C$2374*I2396+$C$2378*I2397+$C$2382*I2398</f>
        <v>1476.3474495</v>
      </c>
      <c r="J2403" s="39" t="n">
        <f aca="false">$C$2374*J2396+$C$2378*J2397+$C$2382*J2398</f>
        <v>1833.647508</v>
      </c>
      <c r="K2403" s="39" t="n">
        <f aca="false">$C$2374*K2396+$C$2378*K2397+$C$2382*K2398</f>
        <v>1833.647508</v>
      </c>
      <c r="L2403" s="39" t="n">
        <f aca="false">$C$2374*L2396+$C$2378*L2397+$C$2382*L2398</f>
        <v>1833.647508</v>
      </c>
      <c r="M2403" s="39" t="n">
        <f aca="false">$C$2374*M2396+$C$2378*M2397+$C$2382*M2398</f>
        <v>1833.647508</v>
      </c>
      <c r="N2403" s="39" t="n">
        <f aca="false">$C$2374*N2396+$C$2378*N2397+$C$2382*N2398</f>
        <v>1833.647508</v>
      </c>
      <c r="P2403" s="40" t="n">
        <f aca="false">F2403</f>
        <v>560.531664</v>
      </c>
      <c r="Q2403" s="40" t="n">
        <f aca="false">J2403</f>
        <v>1833.647508</v>
      </c>
      <c r="R2403" s="40" t="n">
        <f aca="false">N2403</f>
        <v>1833.647508</v>
      </c>
      <c r="S2403" s="41" t="n">
        <f aca="false">R2403</f>
        <v>1833.647508</v>
      </c>
    </row>
    <row r="2404" customFormat="false" ht="15" hidden="false" customHeight="false" outlineLevel="0" collapsed="false">
      <c r="A2404" s="4" t="s">
        <v>487</v>
      </c>
      <c r="B2404" s="36" t="s">
        <v>485</v>
      </c>
      <c r="C2404" s="39" t="n">
        <f aca="false">$C$2375*C2396+$C$2379*C2397+$C$2383*C2398</f>
        <v>65.170413</v>
      </c>
      <c r="D2404" s="39" t="n">
        <f aca="false">$C$2375*D2396+$C$2379*D2397+$C$2383*D2398</f>
        <v>130.340826</v>
      </c>
      <c r="E2404" s="39" t="n">
        <f aca="false">$C$2375*E2396+$C$2379*E2397+$C$2383*E2398</f>
        <v>130.340826</v>
      </c>
      <c r="F2404" s="39" t="n">
        <f aca="false">$C$2375*F2396+$C$2379*F2397+$C$2383*F2398</f>
        <v>130.340826</v>
      </c>
      <c r="G2404" s="39" t="n">
        <f aca="false">$C$2375*G2396+$C$2379*G2397+$C$2383*G2398</f>
        <v>187.428087</v>
      </c>
      <c r="H2404" s="39" t="n">
        <f aca="false">$C$2375*H2396+$C$2379*H2397+$C$2383*H2398</f>
        <v>244.515348</v>
      </c>
      <c r="I2404" s="39" t="n">
        <f aca="false">$C$2375*I2396+$C$2379*I2397+$C$2383*I2398</f>
        <v>319.789701</v>
      </c>
      <c r="J2404" s="39" t="n">
        <f aca="false">$C$2375*J2396+$C$2379*J2397+$C$2383*J2398</f>
        <v>395.064054</v>
      </c>
      <c r="K2404" s="39" t="n">
        <f aca="false">$C$2375*K2396+$C$2379*K2397+$C$2383*K2398</f>
        <v>395.064054</v>
      </c>
      <c r="L2404" s="39" t="n">
        <f aca="false">$C$2375*L2396+$C$2379*L2397+$C$2383*L2398</f>
        <v>395.064054</v>
      </c>
      <c r="M2404" s="39" t="n">
        <f aca="false">$C$2375*M2396+$C$2379*M2397+$C$2383*M2398</f>
        <v>395.064054</v>
      </c>
      <c r="N2404" s="39" t="n">
        <f aca="false">$C$2375*N2396+$C$2379*N2397+$C$2383*N2398</f>
        <v>395.064054</v>
      </c>
      <c r="P2404" s="40" t="n">
        <f aca="false">F2404</f>
        <v>130.340826</v>
      </c>
      <c r="Q2404" s="40" t="n">
        <f aca="false">J2404</f>
        <v>395.064054</v>
      </c>
      <c r="R2404" s="40" t="n">
        <f aca="false">N2404</f>
        <v>395.064054</v>
      </c>
      <c r="S2404" s="41" t="n">
        <f aca="false">R2404</f>
        <v>395.064054</v>
      </c>
    </row>
    <row r="2405" customFormat="false" ht="15" hidden="false" customHeight="false" outlineLevel="0" collapsed="false">
      <c r="A2405" s="4" t="s">
        <v>488</v>
      </c>
      <c r="B2405" s="36" t="s">
        <v>485</v>
      </c>
      <c r="C2405" s="39" t="n">
        <f aca="false">C2402+C2403+C2404</f>
        <v>1717.343397</v>
      </c>
      <c r="D2405" s="39" t="n">
        <f aca="false">D2402+D2403+D2404</f>
        <v>3434.686794</v>
      </c>
      <c r="E2405" s="39" t="n">
        <f aca="false">E2402+E2403+E2404</f>
        <v>3434.686794</v>
      </c>
      <c r="F2405" s="39" t="n">
        <f aca="false">F2402+F2403+F2404</f>
        <v>3434.686794</v>
      </c>
      <c r="G2405" s="39" t="n">
        <f aca="false">G2402+G2403+G2404</f>
        <v>5126.77571175</v>
      </c>
      <c r="H2405" s="39" t="n">
        <f aca="false">H2402+H2403+H2404</f>
        <v>6818.8646295</v>
      </c>
      <c r="I2405" s="39" t="n">
        <f aca="false">I2402+I2403+I2404</f>
        <v>8649.65126025</v>
      </c>
      <c r="J2405" s="39" t="n">
        <f aca="false">J2402+J2403+J2404</f>
        <v>10480.437891</v>
      </c>
      <c r="K2405" s="39" t="n">
        <f aca="false">K2402+K2403+K2404</f>
        <v>10480.437891</v>
      </c>
      <c r="L2405" s="39" t="n">
        <f aca="false">L2402+L2403+L2404</f>
        <v>10480.437891</v>
      </c>
      <c r="M2405" s="39" t="n">
        <f aca="false">M2402+M2403+M2404</f>
        <v>10480.437891</v>
      </c>
      <c r="N2405" s="39" t="n">
        <f aca="false">N2402+N2403+N2404</f>
        <v>10480.437891</v>
      </c>
      <c r="P2405" s="40" t="n">
        <f aca="false">F2405</f>
        <v>3434.686794</v>
      </c>
      <c r="Q2405" s="40" t="n">
        <f aca="false">J2405</f>
        <v>10480.437891</v>
      </c>
      <c r="R2405" s="40" t="n">
        <f aca="false">N2405</f>
        <v>10480.437891</v>
      </c>
      <c r="S2405" s="41" t="n">
        <f aca="false">R2405</f>
        <v>10480.437891</v>
      </c>
    </row>
    <row r="2406" customFormat="false" ht="15" hidden="false" customHeight="false" outlineLevel="0" collapsed="false">
      <c r="A2406" s="4" t="s">
        <v>489</v>
      </c>
      <c r="B2406" s="36" t="s">
        <v>485</v>
      </c>
      <c r="C2406" s="39" t="n">
        <f aca="false">$C$2376*C2396*C2399+$C$2380*C2397*C2400+$C$2384*C2398*C2401</f>
        <v>1717.343397</v>
      </c>
      <c r="D2406" s="39" t="n">
        <f aca="false">$C$2376*D2396*D2399+$C$2380*D2397*D2400+$C$2384*D2398*D2401</f>
        <v>3196.33621999021</v>
      </c>
      <c r="E2406" s="39" t="n">
        <f aca="false">$C$2376*E2396*E2399+$C$2380*E2397*E2400+$C$2384*E2398*E2401</f>
        <v>2974.52601764693</v>
      </c>
      <c r="F2406" s="39" t="n">
        <f aca="false">$C$2376*F2396*F2399+$C$2380*F2397*F2400+$C$2384*F2398*F2401</f>
        <v>2768.10836554785</v>
      </c>
      <c r="G2406" s="39" t="n">
        <f aca="false">$C$2376*G2396*G2399+$C$2380*G2397*G2400+$C$2384*G2398*G2401</f>
        <v>4268.10401325</v>
      </c>
      <c r="H2406" s="39" t="n">
        <f aca="false">$C$2376*H2396*H2399+$C$2380*H2397*H2400+$C$2384*H2398*H2401</f>
        <v>5546.58450277459</v>
      </c>
      <c r="I2406" s="39" t="n">
        <f aca="false">$C$2376*I2396*I2399+$C$2380*I2397*I2400+$C$2384*I2398*I2401</f>
        <v>6992.46512045243</v>
      </c>
      <c r="J2406" s="39" t="n">
        <f aca="false">$C$2376*J2396*J2399+$C$2380*J2397*J2400+$C$2384*J2398*J2401</f>
        <v>8210.96095275009</v>
      </c>
      <c r="K2406" s="39" t="n">
        <f aca="false">$C$2376*K2396*K2399+$C$2380*K2397*K2400+$C$2384*K2398*K2401</f>
        <v>7641.16016052684</v>
      </c>
      <c r="L2406" s="39" t="n">
        <f aca="false">$C$2376*L2396*L2399+$C$2380*L2397*L2400+$C$2384*L2398*L2401</f>
        <v>7110.90077456366</v>
      </c>
      <c r="M2406" s="39" t="n">
        <f aca="false">$C$2376*M2396*M2399+$C$2380*M2397*M2400+$C$2384*M2398*M2401</f>
        <v>6617.43881340182</v>
      </c>
      <c r="N2406" s="39" t="n">
        <f aca="false">$C$2376*N2396*N2399+$C$2380*N2397*N2400+$C$2384*N2398*N2401</f>
        <v>6158.22071456257</v>
      </c>
      <c r="P2406" s="40"/>
      <c r="Q2406" s="40"/>
      <c r="R2406" s="40"/>
      <c r="S2406" s="41"/>
    </row>
    <row r="2407" customFormat="false" ht="15" hidden="false" customHeight="false" outlineLevel="0" collapsed="false">
      <c r="A2407" s="4" t="s">
        <v>490</v>
      </c>
      <c r="B2407" s="36" t="s">
        <v>491</v>
      </c>
      <c r="C2407" s="48" t="n">
        <f aca="false">$C$2388*Assumptions!$H$20*C2395*C2406</f>
        <v>17.17343397</v>
      </c>
      <c r="D2407" s="48" t="n">
        <f aca="false">$C$2388*Assumptions!$H$20*D2395*D2406</f>
        <v>31.9633621999021</v>
      </c>
      <c r="E2407" s="48" t="n">
        <f aca="false">$C$2388*Assumptions!$H$20*E2395*E2406</f>
        <v>29.7452601764693</v>
      </c>
      <c r="F2407" s="48" t="n">
        <f aca="false">$C$2388*Assumptions!$H$20*F2395*F2406</f>
        <v>27.6810836554785</v>
      </c>
      <c r="G2407" s="48" t="n">
        <f aca="false">$C$2388*Assumptions!$H$20*G2395*G2406</f>
        <v>42.6810401325</v>
      </c>
      <c r="H2407" s="48" t="n">
        <f aca="false">$C$2388*Assumptions!$H$20*H2395*H2406</f>
        <v>55.4658450277459</v>
      </c>
      <c r="I2407" s="48" t="n">
        <f aca="false">$C$2388*Assumptions!$H$20*I2395*I2406</f>
        <v>69.9246512045243</v>
      </c>
      <c r="J2407" s="48" t="n">
        <f aca="false">$C$2388*Assumptions!$H$20*J2395*J2406</f>
        <v>82.1096095275009</v>
      </c>
      <c r="K2407" s="48" t="n">
        <f aca="false">$C$2388*Assumptions!$H$20*K2395*K2406</f>
        <v>76.4116016052684</v>
      </c>
      <c r="L2407" s="48" t="n">
        <f aca="false">$C$2388*Assumptions!$H$20*L2395*L2406</f>
        <v>71.1090077456366</v>
      </c>
      <c r="M2407" s="48" t="n">
        <f aca="false">$C$2388*Assumptions!$H$20*M2395*M2406</f>
        <v>66.1743881340183</v>
      </c>
      <c r="N2407" s="48" t="n">
        <f aca="false">$C$2388*Assumptions!$H$20*N2395*N2406</f>
        <v>61.5822071456257</v>
      </c>
      <c r="P2407" s="49" t="n">
        <f aca="false">SUM(C2407:F2407)</f>
        <v>106.56314000185</v>
      </c>
      <c r="Q2407" s="49" t="n">
        <f aca="false">SUM(G2407:J2407)</f>
        <v>250.181145892271</v>
      </c>
      <c r="R2407" s="49" t="n">
        <f aca="false">SUM(K2407:N2407)</f>
        <v>275.277204630549</v>
      </c>
      <c r="S2407" s="50" t="n">
        <f aca="false">SUM(P2407:R2407)</f>
        <v>632.02149052467</v>
      </c>
    </row>
    <row r="2408" customFormat="false" ht="15" hidden="false" customHeight="false" outlineLevel="0" collapsed="false">
      <c r="A2408" s="4" t="s">
        <v>492</v>
      </c>
      <c r="B2408" s="36" t="s">
        <v>321</v>
      </c>
      <c r="C2408" s="48" t="n">
        <f aca="false">Assumptions!$D$112</f>
        <v>2</v>
      </c>
      <c r="D2408" s="48" t="n">
        <f aca="false">Assumptions!$E$112</f>
        <v>2</v>
      </c>
      <c r="E2408" s="48" t="n">
        <f aca="false">Assumptions!$F$112</f>
        <v>3</v>
      </c>
      <c r="F2408" s="48" t="n">
        <f aca="false">Assumptions!$G$112</f>
        <v>3</v>
      </c>
      <c r="G2408" s="48" t="n">
        <f aca="false">Assumptions!$H$112</f>
        <v>4</v>
      </c>
      <c r="H2408" s="48" t="n">
        <f aca="false">Assumptions!$I$112</f>
        <v>4</v>
      </c>
      <c r="I2408" s="48" t="n">
        <f aca="false">Assumptions!$J$112</f>
        <v>5</v>
      </c>
      <c r="J2408" s="48" t="n">
        <f aca="false">Assumptions!$K$112</f>
        <v>5</v>
      </c>
      <c r="K2408" s="48" t="n">
        <f aca="false">Assumptions!$L$112</f>
        <v>6</v>
      </c>
      <c r="L2408" s="48" t="n">
        <f aca="false">Assumptions!$M$112</f>
        <v>6</v>
      </c>
      <c r="M2408" s="48" t="n">
        <f aca="false">Assumptions!$N$112</f>
        <v>6</v>
      </c>
      <c r="N2408" s="48" t="n">
        <f aca="false">Assumptions!$O$112</f>
        <v>6</v>
      </c>
      <c r="P2408" s="49" t="n">
        <f aca="false">F2408</f>
        <v>3</v>
      </c>
      <c r="Q2408" s="49" t="n">
        <f aca="false">J2408</f>
        <v>5</v>
      </c>
      <c r="R2408" s="49" t="n">
        <f aca="false">N2408</f>
        <v>6</v>
      </c>
      <c r="S2408" s="50" t="n">
        <f aca="false">R2408</f>
        <v>6</v>
      </c>
    </row>
    <row r="2409" customFormat="false" ht="15" hidden="false" customHeight="false" outlineLevel="0" collapsed="false">
      <c r="A2409" s="4" t="s">
        <v>493</v>
      </c>
      <c r="B2409" s="36" t="s">
        <v>321</v>
      </c>
      <c r="C2409" s="48" t="n">
        <f aca="false">0</f>
        <v>0</v>
      </c>
      <c r="D2409" s="48" t="n">
        <f aca="false">0.5*C2408</f>
        <v>1</v>
      </c>
      <c r="E2409" s="48" t="n">
        <f aca="false">C2408+0.5*(D2408-C2408)</f>
        <v>2</v>
      </c>
      <c r="F2409" s="48" t="n">
        <f aca="false">D2408+0.5*(E2408-D2408)</f>
        <v>2.5</v>
      </c>
      <c r="G2409" s="48" t="n">
        <f aca="false">E2408+0.5*(F2408-E2408)</f>
        <v>3</v>
      </c>
      <c r="H2409" s="48" t="n">
        <f aca="false">F2408+0.5*(G2408-F2408)</f>
        <v>3.5</v>
      </c>
      <c r="I2409" s="48" t="n">
        <f aca="false">G2408+0.5*(H2408-G2408)</f>
        <v>4</v>
      </c>
      <c r="J2409" s="48" t="n">
        <f aca="false">H2408+0.5*(I2408-H2408)</f>
        <v>4.5</v>
      </c>
      <c r="K2409" s="48" t="n">
        <f aca="false">I2408+0.5*(J2408-I2408)</f>
        <v>5</v>
      </c>
      <c r="L2409" s="48" t="n">
        <f aca="false">J2408+0.5*(K2408-J2408)</f>
        <v>5.5</v>
      </c>
      <c r="M2409" s="48" t="n">
        <f aca="false">K2408+0.5*(L2408-K2408)</f>
        <v>6</v>
      </c>
      <c r="N2409" s="48" t="n">
        <f aca="false">L2408+0.5*(M2408-L2408)</f>
        <v>6</v>
      </c>
      <c r="P2409" s="49" t="n">
        <f aca="false">F2409</f>
        <v>2.5</v>
      </c>
      <c r="Q2409" s="49" t="n">
        <f aca="false">J2409</f>
        <v>4.5</v>
      </c>
      <c r="R2409" s="49" t="n">
        <f aca="false">N2409</f>
        <v>6</v>
      </c>
      <c r="S2409" s="50" t="n">
        <f aca="false">R2409</f>
        <v>6</v>
      </c>
    </row>
    <row r="2410" customFormat="false" ht="15" hidden="false" customHeight="false" outlineLevel="0" collapsed="false">
      <c r="A2410" s="4" t="s">
        <v>494</v>
      </c>
      <c r="B2410" s="36" t="s">
        <v>485</v>
      </c>
      <c r="C2410" s="39" t="n">
        <f aca="false">MIN(C2409*Assumptions!$H$38,C2405*(1-$C$2388))</f>
        <v>0</v>
      </c>
      <c r="D2410" s="39" t="n">
        <f aca="false">MIN(D2409*Assumptions!$H$38,D2405*(1-$C$2388))</f>
        <v>150</v>
      </c>
      <c r="E2410" s="39" t="n">
        <f aca="false">MIN(E2409*Assumptions!$H$38,E2405*(1-$C$2388))</f>
        <v>300</v>
      </c>
      <c r="F2410" s="39" t="n">
        <f aca="false">MIN(F2409*Assumptions!$H$38,F2405*(1-$C$2388))</f>
        <v>375</v>
      </c>
      <c r="G2410" s="39" t="n">
        <f aca="false">MIN(G2409*Assumptions!$H$38,G2405*(1-$C$2388))</f>
        <v>450</v>
      </c>
      <c r="H2410" s="39" t="n">
        <f aca="false">MIN(H2409*Assumptions!$H$38,H2405*(1-$C$2388))</f>
        <v>525</v>
      </c>
      <c r="I2410" s="39" t="n">
        <f aca="false">MIN(I2409*Assumptions!$H$38,I2405*(1-$C$2388))</f>
        <v>600</v>
      </c>
      <c r="J2410" s="39" t="n">
        <f aca="false">MIN(J2409*Assumptions!$H$38,J2405*(1-$C$2388))</f>
        <v>675</v>
      </c>
      <c r="K2410" s="39" t="n">
        <f aca="false">MIN(K2409*Assumptions!$H$38,K2405*(1-$C$2388))</f>
        <v>750</v>
      </c>
      <c r="L2410" s="39" t="n">
        <f aca="false">MIN(L2409*Assumptions!$H$38,L2405*(1-$C$2388))</f>
        <v>825</v>
      </c>
      <c r="M2410" s="39" t="n">
        <f aca="false">MIN(M2409*Assumptions!$H$38,M2405*(1-$C$2388))</f>
        <v>900</v>
      </c>
      <c r="N2410" s="39" t="n">
        <f aca="false">MIN(N2409*Assumptions!$H$38,N2405*(1-$C$2388))</f>
        <v>900</v>
      </c>
      <c r="P2410" s="40" t="n">
        <f aca="false">SUM(C2410:F2410)</f>
        <v>825</v>
      </c>
      <c r="Q2410" s="40" t="n">
        <f aca="false">SUM(G2410:J2410)</f>
        <v>2250</v>
      </c>
      <c r="R2410" s="40" t="n">
        <f aca="false">SUM(K2410:N2410)</f>
        <v>3375</v>
      </c>
      <c r="S2410" s="41" t="n">
        <f aca="false">SUM(P2410:R2410)</f>
        <v>6450</v>
      </c>
    </row>
    <row r="2411" customFormat="false" ht="15" hidden="false" customHeight="false" outlineLevel="0" collapsed="false">
      <c r="A2411" s="4" t="s">
        <v>495</v>
      </c>
      <c r="B2411" s="36" t="s">
        <v>491</v>
      </c>
      <c r="C2411" s="48" t="n">
        <f aca="false">C2410*Assumptions!$H$20*Assumptions!$H$39*IF(C2405&gt;0,C2406/C2405,0)*C2395</f>
        <v>0</v>
      </c>
      <c r="D2411" s="48" t="n">
        <f aca="false">D2410*Assumptions!$H$20*Assumptions!$H$39*IF(D2405&gt;0,D2406/D2405,0)*D2395</f>
        <v>5.23465233244931</v>
      </c>
      <c r="E2411" s="48" t="n">
        <f aca="false">E2410*Assumptions!$H$20*Assumptions!$H$39*IF(E2405&gt;0,E2406/E2405,0)*E2395</f>
        <v>9.74278579257494</v>
      </c>
      <c r="F2411" s="48" t="n">
        <f aca="false">F2410*Assumptions!$H$20*Assumptions!$H$39*IF(F2405&gt;0,F2406/F2405,0)*F2395</f>
        <v>11.3333547497014</v>
      </c>
      <c r="G2411" s="48" t="n">
        <f aca="false">G2410*Assumptions!$H$20*Assumptions!$H$39*IF(G2405&gt;0,G2406/G2405,0)*G2395</f>
        <v>14.0486456348231</v>
      </c>
      <c r="H2411" s="48" t="n">
        <f aca="false">H2410*Assumptions!$H$20*Assumptions!$H$39*IF(H2405&gt;0,H2406/H2405,0)*H2395</f>
        <v>16.0141590032389</v>
      </c>
      <c r="I2411" s="48" t="n">
        <f aca="false">I2410*Assumptions!$H$20*Assumptions!$H$39*IF(I2405&gt;0,I2406/I2405,0)*I2395</f>
        <v>18.1892264180871</v>
      </c>
      <c r="J2411" s="48" t="n">
        <f aca="false">J2410*Assumptions!$H$20*Assumptions!$H$39*IF(J2405&gt;0,J2406/J2405,0)*J2395</f>
        <v>19.8312275954584</v>
      </c>
      <c r="K2411" s="48" t="n">
        <f aca="false">K2410*Assumptions!$H$20*Assumptions!$H$39*IF(K2405&gt;0,K2406/K2405,0)*K2395</f>
        <v>20.505596402548</v>
      </c>
      <c r="L2411" s="48" t="n">
        <f aca="false">L2410*Assumptions!$H$20*Assumptions!$H$39*IF(L2405&gt;0,L2406/L2405,0)*L2395</f>
        <v>20.9908684160975</v>
      </c>
      <c r="M2411" s="48" t="n">
        <f aca="false">M2410*Assumptions!$H$20*Assumptions!$H$39*IF(M2405&gt;0,M2406/M2405,0)*M2395</f>
        <v>21.3100408852288</v>
      </c>
      <c r="N2411" s="48" t="n">
        <f aca="false">N2410*Assumptions!$H$20*Assumptions!$H$39*IF(N2405&gt;0,N2406/N2405,0)*N2395</f>
        <v>19.8312275954584</v>
      </c>
      <c r="P2411" s="49" t="n">
        <f aca="false">SUM(C2411:F2411)</f>
        <v>26.3107928747257</v>
      </c>
      <c r="Q2411" s="49" t="n">
        <f aca="false">SUM(G2411:J2411)</f>
        <v>68.0832586516075</v>
      </c>
      <c r="R2411" s="49" t="n">
        <f aca="false">SUM(K2411:N2411)</f>
        <v>82.6377332993327</v>
      </c>
      <c r="S2411" s="50" t="n">
        <f aca="false">SUM(P2411:R2411)</f>
        <v>177.031784825666</v>
      </c>
    </row>
    <row r="2412" customFormat="false" ht="15" hidden="false" customHeight="false" outlineLevel="0" collapsed="false">
      <c r="A2412" s="4" t="s">
        <v>496</v>
      </c>
      <c r="B2412" s="36" t="s">
        <v>497</v>
      </c>
      <c r="C2412" s="48" t="n">
        <f aca="false">IF(AND(C2405&gt;0,$C$2392&gt;0),C2405*Assumptions!$H$24*(1-EXP(-$C$2392/(Assumptions!$H$23*C2405*Assumptions!$H$24))),0)</f>
        <v>42.092939748987</v>
      </c>
      <c r="D2412" s="48" t="n">
        <f aca="false">IF(AND(D2405&gt;0,$C$2392&gt;0),D2405*Assumptions!$H$24*(1-EXP(-$C$2392/(Assumptions!$H$23*D2405*Assumptions!$H$24))),0)</f>
        <v>58.963374108944</v>
      </c>
      <c r="E2412" s="48" t="n">
        <f aca="false">IF(AND(E2405&gt;0,$C$2392&gt;0),E2405*Assumptions!$H$24*(1-EXP(-$C$2392/(Assumptions!$H$23*E2405*Assumptions!$H$24))),0)</f>
        <v>58.963374108944</v>
      </c>
      <c r="F2412" s="48" t="n">
        <f aca="false">IF(AND(F2405&gt;0,$C$2392&gt;0),F2405*Assumptions!$H$24*(1-EXP(-$C$2392/(Assumptions!$H$23*F2405*Assumptions!$H$24))),0)</f>
        <v>58.963374108944</v>
      </c>
      <c r="G2412" s="48" t="n">
        <f aca="false">IF(AND(G2405&gt;0,$C$2392&gt;0),G2405*Assumptions!$H$24*(1-EXP(-$C$2392/(Assumptions!$H$23*G2405*Assumptions!$H$24))),0)</f>
        <v>66.7286252815159</v>
      </c>
      <c r="H2412" s="48" t="n">
        <f aca="false">IF(AND(H2405&gt;0,$C$2392&gt;0),H2405*Assumptions!$H$24*(1-EXP(-$C$2392/(Assumptions!$H$23*H2405*Assumptions!$H$24))),0)</f>
        <v>71.1921777403725</v>
      </c>
      <c r="I2412" s="48" t="n">
        <f aca="false">IF(AND(I2405&gt;0,$C$2392&gt;0),I2405*Assumptions!$H$24*(1-EXP(-$C$2392/(Assumptions!$H$23*I2405*Assumptions!$H$24))),0)</f>
        <v>74.2748008305504</v>
      </c>
      <c r="J2412" s="48" t="n">
        <f aca="false">IF(AND(J2405&gt;0,$C$2392&gt;0),J2405*Assumptions!$H$24*(1-EXP(-$C$2392/(Assumptions!$H$23*J2405*Assumptions!$H$24))),0)</f>
        <v>76.3795978699111</v>
      </c>
      <c r="K2412" s="48" t="n">
        <f aca="false">IF(AND(K2405&gt;0,$C$2392&gt;0),K2405*Assumptions!$H$24*(1-EXP(-$C$2392/(Assumptions!$H$23*K2405*Assumptions!$H$24))),0)</f>
        <v>76.3795978699111</v>
      </c>
      <c r="L2412" s="48" t="n">
        <f aca="false">IF(AND(L2405&gt;0,$C$2392&gt;0),L2405*Assumptions!$H$24*(1-EXP(-$C$2392/(Assumptions!$H$23*L2405*Assumptions!$H$24))),0)</f>
        <v>76.3795978699111</v>
      </c>
      <c r="M2412" s="48" t="n">
        <f aca="false">IF(AND(M2405&gt;0,$C$2392&gt;0),M2405*Assumptions!$H$24*(1-EXP(-$C$2392/(Assumptions!$H$23*M2405*Assumptions!$H$24))),0)</f>
        <v>76.3795978699111</v>
      </c>
      <c r="N2412" s="48" t="n">
        <f aca="false">IF(AND(N2405&gt;0,$C$2392&gt;0),N2405*Assumptions!$H$24*(1-EXP(-$C$2392/(Assumptions!$H$23*N2405*Assumptions!$H$24))),0)</f>
        <v>76.3795978699111</v>
      </c>
      <c r="P2412" s="49" t="n">
        <f aca="false">SUM(C2412:F2412)</f>
        <v>218.983062075819</v>
      </c>
      <c r="Q2412" s="49" t="n">
        <f aca="false">SUM(G2412:J2412)</f>
        <v>288.57520172235</v>
      </c>
      <c r="R2412" s="49" t="n">
        <f aca="false">SUM(K2412:N2412)</f>
        <v>305.518391479644</v>
      </c>
      <c r="S2412" s="50" t="n">
        <f aca="false">SUM(P2412:R2412)</f>
        <v>813.076655277813</v>
      </c>
    </row>
    <row r="2413" customFormat="false" ht="15" hidden="false" customHeight="false" outlineLevel="0" collapsed="false">
      <c r="A2413" s="4" t="s">
        <v>498</v>
      </c>
      <c r="B2413" s="36" t="s">
        <v>497</v>
      </c>
      <c r="C2413" s="48" t="n">
        <f aca="false">(C2405*Assumptions!$H$22*MIN(1,Assumptions!$E$103/Assumptions!$H$78)+C2412)*C2395</f>
        <v>67.853090703987</v>
      </c>
      <c r="D2413" s="48" t="n">
        <f aca="false">(D2405*Assumptions!$H$22*MIN(1,Assumptions!$E$103/Assumptions!$H$78)+D2412)*D2395</f>
        <v>110.483676018944</v>
      </c>
      <c r="E2413" s="48" t="n">
        <f aca="false">(E2405*Assumptions!$H$22*MIN(1,Assumptions!$E$103/Assumptions!$H$78)+E2412)*E2395</f>
        <v>110.483676018944</v>
      </c>
      <c r="F2413" s="48" t="n">
        <f aca="false">(F2405*Assumptions!$H$22*MIN(1,Assumptions!$E$103/Assumptions!$H$78)+F2412)*F2395</f>
        <v>110.483676018944</v>
      </c>
      <c r="G2413" s="48" t="n">
        <f aca="false">(G2405*Assumptions!$H$22*MIN(1,Assumptions!$E$103/Assumptions!$H$78)+G2412)*G2395</f>
        <v>143.630260957766</v>
      </c>
      <c r="H2413" s="48" t="n">
        <f aca="false">(H2405*Assumptions!$H$22*MIN(1,Assumptions!$E$103/Assumptions!$H$78)+H2412)*H2395</f>
        <v>173.475147182873</v>
      </c>
      <c r="I2413" s="48" t="n">
        <f aca="false">(I2405*Assumptions!$H$22*MIN(1,Assumptions!$E$103/Assumptions!$H$78)+I2412)*I2395</f>
        <v>204.0195697343</v>
      </c>
      <c r="J2413" s="48" t="n">
        <f aca="false">(J2405*Assumptions!$H$22*MIN(1,Assumptions!$E$103/Assumptions!$H$78)+J2412)*J2395</f>
        <v>233.586166234911</v>
      </c>
      <c r="K2413" s="48" t="n">
        <f aca="false">(K2405*Assumptions!$H$22*MIN(1,Assumptions!$E$103/Assumptions!$H$78)+K2412)*K2395</f>
        <v>233.586166234911</v>
      </c>
      <c r="L2413" s="48" t="n">
        <f aca="false">(L2405*Assumptions!$H$22*MIN(1,Assumptions!$E$103/Assumptions!$H$78)+L2412)*L2395</f>
        <v>233.586166234911</v>
      </c>
      <c r="M2413" s="48" t="n">
        <f aca="false">(M2405*Assumptions!$H$22*MIN(1,Assumptions!$E$103/Assumptions!$H$78)+M2412)*M2395</f>
        <v>233.586166234911</v>
      </c>
      <c r="N2413" s="48" t="n">
        <f aca="false">(N2405*Assumptions!$H$22*MIN(1,Assumptions!$E$103/Assumptions!$H$78)+N2412)*N2395</f>
        <v>233.586166234911</v>
      </c>
      <c r="P2413" s="49" t="n">
        <f aca="false">SUM(C2413:F2413)</f>
        <v>399.304118760819</v>
      </c>
      <c r="Q2413" s="49" t="n">
        <f aca="false">SUM(G2413:J2413)</f>
        <v>754.71114410985</v>
      </c>
      <c r="R2413" s="49" t="n">
        <f aca="false">SUM(K2413:N2413)</f>
        <v>934.344664939644</v>
      </c>
      <c r="S2413" s="50" t="n">
        <f aca="false">SUM(P2413:R2413)</f>
        <v>2088.35992781031</v>
      </c>
    </row>
    <row r="2414" customFormat="false" ht="15" hidden="false" customHeight="false" outlineLevel="0" collapsed="false">
      <c r="A2414" s="4" t="s">
        <v>499</v>
      </c>
      <c r="B2414" s="36" t="s">
        <v>500</v>
      </c>
      <c r="C2414" s="48" t="n">
        <f aca="false">C2395*MIN(Assumptions!$H$27,Assumptions!$H$25+Assumptions!$H$26*(C2394-1))*Assumptions!$E$107</f>
        <v>3</v>
      </c>
      <c r="D2414" s="48" t="n">
        <f aca="false">D2395*MIN(Assumptions!$H$27,Assumptions!$H$25+Assumptions!$H$26*(D2394-1))*Assumptions!$E$107</f>
        <v>4</v>
      </c>
      <c r="E2414" s="48" t="n">
        <f aca="false">E2395*MIN(Assumptions!$H$27,Assumptions!$H$25+Assumptions!$H$26*(E2394-1))*Assumptions!$E$107</f>
        <v>5</v>
      </c>
      <c r="F2414" s="48" t="n">
        <f aca="false">F2395*MIN(Assumptions!$H$27,Assumptions!$H$25+Assumptions!$H$26*(F2394-1))*Assumptions!$E$107</f>
        <v>6</v>
      </c>
      <c r="G2414" s="48" t="n">
        <f aca="false">G2395*MIN(Assumptions!$H$27,Assumptions!$H$25+Assumptions!$H$26*(G2394-1))*Assumptions!$E$107</f>
        <v>7</v>
      </c>
      <c r="H2414" s="48" t="n">
        <f aca="false">H2395*MIN(Assumptions!$H$27,Assumptions!$H$25+Assumptions!$H$26*(H2394-1))*Assumptions!$E$107</f>
        <v>8</v>
      </c>
      <c r="I2414" s="48" t="n">
        <f aca="false">I2395*MIN(Assumptions!$H$27,Assumptions!$H$25+Assumptions!$H$26*(I2394-1))*Assumptions!$E$107</f>
        <v>9</v>
      </c>
      <c r="J2414" s="48" t="n">
        <f aca="false">J2395*MIN(Assumptions!$H$27,Assumptions!$H$25+Assumptions!$H$26*(J2394-1))*Assumptions!$E$107</f>
        <v>10</v>
      </c>
      <c r="K2414" s="48" t="n">
        <f aca="false">K2395*MIN(Assumptions!$H$27,Assumptions!$H$25+Assumptions!$H$26*(K2394-1))*Assumptions!$E$107</f>
        <v>10</v>
      </c>
      <c r="L2414" s="48" t="n">
        <f aca="false">L2395*MIN(Assumptions!$H$27,Assumptions!$H$25+Assumptions!$H$26*(L2394-1))*Assumptions!$E$107</f>
        <v>10</v>
      </c>
      <c r="M2414" s="48" t="n">
        <f aca="false">M2395*MIN(Assumptions!$H$27,Assumptions!$H$25+Assumptions!$H$26*(M2394-1))*Assumptions!$E$107</f>
        <v>10</v>
      </c>
      <c r="N2414" s="48" t="n">
        <f aca="false">N2395*MIN(Assumptions!$H$27,Assumptions!$H$25+Assumptions!$H$26*(N2394-1))*Assumptions!$E$107</f>
        <v>10</v>
      </c>
      <c r="P2414" s="49" t="n">
        <f aca="false">F2414</f>
        <v>6</v>
      </c>
      <c r="Q2414" s="49" t="n">
        <f aca="false">J2414</f>
        <v>10</v>
      </c>
      <c r="R2414" s="49" t="n">
        <f aca="false">N2414</f>
        <v>10</v>
      </c>
      <c r="S2414" s="50" t="n">
        <f aca="false">R2414</f>
        <v>10</v>
      </c>
    </row>
    <row r="2415" customFormat="false" ht="15" hidden="false" customHeight="false" outlineLevel="0" collapsed="false">
      <c r="A2415" s="4" t="s">
        <v>501</v>
      </c>
      <c r="B2415" s="36" t="s">
        <v>502</v>
      </c>
      <c r="C2415" s="48" t="n">
        <f aca="false">C2414*Assumptions!$H$28</f>
        <v>9</v>
      </c>
      <c r="D2415" s="48" t="n">
        <f aca="false">D2414*Assumptions!$H$28</f>
        <v>12</v>
      </c>
      <c r="E2415" s="48" t="n">
        <f aca="false">E2414*Assumptions!$H$28</f>
        <v>15</v>
      </c>
      <c r="F2415" s="48" t="n">
        <f aca="false">F2414*Assumptions!$H$28</f>
        <v>18</v>
      </c>
      <c r="G2415" s="48" t="n">
        <f aca="false">G2414*Assumptions!$H$28</f>
        <v>21</v>
      </c>
      <c r="H2415" s="48" t="n">
        <f aca="false">H2414*Assumptions!$H$28</f>
        <v>24</v>
      </c>
      <c r="I2415" s="48" t="n">
        <f aca="false">I2414*Assumptions!$H$28</f>
        <v>27</v>
      </c>
      <c r="J2415" s="48" t="n">
        <f aca="false">J2414*Assumptions!$H$28</f>
        <v>30</v>
      </c>
      <c r="K2415" s="48" t="n">
        <f aca="false">K2414*Assumptions!$H$28</f>
        <v>30</v>
      </c>
      <c r="L2415" s="48" t="n">
        <f aca="false">L2414*Assumptions!$H$28</f>
        <v>30</v>
      </c>
      <c r="M2415" s="48" t="n">
        <f aca="false">M2414*Assumptions!$H$28</f>
        <v>30</v>
      </c>
      <c r="N2415" s="48" t="n">
        <f aca="false">N2414*Assumptions!$H$28</f>
        <v>30</v>
      </c>
      <c r="P2415" s="49" t="n">
        <f aca="false">SUM(C2415:F2415)</f>
        <v>54</v>
      </c>
      <c r="Q2415" s="49" t="n">
        <f aca="false">SUM(G2415:J2415)</f>
        <v>102</v>
      </c>
      <c r="R2415" s="49" t="n">
        <f aca="false">SUM(K2415:N2415)</f>
        <v>120</v>
      </c>
      <c r="S2415" s="50" t="n">
        <f aca="false">SUM(P2415:R2415)</f>
        <v>276</v>
      </c>
    </row>
    <row r="2416" customFormat="false" ht="15" hidden="false" customHeight="false" outlineLevel="0" collapsed="false">
      <c r="A2416" s="4" t="s">
        <v>503</v>
      </c>
      <c r="B2416" s="36" t="s">
        <v>504</v>
      </c>
      <c r="C2416" s="48" t="n">
        <f aca="false">(C2407+C2411)*Assumptions!$H$29</f>
        <v>6.869373588</v>
      </c>
      <c r="D2416" s="48" t="n">
        <f aca="false">(D2407+D2411)*Assumptions!$H$29</f>
        <v>14.8792058129406</v>
      </c>
      <c r="E2416" s="48" t="n">
        <f aca="false">(E2407+E2411)*Assumptions!$H$29</f>
        <v>15.7952183876177</v>
      </c>
      <c r="F2416" s="48" t="n">
        <f aca="false">(F2407+F2411)*Assumptions!$H$29</f>
        <v>15.605775362072</v>
      </c>
      <c r="G2416" s="48" t="n">
        <f aca="false">(G2407+G2411)*Assumptions!$H$29</f>
        <v>22.6918743069292</v>
      </c>
      <c r="H2416" s="48" t="n">
        <f aca="false">(H2407+H2411)*Assumptions!$H$29</f>
        <v>28.5920016123939</v>
      </c>
      <c r="I2416" s="48" t="n">
        <f aca="false">(I2407+I2411)*Assumptions!$H$29</f>
        <v>35.2455510490446</v>
      </c>
      <c r="J2416" s="48" t="n">
        <f aca="false">(J2407+J2411)*Assumptions!$H$29</f>
        <v>40.7763348491837</v>
      </c>
      <c r="K2416" s="48" t="n">
        <f aca="false">(K2407+K2411)*Assumptions!$H$29</f>
        <v>38.7668792031266</v>
      </c>
      <c r="L2416" s="48" t="n">
        <f aca="false">(L2407+L2411)*Assumptions!$H$29</f>
        <v>36.8399504646936</v>
      </c>
      <c r="M2416" s="48" t="n">
        <f aca="false">(M2407+M2411)*Assumptions!$H$29</f>
        <v>34.9937716076988</v>
      </c>
      <c r="N2416" s="48" t="n">
        <f aca="false">(N2407+N2411)*Assumptions!$H$29</f>
        <v>32.5653738964336</v>
      </c>
      <c r="P2416" s="49" t="n">
        <f aca="false">SUM(C2416:F2416)</f>
        <v>53.1495731506302</v>
      </c>
      <c r="Q2416" s="49" t="n">
        <f aca="false">SUM(G2416:J2416)</f>
        <v>127.305761817551</v>
      </c>
      <c r="R2416" s="49" t="n">
        <f aca="false">SUM(K2416:N2416)</f>
        <v>143.165975171953</v>
      </c>
      <c r="S2416" s="50" t="n">
        <f aca="false">SUM(P2416:R2416)</f>
        <v>323.621310140134</v>
      </c>
    </row>
    <row r="2417" customFormat="false" ht="15" hidden="false" customHeight="false" outlineLevel="0" collapsed="false">
      <c r="A2417" s="4" t="s">
        <v>505</v>
      </c>
      <c r="B2417" s="36" t="s">
        <v>504</v>
      </c>
      <c r="C2417" s="48" t="n">
        <f aca="false">C2413*Assumptions!$H$31</f>
        <v>10.8564945126379</v>
      </c>
      <c r="D2417" s="48" t="n">
        <f aca="false">D2413*Assumptions!$H$31</f>
        <v>17.677388163031</v>
      </c>
      <c r="E2417" s="48" t="n">
        <f aca="false">E2413*Assumptions!$H$31</f>
        <v>17.677388163031</v>
      </c>
      <c r="F2417" s="48" t="n">
        <f aca="false">F2413*Assumptions!$H$31</f>
        <v>17.677388163031</v>
      </c>
      <c r="G2417" s="48" t="n">
        <f aca="false">G2413*Assumptions!$H$31</f>
        <v>22.9808417532425</v>
      </c>
      <c r="H2417" s="48" t="n">
        <f aca="false">H2413*Assumptions!$H$31</f>
        <v>27.7560235492596</v>
      </c>
      <c r="I2417" s="48" t="n">
        <f aca="false">I2413*Assumptions!$H$31</f>
        <v>32.6431311574881</v>
      </c>
      <c r="J2417" s="48" t="n">
        <f aca="false">J2413*Assumptions!$H$31</f>
        <v>37.3737865975858</v>
      </c>
      <c r="K2417" s="48" t="n">
        <f aca="false">K2413*Assumptions!$H$31</f>
        <v>37.3737865975858</v>
      </c>
      <c r="L2417" s="48" t="n">
        <f aca="false">L2413*Assumptions!$H$31</f>
        <v>37.3737865975858</v>
      </c>
      <c r="M2417" s="48" t="n">
        <f aca="false">M2413*Assumptions!$H$31</f>
        <v>37.3737865975858</v>
      </c>
      <c r="N2417" s="48" t="n">
        <f aca="false">N2413*Assumptions!$H$31</f>
        <v>37.3737865975858</v>
      </c>
      <c r="P2417" s="49" t="n">
        <f aca="false">SUM(C2417:F2417)</f>
        <v>63.888659001731</v>
      </c>
      <c r="Q2417" s="49" t="n">
        <f aca="false">SUM(G2417:J2417)</f>
        <v>120.753783057576</v>
      </c>
      <c r="R2417" s="49" t="n">
        <f aca="false">SUM(K2417:N2417)</f>
        <v>149.495146390343</v>
      </c>
      <c r="S2417" s="50" t="n">
        <f aca="false">SUM(P2417:R2417)</f>
        <v>334.13758844965</v>
      </c>
    </row>
    <row r="2418" customFormat="false" ht="15" hidden="false" customHeight="false" outlineLevel="0" collapsed="false">
      <c r="A2418" s="4" t="s">
        <v>506</v>
      </c>
      <c r="B2418" s="36" t="s">
        <v>504</v>
      </c>
      <c r="C2418" s="48" t="n">
        <f aca="false">C2415*Assumptions!$H$30</f>
        <v>4.5</v>
      </c>
      <c r="D2418" s="48" t="n">
        <f aca="false">D2415*Assumptions!$H$30</f>
        <v>6</v>
      </c>
      <c r="E2418" s="48" t="n">
        <f aca="false">E2415*Assumptions!$H$30</f>
        <v>7.5</v>
      </c>
      <c r="F2418" s="48" t="n">
        <f aca="false">F2415*Assumptions!$H$30</f>
        <v>9</v>
      </c>
      <c r="G2418" s="48" t="n">
        <f aca="false">G2415*Assumptions!$H$30</f>
        <v>10.5</v>
      </c>
      <c r="H2418" s="48" t="n">
        <f aca="false">H2415*Assumptions!$H$30</f>
        <v>12</v>
      </c>
      <c r="I2418" s="48" t="n">
        <f aca="false">I2415*Assumptions!$H$30</f>
        <v>13.5</v>
      </c>
      <c r="J2418" s="48" t="n">
        <f aca="false">J2415*Assumptions!$H$30</f>
        <v>15</v>
      </c>
      <c r="K2418" s="48" t="n">
        <f aca="false">K2415*Assumptions!$H$30</f>
        <v>15</v>
      </c>
      <c r="L2418" s="48" t="n">
        <f aca="false">L2415*Assumptions!$H$30</f>
        <v>15</v>
      </c>
      <c r="M2418" s="48" t="n">
        <f aca="false">M2415*Assumptions!$H$30</f>
        <v>15</v>
      </c>
      <c r="N2418" s="48" t="n">
        <f aca="false">N2415*Assumptions!$H$30</f>
        <v>15</v>
      </c>
      <c r="P2418" s="49" t="n">
        <f aca="false">SUM(C2418:F2418)</f>
        <v>27</v>
      </c>
      <c r="Q2418" s="49" t="n">
        <f aca="false">SUM(G2418:J2418)</f>
        <v>51</v>
      </c>
      <c r="R2418" s="49" t="n">
        <f aca="false">SUM(K2418:N2418)</f>
        <v>60</v>
      </c>
      <c r="S2418" s="50" t="n">
        <f aca="false">SUM(P2418:R2418)</f>
        <v>138</v>
      </c>
    </row>
    <row r="2419" customFormat="false" ht="15" hidden="false" customHeight="false" outlineLevel="0" collapsed="false">
      <c r="A2419" s="9" t="s">
        <v>507</v>
      </c>
      <c r="B2419" s="36" t="s">
        <v>504</v>
      </c>
      <c r="C2419" s="49" t="n">
        <f aca="false">C2416+C2417+C2418</f>
        <v>22.2258681006379</v>
      </c>
      <c r="D2419" s="49" t="n">
        <f aca="false">D2416+D2417+D2418</f>
        <v>38.5565939759716</v>
      </c>
      <c r="E2419" s="49" t="n">
        <f aca="false">E2416+E2417+E2418</f>
        <v>40.9726065506487</v>
      </c>
      <c r="F2419" s="49" t="n">
        <f aca="false">F2416+F2417+F2418</f>
        <v>42.283163525103</v>
      </c>
      <c r="G2419" s="49" t="n">
        <f aca="false">G2416+G2417+G2418</f>
        <v>56.1727160601718</v>
      </c>
      <c r="H2419" s="49" t="n">
        <f aca="false">H2416+H2417+H2418</f>
        <v>68.3480251616535</v>
      </c>
      <c r="I2419" s="49" t="n">
        <f aca="false">I2416+I2417+I2418</f>
        <v>81.3886822065326</v>
      </c>
      <c r="J2419" s="49" t="n">
        <f aca="false">J2416+J2417+J2418</f>
        <v>93.1501214467695</v>
      </c>
      <c r="K2419" s="49" t="n">
        <f aca="false">K2416+K2417+K2418</f>
        <v>91.1406658007123</v>
      </c>
      <c r="L2419" s="49" t="n">
        <f aca="false">L2416+L2417+L2418</f>
        <v>89.2137370622794</v>
      </c>
      <c r="M2419" s="49" t="n">
        <f aca="false">M2416+M2417+M2418</f>
        <v>87.3675582052846</v>
      </c>
      <c r="N2419" s="49" t="n">
        <f aca="false">N2416+N2417+N2418</f>
        <v>84.9391604940194</v>
      </c>
      <c r="P2419" s="49" t="n">
        <f aca="false">SUM(C2419:F2419)</f>
        <v>144.038232152361</v>
      </c>
      <c r="Q2419" s="49" t="n">
        <f aca="false">SUM(G2419:J2419)</f>
        <v>299.059544875128</v>
      </c>
      <c r="R2419" s="49" t="n">
        <f aca="false">SUM(K2419:N2419)</f>
        <v>352.661121562296</v>
      </c>
      <c r="S2419" s="50" t="n">
        <f aca="false">SUM(P2419:R2419)</f>
        <v>795.758898589785</v>
      </c>
    </row>
    <row r="2420" customFormat="false" ht="15" hidden="false" customHeight="false" outlineLevel="0" collapsed="false">
      <c r="A2420" s="4" t="s">
        <v>508</v>
      </c>
      <c r="B2420" s="36" t="s">
        <v>509</v>
      </c>
      <c r="C2420" s="48" t="n">
        <f aca="false">C2402</f>
        <v>1371.907152</v>
      </c>
      <c r="D2420" s="48" t="n">
        <f aca="false">D2402</f>
        <v>2743.814304</v>
      </c>
      <c r="E2420" s="48" t="n">
        <f aca="false">E2402</f>
        <v>2743.814304</v>
      </c>
      <c r="F2420" s="48" t="n">
        <f aca="false">F2402</f>
        <v>2743.814304</v>
      </c>
      <c r="G2420" s="48" t="n">
        <f aca="false">G2402</f>
        <v>4099.55809725</v>
      </c>
      <c r="H2420" s="48" t="n">
        <f aca="false">H2402</f>
        <v>5455.3018905</v>
      </c>
      <c r="I2420" s="48" t="n">
        <f aca="false">I2402</f>
        <v>6853.51410975</v>
      </c>
      <c r="J2420" s="48" t="n">
        <f aca="false">J2402</f>
        <v>8251.726329</v>
      </c>
      <c r="K2420" s="48" t="n">
        <f aca="false">K2402</f>
        <v>8251.726329</v>
      </c>
      <c r="L2420" s="48" t="n">
        <f aca="false">L2402</f>
        <v>8251.726329</v>
      </c>
      <c r="M2420" s="48" t="n">
        <f aca="false">M2402</f>
        <v>8251.726329</v>
      </c>
      <c r="N2420" s="48" t="n">
        <f aca="false">N2402</f>
        <v>8251.726329</v>
      </c>
      <c r="P2420" s="49"/>
      <c r="Q2420" s="49"/>
      <c r="R2420" s="49"/>
      <c r="S2420" s="50"/>
    </row>
    <row r="2421" customFormat="false" ht="15" hidden="false" customHeight="false" outlineLevel="0" collapsed="false">
      <c r="A2421" s="4" t="s">
        <v>510</v>
      </c>
      <c r="B2421" s="36" t="s">
        <v>509</v>
      </c>
      <c r="C2421" s="48" t="n">
        <f aca="false">C2403*Assumptions!$H$18*Assumptions!$H$33</f>
        <v>560.531664</v>
      </c>
      <c r="D2421" s="48" t="n">
        <f aca="false">D2403*Assumptions!$H$18*Assumptions!$H$33</f>
        <v>1121.063328</v>
      </c>
      <c r="E2421" s="48" t="n">
        <f aca="false">E2403*Assumptions!$H$18*Assumptions!$H$33</f>
        <v>1121.063328</v>
      </c>
      <c r="F2421" s="48" t="n">
        <f aca="false">F2403*Assumptions!$H$18*Assumptions!$H$33</f>
        <v>1121.063328</v>
      </c>
      <c r="G2421" s="48" t="n">
        <f aca="false">G2403*Assumptions!$H$18*Assumptions!$H$33</f>
        <v>1679.579055</v>
      </c>
      <c r="H2421" s="48" t="n">
        <f aca="false">H2403*Assumptions!$H$18*Assumptions!$H$33</f>
        <v>2238.094782</v>
      </c>
      <c r="I2421" s="48" t="n">
        <f aca="false">I2403*Assumptions!$H$18*Assumptions!$H$33</f>
        <v>2952.694899</v>
      </c>
      <c r="J2421" s="48" t="n">
        <f aca="false">J2403*Assumptions!$H$18*Assumptions!$H$33</f>
        <v>3667.295016</v>
      </c>
      <c r="K2421" s="48" t="n">
        <f aca="false">K2403*Assumptions!$H$18*Assumptions!$H$33</f>
        <v>3667.295016</v>
      </c>
      <c r="L2421" s="48" t="n">
        <f aca="false">L2403*Assumptions!$H$18*Assumptions!$H$33</f>
        <v>3667.295016</v>
      </c>
      <c r="M2421" s="48" t="n">
        <f aca="false">M2403*Assumptions!$H$18*Assumptions!$H$33</f>
        <v>3667.295016</v>
      </c>
      <c r="N2421" s="48" t="n">
        <f aca="false">N2403*Assumptions!$H$18*Assumptions!$H$33</f>
        <v>3667.295016</v>
      </c>
      <c r="P2421" s="49"/>
      <c r="Q2421" s="49"/>
      <c r="R2421" s="49"/>
      <c r="S2421" s="50"/>
    </row>
    <row r="2422" customFormat="false" ht="15" hidden="false" customHeight="false" outlineLevel="0" collapsed="false">
      <c r="A2422" s="4" t="s">
        <v>511</v>
      </c>
      <c r="B2422" s="36" t="s">
        <v>509</v>
      </c>
      <c r="C2422" s="48" t="n">
        <f aca="false">C2404*Assumptions!$H$19*Assumptions!$H$34</f>
        <v>91.2385782</v>
      </c>
      <c r="D2422" s="48" t="n">
        <f aca="false">D2404*Assumptions!$H$19*Assumptions!$H$34</f>
        <v>182.4771564</v>
      </c>
      <c r="E2422" s="48" t="n">
        <f aca="false">E2404*Assumptions!$H$19*Assumptions!$H$34</f>
        <v>182.4771564</v>
      </c>
      <c r="F2422" s="48" t="n">
        <f aca="false">F2404*Assumptions!$H$19*Assumptions!$H$34</f>
        <v>182.4771564</v>
      </c>
      <c r="G2422" s="48" t="n">
        <f aca="false">G2404*Assumptions!$H$19*Assumptions!$H$34</f>
        <v>262.3993218</v>
      </c>
      <c r="H2422" s="48" t="n">
        <f aca="false">H2404*Assumptions!$H$19*Assumptions!$H$34</f>
        <v>342.3214872</v>
      </c>
      <c r="I2422" s="48" t="n">
        <f aca="false">I2404*Assumptions!$H$19*Assumptions!$H$34</f>
        <v>447.7055814</v>
      </c>
      <c r="J2422" s="48" t="n">
        <f aca="false">J2404*Assumptions!$H$19*Assumptions!$H$34</f>
        <v>553.0896756</v>
      </c>
      <c r="K2422" s="48" t="n">
        <f aca="false">K2404*Assumptions!$H$19*Assumptions!$H$34</f>
        <v>553.0896756</v>
      </c>
      <c r="L2422" s="48" t="n">
        <f aca="false">L2404*Assumptions!$H$19*Assumptions!$H$34</f>
        <v>553.0896756</v>
      </c>
      <c r="M2422" s="48" t="n">
        <f aca="false">M2404*Assumptions!$H$19*Assumptions!$H$34</f>
        <v>553.0896756</v>
      </c>
      <c r="N2422" s="48" t="n">
        <f aca="false">N2404*Assumptions!$H$19*Assumptions!$H$34</f>
        <v>553.0896756</v>
      </c>
      <c r="P2422" s="49"/>
      <c r="Q2422" s="49"/>
      <c r="R2422" s="49"/>
      <c r="S2422" s="50"/>
    </row>
    <row r="2423" customFormat="false" ht="15" hidden="false" customHeight="false" outlineLevel="0" collapsed="false">
      <c r="A2423" s="4" t="s">
        <v>512</v>
      </c>
      <c r="B2423" s="36" t="s">
        <v>77</v>
      </c>
      <c r="C2423" s="51" t="n">
        <f aca="false">IFERROR(C2420/(C2420+C2421+C2422),0)</f>
        <v>0.677927794188926</v>
      </c>
      <c r="D2423" s="51" t="n">
        <f aca="false">IFERROR(D2420/(D2420+D2421+D2422),0)</f>
        <v>0.677927794188926</v>
      </c>
      <c r="E2423" s="51" t="n">
        <f aca="false">IFERROR(E2420/(E2420+E2421+E2422),0)</f>
        <v>0.677927794188926</v>
      </c>
      <c r="F2423" s="51" t="n">
        <f aca="false">IFERROR(F2420/(F2420+F2421+F2422),0)</f>
        <v>0.677927794188926</v>
      </c>
      <c r="G2423" s="51" t="n">
        <f aca="false">IFERROR(G2420/(G2420+G2421+G2422),0)</f>
        <v>0.678562169550526</v>
      </c>
      <c r="H2423" s="51" t="n">
        <f aca="false">IFERROR(H2420/(H2420+H2421+H2422),0)</f>
        <v>0.678881685753855</v>
      </c>
      <c r="I2423" s="51" t="n">
        <f aca="false">IFERROR(I2420/(I2420+I2421+I2422),0)</f>
        <v>0.668380260972092</v>
      </c>
      <c r="J2423" s="51" t="n">
        <f aca="false">IFERROR(J2420/(J2420+J2421+J2422),0)</f>
        <v>0.661614246006209</v>
      </c>
      <c r="K2423" s="51" t="n">
        <f aca="false">IFERROR(K2420/(K2420+K2421+K2422),0)</f>
        <v>0.661614246006209</v>
      </c>
      <c r="L2423" s="51" t="n">
        <f aca="false">IFERROR(L2420/(L2420+L2421+L2422),0)</f>
        <v>0.661614246006209</v>
      </c>
      <c r="M2423" s="51" t="n">
        <f aca="false">IFERROR(M2420/(M2420+M2421+M2422),0)</f>
        <v>0.661614246006209</v>
      </c>
      <c r="N2423" s="51" t="n">
        <f aca="false">IFERROR(N2420/(N2420+N2421+N2422),0)</f>
        <v>0.661614246006209</v>
      </c>
      <c r="P2423" s="52"/>
      <c r="Q2423" s="52"/>
      <c r="R2423" s="52"/>
      <c r="S2423" s="53"/>
    </row>
    <row r="2424" customFormat="false" ht="15" hidden="false" customHeight="false" outlineLevel="0" collapsed="false">
      <c r="A2424" s="4" t="s">
        <v>513</v>
      </c>
      <c r="B2424" s="36" t="s">
        <v>77</v>
      </c>
      <c r="C2424" s="51" t="n">
        <f aca="false">IFERROR(C2421/(C2420+C2421+C2422),0)</f>
        <v>0.276986670704789</v>
      </c>
      <c r="D2424" s="51" t="n">
        <f aca="false">IFERROR(D2421/(D2420+D2421+D2422),0)</f>
        <v>0.276986670704789</v>
      </c>
      <c r="E2424" s="51" t="n">
        <f aca="false">IFERROR(E2421/(E2420+E2421+E2422),0)</f>
        <v>0.276986670704789</v>
      </c>
      <c r="F2424" s="51" t="n">
        <f aca="false">IFERROR(F2421/(F2420+F2421+F2422),0)</f>
        <v>0.276986670704789</v>
      </c>
      <c r="G2424" s="51" t="n">
        <f aca="false">IFERROR(G2421/(G2420+G2421+G2422),0)</f>
        <v>0.278005282632032</v>
      </c>
      <c r="H2424" s="51" t="n">
        <f aca="false">IFERROR(H2421/(H2420+H2421+H2422),0)</f>
        <v>0.278518327487428</v>
      </c>
      <c r="I2424" s="51" t="n">
        <f aca="false">IFERROR(I2421/(I2420+I2421+I2422),0)</f>
        <v>0.287957820697706</v>
      </c>
      <c r="J2424" s="51" t="n">
        <f aca="false">IFERROR(J2421/(J2420+J2421+J2422),0)</f>
        <v>0.294039638513703</v>
      </c>
      <c r="K2424" s="51" t="n">
        <f aca="false">IFERROR(K2421/(K2420+K2421+K2422),0)</f>
        <v>0.294039638513703</v>
      </c>
      <c r="L2424" s="51" t="n">
        <f aca="false">IFERROR(L2421/(L2420+L2421+L2422),0)</f>
        <v>0.294039638513703</v>
      </c>
      <c r="M2424" s="51" t="n">
        <f aca="false">IFERROR(M2421/(M2420+M2421+M2422),0)</f>
        <v>0.294039638513703</v>
      </c>
      <c r="N2424" s="51" t="n">
        <f aca="false">IFERROR(N2421/(N2420+N2421+N2422),0)</f>
        <v>0.294039638513703</v>
      </c>
      <c r="P2424" s="52"/>
      <c r="Q2424" s="52"/>
      <c r="R2424" s="52"/>
      <c r="S2424" s="53"/>
    </row>
    <row r="2425" customFormat="false" ht="15" hidden="false" customHeight="false" outlineLevel="0" collapsed="false">
      <c r="A2425" s="4" t="s">
        <v>514</v>
      </c>
      <c r="B2425" s="36" t="s">
        <v>77</v>
      </c>
      <c r="C2425" s="51" t="n">
        <f aca="false">IFERROR(C2422/(C2420+C2421+C2422),0)</f>
        <v>0.0450855351062853</v>
      </c>
      <c r="D2425" s="51" t="n">
        <f aca="false">IFERROR(D2422/(D2420+D2421+D2422),0)</f>
        <v>0.0450855351062853</v>
      </c>
      <c r="E2425" s="51" t="n">
        <f aca="false">IFERROR(E2422/(E2420+E2421+E2422),0)</f>
        <v>0.0450855351062853</v>
      </c>
      <c r="F2425" s="51" t="n">
        <f aca="false">IFERROR(F2422/(F2420+F2421+F2422),0)</f>
        <v>0.0450855351062853</v>
      </c>
      <c r="G2425" s="51" t="n">
        <f aca="false">IFERROR(G2422/(G2420+G2421+G2422),0)</f>
        <v>0.0434325478174426</v>
      </c>
      <c r="H2425" s="51" t="n">
        <f aca="false">IFERROR(H2422/(H2420+H2421+H2422),0)</f>
        <v>0.0425999867587168</v>
      </c>
      <c r="I2425" s="51" t="n">
        <f aca="false">IFERROR(I2422/(I2420+I2421+I2422),0)</f>
        <v>0.0436619183302024</v>
      </c>
      <c r="J2425" s="51" t="n">
        <f aca="false">IFERROR(J2422/(J2420+J2421+J2422),0)</f>
        <v>0.0443461154800875</v>
      </c>
      <c r="K2425" s="51" t="n">
        <f aca="false">IFERROR(K2422/(K2420+K2421+K2422),0)</f>
        <v>0.0443461154800875</v>
      </c>
      <c r="L2425" s="51" t="n">
        <f aca="false">IFERROR(L2422/(L2420+L2421+L2422),0)</f>
        <v>0.0443461154800875</v>
      </c>
      <c r="M2425" s="51" t="n">
        <f aca="false">IFERROR(M2422/(M2420+M2421+M2422),0)</f>
        <v>0.0443461154800875</v>
      </c>
      <c r="N2425" s="51" t="n">
        <f aca="false">IFERROR(N2422/(N2420+N2421+N2422),0)</f>
        <v>0.0443461154800875</v>
      </c>
      <c r="P2425" s="52"/>
      <c r="Q2425" s="52"/>
      <c r="R2425" s="52"/>
      <c r="S2425" s="53"/>
    </row>
    <row r="2426" customFormat="false" ht="15" hidden="false" customHeight="false" outlineLevel="0" collapsed="false">
      <c r="A2426" s="4" t="s">
        <v>515</v>
      </c>
      <c r="B2426" s="36" t="s">
        <v>516</v>
      </c>
      <c r="C2426" s="48" t="n">
        <f aca="false">IF(C2394-Assumptions!$H$35&lt;1,0,INDEX($C$2419:$N$2419,1,C2394-Assumptions!$H$35)*INDEX($C$2423:$N$2423,1,C2394-Assumptions!$H$35)*Assumptions!$H$32)</f>
        <v>0</v>
      </c>
      <c r="D2426" s="48" t="n">
        <f aca="false">IF(D2394-Assumptions!$H$35&lt;1,0,INDEX($C$2419:$N$2419,1,D2394-Assumptions!$H$35)*INDEX($C$2423:$N$2423,1,D2394-Assumptions!$H$35)*Assumptions!$H$32)</f>
        <v>2.71215607237191</v>
      </c>
      <c r="E2426" s="48" t="n">
        <f aca="false">IF(E2394-Assumptions!$H$35&lt;1,0,INDEX($C$2419:$N$2419,1,E2394-Assumptions!$H$35)*INDEX($C$2423:$N$2423,1,E2394-Assumptions!$H$35)*Assumptions!$H$32)</f>
        <v>4.70494560700233</v>
      </c>
      <c r="F2426" s="48" t="n">
        <f aca="false">IF(F2394-Assumptions!$H$35&lt;1,0,INDEX($C$2419:$N$2419,1,F2394-Assumptions!$H$35)*INDEX($C$2423:$N$2423,1,F2394-Assumptions!$H$35)*Assumptions!$H$32)</f>
        <v>4.99976438058937</v>
      </c>
      <c r="G2426" s="48" t="n">
        <f aca="false">IF(G2394-Assumptions!$H$35&lt;1,0,INDEX($C$2419:$N$2419,1,G2394-Assumptions!$H$35)*INDEX($C$2423:$N$2423,1,G2394-Assumptions!$H$35)*Assumptions!$H$32)</f>
        <v>5.15968772038249</v>
      </c>
      <c r="H2426" s="48" t="n">
        <f aca="false">IF(H2394-Assumptions!$H$35&lt;1,0,INDEX($C$2419:$N$2419,1,H2394-Assumptions!$H$35)*INDEX($C$2423:$N$2423,1,H2394-Assumptions!$H$35)*Assumptions!$H$32)</f>
        <v>6.86100241428045</v>
      </c>
      <c r="I2426" s="48" t="n">
        <f aca="false">IF(I2394-Assumptions!$H$35&lt;1,0,INDEX($C$2419:$N$2419,1,I2394-Assumptions!$H$35)*INDEX($C$2423:$N$2423,1,I2394-Assumptions!$H$35)*Assumptions!$H$32)</f>
        <v>8.35204005714424</v>
      </c>
      <c r="J2426" s="48" t="n">
        <f aca="false">IF(J2394-Assumptions!$H$35&lt;1,0,INDEX($C$2419:$N$2419,1,J2394-Assumptions!$H$35)*INDEX($C$2423:$N$2423,1,J2394-Assumptions!$H$35)*Assumptions!$H$32)</f>
        <v>9.79174595760785</v>
      </c>
      <c r="K2426" s="48" t="n">
        <f aca="false">IF(K2394-Assumptions!$H$35&lt;1,0,INDEX($C$2419:$N$2419,1,K2394-Assumptions!$H$35)*INDEX($C$2423:$N$2423,1,K2394-Assumptions!$H$35)*Assumptions!$H$32)</f>
        <v>11.0933005259504</v>
      </c>
      <c r="L2426" s="48" t="n">
        <f aca="false">IF(L2394-Assumptions!$H$35&lt;1,0,INDEX($C$2419:$N$2419,1,L2394-Assumptions!$H$35)*INDEX($C$2423:$N$2423,1,L2394-Assumptions!$H$35)*Assumptions!$H$32)</f>
        <v>10.8539933191636</v>
      </c>
      <c r="M2426" s="48" t="n">
        <f aca="false">IF(M2394-Assumptions!$H$35&lt;1,0,INDEX($C$2419:$N$2419,1,M2394-Assumptions!$H$35)*INDEX($C$2423:$N$2423,1,M2394-Assumptions!$H$35)*Assumptions!$H$32)</f>
        <v>10.6245142883741</v>
      </c>
      <c r="N2426" s="48" t="n">
        <f aca="false">IF(N2394-Assumptions!$H$35&lt;1,0,INDEX($C$2419:$N$2419,1,N2394-Assumptions!$H$35)*INDEX($C$2423:$N$2423,1,N2394-Assumptions!$H$35)*Assumptions!$H$32)</f>
        <v>10.4046518065307</v>
      </c>
      <c r="P2426" s="49" t="n">
        <f aca="false">SUM(C2426:F2426)</f>
        <v>12.4168660599636</v>
      </c>
      <c r="Q2426" s="49" t="n">
        <f aca="false">SUM(G2426:J2426)</f>
        <v>30.164476149415</v>
      </c>
      <c r="R2426" s="49" t="n">
        <f aca="false">SUM(K2426:N2426)</f>
        <v>42.9764599400189</v>
      </c>
      <c r="S2426" s="50" t="n">
        <f aca="false">SUM(P2426:R2426)</f>
        <v>85.5578021493975</v>
      </c>
    </row>
    <row r="2427" customFormat="false" ht="15" hidden="false" customHeight="false" outlineLevel="0" collapsed="false">
      <c r="A2427" s="4" t="s">
        <v>517</v>
      </c>
      <c r="B2427" s="36" t="s">
        <v>516</v>
      </c>
      <c r="C2427" s="48" t="n">
        <f aca="false">IF(C2394-Assumptions!$H$35&lt;1,0,INDEX($C$2419:$N$2419,1,C2394-Assumptions!$H$35)*INDEX($C$2424:$N$2424,1,C2394-Assumptions!$H$35)*Assumptions!$H$32)</f>
        <v>0</v>
      </c>
      <c r="D2427" s="48" t="n">
        <f aca="false">IF(D2394-Assumptions!$H$35&lt;1,0,INDEX($C$2419:$N$2419,1,D2394-Assumptions!$H$35)*INDEX($C$2424:$N$2424,1,D2394-Assumptions!$H$35)*Assumptions!$H$32)</f>
        <v>1.1081284575695</v>
      </c>
      <c r="E2427" s="48" t="n">
        <f aca="false">IF(E2394-Assumptions!$H$35&lt;1,0,INDEX($C$2419:$N$2419,1,E2394-Assumptions!$H$35)*INDEX($C$2424:$N$2424,1,E2394-Assumptions!$H$35)*Assumptions!$H$32)</f>
        <v>1.92233926784172</v>
      </c>
      <c r="F2427" s="48" t="n">
        <f aca="false">IF(F2394-Assumptions!$H$35&lt;1,0,INDEX($C$2419:$N$2419,1,F2394-Assumptions!$H$35)*INDEX($C$2424:$N$2424,1,F2394-Assumptions!$H$35)*Assumptions!$H$32)</f>
        <v>2.04279585814105</v>
      </c>
      <c r="G2427" s="48" t="n">
        <f aca="false">IF(G2394-Assumptions!$H$35&lt;1,0,INDEX($C$2419:$N$2419,1,G2394-Assumptions!$H$35)*INDEX($C$2424:$N$2424,1,G2394-Assumptions!$H$35)*Assumptions!$H$32)</f>
        <v>2.1081370845032</v>
      </c>
      <c r="H2427" s="48" t="n">
        <f aca="false">IF(H2394-Assumptions!$H$35&lt;1,0,INDEX($C$2419:$N$2419,1,H2394-Assumptions!$H$35)*INDEX($C$2424:$N$2424,1,H2394-Assumptions!$H$35)*Assumptions!$H$32)</f>
        <v>2.81093612481305</v>
      </c>
      <c r="I2427" s="48" t="n">
        <f aca="false">IF(I2394-Assumptions!$H$35&lt;1,0,INDEX($C$2419:$N$2419,1,I2394-Assumptions!$H$35)*INDEX($C$2424:$N$2424,1,I2394-Assumptions!$H$35)*Assumptions!$H$32)</f>
        <v>3.42651197791663</v>
      </c>
      <c r="J2427" s="48" t="n">
        <f aca="false">IF(J2394-Assumptions!$H$35&lt;1,0,INDEX($C$2419:$N$2419,1,J2394-Assumptions!$H$35)*INDEX($C$2424:$N$2424,1,J2394-Assumptions!$H$35)*Assumptions!$H$32)</f>
        <v>4.21857136037723</v>
      </c>
      <c r="K2427" s="48" t="n">
        <f aca="false">IF(K2394-Assumptions!$H$35&lt;1,0,INDEX($C$2419:$N$2419,1,K2394-Assumptions!$H$35)*INDEX($C$2424:$N$2424,1,K2394-Assumptions!$H$35)*Assumptions!$H$32)</f>
        <v>4.93016904678882</v>
      </c>
      <c r="L2427" s="48" t="n">
        <f aca="false">IF(L2394-Assumptions!$H$35&lt;1,0,INDEX($C$2419:$N$2419,1,L2394-Assumptions!$H$35)*INDEX($C$2424:$N$2424,1,L2394-Assumptions!$H$35)*Assumptions!$H$32)</f>
        <v>4.82381431666915</v>
      </c>
      <c r="M2427" s="48" t="n">
        <f aca="false">IF(M2394-Assumptions!$H$35&lt;1,0,INDEX($C$2419:$N$2419,1,M2394-Assumptions!$H$35)*INDEX($C$2424:$N$2424,1,M2394-Assumptions!$H$35)*Assumptions!$H$32)</f>
        <v>4.72182749932486</v>
      </c>
      <c r="N2427" s="48" t="n">
        <f aca="false">IF(N2394-Assumptions!$H$35&lt;1,0,INDEX($C$2419:$N$2419,1,N2394-Assumptions!$H$35)*INDEX($C$2424:$N$2424,1,N2394-Assumptions!$H$35)*Assumptions!$H$32)</f>
        <v>4.62411454185123</v>
      </c>
      <c r="P2427" s="49" t="n">
        <f aca="false">SUM(C2427:F2427)</f>
        <v>5.07326358355228</v>
      </c>
      <c r="Q2427" s="49" t="n">
        <f aca="false">SUM(G2427:J2427)</f>
        <v>12.5641565476101</v>
      </c>
      <c r="R2427" s="49" t="n">
        <f aca="false">SUM(K2427:N2427)</f>
        <v>19.0999254046341</v>
      </c>
      <c r="S2427" s="50" t="n">
        <f aca="false">SUM(P2427:R2427)</f>
        <v>36.7373455357964</v>
      </c>
    </row>
    <row r="2428" customFormat="false" ht="15" hidden="false" customHeight="false" outlineLevel="0" collapsed="false">
      <c r="A2428" s="4" t="s">
        <v>518</v>
      </c>
      <c r="B2428" s="36" t="s">
        <v>516</v>
      </c>
      <c r="C2428" s="48" t="n">
        <f aca="false">IF(C2394-Assumptions!$H$36&lt;1,0,INDEX($C$2419:$N$2419,1,C2394-Assumptions!$H$36)*INDEX($C$2425:$N$2425,1,C2394-Assumptions!$H$36)*Assumptions!$H$32)</f>
        <v>0</v>
      </c>
      <c r="D2428" s="48" t="n">
        <f aca="false">IF(D2394-Assumptions!$H$36&lt;1,0,INDEX($C$2419:$N$2419,1,D2394-Assumptions!$H$36)*INDEX($C$2425:$N$2425,1,D2394-Assumptions!$H$36)*Assumptions!$H$32)</f>
        <v>0</v>
      </c>
      <c r="E2428" s="48" t="n">
        <f aca="false">IF(E2394-Assumptions!$H$36&lt;1,0,INDEX($C$2419:$N$2419,1,E2394-Assumptions!$H$36)*INDEX($C$2425:$N$2425,1,E2394-Assumptions!$H$36)*Assumptions!$H$32)</f>
        <v>0.180371728173416</v>
      </c>
      <c r="F2428" s="48" t="n">
        <f aca="false">IF(F2394-Assumptions!$H$36&lt;1,0,INDEX($C$2419:$N$2419,1,F2394-Assumptions!$H$36)*INDEX($C$2425:$N$2425,1,F2394-Assumptions!$H$36)*Assumptions!$H$32)</f>
        <v>0.312902040830842</v>
      </c>
      <c r="G2428" s="48" t="n">
        <f aca="false">IF(G2394-Assumptions!$H$36&lt;1,0,INDEX($C$2419:$N$2419,1,G2394-Assumptions!$H$36)*INDEX($C$2425:$N$2425,1,G2394-Assumptions!$H$36)*Assumptions!$H$32)</f>
        <v>0.332508940386352</v>
      </c>
      <c r="H2428" s="48" t="n">
        <f aca="false">IF(H2394-Assumptions!$H$36&lt;1,0,INDEX($C$2419:$N$2419,1,H2394-Assumptions!$H$36)*INDEX($C$2425:$N$2425,1,H2394-Assumptions!$H$36)*Assumptions!$H$32)</f>
        <v>0.34314462963285</v>
      </c>
      <c r="I2428" s="48" t="n">
        <f aca="false">IF(I2394-Assumptions!$H$36&lt;1,0,INDEX($C$2419:$N$2419,1,I2394-Assumptions!$H$36)*INDEX($C$2425:$N$2425,1,I2394-Assumptions!$H$36)*Assumptions!$H$32)</f>
        <v>0.439150351737426</v>
      </c>
      <c r="J2428" s="48" t="n">
        <f aca="false">IF(J2394-Assumptions!$H$36&lt;1,0,INDEX($C$2419:$N$2419,1,J2394-Assumptions!$H$36)*INDEX($C$2425:$N$2425,1,J2394-Assumptions!$H$36)*Assumptions!$H$32)</f>
        <v>0.524092494036758</v>
      </c>
      <c r="K2428" s="48" t="n">
        <f aca="false">IF(K2394-Assumptions!$H$36&lt;1,0,INDEX($C$2419:$N$2419,1,K2394-Assumptions!$H$36)*INDEX($C$2425:$N$2425,1,K2394-Assumptions!$H$36)*Assumptions!$H$32)</f>
        <v>0.639645479190796</v>
      </c>
      <c r="L2428" s="48" t="n">
        <f aca="false">IF(L2394-Assumptions!$H$36&lt;1,0,INDEX($C$2419:$N$2419,1,L2394-Assumptions!$H$36)*INDEX($C$2425:$N$2425,1,L2394-Assumptions!$H$36)*Assumptions!$H$32)</f>
        <v>0.743552287679271</v>
      </c>
      <c r="M2428" s="48" t="n">
        <f aca="false">IF(M2394-Assumptions!$H$36&lt;1,0,INDEX($C$2419:$N$2419,1,M2394-Assumptions!$H$36)*INDEX($C$2425:$N$2425,1,M2394-Assumptions!$H$36)*Assumptions!$H$32)</f>
        <v>0.727512208295482</v>
      </c>
      <c r="N2428" s="48" t="n">
        <f aca="false">IF(N2394-Assumptions!$H$36&lt;1,0,INDEX($C$2419:$N$2419,1,N2394-Assumptions!$H$36)*INDEX($C$2425:$N$2425,1,N2394-Assumptions!$H$36)*Assumptions!$H$32)</f>
        <v>0.712130883511321</v>
      </c>
      <c r="P2428" s="49" t="n">
        <f aca="false">SUM(C2428:F2428)</f>
        <v>0.493273769004258</v>
      </c>
      <c r="Q2428" s="49" t="n">
        <f aca="false">SUM(G2428:J2428)</f>
        <v>1.63889641579339</v>
      </c>
      <c r="R2428" s="49" t="n">
        <f aca="false">SUM(K2428:N2428)</f>
        <v>2.82284085867687</v>
      </c>
      <c r="S2428" s="50" t="n">
        <f aca="false">SUM(P2428:R2428)</f>
        <v>4.95501104347451</v>
      </c>
    </row>
    <row r="2429" customFormat="false" ht="15" hidden="false" customHeight="false" outlineLevel="0" collapsed="false">
      <c r="A2429" s="4" t="s">
        <v>519</v>
      </c>
      <c r="B2429" s="36" t="s">
        <v>77</v>
      </c>
      <c r="C2429" s="51" t="n">
        <f aca="false">IF(C2394-Assumptions!$H$35&lt;1,0,IFERROR(INDEX($C$2418:$N$2418,1,C2394-Assumptions!$H$35)/INDEX($C$2419:$N$2419,1,C2394-Assumptions!$H$35),0))</f>
        <v>0</v>
      </c>
      <c r="D2429" s="51" t="n">
        <f aca="false">IF(D2394-Assumptions!$H$35&lt;1,0,IFERROR(INDEX($C$2418:$N$2418,1,D2394-Assumptions!$H$35)/INDEX($C$2419:$N$2419,1,D2394-Assumptions!$H$35),0))</f>
        <v>0.20246678238277</v>
      </c>
      <c r="E2429" s="51" t="n">
        <f aca="false">IF(E2394-Assumptions!$H$35&lt;1,0,IFERROR(INDEX($C$2418:$N$2418,1,E2394-Assumptions!$H$35)/INDEX($C$2419:$N$2419,1,E2394-Assumptions!$H$35),0))</f>
        <v>0.15561540533739</v>
      </c>
      <c r="F2429" s="51" t="n">
        <f aca="false">IF(F2394-Assumptions!$H$35&lt;1,0,IFERROR(INDEX($C$2418:$N$2418,1,F2394-Assumptions!$H$35)/INDEX($C$2419:$N$2419,1,F2394-Assumptions!$H$35),0))</f>
        <v>0.183049130416655</v>
      </c>
      <c r="G2429" s="51" t="n">
        <f aca="false">IF(G2394-Assumptions!$H$35&lt;1,0,IFERROR(INDEX($C$2418:$N$2418,1,G2394-Assumptions!$H$35)/INDEX($C$2419:$N$2419,1,G2394-Assumptions!$H$35),0))</f>
        <v>0.212850677425231</v>
      </c>
      <c r="H2429" s="51" t="n">
        <f aca="false">IF(H2394-Assumptions!$H$35&lt;1,0,IFERROR(INDEX($C$2418:$N$2418,1,H2394-Assumptions!$H$35)/INDEX($C$2419:$N$2419,1,H2394-Assumptions!$H$35),0))</f>
        <v>0.186923487708027</v>
      </c>
      <c r="I2429" s="51" t="n">
        <f aca="false">IF(I2394-Assumptions!$H$35&lt;1,0,IFERROR(INDEX($C$2418:$N$2418,1,I2394-Assumptions!$H$35)/INDEX($C$2419:$N$2419,1,I2394-Assumptions!$H$35),0))</f>
        <v>0.175572007700561</v>
      </c>
      <c r="J2429" s="51" t="n">
        <f aca="false">IF(J2394-Assumptions!$H$35&lt;1,0,IFERROR(INDEX($C$2418:$N$2418,1,J2394-Assumptions!$H$35)/INDEX($C$2419:$N$2419,1,J2394-Assumptions!$H$35),0))</f>
        <v>0.165870728386316</v>
      </c>
      <c r="K2429" s="51" t="n">
        <f aca="false">IF(K2394-Assumptions!$H$35&lt;1,0,IFERROR(INDEX($C$2418:$N$2418,1,K2394-Assumptions!$H$35)/INDEX($C$2419:$N$2419,1,K2394-Assumptions!$H$35),0))</f>
        <v>0.161030385865591</v>
      </c>
      <c r="L2429" s="51" t="n">
        <f aca="false">IF(L2394-Assumptions!$H$35&lt;1,0,IFERROR(INDEX($C$2418:$N$2418,1,L2394-Assumptions!$H$35)/INDEX($C$2419:$N$2419,1,L2394-Assumptions!$H$35),0))</f>
        <v>0.164580759512981</v>
      </c>
      <c r="M2429" s="51" t="n">
        <f aca="false">IF(M2394-Assumptions!$H$35&lt;1,0,IFERROR(INDEX($C$2418:$N$2418,1,M2394-Assumptions!$H$35)/INDEX($C$2419:$N$2419,1,M2394-Assumptions!$H$35),0))</f>
        <v>0.168135541609793</v>
      </c>
      <c r="N2429" s="51" t="n">
        <f aca="false">IF(N2394-Assumptions!$H$35&lt;1,0,IFERROR(INDEX($C$2418:$N$2418,1,N2394-Assumptions!$H$35)/INDEX($C$2419:$N$2419,1,N2394-Assumptions!$H$35),0))</f>
        <v>0.171688442576763</v>
      </c>
      <c r="P2429" s="52"/>
      <c r="Q2429" s="52"/>
      <c r="R2429" s="52"/>
      <c r="S2429" s="53"/>
    </row>
    <row r="2430" customFormat="false" ht="15" hidden="false" customHeight="false" outlineLevel="0" collapsed="false">
      <c r="A2430" s="4" t="s">
        <v>520</v>
      </c>
      <c r="B2430" s="36" t="s">
        <v>516</v>
      </c>
      <c r="C2430" s="48" t="n">
        <f aca="false">C2426*Assumptions!$H$37</f>
        <v>0</v>
      </c>
      <c r="D2430" s="48" t="n">
        <f aca="false">D2426*Assumptions!$H$37</f>
        <v>1.22047023256736</v>
      </c>
      <c r="E2430" s="48" t="n">
        <f aca="false">E2426*Assumptions!$H$37</f>
        <v>2.11722552315105</v>
      </c>
      <c r="F2430" s="48" t="n">
        <f aca="false">F2426*Assumptions!$H$37</f>
        <v>2.24989397126522</v>
      </c>
      <c r="G2430" s="48" t="n">
        <f aca="false">G2426*Assumptions!$H$37</f>
        <v>2.32185947417212</v>
      </c>
      <c r="H2430" s="48" t="n">
        <f aca="false">H2426*Assumptions!$H$37</f>
        <v>3.0874510864262</v>
      </c>
      <c r="I2430" s="48" t="n">
        <f aca="false">I2426*Assumptions!$H$37</f>
        <v>3.75841802571491</v>
      </c>
      <c r="J2430" s="48" t="n">
        <f aca="false">J2426*Assumptions!$H$37</f>
        <v>4.40628568092353</v>
      </c>
      <c r="K2430" s="48" t="n">
        <f aca="false">K2426*Assumptions!$H$37</f>
        <v>4.99198523667769</v>
      </c>
      <c r="L2430" s="48" t="n">
        <f aca="false">L2426*Assumptions!$H$37</f>
        <v>4.88429699362362</v>
      </c>
      <c r="M2430" s="48" t="n">
        <f aca="false">M2426*Assumptions!$H$37</f>
        <v>4.78103142976835</v>
      </c>
      <c r="N2430" s="48" t="n">
        <f aca="false">N2426*Assumptions!$H$37</f>
        <v>4.68209331293883</v>
      </c>
      <c r="P2430" s="49" t="n">
        <f aca="false">SUM(C2430:F2430)</f>
        <v>5.58758972698362</v>
      </c>
      <c r="Q2430" s="49" t="n">
        <f aca="false">SUM(G2430:J2430)</f>
        <v>13.5740142672368</v>
      </c>
      <c r="R2430" s="49" t="n">
        <f aca="false">SUM(K2430:N2430)</f>
        <v>19.3394069730085</v>
      </c>
      <c r="S2430" s="50" t="n">
        <f aca="false">SUM(P2430:R2430)</f>
        <v>38.5010109672289</v>
      </c>
    </row>
    <row r="2431" customFormat="false" ht="15" hidden="false" customHeight="false" outlineLevel="0" collapsed="false">
      <c r="A2431" s="4" t="s">
        <v>521</v>
      </c>
      <c r="B2431" s="36" t="s">
        <v>516</v>
      </c>
      <c r="C2431" s="48" t="n">
        <f aca="false">C2426*(1-Assumptions!$H$37)</f>
        <v>0</v>
      </c>
      <c r="D2431" s="48" t="n">
        <f aca="false">D2426*(1-Assumptions!$H$37)</f>
        <v>1.49168583980455</v>
      </c>
      <c r="E2431" s="48" t="n">
        <f aca="false">E2426*(1-Assumptions!$H$37)</f>
        <v>2.58772008385128</v>
      </c>
      <c r="F2431" s="48" t="n">
        <f aca="false">F2426*(1-Assumptions!$H$37)</f>
        <v>2.74987040932415</v>
      </c>
      <c r="G2431" s="48" t="n">
        <f aca="false">G2426*(1-Assumptions!$H$37)</f>
        <v>2.83782824621037</v>
      </c>
      <c r="H2431" s="48" t="n">
        <f aca="false">H2426*(1-Assumptions!$H$37)</f>
        <v>3.77355132785425</v>
      </c>
      <c r="I2431" s="48" t="n">
        <f aca="false">I2426*(1-Assumptions!$H$37)</f>
        <v>4.59362203142933</v>
      </c>
      <c r="J2431" s="48" t="n">
        <f aca="false">J2426*(1-Assumptions!$H$37)</f>
        <v>5.38546027668432</v>
      </c>
      <c r="K2431" s="48" t="n">
        <f aca="false">K2426*(1-Assumptions!$H$37)</f>
        <v>6.10131528927273</v>
      </c>
      <c r="L2431" s="48" t="n">
        <f aca="false">L2426*(1-Assumptions!$H$37)</f>
        <v>5.96969632553998</v>
      </c>
      <c r="M2431" s="48" t="n">
        <f aca="false">M2426*(1-Assumptions!$H$37)</f>
        <v>5.84348285860576</v>
      </c>
      <c r="N2431" s="48" t="n">
        <f aca="false">N2426*(1-Assumptions!$H$37)</f>
        <v>5.7225584935919</v>
      </c>
      <c r="P2431" s="49" t="n">
        <f aca="false">SUM(C2431:F2431)</f>
        <v>6.82927633297998</v>
      </c>
      <c r="Q2431" s="49" t="n">
        <f aca="false">SUM(G2431:J2431)</f>
        <v>16.5904618821783</v>
      </c>
      <c r="R2431" s="49" t="n">
        <f aca="false">SUM(K2431:N2431)</f>
        <v>23.6370529670104</v>
      </c>
      <c r="S2431" s="50" t="n">
        <f aca="false">SUM(P2431:R2431)</f>
        <v>47.0567911821686</v>
      </c>
    </row>
    <row r="2432" customFormat="false" ht="15" hidden="false" customHeight="false" outlineLevel="0" collapsed="false">
      <c r="A2432" s="4" t="s">
        <v>522</v>
      </c>
      <c r="B2432" s="36" t="s">
        <v>125</v>
      </c>
      <c r="C2432" s="54" t="n">
        <f aca="false">C2431*$C$2385+C2427*$C$2386+C2428*$C$2387</f>
        <v>0</v>
      </c>
      <c r="D2432" s="54" t="n">
        <f aca="false">D2431*$C$2385+D2427*$C$2386+D2428*$C$2387</f>
        <v>13914.2061195459</v>
      </c>
      <c r="E2432" s="54" t="n">
        <f aca="false">E2431*$C$2385+E2427*$C$2386+E2428*$C$2387</f>
        <v>32130.108925625</v>
      </c>
      <c r="F2432" s="54" t="n">
        <f aca="false">F2431*$C$2385+F2427*$C$2386+F2428*$C$2387</f>
        <v>39515.0392926884</v>
      </c>
      <c r="G2432" s="54" t="n">
        <f aca="false">G2431*$C$2385+G2427*$C$2386+G2428*$C$2387</f>
        <v>41204.2775984983</v>
      </c>
      <c r="H2432" s="54" t="n">
        <f aca="false">H2431*$C$2385+H2427*$C$2386+H2428*$C$2387</f>
        <v>50444.915385707</v>
      </c>
      <c r="I2432" s="54" t="n">
        <f aca="false">I2431*$C$2385+I2427*$C$2386+I2428*$C$2387</f>
        <v>62382.509303505</v>
      </c>
      <c r="J2432" s="54" t="n">
        <f aca="false">J2431*$C$2385+J2427*$C$2386+J2428*$C$2387</f>
        <v>74623.3157323222</v>
      </c>
      <c r="K2432" s="54" t="n">
        <f aca="false">K2431*$C$2385+K2427*$C$2386+K2428*$C$2387</f>
        <v>87383.1953495456</v>
      </c>
      <c r="L2432" s="54" t="n">
        <f aca="false">L2431*$C$2385+L2427*$C$2386+L2428*$C$2387</f>
        <v>90713.6708241717</v>
      </c>
      <c r="M2432" s="54" t="n">
        <f aca="false">M2431*$C$2385+M2427*$C$2386+M2428*$C$2387</f>
        <v>88781.6069852175</v>
      </c>
      <c r="N2432" s="54" t="n">
        <f aca="false">N2431*$C$2385+N2427*$C$2386+N2428*$C$2387</f>
        <v>86929.9135340783</v>
      </c>
      <c r="P2432" s="55" t="n">
        <f aca="false">SUM(C2432:F2432)</f>
        <v>85559.3543378593</v>
      </c>
      <c r="Q2432" s="55" t="n">
        <f aca="false">SUM(G2432:J2432)</f>
        <v>228655.018020032</v>
      </c>
      <c r="R2432" s="55" t="n">
        <f aca="false">SUM(K2432:N2432)</f>
        <v>353808.386693013</v>
      </c>
      <c r="S2432" s="56" t="n">
        <f aca="false">SUM(P2432:R2432)</f>
        <v>668022.759050905</v>
      </c>
    </row>
    <row r="2433" customFormat="false" ht="15" hidden="false" customHeight="false" outlineLevel="0" collapsed="false">
      <c r="A2433" s="4" t="s">
        <v>523</v>
      </c>
      <c r="B2433" s="36" t="s">
        <v>125</v>
      </c>
      <c r="C2433" s="54" t="n">
        <f aca="false">(C2409+Assumptions!$E$104*C2395)*$C$2390</f>
        <v>0</v>
      </c>
      <c r="D2433" s="54" t="n">
        <f aca="false">(D2409+Assumptions!$E$104*D2395)*$C$2390</f>
        <v>153125</v>
      </c>
      <c r="E2433" s="54" t="n">
        <f aca="false">(E2409+Assumptions!$E$104*E2395)*$C$2390</f>
        <v>306250</v>
      </c>
      <c r="F2433" s="54" t="n">
        <f aca="false">(F2409+Assumptions!$E$104*F2395)*$C$2390</f>
        <v>382812.5</v>
      </c>
      <c r="G2433" s="54" t="n">
        <f aca="false">(G2409+Assumptions!$E$104*G2395)*$C$2390</f>
        <v>459375</v>
      </c>
      <c r="H2433" s="54" t="n">
        <f aca="false">(H2409+Assumptions!$E$104*H2395)*$C$2390</f>
        <v>535937.5</v>
      </c>
      <c r="I2433" s="54" t="n">
        <f aca="false">(I2409+Assumptions!$E$104*I2395)*$C$2390</f>
        <v>612500</v>
      </c>
      <c r="J2433" s="54" t="n">
        <f aca="false">(J2409+Assumptions!$E$104*J2395)*$C$2390</f>
        <v>689062.5</v>
      </c>
      <c r="K2433" s="54" t="n">
        <f aca="false">(K2409+Assumptions!$E$104*K2395)*$C$2390</f>
        <v>765625</v>
      </c>
      <c r="L2433" s="54" t="n">
        <f aca="false">(L2409+Assumptions!$E$104*L2395)*$C$2390</f>
        <v>842187.5</v>
      </c>
      <c r="M2433" s="54" t="n">
        <f aca="false">(M2409+Assumptions!$E$104*M2395)*$C$2390</f>
        <v>918750</v>
      </c>
      <c r="N2433" s="54" t="n">
        <f aca="false">(N2409+Assumptions!$E$104*N2395)*$C$2390</f>
        <v>918750</v>
      </c>
      <c r="P2433" s="55" t="n">
        <f aca="false">SUM(C2433:F2433)</f>
        <v>842187.5</v>
      </c>
      <c r="Q2433" s="55" t="n">
        <f aca="false">SUM(G2433:J2433)</f>
        <v>2296875</v>
      </c>
      <c r="R2433" s="55" t="n">
        <f aca="false">SUM(K2433:N2433)</f>
        <v>3445312.5</v>
      </c>
      <c r="S2433" s="56" t="n">
        <f aca="false">SUM(P2433:R2433)</f>
        <v>6584375</v>
      </c>
    </row>
    <row r="2434" customFormat="false" ht="15" hidden="false" customHeight="false" outlineLevel="0" collapsed="false">
      <c r="A2434" s="4" t="s">
        <v>524</v>
      </c>
      <c r="B2434" s="36" t="s">
        <v>77</v>
      </c>
      <c r="C2434" s="51" t="n">
        <f aca="false">IF(C2432&gt;0,MIN(1,C2433/C2432),1)</f>
        <v>1</v>
      </c>
      <c r="D2434" s="51" t="n">
        <f aca="false">IF(D2432&gt;0,MIN(1,D2433/D2432),1)</f>
        <v>1</v>
      </c>
      <c r="E2434" s="51" t="n">
        <f aca="false">IF(E2432&gt;0,MIN(1,E2433/E2432),1)</f>
        <v>1</v>
      </c>
      <c r="F2434" s="51" t="n">
        <f aca="false">IF(F2432&gt;0,MIN(1,F2433/F2432),1)</f>
        <v>1</v>
      </c>
      <c r="G2434" s="51" t="n">
        <f aca="false">IF(G2432&gt;0,MIN(1,G2433/G2432),1)</f>
        <v>1</v>
      </c>
      <c r="H2434" s="51" t="n">
        <f aca="false">IF(H2432&gt;0,MIN(1,H2433/H2432),1)</f>
        <v>1</v>
      </c>
      <c r="I2434" s="51" t="n">
        <f aca="false">IF(I2432&gt;0,MIN(1,I2433/I2432),1)</f>
        <v>1</v>
      </c>
      <c r="J2434" s="51" t="n">
        <f aca="false">IF(J2432&gt;0,MIN(1,J2433/J2432),1)</f>
        <v>1</v>
      </c>
      <c r="K2434" s="51" t="n">
        <f aca="false">IF(K2432&gt;0,MIN(1,K2433/K2432),1)</f>
        <v>1</v>
      </c>
      <c r="L2434" s="51" t="n">
        <f aca="false">IF(L2432&gt;0,MIN(1,L2433/L2432),1)</f>
        <v>1</v>
      </c>
      <c r="M2434" s="51" t="n">
        <f aca="false">IF(M2432&gt;0,MIN(1,M2433/M2432),1)</f>
        <v>1</v>
      </c>
      <c r="N2434" s="51" t="n">
        <f aca="false">IF(N2432&gt;0,MIN(1,N2433/N2432),1)</f>
        <v>1</v>
      </c>
      <c r="P2434" s="52"/>
      <c r="Q2434" s="52"/>
      <c r="R2434" s="52"/>
      <c r="S2434" s="53"/>
    </row>
    <row r="2435" customFormat="false" ht="15" hidden="false" customHeight="false" outlineLevel="0" collapsed="false">
      <c r="A2435" s="4" t="s">
        <v>525</v>
      </c>
      <c r="B2435" s="36" t="s">
        <v>125</v>
      </c>
      <c r="C2435" s="54" t="n">
        <f aca="false">C2432*(1-C2434)</f>
        <v>0</v>
      </c>
      <c r="D2435" s="54" t="n">
        <f aca="false">D2432*(1-D2434)</f>
        <v>0</v>
      </c>
      <c r="E2435" s="54" t="n">
        <f aca="false">E2432*(1-E2434)</f>
        <v>0</v>
      </c>
      <c r="F2435" s="54" t="n">
        <f aca="false">F2432*(1-F2434)</f>
        <v>0</v>
      </c>
      <c r="G2435" s="54" t="n">
        <f aca="false">G2432*(1-G2434)</f>
        <v>0</v>
      </c>
      <c r="H2435" s="54" t="n">
        <f aca="false">H2432*(1-H2434)</f>
        <v>0</v>
      </c>
      <c r="I2435" s="54" t="n">
        <f aca="false">I2432*(1-I2434)</f>
        <v>0</v>
      </c>
      <c r="J2435" s="54" t="n">
        <f aca="false">J2432*(1-J2434)</f>
        <v>0</v>
      </c>
      <c r="K2435" s="54" t="n">
        <f aca="false">K2432*(1-K2434)</f>
        <v>0</v>
      </c>
      <c r="L2435" s="54" t="n">
        <f aca="false">L2432*(1-L2434)</f>
        <v>0</v>
      </c>
      <c r="M2435" s="54" t="n">
        <f aca="false">M2432*(1-M2434)</f>
        <v>0</v>
      </c>
      <c r="N2435" s="54" t="n">
        <f aca="false">N2432*(1-N2434)</f>
        <v>0</v>
      </c>
      <c r="P2435" s="55" t="n">
        <f aca="false">SUM(C2435:F2435)</f>
        <v>0</v>
      </c>
      <c r="Q2435" s="55" t="n">
        <f aca="false">SUM(G2435:J2435)</f>
        <v>0</v>
      </c>
      <c r="R2435" s="55" t="n">
        <f aca="false">SUM(K2435:N2435)</f>
        <v>0</v>
      </c>
      <c r="S2435" s="56" t="n">
        <f aca="false">SUM(P2435:R2435)</f>
        <v>0</v>
      </c>
    </row>
    <row r="2436" customFormat="false" ht="15" hidden="false" customHeight="false" outlineLevel="0" collapsed="false">
      <c r="A2436" s="4" t="s">
        <v>526</v>
      </c>
      <c r="B2436" s="36" t="s">
        <v>527</v>
      </c>
      <c r="C2436" s="48" t="n">
        <f aca="false">C2430+C2431*C2434</f>
        <v>0</v>
      </c>
      <c r="D2436" s="48" t="n">
        <f aca="false">D2430+D2431*D2434</f>
        <v>2.71215607237191</v>
      </c>
      <c r="E2436" s="48" t="n">
        <f aca="false">E2430+E2431*E2434</f>
        <v>4.70494560700233</v>
      </c>
      <c r="F2436" s="48" t="n">
        <f aca="false">F2430+F2431*F2434</f>
        <v>4.99976438058937</v>
      </c>
      <c r="G2436" s="48" t="n">
        <f aca="false">G2430+G2431*G2434</f>
        <v>5.1596877203825</v>
      </c>
      <c r="H2436" s="48" t="n">
        <f aca="false">H2430+H2431*H2434</f>
        <v>6.86100241428045</v>
      </c>
      <c r="I2436" s="48" t="n">
        <f aca="false">I2430+I2431*I2434</f>
        <v>8.35204005714424</v>
      </c>
      <c r="J2436" s="48" t="n">
        <f aca="false">J2430+J2431*J2434</f>
        <v>9.79174595760786</v>
      </c>
      <c r="K2436" s="48" t="n">
        <f aca="false">K2430+K2431*K2434</f>
        <v>11.0933005259504</v>
      </c>
      <c r="L2436" s="48" t="n">
        <f aca="false">L2430+L2431*L2434</f>
        <v>10.8539933191636</v>
      </c>
      <c r="M2436" s="48" t="n">
        <f aca="false">M2430+M2431*M2434</f>
        <v>10.6245142883741</v>
      </c>
      <c r="N2436" s="48" t="n">
        <f aca="false">N2430+N2431*N2434</f>
        <v>10.4046518065307</v>
      </c>
      <c r="P2436" s="49" t="n">
        <f aca="false">SUM(C2436:F2436)</f>
        <v>12.4168660599636</v>
      </c>
      <c r="Q2436" s="49" t="n">
        <f aca="false">SUM(G2436:J2436)</f>
        <v>30.164476149415</v>
      </c>
      <c r="R2436" s="49" t="n">
        <f aca="false">SUM(K2436:N2436)</f>
        <v>42.9764599400189</v>
      </c>
      <c r="S2436" s="50" t="n">
        <f aca="false">SUM(P2436:R2436)</f>
        <v>85.5578021493975</v>
      </c>
    </row>
    <row r="2437" customFormat="false" ht="15" hidden="false" customHeight="false" outlineLevel="0" collapsed="false">
      <c r="A2437" s="4" t="s">
        <v>528</v>
      </c>
      <c r="B2437" s="36" t="s">
        <v>527</v>
      </c>
      <c r="C2437" s="48" t="n">
        <f aca="false">C2427*C2434</f>
        <v>0</v>
      </c>
      <c r="D2437" s="48" t="n">
        <f aca="false">D2427*D2434</f>
        <v>1.1081284575695</v>
      </c>
      <c r="E2437" s="48" t="n">
        <f aca="false">E2427*E2434</f>
        <v>1.92233926784172</v>
      </c>
      <c r="F2437" s="48" t="n">
        <f aca="false">F2427*F2434</f>
        <v>2.04279585814105</v>
      </c>
      <c r="G2437" s="48" t="n">
        <f aca="false">G2427*G2434</f>
        <v>2.1081370845032</v>
      </c>
      <c r="H2437" s="48" t="n">
        <f aca="false">H2427*H2434</f>
        <v>2.81093612481305</v>
      </c>
      <c r="I2437" s="48" t="n">
        <f aca="false">I2427*I2434</f>
        <v>3.42651197791663</v>
      </c>
      <c r="J2437" s="48" t="n">
        <f aca="false">J2427*J2434</f>
        <v>4.21857136037723</v>
      </c>
      <c r="K2437" s="48" t="n">
        <f aca="false">K2427*K2434</f>
        <v>4.93016904678882</v>
      </c>
      <c r="L2437" s="48" t="n">
        <f aca="false">L2427*L2434</f>
        <v>4.82381431666915</v>
      </c>
      <c r="M2437" s="48" t="n">
        <f aca="false">M2427*M2434</f>
        <v>4.72182749932486</v>
      </c>
      <c r="N2437" s="48" t="n">
        <f aca="false">N2427*N2434</f>
        <v>4.62411454185123</v>
      </c>
      <c r="P2437" s="49" t="n">
        <f aca="false">SUM(C2437:F2437)</f>
        <v>5.07326358355228</v>
      </c>
      <c r="Q2437" s="49" t="n">
        <f aca="false">SUM(G2437:J2437)</f>
        <v>12.5641565476101</v>
      </c>
      <c r="R2437" s="49" t="n">
        <f aca="false">SUM(K2437:N2437)</f>
        <v>19.0999254046341</v>
      </c>
      <c r="S2437" s="50" t="n">
        <f aca="false">SUM(P2437:R2437)</f>
        <v>36.7373455357964</v>
      </c>
    </row>
    <row r="2438" customFormat="false" ht="15" hidden="false" customHeight="false" outlineLevel="0" collapsed="false">
      <c r="A2438" s="4" t="s">
        <v>529</v>
      </c>
      <c r="B2438" s="36" t="s">
        <v>527</v>
      </c>
      <c r="C2438" s="48" t="n">
        <f aca="false">C2428*C2434</f>
        <v>0</v>
      </c>
      <c r="D2438" s="48" t="n">
        <f aca="false">D2428*D2434</f>
        <v>0</v>
      </c>
      <c r="E2438" s="48" t="n">
        <f aca="false">E2428*E2434</f>
        <v>0.180371728173416</v>
      </c>
      <c r="F2438" s="48" t="n">
        <f aca="false">F2428*F2434</f>
        <v>0.312902040830842</v>
      </c>
      <c r="G2438" s="48" t="n">
        <f aca="false">G2428*G2434</f>
        <v>0.332508940386352</v>
      </c>
      <c r="H2438" s="48" t="n">
        <f aca="false">H2428*H2434</f>
        <v>0.34314462963285</v>
      </c>
      <c r="I2438" s="48" t="n">
        <f aca="false">I2428*I2434</f>
        <v>0.439150351737426</v>
      </c>
      <c r="J2438" s="48" t="n">
        <f aca="false">J2428*J2434</f>
        <v>0.524092494036758</v>
      </c>
      <c r="K2438" s="48" t="n">
        <f aca="false">K2428*K2434</f>
        <v>0.639645479190796</v>
      </c>
      <c r="L2438" s="48" t="n">
        <f aca="false">L2428*L2434</f>
        <v>0.743552287679271</v>
      </c>
      <c r="M2438" s="48" t="n">
        <f aca="false">M2428*M2434</f>
        <v>0.727512208295482</v>
      </c>
      <c r="N2438" s="48" t="n">
        <f aca="false">N2428*N2434</f>
        <v>0.712130883511321</v>
      </c>
      <c r="P2438" s="49" t="n">
        <f aca="false">SUM(C2438:F2438)</f>
        <v>0.493273769004258</v>
      </c>
      <c r="Q2438" s="49" t="n">
        <f aca="false">SUM(G2438:J2438)</f>
        <v>1.63889641579339</v>
      </c>
      <c r="R2438" s="49" t="n">
        <f aca="false">SUM(K2438:N2438)</f>
        <v>2.82284085867687</v>
      </c>
      <c r="S2438" s="50" t="n">
        <f aca="false">SUM(P2438:R2438)</f>
        <v>4.95501104347451</v>
      </c>
    </row>
    <row r="2439" customFormat="false" ht="15" hidden="false" customHeight="false" outlineLevel="0" collapsed="false">
      <c r="A2439" s="9" t="s">
        <v>530</v>
      </c>
      <c r="B2439" s="36" t="s">
        <v>527</v>
      </c>
      <c r="C2439" s="49" t="n">
        <f aca="false">C2436+C2437+C2438</f>
        <v>0</v>
      </c>
      <c r="D2439" s="49" t="n">
        <f aca="false">D2436+D2437+D2438</f>
        <v>3.82028452994141</v>
      </c>
      <c r="E2439" s="49" t="n">
        <f aca="false">E2436+E2437+E2438</f>
        <v>6.80765660301747</v>
      </c>
      <c r="F2439" s="49" t="n">
        <f aca="false">F2436+F2437+F2438</f>
        <v>7.35546227956126</v>
      </c>
      <c r="G2439" s="49" t="n">
        <f aca="false">G2436+G2437+G2438</f>
        <v>7.60033374527205</v>
      </c>
      <c r="H2439" s="49" t="n">
        <f aca="false">H2436+H2437+H2438</f>
        <v>10.0150831687263</v>
      </c>
      <c r="I2439" s="49" t="n">
        <f aca="false">I2436+I2437+I2438</f>
        <v>12.2177023867983</v>
      </c>
      <c r="J2439" s="49" t="n">
        <f aca="false">J2436+J2437+J2438</f>
        <v>14.5344098120218</v>
      </c>
      <c r="K2439" s="49" t="n">
        <f aca="false">K2436+K2437+K2438</f>
        <v>16.66311505193</v>
      </c>
      <c r="L2439" s="49" t="n">
        <f aca="false">L2436+L2437+L2438</f>
        <v>16.421359923512</v>
      </c>
      <c r="M2439" s="49" t="n">
        <f aca="false">M2436+M2437+M2438</f>
        <v>16.0738539959945</v>
      </c>
      <c r="N2439" s="49" t="n">
        <f aca="false">N2436+N2437+N2438</f>
        <v>15.7408972318933</v>
      </c>
      <c r="P2439" s="49" t="n">
        <f aca="false">SUM(C2439:F2439)</f>
        <v>17.9834034125201</v>
      </c>
      <c r="Q2439" s="49" t="n">
        <f aca="false">SUM(G2439:J2439)</f>
        <v>44.3675291128185</v>
      </c>
      <c r="R2439" s="49" t="n">
        <f aca="false">SUM(K2439:N2439)</f>
        <v>64.8992262033298</v>
      </c>
      <c r="S2439" s="50" t="n">
        <f aca="false">SUM(P2439:R2439)</f>
        <v>127.250158728668</v>
      </c>
    </row>
    <row r="2440" customFormat="false" ht="15" hidden="false" customHeight="false" outlineLevel="0" collapsed="false">
      <c r="A2440" s="35" t="s">
        <v>533</v>
      </c>
      <c r="B2440" s="35" t="s">
        <v>444</v>
      </c>
      <c r="C2440" s="6" t="s">
        <v>354</v>
      </c>
      <c r="D2440" s="6" t="s">
        <v>355</v>
      </c>
      <c r="E2440" s="6" t="s">
        <v>356</v>
      </c>
      <c r="F2440" s="6" t="s">
        <v>357</v>
      </c>
      <c r="G2440" s="6" t="s">
        <v>358</v>
      </c>
      <c r="H2440" s="6" t="s">
        <v>359</v>
      </c>
      <c r="I2440" s="6" t="s">
        <v>360</v>
      </c>
      <c r="J2440" s="6" t="s">
        <v>361</v>
      </c>
      <c r="K2440" s="6" t="s">
        <v>362</v>
      </c>
      <c r="L2440" s="6" t="s">
        <v>363</v>
      </c>
      <c r="M2440" s="6" t="s">
        <v>364</v>
      </c>
      <c r="N2440" s="6" t="s">
        <v>365</v>
      </c>
      <c r="P2440" s="6" t="s">
        <v>445</v>
      </c>
      <c r="Q2440" s="6" t="s">
        <v>446</v>
      </c>
      <c r="R2440" s="6" t="s">
        <v>447</v>
      </c>
      <c r="S2440" s="6" t="s">
        <v>448</v>
      </c>
    </row>
    <row r="2441" customFormat="false" ht="15" hidden="false" customHeight="false" outlineLevel="0" collapsed="false">
      <c r="A2441" s="4" t="s">
        <v>534</v>
      </c>
      <c r="B2441" s="36" t="s">
        <v>527</v>
      </c>
      <c r="C2441" s="48" t="n">
        <f aca="false">0*Assumptions!$H$59^(1/4)+C2436</f>
        <v>0</v>
      </c>
      <c r="D2441" s="48" t="n">
        <f aca="false">C2441*Assumptions!$H$59^(1/4)+D2436</f>
        <v>2.71215607237191</v>
      </c>
      <c r="E2441" s="48" t="n">
        <f aca="false">D2441*Assumptions!$H$59^(1/4)+E2436</f>
        <v>7.33179603947174</v>
      </c>
      <c r="F2441" s="48" t="n">
        <f aca="false">E2441*Assumptions!$H$59^(1/4)+F2436</f>
        <v>12.1009529121994</v>
      </c>
      <c r="G2441" s="48" t="n">
        <f aca="false">F2441*Assumptions!$H$59^(1/4)+G2436</f>
        <v>16.8800284907805</v>
      </c>
      <c r="H2441" s="48" t="n">
        <f aca="false">G2441*Assumptions!$H$59^(1/4)+H2436</f>
        <v>23.2101021555517</v>
      </c>
      <c r="I2441" s="48" t="n">
        <f aca="false">H2441*Assumptions!$H$59^(1/4)+I2436</f>
        <v>30.8321132011833</v>
      </c>
      <c r="J2441" s="48" t="n">
        <f aca="false">I2441*Assumptions!$H$59^(1/4)+J2436</f>
        <v>39.6540944859665</v>
      </c>
      <c r="K2441" s="48" t="n">
        <f aca="false">J2441*Assumptions!$H$59^(1/4)+K2436</f>
        <v>49.5001519275906</v>
      </c>
      <c r="L2441" s="48" t="n">
        <f aca="false">K2441*Assumptions!$H$59^(1/4)+L2436</f>
        <v>58.7972134099514</v>
      </c>
      <c r="M2441" s="48" t="n">
        <f aca="false">L2441*Assumptions!$H$59^(1/4)+M2436</f>
        <v>67.5723747184164</v>
      </c>
      <c r="N2441" s="48" t="n">
        <f aca="false">M2441*Assumptions!$H$59^(1/4)+N2436</f>
        <v>75.8516677656171</v>
      </c>
      <c r="P2441" s="49" t="n">
        <f aca="false">F2441</f>
        <v>12.1009529121994</v>
      </c>
      <c r="Q2441" s="49" t="n">
        <f aca="false">J2441</f>
        <v>39.6540944859665</v>
      </c>
      <c r="R2441" s="49" t="n">
        <f aca="false">N2441</f>
        <v>75.8516677656171</v>
      </c>
      <c r="S2441" s="50" t="n">
        <f aca="false">R2441</f>
        <v>75.8516677656171</v>
      </c>
    </row>
    <row r="2442" customFormat="false" ht="15" hidden="false" customHeight="false" outlineLevel="0" collapsed="false">
      <c r="A2442" s="4" t="s">
        <v>535</v>
      </c>
      <c r="B2442" s="36" t="s">
        <v>527</v>
      </c>
      <c r="C2442" s="48" t="n">
        <f aca="false">0*Assumptions!$H$60^(1/4)+C2437</f>
        <v>0</v>
      </c>
      <c r="D2442" s="48" t="n">
        <f aca="false">C2442*Assumptions!$H$60^(1/4)+D2437</f>
        <v>1.1081284575695</v>
      </c>
      <c r="E2442" s="48" t="n">
        <f aca="false">D2442*Assumptions!$H$60^(1/4)+E2437</f>
        <v>3.0016605370349</v>
      </c>
      <c r="F2442" s="48" t="n">
        <f aca="false">E2442*Assumptions!$H$60^(1/4)+F2437</f>
        <v>4.96642446671002</v>
      </c>
      <c r="G2442" s="48" t="n">
        <f aca="false">F2442*Assumptions!$H$60^(1/4)+G2437</f>
        <v>6.94545312141701</v>
      </c>
      <c r="H2442" s="48" t="n">
        <f aca="false">G2442*Assumptions!$H$60^(1/4)+H2437</f>
        <v>9.57583348569449</v>
      </c>
      <c r="I2442" s="48" t="n">
        <f aca="false">H2442*Assumptions!$H$60^(1/4)+I2437</f>
        <v>12.7534096681279</v>
      </c>
      <c r="J2442" s="48" t="n">
        <f aca="false">I2442*Assumptions!$H$60^(1/4)+J2437</f>
        <v>16.6404401568304</v>
      </c>
      <c r="K2442" s="48" t="n">
        <f aca="false">J2442*Assumptions!$H$60^(1/4)+K2437</f>
        <v>21.1380201017076</v>
      </c>
      <c r="L2442" s="48" t="n">
        <f aca="false">K2442*Assumptions!$H$60^(1/4)+L2437</f>
        <v>25.4123250877455</v>
      </c>
      <c r="M2442" s="48" t="n">
        <f aca="false">L2442*Assumptions!$H$60^(1/4)+M2437</f>
        <v>29.4735273401666</v>
      </c>
      <c r="N2442" s="48" t="n">
        <f aca="false">M2442*Assumptions!$H$60^(1/4)+N2437</f>
        <v>33.3314405915419</v>
      </c>
      <c r="P2442" s="49" t="n">
        <f aca="false">F2442</f>
        <v>4.96642446671002</v>
      </c>
      <c r="Q2442" s="49" t="n">
        <f aca="false">J2442</f>
        <v>16.6404401568304</v>
      </c>
      <c r="R2442" s="49" t="n">
        <f aca="false">N2442</f>
        <v>33.3314405915419</v>
      </c>
      <c r="S2442" s="50" t="n">
        <f aca="false">R2442</f>
        <v>33.3314405915419</v>
      </c>
    </row>
    <row r="2443" customFormat="false" ht="15" hidden="false" customHeight="false" outlineLevel="0" collapsed="false">
      <c r="A2443" s="4" t="s">
        <v>536</v>
      </c>
      <c r="B2443" s="36" t="s">
        <v>527</v>
      </c>
      <c r="C2443" s="48" t="n">
        <f aca="false">0*Assumptions!$H$61^(1/4)+C2438</f>
        <v>0</v>
      </c>
      <c r="D2443" s="48" t="n">
        <f aca="false">C2443*Assumptions!$H$61^(1/4)+D2438</f>
        <v>0</v>
      </c>
      <c r="E2443" s="48" t="n">
        <f aca="false">D2443*Assumptions!$H$61^(1/4)+E2438</f>
        <v>0.180371728173416</v>
      </c>
      <c r="F2443" s="48" t="n">
        <f aca="false">E2443*Assumptions!$H$61^(1/4)+F2438</f>
        <v>0.48955276542676</v>
      </c>
      <c r="G2443" s="48" t="n">
        <f aca="false">F2443*Assumptions!$H$61^(1/4)+G2438</f>
        <v>0.81196240915518</v>
      </c>
      <c r="H2443" s="48" t="n">
        <f aca="false">G2443*Assumptions!$H$61^(1/4)+H2438</f>
        <v>1.13835654767805</v>
      </c>
      <c r="I2443" s="48" t="n">
        <f aca="false">H2443*Assumptions!$H$61^(1/4)+I2438</f>
        <v>1.55402301516558</v>
      </c>
      <c r="J2443" s="48" t="n">
        <f aca="false">I2443*Assumptions!$H$61^(1/4)+J2438</f>
        <v>2.04605657592325</v>
      </c>
      <c r="K2443" s="48" t="n">
        <f aca="false">J2443*Assumptions!$H$61^(1/4)+K2438</f>
        <v>2.64349264726574</v>
      </c>
      <c r="L2443" s="48" t="n">
        <f aca="false">K2443*Assumptions!$H$61^(1/4)+L2438</f>
        <v>3.33251063681981</v>
      </c>
      <c r="M2443" s="48" t="n">
        <f aca="false">L2443*Assumptions!$H$61^(1/4)+M2438</f>
        <v>3.9912743548323</v>
      </c>
      <c r="N2443" s="48" t="n">
        <f aca="false">M2443*Assumptions!$H$61^(1/4)+N2438</f>
        <v>4.62106669059278</v>
      </c>
      <c r="P2443" s="49" t="n">
        <f aca="false">F2443</f>
        <v>0.48955276542676</v>
      </c>
      <c r="Q2443" s="49" t="n">
        <f aca="false">J2443</f>
        <v>2.04605657592325</v>
      </c>
      <c r="R2443" s="49" t="n">
        <f aca="false">N2443</f>
        <v>4.62106669059278</v>
      </c>
      <c r="S2443" s="50" t="n">
        <f aca="false">R2443</f>
        <v>4.62106669059278</v>
      </c>
    </row>
    <row r="2444" customFormat="false" ht="15" hidden="false" customHeight="false" outlineLevel="0" collapsed="false">
      <c r="A2444" s="9" t="s">
        <v>537</v>
      </c>
      <c r="B2444" s="36" t="s">
        <v>527</v>
      </c>
      <c r="C2444" s="49" t="n">
        <f aca="false">C2441+C2442+C2443</f>
        <v>0</v>
      </c>
      <c r="D2444" s="49" t="n">
        <f aca="false">D2441+D2442+D2443</f>
        <v>3.82028452994141</v>
      </c>
      <c r="E2444" s="49" t="n">
        <f aca="false">E2441+E2442+E2443</f>
        <v>10.5138283046801</v>
      </c>
      <c r="F2444" s="49" t="n">
        <f aca="false">F2441+F2442+F2443</f>
        <v>17.5569301443362</v>
      </c>
      <c r="G2444" s="49" t="n">
        <f aca="false">G2441+G2442+G2443</f>
        <v>24.6374440213527</v>
      </c>
      <c r="H2444" s="49" t="n">
        <f aca="false">H2441+H2442+H2443</f>
        <v>33.9242921889242</v>
      </c>
      <c r="I2444" s="49" t="n">
        <f aca="false">I2441+I2442+I2443</f>
        <v>45.1395458844767</v>
      </c>
      <c r="J2444" s="49" t="n">
        <f aca="false">J2441+J2442+J2443</f>
        <v>58.3405912187201</v>
      </c>
      <c r="K2444" s="49" t="n">
        <f aca="false">K2441+K2442+K2443</f>
        <v>73.2816646765639</v>
      </c>
      <c r="L2444" s="49" t="n">
        <f aca="false">L2441+L2442+L2443</f>
        <v>87.5420491345167</v>
      </c>
      <c r="M2444" s="49" t="n">
        <f aca="false">M2441+M2442+M2443</f>
        <v>101.037176413415</v>
      </c>
      <c r="N2444" s="49" t="n">
        <f aca="false">N2441+N2442+N2443</f>
        <v>113.804175047752</v>
      </c>
      <c r="P2444" s="49" t="n">
        <f aca="false">F2444</f>
        <v>17.5569301443362</v>
      </c>
      <c r="Q2444" s="49" t="n">
        <f aca="false">J2444</f>
        <v>58.3405912187201</v>
      </c>
      <c r="R2444" s="49" t="n">
        <f aca="false">N2444</f>
        <v>113.804175047752</v>
      </c>
      <c r="S2444" s="50" t="n">
        <f aca="false">R2444</f>
        <v>113.804175047752</v>
      </c>
    </row>
    <row r="2445" customFormat="false" ht="15" hidden="false" customHeight="false" outlineLevel="0" collapsed="false">
      <c r="A2445" s="4" t="s">
        <v>538</v>
      </c>
      <c r="B2445" s="36" t="s">
        <v>125</v>
      </c>
      <c r="C2445" s="54" t="n">
        <f aca="false">0*Assumptions!$H$62^(1/4)+C2436*$C$2385</f>
        <v>0</v>
      </c>
      <c r="D2445" s="54" t="n">
        <f aca="false">C2445*Assumptions!$H$62^(1/4)+D2436*$C$2385</f>
        <v>14515.4592993345</v>
      </c>
      <c r="E2445" s="54" t="n">
        <f aca="false">D2445*Assumptions!$H$62^(1/4)+E2436*$C$2385</f>
        <v>39696.3281880109</v>
      </c>
      <c r="F2445" s="54" t="n">
        <f aca="false">E2445*Assumptions!$H$62^(1/4)+F2436*$C$2385</f>
        <v>66455.0671529252</v>
      </c>
      <c r="G2445" s="54" t="n">
        <f aca="false">F2445*Assumptions!$H$62^(1/4)+G2436*$C$2385</f>
        <v>94069.7158324123</v>
      </c>
      <c r="H2445" s="54" t="n">
        <f aca="false">G2445*Assumptions!$H$62^(1/4)+H2436*$C$2385</f>
        <v>130789.800753641</v>
      </c>
      <c r="I2445" s="54" t="n">
        <f aca="false">H2445*Assumptions!$H$62^(1/4)+I2436*$C$2385</f>
        <v>175489.919139477</v>
      </c>
      <c r="J2445" s="54" t="n">
        <f aca="false">I2445*Assumptions!$H$62^(1/4)+J2436*$C$2385</f>
        <v>227895.343504595</v>
      </c>
      <c r="K2445" s="54" t="n">
        <f aca="false">J2445*Assumptions!$H$62^(1/4)+K2436*$C$2385</f>
        <v>287266.687919481</v>
      </c>
      <c r="L2445" s="54" t="n">
        <f aca="false">K2445*Assumptions!$H$62^(1/4)+L2436*$C$2385</f>
        <v>345357.260163645</v>
      </c>
      <c r="M2445" s="54" t="n">
        <f aca="false">L2445*Assumptions!$H$62^(1/4)+M2436*$C$2385</f>
        <v>402219.660635023</v>
      </c>
      <c r="N2445" s="54" t="n">
        <f aca="false">M2445*Assumptions!$H$62^(1/4)+N2436*$C$2385</f>
        <v>457905.357103575</v>
      </c>
      <c r="P2445" s="55" t="n">
        <f aca="false">F2445</f>
        <v>66455.0671529252</v>
      </c>
      <c r="Q2445" s="55" t="n">
        <f aca="false">J2445</f>
        <v>227895.343504595</v>
      </c>
      <c r="R2445" s="55" t="n">
        <f aca="false">N2445</f>
        <v>457905.357103575</v>
      </c>
      <c r="S2445" s="56" t="n">
        <f aca="false">R2445</f>
        <v>457905.357103575</v>
      </c>
    </row>
    <row r="2446" customFormat="false" ht="15" hidden="false" customHeight="false" outlineLevel="0" collapsed="false">
      <c r="A2446" s="4" t="s">
        <v>539</v>
      </c>
      <c r="B2446" s="36" t="s">
        <v>125</v>
      </c>
      <c r="C2446" s="54" t="n">
        <f aca="false">0*Assumptions!$H$63^(1/4)+C2437*$C$2386</f>
        <v>0</v>
      </c>
      <c r="D2446" s="54" t="n">
        <f aca="false">C2446*Assumptions!$H$63^(1/4)+D2437*$C$2386</f>
        <v>5930.70350491198</v>
      </c>
      <c r="E2446" s="54" t="n">
        <f aca="false">D2446*Assumptions!$H$63^(1/4)+E2437*$C$2386</f>
        <v>16306.0894973039</v>
      </c>
      <c r="F2446" s="54" t="n">
        <f aca="false">E2446*Assumptions!$H$63^(1/4)+F2437*$C$2386</f>
        <v>27478.4059789706</v>
      </c>
      <c r="G2446" s="54" t="n">
        <f aca="false">F2446*Assumptions!$H$63^(1/4)+G2437*$C$2386</f>
        <v>39164.3695575271</v>
      </c>
      <c r="H2446" s="54" t="n">
        <f aca="false">G2446*Assumptions!$H$63^(1/4)+H2437*$C$2386</f>
        <v>54783.1916317063</v>
      </c>
      <c r="I2446" s="54" t="n">
        <f aca="false">H2446*Assumptions!$H$63^(1/4)+I2437*$C$2386</f>
        <v>73925.7638641479</v>
      </c>
      <c r="J2446" s="54" t="n">
        <f aca="false">I2446*Assumptions!$H$63^(1/4)+J2437*$C$2386</f>
        <v>97588.33307173</v>
      </c>
      <c r="K2446" s="54" t="n">
        <f aca="false">J2446*Assumptions!$H$63^(1/4)+K2437*$C$2386</f>
        <v>125406.593997494</v>
      </c>
      <c r="L2446" s="54" t="n">
        <f aca="false">K2446*Assumptions!$H$63^(1/4)+L2437*$C$2386</f>
        <v>153063.845289162</v>
      </c>
      <c r="M2446" s="54" t="n">
        <f aca="false">L2446*Assumptions!$H$63^(1/4)+M2437*$C$2386</f>
        <v>180581.101385306</v>
      </c>
      <c r="N2446" s="54" t="n">
        <f aca="false">M2446*Assumptions!$H$63^(1/4)+N2437*$C$2386</f>
        <v>207979.181715988</v>
      </c>
      <c r="P2446" s="55" t="n">
        <f aca="false">F2446</f>
        <v>27478.4059789706</v>
      </c>
      <c r="Q2446" s="55" t="n">
        <f aca="false">J2446</f>
        <v>97588.33307173</v>
      </c>
      <c r="R2446" s="55" t="n">
        <f aca="false">N2446</f>
        <v>207979.181715988</v>
      </c>
      <c r="S2446" s="56" t="n">
        <f aca="false">R2446</f>
        <v>207979.181715988</v>
      </c>
    </row>
    <row r="2447" customFormat="false" ht="15" hidden="false" customHeight="false" outlineLevel="0" collapsed="false">
      <c r="A2447" s="4" t="s">
        <v>540</v>
      </c>
      <c r="B2447" s="36" t="s">
        <v>125</v>
      </c>
      <c r="C2447" s="54" t="n">
        <f aca="false">0*Assumptions!$H$64^(1/4)+C2438*$C$2387</f>
        <v>0</v>
      </c>
      <c r="D2447" s="54" t="n">
        <f aca="false">C2447*Assumptions!$H$64^(1/4)+D2438*$C$2387</f>
        <v>0</v>
      </c>
      <c r="E2447" s="54" t="n">
        <f aca="false">D2447*Assumptions!$H$64^(1/4)+E2438*$C$2387</f>
        <v>7992.27127536406</v>
      </c>
      <c r="F2447" s="54" t="n">
        <f aca="false">E2447*Assumptions!$H$64^(1/4)+F2438*$C$2387</f>
        <v>22141.150496731</v>
      </c>
      <c r="G2447" s="54" t="n">
        <f aca="false">F2447*Assumptions!$H$64^(1/4)+G2438*$C$2387</f>
        <v>37661.9183649044</v>
      </c>
      <c r="H2447" s="54" t="n">
        <f aca="false">G2447*Assumptions!$H$64^(1/4)+H2438*$C$2387</f>
        <v>54205.8422723272</v>
      </c>
      <c r="I2447" s="54" t="n">
        <f aca="false">H2447*Assumptions!$H$64^(1/4)+I2438*$C$2387</f>
        <v>75592.0498354939</v>
      </c>
      <c r="J2447" s="54" t="n">
        <f aca="false">I2447*Assumptions!$H$64^(1/4)+J2438*$C$2387</f>
        <v>101502.496125133</v>
      </c>
      <c r="K2447" s="54" t="n">
        <f aca="false">J2447*Assumptions!$H$64^(1/4)+K2438*$C$2387</f>
        <v>133454.42081416</v>
      </c>
      <c r="L2447" s="54" t="n">
        <f aca="false">K2447*Assumptions!$H$64^(1/4)+L2438*$C$2387</f>
        <v>171146.605164665</v>
      </c>
      <c r="M2447" s="54" t="n">
        <f aca="false">L2447*Assumptions!$H$64^(1/4)+M2438*$C$2387</f>
        <v>209468.315166292</v>
      </c>
      <c r="N2447" s="54" t="n">
        <f aca="false">M2447*Assumptions!$H$64^(1/4)+N2438*$C$2387</f>
        <v>248471.124956513</v>
      </c>
      <c r="P2447" s="55" t="n">
        <f aca="false">F2447</f>
        <v>22141.150496731</v>
      </c>
      <c r="Q2447" s="55" t="n">
        <f aca="false">J2447</f>
        <v>101502.496125133</v>
      </c>
      <c r="R2447" s="55" t="n">
        <f aca="false">N2447</f>
        <v>248471.124956513</v>
      </c>
      <c r="S2447" s="56" t="n">
        <f aca="false">R2447</f>
        <v>248471.124956513</v>
      </c>
    </row>
    <row r="2448" customFormat="false" ht="15" hidden="false" customHeight="false" outlineLevel="0" collapsed="false">
      <c r="A2448" s="9" t="s">
        <v>541</v>
      </c>
      <c r="B2448" s="36" t="s">
        <v>125</v>
      </c>
      <c r="C2448" s="55" t="n">
        <f aca="false">C2445+C2446+C2447</f>
        <v>0</v>
      </c>
      <c r="D2448" s="55" t="n">
        <f aca="false">D2445+D2446+D2447</f>
        <v>20446.1628042464</v>
      </c>
      <c r="E2448" s="55" t="n">
        <f aca="false">E2445+E2446+E2447</f>
        <v>63994.6889606788</v>
      </c>
      <c r="F2448" s="55" t="n">
        <f aca="false">F2445+F2446+F2447</f>
        <v>116074.623628627</v>
      </c>
      <c r="G2448" s="55" t="n">
        <f aca="false">G2445+G2446+G2447</f>
        <v>170896.003754844</v>
      </c>
      <c r="H2448" s="55" t="n">
        <f aca="false">H2445+H2446+H2447</f>
        <v>239778.834657675</v>
      </c>
      <c r="I2448" s="55" t="n">
        <f aca="false">I2445+I2446+I2447</f>
        <v>325007.732839119</v>
      </c>
      <c r="J2448" s="55" t="n">
        <f aca="false">J2445+J2446+J2447</f>
        <v>426986.172701457</v>
      </c>
      <c r="K2448" s="55" t="n">
        <f aca="false">K2445+K2446+K2447</f>
        <v>546127.702731135</v>
      </c>
      <c r="L2448" s="55" t="n">
        <f aca="false">L2445+L2446+L2447</f>
        <v>669567.710617472</v>
      </c>
      <c r="M2448" s="55" t="n">
        <f aca="false">M2445+M2446+M2447</f>
        <v>792269.077186621</v>
      </c>
      <c r="N2448" s="55" t="n">
        <f aca="false">N2445+N2446+N2447</f>
        <v>914355.663776077</v>
      </c>
      <c r="P2448" s="55" t="n">
        <f aca="false">F2448</f>
        <v>116074.623628627</v>
      </c>
      <c r="Q2448" s="55" t="n">
        <f aca="false">J2448</f>
        <v>426986.172701457</v>
      </c>
      <c r="R2448" s="55" t="n">
        <f aca="false">N2448</f>
        <v>914355.663776077</v>
      </c>
      <c r="S2448" s="56" t="n">
        <f aca="false">R2448</f>
        <v>914355.663776077</v>
      </c>
    </row>
    <row r="2449" customFormat="false" ht="15" hidden="false" customHeight="false" outlineLevel="0" collapsed="false">
      <c r="A2449" s="4" t="s">
        <v>542</v>
      </c>
      <c r="B2449" s="36" t="s">
        <v>125</v>
      </c>
      <c r="C2449" s="54" t="n">
        <f aca="false">C2436*$C$2385+C2437*$C$2386+C2438*$C$2387</f>
        <v>0</v>
      </c>
      <c r="D2449" s="54" t="n">
        <f aca="false">D2436*$C$2385+D2437*$C$2386+D2438*$C$2387</f>
        <v>20446.1628042464</v>
      </c>
      <c r="E2449" s="54" t="n">
        <f aca="false">E2436*$C$2385+E2437*$C$2386+E2438*$C$2387</f>
        <v>43461.4999255294</v>
      </c>
      <c r="F2449" s="54" t="n">
        <f aca="false">F2436*$C$2385+F2437*$C$2386+F2438*$C$2387</f>
        <v>51556.4718268998</v>
      </c>
      <c r="G2449" s="54" t="n">
        <f aca="false">G2436*$C$2385+G2437*$C$2386+G2438*$C$2387</f>
        <v>53630.8695042675</v>
      </c>
      <c r="H2449" s="54" t="n">
        <f aca="false">H2436*$C$2385+H2437*$C$2386+H2438*$C$2387</f>
        <v>66968.95360026</v>
      </c>
      <c r="I2449" s="54" t="n">
        <f aca="false">I2436*$C$2385+I2437*$C$2386+I2438*$C$2387</f>
        <v>82497.5625771312</v>
      </c>
      <c r="J2449" s="54" t="n">
        <f aca="false">J2436*$C$2385+J2437*$C$2386+J2438*$C$2387</f>
        <v>98205.7566966249</v>
      </c>
      <c r="K2449" s="54" t="n">
        <f aca="false">K2436*$C$2385+K2437*$C$2386+K2438*$C$2387</f>
        <v>114100.300336245</v>
      </c>
      <c r="L2449" s="54" t="n">
        <f aca="false">L2436*$C$2385+L2437*$C$2386+L2438*$C$2387</f>
        <v>116854.428334045</v>
      </c>
      <c r="M2449" s="54" t="n">
        <f aca="false">M2436*$C$2385+M2437*$C$2386+M2438*$C$2387</f>
        <v>114369.687197338</v>
      </c>
      <c r="N2449" s="54" t="n">
        <f aca="false">N2436*$C$2385+N2437*$C$2386+N2438*$C$2387</f>
        <v>111988.476944927</v>
      </c>
      <c r="P2449" s="55" t="n">
        <f aca="false">SUM(C2449:F2449)</f>
        <v>115464.134556676</v>
      </c>
      <c r="Q2449" s="55" t="n">
        <f aca="false">SUM(G2449:J2449)</f>
        <v>301303.142378284</v>
      </c>
      <c r="R2449" s="55" t="n">
        <f aca="false">SUM(K2449:N2449)</f>
        <v>457312.892812555</v>
      </c>
      <c r="S2449" s="56" t="n">
        <f aca="false">SUM(P2449:R2449)</f>
        <v>874080.169747514</v>
      </c>
    </row>
    <row r="2450" customFormat="false" ht="15" hidden="false" customHeight="false" outlineLevel="0" collapsed="false">
      <c r="A2450" s="9" t="s">
        <v>543</v>
      </c>
      <c r="B2450" s="36" t="s">
        <v>125</v>
      </c>
      <c r="C2450" s="55" t="n">
        <f aca="false">(0+C2448)/8</f>
        <v>0</v>
      </c>
      <c r="D2450" s="55" t="n">
        <f aca="false">(C2448+D2448)/8</f>
        <v>2555.7703505308</v>
      </c>
      <c r="E2450" s="55" t="n">
        <f aca="false">(D2448+E2448)/8</f>
        <v>10555.1064706157</v>
      </c>
      <c r="F2450" s="55" t="n">
        <f aca="false">(E2448+F2448)/8</f>
        <v>22508.6640736632</v>
      </c>
      <c r="G2450" s="55" t="n">
        <f aca="false">(F2448+G2448)/8</f>
        <v>35871.3284229338</v>
      </c>
      <c r="H2450" s="55" t="n">
        <f aca="false">(G2448+H2448)/8</f>
        <v>51334.3548015648</v>
      </c>
      <c r="I2450" s="55" t="n">
        <f aca="false">(H2448+I2448)/8</f>
        <v>70598.3209370992</v>
      </c>
      <c r="J2450" s="55" t="n">
        <f aca="false">(I2448+J2448)/8</f>
        <v>93999.238192572</v>
      </c>
      <c r="K2450" s="55" t="n">
        <f aca="false">(J2448+K2448)/8</f>
        <v>121639.234429074</v>
      </c>
      <c r="L2450" s="55" t="n">
        <f aca="false">(K2448+L2448)/8</f>
        <v>151961.926668576</v>
      </c>
      <c r="M2450" s="55" t="n">
        <f aca="false">(L2448+M2448)/8</f>
        <v>182729.598475512</v>
      </c>
      <c r="N2450" s="55" t="n">
        <f aca="false">(M2448+N2448)/8</f>
        <v>213328.092620337</v>
      </c>
      <c r="P2450" s="55" t="n">
        <f aca="false">SUM(C2450:F2450)</f>
        <v>35619.5408948097</v>
      </c>
      <c r="Q2450" s="55" t="n">
        <f aca="false">SUM(G2450:J2450)</f>
        <v>251803.24235417</v>
      </c>
      <c r="R2450" s="55" t="n">
        <f aca="false">SUM(K2450:N2450)</f>
        <v>669658.852193499</v>
      </c>
      <c r="S2450" s="56" t="n">
        <f aca="false">SUM(P2450:R2450)</f>
        <v>957081.635442478</v>
      </c>
    </row>
    <row r="2451" customFormat="false" ht="15" hidden="false" customHeight="false" outlineLevel="0" collapsed="false">
      <c r="A2451" s="4" t="s">
        <v>544</v>
      </c>
      <c r="B2451" s="36" t="s">
        <v>125</v>
      </c>
      <c r="C2451" s="54" t="n">
        <f aca="false">C2450*Assumptions!$H$76</f>
        <v>0</v>
      </c>
      <c r="D2451" s="54" t="n">
        <f aca="false">D2450*Assumptions!$H$76</f>
        <v>1661.25072784502</v>
      </c>
      <c r="E2451" s="54" t="n">
        <f aca="false">E2450*Assumptions!$H$76</f>
        <v>6860.81920590018</v>
      </c>
      <c r="F2451" s="54" t="n">
        <f aca="false">F2450*Assumptions!$H$76</f>
        <v>14630.6316478811</v>
      </c>
      <c r="G2451" s="54" t="n">
        <f aca="false">G2450*Assumptions!$H$76</f>
        <v>23316.363474907</v>
      </c>
      <c r="H2451" s="54" t="n">
        <f aca="false">H2450*Assumptions!$H$76</f>
        <v>33367.3306210171</v>
      </c>
      <c r="I2451" s="54" t="n">
        <f aca="false">I2450*Assumptions!$H$76</f>
        <v>45888.9086091145</v>
      </c>
      <c r="J2451" s="54" t="n">
        <f aca="false">J2450*Assumptions!$H$76</f>
        <v>61099.5048251718</v>
      </c>
      <c r="K2451" s="54" t="n">
        <f aca="false">K2450*Assumptions!$H$76</f>
        <v>79065.5023788981</v>
      </c>
      <c r="L2451" s="54" t="n">
        <f aca="false">L2450*Assumptions!$H$76</f>
        <v>98775.2523345743</v>
      </c>
      <c r="M2451" s="54" t="n">
        <f aca="false">M2450*Assumptions!$H$76</f>
        <v>118774.239009083</v>
      </c>
      <c r="N2451" s="54" t="n">
        <f aca="false">N2450*Assumptions!$H$76</f>
        <v>138663.260203219</v>
      </c>
      <c r="P2451" s="55" t="n">
        <f aca="false">SUM(C2451:F2451)</f>
        <v>23152.7015816263</v>
      </c>
      <c r="Q2451" s="55" t="n">
        <f aca="false">SUM(G2451:J2451)</f>
        <v>163672.10753021</v>
      </c>
      <c r="R2451" s="55" t="n">
        <f aca="false">SUM(K2451:N2451)</f>
        <v>435278.253925774</v>
      </c>
      <c r="S2451" s="56" t="n">
        <f aca="false">SUM(P2451:R2451)</f>
        <v>622103.063037611</v>
      </c>
    </row>
    <row r="2452" customFormat="false" ht="15" hidden="false" customHeight="false" outlineLevel="0" collapsed="false">
      <c r="A2452" s="35" t="s">
        <v>547</v>
      </c>
      <c r="B2452" s="35" t="s">
        <v>444</v>
      </c>
      <c r="C2452" s="6" t="s">
        <v>354</v>
      </c>
      <c r="D2452" s="6" t="s">
        <v>355</v>
      </c>
      <c r="E2452" s="6" t="s">
        <v>356</v>
      </c>
      <c r="F2452" s="6" t="s">
        <v>357</v>
      </c>
      <c r="G2452" s="6" t="s">
        <v>358</v>
      </c>
      <c r="H2452" s="6" t="s">
        <v>359</v>
      </c>
      <c r="I2452" s="6" t="s">
        <v>360</v>
      </c>
      <c r="J2452" s="6" t="s">
        <v>361</v>
      </c>
      <c r="K2452" s="6" t="s">
        <v>362</v>
      </c>
      <c r="L2452" s="6" t="s">
        <v>363</v>
      </c>
      <c r="M2452" s="6" t="s">
        <v>364</v>
      </c>
      <c r="N2452" s="6" t="s">
        <v>365</v>
      </c>
      <c r="P2452" s="6" t="s">
        <v>445</v>
      </c>
      <c r="Q2452" s="6" t="s">
        <v>446</v>
      </c>
      <c r="R2452" s="6" t="s">
        <v>447</v>
      </c>
      <c r="S2452" s="6" t="s">
        <v>448</v>
      </c>
    </row>
    <row r="2453" customFormat="false" ht="15" hidden="false" customHeight="false" outlineLevel="0" collapsed="false">
      <c r="A2453" s="4" t="s">
        <v>548</v>
      </c>
      <c r="B2453" s="36" t="s">
        <v>321</v>
      </c>
      <c r="C2453" s="48" t="n">
        <f aca="false">Assumptions!$E$97*C2395</f>
        <v>1</v>
      </c>
      <c r="D2453" s="48" t="n">
        <f aca="false">Assumptions!$E$97*D2395</f>
        <v>1</v>
      </c>
      <c r="E2453" s="48" t="n">
        <f aca="false">Assumptions!$E$97*E2395</f>
        <v>1</v>
      </c>
      <c r="F2453" s="48" t="n">
        <f aca="false">Assumptions!$E$97*F2395</f>
        <v>1</v>
      </c>
      <c r="G2453" s="48" t="n">
        <f aca="false">Assumptions!$E$97*G2395</f>
        <v>1</v>
      </c>
      <c r="H2453" s="48" t="n">
        <f aca="false">Assumptions!$E$97*H2395</f>
        <v>1</v>
      </c>
      <c r="I2453" s="48" t="n">
        <f aca="false">Assumptions!$E$97*I2395</f>
        <v>1</v>
      </c>
      <c r="J2453" s="48" t="n">
        <f aca="false">Assumptions!$E$97*J2395</f>
        <v>1</v>
      </c>
      <c r="K2453" s="48" t="n">
        <f aca="false">Assumptions!$E$97*K2395</f>
        <v>1</v>
      </c>
      <c r="L2453" s="48" t="n">
        <f aca="false">Assumptions!$E$97*L2395</f>
        <v>1</v>
      </c>
      <c r="M2453" s="48" t="n">
        <f aca="false">Assumptions!$E$97*M2395</f>
        <v>1</v>
      </c>
      <c r="N2453" s="48" t="n">
        <f aca="false">Assumptions!$E$97*N2395</f>
        <v>1</v>
      </c>
      <c r="P2453" s="49" t="n">
        <f aca="false">AVERAGE(C2453:F2453)</f>
        <v>1</v>
      </c>
      <c r="Q2453" s="49" t="n">
        <f aca="false">AVERAGE(G2453:J2453)</f>
        <v>1</v>
      </c>
      <c r="R2453" s="49" t="n">
        <f aca="false">AVERAGE(K2453:N2453)</f>
        <v>1</v>
      </c>
      <c r="S2453" s="50"/>
    </row>
    <row r="2454" customFormat="false" ht="15" hidden="false" customHeight="false" outlineLevel="0" collapsed="false">
      <c r="A2454" s="4" t="s">
        <v>549</v>
      </c>
      <c r="B2454" s="36" t="s">
        <v>321</v>
      </c>
      <c r="C2454" s="48" t="n">
        <f aca="false">C2408*C2395</f>
        <v>2</v>
      </c>
      <c r="D2454" s="48" t="n">
        <f aca="false">D2408*D2395</f>
        <v>2</v>
      </c>
      <c r="E2454" s="48" t="n">
        <f aca="false">E2408*E2395</f>
        <v>3</v>
      </c>
      <c r="F2454" s="48" t="n">
        <f aca="false">F2408*F2395</f>
        <v>3</v>
      </c>
      <c r="G2454" s="48" t="n">
        <f aca="false">G2408*G2395</f>
        <v>4</v>
      </c>
      <c r="H2454" s="48" t="n">
        <f aca="false">H2408*H2395</f>
        <v>4</v>
      </c>
      <c r="I2454" s="48" t="n">
        <f aca="false">I2408*I2395</f>
        <v>5</v>
      </c>
      <c r="J2454" s="48" t="n">
        <f aca="false">J2408*J2395</f>
        <v>5</v>
      </c>
      <c r="K2454" s="48" t="n">
        <f aca="false">K2408*K2395</f>
        <v>6</v>
      </c>
      <c r="L2454" s="48" t="n">
        <f aca="false">L2408*L2395</f>
        <v>6</v>
      </c>
      <c r="M2454" s="48" t="n">
        <f aca="false">M2408*M2395</f>
        <v>6</v>
      </c>
      <c r="N2454" s="48" t="n">
        <f aca="false">N2408*N2395</f>
        <v>6</v>
      </c>
      <c r="P2454" s="49" t="n">
        <f aca="false">AVERAGE(C2454:F2454)</f>
        <v>2.5</v>
      </c>
      <c r="Q2454" s="49" t="n">
        <f aca="false">AVERAGE(G2454:J2454)</f>
        <v>4.5</v>
      </c>
      <c r="R2454" s="49" t="n">
        <f aca="false">AVERAGE(K2454:N2454)</f>
        <v>6</v>
      </c>
      <c r="S2454" s="50"/>
    </row>
    <row r="2455" customFormat="false" ht="15" hidden="false" customHeight="false" outlineLevel="0" collapsed="false">
      <c r="A2455" s="4" t="s">
        <v>550</v>
      </c>
      <c r="B2455" s="36" t="s">
        <v>321</v>
      </c>
      <c r="C2455" s="48" t="n">
        <f aca="false">IF(C2394&lt;=4,Assumptions!$E$98,Assumptions!$E$99)*C2395</f>
        <v>1</v>
      </c>
      <c r="D2455" s="48" t="n">
        <f aca="false">IF(D2394&lt;=4,Assumptions!$E$98,Assumptions!$E$99)*D2395</f>
        <v>1</v>
      </c>
      <c r="E2455" s="48" t="n">
        <f aca="false">IF(E2394&lt;=4,Assumptions!$E$98,Assumptions!$E$99)*E2395</f>
        <v>1</v>
      </c>
      <c r="F2455" s="48" t="n">
        <f aca="false">IF(F2394&lt;=4,Assumptions!$E$98,Assumptions!$E$99)*F2395</f>
        <v>1</v>
      </c>
      <c r="G2455" s="48" t="n">
        <f aca="false">IF(G2394&lt;=4,Assumptions!$E$98,Assumptions!$E$99)*G2395</f>
        <v>1</v>
      </c>
      <c r="H2455" s="48" t="n">
        <f aca="false">IF(H2394&lt;=4,Assumptions!$E$98,Assumptions!$E$99)*H2395</f>
        <v>1</v>
      </c>
      <c r="I2455" s="48" t="n">
        <f aca="false">IF(I2394&lt;=4,Assumptions!$E$98,Assumptions!$E$99)*I2395</f>
        <v>1</v>
      </c>
      <c r="J2455" s="48" t="n">
        <f aca="false">IF(J2394&lt;=4,Assumptions!$E$98,Assumptions!$E$99)*J2395</f>
        <v>1</v>
      </c>
      <c r="K2455" s="48" t="n">
        <f aca="false">IF(K2394&lt;=4,Assumptions!$E$98,Assumptions!$E$99)*K2395</f>
        <v>1</v>
      </c>
      <c r="L2455" s="48" t="n">
        <f aca="false">IF(L2394&lt;=4,Assumptions!$E$98,Assumptions!$E$99)*L2395</f>
        <v>1</v>
      </c>
      <c r="M2455" s="48" t="n">
        <f aca="false">IF(M2394&lt;=4,Assumptions!$E$98,Assumptions!$E$99)*M2395</f>
        <v>1</v>
      </c>
      <c r="N2455" s="48" t="n">
        <f aca="false">IF(N2394&lt;=4,Assumptions!$E$98,Assumptions!$E$99)*N2395</f>
        <v>1</v>
      </c>
      <c r="P2455" s="49" t="n">
        <f aca="false">AVERAGE(C2455:F2455)</f>
        <v>1</v>
      </c>
      <c r="Q2455" s="49" t="n">
        <f aca="false">AVERAGE(G2455:J2455)</f>
        <v>1</v>
      </c>
      <c r="R2455" s="49" t="n">
        <f aca="false">AVERAGE(K2455:N2455)</f>
        <v>1</v>
      </c>
      <c r="S2455" s="50"/>
    </row>
    <row r="2456" customFormat="false" ht="15" hidden="false" customHeight="false" outlineLevel="0" collapsed="false">
      <c r="A2456" s="4" t="s">
        <v>551</v>
      </c>
      <c r="B2456" s="36" t="s">
        <v>321</v>
      </c>
      <c r="C2456" s="48" t="n">
        <f aca="false">IF(C2394&lt;=4,Assumptions!$E$100,Assumptions!$E$101)*C2395</f>
        <v>1</v>
      </c>
      <c r="D2456" s="48" t="n">
        <f aca="false">IF(D2394&lt;=4,Assumptions!$E$100,Assumptions!$E$101)*D2395</f>
        <v>1</v>
      </c>
      <c r="E2456" s="48" t="n">
        <f aca="false">IF(E2394&lt;=4,Assumptions!$E$100,Assumptions!$E$101)*E2395</f>
        <v>1</v>
      </c>
      <c r="F2456" s="48" t="n">
        <f aca="false">IF(F2394&lt;=4,Assumptions!$E$100,Assumptions!$E$101)*F2395</f>
        <v>1</v>
      </c>
      <c r="G2456" s="48" t="n">
        <f aca="false">IF(G2394&lt;=4,Assumptions!$E$100,Assumptions!$E$101)*G2395</f>
        <v>0.5</v>
      </c>
      <c r="H2456" s="48" t="n">
        <f aca="false">IF(H2394&lt;=4,Assumptions!$E$100,Assumptions!$E$101)*H2395</f>
        <v>0.5</v>
      </c>
      <c r="I2456" s="48" t="n">
        <f aca="false">IF(I2394&lt;=4,Assumptions!$E$100,Assumptions!$E$101)*I2395</f>
        <v>0.5</v>
      </c>
      <c r="J2456" s="48" t="n">
        <f aca="false">IF(J2394&lt;=4,Assumptions!$E$100,Assumptions!$E$101)*J2395</f>
        <v>0.5</v>
      </c>
      <c r="K2456" s="48" t="n">
        <f aca="false">IF(K2394&lt;=4,Assumptions!$E$100,Assumptions!$E$101)*K2395</f>
        <v>0.5</v>
      </c>
      <c r="L2456" s="48" t="n">
        <f aca="false">IF(L2394&lt;=4,Assumptions!$E$100,Assumptions!$E$101)*L2395</f>
        <v>0.5</v>
      </c>
      <c r="M2456" s="48" t="n">
        <f aca="false">IF(M2394&lt;=4,Assumptions!$E$100,Assumptions!$E$101)*M2395</f>
        <v>0.5</v>
      </c>
      <c r="N2456" s="48" t="n">
        <f aca="false">IF(N2394&lt;=4,Assumptions!$E$100,Assumptions!$E$101)*N2395</f>
        <v>0.5</v>
      </c>
      <c r="P2456" s="49" t="n">
        <f aca="false">AVERAGE(C2456:F2456)</f>
        <v>1</v>
      </c>
      <c r="Q2456" s="49" t="n">
        <f aca="false">AVERAGE(G2456:J2456)</f>
        <v>0.5</v>
      </c>
      <c r="R2456" s="49" t="n">
        <f aca="false">AVERAGE(K2456:N2456)</f>
        <v>0.5</v>
      </c>
      <c r="S2456" s="50"/>
    </row>
    <row r="2457" customFormat="false" ht="15" hidden="false" customHeight="false" outlineLevel="0" collapsed="false">
      <c r="A2457" s="4" t="s">
        <v>552</v>
      </c>
      <c r="B2457" s="36" t="s">
        <v>321</v>
      </c>
      <c r="C2457" s="48" t="n">
        <f aca="false">Assumptions!$E$102*C2395</f>
        <v>0.5</v>
      </c>
      <c r="D2457" s="48" t="n">
        <f aca="false">Assumptions!$E$102*D2395</f>
        <v>0.5</v>
      </c>
      <c r="E2457" s="48" t="n">
        <f aca="false">Assumptions!$E$102*E2395</f>
        <v>0.5</v>
      </c>
      <c r="F2457" s="48" t="n">
        <f aca="false">Assumptions!$E$102*F2395</f>
        <v>0.5</v>
      </c>
      <c r="G2457" s="48" t="n">
        <f aca="false">Assumptions!$E$102*G2395</f>
        <v>0.5</v>
      </c>
      <c r="H2457" s="48" t="n">
        <f aca="false">Assumptions!$E$102*H2395</f>
        <v>0.5</v>
      </c>
      <c r="I2457" s="48" t="n">
        <f aca="false">Assumptions!$E$102*I2395</f>
        <v>0.5</v>
      </c>
      <c r="J2457" s="48" t="n">
        <f aca="false">Assumptions!$E$102*J2395</f>
        <v>0.5</v>
      </c>
      <c r="K2457" s="48" t="n">
        <f aca="false">Assumptions!$E$102*K2395</f>
        <v>0.5</v>
      </c>
      <c r="L2457" s="48" t="n">
        <f aca="false">Assumptions!$E$102*L2395</f>
        <v>0.5</v>
      </c>
      <c r="M2457" s="48" t="n">
        <f aca="false">Assumptions!$E$102*M2395</f>
        <v>0.5</v>
      </c>
      <c r="N2457" s="48" t="n">
        <f aca="false">Assumptions!$E$102*N2395</f>
        <v>0.5</v>
      </c>
      <c r="P2457" s="49" t="n">
        <f aca="false">AVERAGE(C2457:F2457)</f>
        <v>0.5</v>
      </c>
      <c r="Q2457" s="49" t="n">
        <f aca="false">AVERAGE(G2457:J2457)</f>
        <v>0.5</v>
      </c>
      <c r="R2457" s="49" t="n">
        <f aca="false">AVERAGE(K2457:N2457)</f>
        <v>0.5</v>
      </c>
      <c r="S2457" s="50"/>
    </row>
    <row r="2458" customFormat="false" ht="15" hidden="false" customHeight="false" outlineLevel="0" collapsed="false">
      <c r="A2458" s="4" t="s">
        <v>553</v>
      </c>
      <c r="B2458" s="36" t="s">
        <v>321</v>
      </c>
      <c r="C2458" s="48" t="n">
        <f aca="false">(C2442+C2443)/Assumptions!$H$74+C2441/Assumptions!$H$75</f>
        <v>0</v>
      </c>
      <c r="D2458" s="48" t="n">
        <f aca="false">(D2442+D2443)/Assumptions!$H$74+D2441/Assumptions!$H$75</f>
        <v>0.0385518357287252</v>
      </c>
      <c r="E2458" s="48" t="n">
        <f aca="false">(E2442+E2443)/Assumptions!$H$74+E2441/Assumptions!$H$75</f>
        <v>0.108877990788095</v>
      </c>
      <c r="F2458" s="48" t="n">
        <f aca="false">(F2442+F2443)/Assumptions!$H$74+F2441/Assumptions!$H$75</f>
        <v>0.184803242452217</v>
      </c>
      <c r="G2458" s="48" t="n">
        <f aca="false">(G2442+G2443)/Assumptions!$H$74+G2441/Assumptions!$H$75</f>
        <v>0.261455502227427</v>
      </c>
      <c r="H2458" s="48" t="n">
        <f aca="false">(H2442+H2443)/Assumptions!$H$74+H2441/Assumptions!$H$75</f>
        <v>0.36069515945652</v>
      </c>
      <c r="I2458" s="48" t="n">
        <f aca="false">(I2442+I2443)/Assumptions!$H$74+I2441/Assumptions!$H$75</f>
        <v>0.481014269887069</v>
      </c>
      <c r="J2458" s="48" t="n">
        <f aca="false">(J2442+J2443)/Assumptions!$H$74+J2441/Assumptions!$H$75</f>
        <v>0.625778796262707</v>
      </c>
      <c r="K2458" s="48" t="n">
        <f aca="false">(K2442+K2443)/Assumptions!$H$74+K2441/Assumptions!$H$75</f>
        <v>0.792538426434695</v>
      </c>
      <c r="L2458" s="48" t="n">
        <f aca="false">(L2442+L2443)/Assumptions!$H$74+L2441/Assumptions!$H$75</f>
        <v>0.95380974675394</v>
      </c>
      <c r="M2458" s="48" t="n">
        <f aca="false">(M2442+M2443)/Assumptions!$H$74+M2441/Assumptions!$H$75</f>
        <v>1.10690954124864</v>
      </c>
      <c r="N2458" s="48" t="n">
        <f aca="false">(N2442+N2443)/Assumptions!$H$74+N2441/Assumptions!$H$75</f>
        <v>1.25221935311583</v>
      </c>
      <c r="P2458" s="49" t="n">
        <f aca="false">AVERAGE(C2458:F2458)</f>
        <v>0.0830582672422593</v>
      </c>
      <c r="Q2458" s="49" t="n">
        <f aca="false">AVERAGE(G2458:J2458)</f>
        <v>0.432235931958431</v>
      </c>
      <c r="R2458" s="49" t="n">
        <f aca="false">AVERAGE(K2458:N2458)</f>
        <v>1.02636926688828</v>
      </c>
      <c r="S2458" s="50"/>
    </row>
    <row r="2459" customFormat="false" ht="15" hidden="false" customHeight="false" outlineLevel="0" collapsed="false">
      <c r="A2459" s="4" t="s">
        <v>554</v>
      </c>
      <c r="B2459" s="36" t="s">
        <v>125</v>
      </c>
      <c r="C2459" s="54" t="n">
        <f aca="false">(C2453+C2455)*Assumptions!$H$70/Assumptions!$H$69/4</f>
        <v>133507.142857143</v>
      </c>
      <c r="D2459" s="54" t="n">
        <f aca="false">(D2453+D2455)*Assumptions!$H$70/Assumptions!$H$69/4</f>
        <v>133507.142857143</v>
      </c>
      <c r="E2459" s="54" t="n">
        <f aca="false">(E2453+E2455)*Assumptions!$H$70/Assumptions!$H$69/4</f>
        <v>133507.142857143</v>
      </c>
      <c r="F2459" s="54" t="n">
        <f aca="false">(F2453+F2455)*Assumptions!$H$70/Assumptions!$H$69/4</f>
        <v>133507.142857143</v>
      </c>
      <c r="G2459" s="54" t="n">
        <f aca="false">(G2453+G2455)*Assumptions!$H$70/Assumptions!$H$69/4</f>
        <v>133507.142857143</v>
      </c>
      <c r="H2459" s="54" t="n">
        <f aca="false">(H2453+H2455)*Assumptions!$H$70/Assumptions!$H$69/4</f>
        <v>133507.142857143</v>
      </c>
      <c r="I2459" s="54" t="n">
        <f aca="false">(I2453+I2455)*Assumptions!$H$70/Assumptions!$H$69/4</f>
        <v>133507.142857143</v>
      </c>
      <c r="J2459" s="54" t="n">
        <f aca="false">(J2453+J2455)*Assumptions!$H$70/Assumptions!$H$69/4</f>
        <v>133507.142857143</v>
      </c>
      <c r="K2459" s="54" t="n">
        <f aca="false">(K2453+K2455)*Assumptions!$H$70/Assumptions!$H$69/4</f>
        <v>133507.142857143</v>
      </c>
      <c r="L2459" s="54" t="n">
        <f aca="false">(L2453+L2455)*Assumptions!$H$70/Assumptions!$H$69/4</f>
        <v>133507.142857143</v>
      </c>
      <c r="M2459" s="54" t="n">
        <f aca="false">(M2453+M2455)*Assumptions!$H$70/Assumptions!$H$69/4</f>
        <v>133507.142857143</v>
      </c>
      <c r="N2459" s="54" t="n">
        <f aca="false">(N2453+N2455)*Assumptions!$H$70/Assumptions!$H$69/4</f>
        <v>133507.142857143</v>
      </c>
      <c r="P2459" s="55" t="n">
        <f aca="false">SUM(C2459:F2459)</f>
        <v>534028.571428572</v>
      </c>
      <c r="Q2459" s="55" t="n">
        <f aca="false">SUM(G2459:J2459)</f>
        <v>534028.571428572</v>
      </c>
      <c r="R2459" s="55" t="n">
        <f aca="false">SUM(K2459:N2459)</f>
        <v>534028.571428572</v>
      </c>
      <c r="S2459" s="56" t="n">
        <f aca="false">SUM(P2459:R2459)</f>
        <v>1602085.71428571</v>
      </c>
    </row>
    <row r="2460" customFormat="false" ht="15" hidden="false" customHeight="false" outlineLevel="0" collapsed="false">
      <c r="A2460" s="4" t="s">
        <v>555</v>
      </c>
      <c r="B2460" s="36" t="s">
        <v>125</v>
      </c>
      <c r="C2460" s="54" t="n">
        <f aca="false">C2454*$C$2389/4</f>
        <v>142857.142857143</v>
      </c>
      <c r="D2460" s="54" t="n">
        <f aca="false">D2454*$C$2389/4</f>
        <v>142857.142857143</v>
      </c>
      <c r="E2460" s="54" t="n">
        <f aca="false">E2454*$C$2389/4</f>
        <v>214285.714285714</v>
      </c>
      <c r="F2460" s="54" t="n">
        <f aca="false">F2454*$C$2389/4</f>
        <v>214285.714285714</v>
      </c>
      <c r="G2460" s="54" t="n">
        <f aca="false">G2454*$C$2389/4</f>
        <v>285714.285714286</v>
      </c>
      <c r="H2460" s="54" t="n">
        <f aca="false">H2454*$C$2389/4</f>
        <v>285714.285714286</v>
      </c>
      <c r="I2460" s="54" t="n">
        <f aca="false">I2454*$C$2389/4</f>
        <v>357142.857142857</v>
      </c>
      <c r="J2460" s="54" t="n">
        <f aca="false">J2454*$C$2389/4</f>
        <v>357142.857142857</v>
      </c>
      <c r="K2460" s="54" t="n">
        <f aca="false">K2454*$C$2389/4</f>
        <v>428571.428571429</v>
      </c>
      <c r="L2460" s="54" t="n">
        <f aca="false">L2454*$C$2389/4</f>
        <v>428571.428571429</v>
      </c>
      <c r="M2460" s="54" t="n">
        <f aca="false">M2454*$C$2389/4</f>
        <v>428571.428571429</v>
      </c>
      <c r="N2460" s="54" t="n">
        <f aca="false">N2454*$C$2389/4</f>
        <v>428571.428571429</v>
      </c>
      <c r="P2460" s="55" t="n">
        <f aca="false">SUM(C2460:F2460)</f>
        <v>714285.714285714</v>
      </c>
      <c r="Q2460" s="55" t="n">
        <f aca="false">SUM(G2460:J2460)</f>
        <v>1285714.28571429</v>
      </c>
      <c r="R2460" s="55" t="n">
        <f aca="false">SUM(K2460:N2460)</f>
        <v>1714285.71428571</v>
      </c>
      <c r="S2460" s="56" t="n">
        <f aca="false">SUM(P2460:R2460)</f>
        <v>3714285.71428571</v>
      </c>
    </row>
    <row r="2461" customFormat="false" ht="15" hidden="false" customHeight="false" outlineLevel="0" collapsed="false">
      <c r="A2461" s="4" t="s">
        <v>556</v>
      </c>
      <c r="B2461" s="36" t="s">
        <v>125</v>
      </c>
      <c r="C2461" s="54" t="n">
        <f aca="false">MAX(0,(C2449-C2430*$C$2385)-C2409*$C$2390)*$C$2391*Assumptions!$E$105</f>
        <v>0</v>
      </c>
      <c r="D2461" s="54" t="n">
        <f aca="false">MAX(0,(D2449-D2430*$C$2385)-D2409*$C$2390)*$C$2391*Assumptions!$E$105</f>
        <v>0</v>
      </c>
      <c r="E2461" s="54" t="n">
        <f aca="false">MAX(0,(E2449-E2430*$C$2385)-E2409*$C$2390)*$C$2391*Assumptions!$E$105</f>
        <v>0</v>
      </c>
      <c r="F2461" s="54" t="n">
        <f aca="false">MAX(0,(F2449-F2430*$C$2385)-F2409*$C$2390)*$C$2391*Assumptions!$E$105</f>
        <v>0</v>
      </c>
      <c r="G2461" s="54" t="n">
        <f aca="false">MAX(0,(G2449-G2430*$C$2385)-G2409*$C$2390)*$C$2391*Assumptions!$E$105</f>
        <v>0</v>
      </c>
      <c r="H2461" s="54" t="n">
        <f aca="false">MAX(0,(H2449-H2430*$C$2385)-H2409*$C$2390)*$C$2391*Assumptions!$E$105</f>
        <v>0</v>
      </c>
      <c r="I2461" s="54" t="n">
        <f aca="false">MAX(0,(I2449-I2430*$C$2385)-I2409*$C$2390)*$C$2391*Assumptions!$E$105</f>
        <v>0</v>
      </c>
      <c r="J2461" s="54" t="n">
        <f aca="false">MAX(0,(J2449-J2430*$C$2385)-J2409*$C$2390)*$C$2391*Assumptions!$E$105</f>
        <v>0</v>
      </c>
      <c r="K2461" s="54" t="n">
        <f aca="false">MAX(0,(K2449-K2430*$C$2385)-K2409*$C$2390)*$C$2391*Assumptions!$E$105</f>
        <v>0</v>
      </c>
      <c r="L2461" s="54" t="n">
        <f aca="false">MAX(0,(L2449-L2430*$C$2385)-L2409*$C$2390)*$C$2391*Assumptions!$E$105</f>
        <v>0</v>
      </c>
      <c r="M2461" s="54" t="n">
        <f aca="false">MAX(0,(M2449-M2430*$C$2385)-M2409*$C$2390)*$C$2391*Assumptions!$E$105</f>
        <v>0</v>
      </c>
      <c r="N2461" s="54" t="n">
        <f aca="false">MAX(0,(N2449-N2430*$C$2385)-N2409*$C$2390)*$C$2391*Assumptions!$E$105</f>
        <v>0</v>
      </c>
      <c r="P2461" s="55" t="n">
        <f aca="false">SUM(C2461:F2461)</f>
        <v>0</v>
      </c>
      <c r="Q2461" s="55" t="n">
        <f aca="false">SUM(G2461:J2461)</f>
        <v>0</v>
      </c>
      <c r="R2461" s="55" t="n">
        <f aca="false">SUM(K2461:N2461)</f>
        <v>0</v>
      </c>
      <c r="S2461" s="56" t="n">
        <f aca="false">SUM(P2461:R2461)</f>
        <v>0</v>
      </c>
    </row>
    <row r="2462" customFormat="false" ht="15" hidden="false" customHeight="false" outlineLevel="0" collapsed="false">
      <c r="A2462" s="4" t="s">
        <v>557</v>
      </c>
      <c r="B2462" s="36" t="s">
        <v>125</v>
      </c>
      <c r="C2462" s="54" t="n">
        <f aca="false">C2457*Assumptions!$H$71/Assumptions!$H$69/4</f>
        <v>36951.7857142857</v>
      </c>
      <c r="D2462" s="54" t="n">
        <f aca="false">D2457*Assumptions!$H$71/Assumptions!$H$69/4</f>
        <v>36951.7857142857</v>
      </c>
      <c r="E2462" s="54" t="n">
        <f aca="false">E2457*Assumptions!$H$71/Assumptions!$H$69/4</f>
        <v>36951.7857142857</v>
      </c>
      <c r="F2462" s="54" t="n">
        <f aca="false">F2457*Assumptions!$H$71/Assumptions!$H$69/4</f>
        <v>36951.7857142857</v>
      </c>
      <c r="G2462" s="54" t="n">
        <f aca="false">G2457*Assumptions!$H$71/Assumptions!$H$69/4</f>
        <v>36951.7857142857</v>
      </c>
      <c r="H2462" s="54" t="n">
        <f aca="false">H2457*Assumptions!$H$71/Assumptions!$H$69/4</f>
        <v>36951.7857142857</v>
      </c>
      <c r="I2462" s="54" t="n">
        <f aca="false">I2457*Assumptions!$H$71/Assumptions!$H$69/4</f>
        <v>36951.7857142857</v>
      </c>
      <c r="J2462" s="54" t="n">
        <f aca="false">J2457*Assumptions!$H$71/Assumptions!$H$69/4</f>
        <v>36951.7857142857</v>
      </c>
      <c r="K2462" s="54" t="n">
        <f aca="false">K2457*Assumptions!$H$71/Assumptions!$H$69/4</f>
        <v>36951.7857142857</v>
      </c>
      <c r="L2462" s="54" t="n">
        <f aca="false">L2457*Assumptions!$H$71/Assumptions!$H$69/4</f>
        <v>36951.7857142857</v>
      </c>
      <c r="M2462" s="54" t="n">
        <f aca="false">M2457*Assumptions!$H$71/Assumptions!$H$69/4</f>
        <v>36951.7857142857</v>
      </c>
      <c r="N2462" s="54" t="n">
        <f aca="false">N2457*Assumptions!$H$71/Assumptions!$H$69/4</f>
        <v>36951.7857142857</v>
      </c>
      <c r="P2462" s="55" t="n">
        <f aca="false">SUM(C2462:F2462)</f>
        <v>147807.142857143</v>
      </c>
      <c r="Q2462" s="55" t="n">
        <f aca="false">SUM(G2462:J2462)</f>
        <v>147807.142857143</v>
      </c>
      <c r="R2462" s="55" t="n">
        <f aca="false">SUM(K2462:N2462)</f>
        <v>147807.142857143</v>
      </c>
      <c r="S2462" s="56" t="n">
        <f aca="false">SUM(P2462:R2462)</f>
        <v>443421.428571429</v>
      </c>
    </row>
    <row r="2463" customFormat="false" ht="15" hidden="false" customHeight="false" outlineLevel="0" collapsed="false">
      <c r="A2463" s="4" t="s">
        <v>558</v>
      </c>
      <c r="B2463" s="36" t="s">
        <v>125</v>
      </c>
      <c r="C2463" s="54" t="n">
        <f aca="false">(Assumptions!$E$103+Assumptions!$H$77*((C2394=Assumptions!$H$13)+(C2394=Assumptions!$H$14)+(C2394=Assumptions!$H$15)))*C2395</f>
        <v>100000</v>
      </c>
      <c r="D2463" s="54" t="n">
        <f aca="false">(Assumptions!$E$103+Assumptions!$H$77*((D2394=Assumptions!$H$13)+(D2394=Assumptions!$H$14)+(D2394=Assumptions!$H$15)))*D2395</f>
        <v>60000</v>
      </c>
      <c r="E2463" s="54" t="n">
        <f aca="false">(Assumptions!$E$103+Assumptions!$H$77*((E2394=Assumptions!$H$13)+(E2394=Assumptions!$H$14)+(E2394=Assumptions!$H$15)))*E2395</f>
        <v>60000</v>
      </c>
      <c r="F2463" s="54" t="n">
        <f aca="false">(Assumptions!$E$103+Assumptions!$H$77*((F2394=Assumptions!$H$13)+(F2394=Assumptions!$H$14)+(F2394=Assumptions!$H$15)))*F2395</f>
        <v>60000</v>
      </c>
      <c r="G2463" s="54" t="n">
        <f aca="false">(Assumptions!$E$103+Assumptions!$H$77*((G2394=Assumptions!$H$13)+(G2394=Assumptions!$H$14)+(G2394=Assumptions!$H$15)))*G2395</f>
        <v>100000</v>
      </c>
      <c r="H2463" s="54" t="n">
        <f aca="false">(Assumptions!$E$103+Assumptions!$H$77*((H2394=Assumptions!$H$13)+(H2394=Assumptions!$H$14)+(H2394=Assumptions!$H$15)))*H2395</f>
        <v>60000</v>
      </c>
      <c r="I2463" s="54" t="n">
        <f aca="false">(Assumptions!$E$103+Assumptions!$H$77*((I2394=Assumptions!$H$13)+(I2394=Assumptions!$H$14)+(I2394=Assumptions!$H$15)))*I2395</f>
        <v>100000</v>
      </c>
      <c r="J2463" s="54" t="n">
        <f aca="false">(Assumptions!$E$103+Assumptions!$H$77*((J2394=Assumptions!$H$13)+(J2394=Assumptions!$H$14)+(J2394=Assumptions!$H$15)))*J2395</f>
        <v>60000</v>
      </c>
      <c r="K2463" s="54" t="n">
        <f aca="false">(Assumptions!$E$103+Assumptions!$H$77*((K2394=Assumptions!$H$13)+(K2394=Assumptions!$H$14)+(K2394=Assumptions!$H$15)))*K2395</f>
        <v>60000</v>
      </c>
      <c r="L2463" s="54" t="n">
        <f aca="false">(Assumptions!$E$103+Assumptions!$H$77*((L2394=Assumptions!$H$13)+(L2394=Assumptions!$H$14)+(L2394=Assumptions!$H$15)))*L2395</f>
        <v>60000</v>
      </c>
      <c r="M2463" s="54" t="n">
        <f aca="false">(Assumptions!$E$103+Assumptions!$H$77*((M2394=Assumptions!$H$13)+(M2394=Assumptions!$H$14)+(M2394=Assumptions!$H$15)))*M2395</f>
        <v>60000</v>
      </c>
      <c r="N2463" s="54" t="n">
        <f aca="false">(Assumptions!$E$103+Assumptions!$H$77*((N2394=Assumptions!$H$13)+(N2394=Assumptions!$H$14)+(N2394=Assumptions!$H$15)))*N2395</f>
        <v>60000</v>
      </c>
      <c r="P2463" s="55" t="n">
        <f aca="false">SUM(C2463:F2463)</f>
        <v>280000</v>
      </c>
      <c r="Q2463" s="55" t="n">
        <f aca="false">SUM(G2463:J2463)</f>
        <v>320000</v>
      </c>
      <c r="R2463" s="55" t="n">
        <f aca="false">SUM(K2463:N2463)</f>
        <v>240000</v>
      </c>
      <c r="S2463" s="56" t="n">
        <f aca="false">SUM(P2463:R2463)</f>
        <v>840000</v>
      </c>
    </row>
    <row r="2464" customFormat="false" ht="15" hidden="false" customHeight="false" outlineLevel="0" collapsed="false">
      <c r="A2464" s="4" t="s">
        <v>559</v>
      </c>
      <c r="B2464" s="36" t="s">
        <v>125</v>
      </c>
      <c r="C2464" s="54" t="n">
        <f aca="false">C2449*C2429*Assumptions!$H$79</f>
        <v>0</v>
      </c>
      <c r="D2464" s="54" t="n">
        <f aca="false">D2449*D2429*Assumptions!$H$79</f>
        <v>827.933759010008</v>
      </c>
      <c r="E2464" s="54" t="n">
        <f aca="false">E2449*E2429*Assumptions!$H$79</f>
        <v>1352.65578549644</v>
      </c>
      <c r="F2464" s="54" t="n">
        <f aca="false">F2449*F2429*Assumptions!$H$79</f>
        <v>1887.47346705296</v>
      </c>
      <c r="G2464" s="54" t="n">
        <f aca="false">G2449*G2429*Assumptions!$H$79</f>
        <v>2283.0733809775</v>
      </c>
      <c r="H2464" s="54" t="n">
        <f aca="false">H2449*H2429*Assumptions!$H$79</f>
        <v>2503.61407502352</v>
      </c>
      <c r="I2464" s="54" t="n">
        <f aca="false">I2449*I2429*Assumptions!$H$79</f>
        <v>2896.85253841393</v>
      </c>
      <c r="J2464" s="54" t="n">
        <f aca="false">J2449*J2429*Assumptions!$H$79</f>
        <v>3257.89207899971</v>
      </c>
      <c r="K2464" s="54" t="n">
        <f aca="false">K2449*K2429*Assumptions!$H$79</f>
        <v>3674.72307810507</v>
      </c>
      <c r="L2464" s="54" t="n">
        <f aca="false">L2449*L2429*Assumptions!$H$79</f>
        <v>3846.39811353447</v>
      </c>
      <c r="M2464" s="54" t="n">
        <f aca="false">M2449*M2429*Assumptions!$H$79</f>
        <v>3845.92186013339</v>
      </c>
      <c r="N2464" s="54" t="n">
        <f aca="false">N2449*N2429*Assumptions!$H$79</f>
        <v>3845.42543864364</v>
      </c>
      <c r="P2464" s="55" t="n">
        <f aca="false">SUM(C2464:F2464)</f>
        <v>4068.06301155941</v>
      </c>
      <c r="Q2464" s="55" t="n">
        <f aca="false">SUM(G2464:J2464)</f>
        <v>10941.4320734147</v>
      </c>
      <c r="R2464" s="55" t="n">
        <f aca="false">SUM(K2464:N2464)</f>
        <v>15212.4684904166</v>
      </c>
      <c r="S2464" s="56" t="n">
        <f aca="false">SUM(P2464:R2464)</f>
        <v>30221.9635753906</v>
      </c>
    </row>
    <row r="2465" customFormat="false" ht="15" hidden="false" customHeight="false" outlineLevel="0" collapsed="false">
      <c r="A2465" s="4" t="s">
        <v>560</v>
      </c>
      <c r="B2465" s="36" t="s">
        <v>125</v>
      </c>
      <c r="C2465" s="54" t="n">
        <f aca="false">C2414*Assumptions!$H$80</f>
        <v>6000</v>
      </c>
      <c r="D2465" s="54" t="n">
        <f aca="false">D2414*Assumptions!$H$80</f>
        <v>8000</v>
      </c>
      <c r="E2465" s="54" t="n">
        <f aca="false">E2414*Assumptions!$H$80</f>
        <v>10000</v>
      </c>
      <c r="F2465" s="54" t="n">
        <f aca="false">F2414*Assumptions!$H$80</f>
        <v>12000</v>
      </c>
      <c r="G2465" s="54" t="n">
        <f aca="false">G2414*Assumptions!$H$80</f>
        <v>14000</v>
      </c>
      <c r="H2465" s="54" t="n">
        <f aca="false">H2414*Assumptions!$H$80</f>
        <v>16000</v>
      </c>
      <c r="I2465" s="54" t="n">
        <f aca="false">I2414*Assumptions!$H$80</f>
        <v>18000</v>
      </c>
      <c r="J2465" s="54" t="n">
        <f aca="false">J2414*Assumptions!$H$80</f>
        <v>20000</v>
      </c>
      <c r="K2465" s="54" t="n">
        <f aca="false">K2414*Assumptions!$H$80</f>
        <v>20000</v>
      </c>
      <c r="L2465" s="54" t="n">
        <f aca="false">L2414*Assumptions!$H$80</f>
        <v>20000</v>
      </c>
      <c r="M2465" s="54" t="n">
        <f aca="false">M2414*Assumptions!$H$80</f>
        <v>20000</v>
      </c>
      <c r="N2465" s="54" t="n">
        <f aca="false">N2414*Assumptions!$H$80</f>
        <v>20000</v>
      </c>
      <c r="P2465" s="55" t="n">
        <f aca="false">SUM(C2465:F2465)</f>
        <v>36000</v>
      </c>
      <c r="Q2465" s="55" t="n">
        <f aca="false">SUM(G2465:J2465)</f>
        <v>68000</v>
      </c>
      <c r="R2465" s="55" t="n">
        <f aca="false">SUM(K2465:N2465)</f>
        <v>80000</v>
      </c>
      <c r="S2465" s="56" t="n">
        <f aca="false">SUM(P2465:R2465)</f>
        <v>184000</v>
      </c>
    </row>
    <row r="2466" customFormat="false" ht="15" hidden="false" customHeight="false" outlineLevel="0" collapsed="false">
      <c r="A2466" s="4" t="s">
        <v>561</v>
      </c>
      <c r="B2466" s="36" t="s">
        <v>125</v>
      </c>
      <c r="C2466" s="54" t="n">
        <f aca="false">(C2437*$C$2386+C2438*$C$2387)*Assumptions!$H$81</f>
        <v>0</v>
      </c>
      <c r="D2466" s="54" t="n">
        <f aca="false">(D2437*$C$2386+D2438*$C$2387)*Assumptions!$H$81</f>
        <v>415.149245343839</v>
      </c>
      <c r="E2466" s="54" t="n">
        <f aca="false">(E2437*$C$2386+E2438*$C$2387)*Assumptions!$H$81</f>
        <v>1279.64417257971</v>
      </c>
      <c r="F2466" s="54" t="n">
        <f aca="false">(F2437*$C$2386+F2438*$C$2387)*Assumptions!$H$81</f>
        <v>1735.84130033899</v>
      </c>
      <c r="G2466" s="54" t="n">
        <f aca="false">(G2437*$C$2386+G2438*$C$2387)*Assumptions!$H$81</f>
        <v>1821.13545773463</v>
      </c>
      <c r="H2466" s="54" t="n">
        <f aca="false">(H2437*$C$2386+H2438*$C$2387)*Assumptions!$H$81</f>
        <v>2117.42080753217</v>
      </c>
      <c r="I2466" s="54" t="n">
        <f aca="false">(I2437*$C$2386+I2438*$C$2387)*Assumptions!$H$81</f>
        <v>2645.82109339066</v>
      </c>
      <c r="J2466" s="54" t="n">
        <f aca="false">(J2437*$C$2386+J2438*$C$2387)*Assumptions!$H$81</f>
        <v>3206.02326320554</v>
      </c>
      <c r="K2466" s="54" t="n">
        <f aca="false">(K2437*$C$2386+K2438*$C$2387)*Assumptions!$H$81</f>
        <v>3831.02691449506</v>
      </c>
      <c r="L2466" s="54" t="n">
        <f aca="false">(L2437*$C$2386+L2438*$C$2387)*Assumptions!$H$81</f>
        <v>4113.46992629172</v>
      </c>
      <c r="M2466" s="54" t="n">
        <f aca="false">(M2437*$C$2386+M2438*$C$2387)*Assumptions!$H$81</f>
        <v>4025.51007081716</v>
      </c>
      <c r="N2466" s="54" t="n">
        <f aca="false">(N2437*$C$2386+N2438*$C$2387)*Assumptions!$H$81</f>
        <v>3941.19463334621</v>
      </c>
      <c r="P2466" s="55" t="n">
        <f aca="false">SUM(C2466:F2466)</f>
        <v>3430.63471826253</v>
      </c>
      <c r="Q2466" s="55" t="n">
        <f aca="false">SUM(G2466:J2466)</f>
        <v>9790.400621863</v>
      </c>
      <c r="R2466" s="55" t="n">
        <f aca="false">SUM(K2466:N2466)</f>
        <v>15911.2015449502</v>
      </c>
      <c r="S2466" s="56" t="n">
        <f aca="false">SUM(P2466:R2466)</f>
        <v>29132.2368850757</v>
      </c>
    </row>
    <row r="2467" customFormat="false" ht="15" hidden="false" customHeight="false" outlineLevel="0" collapsed="false">
      <c r="A2467" s="9" t="s">
        <v>562</v>
      </c>
      <c r="B2467" s="36" t="s">
        <v>125</v>
      </c>
      <c r="C2467" s="55" t="n">
        <f aca="false">C2459+C2460+C2461+C2462+C2463+C2464+C2465+C2466</f>
        <v>419316.071428572</v>
      </c>
      <c r="D2467" s="55" t="n">
        <f aca="false">D2459+D2460+D2461+D2462+D2463+D2464+D2465+D2466</f>
        <v>382559.154432925</v>
      </c>
      <c r="E2467" s="55" t="n">
        <f aca="false">E2459+E2460+E2461+E2462+E2463+E2464+E2465+E2466</f>
        <v>457376.942815219</v>
      </c>
      <c r="F2467" s="55" t="n">
        <f aca="false">F2459+F2460+F2461+F2462+F2463+F2464+F2465+F2466</f>
        <v>460367.957624535</v>
      </c>
      <c r="G2467" s="55" t="n">
        <f aca="false">G2459+G2460+G2461+G2462+G2463+G2464+G2465+G2466</f>
        <v>574277.423124426</v>
      </c>
      <c r="H2467" s="55" t="n">
        <f aca="false">H2459+H2460+H2461+H2462+H2463+H2464+H2465+H2466</f>
        <v>536794.24916827</v>
      </c>
      <c r="I2467" s="55" t="n">
        <f aca="false">I2459+I2460+I2461+I2462+I2463+I2464+I2465+I2466</f>
        <v>651144.45934609</v>
      </c>
      <c r="J2467" s="55" t="n">
        <f aca="false">J2459+J2460+J2461+J2462+J2463+J2464+J2465+J2466</f>
        <v>614065.701056491</v>
      </c>
      <c r="K2467" s="55" t="n">
        <f aca="false">K2459+K2460+K2461+K2462+K2463+K2464+K2465+K2466</f>
        <v>686536.107135457</v>
      </c>
      <c r="L2467" s="55" t="n">
        <f aca="false">L2459+L2460+L2461+L2462+L2463+L2464+L2465+L2466</f>
        <v>686990.225182683</v>
      </c>
      <c r="M2467" s="55" t="n">
        <f aca="false">M2459+M2460+M2461+M2462+M2463+M2464+M2465+M2466</f>
        <v>686901.789073808</v>
      </c>
      <c r="N2467" s="55" t="n">
        <f aca="false">N2459+N2460+N2461+N2462+N2463+N2464+N2465+N2466</f>
        <v>686816.977214847</v>
      </c>
      <c r="P2467" s="55" t="n">
        <f aca="false">SUM(C2467:F2467)</f>
        <v>1719620.12630125</v>
      </c>
      <c r="Q2467" s="55" t="n">
        <f aca="false">SUM(G2467:J2467)</f>
        <v>2376281.83269528</v>
      </c>
      <c r="R2467" s="55" t="n">
        <f aca="false">SUM(K2467:N2467)</f>
        <v>2747245.0986068</v>
      </c>
      <c r="S2467" s="56" t="n">
        <f aca="false">SUM(P2467:R2467)</f>
        <v>6843147.05760332</v>
      </c>
    </row>
    <row r="2468" customFormat="false" ht="15" hidden="false" customHeight="false" outlineLevel="0" collapsed="false">
      <c r="A2468" s="4" t="s">
        <v>563</v>
      </c>
      <c r="B2468" s="36" t="s">
        <v>125</v>
      </c>
      <c r="C2468" s="54" t="n">
        <f aca="false">C2456*Assumptions!$H$72/Assumptions!$H$69/4</f>
        <v>56535.7142857143</v>
      </c>
      <c r="D2468" s="54" t="n">
        <f aca="false">D2456*Assumptions!$H$72/Assumptions!$H$69/4</f>
        <v>56535.7142857143</v>
      </c>
      <c r="E2468" s="54" t="n">
        <f aca="false">E2456*Assumptions!$H$72/Assumptions!$H$69/4</f>
        <v>56535.7142857143</v>
      </c>
      <c r="F2468" s="54" t="n">
        <f aca="false">F2456*Assumptions!$H$72/Assumptions!$H$69/4</f>
        <v>56535.7142857143</v>
      </c>
      <c r="G2468" s="54" t="n">
        <f aca="false">G2456*Assumptions!$H$72/Assumptions!$H$69/4</f>
        <v>28267.8571428571</v>
      </c>
      <c r="H2468" s="54" t="n">
        <f aca="false">H2456*Assumptions!$H$72/Assumptions!$H$69/4</f>
        <v>28267.8571428571</v>
      </c>
      <c r="I2468" s="54" t="n">
        <f aca="false">I2456*Assumptions!$H$72/Assumptions!$H$69/4</f>
        <v>28267.8571428571</v>
      </c>
      <c r="J2468" s="54" t="n">
        <f aca="false">J2456*Assumptions!$H$72/Assumptions!$H$69/4</f>
        <v>28267.8571428571</v>
      </c>
      <c r="K2468" s="54" t="n">
        <f aca="false">K2456*Assumptions!$H$72/Assumptions!$H$69/4</f>
        <v>28267.8571428571</v>
      </c>
      <c r="L2468" s="54" t="n">
        <f aca="false">L2456*Assumptions!$H$72/Assumptions!$H$69/4</f>
        <v>28267.8571428571</v>
      </c>
      <c r="M2468" s="54" t="n">
        <f aca="false">M2456*Assumptions!$H$72/Assumptions!$H$69/4</f>
        <v>28267.8571428571</v>
      </c>
      <c r="N2468" s="54" t="n">
        <f aca="false">N2456*Assumptions!$H$72/Assumptions!$H$69/4</f>
        <v>28267.8571428571</v>
      </c>
      <c r="P2468" s="55" t="n">
        <f aca="false">SUM(C2468:F2468)</f>
        <v>226142.857142857</v>
      </c>
      <c r="Q2468" s="55" t="n">
        <f aca="false">SUM(G2468:J2468)</f>
        <v>113071.428571429</v>
      </c>
      <c r="R2468" s="55" t="n">
        <f aca="false">SUM(K2468:N2468)</f>
        <v>113071.428571429</v>
      </c>
      <c r="S2468" s="56" t="n">
        <f aca="false">SUM(P2468:R2468)</f>
        <v>452285.714285714</v>
      </c>
    </row>
    <row r="2469" customFormat="false" ht="15" hidden="false" customHeight="false" outlineLevel="0" collapsed="false">
      <c r="A2469" s="4" t="s">
        <v>564</v>
      </c>
      <c r="B2469" s="36" t="s">
        <v>125</v>
      </c>
      <c r="C2469" s="54" t="n">
        <f aca="false">IF(C2394&lt;=Assumptions!$H$83,Assumptions!$H$82*Assumptions!$E$108/Assumptions!$H$83,0)</f>
        <v>62500</v>
      </c>
      <c r="D2469" s="54" t="n">
        <f aca="false">IF(D2394&lt;=Assumptions!$H$83,Assumptions!$H$82*Assumptions!$E$108/Assumptions!$H$83,0)</f>
        <v>62500</v>
      </c>
      <c r="E2469" s="54" t="n">
        <f aca="false">IF(E2394&lt;=Assumptions!$H$83,Assumptions!$H$82*Assumptions!$E$108/Assumptions!$H$83,0)</f>
        <v>62500</v>
      </c>
      <c r="F2469" s="54" t="n">
        <f aca="false">IF(F2394&lt;=Assumptions!$H$83,Assumptions!$H$82*Assumptions!$E$108/Assumptions!$H$83,0)</f>
        <v>62500</v>
      </c>
      <c r="G2469" s="54" t="n">
        <f aca="false">IF(G2394&lt;=Assumptions!$H$83,Assumptions!$H$82*Assumptions!$E$108/Assumptions!$H$83,0)</f>
        <v>0</v>
      </c>
      <c r="H2469" s="54" t="n">
        <f aca="false">IF(H2394&lt;=Assumptions!$H$83,Assumptions!$H$82*Assumptions!$E$108/Assumptions!$H$83,0)</f>
        <v>0</v>
      </c>
      <c r="I2469" s="54" t="n">
        <f aca="false">IF(I2394&lt;=Assumptions!$H$83,Assumptions!$H$82*Assumptions!$E$108/Assumptions!$H$83,0)</f>
        <v>0</v>
      </c>
      <c r="J2469" s="54" t="n">
        <f aca="false">IF(J2394&lt;=Assumptions!$H$83,Assumptions!$H$82*Assumptions!$E$108/Assumptions!$H$83,0)</f>
        <v>0</v>
      </c>
      <c r="K2469" s="54" t="n">
        <f aca="false">IF(K2394&lt;=Assumptions!$H$83,Assumptions!$H$82*Assumptions!$E$108/Assumptions!$H$83,0)</f>
        <v>0</v>
      </c>
      <c r="L2469" s="54" t="n">
        <f aca="false">IF(L2394&lt;=Assumptions!$H$83,Assumptions!$H$82*Assumptions!$E$108/Assumptions!$H$83,0)</f>
        <v>0</v>
      </c>
      <c r="M2469" s="54" t="n">
        <f aca="false">IF(M2394&lt;=Assumptions!$H$83,Assumptions!$H$82*Assumptions!$E$108/Assumptions!$H$83,0)</f>
        <v>0</v>
      </c>
      <c r="N2469" s="54" t="n">
        <f aca="false">IF(N2394&lt;=Assumptions!$H$83,Assumptions!$H$82*Assumptions!$E$108/Assumptions!$H$83,0)</f>
        <v>0</v>
      </c>
      <c r="P2469" s="55" t="n">
        <f aca="false">SUM(C2469:F2469)</f>
        <v>250000</v>
      </c>
      <c r="Q2469" s="55" t="n">
        <f aca="false">SUM(G2469:J2469)</f>
        <v>0</v>
      </c>
      <c r="R2469" s="55" t="n">
        <f aca="false">SUM(K2469:N2469)</f>
        <v>0</v>
      </c>
      <c r="S2469" s="56" t="n">
        <f aca="false">SUM(P2469:R2469)</f>
        <v>250000</v>
      </c>
    </row>
    <row r="2470" customFormat="false" ht="15" hidden="false" customHeight="false" outlineLevel="0" collapsed="false">
      <c r="A2470" s="4" t="s">
        <v>565</v>
      </c>
      <c r="B2470" s="36" t="s">
        <v>125</v>
      </c>
      <c r="C2470" s="54" t="n">
        <f aca="false">C2458*Assumptions!$H$73/Assumptions!$H$69/4</f>
        <v>0</v>
      </c>
      <c r="D2470" s="54" t="n">
        <f aca="false">D2458*Assumptions!$H$73/Assumptions!$H$69/4</f>
        <v>1549.09537065674</v>
      </c>
      <c r="E2470" s="54" t="n">
        <f aca="false">E2458*Assumptions!$H$73/Assumptions!$H$69/4</f>
        <v>4374.95097984592</v>
      </c>
      <c r="F2470" s="54" t="n">
        <f aca="false">F2458*Assumptions!$H$73/Assumptions!$H$69/4</f>
        <v>7425.79028867819</v>
      </c>
      <c r="G2470" s="54" t="n">
        <f aca="false">G2458*Assumptions!$H$73/Assumptions!$H$69/4</f>
        <v>10505.8423412885</v>
      </c>
      <c r="H2470" s="54" t="n">
        <f aca="false">H2458*Assumptions!$H$73/Assumptions!$H$69/4</f>
        <v>14493.5044251618</v>
      </c>
      <c r="I2470" s="54" t="n">
        <f aca="false">I2458*Assumptions!$H$73/Assumptions!$H$69/4</f>
        <v>19328.1841089265</v>
      </c>
      <c r="J2470" s="54" t="n">
        <f aca="false">J2458*Assumptions!$H$73/Assumptions!$H$69/4</f>
        <v>25145.132988399</v>
      </c>
      <c r="K2470" s="54" t="n">
        <f aca="false">K2458*Assumptions!$H$73/Assumptions!$H$69/4</f>
        <v>31845.8922707741</v>
      </c>
      <c r="L2470" s="54" t="n">
        <f aca="false">L2458*Assumptions!$H$73/Assumptions!$H$69/4</f>
        <v>38326.1195026021</v>
      </c>
      <c r="M2470" s="54" t="n">
        <f aca="false">M2458*Assumptions!$H$73/Assumptions!$H$69/4</f>
        <v>44477.9973163872</v>
      </c>
      <c r="N2470" s="54" t="n">
        <f aca="false">N2458*Assumptions!$H$73/Assumptions!$H$69/4</f>
        <v>50316.8569353795</v>
      </c>
      <c r="P2470" s="55" t="n">
        <f aca="false">SUM(C2470:F2470)</f>
        <v>13349.8366391808</v>
      </c>
      <c r="Q2470" s="55" t="n">
        <f aca="false">SUM(G2470:J2470)</f>
        <v>69472.6638637758</v>
      </c>
      <c r="R2470" s="55" t="n">
        <f aca="false">SUM(K2470:N2470)</f>
        <v>164966.866025143</v>
      </c>
      <c r="S2470" s="56" t="n">
        <f aca="false">SUM(P2470:R2470)</f>
        <v>247789.3665281</v>
      </c>
    </row>
    <row r="2471" customFormat="false" ht="15" hidden="false" customHeight="false" outlineLevel="0" collapsed="false">
      <c r="A2471" s="9" t="s">
        <v>566</v>
      </c>
      <c r="B2471" s="36" t="s">
        <v>125</v>
      </c>
      <c r="C2471" s="55" t="n">
        <f aca="false">C2467+C2468+C2469+C2470</f>
        <v>538351.785714286</v>
      </c>
      <c r="D2471" s="55" t="n">
        <f aca="false">D2467+D2468+D2469+D2470</f>
        <v>503143.964089296</v>
      </c>
      <c r="E2471" s="55" t="n">
        <f aca="false">E2467+E2468+E2469+E2470</f>
        <v>580787.608080779</v>
      </c>
      <c r="F2471" s="55" t="n">
        <f aca="false">F2467+F2468+F2469+F2470</f>
        <v>586829.462198927</v>
      </c>
      <c r="G2471" s="55" t="n">
        <f aca="false">G2467+G2468+G2469+G2470</f>
        <v>613051.122608572</v>
      </c>
      <c r="H2471" s="55" t="n">
        <f aca="false">H2467+H2468+H2469+H2470</f>
        <v>579555.610736289</v>
      </c>
      <c r="I2471" s="55" t="n">
        <f aca="false">I2467+I2468+I2469+I2470</f>
        <v>698740.500597874</v>
      </c>
      <c r="J2471" s="55" t="n">
        <f aca="false">J2467+J2468+J2469+J2470</f>
        <v>667478.691187747</v>
      </c>
      <c r="K2471" s="55" t="n">
        <f aca="false">K2467+K2468+K2469+K2470</f>
        <v>746649.856549089</v>
      </c>
      <c r="L2471" s="55" t="n">
        <f aca="false">L2467+L2468+L2469+L2470</f>
        <v>753584.201828143</v>
      </c>
      <c r="M2471" s="55" t="n">
        <f aca="false">M2467+M2468+M2469+M2470</f>
        <v>759647.643533052</v>
      </c>
      <c r="N2471" s="55" t="n">
        <f aca="false">N2467+N2468+N2469+N2470</f>
        <v>765401.691293084</v>
      </c>
      <c r="P2471" s="55" t="n">
        <f aca="false">SUM(C2471:F2471)</f>
        <v>2209112.82008329</v>
      </c>
      <c r="Q2471" s="55" t="n">
        <f aca="false">SUM(G2471:J2471)</f>
        <v>2558825.92513048</v>
      </c>
      <c r="R2471" s="55" t="n">
        <f aca="false">SUM(K2471:N2471)</f>
        <v>3025283.39320337</v>
      </c>
      <c r="S2471" s="56" t="n">
        <f aca="false">SUM(P2471:R2471)</f>
        <v>7793222.13841714</v>
      </c>
    </row>
    <row r="2472" customFormat="false" ht="15" hidden="false" customHeight="false" outlineLevel="0" collapsed="false">
      <c r="A2472" s="35" t="s">
        <v>567</v>
      </c>
      <c r="B2472" s="35" t="s">
        <v>444</v>
      </c>
      <c r="C2472" s="6" t="s">
        <v>354</v>
      </c>
      <c r="D2472" s="6" t="s">
        <v>355</v>
      </c>
      <c r="E2472" s="6" t="s">
        <v>356</v>
      </c>
      <c r="F2472" s="6" t="s">
        <v>357</v>
      </c>
      <c r="G2472" s="6" t="s">
        <v>358</v>
      </c>
      <c r="H2472" s="6" t="s">
        <v>359</v>
      </c>
      <c r="I2472" s="6" t="s">
        <v>360</v>
      </c>
      <c r="J2472" s="6" t="s">
        <v>361</v>
      </c>
      <c r="K2472" s="6" t="s">
        <v>362</v>
      </c>
      <c r="L2472" s="6" t="s">
        <v>363</v>
      </c>
      <c r="M2472" s="6" t="s">
        <v>364</v>
      </c>
      <c r="N2472" s="6" t="s">
        <v>365</v>
      </c>
      <c r="P2472" s="6" t="s">
        <v>445</v>
      </c>
      <c r="Q2472" s="6" t="s">
        <v>446</v>
      </c>
      <c r="R2472" s="6" t="s">
        <v>447</v>
      </c>
      <c r="S2472" s="6" t="s">
        <v>448</v>
      </c>
    </row>
    <row r="2473" customFormat="false" ht="15" hidden="false" customHeight="false" outlineLevel="0" collapsed="false">
      <c r="A2473" s="9" t="s">
        <v>568</v>
      </c>
      <c r="B2473" s="36" t="s">
        <v>125</v>
      </c>
      <c r="C2473" s="55" t="n">
        <f aca="false">C2451-C2471</f>
        <v>-538351.785714286</v>
      </c>
      <c r="D2473" s="55" t="n">
        <f aca="false">D2451-D2471</f>
        <v>-501482.713361451</v>
      </c>
      <c r="E2473" s="55" t="n">
        <f aca="false">E2451-E2471</f>
        <v>-573926.788874879</v>
      </c>
      <c r="F2473" s="55" t="n">
        <f aca="false">F2451-F2471</f>
        <v>-572198.830551046</v>
      </c>
      <c r="G2473" s="55" t="n">
        <f aca="false">G2451-G2471</f>
        <v>-589734.759133665</v>
      </c>
      <c r="H2473" s="55" t="n">
        <f aca="false">H2451-H2471</f>
        <v>-546188.280115272</v>
      </c>
      <c r="I2473" s="55" t="n">
        <f aca="false">I2451-I2471</f>
        <v>-652851.59198876</v>
      </c>
      <c r="J2473" s="55" t="n">
        <f aca="false">J2451-J2471</f>
        <v>-606379.186362575</v>
      </c>
      <c r="K2473" s="55" t="n">
        <f aca="false">K2451-K2471</f>
        <v>-667584.35417019</v>
      </c>
      <c r="L2473" s="55" t="n">
        <f aca="false">L2451-L2471</f>
        <v>-654808.949493568</v>
      </c>
      <c r="M2473" s="55" t="n">
        <f aca="false">M2451-M2471</f>
        <v>-640873.40452397</v>
      </c>
      <c r="N2473" s="55" t="n">
        <f aca="false">N2451-N2471</f>
        <v>-626738.431089864</v>
      </c>
      <c r="P2473" s="55" t="n">
        <f aca="false">SUM(C2473:F2473)</f>
        <v>-2185960.11850166</v>
      </c>
      <c r="Q2473" s="55" t="n">
        <f aca="false">SUM(G2473:J2473)</f>
        <v>-2395153.81760027</v>
      </c>
      <c r="R2473" s="55" t="n">
        <f aca="false">SUM(K2473:N2473)</f>
        <v>-2590005.13927759</v>
      </c>
      <c r="S2473" s="56" t="n">
        <f aca="false">SUM(P2473:R2473)</f>
        <v>-7171119.07537953</v>
      </c>
    </row>
    <row r="2474" customFormat="false" ht="15" hidden="false" customHeight="false" outlineLevel="0" collapsed="false">
      <c r="A2474" s="9" t="s">
        <v>569</v>
      </c>
      <c r="B2474" s="36" t="s">
        <v>125</v>
      </c>
      <c r="C2474" s="55" t="n">
        <f aca="false">0+C2473</f>
        <v>-538351.785714286</v>
      </c>
      <c r="D2474" s="55" t="n">
        <f aca="false">C2474+D2473</f>
        <v>-1039834.49907574</v>
      </c>
      <c r="E2474" s="55" t="n">
        <f aca="false">D2474+E2473</f>
        <v>-1613761.28795062</v>
      </c>
      <c r="F2474" s="55" t="n">
        <f aca="false">E2474+F2473</f>
        <v>-2185960.11850166</v>
      </c>
      <c r="G2474" s="55" t="n">
        <f aca="false">F2474+G2473</f>
        <v>-2775694.87763533</v>
      </c>
      <c r="H2474" s="55" t="n">
        <f aca="false">G2474+H2473</f>
        <v>-3321883.1577506</v>
      </c>
      <c r="I2474" s="55" t="n">
        <f aca="false">H2474+I2473</f>
        <v>-3974734.74973936</v>
      </c>
      <c r="J2474" s="55" t="n">
        <f aca="false">I2474+J2473</f>
        <v>-4581113.93610193</v>
      </c>
      <c r="K2474" s="55" t="n">
        <f aca="false">J2474+K2473</f>
        <v>-5248698.29027212</v>
      </c>
      <c r="L2474" s="55" t="n">
        <f aca="false">K2474+L2473</f>
        <v>-5903507.23976569</v>
      </c>
      <c r="M2474" s="55" t="n">
        <f aca="false">L2474+M2473</f>
        <v>-6544380.64428966</v>
      </c>
      <c r="N2474" s="55" t="n">
        <f aca="false">M2474+N2473</f>
        <v>-7171119.07537953</v>
      </c>
      <c r="P2474" s="55" t="n">
        <f aca="false">F2474</f>
        <v>-2185960.11850166</v>
      </c>
      <c r="Q2474" s="55" t="n">
        <f aca="false">J2474</f>
        <v>-4581113.93610193</v>
      </c>
      <c r="R2474" s="55" t="n">
        <f aca="false">N2474</f>
        <v>-7171119.07537953</v>
      </c>
      <c r="S2474" s="56" t="n">
        <f aca="false">R2474</f>
        <v>-7171119.07537953</v>
      </c>
    </row>
    <row r="2475" customFormat="false" ht="15" hidden="false" customHeight="false" outlineLevel="0" collapsed="false">
      <c r="A2475" s="4" t="s">
        <v>570</v>
      </c>
      <c r="B2475" s="36" t="s">
        <v>107</v>
      </c>
      <c r="C2475" s="57" t="n">
        <f aca="false">1/(1+Assumptions!$H$87)^(C2394/4)</f>
        <v>0.972065420906982</v>
      </c>
      <c r="D2475" s="57" t="n">
        <f aca="false">1/(1+Assumptions!$H$87)^(D2394/4)</f>
        <v>0.944911182523068</v>
      </c>
      <c r="E2475" s="57" t="n">
        <f aca="false">1/(1+Assumptions!$H$87)^(E2394/4)</f>
        <v>0.918515486359</v>
      </c>
      <c r="F2475" s="57" t="n">
        <f aca="false">1/(1+Assumptions!$H$87)^(F2394/4)</f>
        <v>0.892857142857143</v>
      </c>
      <c r="G2475" s="57" t="n">
        <f aca="false">1/(1+Assumptions!$H$87)^(G2394/4)</f>
        <v>0.867915554381234</v>
      </c>
      <c r="H2475" s="57" t="n">
        <f aca="false">1/(1+Assumptions!$H$87)^(H2394/4)</f>
        <v>0.843670698681311</v>
      </c>
      <c r="I2475" s="57" t="n">
        <f aca="false">1/(1+Assumptions!$H$87)^(I2394/4)</f>
        <v>0.820103112820536</v>
      </c>
      <c r="J2475" s="57" t="n">
        <f aca="false">1/(1+Assumptions!$H$87)^(J2394/4)</f>
        <v>0.79719387755102</v>
      </c>
      <c r="K2475" s="57" t="n">
        <f aca="false">1/(1+Assumptions!$H$87)^(K2394/4)</f>
        <v>0.774924602126102</v>
      </c>
      <c r="L2475" s="57" t="n">
        <f aca="false">1/(1+Assumptions!$H$87)^(L2394/4)</f>
        <v>0.753277409536885</v>
      </c>
      <c r="M2475" s="57" t="n">
        <f aca="false">1/(1+Assumptions!$H$87)^(M2394/4)</f>
        <v>0.732234922161193</v>
      </c>
      <c r="N2475" s="57" t="n">
        <f aca="false">1/(1+Assumptions!$H$87)^(N2394/4)</f>
        <v>0.711780247813411</v>
      </c>
      <c r="P2475" s="58"/>
      <c r="Q2475" s="58"/>
      <c r="R2475" s="58"/>
      <c r="S2475" s="59"/>
    </row>
    <row r="2476" customFormat="false" ht="15" hidden="false" customHeight="false" outlineLevel="0" collapsed="false">
      <c r="A2476" s="4" t="s">
        <v>571</v>
      </c>
      <c r="B2476" s="36" t="s">
        <v>125</v>
      </c>
      <c r="C2476" s="54" t="n">
        <f aca="false">(C2451*(1-Assumptions!$H$88)-C2471)*C2475</f>
        <v>-523313.155176383</v>
      </c>
      <c r="D2476" s="54" t="n">
        <f aca="false">(D2451*(1-Assumptions!$H$88)-D2471)*D2475</f>
        <v>-474563.004172618</v>
      </c>
      <c r="E2476" s="54" t="n">
        <f aca="false">(E2451*(1-Assumptions!$H$88)-E2471)*E2475</f>
        <v>-529996.439528247</v>
      </c>
      <c r="F2476" s="54" t="n">
        <f aca="false">(F2451*(1-Assumptions!$H$88)-F2471)*F2475</f>
        <v>-516770.191779101</v>
      </c>
      <c r="G2476" s="54" t="n">
        <f aca="false">(G2451*(1-Assumptions!$H$88)-G2471)*G2475</f>
        <v>-520946.455950543</v>
      </c>
      <c r="H2476" s="54" t="n">
        <f aca="false">(H2451*(1-Assumptions!$H$88)-H2471)*H2475</f>
        <v>-473471.015508569</v>
      </c>
      <c r="I2476" s="54" t="n">
        <f aca="false">(I2451*(1-Assumptions!$H$88)-I2471)*I2475</f>
        <v>-552340.759357246</v>
      </c>
      <c r="J2476" s="54" t="n">
        <f aca="false">(J2451*(1-Assumptions!$H$88)-J2471)*J2475</f>
        <v>-505320.442868226</v>
      </c>
      <c r="K2476" s="54" t="n">
        <f aca="false">(K2451*(1-Assumptions!$H$88)-K2471)*K2475</f>
        <v>-544898.951378736</v>
      </c>
      <c r="L2476" s="54" t="n">
        <f aca="false">(L2451*(1-Assumptions!$H$88)-L2471)*L2475</f>
        <v>-526735.114008307</v>
      </c>
      <c r="M2476" s="54" t="n">
        <f aca="false">(M2451*(1-Assumptions!$H$88)-M2471)*M2475</f>
        <v>-508406.678021794</v>
      </c>
      <c r="N2476" s="54" t="n">
        <f aca="false">(N2451*(1-Assumptions!$H$88)-N2471)*N2475</f>
        <v>-490514.03216486</v>
      </c>
      <c r="P2476" s="55" t="n">
        <f aca="false">SUM(C2476:F2476)</f>
        <v>-2044642.79065635</v>
      </c>
      <c r="Q2476" s="55" t="n">
        <f aca="false">SUM(G2476:J2476)</f>
        <v>-2052078.67368458</v>
      </c>
      <c r="R2476" s="55" t="n">
        <f aca="false">SUM(K2476:N2476)</f>
        <v>-2070554.7755737</v>
      </c>
      <c r="S2476" s="56" t="n">
        <f aca="false">SUM(P2476:R2476)</f>
        <v>-6167276.23991463</v>
      </c>
    </row>
    <row r="2477" customFormat="false" ht="15" hidden="false" customHeight="false" outlineLevel="0" collapsed="false">
      <c r="A2477" s="4" t="s">
        <v>572</v>
      </c>
      <c r="B2477" s="36" t="s">
        <v>125</v>
      </c>
      <c r="C2477" s="54" t="n">
        <f aca="false">(C2471-C2470)*12/(Assumptions!$H$89*Assumptions!$H$76)*Assumptions!$H$90</f>
        <v>372705.082417582</v>
      </c>
      <c r="D2477" s="54" t="n">
        <f aca="false">(D2471-D2470)*12/(Assumptions!$H$89*Assumptions!$H$76)*Assumptions!$H$90</f>
        <v>347257.986035981</v>
      </c>
      <c r="E2477" s="54" t="n">
        <f aca="false">(E2471-E2470)*12/(Assumptions!$H$89*Assumptions!$H$76)*Assumptions!$H$90</f>
        <v>399054.916454492</v>
      </c>
      <c r="F2477" s="54" t="n">
        <f aca="false">(F2471-F2470)*12/(Assumptions!$H$89*Assumptions!$H$76)*Assumptions!$H$90</f>
        <v>401125.619014788</v>
      </c>
      <c r="G2477" s="54" t="n">
        <f aca="false">(G2471-G2470)*12/(Assumptions!$H$89*Assumptions!$H$76)*Assumptions!$H$90</f>
        <v>417146.732492735</v>
      </c>
      <c r="H2477" s="54" t="n">
        <f aca="false">(H2471-H2470)*12/(Assumptions!$H$89*Assumptions!$H$76)*Assumptions!$H$90</f>
        <v>391196.84283078</v>
      </c>
      <c r="I2477" s="54" t="n">
        <f aca="false">(I2471-I2470)*12/(Assumptions!$H$89*Assumptions!$H$76)*Assumptions!$H$90</f>
        <v>470362.372953887</v>
      </c>
      <c r="J2477" s="54" t="n">
        <f aca="false">(J2471-J2470)*12/(Assumptions!$H$89*Assumptions!$H$76)*Assumptions!$H$90</f>
        <v>444692.463368779</v>
      </c>
      <c r="K2477" s="54" t="n">
        <f aca="false">(K2471-K2470)*12/(Assumptions!$H$89*Assumptions!$H$76)*Assumptions!$H$90</f>
        <v>494864.28296191</v>
      </c>
      <c r="L2477" s="54" t="n">
        <f aca="false">(L2471-L2470)*12/(Assumptions!$H$89*Assumptions!$H$76)*Assumptions!$H$90</f>
        <v>495178.67237922</v>
      </c>
      <c r="M2477" s="54" t="n">
        <f aca="false">(M2471-M2470)*12/(Assumptions!$H$89*Assumptions!$H$76)*Assumptions!$H$90</f>
        <v>495117.447380768</v>
      </c>
      <c r="N2477" s="54" t="n">
        <f aca="false">(N2471-N2470)*12/(Assumptions!$H$89*Assumptions!$H$76)*Assumptions!$H$90</f>
        <v>495058.731478411</v>
      </c>
      <c r="P2477" s="55" t="n">
        <f aca="false">SUM(C2477:F2477)</f>
        <v>1520143.60392284</v>
      </c>
      <c r="Q2477" s="55" t="n">
        <f aca="false">SUM(G2477:J2477)</f>
        <v>1723398.41164618</v>
      </c>
      <c r="R2477" s="55" t="n">
        <f aca="false">SUM(K2477:N2477)</f>
        <v>1980219.13420031</v>
      </c>
      <c r="S2477" s="56" t="n">
        <f aca="false">SUM(P2477:R2477)</f>
        <v>5223761.14976933</v>
      </c>
    </row>
    <row r="2478" customFormat="false" ht="15" hidden="false" customHeight="false" outlineLevel="0" collapsed="false">
      <c r="A2478" s="4" t="s">
        <v>573</v>
      </c>
      <c r="B2478" s="36" t="s">
        <v>125</v>
      </c>
      <c r="C2478" s="54" t="n">
        <f aca="false">0*Assumptions!$H$92^(1/4)+C2477</f>
        <v>372705.082417582</v>
      </c>
      <c r="D2478" s="54" t="n">
        <f aca="false">C2478*Assumptions!$H$92^(1/4)+D2477</f>
        <v>720891.357292684</v>
      </c>
      <c r="E2478" s="54" t="n">
        <f aca="false">D2478*Assumptions!$H$92^(1/4)+E2477</f>
        <v>1121741.78293866</v>
      </c>
      <c r="F2478" s="54" t="n">
        <f aca="false">E2478*Assumptions!$H$92^(1/4)+F2477</f>
        <v>1525661.30100822</v>
      </c>
      <c r="G2478" s="54" t="n">
        <f aca="false">F2478*Assumptions!$H$92^(1/4)+G2477</f>
        <v>1946607.96654404</v>
      </c>
      <c r="H2478" s="54" t="n">
        <f aca="false">G2478*Assumptions!$H$92^(1/4)+H2477</f>
        <v>2342653.18557018</v>
      </c>
      <c r="I2478" s="54" t="n">
        <f aca="false">H2478*Assumptions!$H$92^(1/4)+I2477</f>
        <v>2818850.356354</v>
      </c>
      <c r="J2478" s="54" t="n">
        <f aca="false">I2478*Assumptions!$H$92^(1/4)+J2477</f>
        <v>3270563.67199551</v>
      </c>
      <c r="K2478" s="54" t="n">
        <f aca="false">J2478*Assumptions!$H$92^(1/4)+K2477</f>
        <v>3773573.88024143</v>
      </c>
      <c r="L2478" s="54" t="n">
        <f aca="false">K2478*Assumptions!$H$92^(1/4)+L2477</f>
        <v>4278151.31502523</v>
      </c>
      <c r="M2478" s="54" t="n">
        <f aca="false">L2478*Assumptions!$H$92^(1/4)+M2477</f>
        <v>4783924.26538987</v>
      </c>
      <c r="N2478" s="54" t="n">
        <f aca="false">M2478*Assumptions!$H$92^(1/4)+N2477</f>
        <v>5290898.21807737</v>
      </c>
      <c r="P2478" s="55" t="n">
        <f aca="false">F2478</f>
        <v>1525661.30100822</v>
      </c>
      <c r="Q2478" s="55" t="n">
        <f aca="false">J2478</f>
        <v>3270563.67199551</v>
      </c>
      <c r="R2478" s="55" t="n">
        <f aca="false">N2478</f>
        <v>5290898.21807737</v>
      </c>
      <c r="S2478" s="56" t="n">
        <f aca="false">R2478</f>
        <v>5290898.21807737</v>
      </c>
    </row>
    <row r="2479" customFormat="false" ht="15" hidden="false" customHeight="false" outlineLevel="0" collapsed="false">
      <c r="A2479" s="4" t="s">
        <v>574</v>
      </c>
      <c r="B2479" s="36" t="s">
        <v>125</v>
      </c>
      <c r="C2479" s="54" t="n">
        <f aca="false">(0+C2478)/8*Assumptions!$H$76-(C2471-C2470)-C2478*Assumptions!$H$93/4</f>
        <v>-512728.311298077</v>
      </c>
      <c r="D2479" s="54" t="n">
        <f aca="false">(C2478+D2478)/8*Assumptions!$H$76-(D2471-D2470)-D2478*Assumptions!$H$93/4</f>
        <v>-421751.299958339</v>
      </c>
      <c r="E2479" s="54" t="n">
        <f aca="false">(D2478+E2478)/8*Assumptions!$H$76-(E2471-E2470)-E2478*Assumptions!$H$93/4</f>
        <v>-440720.48674387</v>
      </c>
      <c r="F2479" s="54" t="n">
        <f aca="false">(E2478+F2478)/8*Assumptions!$H$76-(F2471-F2470)-F2478*Assumptions!$H$93/4</f>
        <v>-383372.937602168</v>
      </c>
      <c r="G2479" s="54" t="n">
        <f aca="false">(F2478+G2478)/8*Assumptions!$H$76-(G2471-G2470)-G2478*Assumptions!$H$93/4</f>
        <v>-344756.001860463</v>
      </c>
      <c r="H2479" s="54" t="n">
        <f aca="false">(G2478+H2478)/8*Assumptions!$H$76-(H2471-H2470)-H2478*Assumptions!$H$93/4</f>
        <v>-245842.802521474</v>
      </c>
      <c r="I2479" s="54" t="n">
        <f aca="false">(H2478+I2478)/8*Assumptions!$H$76-(I2471-I2470)-I2478*Assumptions!$H$93/4</f>
        <v>-295275.783162033</v>
      </c>
      <c r="J2479" s="54" t="n">
        <f aca="false">(I2478+J2478)/8*Assumptions!$H$76-(J2471-J2470)-J2478*Assumptions!$H$93/4</f>
        <v>-188450.714295894</v>
      </c>
      <c r="K2479" s="54" t="n">
        <f aca="false">(J2478+K2478)/8*Assumptions!$H$76-(K2471-K2470)-K2478*Assumptions!$H$93/4</f>
        <v>-189637.461662081</v>
      </c>
      <c r="L2479" s="54" t="n">
        <f aca="false">(K2478+L2478)/8*Assumptions!$H$76-(L2471-L2470)-L2478*Assumptions!$H$93/4</f>
        <v>-114532.301647939</v>
      </c>
      <c r="M2479" s="54" t="n">
        <f aca="false">(L2478+M2478)/8*Assumptions!$H$76-(M2471-M2470)-M2478*Assumptions!$H$93/4</f>
        <v>-38675.0586253115</v>
      </c>
      <c r="N2479" s="54" t="n">
        <f aca="false">(M2478+N2478)/8*Assumptions!$H$76-(N2471-N2470)-N2478*Assumptions!$H$93/4</f>
        <v>37358.2646980416</v>
      </c>
      <c r="P2479" s="55" t="n">
        <f aca="false">SUM(C2479:F2479)</f>
        <v>-1758573.03560245</v>
      </c>
      <c r="Q2479" s="55" t="n">
        <f aca="false">SUM(G2479:J2479)</f>
        <v>-1074325.30183987</v>
      </c>
      <c r="R2479" s="55" t="n">
        <f aca="false">SUM(K2479:N2479)</f>
        <v>-305486.55723729</v>
      </c>
      <c r="S2479" s="56" t="n">
        <f aca="false">SUM(P2479:R2479)</f>
        <v>-3138384.89467961</v>
      </c>
    </row>
    <row r="2480" customFormat="false" ht="15" hidden="false" customHeight="false" outlineLevel="0" collapsed="false">
      <c r="A2480" s="4" t="s">
        <v>575</v>
      </c>
      <c r="B2480" s="36" t="s">
        <v>125</v>
      </c>
      <c r="C2480" s="54" t="n">
        <f aca="false">C2479*C2475</f>
        <v>-498405.461732891</v>
      </c>
      <c r="D2480" s="54" t="n">
        <f aca="false">D2479*D2475</f>
        <v>-398517.519574275</v>
      </c>
      <c r="E2480" s="54" t="n">
        <f aca="false">E2479*E2475</f>
        <v>-404808.592229921</v>
      </c>
      <c r="F2480" s="54" t="n">
        <f aca="false">F2479*F2475</f>
        <v>-342297.265716222</v>
      </c>
      <c r="G2480" s="54" t="n">
        <f aca="false">G2479*G2475</f>
        <v>-299219.096480982</v>
      </c>
      <c r="H2480" s="54" t="n">
        <f aca="false">H2479*H2475</f>
        <v>-207410.368969064</v>
      </c>
      <c r="I2480" s="54" t="n">
        <f aca="false">I2479*I2475</f>
        <v>-242156.588911705</v>
      </c>
      <c r="J2480" s="54" t="n">
        <f aca="false">J2479*J2475</f>
        <v>-150231.755656804</v>
      </c>
      <c r="K2480" s="54" t="n">
        <f aca="false">K2479*K2475</f>
        <v>-146954.734526692</v>
      </c>
      <c r="L2480" s="54" t="n">
        <f aca="false">L2479*L2475</f>
        <v>-86274.5954936568</v>
      </c>
      <c r="M2480" s="54" t="n">
        <f aca="false">M2479*M2475</f>
        <v>-28319.2285420845</v>
      </c>
      <c r="N2480" s="54" t="n">
        <f aca="false">N2479*N2475</f>
        <v>26590.8749046511</v>
      </c>
      <c r="P2480" s="55" t="n">
        <f aca="false">SUM(C2480:F2480)</f>
        <v>-1644028.83925331</v>
      </c>
      <c r="Q2480" s="55" t="n">
        <f aca="false">SUM(G2480:J2480)</f>
        <v>-899017.810018554</v>
      </c>
      <c r="R2480" s="55" t="n">
        <f aca="false">SUM(K2480:N2480)</f>
        <v>-234957.683657782</v>
      </c>
      <c r="S2480" s="56" t="n">
        <f aca="false">SUM(P2480:R2480)</f>
        <v>-2778004.33292964</v>
      </c>
    </row>
    <row r="2481" customFormat="false" ht="15" hidden="false" customHeight="false" outlineLevel="0" collapsed="false">
      <c r="A2481" s="4" t="s">
        <v>576</v>
      </c>
      <c r="B2481" s="36"/>
      <c r="C2481" s="37" t="n">
        <f aca="false">IFERROR((S2436*$C$2385*Assumptions!$H$59+S2437*$C$2386*Assumptions!$H$60+S2438*$C$2387*Assumptions!$H$61)/(S2436*$C$2385+S2437*$C$2386+S2438*$C$2387),0.9)</f>
        <v>0.894546293898051</v>
      </c>
    </row>
    <row r="2482" customFormat="false" ht="15" hidden="false" customHeight="false" outlineLevel="0" collapsed="false">
      <c r="A2482" s="4" t="s">
        <v>577</v>
      </c>
      <c r="B2482" s="36"/>
      <c r="C2482" s="37" t="n">
        <f aca="false">IFERROR(N2470*4/N2448,0)</f>
        <v>0.220119408360561</v>
      </c>
    </row>
    <row r="2483" customFormat="false" ht="15" hidden="false" customHeight="false" outlineLevel="0" collapsed="false">
      <c r="A2483" s="4" t="s">
        <v>578</v>
      </c>
      <c r="B2483" s="36"/>
      <c r="C2483" s="60" t="n">
        <f aca="false">$C$2481/(1+Assumptions!$H$87)</f>
        <v>0.79870204812326</v>
      </c>
    </row>
    <row r="2484" customFormat="false" ht="15" hidden="false" customHeight="false" outlineLevel="0" collapsed="false">
      <c r="A2484" s="4" t="s">
        <v>579</v>
      </c>
      <c r="B2484" s="36"/>
      <c r="C2484" s="60" t="n">
        <f aca="false">Assumptions!$H$91/(1+Assumptions!$H$87)</f>
        <v>0.803571428571429</v>
      </c>
    </row>
    <row r="2485" customFormat="false" ht="15" hidden="false" customHeight="false" outlineLevel="0" collapsed="false">
      <c r="A2485" s="35" t="s">
        <v>580</v>
      </c>
      <c r="B2485" s="35" t="s">
        <v>444</v>
      </c>
      <c r="C2485" s="6" t="s">
        <v>354</v>
      </c>
      <c r="D2485" s="6" t="s">
        <v>355</v>
      </c>
      <c r="E2485" s="6" t="s">
        <v>356</v>
      </c>
      <c r="F2485" s="6" t="s">
        <v>357</v>
      </c>
      <c r="G2485" s="6" t="s">
        <v>358</v>
      </c>
      <c r="H2485" s="6" t="s">
        <v>359</v>
      </c>
      <c r="I2485" s="6" t="s">
        <v>360</v>
      </c>
      <c r="J2485" s="6" t="s">
        <v>361</v>
      </c>
      <c r="K2485" s="6" t="s">
        <v>362</v>
      </c>
      <c r="L2485" s="6" t="s">
        <v>363</v>
      </c>
      <c r="M2485" s="6" t="s">
        <v>364</v>
      </c>
      <c r="N2485" s="6" t="s">
        <v>365</v>
      </c>
      <c r="P2485" s="6" t="s">
        <v>445</v>
      </c>
      <c r="Q2485" s="6" t="s">
        <v>446</v>
      </c>
      <c r="R2485" s="6" t="s">
        <v>447</v>
      </c>
      <c r="S2485" s="6" t="s">
        <v>448</v>
      </c>
    </row>
    <row r="2486" customFormat="false" ht="15" hidden="false" customHeight="false" outlineLevel="0" collapsed="false">
      <c r="A2486" s="9" t="s">
        <v>581</v>
      </c>
      <c r="C2486" s="61" t="n">
        <f aca="false">N2448</f>
        <v>914355.663776077</v>
      </c>
      <c r="D2486" s="61"/>
    </row>
    <row r="2487" customFormat="false" ht="15" hidden="false" customHeight="false" outlineLevel="0" collapsed="false">
      <c r="A2487" s="9" t="s">
        <v>582</v>
      </c>
      <c r="C2487" s="62" t="n">
        <f aca="false">N2444</f>
        <v>113.804175047752</v>
      </c>
      <c r="D2487" s="62"/>
    </row>
    <row r="2488" customFormat="false" ht="15" hidden="false" customHeight="false" outlineLevel="0" collapsed="false">
      <c r="A2488" s="9" t="s">
        <v>583</v>
      </c>
      <c r="C2488" s="63" t="n">
        <f aca="false">S2439</f>
        <v>127.250158728668</v>
      </c>
      <c r="D2488" s="63"/>
    </row>
    <row r="2489" customFormat="false" ht="15" hidden="false" customHeight="false" outlineLevel="0" collapsed="false">
      <c r="A2489" s="9" t="s">
        <v>584</v>
      </c>
      <c r="C2489" s="61" t="n">
        <f aca="false">S2450</f>
        <v>957081.635442478</v>
      </c>
      <c r="D2489" s="61"/>
    </row>
    <row r="2490" customFormat="false" ht="15" hidden="false" customHeight="false" outlineLevel="0" collapsed="false">
      <c r="A2490" s="9" t="s">
        <v>22</v>
      </c>
      <c r="C2490" s="61" t="n">
        <f aca="false">IFERROR(S2449/S2439,0)</f>
        <v>6868.99080111395</v>
      </c>
      <c r="D2490" s="61"/>
    </row>
    <row r="2491" customFormat="false" ht="15" hidden="false" customHeight="false" outlineLevel="0" collapsed="false">
      <c r="A2491" s="9" t="s">
        <v>585</v>
      </c>
      <c r="C2491" s="61" t="n">
        <f aca="false">IFERROR(S2467/S2439,0)</f>
        <v>53777.1200128304</v>
      </c>
      <c r="D2491" s="61"/>
    </row>
    <row r="2492" customFormat="false" ht="23.85" hidden="false" customHeight="false" outlineLevel="0" collapsed="false">
      <c r="A2492" s="9" t="s">
        <v>586</v>
      </c>
      <c r="C2492" s="61" t="n">
        <f aca="false">IFERROR((S2461+S2463+S2464+S2465+S2466)/S2439,0)</f>
        <v>8513.57838201577</v>
      </c>
      <c r="D2492" s="61"/>
    </row>
    <row r="2493" customFormat="false" ht="15" hidden="false" customHeight="false" outlineLevel="0" collapsed="false">
      <c r="A2493" s="9" t="s">
        <v>587</v>
      </c>
      <c r="C2493" s="64" t="n">
        <f aca="false">IFERROR('Engine Runs'!$C$2491/('Engine Runs'!$C$2490*Assumptions!$H$76/12),0)</f>
        <v>144.534822976708</v>
      </c>
      <c r="D2493" s="64"/>
    </row>
    <row r="2494" customFormat="false" ht="15" hidden="false" customHeight="false" outlineLevel="0" collapsed="false">
      <c r="A2494" s="9" t="s">
        <v>588</v>
      </c>
      <c r="C2494" s="64" t="n">
        <f aca="false">IFERROR((R2467/R2439)/((R2449/R2439)*Assumptions!$H$76/12),0)</f>
        <v>110.905185155125</v>
      </c>
      <c r="D2494" s="64"/>
    </row>
    <row r="2495" customFormat="false" ht="15" hidden="false" customHeight="false" outlineLevel="0" collapsed="false">
      <c r="A2495" s="9" t="s">
        <v>589</v>
      </c>
      <c r="C2495" s="61" t="n">
        <f aca="false">S2471</f>
        <v>7793222.13841714</v>
      </c>
      <c r="D2495" s="61"/>
    </row>
    <row r="2496" customFormat="false" ht="15" hidden="false" customHeight="false" outlineLevel="0" collapsed="false">
      <c r="A2496" s="9" t="s">
        <v>590</v>
      </c>
      <c r="C2496" s="61" t="n">
        <f aca="false">N2474</f>
        <v>-7171119.07537953</v>
      </c>
      <c r="D2496" s="61"/>
    </row>
    <row r="2497" customFormat="false" ht="15" hidden="false" customHeight="false" outlineLevel="0" collapsed="false">
      <c r="A2497" s="9" t="s">
        <v>591</v>
      </c>
      <c r="C2497" s="61" t="n">
        <f aca="false">MIN($C$2474:$N$2474)</f>
        <v>-7171119.07537953</v>
      </c>
      <c r="D2497" s="61"/>
    </row>
    <row r="2498" customFormat="false" ht="15" hidden="false" customHeight="false" outlineLevel="0" collapsed="false">
      <c r="A2498" s="9" t="s">
        <v>592</v>
      </c>
      <c r="C2498" s="61" t="n">
        <f aca="false">N2448*(Assumptions!$H$76-$C$2482)*$C$2481*(1-$C$2481^Assumptions!$H$85)/(1-$C$2481)</f>
        <v>1424361.86772866</v>
      </c>
      <c r="D2498" s="61"/>
    </row>
    <row r="2499" customFormat="false" ht="15" hidden="false" customHeight="false" outlineLevel="0" collapsed="false">
      <c r="A2499" s="9" t="s">
        <v>593</v>
      </c>
      <c r="C2499" s="61" t="n">
        <f aca="false">N2448*(Assumptions!$H$76-$C$2482)*(1-Assumptions!$H$88)/(1+Assumptions!$H$87)^2.5*$C$2483*(1-$C$2483^Assumptions!$H$85)/(1-$C$2483)</f>
        <v>436124.295770718</v>
      </c>
      <c r="D2499" s="61"/>
    </row>
    <row r="2500" customFormat="false" ht="15" hidden="false" customHeight="false" outlineLevel="0" collapsed="false">
      <c r="A2500" s="9" t="s">
        <v>594</v>
      </c>
      <c r="C2500" s="61" t="n">
        <f aca="false">SUM($C$2476:$N$2476)+'Engine Runs'!$C$2499</f>
        <v>-5731151.94414391</v>
      </c>
      <c r="D2500" s="61"/>
    </row>
    <row r="2501" customFormat="false" ht="15" hidden="false" customHeight="false" outlineLevel="0" collapsed="false">
      <c r="A2501" s="9" t="s">
        <v>595</v>
      </c>
      <c r="C2501" s="61" t="n">
        <f aca="false">SUM($C$2480:$N$2480)+N2478*(Assumptions!$H$76-Assumptions!$H$93)/(1+Assumptions!$H$87)^2.5*$C$2484*(1-$C$2484^Assumptions!$H$85)/(1-$C$2484)</f>
        <v>3726855.81985108</v>
      </c>
      <c r="D2501" s="61"/>
    </row>
    <row r="2502" customFormat="false" ht="15" hidden="false" customHeight="false" outlineLevel="0" collapsed="false">
      <c r="A2502" s="9" t="s">
        <v>596</v>
      </c>
      <c r="C2502" s="61" t="n">
        <f aca="false">'Engine Runs'!$C$2500-'Engine Runs'!$C$2501</f>
        <v>-9458007.76399499</v>
      </c>
      <c r="D2502" s="61"/>
    </row>
    <row r="2503" customFormat="false" ht="15" hidden="false" customHeight="false" outlineLevel="0" collapsed="false">
      <c r="A2503" s="9" t="s">
        <v>597</v>
      </c>
      <c r="C2503" s="61" t="n">
        <f aca="false">S2435</f>
        <v>0</v>
      </c>
      <c r="D2503" s="61"/>
    </row>
    <row r="2504" customFormat="false" ht="15" hidden="false" customHeight="false" outlineLevel="0" collapsed="false">
      <c r="A2504" s="9" t="s">
        <v>598</v>
      </c>
      <c r="C2504" s="63" t="n">
        <f aca="false">P2419</f>
        <v>144.038232152361</v>
      </c>
      <c r="D2504" s="63"/>
    </row>
    <row r="2505" customFormat="false" ht="15" hidden="false" customHeight="false" outlineLevel="0" collapsed="false">
      <c r="A2505" s="9" t="s">
        <v>599</v>
      </c>
      <c r="C2505" s="63" t="n">
        <f aca="false">P2439</f>
        <v>17.9834034125201</v>
      </c>
      <c r="D2505" s="63"/>
    </row>
    <row r="2506" customFormat="false" ht="15" hidden="false" customHeight="false" outlineLevel="0" collapsed="false">
      <c r="A2506" s="9" t="s">
        <v>600</v>
      </c>
      <c r="C2506" s="63" t="n">
        <f aca="false">P2415</f>
        <v>54</v>
      </c>
      <c r="D2506" s="63"/>
    </row>
    <row r="2507" customFormat="false" ht="15" hidden="false" customHeight="false" outlineLevel="0" collapsed="false">
      <c r="A2507" s="9" t="s">
        <v>601</v>
      </c>
      <c r="C2507" s="61" t="n">
        <f aca="false">IFERROR(P2449/P2439,0)</f>
        <v>6420.59413938793</v>
      </c>
      <c r="D2507" s="61"/>
    </row>
    <row r="2510" customFormat="false" ht="15" hidden="false" customHeight="true" outlineLevel="0" collapsed="false">
      <c r="A2510" s="77" t="s">
        <v>799</v>
      </c>
      <c r="B2510" s="77"/>
      <c r="C2510" s="77"/>
      <c r="D2510" s="77"/>
      <c r="E2510" s="77"/>
      <c r="F2510" s="77"/>
      <c r="G2510" s="77"/>
      <c r="H2510" s="77"/>
      <c r="I2510" s="77"/>
      <c r="J2510" s="77"/>
      <c r="K2510" s="77"/>
      <c r="L2510" s="77"/>
      <c r="M2510" s="77"/>
      <c r="N2510" s="77"/>
    </row>
    <row r="2511" customFormat="false" ht="23.85" hidden="false" customHeight="false" outlineLevel="0" collapsed="false">
      <c r="A2511" s="35" t="s">
        <v>800</v>
      </c>
      <c r="B2511" s="35" t="s">
        <v>444</v>
      </c>
      <c r="C2511" s="6" t="s">
        <v>354</v>
      </c>
      <c r="D2511" s="6" t="s">
        <v>355</v>
      </c>
      <c r="E2511" s="6" t="s">
        <v>356</v>
      </c>
      <c r="F2511" s="6" t="s">
        <v>357</v>
      </c>
      <c r="G2511" s="6" t="s">
        <v>358</v>
      </c>
      <c r="H2511" s="6" t="s">
        <v>359</v>
      </c>
      <c r="I2511" s="6" t="s">
        <v>360</v>
      </c>
      <c r="J2511" s="6" t="s">
        <v>361</v>
      </c>
      <c r="K2511" s="6" t="s">
        <v>362</v>
      </c>
      <c r="L2511" s="6" t="s">
        <v>363</v>
      </c>
      <c r="M2511" s="6" t="s">
        <v>364</v>
      </c>
      <c r="N2511" s="6" t="s">
        <v>365</v>
      </c>
      <c r="P2511" s="6" t="s">
        <v>445</v>
      </c>
      <c r="Q2511" s="6" t="s">
        <v>446</v>
      </c>
      <c r="R2511" s="6" t="s">
        <v>447</v>
      </c>
      <c r="S2511" s="6" t="s">
        <v>448</v>
      </c>
    </row>
    <row r="2512" customFormat="false" ht="15" hidden="false" customHeight="false" outlineLevel="0" collapsed="false">
      <c r="A2512" s="4" t="s">
        <v>449</v>
      </c>
      <c r="B2512" s="36" t="s">
        <v>450</v>
      </c>
      <c r="C2512" s="34" t="n">
        <f aca="false">'Market Sizing'!$C$20*Assumptions!$I$10*Assumptions!$I$11*(1-Assumptions!$I$12)</f>
        <v>2743.814304</v>
      </c>
    </row>
    <row r="2513" customFormat="false" ht="15" hidden="false" customHeight="false" outlineLevel="0" collapsed="false">
      <c r="A2513" s="4" t="s">
        <v>451</v>
      </c>
      <c r="B2513" s="36" t="s">
        <v>450</v>
      </c>
      <c r="C2513" s="34" t="n">
        <f aca="false">'Market Sizing'!$D$20*Assumptions!$I$10*Assumptions!$I$11*(1-Assumptions!$I$12)</f>
        <v>560.531664</v>
      </c>
    </row>
    <row r="2514" customFormat="false" ht="15" hidden="false" customHeight="false" outlineLevel="0" collapsed="false">
      <c r="A2514" s="4" t="s">
        <v>452</v>
      </c>
      <c r="B2514" s="36" t="s">
        <v>450</v>
      </c>
      <c r="C2514" s="34" t="n">
        <f aca="false">'Market Sizing'!$E$20*Assumptions!$I$10*Assumptions!$I$11*(1-Assumptions!$I$12)</f>
        <v>130.340826</v>
      </c>
    </row>
    <row r="2515" customFormat="false" ht="15" hidden="false" customHeight="false" outlineLevel="0" collapsed="false">
      <c r="A2515" s="4" t="s">
        <v>453</v>
      </c>
      <c r="B2515" s="36"/>
      <c r="C2515" s="34" t="n">
        <f aca="false">$C$2512+$C$2513+$C$2514</f>
        <v>3434.686794</v>
      </c>
    </row>
    <row r="2516" customFormat="false" ht="15" hidden="false" customHeight="false" outlineLevel="0" collapsed="false">
      <c r="A2516" s="4" t="s">
        <v>454</v>
      </c>
      <c r="B2516" s="36" t="s">
        <v>450</v>
      </c>
      <c r="C2516" s="34" t="n">
        <f aca="false">'Market Sizing'!$C$21*Assumptions!$I$10*Assumptions!$I$11*(1-Assumptions!$I$12)</f>
        <v>2711.4875865</v>
      </c>
    </row>
    <row r="2517" customFormat="false" ht="15" hidden="false" customHeight="false" outlineLevel="0" collapsed="false">
      <c r="A2517" s="4" t="s">
        <v>455</v>
      </c>
      <c r="B2517" s="36" t="s">
        <v>450</v>
      </c>
      <c r="C2517" s="34" t="n">
        <f aca="false">'Market Sizing'!$D$21*Assumptions!$I$10*Assumptions!$I$11*(1-Assumptions!$I$12)</f>
        <v>558.515727</v>
      </c>
    </row>
    <row r="2518" customFormat="false" ht="15" hidden="false" customHeight="false" outlineLevel="0" collapsed="false">
      <c r="A2518" s="4" t="s">
        <v>456</v>
      </c>
      <c r="B2518" s="36" t="s">
        <v>450</v>
      </c>
      <c r="C2518" s="34" t="n">
        <f aca="false">'Market Sizing'!$E$21*Assumptions!$I$10*Assumptions!$I$11*(1-Assumptions!$I$12)</f>
        <v>114.174522</v>
      </c>
    </row>
    <row r="2519" customFormat="false" ht="15" hidden="false" customHeight="false" outlineLevel="0" collapsed="false">
      <c r="A2519" s="4" t="s">
        <v>457</v>
      </c>
      <c r="B2519" s="36"/>
      <c r="C2519" s="34" t="n">
        <f aca="false">$C$2516+$C$2517+$C$2518</f>
        <v>3384.1778355</v>
      </c>
    </row>
    <row r="2520" customFormat="false" ht="15" hidden="false" customHeight="false" outlineLevel="0" collapsed="false">
      <c r="A2520" s="4" t="s">
        <v>458</v>
      </c>
      <c r="B2520" s="36" t="s">
        <v>450</v>
      </c>
      <c r="C2520" s="34" t="n">
        <f aca="false">'Market Sizing'!$C$22*Assumptions!$I$10*Assumptions!$I$11*(1-Assumptions!$I$12)</f>
        <v>2796.4244385</v>
      </c>
    </row>
    <row r="2521" customFormat="false" ht="15" hidden="false" customHeight="false" outlineLevel="0" collapsed="false">
      <c r="A2521" s="4" t="s">
        <v>459</v>
      </c>
      <c r="B2521" s="36" t="s">
        <v>450</v>
      </c>
      <c r="C2521" s="34" t="n">
        <f aca="false">'Market Sizing'!$D$22*Assumptions!$I$10*Assumptions!$I$11*(1-Assumptions!$I$12)</f>
        <v>714.600117</v>
      </c>
    </row>
    <row r="2522" customFormat="false" ht="15" hidden="false" customHeight="false" outlineLevel="0" collapsed="false">
      <c r="A2522" s="4" t="s">
        <v>460</v>
      </c>
      <c r="B2522" s="36" t="s">
        <v>450</v>
      </c>
      <c r="C2522" s="34" t="n">
        <f aca="false">'Market Sizing'!$E$22*Assumptions!$I$10*Assumptions!$I$11*(1-Assumptions!$I$12)</f>
        <v>150.548706</v>
      </c>
    </row>
    <row r="2523" customFormat="false" ht="15" hidden="false" customHeight="false" outlineLevel="0" collapsed="false">
      <c r="A2523" s="4" t="s">
        <v>461</v>
      </c>
      <c r="B2523" s="36"/>
      <c r="C2523" s="34" t="n">
        <f aca="false">$C$2520+$C$2521+$C$2522</f>
        <v>3661.5732615</v>
      </c>
    </row>
    <row r="2524" customFormat="false" ht="15" hidden="false" customHeight="false" outlineLevel="0" collapsed="false">
      <c r="A2524" s="4" t="s">
        <v>462</v>
      </c>
      <c r="B2524" s="36" t="s">
        <v>463</v>
      </c>
      <c r="C2524" s="33" t="n">
        <f aca="false">MAX((Assumptions!$I$51+Assumptions!$I$53)*12,(((('Market Sizing'!$E$28*Assumptions!$I$41*Assumptions!$I$42*Assumptions!$I$43)*Assumptions!$I$44)*Assumptions!$I$45*Assumptions!$I$46+('Market Sizing'!$E$28*Assumptions!$I$41*Assumptions!$I$42*Assumptions!$I$43)*Assumptions!$I$47+('Market Sizing'!$E$28*Assumptions!$I$41*Assumptions!$I$42*Assumptions!$I$43)*Assumptions!$I$48*Assumptions!$I$49)*(Assumptions!$I$51*12/Assumptions!$I$52)+((('Market Sizing'!$E$28*Assumptions!$I$41*Assumptions!$I$42*Assumptions!$I$43)*Assumptions!$I$44)*Assumptions!$I$45+('Market Sizing'!$E$28*Assumptions!$I$41*Assumptions!$I$42*Assumptions!$I$43)+('Market Sizing'!$E$28*Assumptions!$I$41*Assumptions!$I$42*Assumptions!$I$43)*Assumptions!$I$48)*Assumptions!$I$50*(Assumptions!$I$53*12/Assumptions!$I$54)))</f>
        <v>5352</v>
      </c>
    </row>
    <row r="2525" customFormat="false" ht="15" hidden="false" customHeight="false" outlineLevel="0" collapsed="false">
      <c r="A2525" s="4" t="s">
        <v>464</v>
      </c>
      <c r="B2525" s="36" t="s">
        <v>463</v>
      </c>
      <c r="C2525" s="33" t="n">
        <f aca="false">MAX((Assumptions!$I$51+Assumptions!$I$53)*12,(((('Market Sizing'!$E$29*Assumptions!$I$41*Assumptions!$I$42*Assumptions!$I$43)*Assumptions!$I$44)*Assumptions!$I$45*Assumptions!$I$46+('Market Sizing'!$E$29*Assumptions!$I$41*Assumptions!$I$42*Assumptions!$I$43)*Assumptions!$I$47+('Market Sizing'!$E$29*Assumptions!$I$41*Assumptions!$I$42*Assumptions!$I$43)*Assumptions!$I$48*Assumptions!$I$49)*(Assumptions!$I$51*12/Assumptions!$I$52)+((('Market Sizing'!$E$29*Assumptions!$I$41*Assumptions!$I$42*Assumptions!$I$43)*Assumptions!$I$44)*Assumptions!$I$45+('Market Sizing'!$E$29*Assumptions!$I$41*Assumptions!$I$42*Assumptions!$I$43)+('Market Sizing'!$E$29*Assumptions!$I$41*Assumptions!$I$42*Assumptions!$I$43)*Assumptions!$I$48)*Assumptions!$I$50*(Assumptions!$I$53*12/Assumptions!$I$54)))</f>
        <v>5352</v>
      </c>
    </row>
    <row r="2526" customFormat="false" ht="15" hidden="false" customHeight="false" outlineLevel="0" collapsed="false">
      <c r="A2526" s="4" t="s">
        <v>465</v>
      </c>
      <c r="B2526" s="36" t="s">
        <v>463</v>
      </c>
      <c r="C2526" s="33" t="n">
        <f aca="false">MAX(Assumptions!$I$55*(Assumptions!$I$51*12/Assumptions!$I$52)+Assumptions!$I$56*(Assumptions!$I$53*12/Assumptions!$I$54),(((('Market Sizing'!$E$30*Assumptions!$I$41*Assumptions!$I$42*Assumptions!$I$43)*Assumptions!$I$44)*Assumptions!$I$45*Assumptions!$I$46+('Market Sizing'!$E$30*Assumptions!$I$41*Assumptions!$I$42*Assumptions!$I$43)*Assumptions!$I$47+('Market Sizing'!$E$30*Assumptions!$I$41*Assumptions!$I$42*Assumptions!$I$43)*Assumptions!$I$48*Assumptions!$I$49)*(Assumptions!$I$51*12/Assumptions!$I$52)+((('Market Sizing'!$E$30*Assumptions!$I$41*Assumptions!$I$42*Assumptions!$I$43)*Assumptions!$I$44)*Assumptions!$I$45+('Market Sizing'!$E$30*Assumptions!$I$41*Assumptions!$I$42*Assumptions!$I$43)+('Market Sizing'!$E$30*Assumptions!$I$41*Assumptions!$I$42*Assumptions!$I$43)*Assumptions!$I$48)*Assumptions!$I$50*(Assumptions!$I$53*12/Assumptions!$I$54)))*(1-Assumptions!$I$57)</f>
        <v>44310</v>
      </c>
    </row>
    <row r="2527" customFormat="false" ht="23.85" hidden="false" customHeight="false" outlineLevel="0" collapsed="false">
      <c r="A2527" s="4" t="s">
        <v>466</v>
      </c>
      <c r="B2527" s="36" t="s">
        <v>467</v>
      </c>
      <c r="C2527" s="37" t="n">
        <f aca="false">Assumptions!$I$17*Assumptions!$E$106</f>
        <v>0.5</v>
      </c>
    </row>
    <row r="2528" customFormat="false" ht="23.85" hidden="false" customHeight="false" outlineLevel="0" collapsed="false">
      <c r="A2528" s="4" t="s">
        <v>468</v>
      </c>
      <c r="B2528" s="36" t="s">
        <v>469</v>
      </c>
      <c r="C2528" s="33" t="n">
        <f aca="false">Assumptions!$I$68/Assumptions!$I$69</f>
        <v>285714.285714286</v>
      </c>
    </row>
    <row r="2529" customFormat="false" ht="23.85" hidden="false" customHeight="false" outlineLevel="0" collapsed="false">
      <c r="A2529" s="4" t="s">
        <v>470</v>
      </c>
      <c r="B2529" s="36" t="s">
        <v>471</v>
      </c>
      <c r="C2529" s="33" t="n">
        <f aca="false">Assumptions!$I$66*Assumptions!$I$67/4</f>
        <v>185937.5</v>
      </c>
    </row>
    <row r="2530" customFormat="false" ht="15" hidden="false" customHeight="false" outlineLevel="0" collapsed="false">
      <c r="A2530" s="4" t="s">
        <v>472</v>
      </c>
      <c r="B2530" s="36"/>
      <c r="C2530" s="38" t="n">
        <f aca="false">$C$2528/Assumptions!$I$66/Assumptions!$I$67</f>
        <v>0.384153661464586</v>
      </c>
    </row>
    <row r="2531" customFormat="false" ht="15" hidden="false" customHeight="false" outlineLevel="0" collapsed="false">
      <c r="A2531" s="4" t="s">
        <v>473</v>
      </c>
      <c r="B2531" s="36"/>
      <c r="C2531" s="33" t="n">
        <f aca="false">MAX(0,Assumptions!$E$103-Assumptions!$I$78)</f>
        <v>35000</v>
      </c>
    </row>
    <row r="2532" customFormat="false" ht="15" hidden="false" customHeight="false" outlineLevel="0" collapsed="false">
      <c r="A2532" s="35" t="s">
        <v>474</v>
      </c>
      <c r="B2532" s="35" t="s">
        <v>444</v>
      </c>
      <c r="C2532" s="6" t="s">
        <v>354</v>
      </c>
      <c r="D2532" s="6" t="s">
        <v>355</v>
      </c>
      <c r="E2532" s="6" t="s">
        <v>356</v>
      </c>
      <c r="F2532" s="6" t="s">
        <v>357</v>
      </c>
      <c r="G2532" s="6" t="s">
        <v>358</v>
      </c>
      <c r="H2532" s="6" t="s">
        <v>359</v>
      </c>
      <c r="I2532" s="6" t="s">
        <v>360</v>
      </c>
      <c r="J2532" s="6" t="s">
        <v>361</v>
      </c>
      <c r="K2532" s="6" t="s">
        <v>362</v>
      </c>
      <c r="L2532" s="6" t="s">
        <v>363</v>
      </c>
      <c r="M2532" s="6" t="s">
        <v>364</v>
      </c>
      <c r="N2532" s="6" t="s">
        <v>365</v>
      </c>
      <c r="P2532" s="6" t="s">
        <v>445</v>
      </c>
      <c r="Q2532" s="6" t="s">
        <v>446</v>
      </c>
      <c r="R2532" s="6" t="s">
        <v>447</v>
      </c>
      <c r="S2532" s="6" t="s">
        <v>448</v>
      </c>
    </row>
    <row r="2533" customFormat="false" ht="15" hidden="false" customHeight="false" outlineLevel="0" collapsed="false">
      <c r="A2533" s="4" t="s">
        <v>475</v>
      </c>
      <c r="B2533" s="36" t="s">
        <v>133</v>
      </c>
      <c r="C2533" s="39" t="n">
        <v>1</v>
      </c>
      <c r="D2533" s="39" t="n">
        <v>2</v>
      </c>
      <c r="E2533" s="39" t="n">
        <v>3</v>
      </c>
      <c r="F2533" s="39" t="n">
        <v>4</v>
      </c>
      <c r="G2533" s="39" t="n">
        <v>5</v>
      </c>
      <c r="H2533" s="39" t="n">
        <v>6</v>
      </c>
      <c r="I2533" s="39" t="n">
        <v>7</v>
      </c>
      <c r="J2533" s="39" t="n">
        <v>8</v>
      </c>
      <c r="K2533" s="39" t="n">
        <v>9</v>
      </c>
      <c r="L2533" s="39" t="n">
        <v>10</v>
      </c>
      <c r="M2533" s="39" t="n">
        <v>11</v>
      </c>
      <c r="N2533" s="39" t="n">
        <v>12</v>
      </c>
      <c r="P2533" s="40"/>
      <c r="Q2533" s="40"/>
      <c r="R2533" s="40"/>
      <c r="S2533" s="41"/>
    </row>
    <row r="2534" customFormat="false" ht="15" hidden="false" customHeight="false" outlineLevel="0" collapsed="false">
      <c r="A2534" s="4" t="s">
        <v>476</v>
      </c>
      <c r="B2534" s="36" t="s">
        <v>343</v>
      </c>
      <c r="C2534" s="39" t="n">
        <f aca="false">IF(C2533&lt;=Assumptions!$I$84,1,0)</f>
        <v>1</v>
      </c>
      <c r="D2534" s="39" t="n">
        <f aca="false">IF(D2533&lt;=Assumptions!$I$84,1,0)</f>
        <v>1</v>
      </c>
      <c r="E2534" s="39" t="n">
        <f aca="false">IF(E2533&lt;=Assumptions!$I$84,1,0)</f>
        <v>1</v>
      </c>
      <c r="F2534" s="39" t="n">
        <f aca="false">IF(F2533&lt;=Assumptions!$I$84,1,0)</f>
        <v>1</v>
      </c>
      <c r="G2534" s="39" t="n">
        <f aca="false">IF(G2533&lt;=Assumptions!$I$84,1,0)</f>
        <v>1</v>
      </c>
      <c r="H2534" s="39" t="n">
        <f aca="false">IF(H2533&lt;=Assumptions!$I$84,1,0)</f>
        <v>1</v>
      </c>
      <c r="I2534" s="39" t="n">
        <f aca="false">IF(I2533&lt;=Assumptions!$I$84,1,0)</f>
        <v>1</v>
      </c>
      <c r="J2534" s="39" t="n">
        <f aca="false">IF(J2533&lt;=Assumptions!$I$84,1,0)</f>
        <v>1</v>
      </c>
      <c r="K2534" s="39" t="n">
        <f aca="false">IF(K2533&lt;=Assumptions!$I$84,1,0)</f>
        <v>1</v>
      </c>
      <c r="L2534" s="39" t="n">
        <f aca="false">IF(L2533&lt;=Assumptions!$I$84,1,0)</f>
        <v>1</v>
      </c>
      <c r="M2534" s="39" t="n">
        <f aca="false">IF(M2533&lt;=Assumptions!$I$84,1,0)</f>
        <v>1</v>
      </c>
      <c r="N2534" s="39" t="n">
        <f aca="false">IF(N2533&lt;=Assumptions!$I$84,1,0)</f>
        <v>1</v>
      </c>
      <c r="P2534" s="40"/>
      <c r="Q2534" s="40"/>
      <c r="R2534" s="40"/>
      <c r="S2534" s="41"/>
    </row>
    <row r="2535" customFormat="false" ht="15" hidden="false" customHeight="false" outlineLevel="0" collapsed="false">
      <c r="A2535" s="4" t="s">
        <v>477</v>
      </c>
      <c r="B2535" s="36" t="s">
        <v>478</v>
      </c>
      <c r="C2535" s="42" t="n">
        <f aca="false">IF(C2533=Assumptions!$I$13,0.5,IF(C2533&gt;Assumptions!$I$13,1,0))</f>
        <v>0.5</v>
      </c>
      <c r="D2535" s="42" t="n">
        <f aca="false">IF(D2533=Assumptions!$I$13,0.5,IF(D2533&gt;Assumptions!$I$13,1,0))</f>
        <v>1</v>
      </c>
      <c r="E2535" s="42" t="n">
        <f aca="false">IF(E2533=Assumptions!$I$13,0.5,IF(E2533&gt;Assumptions!$I$13,1,0))</f>
        <v>1</v>
      </c>
      <c r="F2535" s="42" t="n">
        <f aca="false">IF(F2533=Assumptions!$I$13,0.5,IF(F2533&gt;Assumptions!$I$13,1,0))</f>
        <v>1</v>
      </c>
      <c r="G2535" s="42" t="n">
        <f aca="false">IF(G2533=Assumptions!$I$13,0.5,IF(G2533&gt;Assumptions!$I$13,1,0))</f>
        <v>1</v>
      </c>
      <c r="H2535" s="42" t="n">
        <f aca="false">IF(H2533=Assumptions!$I$13,0.5,IF(H2533&gt;Assumptions!$I$13,1,0))</f>
        <v>1</v>
      </c>
      <c r="I2535" s="42" t="n">
        <f aca="false">IF(I2533=Assumptions!$I$13,0.5,IF(I2533&gt;Assumptions!$I$13,1,0))</f>
        <v>1</v>
      </c>
      <c r="J2535" s="42" t="n">
        <f aca="false">IF(J2533=Assumptions!$I$13,0.5,IF(J2533&gt;Assumptions!$I$13,1,0))</f>
        <v>1</v>
      </c>
      <c r="K2535" s="42" t="n">
        <f aca="false">IF(K2533=Assumptions!$I$13,0.5,IF(K2533&gt;Assumptions!$I$13,1,0))</f>
        <v>1</v>
      </c>
      <c r="L2535" s="42" t="n">
        <f aca="false">IF(L2533=Assumptions!$I$13,0.5,IF(L2533&gt;Assumptions!$I$13,1,0))</f>
        <v>1</v>
      </c>
      <c r="M2535" s="42" t="n">
        <f aca="false">IF(M2533=Assumptions!$I$13,0.5,IF(M2533&gt;Assumptions!$I$13,1,0))</f>
        <v>1</v>
      </c>
      <c r="N2535" s="42" t="n">
        <f aca="false">IF(N2533=Assumptions!$I$13,0.5,IF(N2533&gt;Assumptions!$I$13,1,0))</f>
        <v>1</v>
      </c>
      <c r="P2535" s="43"/>
      <c r="Q2535" s="43"/>
      <c r="R2535" s="43"/>
      <c r="S2535" s="44"/>
    </row>
    <row r="2536" customFormat="false" ht="15" hidden="false" customHeight="false" outlineLevel="0" collapsed="false">
      <c r="A2536" s="4" t="s">
        <v>479</v>
      </c>
      <c r="B2536" s="36" t="s">
        <v>478</v>
      </c>
      <c r="C2536" s="42" t="n">
        <f aca="false">IF(C2533=Assumptions!$I$14,0.5,IF(C2533&gt;Assumptions!$I$14,1,0))</f>
        <v>0</v>
      </c>
      <c r="D2536" s="42" t="n">
        <f aca="false">IF(D2533=Assumptions!$I$14,0.5,IF(D2533&gt;Assumptions!$I$14,1,0))</f>
        <v>0</v>
      </c>
      <c r="E2536" s="42" t="n">
        <f aca="false">IF(E2533=Assumptions!$I$14,0.5,IF(E2533&gt;Assumptions!$I$14,1,0))</f>
        <v>0</v>
      </c>
      <c r="F2536" s="42" t="n">
        <f aca="false">IF(F2533=Assumptions!$I$14,0.5,IF(F2533&gt;Assumptions!$I$14,1,0))</f>
        <v>0.5</v>
      </c>
      <c r="G2536" s="42" t="n">
        <f aca="false">IF(G2533=Assumptions!$I$14,0.5,IF(G2533&gt;Assumptions!$I$14,1,0))</f>
        <v>1</v>
      </c>
      <c r="H2536" s="42" t="n">
        <f aca="false">IF(H2533=Assumptions!$I$14,0.5,IF(H2533&gt;Assumptions!$I$14,1,0))</f>
        <v>1</v>
      </c>
      <c r="I2536" s="42" t="n">
        <f aca="false">IF(I2533=Assumptions!$I$14,0.5,IF(I2533&gt;Assumptions!$I$14,1,0))</f>
        <v>1</v>
      </c>
      <c r="J2536" s="42" t="n">
        <f aca="false">IF(J2533=Assumptions!$I$14,0.5,IF(J2533&gt;Assumptions!$I$14,1,0))</f>
        <v>1</v>
      </c>
      <c r="K2536" s="42" t="n">
        <f aca="false">IF(K2533=Assumptions!$I$14,0.5,IF(K2533&gt;Assumptions!$I$14,1,0))</f>
        <v>1</v>
      </c>
      <c r="L2536" s="42" t="n">
        <f aca="false">IF(L2533=Assumptions!$I$14,0.5,IF(L2533&gt;Assumptions!$I$14,1,0))</f>
        <v>1</v>
      </c>
      <c r="M2536" s="42" t="n">
        <f aca="false">IF(M2533=Assumptions!$I$14,0.5,IF(M2533&gt;Assumptions!$I$14,1,0))</f>
        <v>1</v>
      </c>
      <c r="N2536" s="42" t="n">
        <f aca="false">IF(N2533=Assumptions!$I$14,0.5,IF(N2533&gt;Assumptions!$I$14,1,0))</f>
        <v>1</v>
      </c>
      <c r="P2536" s="43"/>
      <c r="Q2536" s="43"/>
      <c r="R2536" s="43"/>
      <c r="S2536" s="44"/>
    </row>
    <row r="2537" customFormat="false" ht="15" hidden="false" customHeight="false" outlineLevel="0" collapsed="false">
      <c r="A2537" s="4" t="s">
        <v>480</v>
      </c>
      <c r="B2537" s="36" t="s">
        <v>478</v>
      </c>
      <c r="C2537" s="42" t="n">
        <f aca="false">IF(C2533=Assumptions!$I$15,0.5,IF(C2533&gt;Assumptions!$I$15,1,0))</f>
        <v>0</v>
      </c>
      <c r="D2537" s="42" t="n">
        <f aca="false">IF(D2533=Assumptions!$I$15,0.5,IF(D2533&gt;Assumptions!$I$15,1,0))</f>
        <v>0</v>
      </c>
      <c r="E2537" s="42" t="n">
        <f aca="false">IF(E2533=Assumptions!$I$15,0.5,IF(E2533&gt;Assumptions!$I$15,1,0))</f>
        <v>0</v>
      </c>
      <c r="F2537" s="42" t="n">
        <f aca="false">IF(F2533=Assumptions!$I$15,0.5,IF(F2533&gt;Assumptions!$I$15,1,0))</f>
        <v>0</v>
      </c>
      <c r="G2537" s="42" t="n">
        <f aca="false">IF(G2533=Assumptions!$I$15,0.5,IF(G2533&gt;Assumptions!$I$15,1,0))</f>
        <v>0</v>
      </c>
      <c r="H2537" s="42" t="n">
        <f aca="false">IF(H2533=Assumptions!$I$15,0.5,IF(H2533&gt;Assumptions!$I$15,1,0))</f>
        <v>0.5</v>
      </c>
      <c r="I2537" s="42" t="n">
        <f aca="false">IF(I2533=Assumptions!$I$15,0.5,IF(I2533&gt;Assumptions!$I$15,1,0))</f>
        <v>1</v>
      </c>
      <c r="J2537" s="42" t="n">
        <f aca="false">IF(J2533=Assumptions!$I$15,0.5,IF(J2533&gt;Assumptions!$I$15,1,0))</f>
        <v>1</v>
      </c>
      <c r="K2537" s="42" t="n">
        <f aca="false">IF(K2533=Assumptions!$I$15,0.5,IF(K2533&gt;Assumptions!$I$15,1,0))</f>
        <v>1</v>
      </c>
      <c r="L2537" s="42" t="n">
        <f aca="false">IF(L2533=Assumptions!$I$15,0.5,IF(L2533&gt;Assumptions!$I$15,1,0))</f>
        <v>1</v>
      </c>
      <c r="M2537" s="42" t="n">
        <f aca="false">IF(M2533=Assumptions!$I$15,0.5,IF(M2533&gt;Assumptions!$I$15,1,0))</f>
        <v>1</v>
      </c>
      <c r="N2537" s="42" t="n">
        <f aca="false">IF(N2533=Assumptions!$I$15,0.5,IF(N2533&gt;Assumptions!$I$15,1,0))</f>
        <v>1</v>
      </c>
      <c r="P2537" s="43"/>
      <c r="Q2537" s="43"/>
      <c r="R2537" s="43"/>
      <c r="S2537" s="44"/>
    </row>
    <row r="2538" customFormat="false" ht="15" hidden="false" customHeight="false" outlineLevel="0" collapsed="false">
      <c r="A2538" s="4" t="s">
        <v>481</v>
      </c>
      <c r="B2538" s="36" t="s">
        <v>478</v>
      </c>
      <c r="C2538" s="45" t="n">
        <f aca="false">Assumptions!$I$21^(MAX(0,C2533-Assumptions!$I$13)/4)</f>
        <v>1</v>
      </c>
      <c r="D2538" s="45" t="n">
        <f aca="false">Assumptions!$I$21^(MAX(0,D2533-Assumptions!$I$13)/4)</f>
        <v>0.960184589404188</v>
      </c>
      <c r="E2538" s="45" t="n">
        <f aca="false">Assumptions!$I$21^(MAX(0,E2533-Assumptions!$I$13)/4)</f>
        <v>0.921954445729289</v>
      </c>
      <c r="F2538" s="45" t="n">
        <f aca="false">Assumptions!$I$21^(MAX(0,F2533-Assumptions!$I$13)/4)</f>
        <v>0.885246450921943</v>
      </c>
      <c r="G2538" s="45" t="n">
        <f aca="false">Assumptions!$I$21^(MAX(0,G2533-Assumptions!$I$13)/4)</f>
        <v>0.85</v>
      </c>
      <c r="H2538" s="45" t="n">
        <f aca="false">Assumptions!$I$21^(MAX(0,H2533-Assumptions!$I$13)/4)</f>
        <v>0.81615690099356</v>
      </c>
      <c r="I2538" s="45" t="n">
        <f aca="false">Assumptions!$I$21^(MAX(0,I2533-Assumptions!$I$13)/4)</f>
        <v>0.783661278869895</v>
      </c>
      <c r="J2538" s="45" t="n">
        <f aca="false">Assumptions!$I$21^(MAX(0,J2533-Assumptions!$I$13)/4)</f>
        <v>0.752459483283651</v>
      </c>
      <c r="K2538" s="45" t="n">
        <f aca="false">Assumptions!$I$21^(MAX(0,K2533-Assumptions!$I$13)/4)</f>
        <v>0.7225</v>
      </c>
      <c r="L2538" s="45" t="n">
        <f aca="false">Assumptions!$I$21^(MAX(0,L2533-Assumptions!$I$13)/4)</f>
        <v>0.693733365844526</v>
      </c>
      <c r="M2538" s="45" t="n">
        <f aca="false">Assumptions!$I$21^(MAX(0,M2533-Assumptions!$I$13)/4)</f>
        <v>0.666112087039411</v>
      </c>
      <c r="N2538" s="45" t="n">
        <f aca="false">Assumptions!$I$21^(MAX(0,N2533-Assumptions!$I$13)/4)</f>
        <v>0.639590560791104</v>
      </c>
      <c r="P2538" s="46"/>
      <c r="Q2538" s="46"/>
      <c r="R2538" s="46"/>
      <c r="S2538" s="47"/>
    </row>
    <row r="2539" customFormat="false" ht="15" hidden="false" customHeight="false" outlineLevel="0" collapsed="false">
      <c r="A2539" s="4" t="s">
        <v>482</v>
      </c>
      <c r="B2539" s="36" t="s">
        <v>478</v>
      </c>
      <c r="C2539" s="45" t="n">
        <f aca="false">Assumptions!$I$21^(MAX(0,C2533-Assumptions!$I$14)/4)</f>
        <v>1</v>
      </c>
      <c r="D2539" s="45" t="n">
        <f aca="false">Assumptions!$I$21^(MAX(0,D2533-Assumptions!$I$14)/4)</f>
        <v>1</v>
      </c>
      <c r="E2539" s="45" t="n">
        <f aca="false">Assumptions!$I$21^(MAX(0,E2533-Assumptions!$I$14)/4)</f>
        <v>1</v>
      </c>
      <c r="F2539" s="45" t="n">
        <f aca="false">Assumptions!$I$21^(MAX(0,F2533-Assumptions!$I$14)/4)</f>
        <v>1</v>
      </c>
      <c r="G2539" s="45" t="n">
        <f aca="false">Assumptions!$I$21^(MAX(0,G2533-Assumptions!$I$14)/4)</f>
        <v>0.960184589404188</v>
      </c>
      <c r="H2539" s="45" t="n">
        <f aca="false">Assumptions!$I$21^(MAX(0,H2533-Assumptions!$I$14)/4)</f>
        <v>0.921954445729289</v>
      </c>
      <c r="I2539" s="45" t="n">
        <f aca="false">Assumptions!$I$21^(MAX(0,I2533-Assumptions!$I$14)/4)</f>
        <v>0.885246450921943</v>
      </c>
      <c r="J2539" s="45" t="n">
        <f aca="false">Assumptions!$I$21^(MAX(0,J2533-Assumptions!$I$14)/4)</f>
        <v>0.85</v>
      </c>
      <c r="K2539" s="45" t="n">
        <f aca="false">Assumptions!$I$21^(MAX(0,K2533-Assumptions!$I$14)/4)</f>
        <v>0.81615690099356</v>
      </c>
      <c r="L2539" s="45" t="n">
        <f aca="false">Assumptions!$I$21^(MAX(0,L2533-Assumptions!$I$14)/4)</f>
        <v>0.783661278869895</v>
      </c>
      <c r="M2539" s="45" t="n">
        <f aca="false">Assumptions!$I$21^(MAX(0,M2533-Assumptions!$I$14)/4)</f>
        <v>0.752459483283651</v>
      </c>
      <c r="N2539" s="45" t="n">
        <f aca="false">Assumptions!$I$21^(MAX(0,N2533-Assumptions!$I$14)/4)</f>
        <v>0.7225</v>
      </c>
      <c r="P2539" s="46"/>
      <c r="Q2539" s="46"/>
      <c r="R2539" s="46"/>
      <c r="S2539" s="47"/>
    </row>
    <row r="2540" customFormat="false" ht="15" hidden="false" customHeight="false" outlineLevel="0" collapsed="false">
      <c r="A2540" s="4" t="s">
        <v>483</v>
      </c>
      <c r="B2540" s="36" t="s">
        <v>478</v>
      </c>
      <c r="C2540" s="45" t="n">
        <f aca="false">Assumptions!$I$21^(MAX(0,C2533-Assumptions!$I$15)/4)</f>
        <v>1</v>
      </c>
      <c r="D2540" s="45" t="n">
        <f aca="false">Assumptions!$I$21^(MAX(0,D2533-Assumptions!$I$15)/4)</f>
        <v>1</v>
      </c>
      <c r="E2540" s="45" t="n">
        <f aca="false">Assumptions!$I$21^(MAX(0,E2533-Assumptions!$I$15)/4)</f>
        <v>1</v>
      </c>
      <c r="F2540" s="45" t="n">
        <f aca="false">Assumptions!$I$21^(MAX(0,F2533-Assumptions!$I$15)/4)</f>
        <v>1</v>
      </c>
      <c r="G2540" s="45" t="n">
        <f aca="false">Assumptions!$I$21^(MAX(0,G2533-Assumptions!$I$15)/4)</f>
        <v>1</v>
      </c>
      <c r="H2540" s="45" t="n">
        <f aca="false">Assumptions!$I$21^(MAX(0,H2533-Assumptions!$I$15)/4)</f>
        <v>1</v>
      </c>
      <c r="I2540" s="45" t="n">
        <f aca="false">Assumptions!$I$21^(MAX(0,I2533-Assumptions!$I$15)/4)</f>
        <v>0.960184589404188</v>
      </c>
      <c r="J2540" s="45" t="n">
        <f aca="false">Assumptions!$I$21^(MAX(0,J2533-Assumptions!$I$15)/4)</f>
        <v>0.921954445729289</v>
      </c>
      <c r="K2540" s="45" t="n">
        <f aca="false">Assumptions!$I$21^(MAX(0,K2533-Assumptions!$I$15)/4)</f>
        <v>0.885246450921943</v>
      </c>
      <c r="L2540" s="45" t="n">
        <f aca="false">Assumptions!$I$21^(MAX(0,L2533-Assumptions!$I$15)/4)</f>
        <v>0.85</v>
      </c>
      <c r="M2540" s="45" t="n">
        <f aca="false">Assumptions!$I$21^(MAX(0,M2533-Assumptions!$I$15)/4)</f>
        <v>0.81615690099356</v>
      </c>
      <c r="N2540" s="45" t="n">
        <f aca="false">Assumptions!$I$21^(MAX(0,N2533-Assumptions!$I$15)/4)</f>
        <v>0.783661278869895</v>
      </c>
      <c r="P2540" s="46"/>
      <c r="Q2540" s="46"/>
      <c r="R2540" s="46"/>
      <c r="S2540" s="47"/>
    </row>
    <row r="2541" customFormat="false" ht="15" hidden="false" customHeight="false" outlineLevel="0" collapsed="false">
      <c r="A2541" s="4" t="s">
        <v>484</v>
      </c>
      <c r="B2541" s="36" t="s">
        <v>485</v>
      </c>
      <c r="C2541" s="39" t="n">
        <f aca="false">$C$2512*C2535+$C$2516*C2536+$C$2520*C2537</f>
        <v>1371.907152</v>
      </c>
      <c r="D2541" s="39" t="n">
        <f aca="false">$C$2512*D2535+$C$2516*D2536+$C$2520*D2537</f>
        <v>2743.814304</v>
      </c>
      <c r="E2541" s="39" t="n">
        <f aca="false">$C$2512*E2535+$C$2516*E2536+$C$2520*E2537</f>
        <v>2743.814304</v>
      </c>
      <c r="F2541" s="39" t="n">
        <f aca="false">$C$2512*F2535+$C$2516*F2536+$C$2520*F2537</f>
        <v>4099.55809725</v>
      </c>
      <c r="G2541" s="39" t="n">
        <f aca="false">$C$2512*G2535+$C$2516*G2536+$C$2520*G2537</f>
        <v>5455.3018905</v>
      </c>
      <c r="H2541" s="39" t="n">
        <f aca="false">$C$2512*H2535+$C$2516*H2536+$C$2520*H2537</f>
        <v>6853.51410975</v>
      </c>
      <c r="I2541" s="39" t="n">
        <f aca="false">$C$2512*I2535+$C$2516*I2536+$C$2520*I2537</f>
        <v>8251.726329</v>
      </c>
      <c r="J2541" s="39" t="n">
        <f aca="false">$C$2512*J2535+$C$2516*J2536+$C$2520*J2537</f>
        <v>8251.726329</v>
      </c>
      <c r="K2541" s="39" t="n">
        <f aca="false">$C$2512*K2535+$C$2516*K2536+$C$2520*K2537</f>
        <v>8251.726329</v>
      </c>
      <c r="L2541" s="39" t="n">
        <f aca="false">$C$2512*L2535+$C$2516*L2536+$C$2520*L2537</f>
        <v>8251.726329</v>
      </c>
      <c r="M2541" s="39" t="n">
        <f aca="false">$C$2512*M2535+$C$2516*M2536+$C$2520*M2537</f>
        <v>8251.726329</v>
      </c>
      <c r="N2541" s="39" t="n">
        <f aca="false">$C$2512*N2535+$C$2516*N2536+$C$2520*N2537</f>
        <v>8251.726329</v>
      </c>
      <c r="P2541" s="40" t="n">
        <f aca="false">F2541</f>
        <v>4099.55809725</v>
      </c>
      <c r="Q2541" s="40" t="n">
        <f aca="false">J2541</f>
        <v>8251.726329</v>
      </c>
      <c r="R2541" s="40" t="n">
        <f aca="false">N2541</f>
        <v>8251.726329</v>
      </c>
      <c r="S2541" s="41" t="n">
        <f aca="false">R2541</f>
        <v>8251.726329</v>
      </c>
    </row>
    <row r="2542" customFormat="false" ht="15" hidden="false" customHeight="false" outlineLevel="0" collapsed="false">
      <c r="A2542" s="4" t="s">
        <v>486</v>
      </c>
      <c r="B2542" s="36" t="s">
        <v>485</v>
      </c>
      <c r="C2542" s="39" t="n">
        <f aca="false">$C$2513*C2535+$C$2517*C2536+$C$2521*C2537</f>
        <v>280.265832</v>
      </c>
      <c r="D2542" s="39" t="n">
        <f aca="false">$C$2513*D2535+$C$2517*D2536+$C$2521*D2537</f>
        <v>560.531664</v>
      </c>
      <c r="E2542" s="39" t="n">
        <f aca="false">$C$2513*E2535+$C$2517*E2536+$C$2521*E2537</f>
        <v>560.531664</v>
      </c>
      <c r="F2542" s="39" t="n">
        <f aca="false">$C$2513*F2535+$C$2517*F2536+$C$2521*F2537</f>
        <v>839.7895275</v>
      </c>
      <c r="G2542" s="39" t="n">
        <f aca="false">$C$2513*G2535+$C$2517*G2536+$C$2521*G2537</f>
        <v>1119.047391</v>
      </c>
      <c r="H2542" s="39" t="n">
        <f aca="false">$C$2513*H2535+$C$2517*H2536+$C$2521*H2537</f>
        <v>1476.3474495</v>
      </c>
      <c r="I2542" s="39" t="n">
        <f aca="false">$C$2513*I2535+$C$2517*I2536+$C$2521*I2537</f>
        <v>1833.647508</v>
      </c>
      <c r="J2542" s="39" t="n">
        <f aca="false">$C$2513*J2535+$C$2517*J2536+$C$2521*J2537</f>
        <v>1833.647508</v>
      </c>
      <c r="K2542" s="39" t="n">
        <f aca="false">$C$2513*K2535+$C$2517*K2536+$C$2521*K2537</f>
        <v>1833.647508</v>
      </c>
      <c r="L2542" s="39" t="n">
        <f aca="false">$C$2513*L2535+$C$2517*L2536+$C$2521*L2537</f>
        <v>1833.647508</v>
      </c>
      <c r="M2542" s="39" t="n">
        <f aca="false">$C$2513*M2535+$C$2517*M2536+$C$2521*M2537</f>
        <v>1833.647508</v>
      </c>
      <c r="N2542" s="39" t="n">
        <f aca="false">$C$2513*N2535+$C$2517*N2536+$C$2521*N2537</f>
        <v>1833.647508</v>
      </c>
      <c r="P2542" s="40" t="n">
        <f aca="false">F2542</f>
        <v>839.7895275</v>
      </c>
      <c r="Q2542" s="40" t="n">
        <f aca="false">J2542</f>
        <v>1833.647508</v>
      </c>
      <c r="R2542" s="40" t="n">
        <f aca="false">N2542</f>
        <v>1833.647508</v>
      </c>
      <c r="S2542" s="41" t="n">
        <f aca="false">R2542</f>
        <v>1833.647508</v>
      </c>
    </row>
    <row r="2543" customFormat="false" ht="15" hidden="false" customHeight="false" outlineLevel="0" collapsed="false">
      <c r="A2543" s="4" t="s">
        <v>487</v>
      </c>
      <c r="B2543" s="36" t="s">
        <v>485</v>
      </c>
      <c r="C2543" s="39" t="n">
        <f aca="false">$C$2514*C2535+$C$2518*C2536+$C$2522*C2537</f>
        <v>65.170413</v>
      </c>
      <c r="D2543" s="39" t="n">
        <f aca="false">$C$2514*D2535+$C$2518*D2536+$C$2522*D2537</f>
        <v>130.340826</v>
      </c>
      <c r="E2543" s="39" t="n">
        <f aca="false">$C$2514*E2535+$C$2518*E2536+$C$2522*E2537</f>
        <v>130.340826</v>
      </c>
      <c r="F2543" s="39" t="n">
        <f aca="false">$C$2514*F2535+$C$2518*F2536+$C$2522*F2537</f>
        <v>187.428087</v>
      </c>
      <c r="G2543" s="39" t="n">
        <f aca="false">$C$2514*G2535+$C$2518*G2536+$C$2522*G2537</f>
        <v>244.515348</v>
      </c>
      <c r="H2543" s="39" t="n">
        <f aca="false">$C$2514*H2535+$C$2518*H2536+$C$2522*H2537</f>
        <v>319.789701</v>
      </c>
      <c r="I2543" s="39" t="n">
        <f aca="false">$C$2514*I2535+$C$2518*I2536+$C$2522*I2537</f>
        <v>395.064054</v>
      </c>
      <c r="J2543" s="39" t="n">
        <f aca="false">$C$2514*J2535+$C$2518*J2536+$C$2522*J2537</f>
        <v>395.064054</v>
      </c>
      <c r="K2543" s="39" t="n">
        <f aca="false">$C$2514*K2535+$C$2518*K2536+$C$2522*K2537</f>
        <v>395.064054</v>
      </c>
      <c r="L2543" s="39" t="n">
        <f aca="false">$C$2514*L2535+$C$2518*L2536+$C$2522*L2537</f>
        <v>395.064054</v>
      </c>
      <c r="M2543" s="39" t="n">
        <f aca="false">$C$2514*M2535+$C$2518*M2536+$C$2522*M2537</f>
        <v>395.064054</v>
      </c>
      <c r="N2543" s="39" t="n">
        <f aca="false">$C$2514*N2535+$C$2518*N2536+$C$2522*N2537</f>
        <v>395.064054</v>
      </c>
      <c r="P2543" s="40" t="n">
        <f aca="false">F2543</f>
        <v>187.428087</v>
      </c>
      <c r="Q2543" s="40" t="n">
        <f aca="false">J2543</f>
        <v>395.064054</v>
      </c>
      <c r="R2543" s="40" t="n">
        <f aca="false">N2543</f>
        <v>395.064054</v>
      </c>
      <c r="S2543" s="41" t="n">
        <f aca="false">R2543</f>
        <v>395.064054</v>
      </c>
    </row>
    <row r="2544" customFormat="false" ht="15" hidden="false" customHeight="false" outlineLevel="0" collapsed="false">
      <c r="A2544" s="4" t="s">
        <v>488</v>
      </c>
      <c r="B2544" s="36" t="s">
        <v>485</v>
      </c>
      <c r="C2544" s="39" t="n">
        <f aca="false">C2541+C2542+C2543</f>
        <v>1717.343397</v>
      </c>
      <c r="D2544" s="39" t="n">
        <f aca="false">D2541+D2542+D2543</f>
        <v>3434.686794</v>
      </c>
      <c r="E2544" s="39" t="n">
        <f aca="false">E2541+E2542+E2543</f>
        <v>3434.686794</v>
      </c>
      <c r="F2544" s="39" t="n">
        <f aca="false">F2541+F2542+F2543</f>
        <v>5126.77571175</v>
      </c>
      <c r="G2544" s="39" t="n">
        <f aca="false">G2541+G2542+G2543</f>
        <v>6818.8646295</v>
      </c>
      <c r="H2544" s="39" t="n">
        <f aca="false">H2541+H2542+H2543</f>
        <v>8649.65126025</v>
      </c>
      <c r="I2544" s="39" t="n">
        <f aca="false">I2541+I2542+I2543</f>
        <v>10480.437891</v>
      </c>
      <c r="J2544" s="39" t="n">
        <f aca="false">J2541+J2542+J2543</f>
        <v>10480.437891</v>
      </c>
      <c r="K2544" s="39" t="n">
        <f aca="false">K2541+K2542+K2543</f>
        <v>10480.437891</v>
      </c>
      <c r="L2544" s="39" t="n">
        <f aca="false">L2541+L2542+L2543</f>
        <v>10480.437891</v>
      </c>
      <c r="M2544" s="39" t="n">
        <f aca="false">M2541+M2542+M2543</f>
        <v>10480.437891</v>
      </c>
      <c r="N2544" s="39" t="n">
        <f aca="false">N2541+N2542+N2543</f>
        <v>10480.437891</v>
      </c>
      <c r="P2544" s="40" t="n">
        <f aca="false">F2544</f>
        <v>5126.77571175</v>
      </c>
      <c r="Q2544" s="40" t="n">
        <f aca="false">J2544</f>
        <v>10480.437891</v>
      </c>
      <c r="R2544" s="40" t="n">
        <f aca="false">N2544</f>
        <v>10480.437891</v>
      </c>
      <c r="S2544" s="41" t="n">
        <f aca="false">R2544</f>
        <v>10480.437891</v>
      </c>
    </row>
    <row r="2545" customFormat="false" ht="15" hidden="false" customHeight="false" outlineLevel="0" collapsed="false">
      <c r="A2545" s="4" t="s">
        <v>489</v>
      </c>
      <c r="B2545" s="36" t="s">
        <v>485</v>
      </c>
      <c r="C2545" s="39" t="n">
        <f aca="false">$C$2515*C2535*C2538+$C$2519*C2536*C2539+$C$2523*C2537*C2540</f>
        <v>1717.343397</v>
      </c>
      <c r="D2545" s="39" t="n">
        <f aca="false">$C$2515*D2535*D2538+$C$2519*D2536*D2539+$C$2523*D2537*D2540</f>
        <v>3297.93332902888</v>
      </c>
      <c r="E2545" s="39" t="n">
        <f aca="false">$C$2515*E2535*E2538+$C$2519*E2536*E2539+$C$2523*E2537*E2540</f>
        <v>3166.62475941598</v>
      </c>
      <c r="F2545" s="39" t="n">
        <f aca="false">$C$2515*F2535*F2538+$C$2519*F2536*F2539+$C$2523*F2537*F2540</f>
        <v>4732.63321216697</v>
      </c>
      <c r="G2545" s="39" t="n">
        <f aca="false">$C$2515*G2535*G2538+$C$2519*G2536*G2539+$C$2523*G2537*G2540</f>
        <v>6168.91918035032</v>
      </c>
      <c r="H2545" s="39" t="n">
        <f aca="false">$C$2515*H2535*H2538+$C$2519*H2536*H2539+$C$2523*H2537*H2540</f>
        <v>7754.08776100229</v>
      </c>
      <c r="I2545" s="39" t="n">
        <f aca="false">$C$2515*I2535*I2538+$C$2519*I2536*I2539+$C$2523*I2537*I2540</f>
        <v>9203.24868233539</v>
      </c>
      <c r="J2545" s="39" t="n">
        <f aca="false">$C$2515*J2535*J2538+$C$2519*J2536*J2539+$C$2523*J2537*J2540</f>
        <v>8836.81755723284</v>
      </c>
      <c r="K2545" s="39" t="n">
        <f aca="false">$C$2515*K2535*K2538+$C$2519*K2536*K2539+$C$2523*K2537*K2540</f>
        <v>8484.97603783133</v>
      </c>
      <c r="L2545" s="39" t="n">
        <f aca="false">$C$2515*L2535*L2538+$C$2519*L2536*L2539+$C$2523*L2537*L2540</f>
        <v>8147.14323298945</v>
      </c>
      <c r="M2545" s="39" t="n">
        <f aca="false">$C$2515*M2535*M2538+$C$2519*M2536*M2539+$C$2523*M2537*M2540</f>
        <v>7822.76137998508</v>
      </c>
      <c r="N2545" s="39" t="n">
        <f aca="false">$C$2515*N2535*N2538+$C$2519*N2536*N2539+$C$2523*N2537*N2540</f>
        <v>7511.29492364791</v>
      </c>
      <c r="P2545" s="40"/>
      <c r="Q2545" s="40"/>
      <c r="R2545" s="40"/>
      <c r="S2545" s="41"/>
    </row>
    <row r="2546" customFormat="false" ht="15" hidden="false" customHeight="false" outlineLevel="0" collapsed="false">
      <c r="A2546" s="4" t="s">
        <v>490</v>
      </c>
      <c r="B2546" s="36" t="s">
        <v>491</v>
      </c>
      <c r="C2546" s="48" t="n">
        <f aca="false">$C$2527*Assumptions!$I$20*C2534*C2545</f>
        <v>30.0535094475</v>
      </c>
      <c r="D2546" s="48" t="n">
        <f aca="false">$C$2527*Assumptions!$I$20*D2534*D2545</f>
        <v>57.7138332580053</v>
      </c>
      <c r="E2546" s="48" t="n">
        <f aca="false">$C$2527*Assumptions!$I$20*E2534*E2545</f>
        <v>55.4159332897796</v>
      </c>
      <c r="F2546" s="48" t="n">
        <f aca="false">$C$2527*Assumptions!$I$20*F2534*F2545</f>
        <v>82.8210812129219</v>
      </c>
      <c r="G2546" s="48" t="n">
        <f aca="false">$C$2527*Assumptions!$I$20*G2534*G2545</f>
        <v>107.956085656131</v>
      </c>
      <c r="H2546" s="48" t="n">
        <f aca="false">$C$2527*Assumptions!$I$20*H2534*H2545</f>
        <v>135.69653581754</v>
      </c>
      <c r="I2546" s="48" t="n">
        <f aca="false">$C$2527*Assumptions!$I$20*I2534*I2545</f>
        <v>161.056851940869</v>
      </c>
      <c r="J2546" s="48" t="n">
        <f aca="false">$C$2527*Assumptions!$I$20*J2534*J2545</f>
        <v>154.644307251575</v>
      </c>
      <c r="K2546" s="48" t="n">
        <f aca="false">$C$2527*Assumptions!$I$20*K2534*K2545</f>
        <v>148.487080662048</v>
      </c>
      <c r="L2546" s="48" t="n">
        <f aca="false">$C$2527*Assumptions!$I$20*L2534*L2545</f>
        <v>142.575006577315</v>
      </c>
      <c r="M2546" s="48" t="n">
        <f aca="false">$C$2527*Assumptions!$I$20*M2534*M2545</f>
        <v>136.898324149739</v>
      </c>
      <c r="N2546" s="48" t="n">
        <f aca="false">$C$2527*Assumptions!$I$20*N2534*N2545</f>
        <v>131.447661163838</v>
      </c>
      <c r="P2546" s="49" t="n">
        <f aca="false">SUM(C2546:F2546)</f>
        <v>226.004357208207</v>
      </c>
      <c r="Q2546" s="49" t="n">
        <f aca="false">SUM(G2546:J2546)</f>
        <v>559.353780666115</v>
      </c>
      <c r="R2546" s="49" t="n">
        <f aca="false">SUM(K2546:N2546)</f>
        <v>559.408072552941</v>
      </c>
      <c r="S2546" s="50" t="n">
        <f aca="false">SUM(P2546:R2546)</f>
        <v>1344.76621042726</v>
      </c>
    </row>
    <row r="2547" customFormat="false" ht="15" hidden="false" customHeight="false" outlineLevel="0" collapsed="false">
      <c r="A2547" s="4" t="s">
        <v>492</v>
      </c>
      <c r="B2547" s="36" t="s">
        <v>321</v>
      </c>
      <c r="C2547" s="48" t="n">
        <f aca="false">Assumptions!$D$112</f>
        <v>2</v>
      </c>
      <c r="D2547" s="48" t="n">
        <f aca="false">Assumptions!$E$112</f>
        <v>2</v>
      </c>
      <c r="E2547" s="48" t="n">
        <f aca="false">Assumptions!$F$112</f>
        <v>3</v>
      </c>
      <c r="F2547" s="48" t="n">
        <f aca="false">Assumptions!$G$112</f>
        <v>3</v>
      </c>
      <c r="G2547" s="48" t="n">
        <f aca="false">Assumptions!$H$112</f>
        <v>4</v>
      </c>
      <c r="H2547" s="48" t="n">
        <f aca="false">Assumptions!$I$112</f>
        <v>4</v>
      </c>
      <c r="I2547" s="48" t="n">
        <f aca="false">Assumptions!$J$112</f>
        <v>5</v>
      </c>
      <c r="J2547" s="48" t="n">
        <f aca="false">Assumptions!$K$112</f>
        <v>5</v>
      </c>
      <c r="K2547" s="48" t="n">
        <f aca="false">Assumptions!$L$112</f>
        <v>6</v>
      </c>
      <c r="L2547" s="48" t="n">
        <f aca="false">Assumptions!$M$112</f>
        <v>6</v>
      </c>
      <c r="M2547" s="48" t="n">
        <f aca="false">Assumptions!$N$112</f>
        <v>6</v>
      </c>
      <c r="N2547" s="48" t="n">
        <f aca="false">Assumptions!$O$112</f>
        <v>6</v>
      </c>
      <c r="P2547" s="49" t="n">
        <f aca="false">F2547</f>
        <v>3</v>
      </c>
      <c r="Q2547" s="49" t="n">
        <f aca="false">J2547</f>
        <v>5</v>
      </c>
      <c r="R2547" s="49" t="n">
        <f aca="false">N2547</f>
        <v>6</v>
      </c>
      <c r="S2547" s="50" t="n">
        <f aca="false">R2547</f>
        <v>6</v>
      </c>
    </row>
    <row r="2548" customFormat="false" ht="15" hidden="false" customHeight="false" outlineLevel="0" collapsed="false">
      <c r="A2548" s="4" t="s">
        <v>493</v>
      </c>
      <c r="B2548" s="36" t="s">
        <v>321</v>
      </c>
      <c r="C2548" s="48" t="n">
        <f aca="false">0</f>
        <v>0</v>
      </c>
      <c r="D2548" s="48" t="n">
        <f aca="false">0.5*C2547</f>
        <v>1</v>
      </c>
      <c r="E2548" s="48" t="n">
        <f aca="false">C2547+0.5*(D2547-C2547)</f>
        <v>2</v>
      </c>
      <c r="F2548" s="48" t="n">
        <f aca="false">D2547+0.5*(E2547-D2547)</f>
        <v>2.5</v>
      </c>
      <c r="G2548" s="48" t="n">
        <f aca="false">E2547+0.5*(F2547-E2547)</f>
        <v>3</v>
      </c>
      <c r="H2548" s="48" t="n">
        <f aca="false">F2547+0.5*(G2547-F2547)</f>
        <v>3.5</v>
      </c>
      <c r="I2548" s="48" t="n">
        <f aca="false">G2547+0.5*(H2547-G2547)</f>
        <v>4</v>
      </c>
      <c r="J2548" s="48" t="n">
        <f aca="false">H2547+0.5*(I2547-H2547)</f>
        <v>4.5</v>
      </c>
      <c r="K2548" s="48" t="n">
        <f aca="false">I2547+0.5*(J2547-I2547)</f>
        <v>5</v>
      </c>
      <c r="L2548" s="48" t="n">
        <f aca="false">J2547+0.5*(K2547-J2547)</f>
        <v>5.5</v>
      </c>
      <c r="M2548" s="48" t="n">
        <f aca="false">K2547+0.5*(L2547-K2547)</f>
        <v>6</v>
      </c>
      <c r="N2548" s="48" t="n">
        <f aca="false">L2547+0.5*(M2547-L2547)</f>
        <v>6</v>
      </c>
      <c r="P2548" s="49" t="n">
        <f aca="false">F2548</f>
        <v>2.5</v>
      </c>
      <c r="Q2548" s="49" t="n">
        <f aca="false">J2548</f>
        <v>4.5</v>
      </c>
      <c r="R2548" s="49" t="n">
        <f aca="false">N2548</f>
        <v>6</v>
      </c>
      <c r="S2548" s="50" t="n">
        <f aca="false">R2548</f>
        <v>6</v>
      </c>
    </row>
    <row r="2549" customFormat="false" ht="15" hidden="false" customHeight="false" outlineLevel="0" collapsed="false">
      <c r="A2549" s="4" t="s">
        <v>494</v>
      </c>
      <c r="B2549" s="36" t="s">
        <v>485</v>
      </c>
      <c r="C2549" s="39" t="n">
        <f aca="false">MIN(C2548*Assumptions!$I$38,C2544*(1-$C$2527))</f>
        <v>0</v>
      </c>
      <c r="D2549" s="39" t="n">
        <f aca="false">MIN(D2548*Assumptions!$I$38,D2544*(1-$C$2527))</f>
        <v>200</v>
      </c>
      <c r="E2549" s="39" t="n">
        <f aca="false">MIN(E2548*Assumptions!$I$38,E2544*(1-$C$2527))</f>
        <v>400</v>
      </c>
      <c r="F2549" s="39" t="n">
        <f aca="false">MIN(F2548*Assumptions!$I$38,F2544*(1-$C$2527))</f>
        <v>500</v>
      </c>
      <c r="G2549" s="39" t="n">
        <f aca="false">MIN(G2548*Assumptions!$I$38,G2544*(1-$C$2527))</f>
        <v>600</v>
      </c>
      <c r="H2549" s="39" t="n">
        <f aca="false">MIN(H2548*Assumptions!$I$38,H2544*(1-$C$2527))</f>
        <v>700</v>
      </c>
      <c r="I2549" s="39" t="n">
        <f aca="false">MIN(I2548*Assumptions!$I$38,I2544*(1-$C$2527))</f>
        <v>800</v>
      </c>
      <c r="J2549" s="39" t="n">
        <f aca="false">MIN(J2548*Assumptions!$I$38,J2544*(1-$C$2527))</f>
        <v>900</v>
      </c>
      <c r="K2549" s="39" t="n">
        <f aca="false">MIN(K2548*Assumptions!$I$38,K2544*(1-$C$2527))</f>
        <v>1000</v>
      </c>
      <c r="L2549" s="39" t="n">
        <f aca="false">MIN(L2548*Assumptions!$I$38,L2544*(1-$C$2527))</f>
        <v>1100</v>
      </c>
      <c r="M2549" s="39" t="n">
        <f aca="false">MIN(M2548*Assumptions!$I$38,M2544*(1-$C$2527))</f>
        <v>1200</v>
      </c>
      <c r="N2549" s="39" t="n">
        <f aca="false">MIN(N2548*Assumptions!$I$38,N2544*(1-$C$2527))</f>
        <v>1200</v>
      </c>
      <c r="P2549" s="40" t="n">
        <f aca="false">SUM(C2549:F2549)</f>
        <v>1100</v>
      </c>
      <c r="Q2549" s="40" t="n">
        <f aca="false">SUM(G2549:J2549)</f>
        <v>3000</v>
      </c>
      <c r="R2549" s="40" t="n">
        <f aca="false">SUM(K2549:N2549)</f>
        <v>4500</v>
      </c>
      <c r="S2549" s="41" t="n">
        <f aca="false">SUM(P2549:R2549)</f>
        <v>8600</v>
      </c>
    </row>
    <row r="2550" customFormat="false" ht="15" hidden="false" customHeight="false" outlineLevel="0" collapsed="false">
      <c r="A2550" s="4" t="s">
        <v>495</v>
      </c>
      <c r="B2550" s="36" t="s">
        <v>491</v>
      </c>
      <c r="C2550" s="48" t="n">
        <f aca="false">C2549*Assumptions!$I$20*Assumptions!$I$39*IF(C2544&gt;0,C2545/C2544,0)*C2534</f>
        <v>0</v>
      </c>
      <c r="D2550" s="48" t="n">
        <f aca="false">D2549*Assumptions!$I$20*Assumptions!$I$39*IF(D2544&gt;0,D2545/D2544,0)*D2534</f>
        <v>11.7622612202013</v>
      </c>
      <c r="E2550" s="48" t="n">
        <f aca="false">E2549*Assumptions!$I$20*Assumptions!$I$39*IF(E2544&gt;0,E2545/E2544,0)*E2534</f>
        <v>22.5878839203676</v>
      </c>
      <c r="F2550" s="48" t="n">
        <f aca="false">F2549*Assumptions!$I$20*Assumptions!$I$39*IF(F2544&gt;0,F2545/F2544,0)*F2534</f>
        <v>28.2705739965246</v>
      </c>
      <c r="G2550" s="48" t="n">
        <f aca="false">G2549*Assumptions!$I$20*Assumptions!$I$39*IF(G2544&gt;0,G2545/G2544,0)*G2534</f>
        <v>33.2471448248266</v>
      </c>
      <c r="H2550" s="48" t="n">
        <f aca="false">H2549*Assumptions!$I$20*Assumptions!$I$39*IF(H2544&gt;0,H2545/H2544,0)*H2534</f>
        <v>38.4358285380588</v>
      </c>
      <c r="I2550" s="48" t="n">
        <f aca="false">I2549*Assumptions!$I$20*Assumptions!$I$39*IF(I2544&gt;0,I2545/I2544,0)*I2534</f>
        <v>43.0286587377892</v>
      </c>
      <c r="J2550" s="48" t="n">
        <f aca="false">J2549*Assumptions!$I$20*Assumptions!$I$39*IF(J2544&gt;0,J2545/J2544,0)*J2534</f>
        <v>46.4798869006017</v>
      </c>
      <c r="K2550" s="48" t="n">
        <f aca="false">K2549*Assumptions!$I$20*Assumptions!$I$39*IF(K2544&gt;0,K2545/K2544,0)*K2534</f>
        <v>49.5880790213414</v>
      </c>
      <c r="L2550" s="48" t="n">
        <f aca="false">L2549*Assumptions!$I$20*Assumptions!$I$39*IF(L2544&gt;0,L2545/L2544,0)*L2534</f>
        <v>52.3750802238941</v>
      </c>
      <c r="M2550" s="48" t="n">
        <f aca="false">M2549*Assumptions!$I$20*Assumptions!$I$39*IF(M2544&gt;0,M2545/M2544,0)*M2534</f>
        <v>54.8615398906812</v>
      </c>
      <c r="N2550" s="48" t="n">
        <f aca="false">N2549*Assumptions!$I$20*Assumptions!$I$39*IF(N2544&gt;0,N2545/N2544,0)*N2534</f>
        <v>52.6772051540152</v>
      </c>
      <c r="P2550" s="49" t="n">
        <f aca="false">SUM(C2550:F2550)</f>
        <v>62.6207191370935</v>
      </c>
      <c r="Q2550" s="49" t="n">
        <f aca="false">SUM(G2550:J2550)</f>
        <v>161.191519001276</v>
      </c>
      <c r="R2550" s="49" t="n">
        <f aca="false">SUM(K2550:N2550)</f>
        <v>209.501904289932</v>
      </c>
      <c r="S2550" s="50" t="n">
        <f aca="false">SUM(P2550:R2550)</f>
        <v>433.314142428302</v>
      </c>
    </row>
    <row r="2551" customFormat="false" ht="15" hidden="false" customHeight="false" outlineLevel="0" collapsed="false">
      <c r="A2551" s="4" t="s">
        <v>496</v>
      </c>
      <c r="B2551" s="36" t="s">
        <v>497</v>
      </c>
      <c r="C2551" s="48" t="n">
        <f aca="false">IF(AND(C2544&gt;0,$C$2531&gt;0),C2544*Assumptions!$I$24*(1-EXP(-$C$2531/(Assumptions!$I$23*C2544*Assumptions!$I$24))),0)</f>
        <v>48.1174953108304</v>
      </c>
      <c r="D2551" s="48" t="n">
        <f aca="false">IF(AND(D2544&gt;0,$C$2531&gt;0),D2544*Assumptions!$I$24*(1-EXP(-$C$2531/(Assumptions!$I$23*D2544*Assumptions!$I$24))),0)</f>
        <v>76.5593936263128</v>
      </c>
      <c r="E2551" s="48" t="n">
        <f aca="false">IF(AND(E2544&gt;0,$C$2531&gt;0),E2544*Assumptions!$I$24*(1-EXP(-$C$2531/(Assumptions!$I$23*E2544*Assumptions!$I$24))),0)</f>
        <v>76.5593936263128</v>
      </c>
      <c r="F2551" s="48" t="n">
        <f aca="false">IF(AND(F2544&gt;0,$C$2531&gt;0),F2544*Assumptions!$I$24*(1-EXP(-$C$2531/(Assumptions!$I$23*F2544*Assumptions!$I$24))),0)</f>
        <v>91.9094346356399</v>
      </c>
      <c r="G2551" s="48" t="n">
        <f aca="false">IF(AND(G2544&gt;0,$C$2531&gt;0),G2544*Assumptions!$I$24*(1-EXP(-$C$2531/(Assumptions!$I$23*G2544*Assumptions!$I$24))),0)</f>
        <v>101.381871442853</v>
      </c>
      <c r="H2551" s="48" t="n">
        <f aca="false">IF(AND(H2544&gt;0,$C$2531&gt;0),H2544*Assumptions!$I$24*(1-EXP(-$C$2531/(Assumptions!$I$23*H2544*Assumptions!$I$24))),0)</f>
        <v>108.199980787402</v>
      </c>
      <c r="I2551" s="48" t="n">
        <f aca="false">IF(AND(I2544&gt;0,$C$2531&gt;0),I2544*Assumptions!$I$24*(1-EXP(-$C$2531/(Assumptions!$I$23*I2544*Assumptions!$I$24))),0)</f>
        <v>112.984768120579</v>
      </c>
      <c r="J2551" s="48" t="n">
        <f aca="false">IF(AND(J2544&gt;0,$C$2531&gt;0),J2544*Assumptions!$I$24*(1-EXP(-$C$2531/(Assumptions!$I$23*J2544*Assumptions!$I$24))),0)</f>
        <v>112.984768120579</v>
      </c>
      <c r="K2551" s="48" t="n">
        <f aca="false">IF(AND(K2544&gt;0,$C$2531&gt;0),K2544*Assumptions!$I$24*(1-EXP(-$C$2531/(Assumptions!$I$23*K2544*Assumptions!$I$24))),0)</f>
        <v>112.984768120579</v>
      </c>
      <c r="L2551" s="48" t="n">
        <f aca="false">IF(AND(L2544&gt;0,$C$2531&gt;0),L2544*Assumptions!$I$24*(1-EXP(-$C$2531/(Assumptions!$I$23*L2544*Assumptions!$I$24))),0)</f>
        <v>112.984768120579</v>
      </c>
      <c r="M2551" s="48" t="n">
        <f aca="false">IF(AND(M2544&gt;0,$C$2531&gt;0),M2544*Assumptions!$I$24*(1-EXP(-$C$2531/(Assumptions!$I$23*M2544*Assumptions!$I$24))),0)</f>
        <v>112.984768120579</v>
      </c>
      <c r="N2551" s="48" t="n">
        <f aca="false">IF(AND(N2544&gt;0,$C$2531&gt;0),N2544*Assumptions!$I$24*(1-EXP(-$C$2531/(Assumptions!$I$23*N2544*Assumptions!$I$24))),0)</f>
        <v>112.984768120579</v>
      </c>
      <c r="P2551" s="49" t="n">
        <f aca="false">SUM(C2551:F2551)</f>
        <v>293.145717199096</v>
      </c>
      <c r="Q2551" s="49" t="n">
        <f aca="false">SUM(G2551:J2551)</f>
        <v>435.551388471413</v>
      </c>
      <c r="R2551" s="49" t="n">
        <f aca="false">SUM(K2551:N2551)</f>
        <v>451.939072482316</v>
      </c>
      <c r="S2551" s="50" t="n">
        <f aca="false">SUM(P2551:R2551)</f>
        <v>1180.63617815282</v>
      </c>
    </row>
    <row r="2552" customFormat="false" ht="15" hidden="false" customHeight="false" outlineLevel="0" collapsed="false">
      <c r="A2552" s="4" t="s">
        <v>498</v>
      </c>
      <c r="B2552" s="36" t="s">
        <v>497</v>
      </c>
      <c r="C2552" s="48" t="n">
        <f aca="false">(C2544*Assumptions!$I$22*MIN(1,Assumptions!$E$103/Assumptions!$I$78)+C2551)*C2534</f>
        <v>82.4643632508304</v>
      </c>
      <c r="D2552" s="48" t="n">
        <f aca="false">(D2544*Assumptions!$I$22*MIN(1,Assumptions!$E$103/Assumptions!$I$78)+D2551)*D2534</f>
        <v>145.253129506313</v>
      </c>
      <c r="E2552" s="48" t="n">
        <f aca="false">(E2544*Assumptions!$I$22*MIN(1,Assumptions!$E$103/Assumptions!$I$78)+E2551)*E2534</f>
        <v>145.253129506313</v>
      </c>
      <c r="F2552" s="48" t="n">
        <f aca="false">(F2544*Assumptions!$I$22*MIN(1,Assumptions!$E$103/Assumptions!$I$78)+F2551)*F2534</f>
        <v>194.44494887064</v>
      </c>
      <c r="G2552" s="48" t="n">
        <f aca="false">(G2544*Assumptions!$I$22*MIN(1,Assumptions!$E$103/Assumptions!$I$78)+G2551)*G2534</f>
        <v>237.759164032853</v>
      </c>
      <c r="H2552" s="48" t="n">
        <f aca="false">(H2544*Assumptions!$I$22*MIN(1,Assumptions!$E$103/Assumptions!$I$78)+H2551)*H2534</f>
        <v>281.193005992402</v>
      </c>
      <c r="I2552" s="48" t="n">
        <f aca="false">(I2544*Assumptions!$I$22*MIN(1,Assumptions!$E$103/Assumptions!$I$78)+I2551)*I2534</f>
        <v>322.593525940579</v>
      </c>
      <c r="J2552" s="48" t="n">
        <f aca="false">(J2544*Assumptions!$I$22*MIN(1,Assumptions!$E$103/Assumptions!$I$78)+J2551)*J2534</f>
        <v>322.593525940579</v>
      </c>
      <c r="K2552" s="48" t="n">
        <f aca="false">(K2544*Assumptions!$I$22*MIN(1,Assumptions!$E$103/Assumptions!$I$78)+K2551)*K2534</f>
        <v>322.593525940579</v>
      </c>
      <c r="L2552" s="48" t="n">
        <f aca="false">(L2544*Assumptions!$I$22*MIN(1,Assumptions!$E$103/Assumptions!$I$78)+L2551)*L2534</f>
        <v>322.593525940579</v>
      </c>
      <c r="M2552" s="48" t="n">
        <f aca="false">(M2544*Assumptions!$I$22*MIN(1,Assumptions!$E$103/Assumptions!$I$78)+M2551)*M2534</f>
        <v>322.593525940579</v>
      </c>
      <c r="N2552" s="48" t="n">
        <f aca="false">(N2544*Assumptions!$I$22*MIN(1,Assumptions!$E$103/Assumptions!$I$78)+N2551)*N2534</f>
        <v>322.593525940579</v>
      </c>
      <c r="P2552" s="49" t="n">
        <f aca="false">SUM(C2552:F2552)</f>
        <v>567.415571134096</v>
      </c>
      <c r="Q2552" s="49" t="n">
        <f aca="false">SUM(G2552:J2552)</f>
        <v>1164.13922190641</v>
      </c>
      <c r="R2552" s="49" t="n">
        <f aca="false">SUM(K2552:N2552)</f>
        <v>1290.37410376232</v>
      </c>
      <c r="S2552" s="50" t="n">
        <f aca="false">SUM(P2552:R2552)</f>
        <v>3021.92889680282</v>
      </c>
    </row>
    <row r="2553" customFormat="false" ht="15" hidden="false" customHeight="false" outlineLevel="0" collapsed="false">
      <c r="A2553" s="4" t="s">
        <v>499</v>
      </c>
      <c r="B2553" s="36" t="s">
        <v>500</v>
      </c>
      <c r="C2553" s="48" t="n">
        <f aca="false">C2534*MIN(Assumptions!$I$27,Assumptions!$I$25+Assumptions!$I$26*(C2533-1))*Assumptions!$E$107</f>
        <v>4</v>
      </c>
      <c r="D2553" s="48" t="n">
        <f aca="false">D2534*MIN(Assumptions!$I$27,Assumptions!$I$25+Assumptions!$I$26*(D2533-1))*Assumptions!$E$107</f>
        <v>6</v>
      </c>
      <c r="E2553" s="48" t="n">
        <f aca="false">E2534*MIN(Assumptions!$I$27,Assumptions!$I$25+Assumptions!$I$26*(E2533-1))*Assumptions!$E$107</f>
        <v>8</v>
      </c>
      <c r="F2553" s="48" t="n">
        <f aca="false">F2534*MIN(Assumptions!$I$27,Assumptions!$I$25+Assumptions!$I$26*(F2533-1))*Assumptions!$E$107</f>
        <v>10</v>
      </c>
      <c r="G2553" s="48" t="n">
        <f aca="false">G2534*MIN(Assumptions!$I$27,Assumptions!$I$25+Assumptions!$I$26*(G2533-1))*Assumptions!$E$107</f>
        <v>12</v>
      </c>
      <c r="H2553" s="48" t="n">
        <f aca="false">H2534*MIN(Assumptions!$I$27,Assumptions!$I$25+Assumptions!$I$26*(H2533-1))*Assumptions!$E$107</f>
        <v>14</v>
      </c>
      <c r="I2553" s="48" t="n">
        <f aca="false">I2534*MIN(Assumptions!$I$27,Assumptions!$I$25+Assumptions!$I$26*(I2533-1))*Assumptions!$E$107</f>
        <v>14</v>
      </c>
      <c r="J2553" s="48" t="n">
        <f aca="false">J2534*MIN(Assumptions!$I$27,Assumptions!$I$25+Assumptions!$I$26*(J2533-1))*Assumptions!$E$107</f>
        <v>14</v>
      </c>
      <c r="K2553" s="48" t="n">
        <f aca="false">K2534*MIN(Assumptions!$I$27,Assumptions!$I$25+Assumptions!$I$26*(K2533-1))*Assumptions!$E$107</f>
        <v>14</v>
      </c>
      <c r="L2553" s="48" t="n">
        <f aca="false">L2534*MIN(Assumptions!$I$27,Assumptions!$I$25+Assumptions!$I$26*(L2533-1))*Assumptions!$E$107</f>
        <v>14</v>
      </c>
      <c r="M2553" s="48" t="n">
        <f aca="false">M2534*MIN(Assumptions!$I$27,Assumptions!$I$25+Assumptions!$I$26*(M2533-1))*Assumptions!$E$107</f>
        <v>14</v>
      </c>
      <c r="N2553" s="48" t="n">
        <f aca="false">N2534*MIN(Assumptions!$I$27,Assumptions!$I$25+Assumptions!$I$26*(N2533-1))*Assumptions!$E$107</f>
        <v>14</v>
      </c>
      <c r="P2553" s="49" t="n">
        <f aca="false">F2553</f>
        <v>10</v>
      </c>
      <c r="Q2553" s="49" t="n">
        <f aca="false">J2553</f>
        <v>14</v>
      </c>
      <c r="R2553" s="49" t="n">
        <f aca="false">N2553</f>
        <v>14</v>
      </c>
      <c r="S2553" s="50" t="n">
        <f aca="false">R2553</f>
        <v>14</v>
      </c>
    </row>
    <row r="2554" customFormat="false" ht="15" hidden="false" customHeight="false" outlineLevel="0" collapsed="false">
      <c r="A2554" s="4" t="s">
        <v>501</v>
      </c>
      <c r="B2554" s="36" t="s">
        <v>502</v>
      </c>
      <c r="C2554" s="48" t="n">
        <f aca="false">C2553*Assumptions!$I$28</f>
        <v>16</v>
      </c>
      <c r="D2554" s="48" t="n">
        <f aca="false">D2553*Assumptions!$I$28</f>
        <v>24</v>
      </c>
      <c r="E2554" s="48" t="n">
        <f aca="false">E2553*Assumptions!$I$28</f>
        <v>32</v>
      </c>
      <c r="F2554" s="48" t="n">
        <f aca="false">F2553*Assumptions!$I$28</f>
        <v>40</v>
      </c>
      <c r="G2554" s="48" t="n">
        <f aca="false">G2553*Assumptions!$I$28</f>
        <v>48</v>
      </c>
      <c r="H2554" s="48" t="n">
        <f aca="false">H2553*Assumptions!$I$28</f>
        <v>56</v>
      </c>
      <c r="I2554" s="48" t="n">
        <f aca="false">I2553*Assumptions!$I$28</f>
        <v>56</v>
      </c>
      <c r="J2554" s="48" t="n">
        <f aca="false">J2553*Assumptions!$I$28</f>
        <v>56</v>
      </c>
      <c r="K2554" s="48" t="n">
        <f aca="false">K2553*Assumptions!$I$28</f>
        <v>56</v>
      </c>
      <c r="L2554" s="48" t="n">
        <f aca="false">L2553*Assumptions!$I$28</f>
        <v>56</v>
      </c>
      <c r="M2554" s="48" t="n">
        <f aca="false">M2553*Assumptions!$I$28</f>
        <v>56</v>
      </c>
      <c r="N2554" s="48" t="n">
        <f aca="false">N2553*Assumptions!$I$28</f>
        <v>56</v>
      </c>
      <c r="P2554" s="49" t="n">
        <f aca="false">SUM(C2554:F2554)</f>
        <v>112</v>
      </c>
      <c r="Q2554" s="49" t="n">
        <f aca="false">SUM(G2554:J2554)</f>
        <v>216</v>
      </c>
      <c r="R2554" s="49" t="n">
        <f aca="false">SUM(K2554:N2554)</f>
        <v>224</v>
      </c>
      <c r="S2554" s="50" t="n">
        <f aca="false">SUM(P2554:R2554)</f>
        <v>552</v>
      </c>
    </row>
    <row r="2555" customFormat="false" ht="15" hidden="false" customHeight="false" outlineLevel="0" collapsed="false">
      <c r="A2555" s="4" t="s">
        <v>503</v>
      </c>
      <c r="B2555" s="36" t="s">
        <v>504</v>
      </c>
      <c r="C2555" s="48" t="n">
        <f aca="false">(C2546+C2550)*Assumptions!$I$29</f>
        <v>15.02675472375</v>
      </c>
      <c r="D2555" s="48" t="n">
        <f aca="false">(D2546+D2550)*Assumptions!$I$29</f>
        <v>34.7380472391033</v>
      </c>
      <c r="E2555" s="48" t="n">
        <f aca="false">(E2546+E2550)*Assumptions!$I$29</f>
        <v>39.0019086050736</v>
      </c>
      <c r="F2555" s="48" t="n">
        <f aca="false">(F2546+F2550)*Assumptions!$I$29</f>
        <v>55.5458276047232</v>
      </c>
      <c r="G2555" s="48" t="n">
        <f aca="false">(G2546+G2550)*Assumptions!$I$29</f>
        <v>70.6016152404786</v>
      </c>
      <c r="H2555" s="48" t="n">
        <f aca="false">(H2546+H2550)*Assumptions!$I$29</f>
        <v>87.0661821777995</v>
      </c>
      <c r="I2555" s="48" t="n">
        <f aca="false">(I2546+I2550)*Assumptions!$I$29</f>
        <v>102.042755339329</v>
      </c>
      <c r="J2555" s="48" t="n">
        <f aca="false">(J2546+J2550)*Assumptions!$I$29</f>
        <v>100.562097076088</v>
      </c>
      <c r="K2555" s="48" t="n">
        <f aca="false">(K2546+K2550)*Assumptions!$I$29</f>
        <v>99.0375798416949</v>
      </c>
      <c r="L2555" s="48" t="n">
        <f aca="false">(L2546+L2550)*Assumptions!$I$29</f>
        <v>97.4750434006047</v>
      </c>
      <c r="M2555" s="48" t="n">
        <f aca="false">(M2546+M2550)*Assumptions!$I$29</f>
        <v>95.8799320202101</v>
      </c>
      <c r="N2555" s="48" t="n">
        <f aca="false">(N2546+N2550)*Assumptions!$I$29</f>
        <v>92.0624331589268</v>
      </c>
      <c r="P2555" s="49" t="n">
        <f aca="false">SUM(C2555:F2555)</f>
        <v>144.31253817265</v>
      </c>
      <c r="Q2555" s="49" t="n">
        <f aca="false">SUM(G2555:J2555)</f>
        <v>360.272649833696</v>
      </c>
      <c r="R2555" s="49" t="n">
        <f aca="false">SUM(K2555:N2555)</f>
        <v>384.454988421436</v>
      </c>
      <c r="S2555" s="50" t="n">
        <f aca="false">SUM(P2555:R2555)</f>
        <v>889.040176427782</v>
      </c>
    </row>
    <row r="2556" customFormat="false" ht="15" hidden="false" customHeight="false" outlineLevel="0" collapsed="false">
      <c r="A2556" s="4" t="s">
        <v>505</v>
      </c>
      <c r="B2556" s="36" t="s">
        <v>504</v>
      </c>
      <c r="C2556" s="48" t="n">
        <f aca="false">C2552*Assumptions!$I$31</f>
        <v>18.1421599151827</v>
      </c>
      <c r="D2556" s="48" t="n">
        <f aca="false">D2552*Assumptions!$I$31</f>
        <v>31.9556884913888</v>
      </c>
      <c r="E2556" s="48" t="n">
        <f aca="false">E2552*Assumptions!$I$31</f>
        <v>31.9556884913888</v>
      </c>
      <c r="F2556" s="48" t="n">
        <f aca="false">F2552*Assumptions!$I$31</f>
        <v>42.7778887515408</v>
      </c>
      <c r="G2556" s="48" t="n">
        <f aca="false">G2552*Assumptions!$I$31</f>
        <v>52.3070160872276</v>
      </c>
      <c r="H2556" s="48" t="n">
        <f aca="false">H2552*Assumptions!$I$31</f>
        <v>61.8624613183285</v>
      </c>
      <c r="I2556" s="48" t="n">
        <f aca="false">I2552*Assumptions!$I$31</f>
        <v>70.9705757069274</v>
      </c>
      <c r="J2556" s="48" t="n">
        <f aca="false">J2552*Assumptions!$I$31</f>
        <v>70.9705757069274</v>
      </c>
      <c r="K2556" s="48" t="n">
        <f aca="false">K2552*Assumptions!$I$31</f>
        <v>70.9705757069274</v>
      </c>
      <c r="L2556" s="48" t="n">
        <f aca="false">L2552*Assumptions!$I$31</f>
        <v>70.9705757069274</v>
      </c>
      <c r="M2556" s="48" t="n">
        <f aca="false">M2552*Assumptions!$I$31</f>
        <v>70.9705757069274</v>
      </c>
      <c r="N2556" s="48" t="n">
        <f aca="false">N2552*Assumptions!$I$31</f>
        <v>70.9705757069274</v>
      </c>
      <c r="P2556" s="49" t="n">
        <f aca="false">SUM(C2556:F2556)</f>
        <v>124.831425649501</v>
      </c>
      <c r="Q2556" s="49" t="n">
        <f aca="false">SUM(G2556:J2556)</f>
        <v>256.110628819411</v>
      </c>
      <c r="R2556" s="49" t="n">
        <f aca="false">SUM(K2556:N2556)</f>
        <v>283.882302827709</v>
      </c>
      <c r="S2556" s="50" t="n">
        <f aca="false">SUM(P2556:R2556)</f>
        <v>664.824357296621</v>
      </c>
    </row>
    <row r="2557" customFormat="false" ht="15" hidden="false" customHeight="false" outlineLevel="0" collapsed="false">
      <c r="A2557" s="4" t="s">
        <v>506</v>
      </c>
      <c r="B2557" s="36" t="s">
        <v>504</v>
      </c>
      <c r="C2557" s="48" t="n">
        <f aca="false">C2554*Assumptions!$I$30</f>
        <v>9.6</v>
      </c>
      <c r="D2557" s="48" t="n">
        <f aca="false">D2554*Assumptions!$I$30</f>
        <v>14.4</v>
      </c>
      <c r="E2557" s="48" t="n">
        <f aca="false">E2554*Assumptions!$I$30</f>
        <v>19.2</v>
      </c>
      <c r="F2557" s="48" t="n">
        <f aca="false">F2554*Assumptions!$I$30</f>
        <v>24</v>
      </c>
      <c r="G2557" s="48" t="n">
        <f aca="false">G2554*Assumptions!$I$30</f>
        <v>28.8</v>
      </c>
      <c r="H2557" s="48" t="n">
        <f aca="false">H2554*Assumptions!$I$30</f>
        <v>33.6</v>
      </c>
      <c r="I2557" s="48" t="n">
        <f aca="false">I2554*Assumptions!$I$30</f>
        <v>33.6</v>
      </c>
      <c r="J2557" s="48" t="n">
        <f aca="false">J2554*Assumptions!$I$30</f>
        <v>33.6</v>
      </c>
      <c r="K2557" s="48" t="n">
        <f aca="false">K2554*Assumptions!$I$30</f>
        <v>33.6</v>
      </c>
      <c r="L2557" s="48" t="n">
        <f aca="false">L2554*Assumptions!$I$30</f>
        <v>33.6</v>
      </c>
      <c r="M2557" s="48" t="n">
        <f aca="false">M2554*Assumptions!$I$30</f>
        <v>33.6</v>
      </c>
      <c r="N2557" s="48" t="n">
        <f aca="false">N2554*Assumptions!$I$30</f>
        <v>33.6</v>
      </c>
      <c r="P2557" s="49" t="n">
        <f aca="false">SUM(C2557:F2557)</f>
        <v>67.2</v>
      </c>
      <c r="Q2557" s="49" t="n">
        <f aca="false">SUM(G2557:J2557)</f>
        <v>129.6</v>
      </c>
      <c r="R2557" s="49" t="n">
        <f aca="false">SUM(K2557:N2557)</f>
        <v>134.4</v>
      </c>
      <c r="S2557" s="50" t="n">
        <f aca="false">SUM(P2557:R2557)</f>
        <v>331.2</v>
      </c>
    </row>
    <row r="2558" customFormat="false" ht="15" hidden="false" customHeight="false" outlineLevel="0" collapsed="false">
      <c r="A2558" s="9" t="s">
        <v>507</v>
      </c>
      <c r="B2558" s="36" t="s">
        <v>504</v>
      </c>
      <c r="C2558" s="49" t="n">
        <f aca="false">C2555+C2556+C2557</f>
        <v>42.7689146389327</v>
      </c>
      <c r="D2558" s="49" t="n">
        <f aca="false">D2555+D2556+D2557</f>
        <v>81.0937357304921</v>
      </c>
      <c r="E2558" s="49" t="n">
        <f aca="false">E2555+E2556+E2557</f>
        <v>90.1575970964624</v>
      </c>
      <c r="F2558" s="49" t="n">
        <f aca="false">F2555+F2556+F2557</f>
        <v>122.323716356264</v>
      </c>
      <c r="G2558" s="49" t="n">
        <f aca="false">G2555+G2556+G2557</f>
        <v>151.708631327706</v>
      </c>
      <c r="H2558" s="49" t="n">
        <f aca="false">H2555+H2556+H2557</f>
        <v>182.528643496128</v>
      </c>
      <c r="I2558" s="49" t="n">
        <f aca="false">I2555+I2556+I2557</f>
        <v>206.613331046257</v>
      </c>
      <c r="J2558" s="49" t="n">
        <f aca="false">J2555+J2556+J2557</f>
        <v>205.132672783016</v>
      </c>
      <c r="K2558" s="49" t="n">
        <f aca="false">K2555+K2556+K2557</f>
        <v>203.608155548622</v>
      </c>
      <c r="L2558" s="49" t="n">
        <f aca="false">L2555+L2556+L2557</f>
        <v>202.045619107532</v>
      </c>
      <c r="M2558" s="49" t="n">
        <f aca="false">M2555+M2556+M2557</f>
        <v>200.450507727137</v>
      </c>
      <c r="N2558" s="49" t="n">
        <f aca="false">N2555+N2556+N2557</f>
        <v>196.633008865854</v>
      </c>
      <c r="P2558" s="49" t="n">
        <f aca="false">SUM(C2558:F2558)</f>
        <v>336.343963822151</v>
      </c>
      <c r="Q2558" s="49" t="n">
        <f aca="false">SUM(G2558:J2558)</f>
        <v>745.983278653106</v>
      </c>
      <c r="R2558" s="49" t="n">
        <f aca="false">SUM(K2558:N2558)</f>
        <v>802.737291249146</v>
      </c>
      <c r="S2558" s="50" t="n">
        <f aca="false">SUM(P2558:R2558)</f>
        <v>1885.0645337244</v>
      </c>
    </row>
    <row r="2559" customFormat="false" ht="15" hidden="false" customHeight="false" outlineLevel="0" collapsed="false">
      <c r="A2559" s="4" t="s">
        <v>508</v>
      </c>
      <c r="B2559" s="36" t="s">
        <v>509</v>
      </c>
      <c r="C2559" s="48" t="n">
        <f aca="false">C2541</f>
        <v>1371.907152</v>
      </c>
      <c r="D2559" s="48" t="n">
        <f aca="false">D2541</f>
        <v>2743.814304</v>
      </c>
      <c r="E2559" s="48" t="n">
        <f aca="false">E2541</f>
        <v>2743.814304</v>
      </c>
      <c r="F2559" s="48" t="n">
        <f aca="false">F2541</f>
        <v>4099.55809725</v>
      </c>
      <c r="G2559" s="48" t="n">
        <f aca="false">G2541</f>
        <v>5455.3018905</v>
      </c>
      <c r="H2559" s="48" t="n">
        <f aca="false">H2541</f>
        <v>6853.51410975</v>
      </c>
      <c r="I2559" s="48" t="n">
        <f aca="false">I2541</f>
        <v>8251.726329</v>
      </c>
      <c r="J2559" s="48" t="n">
        <f aca="false">J2541</f>
        <v>8251.726329</v>
      </c>
      <c r="K2559" s="48" t="n">
        <f aca="false">K2541</f>
        <v>8251.726329</v>
      </c>
      <c r="L2559" s="48" t="n">
        <f aca="false">L2541</f>
        <v>8251.726329</v>
      </c>
      <c r="M2559" s="48" t="n">
        <f aca="false">M2541</f>
        <v>8251.726329</v>
      </c>
      <c r="N2559" s="48" t="n">
        <f aca="false">N2541</f>
        <v>8251.726329</v>
      </c>
      <c r="P2559" s="49"/>
      <c r="Q2559" s="49"/>
      <c r="R2559" s="49"/>
      <c r="S2559" s="50"/>
    </row>
    <row r="2560" customFormat="false" ht="15" hidden="false" customHeight="false" outlineLevel="0" collapsed="false">
      <c r="A2560" s="4" t="s">
        <v>510</v>
      </c>
      <c r="B2560" s="36" t="s">
        <v>509</v>
      </c>
      <c r="C2560" s="48" t="n">
        <f aca="false">C2542*Assumptions!$I$18*Assumptions!$I$33</f>
        <v>560.531664</v>
      </c>
      <c r="D2560" s="48" t="n">
        <f aca="false">D2542*Assumptions!$I$18*Assumptions!$I$33</f>
        <v>1121.063328</v>
      </c>
      <c r="E2560" s="48" t="n">
        <f aca="false">E2542*Assumptions!$I$18*Assumptions!$I$33</f>
        <v>1121.063328</v>
      </c>
      <c r="F2560" s="48" t="n">
        <f aca="false">F2542*Assumptions!$I$18*Assumptions!$I$33</f>
        <v>1679.579055</v>
      </c>
      <c r="G2560" s="48" t="n">
        <f aca="false">G2542*Assumptions!$I$18*Assumptions!$I$33</f>
        <v>2238.094782</v>
      </c>
      <c r="H2560" s="48" t="n">
        <f aca="false">H2542*Assumptions!$I$18*Assumptions!$I$33</f>
        <v>2952.694899</v>
      </c>
      <c r="I2560" s="48" t="n">
        <f aca="false">I2542*Assumptions!$I$18*Assumptions!$I$33</f>
        <v>3667.295016</v>
      </c>
      <c r="J2560" s="48" t="n">
        <f aca="false">J2542*Assumptions!$I$18*Assumptions!$I$33</f>
        <v>3667.295016</v>
      </c>
      <c r="K2560" s="48" t="n">
        <f aca="false">K2542*Assumptions!$I$18*Assumptions!$I$33</f>
        <v>3667.295016</v>
      </c>
      <c r="L2560" s="48" t="n">
        <f aca="false">L2542*Assumptions!$I$18*Assumptions!$I$33</f>
        <v>3667.295016</v>
      </c>
      <c r="M2560" s="48" t="n">
        <f aca="false">M2542*Assumptions!$I$18*Assumptions!$I$33</f>
        <v>3667.295016</v>
      </c>
      <c r="N2560" s="48" t="n">
        <f aca="false">N2542*Assumptions!$I$18*Assumptions!$I$33</f>
        <v>3667.295016</v>
      </c>
      <c r="P2560" s="49"/>
      <c r="Q2560" s="49"/>
      <c r="R2560" s="49"/>
      <c r="S2560" s="50"/>
    </row>
    <row r="2561" customFormat="false" ht="15" hidden="false" customHeight="false" outlineLevel="0" collapsed="false">
      <c r="A2561" s="4" t="s">
        <v>511</v>
      </c>
      <c r="B2561" s="36" t="s">
        <v>509</v>
      </c>
      <c r="C2561" s="48" t="n">
        <f aca="false">C2543*Assumptions!$I$19*Assumptions!$I$34</f>
        <v>117.3067434</v>
      </c>
      <c r="D2561" s="48" t="n">
        <f aca="false">D2543*Assumptions!$I$19*Assumptions!$I$34</f>
        <v>234.6134868</v>
      </c>
      <c r="E2561" s="48" t="n">
        <f aca="false">E2543*Assumptions!$I$19*Assumptions!$I$34</f>
        <v>234.6134868</v>
      </c>
      <c r="F2561" s="48" t="n">
        <f aca="false">F2543*Assumptions!$I$19*Assumptions!$I$34</f>
        <v>337.3705566</v>
      </c>
      <c r="G2561" s="48" t="n">
        <f aca="false">G2543*Assumptions!$I$19*Assumptions!$I$34</f>
        <v>440.1276264</v>
      </c>
      <c r="H2561" s="48" t="n">
        <f aca="false">H2543*Assumptions!$I$19*Assumptions!$I$34</f>
        <v>575.6214618</v>
      </c>
      <c r="I2561" s="48" t="n">
        <f aca="false">I2543*Assumptions!$I$19*Assumptions!$I$34</f>
        <v>711.1152972</v>
      </c>
      <c r="J2561" s="48" t="n">
        <f aca="false">J2543*Assumptions!$I$19*Assumptions!$I$34</f>
        <v>711.1152972</v>
      </c>
      <c r="K2561" s="48" t="n">
        <f aca="false">K2543*Assumptions!$I$19*Assumptions!$I$34</f>
        <v>711.1152972</v>
      </c>
      <c r="L2561" s="48" t="n">
        <f aca="false">L2543*Assumptions!$I$19*Assumptions!$I$34</f>
        <v>711.1152972</v>
      </c>
      <c r="M2561" s="48" t="n">
        <f aca="false">M2543*Assumptions!$I$19*Assumptions!$I$34</f>
        <v>711.1152972</v>
      </c>
      <c r="N2561" s="48" t="n">
        <f aca="false">N2543*Assumptions!$I$19*Assumptions!$I$34</f>
        <v>711.1152972</v>
      </c>
      <c r="P2561" s="49"/>
      <c r="Q2561" s="49"/>
      <c r="R2561" s="49"/>
      <c r="S2561" s="50"/>
    </row>
    <row r="2562" customFormat="false" ht="15" hidden="false" customHeight="false" outlineLevel="0" collapsed="false">
      <c r="A2562" s="4" t="s">
        <v>512</v>
      </c>
      <c r="B2562" s="36" t="s">
        <v>77</v>
      </c>
      <c r="C2562" s="51" t="n">
        <f aca="false">IFERROR(C2559/(C2559+C2560+C2561),0)</f>
        <v>0.6693060734824</v>
      </c>
      <c r="D2562" s="51" t="n">
        <f aca="false">IFERROR(D2559/(D2559+D2560+D2561),0)</f>
        <v>0.6693060734824</v>
      </c>
      <c r="E2562" s="51" t="n">
        <f aca="false">IFERROR(E2559/(E2559+E2560+E2561),0)</f>
        <v>0.6693060734824</v>
      </c>
      <c r="F2562" s="51" t="n">
        <f aca="false">IFERROR(F2559/(F2559+F2560+F2561),0)</f>
        <v>0.670244899931759</v>
      </c>
      <c r="G2562" s="51" t="n">
        <f aca="false">IFERROR(G2559/(G2559+G2560+G2561),0)</f>
        <v>0.670718090955699</v>
      </c>
      <c r="H2562" s="51" t="n">
        <f aca="false">IFERROR(H2559/(H2559+H2560+H2561),0)</f>
        <v>0.660145061045957</v>
      </c>
      <c r="I2562" s="51" t="n">
        <f aca="false">IFERROR(I2559/(I2559+I2560+I2561),0)</f>
        <v>0.653336267275938</v>
      </c>
      <c r="J2562" s="51" t="n">
        <f aca="false">IFERROR(J2559/(J2559+J2560+J2561),0)</f>
        <v>0.653336267275938</v>
      </c>
      <c r="K2562" s="51" t="n">
        <f aca="false">IFERROR(K2559/(K2559+K2560+K2561),0)</f>
        <v>0.653336267275938</v>
      </c>
      <c r="L2562" s="51" t="n">
        <f aca="false">IFERROR(L2559/(L2559+L2560+L2561),0)</f>
        <v>0.653336267275938</v>
      </c>
      <c r="M2562" s="51" t="n">
        <f aca="false">IFERROR(M2559/(M2559+M2560+M2561),0)</f>
        <v>0.653336267275938</v>
      </c>
      <c r="N2562" s="51" t="n">
        <f aca="false">IFERROR(N2559/(N2559+N2560+N2561),0)</f>
        <v>0.653336267275938</v>
      </c>
      <c r="P2562" s="52"/>
      <c r="Q2562" s="52"/>
      <c r="R2562" s="52"/>
      <c r="S2562" s="53"/>
    </row>
    <row r="2563" customFormat="false" ht="15" hidden="false" customHeight="false" outlineLevel="0" collapsed="false">
      <c r="A2563" s="4" t="s">
        <v>513</v>
      </c>
      <c r="B2563" s="36" t="s">
        <v>77</v>
      </c>
      <c r="C2563" s="51" t="n">
        <f aca="false">IFERROR(C2560/(C2559+C2560+C2561),0)</f>
        <v>0.273464021634021</v>
      </c>
      <c r="D2563" s="51" t="n">
        <f aca="false">IFERROR(D2560/(D2559+D2560+D2561),0)</f>
        <v>0.273464021634021</v>
      </c>
      <c r="E2563" s="51" t="n">
        <f aca="false">IFERROR(E2560/(E2559+E2560+E2561),0)</f>
        <v>0.273464021634021</v>
      </c>
      <c r="F2563" s="51" t="n">
        <f aca="false">IFERROR(F2560/(F2559+F2560+F2561),0)</f>
        <v>0.274597717349364</v>
      </c>
      <c r="G2563" s="51" t="n">
        <f aca="false">IFERROR(G2560/(G2559+G2560+G2561),0)</f>
        <v>0.275169127152259</v>
      </c>
      <c r="H2563" s="51" t="n">
        <f aca="false">IFERROR(H2560/(H2559+H2560+H2561),0)</f>
        <v>0.28440985502276</v>
      </c>
      <c r="I2563" s="51" t="n">
        <f aca="false">IFERROR(I2560/(I2559+I2560+I2561),0)</f>
        <v>0.290360676205733</v>
      </c>
      <c r="J2563" s="51" t="n">
        <f aca="false">IFERROR(J2560/(J2559+J2560+J2561),0)</f>
        <v>0.290360676205733</v>
      </c>
      <c r="K2563" s="51" t="n">
        <f aca="false">IFERROR(K2560/(K2559+K2560+K2561),0)</f>
        <v>0.290360676205733</v>
      </c>
      <c r="L2563" s="51" t="n">
        <f aca="false">IFERROR(L2560/(L2559+L2560+L2561),0)</f>
        <v>0.290360676205733</v>
      </c>
      <c r="M2563" s="51" t="n">
        <f aca="false">IFERROR(M2560/(M2559+M2560+M2561),0)</f>
        <v>0.290360676205733</v>
      </c>
      <c r="N2563" s="51" t="n">
        <f aca="false">IFERROR(N2560/(N2559+N2560+N2561),0)</f>
        <v>0.290360676205733</v>
      </c>
      <c r="P2563" s="52"/>
      <c r="Q2563" s="52"/>
      <c r="R2563" s="52"/>
      <c r="S2563" s="53"/>
    </row>
    <row r="2564" customFormat="false" ht="15" hidden="false" customHeight="false" outlineLevel="0" collapsed="false">
      <c r="A2564" s="4" t="s">
        <v>514</v>
      </c>
      <c r="B2564" s="36" t="s">
        <v>77</v>
      </c>
      <c r="C2564" s="51" t="n">
        <f aca="false">IFERROR(C2561/(C2559+C2560+C2561),0)</f>
        <v>0.0572299048835788</v>
      </c>
      <c r="D2564" s="51" t="n">
        <f aca="false">IFERROR(D2561/(D2559+D2560+D2561),0)</f>
        <v>0.0572299048835788</v>
      </c>
      <c r="E2564" s="51" t="n">
        <f aca="false">IFERROR(E2561/(E2559+E2560+E2561),0)</f>
        <v>0.0572299048835788</v>
      </c>
      <c r="F2564" s="51" t="n">
        <f aca="false">IFERROR(F2561/(F2559+F2560+F2561),0)</f>
        <v>0.0551573827188768</v>
      </c>
      <c r="G2564" s="51" t="n">
        <f aca="false">IFERROR(G2561/(G2559+G2560+G2561),0)</f>
        <v>0.054112781892042</v>
      </c>
      <c r="H2564" s="51" t="n">
        <f aca="false">IFERROR(H2561/(H2559+H2560+H2561),0)</f>
        <v>0.0554450839312834</v>
      </c>
      <c r="I2564" s="51" t="n">
        <f aca="false">IFERROR(I2561/(I2559+I2560+I2561),0)</f>
        <v>0.0563030565183286</v>
      </c>
      <c r="J2564" s="51" t="n">
        <f aca="false">IFERROR(J2561/(J2559+J2560+J2561),0)</f>
        <v>0.0563030565183286</v>
      </c>
      <c r="K2564" s="51" t="n">
        <f aca="false">IFERROR(K2561/(K2559+K2560+K2561),0)</f>
        <v>0.0563030565183286</v>
      </c>
      <c r="L2564" s="51" t="n">
        <f aca="false">IFERROR(L2561/(L2559+L2560+L2561),0)</f>
        <v>0.0563030565183286</v>
      </c>
      <c r="M2564" s="51" t="n">
        <f aca="false">IFERROR(M2561/(M2559+M2560+M2561),0)</f>
        <v>0.0563030565183286</v>
      </c>
      <c r="N2564" s="51" t="n">
        <f aca="false">IFERROR(N2561/(N2559+N2560+N2561),0)</f>
        <v>0.0563030565183286</v>
      </c>
      <c r="P2564" s="52"/>
      <c r="Q2564" s="52"/>
      <c r="R2564" s="52"/>
      <c r="S2564" s="53"/>
    </row>
    <row r="2565" customFormat="false" ht="15" hidden="false" customHeight="false" outlineLevel="0" collapsed="false">
      <c r="A2565" s="4" t="s">
        <v>515</v>
      </c>
      <c r="B2565" s="36" t="s">
        <v>516</v>
      </c>
      <c r="C2565" s="48" t="n">
        <f aca="false">IF(C2533-Assumptions!$I$35&lt;1,0,INDEX($C$2558:$N$2558,1,C2533-Assumptions!$I$35)*INDEX($C$2562:$N$2562,1,C2533-Assumptions!$I$35)*Assumptions!$I$32)</f>
        <v>0</v>
      </c>
      <c r="D2565" s="48" t="n">
        <f aca="false">IF(D2533-Assumptions!$I$35&lt;1,0,INDEX($C$2558:$N$2558,1,D2533-Assumptions!$I$35)*INDEX($C$2562:$N$2562,1,D2533-Assumptions!$I$35)*Assumptions!$I$32)</f>
        <v>7.156373581022</v>
      </c>
      <c r="E2565" s="48" t="n">
        <f aca="false">IF(E2533-Assumptions!$I$35&lt;1,0,INDEX($C$2558:$N$2558,1,E2533-Assumptions!$I$35)*INDEX($C$2562:$N$2562,1,E2533-Assumptions!$I$35)*Assumptions!$I$32)</f>
        <v>13.5691324614488</v>
      </c>
      <c r="F2565" s="48" t="n">
        <f aca="false">IF(F2533-Assumptions!$I$35&lt;1,0,INDEX($C$2558:$N$2558,1,F2533-Assumptions!$I$35)*INDEX($C$2562:$N$2562,1,F2533-Assumptions!$I$35)*Assumptions!$I$32)</f>
        <v>15.0857568268104</v>
      </c>
      <c r="G2565" s="48" t="n">
        <f aca="false">IF(G2533-Assumptions!$I$35&lt;1,0,INDEX($C$2558:$N$2558,1,G2533-Assumptions!$I$35)*INDEX($C$2562:$N$2562,1,G2533-Assumptions!$I$35)*Assumptions!$I$32)</f>
        <v>20.4967117571213</v>
      </c>
      <c r="H2565" s="48" t="n">
        <f aca="false">IF(H2533-Assumptions!$I$35&lt;1,0,INDEX($C$2558:$N$2558,1,H2533-Assumptions!$I$35)*INDEX($C$2562:$N$2562,1,H2533-Assumptions!$I$35)*Assumptions!$I$32)</f>
        <v>25.4384308964053</v>
      </c>
      <c r="I2565" s="48" t="n">
        <f aca="false">IF(I2533-Assumptions!$I$35&lt;1,0,INDEX($C$2558:$N$2558,1,I2533-Assumptions!$I$35)*INDEX($C$2562:$N$2562,1,I2533-Assumptions!$I$35)*Assumptions!$I$32)</f>
        <v>30.1238456258467</v>
      </c>
      <c r="J2565" s="48" t="n">
        <f aca="false">IF(J2533-Assumptions!$I$35&lt;1,0,INDEX($C$2558:$N$2558,1,J2533-Assumptions!$I$35)*INDEX($C$2562:$N$2562,1,J2533-Assumptions!$I$35)*Assumptions!$I$32)</f>
        <v>33.7469956188023</v>
      </c>
      <c r="K2565" s="48" t="n">
        <f aca="false">IF(K2533-Assumptions!$I$35&lt;1,0,INDEX($C$2558:$N$2558,1,K2533-Assumptions!$I$35)*INDEX($C$2562:$N$2562,1,K2533-Assumptions!$I$35)*Assumptions!$I$32)</f>
        <v>33.505153683098</v>
      </c>
      <c r="L2565" s="48" t="n">
        <f aca="false">IF(L2533-Assumptions!$I$35&lt;1,0,INDEX($C$2558:$N$2558,1,L2533-Assumptions!$I$35)*INDEX($C$2562:$N$2562,1,L2533-Assumptions!$I$35)*Assumptions!$I$32)</f>
        <v>33.2561480832689</v>
      </c>
      <c r="M2565" s="48" t="n">
        <f aca="false">IF(M2533-Assumptions!$I$35&lt;1,0,INDEX($C$2558:$N$2558,1,M2533-Assumptions!$I$35)*INDEX($C$2562:$N$2562,1,M2533-Assumptions!$I$35)*Assumptions!$I$32)</f>
        <v>33.0009326517927</v>
      </c>
      <c r="N2565" s="48" t="n">
        <f aca="false">IF(N2533-Assumptions!$I$35&lt;1,0,INDEX($C$2558:$N$2558,1,N2533-Assumptions!$I$35)*INDEX($C$2562:$N$2562,1,N2533-Assumptions!$I$35)*Assumptions!$I$32)</f>
        <v>32.7403966230036</v>
      </c>
      <c r="P2565" s="49" t="n">
        <f aca="false">SUM(C2565:F2565)</f>
        <v>35.8112628692812</v>
      </c>
      <c r="Q2565" s="49" t="n">
        <f aca="false">SUM(G2565:J2565)</f>
        <v>109.805983898176</v>
      </c>
      <c r="R2565" s="49" t="n">
        <f aca="false">SUM(K2565:N2565)</f>
        <v>132.502631041163</v>
      </c>
      <c r="S2565" s="50" t="n">
        <f aca="false">SUM(P2565:R2565)</f>
        <v>278.11987780862</v>
      </c>
    </row>
    <row r="2566" customFormat="false" ht="15" hidden="false" customHeight="false" outlineLevel="0" collapsed="false">
      <c r="A2566" s="4" t="s">
        <v>517</v>
      </c>
      <c r="B2566" s="36" t="s">
        <v>516</v>
      </c>
      <c r="C2566" s="48" t="n">
        <f aca="false">IF(C2533-Assumptions!$I$35&lt;1,0,INDEX($C$2558:$N$2558,1,C2533-Assumptions!$I$35)*INDEX($C$2563:$N$2563,1,C2533-Assumptions!$I$35)*Assumptions!$I$32)</f>
        <v>0</v>
      </c>
      <c r="D2566" s="48" t="n">
        <f aca="false">IF(D2533-Assumptions!$I$35&lt;1,0,INDEX($C$2558:$N$2558,1,D2533-Assumptions!$I$35)*INDEX($C$2563:$N$2563,1,D2533-Assumptions!$I$35)*Assumptions!$I$32)</f>
        <v>2.92393984952117</v>
      </c>
      <c r="E2566" s="48" t="n">
        <f aca="false">IF(E2533-Assumptions!$I$35&lt;1,0,INDEX($C$2558:$N$2558,1,E2533-Assumptions!$I$35)*INDEX($C$2563:$N$2563,1,E2533-Assumptions!$I$35)*Assumptions!$I$32)</f>
        <v>5.54405477554672</v>
      </c>
      <c r="F2566" s="48" t="n">
        <f aca="false">IF(F2533-Assumptions!$I$35&lt;1,0,INDEX($C$2558:$N$2558,1,F2533-Assumptions!$I$35)*INDEX($C$2563:$N$2563,1,F2533-Assumptions!$I$35)*Assumptions!$I$32)</f>
        <v>6.16371477071459</v>
      </c>
      <c r="G2566" s="48" t="n">
        <f aca="false">IF(G2533-Assumptions!$I$35&lt;1,0,INDEX($C$2558:$N$2558,1,G2533-Assumptions!$I$35)*INDEX($C$2563:$N$2563,1,G2533-Assumptions!$I$35)*Assumptions!$I$32)</f>
        <v>8.3974533222803</v>
      </c>
      <c r="H2566" s="48" t="n">
        <f aca="false">IF(H2533-Assumptions!$I$35&lt;1,0,INDEX($C$2558:$N$2558,1,H2533-Assumptions!$I$35)*INDEX($C$2563:$N$2563,1,H2533-Assumptions!$I$35)*Assumptions!$I$32)</f>
        <v>10.4363829159772</v>
      </c>
      <c r="I2566" s="48" t="n">
        <f aca="false">IF(I2533-Assumptions!$I$35&lt;1,0,INDEX($C$2558:$N$2558,1,I2533-Assumptions!$I$35)*INDEX($C$2563:$N$2563,1,I2533-Assumptions!$I$35)*Assumptions!$I$32)</f>
        <v>12.9782362585587</v>
      </c>
      <c r="J2566" s="48" t="n">
        <f aca="false">IF(J2533-Assumptions!$I$35&lt;1,0,INDEX($C$2558:$N$2558,1,J2533-Assumptions!$I$35)*INDEX($C$2563:$N$2563,1,J2533-Assumptions!$I$35)*Assumptions!$I$32)</f>
        <v>14.9980966289275</v>
      </c>
      <c r="K2566" s="48" t="n">
        <f aca="false">IF(K2533-Assumptions!$I$35&lt;1,0,INDEX($C$2558:$N$2558,1,K2533-Assumptions!$I$35)*INDEX($C$2563:$N$2563,1,K2533-Assumptions!$I$35)*Assumptions!$I$32)</f>
        <v>14.8906153952914</v>
      </c>
      <c r="L2566" s="48" t="n">
        <f aca="false">IF(L2533-Assumptions!$I$35&lt;1,0,INDEX($C$2558:$N$2558,1,L2533-Assumptions!$I$35)*INDEX($C$2563:$N$2563,1,L2533-Assumptions!$I$35)*Assumptions!$I$32)</f>
        <v>14.779950431525</v>
      </c>
      <c r="M2566" s="48" t="n">
        <f aca="false">IF(M2533-Assumptions!$I$35&lt;1,0,INDEX($C$2558:$N$2558,1,M2533-Assumptions!$I$35)*INDEX($C$2563:$N$2563,1,M2533-Assumptions!$I$35)*Assumptions!$I$32)</f>
        <v>14.6665256471173</v>
      </c>
      <c r="N2566" s="48" t="n">
        <f aca="false">IF(N2533-Assumptions!$I$35&lt;1,0,INDEX($C$2558:$N$2558,1,N2533-Assumptions!$I$35)*INDEX($C$2563:$N$2563,1,N2533-Assumptions!$I$35)*Assumptions!$I$32)</f>
        <v>14.5507362423585</v>
      </c>
      <c r="P2566" s="49" t="n">
        <f aca="false">SUM(C2566:F2566)</f>
        <v>14.6317093957825</v>
      </c>
      <c r="Q2566" s="49" t="n">
        <f aca="false">SUM(G2566:J2566)</f>
        <v>46.8101691257437</v>
      </c>
      <c r="R2566" s="49" t="n">
        <f aca="false">SUM(K2566:N2566)</f>
        <v>58.8878277162922</v>
      </c>
      <c r="S2566" s="50" t="n">
        <f aca="false">SUM(P2566:R2566)</f>
        <v>120.329706237818</v>
      </c>
    </row>
    <row r="2567" customFormat="false" ht="15" hidden="false" customHeight="false" outlineLevel="0" collapsed="false">
      <c r="A2567" s="4" t="s">
        <v>518</v>
      </c>
      <c r="B2567" s="36" t="s">
        <v>516</v>
      </c>
      <c r="C2567" s="48" t="n">
        <f aca="false">IF(C2533-Assumptions!$I$36&lt;1,0,INDEX($C$2558:$N$2558,1,C2533-Assumptions!$I$36)*INDEX($C$2564:$N$2564,1,C2533-Assumptions!$I$36)*Assumptions!$I$32)</f>
        <v>0</v>
      </c>
      <c r="D2567" s="48" t="n">
        <f aca="false">IF(D2533-Assumptions!$I$36&lt;1,0,INDEX($C$2558:$N$2558,1,D2533-Assumptions!$I$36)*INDEX($C$2564:$N$2564,1,D2533-Assumptions!$I$36)*Assumptions!$I$32)</f>
        <v>0</v>
      </c>
      <c r="E2567" s="48" t="n">
        <f aca="false">IF(E2533-Assumptions!$I$36&lt;1,0,INDEX($C$2558:$N$2558,1,E2533-Assumptions!$I$36)*INDEX($C$2564:$N$2564,1,E2533-Assumptions!$I$36)*Assumptions!$I$32)</f>
        <v>0.611915229190005</v>
      </c>
      <c r="F2567" s="48" t="n">
        <f aca="false">IF(F2533-Assumptions!$I$36&lt;1,0,INDEX($C$2558:$N$2558,1,F2533-Assumptions!$I$36)*INDEX($C$2564:$N$2564,1,F2533-Assumptions!$I$36)*Assumptions!$I$32)</f>
        <v>1.16024669562754</v>
      </c>
      <c r="G2567" s="48" t="n">
        <f aca="false">IF(G2533-Assumptions!$I$36&lt;1,0,INDEX($C$2558:$N$2558,1,G2533-Assumptions!$I$36)*INDEX($C$2564:$N$2564,1,G2533-Assumptions!$I$36)*Assumptions!$I$32)</f>
        <v>1.28992767659064</v>
      </c>
      <c r="H2567" s="48" t="n">
        <f aca="false">IF(H2533-Assumptions!$I$36&lt;1,0,INDEX($C$2558:$N$2558,1,H2533-Assumptions!$I$36)*INDEX($C$2564:$N$2564,1,H2533-Assumptions!$I$36)*Assumptions!$I$32)</f>
        <v>1.68676400966445</v>
      </c>
      <c r="I2567" s="48" t="n">
        <f aca="false">IF(I2533-Assumptions!$I$36&lt;1,0,INDEX($C$2558:$N$2558,1,I2533-Assumptions!$I$36)*INDEX($C$2564:$N$2564,1,I2533-Assumptions!$I$36)*Assumptions!$I$32)</f>
        <v>2.0523440195441</v>
      </c>
      <c r="J2567" s="48" t="n">
        <f aca="false">IF(J2533-Assumptions!$I$36&lt;1,0,INDEX($C$2558:$N$2558,1,J2533-Assumptions!$I$36)*INDEX($C$2564:$N$2564,1,J2533-Assumptions!$I$36)*Assumptions!$I$32)</f>
        <v>2.53007898962653</v>
      </c>
      <c r="K2567" s="48" t="n">
        <f aca="false">IF(K2533-Assumptions!$I$36&lt;1,0,INDEX($C$2558:$N$2558,1,K2533-Assumptions!$I$36)*INDEX($C$2564:$N$2564,1,K2533-Assumptions!$I$36)*Assumptions!$I$32)</f>
        <v>2.90824051383438</v>
      </c>
      <c r="L2567" s="48" t="n">
        <f aca="false">IF(L2533-Assumptions!$I$36&lt;1,0,INDEX($C$2558:$N$2558,1,L2533-Assumptions!$I$36)*INDEX($C$2564:$N$2564,1,L2533-Assumptions!$I$36)*Assumptions!$I$32)</f>
        <v>2.88739911736448</v>
      </c>
      <c r="M2567" s="48" t="n">
        <f aca="false">IF(M2533-Assumptions!$I$36&lt;1,0,INDEX($C$2558:$N$2558,1,M2533-Assumptions!$I$36)*INDEX($C$2564:$N$2564,1,M2533-Assumptions!$I$36)*Assumptions!$I$32)</f>
        <v>2.86594037236168</v>
      </c>
      <c r="N2567" s="48" t="n">
        <f aca="false">IF(N2533-Assumptions!$I$36&lt;1,0,INDEX($C$2558:$N$2558,1,N2533-Assumptions!$I$36)*INDEX($C$2564:$N$2564,1,N2533-Assumptions!$I$36)*Assumptions!$I$32)</f>
        <v>2.84394647797302</v>
      </c>
      <c r="P2567" s="49" t="n">
        <f aca="false">SUM(C2567:F2567)</f>
        <v>1.77216192481754</v>
      </c>
      <c r="Q2567" s="49" t="n">
        <f aca="false">SUM(G2567:J2567)</f>
        <v>7.55911469542571</v>
      </c>
      <c r="R2567" s="49" t="n">
        <f aca="false">SUM(K2567:N2567)</f>
        <v>11.5055264815336</v>
      </c>
      <c r="S2567" s="50" t="n">
        <f aca="false">SUM(P2567:R2567)</f>
        <v>20.8368031017768</v>
      </c>
    </row>
    <row r="2568" customFormat="false" ht="15" hidden="false" customHeight="false" outlineLevel="0" collapsed="false">
      <c r="A2568" s="4" t="s">
        <v>519</v>
      </c>
      <c r="B2568" s="36" t="s">
        <v>77</v>
      </c>
      <c r="C2568" s="51" t="n">
        <f aca="false">IF(C2533-Assumptions!$I$35&lt;1,0,IFERROR(INDEX($C$2557:$N$2557,1,C2533-Assumptions!$I$35)/INDEX($C$2558:$N$2558,1,C2533-Assumptions!$I$35),0))</f>
        <v>0</v>
      </c>
      <c r="D2568" s="51" t="n">
        <f aca="false">IF(D2533-Assumptions!$I$35&lt;1,0,IFERROR(INDEX($C$2557:$N$2557,1,D2533-Assumptions!$I$35)/INDEX($C$2558:$N$2558,1,D2533-Assumptions!$I$35),0))</f>
        <v>0.224462090774244</v>
      </c>
      <c r="E2568" s="51" t="n">
        <f aca="false">IF(E2533-Assumptions!$I$35&lt;1,0,IFERROR(INDEX($C$2557:$N$2557,1,E2533-Assumptions!$I$35)/INDEX($C$2558:$N$2558,1,E2533-Assumptions!$I$35),0))</f>
        <v>0.17757228558143</v>
      </c>
      <c r="F2568" s="51" t="n">
        <f aca="false">IF(F2533-Assumptions!$I$35&lt;1,0,IFERROR(INDEX($C$2557:$N$2557,1,F2533-Assumptions!$I$35)/INDEX($C$2558:$N$2558,1,F2533-Assumptions!$I$35),0))</f>
        <v>0.212960422841098</v>
      </c>
      <c r="G2568" s="51" t="n">
        <f aca="false">IF(G2533-Assumptions!$I$35&lt;1,0,IFERROR(INDEX($C$2557:$N$2557,1,G2533-Assumptions!$I$35)/INDEX($C$2558:$N$2558,1,G2533-Assumptions!$I$35),0))</f>
        <v>0.196200710008685</v>
      </c>
      <c r="H2568" s="51" t="n">
        <f aca="false">IF(H2533-Assumptions!$I$35&lt;1,0,IFERROR(INDEX($C$2557:$N$2557,1,H2533-Assumptions!$I$35)/INDEX($C$2558:$N$2558,1,H2533-Assumptions!$I$35),0))</f>
        <v>0.189837583715254</v>
      </c>
      <c r="I2568" s="51" t="n">
        <f aca="false">IF(I2533-Assumptions!$I$35&lt;1,0,IFERROR(INDEX($C$2557:$N$2557,1,I2533-Assumptions!$I$35)/INDEX($C$2558:$N$2558,1,I2533-Assumptions!$I$35),0))</f>
        <v>0.184080697453454</v>
      </c>
      <c r="J2568" s="51" t="n">
        <f aca="false">IF(J2533-Assumptions!$I$35&lt;1,0,IFERROR(INDEX($C$2557:$N$2557,1,J2533-Assumptions!$I$35)/INDEX($C$2558:$N$2558,1,J2533-Assumptions!$I$35),0))</f>
        <v>0.16262261408717</v>
      </c>
      <c r="K2568" s="51" t="n">
        <f aca="false">IF(K2533-Assumptions!$I$35&lt;1,0,IFERROR(INDEX($C$2557:$N$2557,1,K2533-Assumptions!$I$35)/INDEX($C$2558:$N$2558,1,K2533-Assumptions!$I$35),0))</f>
        <v>0.163796432543641</v>
      </c>
      <c r="L2568" s="51" t="n">
        <f aca="false">IF(L2533-Assumptions!$I$35&lt;1,0,IFERROR(INDEX($C$2557:$N$2557,1,L2533-Assumptions!$I$35)/INDEX($C$2558:$N$2558,1,L2533-Assumptions!$I$35),0))</f>
        <v>0.165022859273317</v>
      </c>
      <c r="M2568" s="51" t="n">
        <f aca="false">IF(M2533-Assumptions!$I$35&lt;1,0,IFERROR(INDEX($C$2557:$N$2557,1,M2533-Assumptions!$I$35)/INDEX($C$2558:$N$2558,1,M2533-Assumptions!$I$35),0))</f>
        <v>0.166299077151074</v>
      </c>
      <c r="N2568" s="51" t="n">
        <f aca="false">IF(N2533-Assumptions!$I$35&lt;1,0,IFERROR(INDEX($C$2557:$N$2557,1,N2533-Assumptions!$I$35)/INDEX($C$2558:$N$2558,1,N2533-Assumptions!$I$35),0))</f>
        <v>0.167622424013702</v>
      </c>
      <c r="P2568" s="52"/>
      <c r="Q2568" s="52"/>
      <c r="R2568" s="52"/>
      <c r="S2568" s="53"/>
    </row>
    <row r="2569" customFormat="false" ht="15" hidden="false" customHeight="false" outlineLevel="0" collapsed="false">
      <c r="A2569" s="4" t="s">
        <v>520</v>
      </c>
      <c r="B2569" s="36" t="s">
        <v>516</v>
      </c>
      <c r="C2569" s="48" t="n">
        <f aca="false">C2565*Assumptions!$I$37</f>
        <v>0</v>
      </c>
      <c r="D2569" s="48" t="n">
        <f aca="false">D2565*Assumptions!$I$37</f>
        <v>4.2938241486132</v>
      </c>
      <c r="E2569" s="48" t="n">
        <f aca="false">E2565*Assumptions!$I$37</f>
        <v>8.14147947686927</v>
      </c>
      <c r="F2569" s="48" t="n">
        <f aca="false">F2565*Assumptions!$I$37</f>
        <v>9.05145409608623</v>
      </c>
      <c r="G2569" s="48" t="n">
        <f aca="false">G2565*Assumptions!$I$37</f>
        <v>12.2980270542728</v>
      </c>
      <c r="H2569" s="48" t="n">
        <f aca="false">H2565*Assumptions!$I$37</f>
        <v>15.2630585378432</v>
      </c>
      <c r="I2569" s="48" t="n">
        <f aca="false">I2565*Assumptions!$I$37</f>
        <v>18.074307375508</v>
      </c>
      <c r="J2569" s="48" t="n">
        <f aca="false">J2565*Assumptions!$I$37</f>
        <v>20.2481973712814</v>
      </c>
      <c r="K2569" s="48" t="n">
        <f aca="false">K2565*Assumptions!$I$37</f>
        <v>20.1030922098588</v>
      </c>
      <c r="L2569" s="48" t="n">
        <f aca="false">L2565*Assumptions!$I$37</f>
        <v>19.9536888499613</v>
      </c>
      <c r="M2569" s="48" t="n">
        <f aca="false">M2565*Assumptions!$I$37</f>
        <v>19.8005595910756</v>
      </c>
      <c r="N2569" s="48" t="n">
        <f aca="false">N2565*Assumptions!$I$37</f>
        <v>19.6442379738022</v>
      </c>
      <c r="P2569" s="49" t="n">
        <f aca="false">SUM(C2569:F2569)</f>
        <v>21.4867577215687</v>
      </c>
      <c r="Q2569" s="49" t="n">
        <f aca="false">SUM(G2569:J2569)</f>
        <v>65.8835903389053</v>
      </c>
      <c r="R2569" s="49" t="n">
        <f aca="false">SUM(K2569:N2569)</f>
        <v>79.5015786246979</v>
      </c>
      <c r="S2569" s="50" t="n">
        <f aca="false">SUM(P2569:R2569)</f>
        <v>166.871926685172</v>
      </c>
    </row>
    <row r="2570" customFormat="false" ht="15" hidden="false" customHeight="false" outlineLevel="0" collapsed="false">
      <c r="A2570" s="4" t="s">
        <v>521</v>
      </c>
      <c r="B2570" s="36" t="s">
        <v>516</v>
      </c>
      <c r="C2570" s="48" t="n">
        <f aca="false">C2565*(1-Assumptions!$I$37)</f>
        <v>0</v>
      </c>
      <c r="D2570" s="48" t="n">
        <f aca="false">D2565*(1-Assumptions!$I$37)</f>
        <v>2.8625494324088</v>
      </c>
      <c r="E2570" s="48" t="n">
        <f aca="false">E2565*(1-Assumptions!$I$37)</f>
        <v>5.42765298457951</v>
      </c>
      <c r="F2570" s="48" t="n">
        <f aca="false">F2565*(1-Assumptions!$I$37)</f>
        <v>6.03430273072415</v>
      </c>
      <c r="G2570" s="48" t="n">
        <f aca="false">G2565*(1-Assumptions!$I$37)</f>
        <v>8.1986847028485</v>
      </c>
      <c r="H2570" s="48" t="n">
        <f aca="false">H2565*(1-Assumptions!$I$37)</f>
        <v>10.1753723585621</v>
      </c>
      <c r="I2570" s="48" t="n">
        <f aca="false">I2565*(1-Assumptions!$I$37)</f>
        <v>12.0495382503387</v>
      </c>
      <c r="J2570" s="48" t="n">
        <f aca="false">J2565*(1-Assumptions!$I$37)</f>
        <v>13.4987982475209</v>
      </c>
      <c r="K2570" s="48" t="n">
        <f aca="false">K2565*(1-Assumptions!$I$37)</f>
        <v>13.4020614732392</v>
      </c>
      <c r="L2570" s="48" t="n">
        <f aca="false">L2565*(1-Assumptions!$I$37)</f>
        <v>13.3024592333075</v>
      </c>
      <c r="M2570" s="48" t="n">
        <f aca="false">M2565*(1-Assumptions!$I$37)</f>
        <v>13.2003730607171</v>
      </c>
      <c r="N2570" s="48" t="n">
        <f aca="false">N2565*(1-Assumptions!$I$37)</f>
        <v>13.0961586492015</v>
      </c>
      <c r="P2570" s="49" t="n">
        <f aca="false">SUM(C2570:F2570)</f>
        <v>14.3245051477125</v>
      </c>
      <c r="Q2570" s="49" t="n">
        <f aca="false">SUM(G2570:J2570)</f>
        <v>43.9223935592702</v>
      </c>
      <c r="R2570" s="49" t="n">
        <f aca="false">SUM(K2570:N2570)</f>
        <v>53.0010524164653</v>
      </c>
      <c r="S2570" s="50" t="n">
        <f aca="false">SUM(P2570:R2570)</f>
        <v>111.247951123448</v>
      </c>
    </row>
    <row r="2571" customFormat="false" ht="15" hidden="false" customHeight="false" outlineLevel="0" collapsed="false">
      <c r="A2571" s="4" t="s">
        <v>522</v>
      </c>
      <c r="B2571" s="36" t="s">
        <v>125</v>
      </c>
      <c r="C2571" s="54" t="n">
        <f aca="false">C2570*$C$2524+C2566*$C$2525+C2567*$C$2526</f>
        <v>0</v>
      </c>
      <c r="D2571" s="54" t="n">
        <f aca="false">D2570*$C$2524+D2566*$C$2525+D2567*$C$2526</f>
        <v>30969.2906368892</v>
      </c>
      <c r="E2571" s="54" t="n">
        <f aca="false">E2570*$C$2524+E2566*$C$2525+E2567*$C$2526</f>
        <v>85834.5437376047</v>
      </c>
      <c r="F2571" s="54" t="n">
        <f aca="false">F2570*$C$2524+F2566*$C$2525+F2567*$C$2526</f>
        <v>116694.320750956</v>
      </c>
      <c r="G2571" s="54" t="n">
        <f aca="false">G2570*$C$2524+G2566*$C$2525+G2567*$C$2526</f>
        <v>145979.226060221</v>
      </c>
      <c r="H2571" s="54" t="n">
        <f aca="false">H2570*$C$2524+H2566*$C$2525+H2567*$C$2526</f>
        <v>185054.627497566</v>
      </c>
      <c r="I2571" s="54" t="n">
        <f aca="false">I2570*$C$2524+I2566*$C$2525+I2567*$C$2526</f>
        <v>224888.012677618</v>
      </c>
      <c r="J2571" s="54" t="n">
        <f aca="false">J2570*$C$2524+J2566*$C$2525+J2567*$C$2526</f>
        <v>264623.181409103</v>
      </c>
      <c r="K2571" s="54" t="n">
        <f aca="false">K2570*$C$2524+K2566*$C$2525+K2567*$C$2526</f>
        <v>280286.543768377</v>
      </c>
      <c r="L2571" s="54" t="n">
        <f aca="false">L2570*$C$2524+L2566*$C$2525+L2567*$C$2526</f>
        <v>278237.711416604</v>
      </c>
      <c r="M2571" s="54" t="n">
        <f aca="false">M2570*$C$2524+M2566*$C$2525+M2567*$C$2526</f>
        <v>276133.459783676</v>
      </c>
      <c r="N2571" s="54" t="n">
        <f aca="false">N2570*$C$2524+N2566*$C$2525+N2567*$C$2526</f>
        <v>273981.449898614</v>
      </c>
      <c r="P2571" s="55" t="n">
        <f aca="false">SUM(C2571:F2571)</f>
        <v>233498.15512545</v>
      </c>
      <c r="Q2571" s="55" t="n">
        <f aca="false">SUM(G2571:J2571)</f>
        <v>820545.047644508</v>
      </c>
      <c r="R2571" s="55" t="n">
        <f aca="false">SUM(K2571:N2571)</f>
        <v>1108639.16486727</v>
      </c>
      <c r="S2571" s="56" t="n">
        <f aca="false">SUM(P2571:R2571)</f>
        <v>2162682.36763723</v>
      </c>
    </row>
    <row r="2572" customFormat="false" ht="15" hidden="false" customHeight="false" outlineLevel="0" collapsed="false">
      <c r="A2572" s="4" t="s">
        <v>523</v>
      </c>
      <c r="B2572" s="36" t="s">
        <v>125</v>
      </c>
      <c r="C2572" s="54" t="n">
        <f aca="false">(C2548+Assumptions!$E$104*C2534)*$C$2529</f>
        <v>0</v>
      </c>
      <c r="D2572" s="54" t="n">
        <f aca="false">(D2548+Assumptions!$E$104*D2534)*$C$2529</f>
        <v>185937.5</v>
      </c>
      <c r="E2572" s="54" t="n">
        <f aca="false">(E2548+Assumptions!$E$104*E2534)*$C$2529</f>
        <v>371875</v>
      </c>
      <c r="F2572" s="54" t="n">
        <f aca="false">(F2548+Assumptions!$E$104*F2534)*$C$2529</f>
        <v>464843.75</v>
      </c>
      <c r="G2572" s="54" t="n">
        <f aca="false">(G2548+Assumptions!$E$104*G2534)*$C$2529</f>
        <v>557812.5</v>
      </c>
      <c r="H2572" s="54" t="n">
        <f aca="false">(H2548+Assumptions!$E$104*H2534)*$C$2529</f>
        <v>650781.25</v>
      </c>
      <c r="I2572" s="54" t="n">
        <f aca="false">(I2548+Assumptions!$E$104*I2534)*$C$2529</f>
        <v>743750</v>
      </c>
      <c r="J2572" s="54" t="n">
        <f aca="false">(J2548+Assumptions!$E$104*J2534)*$C$2529</f>
        <v>836718.75</v>
      </c>
      <c r="K2572" s="54" t="n">
        <f aca="false">(K2548+Assumptions!$E$104*K2534)*$C$2529</f>
        <v>929687.5</v>
      </c>
      <c r="L2572" s="54" t="n">
        <f aca="false">(L2548+Assumptions!$E$104*L2534)*$C$2529</f>
        <v>1022656.25</v>
      </c>
      <c r="M2572" s="54" t="n">
        <f aca="false">(M2548+Assumptions!$E$104*M2534)*$C$2529</f>
        <v>1115625</v>
      </c>
      <c r="N2572" s="54" t="n">
        <f aca="false">(N2548+Assumptions!$E$104*N2534)*$C$2529</f>
        <v>1115625</v>
      </c>
      <c r="P2572" s="55" t="n">
        <f aca="false">SUM(C2572:F2572)</f>
        <v>1022656.25</v>
      </c>
      <c r="Q2572" s="55" t="n">
        <f aca="false">SUM(G2572:J2572)</f>
        <v>2789062.5</v>
      </c>
      <c r="R2572" s="55" t="n">
        <f aca="false">SUM(K2572:N2572)</f>
        <v>4183593.75</v>
      </c>
      <c r="S2572" s="56" t="n">
        <f aca="false">SUM(P2572:R2572)</f>
        <v>7995312.5</v>
      </c>
    </row>
    <row r="2573" customFormat="false" ht="15" hidden="false" customHeight="false" outlineLevel="0" collapsed="false">
      <c r="A2573" s="4" t="s">
        <v>524</v>
      </c>
      <c r="B2573" s="36" t="s">
        <v>77</v>
      </c>
      <c r="C2573" s="51" t="n">
        <f aca="false">IF(C2571&gt;0,MIN(1,C2572/C2571),1)</f>
        <v>1</v>
      </c>
      <c r="D2573" s="51" t="n">
        <f aca="false">IF(D2571&gt;0,MIN(1,D2572/D2571),1)</f>
        <v>1</v>
      </c>
      <c r="E2573" s="51" t="n">
        <f aca="false">IF(E2571&gt;0,MIN(1,E2572/E2571),1)</f>
        <v>1</v>
      </c>
      <c r="F2573" s="51" t="n">
        <f aca="false">IF(F2571&gt;0,MIN(1,F2572/F2571),1)</f>
        <v>1</v>
      </c>
      <c r="G2573" s="51" t="n">
        <f aca="false">IF(G2571&gt;0,MIN(1,G2572/G2571),1)</f>
        <v>1</v>
      </c>
      <c r="H2573" s="51" t="n">
        <f aca="false">IF(H2571&gt;0,MIN(1,H2572/H2571),1)</f>
        <v>1</v>
      </c>
      <c r="I2573" s="51" t="n">
        <f aca="false">IF(I2571&gt;0,MIN(1,I2572/I2571),1)</f>
        <v>1</v>
      </c>
      <c r="J2573" s="51" t="n">
        <f aca="false">IF(J2571&gt;0,MIN(1,J2572/J2571),1)</f>
        <v>1</v>
      </c>
      <c r="K2573" s="51" t="n">
        <f aca="false">IF(K2571&gt;0,MIN(1,K2572/K2571),1)</f>
        <v>1</v>
      </c>
      <c r="L2573" s="51" t="n">
        <f aca="false">IF(L2571&gt;0,MIN(1,L2572/L2571),1)</f>
        <v>1</v>
      </c>
      <c r="M2573" s="51" t="n">
        <f aca="false">IF(M2571&gt;0,MIN(1,M2572/M2571),1)</f>
        <v>1</v>
      </c>
      <c r="N2573" s="51" t="n">
        <f aca="false">IF(N2571&gt;0,MIN(1,N2572/N2571),1)</f>
        <v>1</v>
      </c>
      <c r="P2573" s="52"/>
      <c r="Q2573" s="52"/>
      <c r="R2573" s="52"/>
      <c r="S2573" s="53"/>
    </row>
    <row r="2574" customFormat="false" ht="15" hidden="false" customHeight="false" outlineLevel="0" collapsed="false">
      <c r="A2574" s="4" t="s">
        <v>525</v>
      </c>
      <c r="B2574" s="36" t="s">
        <v>125</v>
      </c>
      <c r="C2574" s="54" t="n">
        <f aca="false">C2571*(1-C2573)</f>
        <v>0</v>
      </c>
      <c r="D2574" s="54" t="n">
        <f aca="false">D2571*(1-D2573)</f>
        <v>0</v>
      </c>
      <c r="E2574" s="54" t="n">
        <f aca="false">E2571*(1-E2573)</f>
        <v>0</v>
      </c>
      <c r="F2574" s="54" t="n">
        <f aca="false">F2571*(1-F2573)</f>
        <v>0</v>
      </c>
      <c r="G2574" s="54" t="n">
        <f aca="false">G2571*(1-G2573)</f>
        <v>0</v>
      </c>
      <c r="H2574" s="54" t="n">
        <f aca="false">H2571*(1-H2573)</f>
        <v>0</v>
      </c>
      <c r="I2574" s="54" t="n">
        <f aca="false">I2571*(1-I2573)</f>
        <v>0</v>
      </c>
      <c r="J2574" s="54" t="n">
        <f aca="false">J2571*(1-J2573)</f>
        <v>0</v>
      </c>
      <c r="K2574" s="54" t="n">
        <f aca="false">K2571*(1-K2573)</f>
        <v>0</v>
      </c>
      <c r="L2574" s="54" t="n">
        <f aca="false">L2571*(1-L2573)</f>
        <v>0</v>
      </c>
      <c r="M2574" s="54" t="n">
        <f aca="false">M2571*(1-M2573)</f>
        <v>0</v>
      </c>
      <c r="N2574" s="54" t="n">
        <f aca="false">N2571*(1-N2573)</f>
        <v>0</v>
      </c>
      <c r="P2574" s="55" t="n">
        <f aca="false">SUM(C2574:F2574)</f>
        <v>0</v>
      </c>
      <c r="Q2574" s="55" t="n">
        <f aca="false">SUM(G2574:J2574)</f>
        <v>0</v>
      </c>
      <c r="R2574" s="55" t="n">
        <f aca="false">SUM(K2574:N2574)</f>
        <v>0</v>
      </c>
      <c r="S2574" s="56" t="n">
        <f aca="false">SUM(P2574:R2574)</f>
        <v>0</v>
      </c>
    </row>
    <row r="2575" customFormat="false" ht="15" hidden="false" customHeight="false" outlineLevel="0" collapsed="false">
      <c r="A2575" s="4" t="s">
        <v>526</v>
      </c>
      <c r="B2575" s="36" t="s">
        <v>527</v>
      </c>
      <c r="C2575" s="48" t="n">
        <f aca="false">C2569+C2570*C2573</f>
        <v>0</v>
      </c>
      <c r="D2575" s="48" t="n">
        <f aca="false">D2569+D2570*D2573</f>
        <v>7.156373581022</v>
      </c>
      <c r="E2575" s="48" t="n">
        <f aca="false">E2569+E2570*E2573</f>
        <v>13.5691324614488</v>
      </c>
      <c r="F2575" s="48" t="n">
        <f aca="false">F2569+F2570*F2573</f>
        <v>15.0857568268104</v>
      </c>
      <c r="G2575" s="48" t="n">
        <f aca="false">G2569+G2570*G2573</f>
        <v>20.4967117571213</v>
      </c>
      <c r="H2575" s="48" t="n">
        <f aca="false">H2569+H2570*H2573</f>
        <v>25.4384308964053</v>
      </c>
      <c r="I2575" s="48" t="n">
        <f aca="false">I2569+I2570*I2573</f>
        <v>30.1238456258467</v>
      </c>
      <c r="J2575" s="48" t="n">
        <f aca="false">J2569+J2570*J2573</f>
        <v>33.7469956188023</v>
      </c>
      <c r="K2575" s="48" t="n">
        <f aca="false">K2569+K2570*K2573</f>
        <v>33.505153683098</v>
      </c>
      <c r="L2575" s="48" t="n">
        <f aca="false">L2569+L2570*L2573</f>
        <v>33.2561480832689</v>
      </c>
      <c r="M2575" s="48" t="n">
        <f aca="false">M2569+M2570*M2573</f>
        <v>33.0009326517927</v>
      </c>
      <c r="N2575" s="48" t="n">
        <f aca="false">N2569+N2570*N2573</f>
        <v>32.7403966230036</v>
      </c>
      <c r="P2575" s="49" t="n">
        <f aca="false">SUM(C2575:F2575)</f>
        <v>35.8112628692812</v>
      </c>
      <c r="Q2575" s="49" t="n">
        <f aca="false">SUM(G2575:J2575)</f>
        <v>109.805983898176</v>
      </c>
      <c r="R2575" s="49" t="n">
        <f aca="false">SUM(K2575:N2575)</f>
        <v>132.502631041163</v>
      </c>
      <c r="S2575" s="50" t="n">
        <f aca="false">SUM(P2575:R2575)</f>
        <v>278.11987780862</v>
      </c>
    </row>
    <row r="2576" customFormat="false" ht="15" hidden="false" customHeight="false" outlineLevel="0" collapsed="false">
      <c r="A2576" s="4" t="s">
        <v>528</v>
      </c>
      <c r="B2576" s="36" t="s">
        <v>527</v>
      </c>
      <c r="C2576" s="48" t="n">
        <f aca="false">C2566*C2573</f>
        <v>0</v>
      </c>
      <c r="D2576" s="48" t="n">
        <f aca="false">D2566*D2573</f>
        <v>2.92393984952117</v>
      </c>
      <c r="E2576" s="48" t="n">
        <f aca="false">E2566*E2573</f>
        <v>5.54405477554672</v>
      </c>
      <c r="F2576" s="48" t="n">
        <f aca="false">F2566*F2573</f>
        <v>6.16371477071459</v>
      </c>
      <c r="G2576" s="48" t="n">
        <f aca="false">G2566*G2573</f>
        <v>8.3974533222803</v>
      </c>
      <c r="H2576" s="48" t="n">
        <f aca="false">H2566*H2573</f>
        <v>10.4363829159772</v>
      </c>
      <c r="I2576" s="48" t="n">
        <f aca="false">I2566*I2573</f>
        <v>12.9782362585587</v>
      </c>
      <c r="J2576" s="48" t="n">
        <f aca="false">J2566*J2573</f>
        <v>14.9980966289275</v>
      </c>
      <c r="K2576" s="48" t="n">
        <f aca="false">K2566*K2573</f>
        <v>14.8906153952914</v>
      </c>
      <c r="L2576" s="48" t="n">
        <f aca="false">L2566*L2573</f>
        <v>14.779950431525</v>
      </c>
      <c r="M2576" s="48" t="n">
        <f aca="false">M2566*M2573</f>
        <v>14.6665256471173</v>
      </c>
      <c r="N2576" s="48" t="n">
        <f aca="false">N2566*N2573</f>
        <v>14.5507362423585</v>
      </c>
      <c r="P2576" s="49" t="n">
        <f aca="false">SUM(C2576:F2576)</f>
        <v>14.6317093957825</v>
      </c>
      <c r="Q2576" s="49" t="n">
        <f aca="false">SUM(G2576:J2576)</f>
        <v>46.8101691257437</v>
      </c>
      <c r="R2576" s="49" t="n">
        <f aca="false">SUM(K2576:N2576)</f>
        <v>58.8878277162922</v>
      </c>
      <c r="S2576" s="50" t="n">
        <f aca="false">SUM(P2576:R2576)</f>
        <v>120.329706237818</v>
      </c>
    </row>
    <row r="2577" customFormat="false" ht="15" hidden="false" customHeight="false" outlineLevel="0" collapsed="false">
      <c r="A2577" s="4" t="s">
        <v>529</v>
      </c>
      <c r="B2577" s="36" t="s">
        <v>527</v>
      </c>
      <c r="C2577" s="48" t="n">
        <f aca="false">C2567*C2573</f>
        <v>0</v>
      </c>
      <c r="D2577" s="48" t="n">
        <f aca="false">D2567*D2573</f>
        <v>0</v>
      </c>
      <c r="E2577" s="48" t="n">
        <f aca="false">E2567*E2573</f>
        <v>0.611915229190005</v>
      </c>
      <c r="F2577" s="48" t="n">
        <f aca="false">F2567*F2573</f>
        <v>1.16024669562754</v>
      </c>
      <c r="G2577" s="48" t="n">
        <f aca="false">G2567*G2573</f>
        <v>1.28992767659064</v>
      </c>
      <c r="H2577" s="48" t="n">
        <f aca="false">H2567*H2573</f>
        <v>1.68676400966445</v>
      </c>
      <c r="I2577" s="48" t="n">
        <f aca="false">I2567*I2573</f>
        <v>2.0523440195441</v>
      </c>
      <c r="J2577" s="48" t="n">
        <f aca="false">J2567*J2573</f>
        <v>2.53007898962653</v>
      </c>
      <c r="K2577" s="48" t="n">
        <f aca="false">K2567*K2573</f>
        <v>2.90824051383438</v>
      </c>
      <c r="L2577" s="48" t="n">
        <f aca="false">L2567*L2573</f>
        <v>2.88739911736448</v>
      </c>
      <c r="M2577" s="48" t="n">
        <f aca="false">M2567*M2573</f>
        <v>2.86594037236168</v>
      </c>
      <c r="N2577" s="48" t="n">
        <f aca="false">N2567*N2573</f>
        <v>2.84394647797302</v>
      </c>
      <c r="P2577" s="49" t="n">
        <f aca="false">SUM(C2577:F2577)</f>
        <v>1.77216192481754</v>
      </c>
      <c r="Q2577" s="49" t="n">
        <f aca="false">SUM(G2577:J2577)</f>
        <v>7.55911469542571</v>
      </c>
      <c r="R2577" s="49" t="n">
        <f aca="false">SUM(K2577:N2577)</f>
        <v>11.5055264815336</v>
      </c>
      <c r="S2577" s="50" t="n">
        <f aca="false">SUM(P2577:R2577)</f>
        <v>20.8368031017768</v>
      </c>
    </row>
    <row r="2578" customFormat="false" ht="15" hidden="false" customHeight="false" outlineLevel="0" collapsed="false">
      <c r="A2578" s="9" t="s">
        <v>530</v>
      </c>
      <c r="B2578" s="36" t="s">
        <v>527</v>
      </c>
      <c r="C2578" s="49" t="n">
        <f aca="false">C2575+C2576+C2577</f>
        <v>0</v>
      </c>
      <c r="D2578" s="49" t="n">
        <f aca="false">D2575+D2576+D2577</f>
        <v>10.0803134305432</v>
      </c>
      <c r="E2578" s="49" t="n">
        <f aca="false">E2575+E2576+E2577</f>
        <v>19.7251024661855</v>
      </c>
      <c r="F2578" s="49" t="n">
        <f aca="false">F2575+F2576+F2577</f>
        <v>22.4097182931525</v>
      </c>
      <c r="G2578" s="49" t="n">
        <f aca="false">G2575+G2576+G2577</f>
        <v>30.1840927559922</v>
      </c>
      <c r="H2578" s="49" t="n">
        <f aca="false">H2575+H2576+H2577</f>
        <v>37.5615778220469</v>
      </c>
      <c r="I2578" s="49" t="n">
        <f aca="false">I2575+I2576+I2577</f>
        <v>45.1544259039495</v>
      </c>
      <c r="J2578" s="49" t="n">
        <f aca="false">J2575+J2576+J2577</f>
        <v>51.2751712373563</v>
      </c>
      <c r="K2578" s="49" t="n">
        <f aca="false">K2575+K2576+K2577</f>
        <v>51.3040095922238</v>
      </c>
      <c r="L2578" s="49" t="n">
        <f aca="false">L2575+L2576+L2577</f>
        <v>50.9234976321583</v>
      </c>
      <c r="M2578" s="49" t="n">
        <f aca="false">M2575+M2576+M2577</f>
        <v>50.5333986712717</v>
      </c>
      <c r="N2578" s="49" t="n">
        <f aca="false">N2575+N2576+N2577</f>
        <v>50.1350793433352</v>
      </c>
      <c r="P2578" s="49" t="n">
        <f aca="false">SUM(C2578:F2578)</f>
        <v>52.2151341898812</v>
      </c>
      <c r="Q2578" s="49" t="n">
        <f aca="false">SUM(G2578:J2578)</f>
        <v>164.175267719345</v>
      </c>
      <c r="R2578" s="49" t="n">
        <f aca="false">SUM(K2578:N2578)</f>
        <v>202.895985238989</v>
      </c>
      <c r="S2578" s="50" t="n">
        <f aca="false">SUM(P2578:R2578)</f>
        <v>419.286387148215</v>
      </c>
    </row>
    <row r="2579" customFormat="false" ht="15" hidden="false" customHeight="false" outlineLevel="0" collapsed="false">
      <c r="A2579" s="35" t="s">
        <v>533</v>
      </c>
      <c r="B2579" s="35" t="s">
        <v>444</v>
      </c>
      <c r="C2579" s="6" t="s">
        <v>354</v>
      </c>
      <c r="D2579" s="6" t="s">
        <v>355</v>
      </c>
      <c r="E2579" s="6" t="s">
        <v>356</v>
      </c>
      <c r="F2579" s="6" t="s">
        <v>357</v>
      </c>
      <c r="G2579" s="6" t="s">
        <v>358</v>
      </c>
      <c r="H2579" s="6" t="s">
        <v>359</v>
      </c>
      <c r="I2579" s="6" t="s">
        <v>360</v>
      </c>
      <c r="J2579" s="6" t="s">
        <v>361</v>
      </c>
      <c r="K2579" s="6" t="s">
        <v>362</v>
      </c>
      <c r="L2579" s="6" t="s">
        <v>363</v>
      </c>
      <c r="M2579" s="6" t="s">
        <v>364</v>
      </c>
      <c r="N2579" s="6" t="s">
        <v>365</v>
      </c>
      <c r="P2579" s="6" t="s">
        <v>445</v>
      </c>
      <c r="Q2579" s="6" t="s">
        <v>446</v>
      </c>
      <c r="R2579" s="6" t="s">
        <v>447</v>
      </c>
      <c r="S2579" s="6" t="s">
        <v>448</v>
      </c>
    </row>
    <row r="2580" customFormat="false" ht="15" hidden="false" customHeight="false" outlineLevel="0" collapsed="false">
      <c r="A2580" s="4" t="s">
        <v>534</v>
      </c>
      <c r="B2580" s="36" t="s">
        <v>527</v>
      </c>
      <c r="C2580" s="48" t="n">
        <f aca="false">0*Assumptions!$I$59^(1/4)+C2575</f>
        <v>0</v>
      </c>
      <c r="D2580" s="48" t="n">
        <f aca="false">C2580*Assumptions!$I$59^(1/4)+D2575</f>
        <v>7.156373581022</v>
      </c>
      <c r="E2580" s="48" t="n">
        <f aca="false">D2580*Assumptions!$I$59^(1/4)+E2575</f>
        <v>20.5587490247209</v>
      </c>
      <c r="F2580" s="48" t="n">
        <f aca="false">E2580*Assumptions!$I$59^(1/4)+F2575</f>
        <v>35.1654481783652</v>
      </c>
      <c r="G2580" s="48" t="n">
        <f aca="false">F2580*Assumptions!$I$59^(1/4)+G2575</f>
        <v>54.8427385903496</v>
      </c>
      <c r="H2580" s="48" t="n">
        <f aca="false">G2580*Assumptions!$I$59^(1/4)+H2575</f>
        <v>79.0032301185787</v>
      </c>
      <c r="I2580" s="48" t="n">
        <f aca="false">H2580*Assumptions!$I$59^(1/4)+I2575</f>
        <v>107.286151301615</v>
      </c>
      <c r="J2580" s="48" t="n">
        <f aca="false">I2580*Assumptions!$I$59^(1/4)+J2575</f>
        <v>138.533177007672</v>
      </c>
      <c r="K2580" s="48" t="n">
        <f aca="false">J2580*Assumptions!$I$59^(1/4)+K2575</f>
        <v>168.810246075612</v>
      </c>
      <c r="L2580" s="48" t="n">
        <f aca="false">K2580*Assumptions!$I$59^(1/4)+L2575</f>
        <v>198.132796662539</v>
      </c>
      <c r="M2580" s="48" t="n">
        <f aca="false">L2580*Assumptions!$I$59^(1/4)+M2575</f>
        <v>226.516861019821</v>
      </c>
      <c r="N2580" s="48" t="n">
        <f aca="false">M2580*Assumptions!$I$59^(1/4)+N2575</f>
        <v>253.978987051431</v>
      </c>
      <c r="P2580" s="49" t="n">
        <f aca="false">F2580</f>
        <v>35.1654481783652</v>
      </c>
      <c r="Q2580" s="49" t="n">
        <f aca="false">J2580</f>
        <v>138.533177007672</v>
      </c>
      <c r="R2580" s="49" t="n">
        <f aca="false">N2580</f>
        <v>253.978987051431</v>
      </c>
      <c r="S2580" s="50" t="n">
        <f aca="false">R2580</f>
        <v>253.978987051431</v>
      </c>
    </row>
    <row r="2581" customFormat="false" ht="15" hidden="false" customHeight="false" outlineLevel="0" collapsed="false">
      <c r="A2581" s="4" t="s">
        <v>535</v>
      </c>
      <c r="B2581" s="36" t="s">
        <v>527</v>
      </c>
      <c r="C2581" s="48" t="n">
        <f aca="false">0*Assumptions!$I$60^(1/4)+C2576</f>
        <v>0</v>
      </c>
      <c r="D2581" s="48" t="n">
        <f aca="false">C2581*Assumptions!$I$60^(1/4)+D2576</f>
        <v>2.92393984952117</v>
      </c>
      <c r="E2581" s="48" t="n">
        <f aca="false">D2581*Assumptions!$I$60^(1/4)+E2576</f>
        <v>8.415424859897</v>
      </c>
      <c r="F2581" s="48" t="n">
        <f aca="false">E2581*Assumptions!$I$60^(1/4)+F2576</f>
        <v>14.4278379857537</v>
      </c>
      <c r="G2581" s="48" t="n">
        <f aca="false">F2581*Assumptions!$I$60^(1/4)+G2576</f>
        <v>22.5658919722512</v>
      </c>
      <c r="H2581" s="48" t="n">
        <f aca="false">G2581*Assumptions!$I$60^(1/4)+H2576</f>
        <v>32.5965607822945</v>
      </c>
      <c r="I2581" s="48" t="n">
        <f aca="false">H2581*Assumptions!$I$60^(1/4)+I2576</f>
        <v>44.9887406806361</v>
      </c>
      <c r="J2581" s="48" t="n">
        <f aca="false">I2581*Assumptions!$I$60^(1/4)+J2576</f>
        <v>59.1779808847974</v>
      </c>
      <c r="K2581" s="48" t="n">
        <f aca="false">J2581*Assumptions!$I$60^(1/4)+K2576</f>
        <v>73.0046302895057</v>
      </c>
      <c r="L2581" s="48" t="n">
        <f aca="false">K2581*Assumptions!$I$60^(1/4)+L2576</f>
        <v>86.4720242156923</v>
      </c>
      <c r="M2581" s="48" t="n">
        <f aca="false">L2581*Assumptions!$I$60^(1/4)+M2576</f>
        <v>99.5838619277568</v>
      </c>
      <c r="N2581" s="48" t="n">
        <f aca="false">M2581*Assumptions!$I$60^(1/4)+N2576</f>
        <v>112.344171380997</v>
      </c>
      <c r="P2581" s="49" t="n">
        <f aca="false">F2581</f>
        <v>14.4278379857537</v>
      </c>
      <c r="Q2581" s="49" t="n">
        <f aca="false">J2581</f>
        <v>59.1779808847974</v>
      </c>
      <c r="R2581" s="49" t="n">
        <f aca="false">N2581</f>
        <v>112.344171380997</v>
      </c>
      <c r="S2581" s="50" t="n">
        <f aca="false">R2581</f>
        <v>112.344171380997</v>
      </c>
    </row>
    <row r="2582" customFormat="false" ht="15" hidden="false" customHeight="false" outlineLevel="0" collapsed="false">
      <c r="A2582" s="4" t="s">
        <v>536</v>
      </c>
      <c r="B2582" s="36" t="s">
        <v>527</v>
      </c>
      <c r="C2582" s="48" t="n">
        <f aca="false">0*Assumptions!$I$61^(1/4)+C2577</f>
        <v>0</v>
      </c>
      <c r="D2582" s="48" t="n">
        <f aca="false">C2582*Assumptions!$I$61^(1/4)+D2577</f>
        <v>0</v>
      </c>
      <c r="E2582" s="48" t="n">
        <f aca="false">D2582*Assumptions!$I$61^(1/4)+E2577</f>
        <v>0.611915229190005</v>
      </c>
      <c r="F2582" s="48" t="n">
        <f aca="false">E2582*Assumptions!$I$61^(1/4)+F2577</f>
        <v>1.76436523440069</v>
      </c>
      <c r="G2582" s="48" t="n">
        <f aca="false">F2582*Assumptions!$I$61^(1/4)+G2577</f>
        <v>3.03181233057974</v>
      </c>
      <c r="H2582" s="48" t="n">
        <f aca="false">G2582*Assumptions!$I$61^(1/4)+H2577</f>
        <v>4.67994663956683</v>
      </c>
      <c r="I2582" s="48" t="n">
        <f aca="false">H2582*Assumptions!$I$61^(1/4)+I2577</f>
        <v>6.6726613291392</v>
      </c>
      <c r="J2582" s="48" t="n">
        <f aca="false">I2582*Assumptions!$I$61^(1/4)+J2577</f>
        <v>9.11772090405256</v>
      </c>
      <c r="K2582" s="48" t="n">
        <f aca="false">J2582*Assumptions!$I$61^(1/4)+K2577</f>
        <v>11.9097883863867</v>
      </c>
      <c r="L2582" s="48" t="n">
        <f aca="false">K2582*Assumptions!$I$61^(1/4)+L2577</f>
        <v>14.6454394697926</v>
      </c>
      <c r="M2582" s="48" t="n">
        <f aca="false">L2582*Assumptions!$I$61^(1/4)+M2577</f>
        <v>17.3247756327512</v>
      </c>
      <c r="N2582" s="48" t="n">
        <f aca="false">M2582*Assumptions!$I$61^(1/4)+N2577</f>
        <v>19.9479792599067</v>
      </c>
      <c r="P2582" s="49" t="n">
        <f aca="false">F2582</f>
        <v>1.76436523440069</v>
      </c>
      <c r="Q2582" s="49" t="n">
        <f aca="false">J2582</f>
        <v>9.11772090405256</v>
      </c>
      <c r="R2582" s="49" t="n">
        <f aca="false">N2582</f>
        <v>19.9479792599067</v>
      </c>
      <c r="S2582" s="50" t="n">
        <f aca="false">R2582</f>
        <v>19.9479792599067</v>
      </c>
    </row>
    <row r="2583" customFormat="false" ht="15" hidden="false" customHeight="false" outlineLevel="0" collapsed="false">
      <c r="A2583" s="9" t="s">
        <v>537</v>
      </c>
      <c r="B2583" s="36" t="s">
        <v>527</v>
      </c>
      <c r="C2583" s="49" t="n">
        <f aca="false">C2580+C2581+C2582</f>
        <v>0</v>
      </c>
      <c r="D2583" s="49" t="n">
        <f aca="false">D2580+D2581+D2582</f>
        <v>10.0803134305432</v>
      </c>
      <c r="E2583" s="49" t="n">
        <f aca="false">E2580+E2581+E2582</f>
        <v>29.5860891138079</v>
      </c>
      <c r="F2583" s="49" t="n">
        <f aca="false">F2580+F2581+F2582</f>
        <v>51.3576513985196</v>
      </c>
      <c r="G2583" s="49" t="n">
        <f aca="false">G2580+G2581+G2582</f>
        <v>80.4404428931806</v>
      </c>
      <c r="H2583" s="49" t="n">
        <f aca="false">H2580+H2581+H2582</f>
        <v>116.27973754044</v>
      </c>
      <c r="I2583" s="49" t="n">
        <f aca="false">I2580+I2581+I2582</f>
        <v>158.947553311391</v>
      </c>
      <c r="J2583" s="49" t="n">
        <f aca="false">J2580+J2581+J2582</f>
        <v>206.828878796522</v>
      </c>
      <c r="K2583" s="49" t="n">
        <f aca="false">K2580+K2581+K2582</f>
        <v>253.724664751505</v>
      </c>
      <c r="L2583" s="49" t="n">
        <f aca="false">L2580+L2581+L2582</f>
        <v>299.250260348024</v>
      </c>
      <c r="M2583" s="49" t="n">
        <f aca="false">M2580+M2581+M2582</f>
        <v>343.425498580329</v>
      </c>
      <c r="N2583" s="49" t="n">
        <f aca="false">N2580+N2581+N2582</f>
        <v>386.271137692335</v>
      </c>
      <c r="P2583" s="49" t="n">
        <f aca="false">F2583</f>
        <v>51.3576513985196</v>
      </c>
      <c r="Q2583" s="49" t="n">
        <f aca="false">J2583</f>
        <v>206.828878796522</v>
      </c>
      <c r="R2583" s="49" t="n">
        <f aca="false">N2583</f>
        <v>386.271137692335</v>
      </c>
      <c r="S2583" s="50" t="n">
        <f aca="false">R2583</f>
        <v>386.271137692335</v>
      </c>
    </row>
    <row r="2584" customFormat="false" ht="15" hidden="false" customHeight="false" outlineLevel="0" collapsed="false">
      <c r="A2584" s="4" t="s">
        <v>538</v>
      </c>
      <c r="B2584" s="36" t="s">
        <v>125</v>
      </c>
      <c r="C2584" s="54" t="n">
        <f aca="false">0*Assumptions!$I$62^(1/4)+C2575*$C$2524</f>
        <v>0</v>
      </c>
      <c r="D2584" s="54" t="n">
        <f aca="false">C2584*Assumptions!$I$62^(1/4)+D2575*$C$2524</f>
        <v>38300.9114056297</v>
      </c>
      <c r="E2584" s="54" t="n">
        <f aca="false">D2584*Assumptions!$I$62^(1/4)+E2575*$C$2524</f>
        <v>111484.930021389</v>
      </c>
      <c r="F2584" s="54" t="n">
        <f aca="false">E2584*Assumptions!$I$62^(1/4)+F2575*$C$2524</f>
        <v>193859.813271736</v>
      </c>
      <c r="G2584" s="54" t="n">
        <f aca="false">F2584*Assumptions!$I$62^(1/4)+G2575*$C$2524</f>
        <v>306402.883674083</v>
      </c>
      <c r="H2584" s="54" t="n">
        <f aca="false">G2584*Assumptions!$I$62^(1/4)+H2575*$C$2524</f>
        <v>447045.474612312</v>
      </c>
      <c r="I2584" s="54" t="n">
        <f aca="false">H2584*Assumptions!$I$62^(1/4)+I2575*$C$2524</f>
        <v>614828.1729267</v>
      </c>
      <c r="J2584" s="54" t="n">
        <f aca="false">I2584*Assumptions!$I$62^(1/4)+J2575*$C$2524</f>
        <v>804463.987508214</v>
      </c>
      <c r="K2584" s="54" t="n">
        <f aca="false">J2584*Assumptions!$I$62^(1/4)+K2575*$C$2524</f>
        <v>995588.150821076</v>
      </c>
      <c r="L2584" s="54" t="n">
        <f aca="false">K2584*Assumptions!$I$62^(1/4)+L2575*$C$2524</f>
        <v>1188184.16273522</v>
      </c>
      <c r="M2584" s="54" t="n">
        <f aca="false">L2584*Assumptions!$I$62^(1/4)+M2575*$C$2524</f>
        <v>1382240.38591163</v>
      </c>
      <c r="N2584" s="54" t="n">
        <f aca="false">M2584*Assumptions!$I$62^(1/4)+N2575*$C$2524</f>
        <v>1577749.77142892</v>
      </c>
      <c r="P2584" s="55" t="n">
        <f aca="false">F2584</f>
        <v>193859.813271736</v>
      </c>
      <c r="Q2584" s="55" t="n">
        <f aca="false">J2584</f>
        <v>804463.987508214</v>
      </c>
      <c r="R2584" s="55" t="n">
        <f aca="false">N2584</f>
        <v>1577749.77142892</v>
      </c>
      <c r="S2584" s="56" t="n">
        <f aca="false">R2584</f>
        <v>1577749.77142892</v>
      </c>
    </row>
    <row r="2585" customFormat="false" ht="15" hidden="false" customHeight="false" outlineLevel="0" collapsed="false">
      <c r="A2585" s="4" t="s">
        <v>539</v>
      </c>
      <c r="B2585" s="36" t="s">
        <v>125</v>
      </c>
      <c r="C2585" s="54" t="n">
        <f aca="false">0*Assumptions!$I$63^(1/4)+C2576*$C$2525</f>
        <v>0</v>
      </c>
      <c r="D2585" s="54" t="n">
        <f aca="false">C2585*Assumptions!$I$63^(1/4)+D2576*$C$2525</f>
        <v>15648.9260746373</v>
      </c>
      <c r="E2585" s="54" t="n">
        <f aca="false">D2585*Assumptions!$I$63^(1/4)+E2576*$C$2525</f>
        <v>45877.1529413897</v>
      </c>
      <c r="F2585" s="54" t="n">
        <f aca="false">E2585*Assumptions!$I$63^(1/4)+F2576*$C$2525</f>
        <v>80496.6577008804</v>
      </c>
      <c r="G2585" s="54" t="n">
        <f aca="false">F2585*Assumptions!$I$63^(1/4)+G2576*$C$2525</f>
        <v>128302.134181498</v>
      </c>
      <c r="H2585" s="54" t="n">
        <f aca="false">G2585*Assumptions!$I$63^(1/4)+H2576*$C$2525</f>
        <v>188719.832629827</v>
      </c>
      <c r="I2585" s="54" t="n">
        <f aca="false">H2585*Assumptions!$I$63^(1/4)+I2576*$C$2525</f>
        <v>264889.867301462</v>
      </c>
      <c r="J2585" s="54" t="n">
        <f aca="false">I2585*Assumptions!$I$63^(1/4)+J2576*$C$2525</f>
        <v>354578.65458311</v>
      </c>
      <c r="K2585" s="54" t="n">
        <f aca="false">J2585*Assumptions!$I$63^(1/4)+K2576*$C$2525</f>
        <v>446881.363047486</v>
      </c>
      <c r="L2585" s="54" t="n">
        <f aca="false">K2585*Assumptions!$I$63^(1/4)+L2576*$C$2525</f>
        <v>541873.899379898</v>
      </c>
      <c r="M2585" s="54" t="n">
        <f aca="false">L2585*Assumptions!$I$63^(1/4)+M2576*$C$2525</f>
        <v>639637.138124952</v>
      </c>
      <c r="N2585" s="54" t="n">
        <f aca="false">M2585*Assumptions!$I$63^(1/4)+N2576*$C$2525</f>
        <v>740256.944682439</v>
      </c>
      <c r="P2585" s="55" t="n">
        <f aca="false">F2585</f>
        <v>80496.6577008804</v>
      </c>
      <c r="Q2585" s="55" t="n">
        <f aca="false">J2585</f>
        <v>354578.65458311</v>
      </c>
      <c r="R2585" s="55" t="n">
        <f aca="false">N2585</f>
        <v>740256.944682439</v>
      </c>
      <c r="S2585" s="56" t="n">
        <f aca="false">R2585</f>
        <v>740256.944682439</v>
      </c>
    </row>
    <row r="2586" customFormat="false" ht="15" hidden="false" customHeight="false" outlineLevel="0" collapsed="false">
      <c r="A2586" s="4" t="s">
        <v>540</v>
      </c>
      <c r="B2586" s="36" t="s">
        <v>125</v>
      </c>
      <c r="C2586" s="54" t="n">
        <f aca="false">0*Assumptions!$I$64^(1/4)+C2577*$C$2526</f>
        <v>0</v>
      </c>
      <c r="D2586" s="54" t="n">
        <f aca="false">C2586*Assumptions!$I$64^(1/4)+D2577*$C$2526</f>
        <v>0</v>
      </c>
      <c r="E2586" s="54" t="n">
        <f aca="false">D2586*Assumptions!$I$64^(1/4)+E2577*$C$2526</f>
        <v>27113.9638054091</v>
      </c>
      <c r="F2586" s="54" t="n">
        <f aca="false">E2586*Assumptions!$I$64^(1/4)+F2577*$C$2526</f>
        <v>80362.5497459412</v>
      </c>
      <c r="G2586" s="54" t="n">
        <f aca="false">F2586*Assumptions!$I$64^(1/4)+G2577*$C$2526</f>
        <v>142967.020122729</v>
      </c>
      <c r="H2586" s="54" t="n">
        <f aca="false">G2586*Assumptions!$I$64^(1/4)+H2577*$C$2526</f>
        <v>227399.26373525</v>
      </c>
      <c r="I2586" s="54" t="n">
        <f aca="false">H2586*Assumptions!$I$64^(1/4)+I2577*$C$2526</f>
        <v>333754.017047375</v>
      </c>
      <c r="J2586" s="54" t="n">
        <f aca="false">I2586*Assumptions!$I$64^(1/4)+J2577*$C$2526</f>
        <v>468486.99267256</v>
      </c>
      <c r="K2586" s="54" t="n">
        <f aca="false">J2586*Assumptions!$I$64^(1/4)+K2577*$C$2526</f>
        <v>629109.850130682</v>
      </c>
      <c r="L2586" s="54" t="n">
        <f aca="false">K2586*Assumptions!$I$64^(1/4)+L2577*$C$2526</f>
        <v>799697.844380692</v>
      </c>
      <c r="M2586" s="54" t="n">
        <f aca="false">L2586*Assumptions!$I$64^(1/4)+M2577*$C$2526</f>
        <v>980899.157056905</v>
      </c>
      <c r="N2586" s="54" t="n">
        <f aca="false">M2586*Assumptions!$I$64^(1/4)+N2577*$C$2526</f>
        <v>1173409.55225293</v>
      </c>
      <c r="P2586" s="55" t="n">
        <f aca="false">F2586</f>
        <v>80362.5497459412</v>
      </c>
      <c r="Q2586" s="55" t="n">
        <f aca="false">J2586</f>
        <v>468486.99267256</v>
      </c>
      <c r="R2586" s="55" t="n">
        <f aca="false">N2586</f>
        <v>1173409.55225293</v>
      </c>
      <c r="S2586" s="56" t="n">
        <f aca="false">R2586</f>
        <v>1173409.55225293</v>
      </c>
    </row>
    <row r="2587" customFormat="false" ht="15" hidden="false" customHeight="false" outlineLevel="0" collapsed="false">
      <c r="A2587" s="9" t="s">
        <v>541</v>
      </c>
      <c r="B2587" s="36" t="s">
        <v>125</v>
      </c>
      <c r="C2587" s="55" t="n">
        <f aca="false">C2584+C2585+C2586</f>
        <v>0</v>
      </c>
      <c r="D2587" s="55" t="n">
        <f aca="false">D2584+D2585+D2586</f>
        <v>53949.837480267</v>
      </c>
      <c r="E2587" s="55" t="n">
        <f aca="false">E2584+E2585+E2586</f>
        <v>184476.046768188</v>
      </c>
      <c r="F2587" s="55" t="n">
        <f aca="false">F2584+F2585+F2586</f>
        <v>354719.020718558</v>
      </c>
      <c r="G2587" s="55" t="n">
        <f aca="false">G2584+G2585+G2586</f>
        <v>577672.03797831</v>
      </c>
      <c r="H2587" s="55" t="n">
        <f aca="false">H2584+H2585+H2586</f>
        <v>863164.570977389</v>
      </c>
      <c r="I2587" s="55" t="n">
        <f aca="false">I2584+I2585+I2586</f>
        <v>1213472.05727554</v>
      </c>
      <c r="J2587" s="55" t="n">
        <f aca="false">J2584+J2585+J2586</f>
        <v>1627529.63476388</v>
      </c>
      <c r="K2587" s="55" t="n">
        <f aca="false">K2584+K2585+K2586</f>
        <v>2071579.36399924</v>
      </c>
      <c r="L2587" s="55" t="n">
        <f aca="false">L2584+L2585+L2586</f>
        <v>2529755.90649581</v>
      </c>
      <c r="M2587" s="55" t="n">
        <f aca="false">M2584+M2585+M2586</f>
        <v>3002776.68109349</v>
      </c>
      <c r="N2587" s="55" t="n">
        <f aca="false">N2584+N2585+N2586</f>
        <v>3491416.26836429</v>
      </c>
      <c r="P2587" s="55" t="n">
        <f aca="false">F2587</f>
        <v>354719.020718558</v>
      </c>
      <c r="Q2587" s="55" t="n">
        <f aca="false">J2587</f>
        <v>1627529.63476388</v>
      </c>
      <c r="R2587" s="55" t="n">
        <f aca="false">N2587</f>
        <v>3491416.26836429</v>
      </c>
      <c r="S2587" s="56" t="n">
        <f aca="false">R2587</f>
        <v>3491416.26836429</v>
      </c>
    </row>
    <row r="2588" customFormat="false" ht="15" hidden="false" customHeight="false" outlineLevel="0" collapsed="false">
      <c r="A2588" s="4" t="s">
        <v>542</v>
      </c>
      <c r="B2588" s="36" t="s">
        <v>125</v>
      </c>
      <c r="C2588" s="54" t="n">
        <f aca="false">C2575*$C$2524+C2576*$C$2525+C2577*$C$2526</f>
        <v>0</v>
      </c>
      <c r="D2588" s="54" t="n">
        <f aca="false">D2575*$C$2524+D2576*$C$2525+D2577*$C$2526</f>
        <v>53949.837480267</v>
      </c>
      <c r="E2588" s="54" t="n">
        <f aca="false">E2575*$C$2524+E2576*$C$2525+E2577*$C$2526</f>
        <v>129407.741897809</v>
      </c>
      <c r="F2588" s="54" t="n">
        <f aca="false">F2575*$C$2524+F2576*$C$2525+F2577*$C$2526</f>
        <v>165137.70307321</v>
      </c>
      <c r="G2588" s="54" t="n">
        <f aca="false">G2575*$C$2524+G2576*$C$2525+G2577*$C$2526</f>
        <v>211798.266854688</v>
      </c>
      <c r="H2588" s="54" t="n">
        <f aca="false">H2575*$C$2524+H2576*$C$2525+H2577*$C$2526</f>
        <v>266742.516792103</v>
      </c>
      <c r="I2588" s="54" t="n">
        <f aca="false">I2575*$C$2524+I2576*$C$2525+I2577*$C$2526</f>
        <v>321621.705751337</v>
      </c>
      <c r="J2588" s="54" t="n">
        <f aca="false">J2575*$C$2524+J2576*$C$2525+J2577*$C$2526</f>
        <v>372991.533740201</v>
      </c>
      <c r="K2588" s="54" t="n">
        <f aca="false">K2575*$C$2524+K2576*$C$2525+K2577*$C$2526</f>
        <v>387878.293275542</v>
      </c>
      <c r="L2588" s="54" t="n">
        <f aca="false">L2575*$C$2524+L2576*$C$2525+L2577*$C$2526</f>
        <v>385029.854141597</v>
      </c>
      <c r="M2588" s="54" t="n">
        <f aca="false">M2575*$C$2524+M2576*$C$2525+M2577*$C$2526</f>
        <v>382106.054715112</v>
      </c>
      <c r="N2588" s="54" t="n">
        <f aca="false">N2575*$C$2524+N2576*$C$2525+N2577*$C$2526</f>
        <v>379117.411534403</v>
      </c>
      <c r="P2588" s="55" t="n">
        <f aca="false">SUM(C2588:F2588)</f>
        <v>348495.282451286</v>
      </c>
      <c r="Q2588" s="55" t="n">
        <f aca="false">SUM(G2588:J2588)</f>
        <v>1173154.02313833</v>
      </c>
      <c r="R2588" s="55" t="n">
        <f aca="false">SUM(K2588:N2588)</f>
        <v>1534131.61366665</v>
      </c>
      <c r="S2588" s="56" t="n">
        <f aca="false">SUM(P2588:R2588)</f>
        <v>3055780.91925627</v>
      </c>
    </row>
    <row r="2589" customFormat="false" ht="15" hidden="false" customHeight="false" outlineLevel="0" collapsed="false">
      <c r="A2589" s="9" t="s">
        <v>543</v>
      </c>
      <c r="B2589" s="36" t="s">
        <v>125</v>
      </c>
      <c r="C2589" s="55" t="n">
        <f aca="false">(0+C2587)/8</f>
        <v>0</v>
      </c>
      <c r="D2589" s="55" t="n">
        <f aca="false">(C2587+D2587)/8</f>
        <v>6743.72968503338</v>
      </c>
      <c r="E2589" s="55" t="n">
        <f aca="false">(D2587+E2587)/8</f>
        <v>29803.2355310569</v>
      </c>
      <c r="F2589" s="55" t="n">
        <f aca="false">(E2587+F2587)/8</f>
        <v>67399.3834358432</v>
      </c>
      <c r="G2589" s="55" t="n">
        <f aca="false">(F2587+G2587)/8</f>
        <v>116548.882337108</v>
      </c>
      <c r="H2589" s="55" t="n">
        <f aca="false">(G2587+H2587)/8</f>
        <v>180104.576119462</v>
      </c>
      <c r="I2589" s="55" t="n">
        <f aca="false">(H2587+I2587)/8</f>
        <v>259579.578531616</v>
      </c>
      <c r="J2589" s="55" t="n">
        <f aca="false">(I2587+J2587)/8</f>
        <v>355125.211504928</v>
      </c>
      <c r="K2589" s="55" t="n">
        <f aca="false">(J2587+K2587)/8</f>
        <v>462388.624845391</v>
      </c>
      <c r="L2589" s="55" t="n">
        <f aca="false">(K2587+L2587)/8</f>
        <v>575166.908811881</v>
      </c>
      <c r="M2589" s="55" t="n">
        <f aca="false">(L2587+M2587)/8</f>
        <v>691566.573448662</v>
      </c>
      <c r="N2589" s="55" t="n">
        <f aca="false">(M2587+N2587)/8</f>
        <v>811774.118682221</v>
      </c>
      <c r="P2589" s="55" t="n">
        <f aca="false">SUM(C2589:F2589)</f>
        <v>103946.348651933</v>
      </c>
      <c r="Q2589" s="55" t="n">
        <f aca="false">SUM(G2589:J2589)</f>
        <v>911358.248493114</v>
      </c>
      <c r="R2589" s="55" t="n">
        <f aca="false">SUM(K2589:N2589)</f>
        <v>2540896.22578816</v>
      </c>
      <c r="S2589" s="56" t="n">
        <f aca="false">SUM(P2589:R2589)</f>
        <v>3556200.8229332</v>
      </c>
    </row>
    <row r="2590" customFormat="false" ht="15" hidden="false" customHeight="false" outlineLevel="0" collapsed="false">
      <c r="A2590" s="4" t="s">
        <v>544</v>
      </c>
      <c r="B2590" s="36" t="s">
        <v>125</v>
      </c>
      <c r="C2590" s="54" t="n">
        <f aca="false">C2589*Assumptions!$I$76</f>
        <v>0</v>
      </c>
      <c r="D2590" s="54" t="n">
        <f aca="false">D2589*Assumptions!$I$76</f>
        <v>4855.48537322403</v>
      </c>
      <c r="E2590" s="54" t="n">
        <f aca="false">E2589*Assumptions!$I$76</f>
        <v>21458.329582361</v>
      </c>
      <c r="F2590" s="54" t="n">
        <f aca="false">F2589*Assumptions!$I$76</f>
        <v>48527.5560738071</v>
      </c>
      <c r="G2590" s="54" t="n">
        <f aca="false">G2589*Assumptions!$I$76</f>
        <v>83915.1952827181</v>
      </c>
      <c r="H2590" s="54" t="n">
        <f aca="false">H2589*Assumptions!$I$76</f>
        <v>129675.294806013</v>
      </c>
      <c r="I2590" s="54" t="n">
        <f aca="false">I2589*Assumptions!$I$76</f>
        <v>186897.296542763</v>
      </c>
      <c r="J2590" s="54" t="n">
        <f aca="false">J2589*Assumptions!$I$76</f>
        <v>255690.152283548</v>
      </c>
      <c r="K2590" s="54" t="n">
        <f aca="false">K2589*Assumptions!$I$76</f>
        <v>332919.809888681</v>
      </c>
      <c r="L2590" s="54" t="n">
        <f aca="false">L2589*Assumptions!$I$76</f>
        <v>414120.174344555</v>
      </c>
      <c r="M2590" s="54" t="n">
        <f aca="false">M2589*Assumptions!$I$76</f>
        <v>497927.932883036</v>
      </c>
      <c r="N2590" s="54" t="n">
        <f aca="false">N2589*Assumptions!$I$76</f>
        <v>584477.365451199</v>
      </c>
      <c r="P2590" s="55" t="n">
        <f aca="false">SUM(C2590:F2590)</f>
        <v>74841.3710293921</v>
      </c>
      <c r="Q2590" s="55" t="n">
        <f aca="false">SUM(G2590:J2590)</f>
        <v>656177.938915042</v>
      </c>
      <c r="R2590" s="55" t="n">
        <f aca="false">SUM(K2590:N2590)</f>
        <v>1829445.28256747</v>
      </c>
      <c r="S2590" s="56" t="n">
        <f aca="false">SUM(P2590:R2590)</f>
        <v>2560464.59251191</v>
      </c>
    </row>
    <row r="2591" customFormat="false" ht="15" hidden="false" customHeight="false" outlineLevel="0" collapsed="false">
      <c r="A2591" s="35" t="s">
        <v>547</v>
      </c>
      <c r="B2591" s="35" t="s">
        <v>444</v>
      </c>
      <c r="C2591" s="6" t="s">
        <v>354</v>
      </c>
      <c r="D2591" s="6" t="s">
        <v>355</v>
      </c>
      <c r="E2591" s="6" t="s">
        <v>356</v>
      </c>
      <c r="F2591" s="6" t="s">
        <v>357</v>
      </c>
      <c r="G2591" s="6" t="s">
        <v>358</v>
      </c>
      <c r="H2591" s="6" t="s">
        <v>359</v>
      </c>
      <c r="I2591" s="6" t="s">
        <v>360</v>
      </c>
      <c r="J2591" s="6" t="s">
        <v>361</v>
      </c>
      <c r="K2591" s="6" t="s">
        <v>362</v>
      </c>
      <c r="L2591" s="6" t="s">
        <v>363</v>
      </c>
      <c r="M2591" s="6" t="s">
        <v>364</v>
      </c>
      <c r="N2591" s="6" t="s">
        <v>365</v>
      </c>
      <c r="P2591" s="6" t="s">
        <v>445</v>
      </c>
      <c r="Q2591" s="6" t="s">
        <v>446</v>
      </c>
      <c r="R2591" s="6" t="s">
        <v>447</v>
      </c>
      <c r="S2591" s="6" t="s">
        <v>448</v>
      </c>
    </row>
    <row r="2592" customFormat="false" ht="15" hidden="false" customHeight="false" outlineLevel="0" collapsed="false">
      <c r="A2592" s="4" t="s">
        <v>548</v>
      </c>
      <c r="B2592" s="36" t="s">
        <v>321</v>
      </c>
      <c r="C2592" s="48" t="n">
        <f aca="false">Assumptions!$E$97*C2534</f>
        <v>1</v>
      </c>
      <c r="D2592" s="48" t="n">
        <f aca="false">Assumptions!$E$97*D2534</f>
        <v>1</v>
      </c>
      <c r="E2592" s="48" t="n">
        <f aca="false">Assumptions!$E$97*E2534</f>
        <v>1</v>
      </c>
      <c r="F2592" s="48" t="n">
        <f aca="false">Assumptions!$E$97*F2534</f>
        <v>1</v>
      </c>
      <c r="G2592" s="48" t="n">
        <f aca="false">Assumptions!$E$97*G2534</f>
        <v>1</v>
      </c>
      <c r="H2592" s="48" t="n">
        <f aca="false">Assumptions!$E$97*H2534</f>
        <v>1</v>
      </c>
      <c r="I2592" s="48" t="n">
        <f aca="false">Assumptions!$E$97*I2534</f>
        <v>1</v>
      </c>
      <c r="J2592" s="48" t="n">
        <f aca="false">Assumptions!$E$97*J2534</f>
        <v>1</v>
      </c>
      <c r="K2592" s="48" t="n">
        <f aca="false">Assumptions!$E$97*K2534</f>
        <v>1</v>
      </c>
      <c r="L2592" s="48" t="n">
        <f aca="false">Assumptions!$E$97*L2534</f>
        <v>1</v>
      </c>
      <c r="M2592" s="48" t="n">
        <f aca="false">Assumptions!$E$97*M2534</f>
        <v>1</v>
      </c>
      <c r="N2592" s="48" t="n">
        <f aca="false">Assumptions!$E$97*N2534</f>
        <v>1</v>
      </c>
      <c r="P2592" s="49" t="n">
        <f aca="false">AVERAGE(C2592:F2592)</f>
        <v>1</v>
      </c>
      <c r="Q2592" s="49" t="n">
        <f aca="false">AVERAGE(G2592:J2592)</f>
        <v>1</v>
      </c>
      <c r="R2592" s="49" t="n">
        <f aca="false">AVERAGE(K2592:N2592)</f>
        <v>1</v>
      </c>
      <c r="S2592" s="50"/>
    </row>
    <row r="2593" customFormat="false" ht="15" hidden="false" customHeight="false" outlineLevel="0" collapsed="false">
      <c r="A2593" s="4" t="s">
        <v>549</v>
      </c>
      <c r="B2593" s="36" t="s">
        <v>321</v>
      </c>
      <c r="C2593" s="48" t="n">
        <f aca="false">C2547*C2534</f>
        <v>2</v>
      </c>
      <c r="D2593" s="48" t="n">
        <f aca="false">D2547*D2534</f>
        <v>2</v>
      </c>
      <c r="E2593" s="48" t="n">
        <f aca="false">E2547*E2534</f>
        <v>3</v>
      </c>
      <c r="F2593" s="48" t="n">
        <f aca="false">F2547*F2534</f>
        <v>3</v>
      </c>
      <c r="G2593" s="48" t="n">
        <f aca="false">G2547*G2534</f>
        <v>4</v>
      </c>
      <c r="H2593" s="48" t="n">
        <f aca="false">H2547*H2534</f>
        <v>4</v>
      </c>
      <c r="I2593" s="48" t="n">
        <f aca="false">I2547*I2534</f>
        <v>5</v>
      </c>
      <c r="J2593" s="48" t="n">
        <f aca="false">J2547*J2534</f>
        <v>5</v>
      </c>
      <c r="K2593" s="48" t="n">
        <f aca="false">K2547*K2534</f>
        <v>6</v>
      </c>
      <c r="L2593" s="48" t="n">
        <f aca="false">L2547*L2534</f>
        <v>6</v>
      </c>
      <c r="M2593" s="48" t="n">
        <f aca="false">M2547*M2534</f>
        <v>6</v>
      </c>
      <c r="N2593" s="48" t="n">
        <f aca="false">N2547*N2534</f>
        <v>6</v>
      </c>
      <c r="P2593" s="49" t="n">
        <f aca="false">AVERAGE(C2593:F2593)</f>
        <v>2.5</v>
      </c>
      <c r="Q2593" s="49" t="n">
        <f aca="false">AVERAGE(G2593:J2593)</f>
        <v>4.5</v>
      </c>
      <c r="R2593" s="49" t="n">
        <f aca="false">AVERAGE(K2593:N2593)</f>
        <v>6</v>
      </c>
      <c r="S2593" s="50"/>
    </row>
    <row r="2594" customFormat="false" ht="15" hidden="false" customHeight="false" outlineLevel="0" collapsed="false">
      <c r="A2594" s="4" t="s">
        <v>550</v>
      </c>
      <c r="B2594" s="36" t="s">
        <v>321</v>
      </c>
      <c r="C2594" s="48" t="n">
        <f aca="false">IF(C2533&lt;=4,Assumptions!$E$98,Assumptions!$E$99)*C2534</f>
        <v>1</v>
      </c>
      <c r="D2594" s="48" t="n">
        <f aca="false">IF(D2533&lt;=4,Assumptions!$E$98,Assumptions!$E$99)*D2534</f>
        <v>1</v>
      </c>
      <c r="E2594" s="48" t="n">
        <f aca="false">IF(E2533&lt;=4,Assumptions!$E$98,Assumptions!$E$99)*E2534</f>
        <v>1</v>
      </c>
      <c r="F2594" s="48" t="n">
        <f aca="false">IF(F2533&lt;=4,Assumptions!$E$98,Assumptions!$E$99)*F2534</f>
        <v>1</v>
      </c>
      <c r="G2594" s="48" t="n">
        <f aca="false">IF(G2533&lt;=4,Assumptions!$E$98,Assumptions!$E$99)*G2534</f>
        <v>1</v>
      </c>
      <c r="H2594" s="48" t="n">
        <f aca="false">IF(H2533&lt;=4,Assumptions!$E$98,Assumptions!$E$99)*H2534</f>
        <v>1</v>
      </c>
      <c r="I2594" s="48" t="n">
        <f aca="false">IF(I2533&lt;=4,Assumptions!$E$98,Assumptions!$E$99)*I2534</f>
        <v>1</v>
      </c>
      <c r="J2594" s="48" t="n">
        <f aca="false">IF(J2533&lt;=4,Assumptions!$E$98,Assumptions!$E$99)*J2534</f>
        <v>1</v>
      </c>
      <c r="K2594" s="48" t="n">
        <f aca="false">IF(K2533&lt;=4,Assumptions!$E$98,Assumptions!$E$99)*K2534</f>
        <v>1</v>
      </c>
      <c r="L2594" s="48" t="n">
        <f aca="false">IF(L2533&lt;=4,Assumptions!$E$98,Assumptions!$E$99)*L2534</f>
        <v>1</v>
      </c>
      <c r="M2594" s="48" t="n">
        <f aca="false">IF(M2533&lt;=4,Assumptions!$E$98,Assumptions!$E$99)*M2534</f>
        <v>1</v>
      </c>
      <c r="N2594" s="48" t="n">
        <f aca="false">IF(N2533&lt;=4,Assumptions!$E$98,Assumptions!$E$99)*N2534</f>
        <v>1</v>
      </c>
      <c r="P2594" s="49" t="n">
        <f aca="false">AVERAGE(C2594:F2594)</f>
        <v>1</v>
      </c>
      <c r="Q2594" s="49" t="n">
        <f aca="false">AVERAGE(G2594:J2594)</f>
        <v>1</v>
      </c>
      <c r="R2594" s="49" t="n">
        <f aca="false">AVERAGE(K2594:N2594)</f>
        <v>1</v>
      </c>
      <c r="S2594" s="50"/>
    </row>
    <row r="2595" customFormat="false" ht="15" hidden="false" customHeight="false" outlineLevel="0" collapsed="false">
      <c r="A2595" s="4" t="s">
        <v>551</v>
      </c>
      <c r="B2595" s="36" t="s">
        <v>321</v>
      </c>
      <c r="C2595" s="48" t="n">
        <f aca="false">IF(C2533&lt;=4,Assumptions!$E$100,Assumptions!$E$101)*C2534</f>
        <v>1</v>
      </c>
      <c r="D2595" s="48" t="n">
        <f aca="false">IF(D2533&lt;=4,Assumptions!$E$100,Assumptions!$E$101)*D2534</f>
        <v>1</v>
      </c>
      <c r="E2595" s="48" t="n">
        <f aca="false">IF(E2533&lt;=4,Assumptions!$E$100,Assumptions!$E$101)*E2534</f>
        <v>1</v>
      </c>
      <c r="F2595" s="48" t="n">
        <f aca="false">IF(F2533&lt;=4,Assumptions!$E$100,Assumptions!$E$101)*F2534</f>
        <v>1</v>
      </c>
      <c r="G2595" s="48" t="n">
        <f aca="false">IF(G2533&lt;=4,Assumptions!$E$100,Assumptions!$E$101)*G2534</f>
        <v>0.5</v>
      </c>
      <c r="H2595" s="48" t="n">
        <f aca="false">IF(H2533&lt;=4,Assumptions!$E$100,Assumptions!$E$101)*H2534</f>
        <v>0.5</v>
      </c>
      <c r="I2595" s="48" t="n">
        <f aca="false">IF(I2533&lt;=4,Assumptions!$E$100,Assumptions!$E$101)*I2534</f>
        <v>0.5</v>
      </c>
      <c r="J2595" s="48" t="n">
        <f aca="false">IF(J2533&lt;=4,Assumptions!$E$100,Assumptions!$E$101)*J2534</f>
        <v>0.5</v>
      </c>
      <c r="K2595" s="48" t="n">
        <f aca="false">IF(K2533&lt;=4,Assumptions!$E$100,Assumptions!$E$101)*K2534</f>
        <v>0.5</v>
      </c>
      <c r="L2595" s="48" t="n">
        <f aca="false">IF(L2533&lt;=4,Assumptions!$E$100,Assumptions!$E$101)*L2534</f>
        <v>0.5</v>
      </c>
      <c r="M2595" s="48" t="n">
        <f aca="false">IF(M2533&lt;=4,Assumptions!$E$100,Assumptions!$E$101)*M2534</f>
        <v>0.5</v>
      </c>
      <c r="N2595" s="48" t="n">
        <f aca="false">IF(N2533&lt;=4,Assumptions!$E$100,Assumptions!$E$101)*N2534</f>
        <v>0.5</v>
      </c>
      <c r="P2595" s="49" t="n">
        <f aca="false">AVERAGE(C2595:F2595)</f>
        <v>1</v>
      </c>
      <c r="Q2595" s="49" t="n">
        <f aca="false">AVERAGE(G2595:J2595)</f>
        <v>0.5</v>
      </c>
      <c r="R2595" s="49" t="n">
        <f aca="false">AVERAGE(K2595:N2595)</f>
        <v>0.5</v>
      </c>
      <c r="S2595" s="50"/>
    </row>
    <row r="2596" customFormat="false" ht="15" hidden="false" customHeight="false" outlineLevel="0" collapsed="false">
      <c r="A2596" s="4" t="s">
        <v>552</v>
      </c>
      <c r="B2596" s="36" t="s">
        <v>321</v>
      </c>
      <c r="C2596" s="48" t="n">
        <f aca="false">Assumptions!$E$102*C2534</f>
        <v>0.5</v>
      </c>
      <c r="D2596" s="48" t="n">
        <f aca="false">Assumptions!$E$102*D2534</f>
        <v>0.5</v>
      </c>
      <c r="E2596" s="48" t="n">
        <f aca="false">Assumptions!$E$102*E2534</f>
        <v>0.5</v>
      </c>
      <c r="F2596" s="48" t="n">
        <f aca="false">Assumptions!$E$102*F2534</f>
        <v>0.5</v>
      </c>
      <c r="G2596" s="48" t="n">
        <f aca="false">Assumptions!$E$102*G2534</f>
        <v>0.5</v>
      </c>
      <c r="H2596" s="48" t="n">
        <f aca="false">Assumptions!$E$102*H2534</f>
        <v>0.5</v>
      </c>
      <c r="I2596" s="48" t="n">
        <f aca="false">Assumptions!$E$102*I2534</f>
        <v>0.5</v>
      </c>
      <c r="J2596" s="48" t="n">
        <f aca="false">Assumptions!$E$102*J2534</f>
        <v>0.5</v>
      </c>
      <c r="K2596" s="48" t="n">
        <f aca="false">Assumptions!$E$102*K2534</f>
        <v>0.5</v>
      </c>
      <c r="L2596" s="48" t="n">
        <f aca="false">Assumptions!$E$102*L2534</f>
        <v>0.5</v>
      </c>
      <c r="M2596" s="48" t="n">
        <f aca="false">Assumptions!$E$102*M2534</f>
        <v>0.5</v>
      </c>
      <c r="N2596" s="48" t="n">
        <f aca="false">Assumptions!$E$102*N2534</f>
        <v>0.5</v>
      </c>
      <c r="P2596" s="49" t="n">
        <f aca="false">AVERAGE(C2596:F2596)</f>
        <v>0.5</v>
      </c>
      <c r="Q2596" s="49" t="n">
        <f aca="false">AVERAGE(G2596:J2596)</f>
        <v>0.5</v>
      </c>
      <c r="R2596" s="49" t="n">
        <f aca="false">AVERAGE(K2596:N2596)</f>
        <v>0.5</v>
      </c>
      <c r="S2596" s="50"/>
    </row>
    <row r="2597" customFormat="false" ht="15" hidden="false" customHeight="false" outlineLevel="0" collapsed="false">
      <c r="A2597" s="4" t="s">
        <v>553</v>
      </c>
      <c r="B2597" s="36" t="s">
        <v>321</v>
      </c>
      <c r="C2597" s="48" t="n">
        <f aca="false">(C2581+C2582)/Assumptions!$I$74+C2580/Assumptions!$I$75</f>
        <v>0</v>
      </c>
      <c r="D2597" s="48" t="n">
        <f aca="false">(D2581+D2582)/Assumptions!$I$74+D2580/Assumptions!$I$75</f>
        <v>0.101723990562117</v>
      </c>
      <c r="E2597" s="48" t="n">
        <f aca="false">(E2581+E2582)/Assumptions!$I$74+E2580/Assumptions!$I$75</f>
        <v>0.307918498326059</v>
      </c>
      <c r="F2597" s="48" t="n">
        <f aca="false">(F2581+F2582)/Assumptions!$I$74+F2580/Assumptions!$I$75</f>
        <v>0.545466873217321</v>
      </c>
      <c r="G2597" s="48" t="n">
        <f aca="false">(G2581+G2582)/Assumptions!$I$74+G2580/Assumptions!$I$75</f>
        <v>0.859313561932171</v>
      </c>
      <c r="H2597" s="48" t="n">
        <f aca="false">(H2581+H2582)/Assumptions!$I$74+H2580/Assumptions!$I$75</f>
        <v>1.24792560602085</v>
      </c>
      <c r="I2597" s="48" t="n">
        <f aca="false">(I2581+I2582)/Assumptions!$I$74+I2580/Assumptions!$I$75</f>
        <v>1.72067965545084</v>
      </c>
      <c r="J2597" s="48" t="n">
        <f aca="false">(J2581+J2582)/Assumptions!$I$74+J2580/Assumptions!$I$75</f>
        <v>2.26152525275194</v>
      </c>
      <c r="K2597" s="48" t="n">
        <f aca="false">(K2581+K2582)/Assumptions!$I$74+K2580/Assumptions!$I$75</f>
        <v>2.79810145119976</v>
      </c>
      <c r="L2597" s="48" t="n">
        <f aca="false">(L2581+L2582)/Assumptions!$I$74+L2580/Assumptions!$I$75</f>
        <v>3.32046777878728</v>
      </c>
      <c r="M2597" s="48" t="n">
        <f aca="false">(M2581+M2582)/Assumptions!$I$74+M2580/Assumptions!$I$75</f>
        <v>3.82878338309198</v>
      </c>
      <c r="N2597" s="48" t="n">
        <f aca="false">(N2581+N2582)/Assumptions!$I$74+N2580/Assumptions!$I$75</f>
        <v>4.32321971422832</v>
      </c>
      <c r="P2597" s="49" t="n">
        <f aca="false">AVERAGE(C2597:F2597)</f>
        <v>0.238777340526374</v>
      </c>
      <c r="Q2597" s="49" t="n">
        <f aca="false">AVERAGE(G2597:J2597)</f>
        <v>1.52236101903895</v>
      </c>
      <c r="R2597" s="49" t="n">
        <f aca="false">AVERAGE(K2597:N2597)</f>
        <v>3.56764308182684</v>
      </c>
      <c r="S2597" s="50"/>
    </row>
    <row r="2598" customFormat="false" ht="15" hidden="false" customHeight="false" outlineLevel="0" collapsed="false">
      <c r="A2598" s="4" t="s">
        <v>554</v>
      </c>
      <c r="B2598" s="36" t="s">
        <v>125</v>
      </c>
      <c r="C2598" s="54" t="n">
        <f aca="false">(C2592+C2594)*Assumptions!$I$70/Assumptions!$I$69/4</f>
        <v>133507.142857143</v>
      </c>
      <c r="D2598" s="54" t="n">
        <f aca="false">(D2592+D2594)*Assumptions!$I$70/Assumptions!$I$69/4</f>
        <v>133507.142857143</v>
      </c>
      <c r="E2598" s="54" t="n">
        <f aca="false">(E2592+E2594)*Assumptions!$I$70/Assumptions!$I$69/4</f>
        <v>133507.142857143</v>
      </c>
      <c r="F2598" s="54" t="n">
        <f aca="false">(F2592+F2594)*Assumptions!$I$70/Assumptions!$I$69/4</f>
        <v>133507.142857143</v>
      </c>
      <c r="G2598" s="54" t="n">
        <f aca="false">(G2592+G2594)*Assumptions!$I$70/Assumptions!$I$69/4</f>
        <v>133507.142857143</v>
      </c>
      <c r="H2598" s="54" t="n">
        <f aca="false">(H2592+H2594)*Assumptions!$I$70/Assumptions!$I$69/4</f>
        <v>133507.142857143</v>
      </c>
      <c r="I2598" s="54" t="n">
        <f aca="false">(I2592+I2594)*Assumptions!$I$70/Assumptions!$I$69/4</f>
        <v>133507.142857143</v>
      </c>
      <c r="J2598" s="54" t="n">
        <f aca="false">(J2592+J2594)*Assumptions!$I$70/Assumptions!$I$69/4</f>
        <v>133507.142857143</v>
      </c>
      <c r="K2598" s="54" t="n">
        <f aca="false">(K2592+K2594)*Assumptions!$I$70/Assumptions!$I$69/4</f>
        <v>133507.142857143</v>
      </c>
      <c r="L2598" s="54" t="n">
        <f aca="false">(L2592+L2594)*Assumptions!$I$70/Assumptions!$I$69/4</f>
        <v>133507.142857143</v>
      </c>
      <c r="M2598" s="54" t="n">
        <f aca="false">(M2592+M2594)*Assumptions!$I$70/Assumptions!$I$69/4</f>
        <v>133507.142857143</v>
      </c>
      <c r="N2598" s="54" t="n">
        <f aca="false">(N2592+N2594)*Assumptions!$I$70/Assumptions!$I$69/4</f>
        <v>133507.142857143</v>
      </c>
      <c r="P2598" s="55" t="n">
        <f aca="false">SUM(C2598:F2598)</f>
        <v>534028.571428572</v>
      </c>
      <c r="Q2598" s="55" t="n">
        <f aca="false">SUM(G2598:J2598)</f>
        <v>534028.571428572</v>
      </c>
      <c r="R2598" s="55" t="n">
        <f aca="false">SUM(K2598:N2598)</f>
        <v>534028.571428572</v>
      </c>
      <c r="S2598" s="56" t="n">
        <f aca="false">SUM(P2598:R2598)</f>
        <v>1602085.71428571</v>
      </c>
    </row>
    <row r="2599" customFormat="false" ht="15" hidden="false" customHeight="false" outlineLevel="0" collapsed="false">
      <c r="A2599" s="4" t="s">
        <v>555</v>
      </c>
      <c r="B2599" s="36" t="s">
        <v>125</v>
      </c>
      <c r="C2599" s="54" t="n">
        <f aca="false">C2593*$C$2528/4</f>
        <v>142857.142857143</v>
      </c>
      <c r="D2599" s="54" t="n">
        <f aca="false">D2593*$C$2528/4</f>
        <v>142857.142857143</v>
      </c>
      <c r="E2599" s="54" t="n">
        <f aca="false">E2593*$C$2528/4</f>
        <v>214285.714285714</v>
      </c>
      <c r="F2599" s="54" t="n">
        <f aca="false">F2593*$C$2528/4</f>
        <v>214285.714285714</v>
      </c>
      <c r="G2599" s="54" t="n">
        <f aca="false">G2593*$C$2528/4</f>
        <v>285714.285714286</v>
      </c>
      <c r="H2599" s="54" t="n">
        <f aca="false">H2593*$C$2528/4</f>
        <v>285714.285714286</v>
      </c>
      <c r="I2599" s="54" t="n">
        <f aca="false">I2593*$C$2528/4</f>
        <v>357142.857142857</v>
      </c>
      <c r="J2599" s="54" t="n">
        <f aca="false">J2593*$C$2528/4</f>
        <v>357142.857142857</v>
      </c>
      <c r="K2599" s="54" t="n">
        <f aca="false">K2593*$C$2528/4</f>
        <v>428571.428571429</v>
      </c>
      <c r="L2599" s="54" t="n">
        <f aca="false">L2593*$C$2528/4</f>
        <v>428571.428571429</v>
      </c>
      <c r="M2599" s="54" t="n">
        <f aca="false">M2593*$C$2528/4</f>
        <v>428571.428571429</v>
      </c>
      <c r="N2599" s="54" t="n">
        <f aca="false">N2593*$C$2528/4</f>
        <v>428571.428571429</v>
      </c>
      <c r="P2599" s="55" t="n">
        <f aca="false">SUM(C2599:F2599)</f>
        <v>714285.714285714</v>
      </c>
      <c r="Q2599" s="55" t="n">
        <f aca="false">SUM(G2599:J2599)</f>
        <v>1285714.28571429</v>
      </c>
      <c r="R2599" s="55" t="n">
        <f aca="false">SUM(K2599:N2599)</f>
        <v>1714285.71428571</v>
      </c>
      <c r="S2599" s="56" t="n">
        <f aca="false">SUM(P2599:R2599)</f>
        <v>3714285.71428571</v>
      </c>
    </row>
    <row r="2600" customFormat="false" ht="15" hidden="false" customHeight="false" outlineLevel="0" collapsed="false">
      <c r="A2600" s="4" t="s">
        <v>556</v>
      </c>
      <c r="B2600" s="36" t="s">
        <v>125</v>
      </c>
      <c r="C2600" s="54" t="n">
        <f aca="false">MAX(0,(C2588-C2569*$C$2524)-C2548*$C$2529)*$C$2530*Assumptions!$E$105</f>
        <v>0</v>
      </c>
      <c r="D2600" s="54" t="n">
        <f aca="false">MAX(0,(D2588-D2569*$C$2524)-D2548*$C$2529)*$C$2530*Assumptions!$E$105</f>
        <v>0</v>
      </c>
      <c r="E2600" s="54" t="n">
        <f aca="false">MAX(0,(E2588-E2569*$C$2524)-E2548*$C$2529)*$C$2530*Assumptions!$E$105</f>
        <v>0</v>
      </c>
      <c r="F2600" s="54" t="n">
        <f aca="false">MAX(0,(F2588-F2569*$C$2524)-F2548*$C$2529)*$C$2530*Assumptions!$E$105</f>
        <v>0</v>
      </c>
      <c r="G2600" s="54" t="n">
        <f aca="false">MAX(0,(G2588-G2569*$C$2524)-G2548*$C$2529)*$C$2530*Assumptions!$E$105</f>
        <v>0</v>
      </c>
      <c r="H2600" s="54" t="n">
        <f aca="false">MAX(0,(H2588-H2569*$C$2524)-H2548*$C$2529)*$C$2530*Assumptions!$E$105</f>
        <v>0</v>
      </c>
      <c r="I2600" s="54" t="n">
        <f aca="false">MAX(0,(I2588-I2569*$C$2524)-I2548*$C$2529)*$C$2530*Assumptions!$E$105</f>
        <v>0</v>
      </c>
      <c r="J2600" s="54" t="n">
        <f aca="false">MAX(0,(J2588-J2569*$C$2524)-J2548*$C$2529)*$C$2530*Assumptions!$E$105</f>
        <v>0</v>
      </c>
      <c r="K2600" s="54" t="n">
        <f aca="false">MAX(0,(K2588-K2569*$C$2524)-K2548*$C$2529)*$C$2530*Assumptions!$E$105</f>
        <v>0</v>
      </c>
      <c r="L2600" s="54" t="n">
        <f aca="false">MAX(0,(L2588-L2569*$C$2524)-L2548*$C$2529)*$C$2530*Assumptions!$E$105</f>
        <v>0</v>
      </c>
      <c r="M2600" s="54" t="n">
        <f aca="false">MAX(0,(M2588-M2569*$C$2524)-M2548*$C$2529)*$C$2530*Assumptions!$E$105</f>
        <v>0</v>
      </c>
      <c r="N2600" s="54" t="n">
        <f aca="false">MAX(0,(N2588-N2569*$C$2524)-N2548*$C$2529)*$C$2530*Assumptions!$E$105</f>
        <v>0</v>
      </c>
      <c r="P2600" s="55" t="n">
        <f aca="false">SUM(C2600:F2600)</f>
        <v>0</v>
      </c>
      <c r="Q2600" s="55" t="n">
        <f aca="false">SUM(G2600:J2600)</f>
        <v>0</v>
      </c>
      <c r="R2600" s="55" t="n">
        <f aca="false">SUM(K2600:N2600)</f>
        <v>0</v>
      </c>
      <c r="S2600" s="56" t="n">
        <f aca="false">SUM(P2600:R2600)</f>
        <v>0</v>
      </c>
    </row>
    <row r="2601" customFormat="false" ht="15" hidden="false" customHeight="false" outlineLevel="0" collapsed="false">
      <c r="A2601" s="4" t="s">
        <v>557</v>
      </c>
      <c r="B2601" s="36" t="s">
        <v>125</v>
      </c>
      <c r="C2601" s="54" t="n">
        <f aca="false">C2596*Assumptions!$I$71/Assumptions!$I$69/4</f>
        <v>36951.7857142857</v>
      </c>
      <c r="D2601" s="54" t="n">
        <f aca="false">D2596*Assumptions!$I$71/Assumptions!$I$69/4</f>
        <v>36951.7857142857</v>
      </c>
      <c r="E2601" s="54" t="n">
        <f aca="false">E2596*Assumptions!$I$71/Assumptions!$I$69/4</f>
        <v>36951.7857142857</v>
      </c>
      <c r="F2601" s="54" t="n">
        <f aca="false">F2596*Assumptions!$I$71/Assumptions!$I$69/4</f>
        <v>36951.7857142857</v>
      </c>
      <c r="G2601" s="54" t="n">
        <f aca="false">G2596*Assumptions!$I$71/Assumptions!$I$69/4</f>
        <v>36951.7857142857</v>
      </c>
      <c r="H2601" s="54" t="n">
        <f aca="false">H2596*Assumptions!$I$71/Assumptions!$I$69/4</f>
        <v>36951.7857142857</v>
      </c>
      <c r="I2601" s="54" t="n">
        <f aca="false">I2596*Assumptions!$I$71/Assumptions!$I$69/4</f>
        <v>36951.7857142857</v>
      </c>
      <c r="J2601" s="54" t="n">
        <f aca="false">J2596*Assumptions!$I$71/Assumptions!$I$69/4</f>
        <v>36951.7857142857</v>
      </c>
      <c r="K2601" s="54" t="n">
        <f aca="false">K2596*Assumptions!$I$71/Assumptions!$I$69/4</f>
        <v>36951.7857142857</v>
      </c>
      <c r="L2601" s="54" t="n">
        <f aca="false">L2596*Assumptions!$I$71/Assumptions!$I$69/4</f>
        <v>36951.7857142857</v>
      </c>
      <c r="M2601" s="54" t="n">
        <f aca="false">M2596*Assumptions!$I$71/Assumptions!$I$69/4</f>
        <v>36951.7857142857</v>
      </c>
      <c r="N2601" s="54" t="n">
        <f aca="false">N2596*Assumptions!$I$71/Assumptions!$I$69/4</f>
        <v>36951.7857142857</v>
      </c>
      <c r="P2601" s="55" t="n">
        <f aca="false">SUM(C2601:F2601)</f>
        <v>147807.142857143</v>
      </c>
      <c r="Q2601" s="55" t="n">
        <f aca="false">SUM(G2601:J2601)</f>
        <v>147807.142857143</v>
      </c>
      <c r="R2601" s="55" t="n">
        <f aca="false">SUM(K2601:N2601)</f>
        <v>147807.142857143</v>
      </c>
      <c r="S2601" s="56" t="n">
        <f aca="false">SUM(P2601:R2601)</f>
        <v>443421.428571429</v>
      </c>
    </row>
    <row r="2602" customFormat="false" ht="15" hidden="false" customHeight="false" outlineLevel="0" collapsed="false">
      <c r="A2602" s="4" t="s">
        <v>558</v>
      </c>
      <c r="B2602" s="36" t="s">
        <v>125</v>
      </c>
      <c r="C2602" s="54" t="n">
        <f aca="false">(Assumptions!$E$103+Assumptions!$I$77*((C2533=Assumptions!$I$13)+(C2533=Assumptions!$I$14)+(C2533=Assumptions!$I$15)))*C2534</f>
        <v>100000</v>
      </c>
      <c r="D2602" s="54" t="n">
        <f aca="false">(Assumptions!$E$103+Assumptions!$I$77*((D2533=Assumptions!$I$13)+(D2533=Assumptions!$I$14)+(D2533=Assumptions!$I$15)))*D2534</f>
        <v>60000</v>
      </c>
      <c r="E2602" s="54" t="n">
        <f aca="false">(Assumptions!$E$103+Assumptions!$I$77*((E2533=Assumptions!$I$13)+(E2533=Assumptions!$I$14)+(E2533=Assumptions!$I$15)))*E2534</f>
        <v>60000</v>
      </c>
      <c r="F2602" s="54" t="n">
        <f aca="false">(Assumptions!$E$103+Assumptions!$I$77*((F2533=Assumptions!$I$13)+(F2533=Assumptions!$I$14)+(F2533=Assumptions!$I$15)))*F2534</f>
        <v>100000</v>
      </c>
      <c r="G2602" s="54" t="n">
        <f aca="false">(Assumptions!$E$103+Assumptions!$I$77*((G2533=Assumptions!$I$13)+(G2533=Assumptions!$I$14)+(G2533=Assumptions!$I$15)))*G2534</f>
        <v>60000</v>
      </c>
      <c r="H2602" s="54" t="n">
        <f aca="false">(Assumptions!$E$103+Assumptions!$I$77*((H2533=Assumptions!$I$13)+(H2533=Assumptions!$I$14)+(H2533=Assumptions!$I$15)))*H2534</f>
        <v>100000</v>
      </c>
      <c r="I2602" s="54" t="n">
        <f aca="false">(Assumptions!$E$103+Assumptions!$I$77*((I2533=Assumptions!$I$13)+(I2533=Assumptions!$I$14)+(I2533=Assumptions!$I$15)))*I2534</f>
        <v>60000</v>
      </c>
      <c r="J2602" s="54" t="n">
        <f aca="false">(Assumptions!$E$103+Assumptions!$I$77*((J2533=Assumptions!$I$13)+(J2533=Assumptions!$I$14)+(J2533=Assumptions!$I$15)))*J2534</f>
        <v>60000</v>
      </c>
      <c r="K2602" s="54" t="n">
        <f aca="false">(Assumptions!$E$103+Assumptions!$I$77*((K2533=Assumptions!$I$13)+(K2533=Assumptions!$I$14)+(K2533=Assumptions!$I$15)))*K2534</f>
        <v>60000</v>
      </c>
      <c r="L2602" s="54" t="n">
        <f aca="false">(Assumptions!$E$103+Assumptions!$I$77*((L2533=Assumptions!$I$13)+(L2533=Assumptions!$I$14)+(L2533=Assumptions!$I$15)))*L2534</f>
        <v>60000</v>
      </c>
      <c r="M2602" s="54" t="n">
        <f aca="false">(Assumptions!$E$103+Assumptions!$I$77*((M2533=Assumptions!$I$13)+(M2533=Assumptions!$I$14)+(M2533=Assumptions!$I$15)))*M2534</f>
        <v>60000</v>
      </c>
      <c r="N2602" s="54" t="n">
        <f aca="false">(Assumptions!$E$103+Assumptions!$I$77*((N2533=Assumptions!$I$13)+(N2533=Assumptions!$I$14)+(N2533=Assumptions!$I$15)))*N2534</f>
        <v>60000</v>
      </c>
      <c r="P2602" s="55" t="n">
        <f aca="false">SUM(C2602:F2602)</f>
        <v>320000</v>
      </c>
      <c r="Q2602" s="55" t="n">
        <f aca="false">SUM(G2602:J2602)</f>
        <v>280000</v>
      </c>
      <c r="R2602" s="55" t="n">
        <f aca="false">SUM(K2602:N2602)</f>
        <v>240000</v>
      </c>
      <c r="S2602" s="56" t="n">
        <f aca="false">SUM(P2602:R2602)</f>
        <v>840000</v>
      </c>
    </row>
    <row r="2603" customFormat="false" ht="15" hidden="false" customHeight="false" outlineLevel="0" collapsed="false">
      <c r="A2603" s="4" t="s">
        <v>559</v>
      </c>
      <c r="B2603" s="36" t="s">
        <v>125</v>
      </c>
      <c r="C2603" s="54" t="n">
        <f aca="false">C2588*C2568*Assumptions!$I$79</f>
        <v>0</v>
      </c>
      <c r="D2603" s="54" t="n">
        <f aca="false">D2588*D2568*Assumptions!$I$79</f>
        <v>1816.45399766271</v>
      </c>
      <c r="E2603" s="54" t="n">
        <f aca="false">E2588*E2568*Assumptions!$I$79</f>
        <v>3446.88427510887</v>
      </c>
      <c r="F2603" s="54" t="n">
        <f aca="false">F2588*F2568*Assumptions!$I$79</f>
        <v>5275.16926102177</v>
      </c>
      <c r="G2603" s="54" t="n">
        <f aca="false">G2588*G2568*Assumptions!$I$79</f>
        <v>6233.24555032482</v>
      </c>
      <c r="H2603" s="54" t="n">
        <f aca="false">H2588*H2568*Assumptions!$I$79</f>
        <v>7595.66322929074</v>
      </c>
      <c r="I2603" s="54" t="n">
        <f aca="false">I2588*I2568*Assumptions!$I$79</f>
        <v>8880.65218663133</v>
      </c>
      <c r="J2603" s="54" t="n">
        <f aca="false">J2588*J2568*Assumptions!$I$79</f>
        <v>9098.52873738213</v>
      </c>
      <c r="K2603" s="54" t="n">
        <f aca="false">K2588*K2568*Assumptions!$I$79</f>
        <v>9529.96210494748</v>
      </c>
      <c r="L2603" s="54" t="n">
        <f aca="false">L2588*L2568*Assumptions!$I$79</f>
        <v>9530.80911540521</v>
      </c>
      <c r="M2603" s="54" t="n">
        <f aca="false">M2588*M2568*Assumptions!$I$79</f>
        <v>9531.58264094415</v>
      </c>
      <c r="N2603" s="54" t="n">
        <f aca="false">N2588*N2568*Assumptions!$I$79</f>
        <v>9532.2869260795</v>
      </c>
      <c r="P2603" s="55" t="n">
        <f aca="false">SUM(C2603:F2603)</f>
        <v>10538.5075337933</v>
      </c>
      <c r="Q2603" s="55" t="n">
        <f aca="false">SUM(G2603:J2603)</f>
        <v>31808.089703629</v>
      </c>
      <c r="R2603" s="55" t="n">
        <f aca="false">SUM(K2603:N2603)</f>
        <v>38124.6407873763</v>
      </c>
      <c r="S2603" s="56" t="n">
        <f aca="false">SUM(P2603:R2603)</f>
        <v>80471.2380247987</v>
      </c>
    </row>
    <row r="2604" customFormat="false" ht="15" hidden="false" customHeight="false" outlineLevel="0" collapsed="false">
      <c r="A2604" s="4" t="s">
        <v>560</v>
      </c>
      <c r="B2604" s="36" t="s">
        <v>125</v>
      </c>
      <c r="C2604" s="54" t="n">
        <f aca="false">C2553*Assumptions!$I$80</f>
        <v>8000</v>
      </c>
      <c r="D2604" s="54" t="n">
        <f aca="false">D2553*Assumptions!$I$80</f>
        <v>12000</v>
      </c>
      <c r="E2604" s="54" t="n">
        <f aca="false">E2553*Assumptions!$I$80</f>
        <v>16000</v>
      </c>
      <c r="F2604" s="54" t="n">
        <f aca="false">F2553*Assumptions!$I$80</f>
        <v>20000</v>
      </c>
      <c r="G2604" s="54" t="n">
        <f aca="false">G2553*Assumptions!$I$80</f>
        <v>24000</v>
      </c>
      <c r="H2604" s="54" t="n">
        <f aca="false">H2553*Assumptions!$I$80</f>
        <v>28000</v>
      </c>
      <c r="I2604" s="54" t="n">
        <f aca="false">I2553*Assumptions!$I$80</f>
        <v>28000</v>
      </c>
      <c r="J2604" s="54" t="n">
        <f aca="false">J2553*Assumptions!$I$80</f>
        <v>28000</v>
      </c>
      <c r="K2604" s="54" t="n">
        <f aca="false">K2553*Assumptions!$I$80</f>
        <v>28000</v>
      </c>
      <c r="L2604" s="54" t="n">
        <f aca="false">L2553*Assumptions!$I$80</f>
        <v>28000</v>
      </c>
      <c r="M2604" s="54" t="n">
        <f aca="false">M2553*Assumptions!$I$80</f>
        <v>28000</v>
      </c>
      <c r="N2604" s="54" t="n">
        <f aca="false">N2553*Assumptions!$I$80</f>
        <v>28000</v>
      </c>
      <c r="P2604" s="55" t="n">
        <f aca="false">SUM(C2604:F2604)</f>
        <v>56000</v>
      </c>
      <c r="Q2604" s="55" t="n">
        <f aca="false">SUM(G2604:J2604)</f>
        <v>108000</v>
      </c>
      <c r="R2604" s="55" t="n">
        <f aca="false">SUM(K2604:N2604)</f>
        <v>112000</v>
      </c>
      <c r="S2604" s="56" t="n">
        <f aca="false">SUM(P2604:R2604)</f>
        <v>276000</v>
      </c>
    </row>
    <row r="2605" customFormat="false" ht="15" hidden="false" customHeight="false" outlineLevel="0" collapsed="false">
      <c r="A2605" s="4" t="s">
        <v>561</v>
      </c>
      <c r="B2605" s="36" t="s">
        <v>125</v>
      </c>
      <c r="C2605" s="54" t="n">
        <f aca="false">(C2576*$C$2525+C2577*$C$2526)*Assumptions!$I$81</f>
        <v>0</v>
      </c>
      <c r="D2605" s="54" t="n">
        <f aca="false">(D2576*$C$2525+D2577*$C$2526)*Assumptions!$I$81</f>
        <v>782.446303731865</v>
      </c>
      <c r="E2605" s="54" t="n">
        <f aca="false">(E2576*$C$2525+E2577*$C$2526)*Assumptions!$I$81</f>
        <v>2839.28724820676</v>
      </c>
      <c r="F2605" s="54" t="n">
        <f aca="false">(F2576*$C$2525+F2577*$C$2526)*Assumptions!$I$81</f>
        <v>4219.93662680603</v>
      </c>
      <c r="G2605" s="54" t="n">
        <f aca="false">(G2576*$C$2525+G2577*$C$2526)*Assumptions!$I$81</f>
        <v>5104.99327652877</v>
      </c>
      <c r="H2605" s="54" t="n">
        <f aca="false">(H2576*$C$2525+H2577*$C$2526)*Assumptions!$I$81</f>
        <v>6529.80173172708</v>
      </c>
      <c r="I2605" s="54" t="n">
        <f aca="false">(I2576*$C$2525+I2577*$C$2526)*Assumptions!$I$81</f>
        <v>8019.94419809026</v>
      </c>
      <c r="J2605" s="54" t="n">
        <f aca="false">(J2576*$C$2525+J2577*$C$2526)*Assumptions!$I$81</f>
        <v>9618.88065941858</v>
      </c>
      <c r="K2605" s="54" t="n">
        <f aca="false">(K2576*$C$2525+K2577*$C$2526)*Assumptions!$I$81</f>
        <v>10427.9355381801</v>
      </c>
      <c r="L2605" s="54" t="n">
        <f aca="false">(L2576*$C$2525+L2577*$C$2526)*Assumptions!$I$81</f>
        <v>10352.1474799971</v>
      </c>
      <c r="M2605" s="54" t="n">
        <f aca="false">(M2576*$C$2525+M2577*$C$2526)*Assumptions!$I$81</f>
        <v>10274.2531581359</v>
      </c>
      <c r="N2605" s="54" t="n">
        <f aca="false">(N2576*$C$2525+N2577*$C$2526)*Assumptions!$I$81</f>
        <v>10194.5404404044</v>
      </c>
      <c r="P2605" s="55" t="n">
        <f aca="false">SUM(C2605:F2605)</f>
        <v>7841.67017874465</v>
      </c>
      <c r="Q2605" s="55" t="n">
        <f aca="false">SUM(G2605:J2605)</f>
        <v>29273.6198657647</v>
      </c>
      <c r="R2605" s="55" t="n">
        <f aca="false">SUM(K2605:N2605)</f>
        <v>41248.8766167174</v>
      </c>
      <c r="S2605" s="56" t="n">
        <f aca="false">SUM(P2605:R2605)</f>
        <v>78364.1666612267</v>
      </c>
    </row>
    <row r="2606" customFormat="false" ht="15" hidden="false" customHeight="false" outlineLevel="0" collapsed="false">
      <c r="A2606" s="9" t="s">
        <v>562</v>
      </c>
      <c r="B2606" s="36" t="s">
        <v>125</v>
      </c>
      <c r="C2606" s="55" t="n">
        <f aca="false">C2598+C2599+C2600+C2601+C2602+C2603+C2604+C2605</f>
        <v>421316.071428572</v>
      </c>
      <c r="D2606" s="55" t="n">
        <f aca="false">D2598+D2599+D2600+D2601+D2602+D2603+D2604+D2605</f>
        <v>387914.971729966</v>
      </c>
      <c r="E2606" s="55" t="n">
        <f aca="false">E2598+E2599+E2600+E2601+E2602+E2603+E2604+E2605</f>
        <v>467030.814380459</v>
      </c>
      <c r="F2606" s="55" t="n">
        <f aca="false">F2598+F2599+F2600+F2601+F2602+F2603+F2604+F2605</f>
        <v>514239.748744971</v>
      </c>
      <c r="G2606" s="55" t="n">
        <f aca="false">G2598+G2599+G2600+G2601+G2602+G2603+G2604+G2605</f>
        <v>551511.453112568</v>
      </c>
      <c r="H2606" s="55" t="n">
        <f aca="false">H2598+H2599+H2600+H2601+H2602+H2603+H2604+H2605</f>
        <v>598298.679246732</v>
      </c>
      <c r="I2606" s="55" t="n">
        <f aca="false">I2598+I2599+I2600+I2601+I2602+I2603+I2604+I2605</f>
        <v>632502.382099007</v>
      </c>
      <c r="J2606" s="55" t="n">
        <f aca="false">J2598+J2599+J2600+J2601+J2602+J2603+J2604+J2605</f>
        <v>634319.195111086</v>
      </c>
      <c r="K2606" s="55" t="n">
        <f aca="false">K2598+K2599+K2600+K2601+K2602+K2603+K2604+K2605</f>
        <v>706988.254785985</v>
      </c>
      <c r="L2606" s="55" t="n">
        <f aca="false">L2598+L2599+L2600+L2601+L2602+L2603+L2604+L2605</f>
        <v>706913.31373826</v>
      </c>
      <c r="M2606" s="55" t="n">
        <f aca="false">M2598+M2599+M2600+M2601+M2602+M2603+M2604+M2605</f>
        <v>706836.192941937</v>
      </c>
      <c r="N2606" s="55" t="n">
        <f aca="false">N2598+N2599+N2600+N2601+N2602+N2603+N2604+N2605</f>
        <v>706757.184509341</v>
      </c>
      <c r="P2606" s="55" t="n">
        <f aca="false">SUM(C2606:F2606)</f>
        <v>1790501.60628397</v>
      </c>
      <c r="Q2606" s="55" t="n">
        <f aca="false">SUM(G2606:J2606)</f>
        <v>2416631.70956939</v>
      </c>
      <c r="R2606" s="55" t="n">
        <f aca="false">SUM(K2606:N2606)</f>
        <v>2827494.94597552</v>
      </c>
      <c r="S2606" s="56" t="n">
        <f aca="false">SUM(P2606:R2606)</f>
        <v>7034628.26182888</v>
      </c>
    </row>
    <row r="2607" customFormat="false" ht="15" hidden="false" customHeight="false" outlineLevel="0" collapsed="false">
      <c r="A2607" s="4" t="s">
        <v>563</v>
      </c>
      <c r="B2607" s="36" t="s">
        <v>125</v>
      </c>
      <c r="C2607" s="54" t="n">
        <f aca="false">C2595*Assumptions!$I$72/Assumptions!$I$69/4</f>
        <v>56535.7142857143</v>
      </c>
      <c r="D2607" s="54" t="n">
        <f aca="false">D2595*Assumptions!$I$72/Assumptions!$I$69/4</f>
        <v>56535.7142857143</v>
      </c>
      <c r="E2607" s="54" t="n">
        <f aca="false">E2595*Assumptions!$I$72/Assumptions!$I$69/4</f>
        <v>56535.7142857143</v>
      </c>
      <c r="F2607" s="54" t="n">
        <f aca="false">F2595*Assumptions!$I$72/Assumptions!$I$69/4</f>
        <v>56535.7142857143</v>
      </c>
      <c r="G2607" s="54" t="n">
        <f aca="false">G2595*Assumptions!$I$72/Assumptions!$I$69/4</f>
        <v>28267.8571428571</v>
      </c>
      <c r="H2607" s="54" t="n">
        <f aca="false">H2595*Assumptions!$I$72/Assumptions!$I$69/4</f>
        <v>28267.8571428571</v>
      </c>
      <c r="I2607" s="54" t="n">
        <f aca="false">I2595*Assumptions!$I$72/Assumptions!$I$69/4</f>
        <v>28267.8571428571</v>
      </c>
      <c r="J2607" s="54" t="n">
        <f aca="false">J2595*Assumptions!$I$72/Assumptions!$I$69/4</f>
        <v>28267.8571428571</v>
      </c>
      <c r="K2607" s="54" t="n">
        <f aca="false">K2595*Assumptions!$I$72/Assumptions!$I$69/4</f>
        <v>28267.8571428571</v>
      </c>
      <c r="L2607" s="54" t="n">
        <f aca="false">L2595*Assumptions!$I$72/Assumptions!$I$69/4</f>
        <v>28267.8571428571</v>
      </c>
      <c r="M2607" s="54" t="n">
        <f aca="false">M2595*Assumptions!$I$72/Assumptions!$I$69/4</f>
        <v>28267.8571428571</v>
      </c>
      <c r="N2607" s="54" t="n">
        <f aca="false">N2595*Assumptions!$I$72/Assumptions!$I$69/4</f>
        <v>28267.8571428571</v>
      </c>
      <c r="P2607" s="55" t="n">
        <f aca="false">SUM(C2607:F2607)</f>
        <v>226142.857142857</v>
      </c>
      <c r="Q2607" s="55" t="n">
        <f aca="false">SUM(G2607:J2607)</f>
        <v>113071.428571429</v>
      </c>
      <c r="R2607" s="55" t="n">
        <f aca="false">SUM(K2607:N2607)</f>
        <v>113071.428571429</v>
      </c>
      <c r="S2607" s="56" t="n">
        <f aca="false">SUM(P2607:R2607)</f>
        <v>452285.714285714</v>
      </c>
    </row>
    <row r="2608" customFormat="false" ht="15" hidden="false" customHeight="false" outlineLevel="0" collapsed="false">
      <c r="A2608" s="4" t="s">
        <v>564</v>
      </c>
      <c r="B2608" s="36" t="s">
        <v>125</v>
      </c>
      <c r="C2608" s="54" t="n">
        <f aca="false">IF(C2533&lt;=Assumptions!$I$83,Assumptions!$I$82*Assumptions!$E$108/Assumptions!$I$83,0)</f>
        <v>62500</v>
      </c>
      <c r="D2608" s="54" t="n">
        <f aca="false">IF(D2533&lt;=Assumptions!$I$83,Assumptions!$I$82*Assumptions!$E$108/Assumptions!$I$83,0)</f>
        <v>62500</v>
      </c>
      <c r="E2608" s="54" t="n">
        <f aca="false">IF(E2533&lt;=Assumptions!$I$83,Assumptions!$I$82*Assumptions!$E$108/Assumptions!$I$83,0)</f>
        <v>62500</v>
      </c>
      <c r="F2608" s="54" t="n">
        <f aca="false">IF(F2533&lt;=Assumptions!$I$83,Assumptions!$I$82*Assumptions!$E$108/Assumptions!$I$83,0)</f>
        <v>62500</v>
      </c>
      <c r="G2608" s="54" t="n">
        <f aca="false">IF(G2533&lt;=Assumptions!$I$83,Assumptions!$I$82*Assumptions!$E$108/Assumptions!$I$83,0)</f>
        <v>0</v>
      </c>
      <c r="H2608" s="54" t="n">
        <f aca="false">IF(H2533&lt;=Assumptions!$I$83,Assumptions!$I$82*Assumptions!$E$108/Assumptions!$I$83,0)</f>
        <v>0</v>
      </c>
      <c r="I2608" s="54" t="n">
        <f aca="false">IF(I2533&lt;=Assumptions!$I$83,Assumptions!$I$82*Assumptions!$E$108/Assumptions!$I$83,0)</f>
        <v>0</v>
      </c>
      <c r="J2608" s="54" t="n">
        <f aca="false">IF(J2533&lt;=Assumptions!$I$83,Assumptions!$I$82*Assumptions!$E$108/Assumptions!$I$83,0)</f>
        <v>0</v>
      </c>
      <c r="K2608" s="54" t="n">
        <f aca="false">IF(K2533&lt;=Assumptions!$I$83,Assumptions!$I$82*Assumptions!$E$108/Assumptions!$I$83,0)</f>
        <v>0</v>
      </c>
      <c r="L2608" s="54" t="n">
        <f aca="false">IF(L2533&lt;=Assumptions!$I$83,Assumptions!$I$82*Assumptions!$E$108/Assumptions!$I$83,0)</f>
        <v>0</v>
      </c>
      <c r="M2608" s="54" t="n">
        <f aca="false">IF(M2533&lt;=Assumptions!$I$83,Assumptions!$I$82*Assumptions!$E$108/Assumptions!$I$83,0)</f>
        <v>0</v>
      </c>
      <c r="N2608" s="54" t="n">
        <f aca="false">IF(N2533&lt;=Assumptions!$I$83,Assumptions!$I$82*Assumptions!$E$108/Assumptions!$I$83,0)</f>
        <v>0</v>
      </c>
      <c r="P2608" s="55" t="n">
        <f aca="false">SUM(C2608:F2608)</f>
        <v>250000</v>
      </c>
      <c r="Q2608" s="55" t="n">
        <f aca="false">SUM(G2608:J2608)</f>
        <v>0</v>
      </c>
      <c r="R2608" s="55" t="n">
        <f aca="false">SUM(K2608:N2608)</f>
        <v>0</v>
      </c>
      <c r="S2608" s="56" t="n">
        <f aca="false">SUM(P2608:R2608)</f>
        <v>250000</v>
      </c>
    </row>
    <row r="2609" customFormat="false" ht="15" hidden="false" customHeight="false" outlineLevel="0" collapsed="false">
      <c r="A2609" s="4" t="s">
        <v>565</v>
      </c>
      <c r="B2609" s="36" t="s">
        <v>125</v>
      </c>
      <c r="C2609" s="54" t="n">
        <f aca="false">C2597*Assumptions!$I$73/Assumptions!$I$69/4</f>
        <v>0</v>
      </c>
      <c r="D2609" s="54" t="n">
        <f aca="false">D2597*Assumptions!$I$73/Assumptions!$I$69/4</f>
        <v>4087.48792076565</v>
      </c>
      <c r="E2609" s="54" t="n">
        <f aca="false">E2597*Assumptions!$I$73/Assumptions!$I$69/4</f>
        <v>12372.8250880946</v>
      </c>
      <c r="F2609" s="54" t="n">
        <f aca="false">F2597*Assumptions!$I$73/Assumptions!$I$69/4</f>
        <v>21918.0278234574</v>
      </c>
      <c r="G2609" s="54" t="n">
        <f aca="false">G2597*Assumptions!$I$73/Assumptions!$I$69/4</f>
        <v>34529.0603046388</v>
      </c>
      <c r="H2609" s="54" t="n">
        <f aca="false">H2597*Assumptions!$I$73/Assumptions!$I$69/4</f>
        <v>50144.3249762163</v>
      </c>
      <c r="I2609" s="54" t="n">
        <f aca="false">I2597*Assumptions!$I$73/Assumptions!$I$69/4</f>
        <v>69140.5957267052</v>
      </c>
      <c r="J2609" s="54" t="n">
        <f aca="false">J2597*Assumptions!$I$73/Assumptions!$I$69/4</f>
        <v>90872.9307811145</v>
      </c>
      <c r="K2609" s="54" t="n">
        <f aca="false">K2597*Assumptions!$I$73/Assumptions!$I$69/4</f>
        <v>112433.712240887</v>
      </c>
      <c r="L2609" s="54" t="n">
        <f aca="false">L2597*Assumptions!$I$73/Assumptions!$I$69/4</f>
        <v>133423.51063977</v>
      </c>
      <c r="M2609" s="54" t="n">
        <f aca="false">M2597*Assumptions!$I$73/Assumptions!$I$69/4</f>
        <v>153848.720868457</v>
      </c>
      <c r="N2609" s="54" t="n">
        <f aca="false">N2597*Assumptions!$I$73/Assumptions!$I$69/4</f>
        <v>173716.232159939</v>
      </c>
      <c r="P2609" s="55" t="n">
        <f aca="false">SUM(C2609:F2609)</f>
        <v>38378.3408323176</v>
      </c>
      <c r="Q2609" s="55" t="n">
        <f aca="false">SUM(G2609:J2609)</f>
        <v>244686.911788675</v>
      </c>
      <c r="R2609" s="55" t="n">
        <f aca="false">SUM(K2609:N2609)</f>
        <v>573422.175909053</v>
      </c>
      <c r="S2609" s="56" t="n">
        <f aca="false">SUM(P2609:R2609)</f>
        <v>856487.428530046</v>
      </c>
    </row>
    <row r="2610" customFormat="false" ht="15" hidden="false" customHeight="false" outlineLevel="0" collapsed="false">
      <c r="A2610" s="9" t="s">
        <v>566</v>
      </c>
      <c r="B2610" s="36" t="s">
        <v>125</v>
      </c>
      <c r="C2610" s="55" t="n">
        <f aca="false">C2606+C2607+C2608+C2609</f>
        <v>540351.785714286</v>
      </c>
      <c r="D2610" s="55" t="n">
        <f aca="false">D2606+D2607+D2608+D2609</f>
        <v>511038.173936446</v>
      </c>
      <c r="E2610" s="55" t="n">
        <f aca="false">E2606+E2607+E2608+E2609</f>
        <v>598439.353754267</v>
      </c>
      <c r="F2610" s="55" t="n">
        <f aca="false">F2606+F2607+F2608+F2609</f>
        <v>655193.490854142</v>
      </c>
      <c r="G2610" s="55" t="n">
        <f aca="false">G2606+G2607+G2608+G2609</f>
        <v>614308.370560064</v>
      </c>
      <c r="H2610" s="55" t="n">
        <f aca="false">H2606+H2607+H2608+H2609</f>
        <v>676710.861365806</v>
      </c>
      <c r="I2610" s="55" t="n">
        <f aca="false">I2606+I2607+I2608+I2609</f>
        <v>729910.83496857</v>
      </c>
      <c r="J2610" s="55" t="n">
        <f aca="false">J2606+J2607+J2608+J2609</f>
        <v>753459.983035058</v>
      </c>
      <c r="K2610" s="55" t="n">
        <f aca="false">K2606+K2607+K2608+K2609</f>
        <v>847689.824169729</v>
      </c>
      <c r="L2610" s="55" t="n">
        <f aca="false">L2606+L2607+L2608+L2609</f>
        <v>868604.681520887</v>
      </c>
      <c r="M2610" s="55" t="n">
        <f aca="false">M2606+M2607+M2608+M2609</f>
        <v>888952.770953251</v>
      </c>
      <c r="N2610" s="55" t="n">
        <f aca="false">N2606+N2607+N2608+N2609</f>
        <v>908741.273812137</v>
      </c>
      <c r="P2610" s="55" t="n">
        <f aca="false">SUM(C2610:F2610)</f>
        <v>2305022.80425914</v>
      </c>
      <c r="Q2610" s="55" t="n">
        <f aca="false">SUM(G2610:J2610)</f>
        <v>2774390.0499295</v>
      </c>
      <c r="R2610" s="55" t="n">
        <f aca="false">SUM(K2610:N2610)</f>
        <v>3513988.550456</v>
      </c>
      <c r="S2610" s="56" t="n">
        <f aca="false">SUM(P2610:R2610)</f>
        <v>8593401.40464464</v>
      </c>
    </row>
    <row r="2611" customFormat="false" ht="15" hidden="false" customHeight="false" outlineLevel="0" collapsed="false">
      <c r="A2611" s="35" t="s">
        <v>567</v>
      </c>
      <c r="B2611" s="35" t="s">
        <v>444</v>
      </c>
      <c r="C2611" s="6" t="s">
        <v>354</v>
      </c>
      <c r="D2611" s="6" t="s">
        <v>355</v>
      </c>
      <c r="E2611" s="6" t="s">
        <v>356</v>
      </c>
      <c r="F2611" s="6" t="s">
        <v>357</v>
      </c>
      <c r="G2611" s="6" t="s">
        <v>358</v>
      </c>
      <c r="H2611" s="6" t="s">
        <v>359</v>
      </c>
      <c r="I2611" s="6" t="s">
        <v>360</v>
      </c>
      <c r="J2611" s="6" t="s">
        <v>361</v>
      </c>
      <c r="K2611" s="6" t="s">
        <v>362</v>
      </c>
      <c r="L2611" s="6" t="s">
        <v>363</v>
      </c>
      <c r="M2611" s="6" t="s">
        <v>364</v>
      </c>
      <c r="N2611" s="6" t="s">
        <v>365</v>
      </c>
      <c r="P2611" s="6" t="s">
        <v>445</v>
      </c>
      <c r="Q2611" s="6" t="s">
        <v>446</v>
      </c>
      <c r="R2611" s="6" t="s">
        <v>447</v>
      </c>
      <c r="S2611" s="6" t="s">
        <v>448</v>
      </c>
    </row>
    <row r="2612" customFormat="false" ht="15" hidden="false" customHeight="false" outlineLevel="0" collapsed="false">
      <c r="A2612" s="9" t="s">
        <v>568</v>
      </c>
      <c r="B2612" s="36" t="s">
        <v>125</v>
      </c>
      <c r="C2612" s="55" t="n">
        <f aca="false">C2590-C2610</f>
        <v>-540351.785714286</v>
      </c>
      <c r="D2612" s="55" t="n">
        <f aca="false">D2590-D2610</f>
        <v>-506182.688563222</v>
      </c>
      <c r="E2612" s="55" t="n">
        <f aca="false">E2590-E2610</f>
        <v>-576981.024171906</v>
      </c>
      <c r="F2612" s="55" t="n">
        <f aca="false">F2590-F2610</f>
        <v>-606665.934780335</v>
      </c>
      <c r="G2612" s="55" t="n">
        <f aca="false">G2590-G2610</f>
        <v>-530393.175277346</v>
      </c>
      <c r="H2612" s="55" t="n">
        <f aca="false">H2590-H2610</f>
        <v>-547035.566559793</v>
      </c>
      <c r="I2612" s="55" t="n">
        <f aca="false">I2590-I2610</f>
        <v>-543013.538425806</v>
      </c>
      <c r="J2612" s="55" t="n">
        <f aca="false">J2590-J2610</f>
        <v>-497769.83075151</v>
      </c>
      <c r="K2612" s="55" t="n">
        <f aca="false">K2590-K2610</f>
        <v>-514770.014281048</v>
      </c>
      <c r="L2612" s="55" t="n">
        <f aca="false">L2590-L2610</f>
        <v>-454484.507176332</v>
      </c>
      <c r="M2612" s="55" t="n">
        <f aca="false">M2590-M2610</f>
        <v>-391024.838070215</v>
      </c>
      <c r="N2612" s="55" t="n">
        <f aca="false">N2590-N2610</f>
        <v>-324263.908360938</v>
      </c>
      <c r="P2612" s="55" t="n">
        <f aca="false">SUM(C2612:F2612)</f>
        <v>-2230181.43322975</v>
      </c>
      <c r="Q2612" s="55" t="n">
        <f aca="false">SUM(G2612:J2612)</f>
        <v>-2118212.11101446</v>
      </c>
      <c r="R2612" s="55" t="n">
        <f aca="false">SUM(K2612:N2612)</f>
        <v>-1684543.26788853</v>
      </c>
      <c r="S2612" s="56" t="n">
        <f aca="false">SUM(P2612:R2612)</f>
        <v>-6032936.81213274</v>
      </c>
    </row>
    <row r="2613" customFormat="false" ht="15" hidden="false" customHeight="false" outlineLevel="0" collapsed="false">
      <c r="A2613" s="9" t="s">
        <v>569</v>
      </c>
      <c r="B2613" s="36" t="s">
        <v>125</v>
      </c>
      <c r="C2613" s="55" t="n">
        <f aca="false">0+C2612</f>
        <v>-540351.785714286</v>
      </c>
      <c r="D2613" s="55" t="n">
        <f aca="false">C2613+D2612</f>
        <v>-1046534.47427751</v>
      </c>
      <c r="E2613" s="55" t="n">
        <f aca="false">D2613+E2612</f>
        <v>-1623515.49844941</v>
      </c>
      <c r="F2613" s="55" t="n">
        <f aca="false">E2613+F2612</f>
        <v>-2230181.43322975</v>
      </c>
      <c r="G2613" s="55" t="n">
        <f aca="false">F2613+G2612</f>
        <v>-2760574.6085071</v>
      </c>
      <c r="H2613" s="55" t="n">
        <f aca="false">G2613+H2612</f>
        <v>-3307610.17506689</v>
      </c>
      <c r="I2613" s="55" t="n">
        <f aca="false">H2613+I2612</f>
        <v>-3850623.71349269</v>
      </c>
      <c r="J2613" s="55" t="n">
        <f aca="false">I2613+J2612</f>
        <v>-4348393.5442442</v>
      </c>
      <c r="K2613" s="55" t="n">
        <f aca="false">J2613+K2612</f>
        <v>-4863163.55852525</v>
      </c>
      <c r="L2613" s="55" t="n">
        <f aca="false">K2613+L2612</f>
        <v>-5317648.06570158</v>
      </c>
      <c r="M2613" s="55" t="n">
        <f aca="false">L2613+M2612</f>
        <v>-5708672.9037718</v>
      </c>
      <c r="N2613" s="55" t="n">
        <f aca="false">M2613+N2612</f>
        <v>-6032936.81213274</v>
      </c>
      <c r="P2613" s="55" t="n">
        <f aca="false">F2613</f>
        <v>-2230181.43322975</v>
      </c>
      <c r="Q2613" s="55" t="n">
        <f aca="false">J2613</f>
        <v>-4348393.5442442</v>
      </c>
      <c r="R2613" s="55" t="n">
        <f aca="false">N2613</f>
        <v>-6032936.81213274</v>
      </c>
      <c r="S2613" s="56" t="n">
        <f aca="false">R2613</f>
        <v>-6032936.81213274</v>
      </c>
    </row>
    <row r="2614" customFormat="false" ht="15" hidden="false" customHeight="false" outlineLevel="0" collapsed="false">
      <c r="A2614" s="4" t="s">
        <v>570</v>
      </c>
      <c r="B2614" s="36" t="s">
        <v>107</v>
      </c>
      <c r="C2614" s="57" t="n">
        <f aca="false">1/(1+Assumptions!$I$87)^(C2533/4)</f>
        <v>0.972065420906982</v>
      </c>
      <c r="D2614" s="57" t="n">
        <f aca="false">1/(1+Assumptions!$I$87)^(D2533/4)</f>
        <v>0.944911182523068</v>
      </c>
      <c r="E2614" s="57" t="n">
        <f aca="false">1/(1+Assumptions!$I$87)^(E2533/4)</f>
        <v>0.918515486359</v>
      </c>
      <c r="F2614" s="57" t="n">
        <f aca="false">1/(1+Assumptions!$I$87)^(F2533/4)</f>
        <v>0.892857142857143</v>
      </c>
      <c r="G2614" s="57" t="n">
        <f aca="false">1/(1+Assumptions!$I$87)^(G2533/4)</f>
        <v>0.867915554381234</v>
      </c>
      <c r="H2614" s="57" t="n">
        <f aca="false">1/(1+Assumptions!$I$87)^(H2533/4)</f>
        <v>0.843670698681311</v>
      </c>
      <c r="I2614" s="57" t="n">
        <f aca="false">1/(1+Assumptions!$I$87)^(I2533/4)</f>
        <v>0.820103112820536</v>
      </c>
      <c r="J2614" s="57" t="n">
        <f aca="false">1/(1+Assumptions!$I$87)^(J2533/4)</f>
        <v>0.79719387755102</v>
      </c>
      <c r="K2614" s="57" t="n">
        <f aca="false">1/(1+Assumptions!$I$87)^(K2533/4)</f>
        <v>0.774924602126102</v>
      </c>
      <c r="L2614" s="57" t="n">
        <f aca="false">1/(1+Assumptions!$I$87)^(L2533/4)</f>
        <v>0.753277409536885</v>
      </c>
      <c r="M2614" s="57" t="n">
        <f aca="false">1/(1+Assumptions!$I$87)^(M2533/4)</f>
        <v>0.732234922161193</v>
      </c>
      <c r="N2614" s="57" t="n">
        <f aca="false">1/(1+Assumptions!$I$87)^(N2533/4)</f>
        <v>0.711780247813411</v>
      </c>
      <c r="P2614" s="58"/>
      <c r="Q2614" s="58"/>
      <c r="R2614" s="58"/>
      <c r="S2614" s="59"/>
    </row>
    <row r="2615" customFormat="false" ht="15" hidden="false" customHeight="false" outlineLevel="0" collapsed="false">
      <c r="A2615" s="4" t="s">
        <v>571</v>
      </c>
      <c r="B2615" s="36" t="s">
        <v>125</v>
      </c>
      <c r="C2615" s="54" t="n">
        <f aca="false">(C2590*(1-Assumptions!$I$88)-C2610)*C2614</f>
        <v>-525257.286018197</v>
      </c>
      <c r="D2615" s="54" t="n">
        <f aca="false">(D2590*(1-Assumptions!$I$88)-D2610)*D2614</f>
        <v>-479674.083550701</v>
      </c>
      <c r="E2615" s="54" t="n">
        <f aca="false">(E2590*(1-Assumptions!$I$88)-E2610)*E2614</f>
        <v>-535878.948447011</v>
      </c>
      <c r="F2615" s="54" t="n">
        <f aca="false">(F2590*(1-Assumptions!$I$88)-F2610)*F2614</f>
        <v>-554664.465716498</v>
      </c>
      <c r="G2615" s="54" t="n">
        <f aca="false">(G2590*(1-Assumptions!$I$88)-G2610)*G2614</f>
        <v>-482185.877731303</v>
      </c>
      <c r="H2615" s="54" t="n">
        <f aca="false">(H2590*(1-Assumptions!$I$88)-H2610)*H2614</f>
        <v>-494338.852614235</v>
      </c>
      <c r="I2615" s="54" t="n">
        <f aca="false">(I2590*(1-Assumptions!$I$88)-I2610)*I2614</f>
        <v>-491309.609568436</v>
      </c>
      <c r="J2615" s="54" t="n">
        <f aca="false">(J2590*(1-Assumptions!$I$88)-J2610)*J2614</f>
        <v>-457969.448689871</v>
      </c>
      <c r="K2615" s="54" t="n">
        <f aca="false">(K2590*(1-Assumptions!$I$88)-K2610)*K2614</f>
        <v>-476304.273868554</v>
      </c>
      <c r="L2615" s="54" t="n">
        <f aca="false">(L2590*(1-Assumptions!$I$88)-L2610)*L2614</f>
        <v>-435937.123890604</v>
      </c>
      <c r="M2615" s="54" t="n">
        <f aca="false">(M2590*(1-Assumptions!$I$88)-M2610)*M2614</f>
        <v>-395702.108220385</v>
      </c>
      <c r="N2615" s="54" t="n">
        <f aca="false">(N2590*(1-Assumptions!$I$88)-N2610)*N2614</f>
        <v>-355610.478256749</v>
      </c>
      <c r="P2615" s="55" t="n">
        <f aca="false">SUM(C2615:F2615)</f>
        <v>-2095474.78373241</v>
      </c>
      <c r="Q2615" s="55" t="n">
        <f aca="false">SUM(G2615:J2615)</f>
        <v>-1925803.78860385</v>
      </c>
      <c r="R2615" s="55" t="n">
        <f aca="false">SUM(K2615:N2615)</f>
        <v>-1663553.98423629</v>
      </c>
      <c r="S2615" s="56" t="n">
        <f aca="false">SUM(P2615:R2615)</f>
        <v>-5684832.55657254</v>
      </c>
    </row>
    <row r="2616" customFormat="false" ht="15" hidden="false" customHeight="false" outlineLevel="0" collapsed="false">
      <c r="A2616" s="4" t="s">
        <v>572</v>
      </c>
      <c r="B2616" s="36" t="s">
        <v>125</v>
      </c>
      <c r="C2616" s="54" t="n">
        <f aca="false">(C2610-C2609)*12/(Assumptions!$I$89*Assumptions!$I$76)*Assumptions!$I$90</f>
        <v>337719.866071429</v>
      </c>
      <c r="D2616" s="54" t="n">
        <f aca="false">(D2610-D2609)*12/(Assumptions!$I$89*Assumptions!$I$76)*Assumptions!$I$90</f>
        <v>316844.1787598</v>
      </c>
      <c r="E2616" s="54" t="n">
        <f aca="false">(E2610-E2609)*12/(Assumptions!$I$89*Assumptions!$I$76)*Assumptions!$I$90</f>
        <v>366291.580416358</v>
      </c>
      <c r="F2616" s="54" t="n">
        <f aca="false">(F2610-F2609)*12/(Assumptions!$I$89*Assumptions!$I$76)*Assumptions!$I$90</f>
        <v>395797.164394178</v>
      </c>
      <c r="G2616" s="54" t="n">
        <f aca="false">(G2610-G2609)*12/(Assumptions!$I$89*Assumptions!$I$76)*Assumptions!$I$90</f>
        <v>362362.068909641</v>
      </c>
      <c r="H2616" s="54" t="n">
        <f aca="false">(H2610-H2609)*12/(Assumptions!$I$89*Assumptions!$I$76)*Assumptions!$I$90</f>
        <v>391604.085243493</v>
      </c>
      <c r="I2616" s="54" t="n">
        <f aca="false">(I2610-I2609)*12/(Assumptions!$I$89*Assumptions!$I$76)*Assumptions!$I$90</f>
        <v>412981.399526165</v>
      </c>
      <c r="J2616" s="54" t="n">
        <f aca="false">(J2610-J2609)*12/(Assumptions!$I$89*Assumptions!$I$76)*Assumptions!$I$90</f>
        <v>414116.907658715</v>
      </c>
      <c r="K2616" s="54" t="n">
        <f aca="false">(K2610-K2609)*12/(Assumptions!$I$89*Assumptions!$I$76)*Assumptions!$I$90</f>
        <v>459535.069955526</v>
      </c>
      <c r="L2616" s="54" t="n">
        <f aca="false">(L2610-L2609)*12/(Assumptions!$I$89*Assumptions!$I$76)*Assumptions!$I$90</f>
        <v>459488.231800698</v>
      </c>
      <c r="M2616" s="54" t="n">
        <f aca="false">(M2610-M2609)*12/(Assumptions!$I$89*Assumptions!$I$76)*Assumptions!$I$90</f>
        <v>459440.031302997</v>
      </c>
      <c r="N2616" s="54" t="n">
        <f aca="false">(N2610-N2609)*12/(Assumptions!$I$89*Assumptions!$I$76)*Assumptions!$I$90</f>
        <v>459390.651032624</v>
      </c>
      <c r="P2616" s="55" t="n">
        <f aca="false">SUM(C2616:F2616)</f>
        <v>1416652.78964177</v>
      </c>
      <c r="Q2616" s="55" t="n">
        <f aca="false">SUM(G2616:J2616)</f>
        <v>1581064.46133801</v>
      </c>
      <c r="R2616" s="55" t="n">
        <f aca="false">SUM(K2616:N2616)</f>
        <v>1837853.98409184</v>
      </c>
      <c r="S2616" s="56" t="n">
        <f aca="false">SUM(P2616:R2616)</f>
        <v>4835571.23507162</v>
      </c>
    </row>
    <row r="2617" customFormat="false" ht="15" hidden="false" customHeight="false" outlineLevel="0" collapsed="false">
      <c r="A2617" s="4" t="s">
        <v>573</v>
      </c>
      <c r="B2617" s="36" t="s">
        <v>125</v>
      </c>
      <c r="C2617" s="54" t="n">
        <f aca="false">0*Assumptions!$I$92^(1/4)+C2616</f>
        <v>337719.866071429</v>
      </c>
      <c r="D2617" s="54" t="n">
        <f aca="false">C2617*Assumptions!$I$92^(1/4)+D2616</f>
        <v>655405.196715688</v>
      </c>
      <c r="E2617" s="54" t="n">
        <f aca="false">D2617*Assumptions!$I$92^(1/4)+E2616</f>
        <v>1023329.181298</v>
      </c>
      <c r="F2617" s="54" t="n">
        <f aca="false">E2617*Assumptions!$I$92^(1/4)+F2616</f>
        <v>1421675.13051578</v>
      </c>
      <c r="G2617" s="54" t="n">
        <f aca="false">F2617*Assumptions!$I$92^(1/4)+G2616</f>
        <v>1787578.13626468</v>
      </c>
      <c r="H2617" s="54" t="n">
        <f aca="false">G2617*Assumptions!$I$92^(1/4)+H2616</f>
        <v>2183634.5053949</v>
      </c>
      <c r="I2617" s="54" t="n">
        <f aca="false">H2617*Assumptions!$I$92^(1/4)+I2616</f>
        <v>2602054.63821369</v>
      </c>
      <c r="J2617" s="54" t="n">
        <f aca="false">I2617*Assumptions!$I$92^(1/4)+J2616</f>
        <v>3022652.42953454</v>
      </c>
      <c r="K2617" s="54" t="n">
        <f aca="false">J2617*Assumptions!$I$92^(1/4)+K2616</f>
        <v>3489715.95737069</v>
      </c>
      <c r="L2617" s="54" t="n">
        <f aca="false">K2617*Assumptions!$I$92^(1/4)+L2616</f>
        <v>3957895.95251927</v>
      </c>
      <c r="M2617" s="54" t="n">
        <f aca="false">L2617*Assumptions!$I$92^(1/4)+M2616</f>
        <v>4427193.83339944</v>
      </c>
      <c r="N2617" s="54" t="n">
        <f aca="false">M2617*Assumptions!$I$92^(1/4)+N2616</f>
        <v>4897611.2045334</v>
      </c>
      <c r="P2617" s="55" t="n">
        <f aca="false">F2617</f>
        <v>1421675.13051578</v>
      </c>
      <c r="Q2617" s="55" t="n">
        <f aca="false">J2617</f>
        <v>3022652.42953454</v>
      </c>
      <c r="R2617" s="55" t="n">
        <f aca="false">N2617</f>
        <v>4897611.2045334</v>
      </c>
      <c r="S2617" s="56" t="n">
        <f aca="false">R2617</f>
        <v>4897611.2045334</v>
      </c>
    </row>
    <row r="2618" customFormat="false" ht="15" hidden="false" customHeight="false" outlineLevel="0" collapsed="false">
      <c r="A2618" s="4" t="s">
        <v>574</v>
      </c>
      <c r="B2618" s="36" t="s">
        <v>125</v>
      </c>
      <c r="C2618" s="54" t="n">
        <f aca="false">(0+C2617)/8*Assumptions!$I$76-(C2610-C2609)-C2617*Assumptions!$I$93/4</f>
        <v>-514178.49609375</v>
      </c>
      <c r="D2618" s="54" t="n">
        <f aca="false">(C2617+D2617)/8*Assumptions!$I$76-(D2610-D2609)-D2617*Assumptions!$I$93/4</f>
        <v>-425761.995323786</v>
      </c>
      <c r="E2618" s="54" t="n">
        <f aca="false">(D2617+E2617)/8*Assumptions!$I$76-(E2610-E2609)-E2617*Assumptions!$I$93/4</f>
        <v>-447772.049411165</v>
      </c>
      <c r="F2618" s="54" t="n">
        <f aca="false">(E2617+F2617)/8*Assumptions!$I$76-(F2610-F2609)-F2617*Assumptions!$I$93/4</f>
        <v>-430996.014098891</v>
      </c>
      <c r="G2618" s="54" t="n">
        <f aca="false">(F2617+G2617)/8*Assumptions!$I$76-(G2610-G2609)-G2617*Assumptions!$I$93/4</f>
        <v>-313291.242948492</v>
      </c>
      <c r="H2618" s="54" t="n">
        <f aca="false">(G2617+H2617)/8*Assumptions!$I$76-(H2610-H2609)-H2617*Assumptions!$I$93/4</f>
        <v>-296452.829957663</v>
      </c>
      <c r="I2618" s="54" t="n">
        <f aca="false">(H2617+I2617)/8*Assumptions!$I$76-(I2610-I2609)-I2617*Assumptions!$I$93/4</f>
        <v>-262583.899294762</v>
      </c>
      <c r="J2618" s="54" t="n">
        <f aca="false">(I2617+J2617)/8*Assumptions!$I$76-(J2610-J2609)-J2617*Assumptions!$I$93/4</f>
        <v>-194146.571525784</v>
      </c>
      <c r="K2618" s="54" t="n">
        <f aca="false">(J2617+K2617)/8*Assumptions!$I$76-(K2610-K2609)-K2617*Assumptions!$I$93/4</f>
        <v>-192764.406574505</v>
      </c>
      <c r="L2618" s="54" t="n">
        <f aca="false">(K2617+L2617)/8*Assumptions!$I$76-(L2610-L2609)-L2617*Assumptions!$I$93/4</f>
        <v>-114369.798397511</v>
      </c>
      <c r="M2618" s="54" t="n">
        <f aca="false">(L2617+M2617)/8*Assumptions!$I$76-(M2610-M2609)-M2617*Assumptions!$I$93/4</f>
        <v>-35785.8922696036</v>
      </c>
      <c r="N2618" s="54" t="n">
        <f aca="false">(M2617+N2617)/8*Assumptions!$I$76-(N2610-N2609)-N2617*Assumptions!$I$93/4</f>
        <v>42987.2717050902</v>
      </c>
      <c r="P2618" s="55" t="n">
        <f aca="false">SUM(C2618:F2618)</f>
        <v>-1818708.55492759</v>
      </c>
      <c r="Q2618" s="55" t="n">
        <f aca="false">SUM(G2618:J2618)</f>
        <v>-1066474.5437267</v>
      </c>
      <c r="R2618" s="55" t="n">
        <f aca="false">SUM(K2618:N2618)</f>
        <v>-299932.825536529</v>
      </c>
      <c r="S2618" s="56" t="n">
        <f aca="false">SUM(P2618:R2618)</f>
        <v>-3185115.92419082</v>
      </c>
    </row>
    <row r="2619" customFormat="false" ht="15" hidden="false" customHeight="false" outlineLevel="0" collapsed="false">
      <c r="A2619" s="4" t="s">
        <v>575</v>
      </c>
      <c r="B2619" s="36" t="s">
        <v>125</v>
      </c>
      <c r="C2619" s="54" t="n">
        <f aca="false">C2618*C2614</f>
        <v>-499815.13622669</v>
      </c>
      <c r="D2619" s="54" t="n">
        <f aca="false">D2618*D2614</f>
        <v>-402307.270474779</v>
      </c>
      <c r="E2619" s="54" t="n">
        <f aca="false">E2618*E2614</f>
        <v>-411285.561742863</v>
      </c>
      <c r="F2619" s="54" t="n">
        <f aca="false">F2618*F2614</f>
        <v>-384817.869731153</v>
      </c>
      <c r="G2619" s="54" t="n">
        <f aca="false">G2618*G2614</f>
        <v>-271910.342806426</v>
      </c>
      <c r="H2619" s="54" t="n">
        <f aca="false">H2618*H2614</f>
        <v>-250108.566176433</v>
      </c>
      <c r="I2619" s="54" t="n">
        <f aca="false">I2618*I2614</f>
        <v>-215345.873188188</v>
      </c>
      <c r="J2619" s="54" t="n">
        <f aca="false">J2618*J2614</f>
        <v>-154772.458167876</v>
      </c>
      <c r="K2619" s="54" t="n">
        <f aca="false">K2618*K2614</f>
        <v>-149377.881068822</v>
      </c>
      <c r="L2619" s="54" t="n">
        <f aca="false">L2618*L2614</f>
        <v>-86152.1854661329</v>
      </c>
      <c r="M2619" s="54" t="n">
        <f aca="false">M2618*M2614</f>
        <v>-26203.6800405021</v>
      </c>
      <c r="N2619" s="54" t="n">
        <f aca="false">N2618*N2614</f>
        <v>30597.4909070715</v>
      </c>
      <c r="P2619" s="55" t="n">
        <f aca="false">SUM(C2619:F2619)</f>
        <v>-1698225.83817549</v>
      </c>
      <c r="Q2619" s="55" t="n">
        <f aca="false">SUM(G2619:J2619)</f>
        <v>-892137.240338924</v>
      </c>
      <c r="R2619" s="55" t="n">
        <f aca="false">SUM(K2619:N2619)</f>
        <v>-231136.255668385</v>
      </c>
      <c r="S2619" s="56" t="n">
        <f aca="false">SUM(P2619:R2619)</f>
        <v>-2821499.33418279</v>
      </c>
    </row>
    <row r="2620" customFormat="false" ht="15" hidden="false" customHeight="false" outlineLevel="0" collapsed="false">
      <c r="A2620" s="4" t="s">
        <v>576</v>
      </c>
      <c r="B2620" s="36"/>
      <c r="C2620" s="37" t="n">
        <f aca="false">IFERROR((S2575*$C$2524*Assumptions!$I$59+S2576*$C$2525*Assumptions!$I$60+S2577*$C$2526*Assumptions!$I$61)/(S2575*$C$2524+S2576*$C$2525+S2577*$C$2526),0.9)</f>
        <v>0.926300658617048</v>
      </c>
    </row>
    <row r="2621" customFormat="false" ht="15" hidden="false" customHeight="false" outlineLevel="0" collapsed="false">
      <c r="A2621" s="4" t="s">
        <v>577</v>
      </c>
      <c r="B2621" s="36"/>
      <c r="C2621" s="37" t="n">
        <f aca="false">IFERROR(N2609*4/N2587,0)</f>
        <v>0.199020934551954</v>
      </c>
    </row>
    <row r="2622" customFormat="false" ht="15" hidden="false" customHeight="false" outlineLevel="0" collapsed="false">
      <c r="A2622" s="4" t="s">
        <v>578</v>
      </c>
      <c r="B2622" s="36"/>
      <c r="C2622" s="60" t="n">
        <f aca="false">$C$2620/(1+Assumptions!$I$87)</f>
        <v>0.827054159479507</v>
      </c>
    </row>
    <row r="2623" customFormat="false" ht="15" hidden="false" customHeight="false" outlineLevel="0" collapsed="false">
      <c r="A2623" s="4" t="s">
        <v>579</v>
      </c>
      <c r="B2623" s="36"/>
      <c r="C2623" s="60" t="n">
        <f aca="false">Assumptions!$I$91/(1+Assumptions!$I$87)</f>
        <v>0.803571428571429</v>
      </c>
    </row>
    <row r="2624" customFormat="false" ht="15" hidden="false" customHeight="false" outlineLevel="0" collapsed="false">
      <c r="A2624" s="35" t="s">
        <v>580</v>
      </c>
      <c r="B2624" s="35" t="s">
        <v>444</v>
      </c>
      <c r="C2624" s="6" t="s">
        <v>354</v>
      </c>
      <c r="D2624" s="6" t="s">
        <v>355</v>
      </c>
      <c r="E2624" s="6" t="s">
        <v>356</v>
      </c>
      <c r="F2624" s="6" t="s">
        <v>357</v>
      </c>
      <c r="G2624" s="6" t="s">
        <v>358</v>
      </c>
      <c r="H2624" s="6" t="s">
        <v>359</v>
      </c>
      <c r="I2624" s="6" t="s">
        <v>360</v>
      </c>
      <c r="J2624" s="6" t="s">
        <v>361</v>
      </c>
      <c r="K2624" s="6" t="s">
        <v>362</v>
      </c>
      <c r="L2624" s="6" t="s">
        <v>363</v>
      </c>
      <c r="M2624" s="6" t="s">
        <v>364</v>
      </c>
      <c r="N2624" s="6" t="s">
        <v>365</v>
      </c>
      <c r="P2624" s="6" t="s">
        <v>445</v>
      </c>
      <c r="Q2624" s="6" t="s">
        <v>446</v>
      </c>
      <c r="R2624" s="6" t="s">
        <v>447</v>
      </c>
      <c r="S2624" s="6" t="s">
        <v>448</v>
      </c>
    </row>
    <row r="2625" customFormat="false" ht="15" hidden="false" customHeight="false" outlineLevel="0" collapsed="false">
      <c r="A2625" s="9" t="s">
        <v>581</v>
      </c>
      <c r="C2625" s="61" t="n">
        <f aca="false">N2587</f>
        <v>3491416.26836429</v>
      </c>
      <c r="D2625" s="61"/>
    </row>
    <row r="2626" customFormat="false" ht="15" hidden="false" customHeight="false" outlineLevel="0" collapsed="false">
      <c r="A2626" s="9" t="s">
        <v>582</v>
      </c>
      <c r="C2626" s="62" t="n">
        <f aca="false">N2583</f>
        <v>386.271137692335</v>
      </c>
      <c r="D2626" s="62"/>
    </row>
    <row r="2627" customFormat="false" ht="15" hidden="false" customHeight="false" outlineLevel="0" collapsed="false">
      <c r="A2627" s="9" t="s">
        <v>583</v>
      </c>
      <c r="C2627" s="63" t="n">
        <f aca="false">S2578</f>
        <v>419.286387148215</v>
      </c>
      <c r="D2627" s="63"/>
    </row>
    <row r="2628" customFormat="false" ht="15" hidden="false" customHeight="false" outlineLevel="0" collapsed="false">
      <c r="A2628" s="9" t="s">
        <v>584</v>
      </c>
      <c r="C2628" s="61" t="n">
        <f aca="false">S2589</f>
        <v>3556200.8229332</v>
      </c>
      <c r="D2628" s="61"/>
    </row>
    <row r="2629" customFormat="false" ht="15" hidden="false" customHeight="false" outlineLevel="0" collapsed="false">
      <c r="A2629" s="9" t="s">
        <v>22</v>
      </c>
      <c r="C2629" s="61" t="n">
        <f aca="false">IFERROR(S2588/S2578,0)</f>
        <v>7288.05182548431</v>
      </c>
      <c r="D2629" s="61"/>
    </row>
    <row r="2630" customFormat="false" ht="15" hidden="false" customHeight="false" outlineLevel="0" collapsed="false">
      <c r="A2630" s="9" t="s">
        <v>585</v>
      </c>
      <c r="C2630" s="61" t="n">
        <f aca="false">IFERROR(S2606/S2578,0)</f>
        <v>16777.6214001963</v>
      </c>
      <c r="D2630" s="61"/>
    </row>
    <row r="2631" customFormat="false" ht="23.85" hidden="false" customHeight="false" outlineLevel="0" collapsed="false">
      <c r="A2631" s="9" t="s">
        <v>586</v>
      </c>
      <c r="C2631" s="61" t="n">
        <f aca="false">IFERROR((S2600+S2602+S2603+S2604+S2605)/S2578,0)</f>
        <v>3040.4884197573</v>
      </c>
      <c r="D2631" s="61"/>
    </row>
    <row r="2632" customFormat="false" ht="15" hidden="false" customHeight="false" outlineLevel="0" collapsed="false">
      <c r="A2632" s="9" t="s">
        <v>587</v>
      </c>
      <c r="C2632" s="64" t="n">
        <f aca="false">IFERROR('Engine Runs'!$C$2630/('Engine Runs'!$C$2629*Assumptions!$I$76/12),0)</f>
        <v>38.3678697726636</v>
      </c>
      <c r="D2632" s="64"/>
    </row>
    <row r="2633" customFormat="false" ht="15" hidden="false" customHeight="false" outlineLevel="0" collapsed="false">
      <c r="A2633" s="9" t="s">
        <v>588</v>
      </c>
      <c r="C2633" s="64" t="n">
        <f aca="false">IFERROR((R2606/R2578)/((R2588/R2578)*Assumptions!$I$76/12),0)</f>
        <v>30.7176485683831</v>
      </c>
      <c r="D2633" s="64"/>
    </row>
    <row r="2634" customFormat="false" ht="15" hidden="false" customHeight="false" outlineLevel="0" collapsed="false">
      <c r="A2634" s="9" t="s">
        <v>589</v>
      </c>
      <c r="C2634" s="61" t="n">
        <f aca="false">S2610</f>
        <v>8593401.40464464</v>
      </c>
      <c r="D2634" s="61"/>
    </row>
    <row r="2635" customFormat="false" ht="15" hidden="false" customHeight="false" outlineLevel="0" collapsed="false">
      <c r="A2635" s="9" t="s">
        <v>590</v>
      </c>
      <c r="C2635" s="61" t="n">
        <f aca="false">N2613</f>
        <v>-6032936.81213274</v>
      </c>
      <c r="D2635" s="61"/>
    </row>
    <row r="2636" customFormat="false" ht="15" hidden="false" customHeight="false" outlineLevel="0" collapsed="false">
      <c r="A2636" s="9" t="s">
        <v>591</v>
      </c>
      <c r="C2636" s="61" t="n">
        <f aca="false">MIN($C$2613:$N$2613)</f>
        <v>-6032936.81213274</v>
      </c>
      <c r="D2636" s="61"/>
    </row>
    <row r="2637" customFormat="false" ht="15" hidden="false" customHeight="false" outlineLevel="0" collapsed="false">
      <c r="A2637" s="9" t="s">
        <v>592</v>
      </c>
      <c r="C2637" s="61" t="n">
        <f aca="false">N2587*(Assumptions!$I$76-$C$2621)*$C$2620*(1-$C$2620^Assumptions!$I$85)/(1-$C$2620)</f>
        <v>7270929.79562726</v>
      </c>
      <c r="D2637" s="61"/>
    </row>
    <row r="2638" customFormat="false" ht="15" hidden="false" customHeight="false" outlineLevel="0" collapsed="false">
      <c r="A2638" s="9" t="s">
        <v>593</v>
      </c>
      <c r="C2638" s="61" t="n">
        <f aca="false">N2587*(Assumptions!$I$76-$C$2621)*(1-Assumptions!$I$88)/(1+Assumptions!$I$87)^2.5*$C$2622*(1-$C$2622^Assumptions!$I$85)/(1-$C$2622)</f>
        <v>2811805.05638673</v>
      </c>
      <c r="D2638" s="61"/>
    </row>
    <row r="2639" customFormat="false" ht="15" hidden="false" customHeight="false" outlineLevel="0" collapsed="false">
      <c r="A2639" s="9" t="s">
        <v>594</v>
      </c>
      <c r="C2639" s="61" t="n">
        <f aca="false">SUM($C$2615:$N$2615)+'Engine Runs'!$C$2638</f>
        <v>-2873027.50018581</v>
      </c>
      <c r="D2639" s="61"/>
    </row>
    <row r="2640" customFormat="false" ht="15" hidden="false" customHeight="false" outlineLevel="0" collapsed="false">
      <c r="A2640" s="9" t="s">
        <v>595</v>
      </c>
      <c r="C2640" s="61" t="n">
        <f aca="false">SUM($C$2619:$N$2619)+N2617*(Assumptions!$I$76-Assumptions!$I$93)/(1+Assumptions!$I$87)^2.5*$C$2623*(1-$C$2623^Assumptions!$I$85)/(1-$C$2623)</f>
        <v>3902325.87749624</v>
      </c>
      <c r="D2640" s="61"/>
    </row>
    <row r="2641" customFormat="false" ht="15" hidden="false" customHeight="false" outlineLevel="0" collapsed="false">
      <c r="A2641" s="9" t="s">
        <v>596</v>
      </c>
      <c r="C2641" s="61" t="n">
        <f aca="false">'Engine Runs'!$C$2639-'Engine Runs'!$C$2640</f>
        <v>-6775353.37768205</v>
      </c>
      <c r="D2641" s="61"/>
    </row>
    <row r="2642" customFormat="false" ht="15" hidden="false" customHeight="false" outlineLevel="0" collapsed="false">
      <c r="A2642" s="9" t="s">
        <v>597</v>
      </c>
      <c r="C2642" s="61" t="n">
        <f aca="false">S2574</f>
        <v>0</v>
      </c>
      <c r="D2642" s="61"/>
    </row>
    <row r="2643" customFormat="false" ht="15" hidden="false" customHeight="false" outlineLevel="0" collapsed="false">
      <c r="A2643" s="9" t="s">
        <v>598</v>
      </c>
      <c r="C2643" s="63" t="n">
        <f aca="false">P2558</f>
        <v>336.343963822151</v>
      </c>
      <c r="D2643" s="63"/>
    </row>
    <row r="2644" customFormat="false" ht="15" hidden="false" customHeight="false" outlineLevel="0" collapsed="false">
      <c r="A2644" s="9" t="s">
        <v>599</v>
      </c>
      <c r="C2644" s="63" t="n">
        <f aca="false">P2578</f>
        <v>52.2151341898812</v>
      </c>
      <c r="D2644" s="63"/>
    </row>
    <row r="2645" customFormat="false" ht="15" hidden="false" customHeight="false" outlineLevel="0" collapsed="false">
      <c r="A2645" s="9" t="s">
        <v>600</v>
      </c>
      <c r="C2645" s="63" t="n">
        <f aca="false">P2554</f>
        <v>112</v>
      </c>
      <c r="D2645" s="63"/>
    </row>
    <row r="2646" customFormat="false" ht="15" hidden="false" customHeight="false" outlineLevel="0" collapsed="false">
      <c r="A2646" s="9" t="s">
        <v>601</v>
      </c>
      <c r="C2646" s="61" t="n">
        <f aca="false">IFERROR(P2588/P2578,0)</f>
        <v>6674.21979964615</v>
      </c>
      <c r="D2646" s="61"/>
    </row>
    <row r="2649" customFormat="false" ht="15" hidden="false" customHeight="true" outlineLevel="0" collapsed="false">
      <c r="A2649" s="77" t="s">
        <v>801</v>
      </c>
      <c r="B2649" s="77"/>
      <c r="C2649" s="77"/>
      <c r="D2649" s="77"/>
      <c r="E2649" s="77"/>
      <c r="F2649" s="77"/>
      <c r="G2649" s="77"/>
      <c r="H2649" s="77"/>
      <c r="I2649" s="77"/>
      <c r="J2649" s="77"/>
      <c r="K2649" s="77"/>
      <c r="L2649" s="77"/>
      <c r="M2649" s="77"/>
      <c r="N2649" s="77"/>
    </row>
    <row r="2650" customFormat="false" ht="23.85" hidden="false" customHeight="false" outlineLevel="0" collapsed="false">
      <c r="A2650" s="35" t="s">
        <v>802</v>
      </c>
      <c r="B2650" s="35" t="s">
        <v>444</v>
      </c>
      <c r="C2650" s="6" t="s">
        <v>354</v>
      </c>
      <c r="D2650" s="6" t="s">
        <v>355</v>
      </c>
      <c r="E2650" s="6" t="s">
        <v>356</v>
      </c>
      <c r="F2650" s="6" t="s">
        <v>357</v>
      </c>
      <c r="G2650" s="6" t="s">
        <v>358</v>
      </c>
      <c r="H2650" s="6" t="s">
        <v>359</v>
      </c>
      <c r="I2650" s="6" t="s">
        <v>360</v>
      </c>
      <c r="J2650" s="6" t="s">
        <v>361</v>
      </c>
      <c r="K2650" s="6" t="s">
        <v>362</v>
      </c>
      <c r="L2650" s="6" t="s">
        <v>363</v>
      </c>
      <c r="M2650" s="6" t="s">
        <v>364</v>
      </c>
      <c r="N2650" s="6" t="s">
        <v>365</v>
      </c>
      <c r="P2650" s="6" t="s">
        <v>445</v>
      </c>
      <c r="Q2650" s="6" t="s">
        <v>446</v>
      </c>
      <c r="R2650" s="6" t="s">
        <v>447</v>
      </c>
      <c r="S2650" s="6" t="s">
        <v>448</v>
      </c>
    </row>
    <row r="2651" customFormat="false" ht="15" hidden="false" customHeight="false" outlineLevel="0" collapsed="false">
      <c r="A2651" s="4" t="s">
        <v>449</v>
      </c>
      <c r="B2651" s="36" t="s">
        <v>450</v>
      </c>
      <c r="C2651" s="34" t="n">
        <f aca="false">'Market Sizing'!$C$20*Assumptions!$G$10*Assumptions!$G$11*(1-Assumptions!$G$12)</f>
        <v>2743.814304</v>
      </c>
    </row>
    <row r="2652" customFormat="false" ht="15" hidden="false" customHeight="false" outlineLevel="0" collapsed="false">
      <c r="A2652" s="4" t="s">
        <v>451</v>
      </c>
      <c r="B2652" s="36" t="s">
        <v>450</v>
      </c>
      <c r="C2652" s="34" t="n">
        <f aca="false">'Market Sizing'!$D$20*Assumptions!$G$10*Assumptions!$G$11*(1-Assumptions!$G$12)</f>
        <v>560.531664</v>
      </c>
    </row>
    <row r="2653" customFormat="false" ht="15" hidden="false" customHeight="false" outlineLevel="0" collapsed="false">
      <c r="A2653" s="4" t="s">
        <v>452</v>
      </c>
      <c r="B2653" s="36" t="s">
        <v>450</v>
      </c>
      <c r="C2653" s="34" t="n">
        <f aca="false">'Market Sizing'!$E$20*Assumptions!$G$10*Assumptions!$G$11*(1-Assumptions!$G$12)</f>
        <v>130.340826</v>
      </c>
    </row>
    <row r="2654" customFormat="false" ht="15" hidden="false" customHeight="false" outlineLevel="0" collapsed="false">
      <c r="A2654" s="4" t="s">
        <v>453</v>
      </c>
      <c r="B2654" s="36"/>
      <c r="C2654" s="34" t="n">
        <f aca="false">$C$2651+$C$2652+$C$2653</f>
        <v>3434.686794</v>
      </c>
    </row>
    <row r="2655" customFormat="false" ht="15" hidden="false" customHeight="false" outlineLevel="0" collapsed="false">
      <c r="A2655" s="4" t="s">
        <v>454</v>
      </c>
      <c r="B2655" s="36" t="s">
        <v>450</v>
      </c>
      <c r="C2655" s="34" t="n">
        <f aca="false">'Market Sizing'!$C$21*Assumptions!$G$10*Assumptions!$G$11*(1-Assumptions!$G$12)</f>
        <v>2711.4875865</v>
      </c>
    </row>
    <row r="2656" customFormat="false" ht="15" hidden="false" customHeight="false" outlineLevel="0" collapsed="false">
      <c r="A2656" s="4" t="s">
        <v>455</v>
      </c>
      <c r="B2656" s="36" t="s">
        <v>450</v>
      </c>
      <c r="C2656" s="34" t="n">
        <f aca="false">'Market Sizing'!$D$21*Assumptions!$G$10*Assumptions!$G$11*(1-Assumptions!$G$12)</f>
        <v>558.515727</v>
      </c>
    </row>
    <row r="2657" customFormat="false" ht="15" hidden="false" customHeight="false" outlineLevel="0" collapsed="false">
      <c r="A2657" s="4" t="s">
        <v>456</v>
      </c>
      <c r="B2657" s="36" t="s">
        <v>450</v>
      </c>
      <c r="C2657" s="34" t="n">
        <f aca="false">'Market Sizing'!$E$21*Assumptions!$G$10*Assumptions!$G$11*(1-Assumptions!$G$12)</f>
        <v>114.174522</v>
      </c>
    </row>
    <row r="2658" customFormat="false" ht="15" hidden="false" customHeight="false" outlineLevel="0" collapsed="false">
      <c r="A2658" s="4" t="s">
        <v>457</v>
      </c>
      <c r="B2658" s="36"/>
      <c r="C2658" s="34" t="n">
        <f aca="false">$C$2655+$C$2656+$C$2657</f>
        <v>3384.1778355</v>
      </c>
    </row>
    <row r="2659" customFormat="false" ht="15" hidden="false" customHeight="false" outlineLevel="0" collapsed="false">
      <c r="A2659" s="4" t="s">
        <v>458</v>
      </c>
      <c r="B2659" s="36" t="s">
        <v>450</v>
      </c>
      <c r="C2659" s="34" t="n">
        <f aca="false">'Market Sizing'!$C$22*Assumptions!$G$10*Assumptions!$G$11*(1-Assumptions!$G$12)</f>
        <v>2796.4244385</v>
      </c>
    </row>
    <row r="2660" customFormat="false" ht="15" hidden="false" customHeight="false" outlineLevel="0" collapsed="false">
      <c r="A2660" s="4" t="s">
        <v>459</v>
      </c>
      <c r="B2660" s="36" t="s">
        <v>450</v>
      </c>
      <c r="C2660" s="34" t="n">
        <f aca="false">'Market Sizing'!$D$22*Assumptions!$G$10*Assumptions!$G$11*(1-Assumptions!$G$12)</f>
        <v>714.600117</v>
      </c>
    </row>
    <row r="2661" customFormat="false" ht="15" hidden="false" customHeight="false" outlineLevel="0" collapsed="false">
      <c r="A2661" s="4" t="s">
        <v>460</v>
      </c>
      <c r="B2661" s="36" t="s">
        <v>450</v>
      </c>
      <c r="C2661" s="34" t="n">
        <f aca="false">'Market Sizing'!$E$22*Assumptions!$G$10*Assumptions!$G$11*(1-Assumptions!$G$12)</f>
        <v>150.548706</v>
      </c>
    </row>
    <row r="2662" customFormat="false" ht="15" hidden="false" customHeight="false" outlineLevel="0" collapsed="false">
      <c r="A2662" s="4" t="s">
        <v>461</v>
      </c>
      <c r="B2662" s="36"/>
      <c r="C2662" s="34" t="n">
        <f aca="false">$C$2659+$C$2660+$C$2661</f>
        <v>3661.5732615</v>
      </c>
    </row>
    <row r="2663" customFormat="false" ht="15" hidden="false" customHeight="false" outlineLevel="0" collapsed="false">
      <c r="A2663" s="4" t="s">
        <v>462</v>
      </c>
      <c r="B2663" s="36" t="s">
        <v>463</v>
      </c>
      <c r="C2663" s="33" t="n">
        <f aca="false">MAX((Assumptions!$G$51+Assumptions!$G$53)*12,(((('Market Sizing'!$E$28*Assumptions!$G$41*Assumptions!$G$42*Assumptions!$G$43)*Assumptions!$G$44)*Assumptions!$G$45*Assumptions!$G$46+('Market Sizing'!$E$28*Assumptions!$G$41*Assumptions!$G$42*Assumptions!$G$43)*Assumptions!$G$47+('Market Sizing'!$E$28*Assumptions!$G$41*Assumptions!$G$42*Assumptions!$G$43)*Assumptions!$G$48*Assumptions!$G$49)*(Assumptions!$G$51*12/Assumptions!$G$52)+((('Market Sizing'!$E$28*Assumptions!$G$41*Assumptions!$G$42*Assumptions!$G$43)*Assumptions!$G$44)*Assumptions!$G$45+('Market Sizing'!$E$28*Assumptions!$G$41*Assumptions!$G$42*Assumptions!$G$43)+('Market Sizing'!$E$28*Assumptions!$G$41*Assumptions!$G$42*Assumptions!$G$43)*Assumptions!$G$48)*Assumptions!$G$50*(Assumptions!$G$53*12/Assumptions!$G$54)))</f>
        <v>5352</v>
      </c>
    </row>
    <row r="2664" customFormat="false" ht="15" hidden="false" customHeight="false" outlineLevel="0" collapsed="false">
      <c r="A2664" s="4" t="s">
        <v>464</v>
      </c>
      <c r="B2664" s="36" t="s">
        <v>463</v>
      </c>
      <c r="C2664" s="33" t="n">
        <f aca="false">MAX((Assumptions!$G$51+Assumptions!$G$53)*12,(((('Market Sizing'!$E$29*Assumptions!$G$41*Assumptions!$G$42*Assumptions!$G$43)*Assumptions!$G$44)*Assumptions!$G$45*Assumptions!$G$46+('Market Sizing'!$E$29*Assumptions!$G$41*Assumptions!$G$42*Assumptions!$G$43)*Assumptions!$G$47+('Market Sizing'!$E$29*Assumptions!$G$41*Assumptions!$G$42*Assumptions!$G$43)*Assumptions!$G$48*Assumptions!$G$49)*(Assumptions!$G$51*12/Assumptions!$G$52)+((('Market Sizing'!$E$29*Assumptions!$G$41*Assumptions!$G$42*Assumptions!$G$43)*Assumptions!$G$44)*Assumptions!$G$45+('Market Sizing'!$E$29*Assumptions!$G$41*Assumptions!$G$42*Assumptions!$G$43)+('Market Sizing'!$E$29*Assumptions!$G$41*Assumptions!$G$42*Assumptions!$G$43)*Assumptions!$G$48)*Assumptions!$G$50*(Assumptions!$G$53*12/Assumptions!$G$54)))</f>
        <v>5352</v>
      </c>
    </row>
    <row r="2665" customFormat="false" ht="15" hidden="false" customHeight="false" outlineLevel="0" collapsed="false">
      <c r="A2665" s="4" t="s">
        <v>465</v>
      </c>
      <c r="B2665" s="36" t="s">
        <v>463</v>
      </c>
      <c r="C2665" s="33" t="n">
        <f aca="false">MAX(Assumptions!$G$55*(Assumptions!$G$51*12/Assumptions!$G$52)+Assumptions!$G$56*(Assumptions!$G$53*12/Assumptions!$G$54),(((('Market Sizing'!$E$30*Assumptions!$G$41*Assumptions!$G$42*Assumptions!$G$43)*Assumptions!$G$44)*Assumptions!$G$45*Assumptions!$G$46+('Market Sizing'!$E$30*Assumptions!$G$41*Assumptions!$G$42*Assumptions!$G$43)*Assumptions!$G$47+('Market Sizing'!$E$30*Assumptions!$G$41*Assumptions!$G$42*Assumptions!$G$43)*Assumptions!$G$48*Assumptions!$G$49)*(Assumptions!$G$51*12/Assumptions!$G$52)+((('Market Sizing'!$E$30*Assumptions!$G$41*Assumptions!$G$42*Assumptions!$G$43)*Assumptions!$G$44)*Assumptions!$G$45+('Market Sizing'!$E$30*Assumptions!$G$41*Assumptions!$G$42*Assumptions!$G$43)+('Market Sizing'!$E$30*Assumptions!$G$41*Assumptions!$G$42*Assumptions!$G$43)*Assumptions!$G$48)*Assumptions!$G$50*(Assumptions!$G$53*12/Assumptions!$G$54)))*(1-Assumptions!$G$57)</f>
        <v>44310</v>
      </c>
    </row>
    <row r="2666" customFormat="false" ht="23.85" hidden="false" customHeight="false" outlineLevel="0" collapsed="false">
      <c r="A2666" s="4" t="s">
        <v>466</v>
      </c>
      <c r="B2666" s="36" t="s">
        <v>467</v>
      </c>
      <c r="C2666" s="37" t="n">
        <f aca="false">Assumptions!$G$17*Assumptions!$F$106</f>
        <v>0.15</v>
      </c>
    </row>
    <row r="2667" customFormat="false" ht="23.85" hidden="false" customHeight="false" outlineLevel="0" collapsed="false">
      <c r="A2667" s="4" t="s">
        <v>468</v>
      </c>
      <c r="B2667" s="36" t="s">
        <v>469</v>
      </c>
      <c r="C2667" s="33" t="n">
        <f aca="false">Assumptions!$G$68/Assumptions!$G$69</f>
        <v>285714.285714286</v>
      </c>
    </row>
    <row r="2668" customFormat="false" ht="23.85" hidden="false" customHeight="false" outlineLevel="0" collapsed="false">
      <c r="A2668" s="4" t="s">
        <v>470</v>
      </c>
      <c r="B2668" s="36" t="s">
        <v>471</v>
      </c>
      <c r="C2668" s="33" t="n">
        <f aca="false">Assumptions!$G$66*Assumptions!$G$67/4</f>
        <v>120312.5</v>
      </c>
    </row>
    <row r="2669" customFormat="false" ht="15" hidden="false" customHeight="false" outlineLevel="0" collapsed="false">
      <c r="A2669" s="4" t="s">
        <v>472</v>
      </c>
      <c r="B2669" s="36"/>
      <c r="C2669" s="38" t="n">
        <f aca="false">$C$2667/Assumptions!$G$66/Assumptions!$G$67</f>
        <v>0.593692022263451</v>
      </c>
    </row>
    <row r="2670" customFormat="false" ht="15" hidden="false" customHeight="false" outlineLevel="0" collapsed="false">
      <c r="A2670" s="4" t="s">
        <v>473</v>
      </c>
      <c r="B2670" s="36"/>
      <c r="C2670" s="33" t="n">
        <f aca="false">MAX(0,Assumptions!$F$103-Assumptions!$G$78)</f>
        <v>0</v>
      </c>
    </row>
    <row r="2671" customFormat="false" ht="15" hidden="false" customHeight="false" outlineLevel="0" collapsed="false">
      <c r="A2671" s="35" t="s">
        <v>474</v>
      </c>
      <c r="B2671" s="35" t="s">
        <v>444</v>
      </c>
      <c r="C2671" s="6" t="s">
        <v>354</v>
      </c>
      <c r="D2671" s="6" t="s">
        <v>355</v>
      </c>
      <c r="E2671" s="6" t="s">
        <v>356</v>
      </c>
      <c r="F2671" s="6" t="s">
        <v>357</v>
      </c>
      <c r="G2671" s="6" t="s">
        <v>358</v>
      </c>
      <c r="H2671" s="6" t="s">
        <v>359</v>
      </c>
      <c r="I2671" s="6" t="s">
        <v>360</v>
      </c>
      <c r="J2671" s="6" t="s">
        <v>361</v>
      </c>
      <c r="K2671" s="6" t="s">
        <v>362</v>
      </c>
      <c r="L2671" s="6" t="s">
        <v>363</v>
      </c>
      <c r="M2671" s="6" t="s">
        <v>364</v>
      </c>
      <c r="N2671" s="6" t="s">
        <v>365</v>
      </c>
      <c r="P2671" s="6" t="s">
        <v>445</v>
      </c>
      <c r="Q2671" s="6" t="s">
        <v>446</v>
      </c>
      <c r="R2671" s="6" t="s">
        <v>447</v>
      </c>
      <c r="S2671" s="6" t="s">
        <v>448</v>
      </c>
    </row>
    <row r="2672" customFormat="false" ht="15" hidden="false" customHeight="false" outlineLevel="0" collapsed="false">
      <c r="A2672" s="4" t="s">
        <v>475</v>
      </c>
      <c r="B2672" s="36" t="s">
        <v>133</v>
      </c>
      <c r="C2672" s="39" t="n">
        <v>1</v>
      </c>
      <c r="D2672" s="39" t="n">
        <v>2</v>
      </c>
      <c r="E2672" s="39" t="n">
        <v>3</v>
      </c>
      <c r="F2672" s="39" t="n">
        <v>4</v>
      </c>
      <c r="G2672" s="39" t="n">
        <v>5</v>
      </c>
      <c r="H2672" s="39" t="n">
        <v>6</v>
      </c>
      <c r="I2672" s="39" t="n">
        <v>7</v>
      </c>
      <c r="J2672" s="39" t="n">
        <v>8</v>
      </c>
      <c r="K2672" s="39" t="n">
        <v>9</v>
      </c>
      <c r="L2672" s="39" t="n">
        <v>10</v>
      </c>
      <c r="M2672" s="39" t="n">
        <v>11</v>
      </c>
      <c r="N2672" s="39" t="n">
        <v>12</v>
      </c>
      <c r="P2672" s="40"/>
      <c r="Q2672" s="40"/>
      <c r="R2672" s="40"/>
      <c r="S2672" s="41"/>
    </row>
    <row r="2673" customFormat="false" ht="15" hidden="false" customHeight="false" outlineLevel="0" collapsed="false">
      <c r="A2673" s="4" t="s">
        <v>476</v>
      </c>
      <c r="B2673" s="36" t="s">
        <v>343</v>
      </c>
      <c r="C2673" s="39" t="n">
        <f aca="false">IF(C2672&lt;=Assumptions!$G$84,1,0)</f>
        <v>1</v>
      </c>
      <c r="D2673" s="39" t="n">
        <f aca="false">IF(D2672&lt;=Assumptions!$G$84,1,0)</f>
        <v>1</v>
      </c>
      <c r="E2673" s="39" t="n">
        <f aca="false">IF(E2672&lt;=Assumptions!$G$84,1,0)</f>
        <v>1</v>
      </c>
      <c r="F2673" s="39" t="n">
        <f aca="false">IF(F2672&lt;=Assumptions!$G$84,1,0)</f>
        <v>1</v>
      </c>
      <c r="G2673" s="39" t="n">
        <f aca="false">IF(G2672&lt;=Assumptions!$G$84,1,0)</f>
        <v>1</v>
      </c>
      <c r="H2673" s="39" t="n">
        <f aca="false">IF(H2672&lt;=Assumptions!$G$84,1,0)</f>
        <v>1</v>
      </c>
      <c r="I2673" s="39" t="n">
        <f aca="false">IF(I2672&lt;=Assumptions!$G$84,1,0)</f>
        <v>1</v>
      </c>
      <c r="J2673" s="39" t="n">
        <f aca="false">IF(J2672&lt;=Assumptions!$G$84,1,0)</f>
        <v>1</v>
      </c>
      <c r="K2673" s="39" t="n">
        <f aca="false">IF(K2672&lt;=Assumptions!$G$84,1,0)</f>
        <v>1</v>
      </c>
      <c r="L2673" s="39" t="n">
        <f aca="false">IF(L2672&lt;=Assumptions!$G$84,1,0)</f>
        <v>1</v>
      </c>
      <c r="M2673" s="39" t="n">
        <f aca="false">IF(M2672&lt;=Assumptions!$G$84,1,0)</f>
        <v>1</v>
      </c>
      <c r="N2673" s="39" t="n">
        <f aca="false">IF(N2672&lt;=Assumptions!$G$84,1,0)</f>
        <v>1</v>
      </c>
      <c r="P2673" s="40"/>
      <c r="Q2673" s="40"/>
      <c r="R2673" s="40"/>
      <c r="S2673" s="41"/>
    </row>
    <row r="2674" customFormat="false" ht="15" hidden="false" customHeight="false" outlineLevel="0" collapsed="false">
      <c r="A2674" s="4" t="s">
        <v>477</v>
      </c>
      <c r="B2674" s="36" t="s">
        <v>478</v>
      </c>
      <c r="C2674" s="42" t="n">
        <f aca="false">IF(C2672=Assumptions!$G$13,0.5,IF(C2672&gt;Assumptions!$G$13,1,0))</f>
        <v>0.5</v>
      </c>
      <c r="D2674" s="42" t="n">
        <f aca="false">IF(D2672=Assumptions!$G$13,0.5,IF(D2672&gt;Assumptions!$G$13,1,0))</f>
        <v>1</v>
      </c>
      <c r="E2674" s="42" t="n">
        <f aca="false">IF(E2672=Assumptions!$G$13,0.5,IF(E2672&gt;Assumptions!$G$13,1,0))</f>
        <v>1</v>
      </c>
      <c r="F2674" s="42" t="n">
        <f aca="false">IF(F2672=Assumptions!$G$13,0.5,IF(F2672&gt;Assumptions!$G$13,1,0))</f>
        <v>1</v>
      </c>
      <c r="G2674" s="42" t="n">
        <f aca="false">IF(G2672=Assumptions!$G$13,0.5,IF(G2672&gt;Assumptions!$G$13,1,0))</f>
        <v>1</v>
      </c>
      <c r="H2674" s="42" t="n">
        <f aca="false">IF(H2672=Assumptions!$G$13,0.5,IF(H2672&gt;Assumptions!$G$13,1,0))</f>
        <v>1</v>
      </c>
      <c r="I2674" s="42" t="n">
        <f aca="false">IF(I2672=Assumptions!$G$13,0.5,IF(I2672&gt;Assumptions!$G$13,1,0))</f>
        <v>1</v>
      </c>
      <c r="J2674" s="42" t="n">
        <f aca="false">IF(J2672=Assumptions!$G$13,0.5,IF(J2672&gt;Assumptions!$G$13,1,0))</f>
        <v>1</v>
      </c>
      <c r="K2674" s="42" t="n">
        <f aca="false">IF(K2672=Assumptions!$G$13,0.5,IF(K2672&gt;Assumptions!$G$13,1,0))</f>
        <v>1</v>
      </c>
      <c r="L2674" s="42" t="n">
        <f aca="false">IF(L2672=Assumptions!$G$13,0.5,IF(L2672&gt;Assumptions!$G$13,1,0))</f>
        <v>1</v>
      </c>
      <c r="M2674" s="42" t="n">
        <f aca="false">IF(M2672=Assumptions!$G$13,0.5,IF(M2672&gt;Assumptions!$G$13,1,0))</f>
        <v>1</v>
      </c>
      <c r="N2674" s="42" t="n">
        <f aca="false">IF(N2672=Assumptions!$G$13,0.5,IF(N2672&gt;Assumptions!$G$13,1,0))</f>
        <v>1</v>
      </c>
      <c r="P2674" s="43"/>
      <c r="Q2674" s="43"/>
      <c r="R2674" s="43"/>
      <c r="S2674" s="44"/>
    </row>
    <row r="2675" customFormat="false" ht="15" hidden="false" customHeight="false" outlineLevel="0" collapsed="false">
      <c r="A2675" s="4" t="s">
        <v>479</v>
      </c>
      <c r="B2675" s="36" t="s">
        <v>478</v>
      </c>
      <c r="C2675" s="42" t="n">
        <f aca="false">IF(C2672=Assumptions!$G$14,0.5,IF(C2672&gt;Assumptions!$G$14,1,0))</f>
        <v>0</v>
      </c>
      <c r="D2675" s="42" t="n">
        <f aca="false">IF(D2672=Assumptions!$G$14,0.5,IF(D2672&gt;Assumptions!$G$14,1,0))</f>
        <v>0</v>
      </c>
      <c r="E2675" s="42" t="n">
        <f aca="false">IF(E2672=Assumptions!$G$14,0.5,IF(E2672&gt;Assumptions!$G$14,1,0))</f>
        <v>0</v>
      </c>
      <c r="F2675" s="42" t="n">
        <f aca="false">IF(F2672=Assumptions!$G$14,0.5,IF(F2672&gt;Assumptions!$G$14,1,0))</f>
        <v>0</v>
      </c>
      <c r="G2675" s="42" t="n">
        <f aca="false">IF(G2672=Assumptions!$G$14,0.5,IF(G2672&gt;Assumptions!$G$14,1,0))</f>
        <v>0</v>
      </c>
      <c r="H2675" s="42" t="n">
        <f aca="false">IF(H2672=Assumptions!$G$14,0.5,IF(H2672&gt;Assumptions!$G$14,1,0))</f>
        <v>0</v>
      </c>
      <c r="I2675" s="42" t="n">
        <f aca="false">IF(I2672=Assumptions!$G$14,0.5,IF(I2672&gt;Assumptions!$G$14,1,0))</f>
        <v>0.5</v>
      </c>
      <c r="J2675" s="42" t="n">
        <f aca="false">IF(J2672=Assumptions!$G$14,0.5,IF(J2672&gt;Assumptions!$G$14,1,0))</f>
        <v>1</v>
      </c>
      <c r="K2675" s="42" t="n">
        <f aca="false">IF(K2672=Assumptions!$G$14,0.5,IF(K2672&gt;Assumptions!$G$14,1,0))</f>
        <v>1</v>
      </c>
      <c r="L2675" s="42" t="n">
        <f aca="false">IF(L2672=Assumptions!$G$14,0.5,IF(L2672&gt;Assumptions!$G$14,1,0))</f>
        <v>1</v>
      </c>
      <c r="M2675" s="42" t="n">
        <f aca="false">IF(M2672=Assumptions!$G$14,0.5,IF(M2672&gt;Assumptions!$G$14,1,0))</f>
        <v>1</v>
      </c>
      <c r="N2675" s="42" t="n">
        <f aca="false">IF(N2672=Assumptions!$G$14,0.5,IF(N2672&gt;Assumptions!$G$14,1,0))</f>
        <v>1</v>
      </c>
      <c r="P2675" s="43"/>
      <c r="Q2675" s="43"/>
      <c r="R2675" s="43"/>
      <c r="S2675" s="44"/>
    </row>
    <row r="2676" customFormat="false" ht="15" hidden="false" customHeight="false" outlineLevel="0" collapsed="false">
      <c r="A2676" s="4" t="s">
        <v>480</v>
      </c>
      <c r="B2676" s="36" t="s">
        <v>478</v>
      </c>
      <c r="C2676" s="42" t="n">
        <f aca="false">IF(C2672=Assumptions!$G$15,0.5,IF(C2672&gt;Assumptions!$G$15,1,0))</f>
        <v>0</v>
      </c>
      <c r="D2676" s="42" t="n">
        <f aca="false">IF(D2672=Assumptions!$G$15,0.5,IF(D2672&gt;Assumptions!$G$15,1,0))</f>
        <v>0</v>
      </c>
      <c r="E2676" s="42" t="n">
        <f aca="false">IF(E2672=Assumptions!$G$15,0.5,IF(E2672&gt;Assumptions!$G$15,1,0))</f>
        <v>0</v>
      </c>
      <c r="F2676" s="42" t="n">
        <f aca="false">IF(F2672=Assumptions!$G$15,0.5,IF(F2672&gt;Assumptions!$G$15,1,0))</f>
        <v>0</v>
      </c>
      <c r="G2676" s="42" t="n">
        <f aca="false">IF(G2672=Assumptions!$G$15,0.5,IF(G2672&gt;Assumptions!$G$15,1,0))</f>
        <v>0</v>
      </c>
      <c r="H2676" s="42" t="n">
        <f aca="false">IF(H2672=Assumptions!$G$15,0.5,IF(H2672&gt;Assumptions!$G$15,1,0))</f>
        <v>0</v>
      </c>
      <c r="I2676" s="42" t="n">
        <f aca="false">IF(I2672=Assumptions!$G$15,0.5,IF(I2672&gt;Assumptions!$G$15,1,0))</f>
        <v>0</v>
      </c>
      <c r="J2676" s="42" t="n">
        <f aca="false">IF(J2672=Assumptions!$G$15,0.5,IF(J2672&gt;Assumptions!$G$15,1,0))</f>
        <v>0</v>
      </c>
      <c r="K2676" s="42" t="n">
        <f aca="false">IF(K2672=Assumptions!$G$15,0.5,IF(K2672&gt;Assumptions!$G$15,1,0))</f>
        <v>0</v>
      </c>
      <c r="L2676" s="42" t="n">
        <f aca="false">IF(L2672=Assumptions!$G$15,0.5,IF(L2672&gt;Assumptions!$G$15,1,0))</f>
        <v>0</v>
      </c>
      <c r="M2676" s="42" t="n">
        <f aca="false">IF(M2672=Assumptions!$G$15,0.5,IF(M2672&gt;Assumptions!$G$15,1,0))</f>
        <v>0</v>
      </c>
      <c r="N2676" s="42" t="n">
        <f aca="false">IF(N2672=Assumptions!$G$15,0.5,IF(N2672&gt;Assumptions!$G$15,1,0))</f>
        <v>0</v>
      </c>
      <c r="P2676" s="43"/>
      <c r="Q2676" s="43"/>
      <c r="R2676" s="43"/>
      <c r="S2676" s="44"/>
    </row>
    <row r="2677" customFormat="false" ht="15" hidden="false" customHeight="false" outlineLevel="0" collapsed="false">
      <c r="A2677" s="4" t="s">
        <v>481</v>
      </c>
      <c r="B2677" s="36" t="s">
        <v>478</v>
      </c>
      <c r="C2677" s="45" t="n">
        <f aca="false">Assumptions!$G$21^(MAX(0,C2672-Assumptions!$G$13)/4)</f>
        <v>1</v>
      </c>
      <c r="D2677" s="45" t="n">
        <f aca="false">Assumptions!$G$21^(MAX(0,D2672-Assumptions!$G$13)/4)</f>
        <v>0.880111736793393</v>
      </c>
      <c r="E2677" s="45" t="n">
        <f aca="false">Assumptions!$G$21^(MAX(0,E2672-Assumptions!$G$13)/4)</f>
        <v>0.774596669241483</v>
      </c>
      <c r="F2677" s="45" t="n">
        <f aca="false">Assumptions!$G$21^(MAX(0,F2672-Assumptions!$G$13)/4)</f>
        <v>0.6817316198805</v>
      </c>
      <c r="G2677" s="45" t="n">
        <f aca="false">Assumptions!$G$21^(MAX(0,G2672-Assumptions!$G$13)/4)</f>
        <v>0.6</v>
      </c>
      <c r="H2677" s="45" t="n">
        <f aca="false">Assumptions!$G$21^(MAX(0,H2672-Assumptions!$G$13)/4)</f>
        <v>0.528067042076036</v>
      </c>
      <c r="I2677" s="45" t="n">
        <f aca="false">Assumptions!$G$21^(MAX(0,I2672-Assumptions!$G$13)/4)</f>
        <v>0.46475800154489</v>
      </c>
      <c r="J2677" s="45" t="n">
        <f aca="false">Assumptions!$G$21^(MAX(0,J2672-Assumptions!$G$13)/4)</f>
        <v>0.4090389719283</v>
      </c>
      <c r="K2677" s="45" t="n">
        <f aca="false">Assumptions!$G$21^(MAX(0,K2672-Assumptions!$G$13)/4)</f>
        <v>0.36</v>
      </c>
      <c r="L2677" s="45" t="n">
        <f aca="false">Assumptions!$G$21^(MAX(0,L2672-Assumptions!$G$13)/4)</f>
        <v>0.316840225245622</v>
      </c>
      <c r="M2677" s="45" t="n">
        <f aca="false">Assumptions!$G$21^(MAX(0,M2672-Assumptions!$G$13)/4)</f>
        <v>0.278854800926934</v>
      </c>
      <c r="N2677" s="45" t="n">
        <f aca="false">Assumptions!$G$21^(MAX(0,N2672-Assumptions!$G$13)/4)</f>
        <v>0.24542338315698</v>
      </c>
      <c r="P2677" s="46"/>
      <c r="Q2677" s="46"/>
      <c r="R2677" s="46"/>
      <c r="S2677" s="47"/>
    </row>
    <row r="2678" customFormat="false" ht="15" hidden="false" customHeight="false" outlineLevel="0" collapsed="false">
      <c r="A2678" s="4" t="s">
        <v>482</v>
      </c>
      <c r="B2678" s="36" t="s">
        <v>478</v>
      </c>
      <c r="C2678" s="45" t="n">
        <f aca="false">Assumptions!$G$21^(MAX(0,C2672-Assumptions!$G$14)/4)</f>
        <v>1</v>
      </c>
      <c r="D2678" s="45" t="n">
        <f aca="false">Assumptions!$G$21^(MAX(0,D2672-Assumptions!$G$14)/4)</f>
        <v>1</v>
      </c>
      <c r="E2678" s="45" t="n">
        <f aca="false">Assumptions!$G$21^(MAX(0,E2672-Assumptions!$G$14)/4)</f>
        <v>1</v>
      </c>
      <c r="F2678" s="45" t="n">
        <f aca="false">Assumptions!$G$21^(MAX(0,F2672-Assumptions!$G$14)/4)</f>
        <v>1</v>
      </c>
      <c r="G2678" s="45" t="n">
        <f aca="false">Assumptions!$G$21^(MAX(0,G2672-Assumptions!$G$14)/4)</f>
        <v>1</v>
      </c>
      <c r="H2678" s="45" t="n">
        <f aca="false">Assumptions!$G$21^(MAX(0,H2672-Assumptions!$G$14)/4)</f>
        <v>1</v>
      </c>
      <c r="I2678" s="45" t="n">
        <f aca="false">Assumptions!$G$21^(MAX(0,I2672-Assumptions!$G$14)/4)</f>
        <v>1</v>
      </c>
      <c r="J2678" s="45" t="n">
        <f aca="false">Assumptions!$G$21^(MAX(0,J2672-Assumptions!$G$14)/4)</f>
        <v>0.880111736793393</v>
      </c>
      <c r="K2678" s="45" t="n">
        <f aca="false">Assumptions!$G$21^(MAX(0,K2672-Assumptions!$G$14)/4)</f>
        <v>0.774596669241483</v>
      </c>
      <c r="L2678" s="45" t="n">
        <f aca="false">Assumptions!$G$21^(MAX(0,L2672-Assumptions!$G$14)/4)</f>
        <v>0.6817316198805</v>
      </c>
      <c r="M2678" s="45" t="n">
        <f aca="false">Assumptions!$G$21^(MAX(0,M2672-Assumptions!$G$14)/4)</f>
        <v>0.6</v>
      </c>
      <c r="N2678" s="45" t="n">
        <f aca="false">Assumptions!$G$21^(MAX(0,N2672-Assumptions!$G$14)/4)</f>
        <v>0.528067042076036</v>
      </c>
      <c r="P2678" s="46"/>
      <c r="Q2678" s="46"/>
      <c r="R2678" s="46"/>
      <c r="S2678" s="47"/>
    </row>
    <row r="2679" customFormat="false" ht="15" hidden="false" customHeight="false" outlineLevel="0" collapsed="false">
      <c r="A2679" s="4" t="s">
        <v>483</v>
      </c>
      <c r="B2679" s="36" t="s">
        <v>478</v>
      </c>
      <c r="C2679" s="45" t="n">
        <f aca="false">Assumptions!$G$21^(MAX(0,C2672-Assumptions!$G$15)/4)</f>
        <v>1</v>
      </c>
      <c r="D2679" s="45" t="n">
        <f aca="false">Assumptions!$G$21^(MAX(0,D2672-Assumptions!$G$15)/4)</f>
        <v>1</v>
      </c>
      <c r="E2679" s="45" t="n">
        <f aca="false">Assumptions!$G$21^(MAX(0,E2672-Assumptions!$G$15)/4)</f>
        <v>1</v>
      </c>
      <c r="F2679" s="45" t="n">
        <f aca="false">Assumptions!$G$21^(MAX(0,F2672-Assumptions!$G$15)/4)</f>
        <v>1</v>
      </c>
      <c r="G2679" s="45" t="n">
        <f aca="false">Assumptions!$G$21^(MAX(0,G2672-Assumptions!$G$15)/4)</f>
        <v>1</v>
      </c>
      <c r="H2679" s="45" t="n">
        <f aca="false">Assumptions!$G$21^(MAX(0,H2672-Assumptions!$G$15)/4)</f>
        <v>1</v>
      </c>
      <c r="I2679" s="45" t="n">
        <f aca="false">Assumptions!$G$21^(MAX(0,I2672-Assumptions!$G$15)/4)</f>
        <v>1</v>
      </c>
      <c r="J2679" s="45" t="n">
        <f aca="false">Assumptions!$G$21^(MAX(0,J2672-Assumptions!$G$15)/4)</f>
        <v>1</v>
      </c>
      <c r="K2679" s="45" t="n">
        <f aca="false">Assumptions!$G$21^(MAX(0,K2672-Assumptions!$G$15)/4)</f>
        <v>1</v>
      </c>
      <c r="L2679" s="45" t="n">
        <f aca="false">Assumptions!$G$21^(MAX(0,L2672-Assumptions!$G$15)/4)</f>
        <v>1</v>
      </c>
      <c r="M2679" s="45" t="n">
        <f aca="false">Assumptions!$G$21^(MAX(0,M2672-Assumptions!$G$15)/4)</f>
        <v>1</v>
      </c>
      <c r="N2679" s="45" t="n">
        <f aca="false">Assumptions!$G$21^(MAX(0,N2672-Assumptions!$G$15)/4)</f>
        <v>1</v>
      </c>
      <c r="P2679" s="46"/>
      <c r="Q2679" s="46"/>
      <c r="R2679" s="46"/>
      <c r="S2679" s="47"/>
    </row>
    <row r="2680" customFormat="false" ht="15" hidden="false" customHeight="false" outlineLevel="0" collapsed="false">
      <c r="A2680" s="4" t="s">
        <v>484</v>
      </c>
      <c r="B2680" s="36" t="s">
        <v>485</v>
      </c>
      <c r="C2680" s="39" t="n">
        <f aca="false">$C$2651*C2674+$C$2655*C2675+$C$2659*C2676</f>
        <v>1371.907152</v>
      </c>
      <c r="D2680" s="39" t="n">
        <f aca="false">$C$2651*D2674+$C$2655*D2675+$C$2659*D2676</f>
        <v>2743.814304</v>
      </c>
      <c r="E2680" s="39" t="n">
        <f aca="false">$C$2651*E2674+$C$2655*E2675+$C$2659*E2676</f>
        <v>2743.814304</v>
      </c>
      <c r="F2680" s="39" t="n">
        <f aca="false">$C$2651*F2674+$C$2655*F2675+$C$2659*F2676</f>
        <v>2743.814304</v>
      </c>
      <c r="G2680" s="39" t="n">
        <f aca="false">$C$2651*G2674+$C$2655*G2675+$C$2659*G2676</f>
        <v>2743.814304</v>
      </c>
      <c r="H2680" s="39" t="n">
        <f aca="false">$C$2651*H2674+$C$2655*H2675+$C$2659*H2676</f>
        <v>2743.814304</v>
      </c>
      <c r="I2680" s="39" t="n">
        <f aca="false">$C$2651*I2674+$C$2655*I2675+$C$2659*I2676</f>
        <v>4099.55809725</v>
      </c>
      <c r="J2680" s="39" t="n">
        <f aca="false">$C$2651*J2674+$C$2655*J2675+$C$2659*J2676</f>
        <v>5455.3018905</v>
      </c>
      <c r="K2680" s="39" t="n">
        <f aca="false">$C$2651*K2674+$C$2655*K2675+$C$2659*K2676</f>
        <v>5455.3018905</v>
      </c>
      <c r="L2680" s="39" t="n">
        <f aca="false">$C$2651*L2674+$C$2655*L2675+$C$2659*L2676</f>
        <v>5455.3018905</v>
      </c>
      <c r="M2680" s="39" t="n">
        <f aca="false">$C$2651*M2674+$C$2655*M2675+$C$2659*M2676</f>
        <v>5455.3018905</v>
      </c>
      <c r="N2680" s="39" t="n">
        <f aca="false">$C$2651*N2674+$C$2655*N2675+$C$2659*N2676</f>
        <v>5455.3018905</v>
      </c>
      <c r="P2680" s="40" t="n">
        <f aca="false">F2680</f>
        <v>2743.814304</v>
      </c>
      <c r="Q2680" s="40" t="n">
        <f aca="false">J2680</f>
        <v>5455.3018905</v>
      </c>
      <c r="R2680" s="40" t="n">
        <f aca="false">N2680</f>
        <v>5455.3018905</v>
      </c>
      <c r="S2680" s="41" t="n">
        <f aca="false">R2680</f>
        <v>5455.3018905</v>
      </c>
    </row>
    <row r="2681" customFormat="false" ht="15" hidden="false" customHeight="false" outlineLevel="0" collapsed="false">
      <c r="A2681" s="4" t="s">
        <v>486</v>
      </c>
      <c r="B2681" s="36" t="s">
        <v>485</v>
      </c>
      <c r="C2681" s="39" t="n">
        <f aca="false">$C$2652*C2674+$C$2656*C2675+$C$2660*C2676</f>
        <v>280.265832</v>
      </c>
      <c r="D2681" s="39" t="n">
        <f aca="false">$C$2652*D2674+$C$2656*D2675+$C$2660*D2676</f>
        <v>560.531664</v>
      </c>
      <c r="E2681" s="39" t="n">
        <f aca="false">$C$2652*E2674+$C$2656*E2675+$C$2660*E2676</f>
        <v>560.531664</v>
      </c>
      <c r="F2681" s="39" t="n">
        <f aca="false">$C$2652*F2674+$C$2656*F2675+$C$2660*F2676</f>
        <v>560.531664</v>
      </c>
      <c r="G2681" s="39" t="n">
        <f aca="false">$C$2652*G2674+$C$2656*G2675+$C$2660*G2676</f>
        <v>560.531664</v>
      </c>
      <c r="H2681" s="39" t="n">
        <f aca="false">$C$2652*H2674+$C$2656*H2675+$C$2660*H2676</f>
        <v>560.531664</v>
      </c>
      <c r="I2681" s="39" t="n">
        <f aca="false">$C$2652*I2674+$C$2656*I2675+$C$2660*I2676</f>
        <v>839.7895275</v>
      </c>
      <c r="J2681" s="39" t="n">
        <f aca="false">$C$2652*J2674+$C$2656*J2675+$C$2660*J2676</f>
        <v>1119.047391</v>
      </c>
      <c r="K2681" s="39" t="n">
        <f aca="false">$C$2652*K2674+$C$2656*K2675+$C$2660*K2676</f>
        <v>1119.047391</v>
      </c>
      <c r="L2681" s="39" t="n">
        <f aca="false">$C$2652*L2674+$C$2656*L2675+$C$2660*L2676</f>
        <v>1119.047391</v>
      </c>
      <c r="M2681" s="39" t="n">
        <f aca="false">$C$2652*M2674+$C$2656*M2675+$C$2660*M2676</f>
        <v>1119.047391</v>
      </c>
      <c r="N2681" s="39" t="n">
        <f aca="false">$C$2652*N2674+$C$2656*N2675+$C$2660*N2676</f>
        <v>1119.047391</v>
      </c>
      <c r="P2681" s="40" t="n">
        <f aca="false">F2681</f>
        <v>560.531664</v>
      </c>
      <c r="Q2681" s="40" t="n">
        <f aca="false">J2681</f>
        <v>1119.047391</v>
      </c>
      <c r="R2681" s="40" t="n">
        <f aca="false">N2681</f>
        <v>1119.047391</v>
      </c>
      <c r="S2681" s="41" t="n">
        <f aca="false">R2681</f>
        <v>1119.047391</v>
      </c>
    </row>
    <row r="2682" customFormat="false" ht="15" hidden="false" customHeight="false" outlineLevel="0" collapsed="false">
      <c r="A2682" s="4" t="s">
        <v>487</v>
      </c>
      <c r="B2682" s="36" t="s">
        <v>485</v>
      </c>
      <c r="C2682" s="39" t="n">
        <f aca="false">$C$2653*C2674+$C$2657*C2675+$C$2661*C2676</f>
        <v>65.170413</v>
      </c>
      <c r="D2682" s="39" t="n">
        <f aca="false">$C$2653*D2674+$C$2657*D2675+$C$2661*D2676</f>
        <v>130.340826</v>
      </c>
      <c r="E2682" s="39" t="n">
        <f aca="false">$C$2653*E2674+$C$2657*E2675+$C$2661*E2676</f>
        <v>130.340826</v>
      </c>
      <c r="F2682" s="39" t="n">
        <f aca="false">$C$2653*F2674+$C$2657*F2675+$C$2661*F2676</f>
        <v>130.340826</v>
      </c>
      <c r="G2682" s="39" t="n">
        <f aca="false">$C$2653*G2674+$C$2657*G2675+$C$2661*G2676</f>
        <v>130.340826</v>
      </c>
      <c r="H2682" s="39" t="n">
        <f aca="false">$C$2653*H2674+$C$2657*H2675+$C$2661*H2676</f>
        <v>130.340826</v>
      </c>
      <c r="I2682" s="39" t="n">
        <f aca="false">$C$2653*I2674+$C$2657*I2675+$C$2661*I2676</f>
        <v>187.428087</v>
      </c>
      <c r="J2682" s="39" t="n">
        <f aca="false">$C$2653*J2674+$C$2657*J2675+$C$2661*J2676</f>
        <v>244.515348</v>
      </c>
      <c r="K2682" s="39" t="n">
        <f aca="false">$C$2653*K2674+$C$2657*K2675+$C$2661*K2676</f>
        <v>244.515348</v>
      </c>
      <c r="L2682" s="39" t="n">
        <f aca="false">$C$2653*L2674+$C$2657*L2675+$C$2661*L2676</f>
        <v>244.515348</v>
      </c>
      <c r="M2682" s="39" t="n">
        <f aca="false">$C$2653*M2674+$C$2657*M2675+$C$2661*M2676</f>
        <v>244.515348</v>
      </c>
      <c r="N2682" s="39" t="n">
        <f aca="false">$C$2653*N2674+$C$2657*N2675+$C$2661*N2676</f>
        <v>244.515348</v>
      </c>
      <c r="P2682" s="40" t="n">
        <f aca="false">F2682</f>
        <v>130.340826</v>
      </c>
      <c r="Q2682" s="40" t="n">
        <f aca="false">J2682</f>
        <v>244.515348</v>
      </c>
      <c r="R2682" s="40" t="n">
        <f aca="false">N2682</f>
        <v>244.515348</v>
      </c>
      <c r="S2682" s="41" t="n">
        <f aca="false">R2682</f>
        <v>244.515348</v>
      </c>
    </row>
    <row r="2683" customFormat="false" ht="15" hidden="false" customHeight="false" outlineLevel="0" collapsed="false">
      <c r="A2683" s="4" t="s">
        <v>488</v>
      </c>
      <c r="B2683" s="36" t="s">
        <v>485</v>
      </c>
      <c r="C2683" s="39" t="n">
        <f aca="false">C2680+C2681+C2682</f>
        <v>1717.343397</v>
      </c>
      <c r="D2683" s="39" t="n">
        <f aca="false">D2680+D2681+D2682</f>
        <v>3434.686794</v>
      </c>
      <c r="E2683" s="39" t="n">
        <f aca="false">E2680+E2681+E2682</f>
        <v>3434.686794</v>
      </c>
      <c r="F2683" s="39" t="n">
        <f aca="false">F2680+F2681+F2682</f>
        <v>3434.686794</v>
      </c>
      <c r="G2683" s="39" t="n">
        <f aca="false">G2680+G2681+G2682</f>
        <v>3434.686794</v>
      </c>
      <c r="H2683" s="39" t="n">
        <f aca="false">H2680+H2681+H2682</f>
        <v>3434.686794</v>
      </c>
      <c r="I2683" s="39" t="n">
        <f aca="false">I2680+I2681+I2682</f>
        <v>5126.77571175</v>
      </c>
      <c r="J2683" s="39" t="n">
        <f aca="false">J2680+J2681+J2682</f>
        <v>6818.8646295</v>
      </c>
      <c r="K2683" s="39" t="n">
        <f aca="false">K2680+K2681+K2682</f>
        <v>6818.8646295</v>
      </c>
      <c r="L2683" s="39" t="n">
        <f aca="false">L2680+L2681+L2682</f>
        <v>6818.8646295</v>
      </c>
      <c r="M2683" s="39" t="n">
        <f aca="false">M2680+M2681+M2682</f>
        <v>6818.8646295</v>
      </c>
      <c r="N2683" s="39" t="n">
        <f aca="false">N2680+N2681+N2682</f>
        <v>6818.8646295</v>
      </c>
      <c r="P2683" s="40" t="n">
        <f aca="false">F2683</f>
        <v>3434.686794</v>
      </c>
      <c r="Q2683" s="40" t="n">
        <f aca="false">J2683</f>
        <v>6818.8646295</v>
      </c>
      <c r="R2683" s="40" t="n">
        <f aca="false">N2683</f>
        <v>6818.8646295</v>
      </c>
      <c r="S2683" s="41" t="n">
        <f aca="false">R2683</f>
        <v>6818.8646295</v>
      </c>
    </row>
    <row r="2684" customFormat="false" ht="15" hidden="false" customHeight="false" outlineLevel="0" collapsed="false">
      <c r="A2684" s="4" t="s">
        <v>489</v>
      </c>
      <c r="B2684" s="36" t="s">
        <v>485</v>
      </c>
      <c r="C2684" s="39" t="n">
        <f aca="false">$C$2654*C2674*C2677+$C$2658*C2675*C2678+$C$2662*C2676*C2679</f>
        <v>1717.343397</v>
      </c>
      <c r="D2684" s="39" t="n">
        <f aca="false">$C$2654*D2674*D2677+$C$2658*D2675*D2678+$C$2662*D2676*D2679</f>
        <v>3022.90815960867</v>
      </c>
      <c r="E2684" s="39" t="n">
        <f aca="false">$C$2654*E2674*E2677+$C$2658*E2675*E2678+$C$2662*E2676*E2679</f>
        <v>2660.49695052011</v>
      </c>
      <c r="F2684" s="39" t="n">
        <f aca="false">$C$2654*F2674*F2677+$C$2658*F2675*F2678+$C$2662*F2676*F2679</f>
        <v>2341.53459185578</v>
      </c>
      <c r="G2684" s="39" t="n">
        <f aca="false">$C$2654*G2674*G2677+$C$2658*G2675*G2678+$C$2662*G2676*G2679</f>
        <v>2060.8120764</v>
      </c>
      <c r="H2684" s="39" t="n">
        <f aca="false">$C$2654*H2674*H2677+$C$2658*H2675*H2678+$C$2662*H2676*H2679</f>
        <v>1813.7448957652</v>
      </c>
      <c r="I2684" s="39" t="n">
        <f aca="false">$C$2654*I2674*I2677+$C$2658*I2675*I2678+$C$2662*I2676*I2679</f>
        <v>3288.38708806207</v>
      </c>
      <c r="J2684" s="39" t="n">
        <f aca="false">$C$2654*J2674*J2677+$C$2658*J2675*J2678+$C$2662*J2676*J2679</f>
        <v>4383.37538753308</v>
      </c>
      <c r="K2684" s="39" t="n">
        <f aca="false">$C$2654*K2674*K2677+$C$2658*K2675*K2678+$C$2662*K2676*K2679</f>
        <v>3857.86012533915</v>
      </c>
      <c r="L2684" s="39" t="n">
        <f aca="false">$C$2654*L2674*L2677+$C$2658*L2675*L2678+$C$2662*L2676*L2679</f>
        <v>3395.34797521822</v>
      </c>
      <c r="M2684" s="39" t="n">
        <f aca="false">$C$2654*M2674*M2677+$C$2658*M2675*M2678+$C$2662*M2676*M2679</f>
        <v>2988.28560348724</v>
      </c>
      <c r="N2684" s="39" t="n">
        <f aca="false">$C$2654*N2674*N2677+$C$2658*N2675*N2678+$C$2662*N2676*N2679</f>
        <v>2630.02523251985</v>
      </c>
      <c r="P2684" s="40"/>
      <c r="Q2684" s="40"/>
      <c r="R2684" s="40"/>
      <c r="S2684" s="41"/>
    </row>
    <row r="2685" customFormat="false" ht="15" hidden="false" customHeight="false" outlineLevel="0" collapsed="false">
      <c r="A2685" s="4" t="s">
        <v>490</v>
      </c>
      <c r="B2685" s="36" t="s">
        <v>491</v>
      </c>
      <c r="C2685" s="48" t="n">
        <f aca="false">$C$2666*Assumptions!$G$20*C2673*C2684</f>
        <v>3.86402264325</v>
      </c>
      <c r="D2685" s="48" t="n">
        <f aca="false">$C$2666*Assumptions!$G$20*D2673*D2684</f>
        <v>6.80154335911951</v>
      </c>
      <c r="E2685" s="48" t="n">
        <f aca="false">$C$2666*Assumptions!$G$20*E2673*E2684</f>
        <v>5.98611813867025</v>
      </c>
      <c r="F2685" s="48" t="n">
        <f aca="false">$C$2666*Assumptions!$G$20*F2673*F2684</f>
        <v>5.2684528316755</v>
      </c>
      <c r="G2685" s="48" t="n">
        <f aca="false">$C$2666*Assumptions!$G$20*G2673*G2684</f>
        <v>4.6368271719</v>
      </c>
      <c r="H2685" s="48" t="n">
        <f aca="false">$C$2666*Assumptions!$G$20*H2673*H2684</f>
        <v>4.08092601547171</v>
      </c>
      <c r="I2685" s="48" t="n">
        <f aca="false">$C$2666*Assumptions!$G$20*I2673*I2684</f>
        <v>7.39887094813965</v>
      </c>
      <c r="J2685" s="48" t="n">
        <f aca="false">$C$2666*Assumptions!$G$20*J2673*J2684</f>
        <v>9.86259462194943</v>
      </c>
      <c r="K2685" s="48" t="n">
        <f aca="false">$C$2666*Assumptions!$G$20*K2673*K2684</f>
        <v>8.68018528201309</v>
      </c>
      <c r="L2685" s="48" t="n">
        <f aca="false">$C$2666*Assumptions!$G$20*L2673*L2684</f>
        <v>7.63953294424099</v>
      </c>
      <c r="M2685" s="48" t="n">
        <f aca="false">$C$2666*Assumptions!$G$20*M2673*M2684</f>
        <v>6.72364260784629</v>
      </c>
      <c r="N2685" s="48" t="n">
        <f aca="false">$C$2666*Assumptions!$G$20*N2673*N2684</f>
        <v>5.91755677316966</v>
      </c>
      <c r="P2685" s="49" t="n">
        <f aca="false">SUM(C2685:F2685)</f>
        <v>21.9201369727153</v>
      </c>
      <c r="Q2685" s="49" t="n">
        <f aca="false">SUM(G2685:J2685)</f>
        <v>25.9792187574608</v>
      </c>
      <c r="R2685" s="49" t="n">
        <f aca="false">SUM(K2685:N2685)</f>
        <v>28.96091760727</v>
      </c>
      <c r="S2685" s="50" t="n">
        <f aca="false">SUM(P2685:R2685)</f>
        <v>76.8602733374461</v>
      </c>
    </row>
    <row r="2686" customFormat="false" ht="15" hidden="false" customHeight="false" outlineLevel="0" collapsed="false">
      <c r="A2686" s="4" t="s">
        <v>492</v>
      </c>
      <c r="B2686" s="36" t="s">
        <v>321</v>
      </c>
      <c r="C2686" s="48" t="n">
        <f aca="false">Assumptions!$D$113</f>
        <v>0</v>
      </c>
      <c r="D2686" s="48" t="n">
        <f aca="false">Assumptions!$E$113</f>
        <v>0</v>
      </c>
      <c r="E2686" s="48" t="n">
        <f aca="false">Assumptions!$F$113</f>
        <v>0</v>
      </c>
      <c r="F2686" s="48" t="n">
        <f aca="false">Assumptions!$G$113</f>
        <v>0</v>
      </c>
      <c r="G2686" s="48" t="n">
        <f aca="false">Assumptions!$H$113</f>
        <v>0</v>
      </c>
      <c r="H2686" s="48" t="n">
        <f aca="false">Assumptions!$I$113</f>
        <v>0</v>
      </c>
      <c r="I2686" s="48" t="n">
        <f aca="false">Assumptions!$J$113</f>
        <v>0</v>
      </c>
      <c r="J2686" s="48" t="n">
        <f aca="false">Assumptions!$K$113</f>
        <v>0</v>
      </c>
      <c r="K2686" s="48" t="n">
        <f aca="false">Assumptions!$L$113</f>
        <v>0</v>
      </c>
      <c r="L2686" s="48" t="n">
        <f aca="false">Assumptions!$M$113</f>
        <v>0</v>
      </c>
      <c r="M2686" s="48" t="n">
        <f aca="false">Assumptions!$N$113</f>
        <v>0</v>
      </c>
      <c r="N2686" s="48" t="n">
        <f aca="false">Assumptions!$O$113</f>
        <v>0</v>
      </c>
      <c r="P2686" s="49" t="n">
        <f aca="false">F2686</f>
        <v>0</v>
      </c>
      <c r="Q2686" s="49" t="n">
        <f aca="false">J2686</f>
        <v>0</v>
      </c>
      <c r="R2686" s="49" t="n">
        <f aca="false">N2686</f>
        <v>0</v>
      </c>
      <c r="S2686" s="50" t="n">
        <f aca="false">R2686</f>
        <v>0</v>
      </c>
    </row>
    <row r="2687" customFormat="false" ht="15" hidden="false" customHeight="false" outlineLevel="0" collapsed="false">
      <c r="A2687" s="4" t="s">
        <v>493</v>
      </c>
      <c r="B2687" s="36" t="s">
        <v>321</v>
      </c>
      <c r="C2687" s="48" t="n">
        <f aca="false">0</f>
        <v>0</v>
      </c>
      <c r="D2687" s="48" t="n">
        <f aca="false">0.5*C2686</f>
        <v>0</v>
      </c>
      <c r="E2687" s="48" t="n">
        <f aca="false">C2686+0.5*(D2686-C2686)</f>
        <v>0</v>
      </c>
      <c r="F2687" s="48" t="n">
        <f aca="false">D2686+0.5*(E2686-D2686)</f>
        <v>0</v>
      </c>
      <c r="G2687" s="48" t="n">
        <f aca="false">E2686+0.5*(F2686-E2686)</f>
        <v>0</v>
      </c>
      <c r="H2687" s="48" t="n">
        <f aca="false">F2686+0.5*(G2686-F2686)</f>
        <v>0</v>
      </c>
      <c r="I2687" s="48" t="n">
        <f aca="false">G2686+0.5*(H2686-G2686)</f>
        <v>0</v>
      </c>
      <c r="J2687" s="48" t="n">
        <f aca="false">H2686+0.5*(I2686-H2686)</f>
        <v>0</v>
      </c>
      <c r="K2687" s="48" t="n">
        <f aca="false">I2686+0.5*(J2686-I2686)</f>
        <v>0</v>
      </c>
      <c r="L2687" s="48" t="n">
        <f aca="false">J2686+0.5*(K2686-J2686)</f>
        <v>0</v>
      </c>
      <c r="M2687" s="48" t="n">
        <f aca="false">K2686+0.5*(L2686-K2686)</f>
        <v>0</v>
      </c>
      <c r="N2687" s="48" t="n">
        <f aca="false">L2686+0.5*(M2686-L2686)</f>
        <v>0</v>
      </c>
      <c r="P2687" s="49" t="n">
        <f aca="false">F2687</f>
        <v>0</v>
      </c>
      <c r="Q2687" s="49" t="n">
        <f aca="false">J2687</f>
        <v>0</v>
      </c>
      <c r="R2687" s="49" t="n">
        <f aca="false">N2687</f>
        <v>0</v>
      </c>
      <c r="S2687" s="50" t="n">
        <f aca="false">R2687</f>
        <v>0</v>
      </c>
    </row>
    <row r="2688" customFormat="false" ht="15" hidden="false" customHeight="false" outlineLevel="0" collapsed="false">
      <c r="A2688" s="4" t="s">
        <v>494</v>
      </c>
      <c r="B2688" s="36" t="s">
        <v>485</v>
      </c>
      <c r="C2688" s="39" t="n">
        <f aca="false">MIN(C2687*Assumptions!$G$38,C2683*(1-$C$2666))</f>
        <v>0</v>
      </c>
      <c r="D2688" s="39" t="n">
        <f aca="false">MIN(D2687*Assumptions!$G$38,D2683*(1-$C$2666))</f>
        <v>0</v>
      </c>
      <c r="E2688" s="39" t="n">
        <f aca="false">MIN(E2687*Assumptions!$G$38,E2683*(1-$C$2666))</f>
        <v>0</v>
      </c>
      <c r="F2688" s="39" t="n">
        <f aca="false">MIN(F2687*Assumptions!$G$38,F2683*(1-$C$2666))</f>
        <v>0</v>
      </c>
      <c r="G2688" s="39" t="n">
        <f aca="false">MIN(G2687*Assumptions!$G$38,G2683*(1-$C$2666))</f>
        <v>0</v>
      </c>
      <c r="H2688" s="39" t="n">
        <f aca="false">MIN(H2687*Assumptions!$G$38,H2683*(1-$C$2666))</f>
        <v>0</v>
      </c>
      <c r="I2688" s="39" t="n">
        <f aca="false">MIN(I2687*Assumptions!$G$38,I2683*(1-$C$2666))</f>
        <v>0</v>
      </c>
      <c r="J2688" s="39" t="n">
        <f aca="false">MIN(J2687*Assumptions!$G$38,J2683*(1-$C$2666))</f>
        <v>0</v>
      </c>
      <c r="K2688" s="39" t="n">
        <f aca="false">MIN(K2687*Assumptions!$G$38,K2683*(1-$C$2666))</f>
        <v>0</v>
      </c>
      <c r="L2688" s="39" t="n">
        <f aca="false">MIN(L2687*Assumptions!$G$38,L2683*(1-$C$2666))</f>
        <v>0</v>
      </c>
      <c r="M2688" s="39" t="n">
        <f aca="false">MIN(M2687*Assumptions!$G$38,M2683*(1-$C$2666))</f>
        <v>0</v>
      </c>
      <c r="N2688" s="39" t="n">
        <f aca="false">MIN(N2687*Assumptions!$G$38,N2683*(1-$C$2666))</f>
        <v>0</v>
      </c>
      <c r="P2688" s="40" t="n">
        <f aca="false">SUM(C2688:F2688)</f>
        <v>0</v>
      </c>
      <c r="Q2688" s="40" t="n">
        <f aca="false">SUM(G2688:J2688)</f>
        <v>0</v>
      </c>
      <c r="R2688" s="40" t="n">
        <f aca="false">SUM(K2688:N2688)</f>
        <v>0</v>
      </c>
      <c r="S2688" s="41" t="n">
        <f aca="false">SUM(P2688:R2688)</f>
        <v>0</v>
      </c>
    </row>
    <row r="2689" customFormat="false" ht="15" hidden="false" customHeight="false" outlineLevel="0" collapsed="false">
      <c r="A2689" s="4" t="s">
        <v>495</v>
      </c>
      <c r="B2689" s="36" t="s">
        <v>491</v>
      </c>
      <c r="C2689" s="48" t="n">
        <f aca="false">C2688*Assumptions!$G$20*Assumptions!$G$39*IF(C2683&gt;0,C2684/C2683,0)*C2673</f>
        <v>0</v>
      </c>
      <c r="D2689" s="48" t="n">
        <f aca="false">D2688*Assumptions!$G$20*Assumptions!$G$39*IF(D2683&gt;0,D2684/D2683,0)*D2673</f>
        <v>0</v>
      </c>
      <c r="E2689" s="48" t="n">
        <f aca="false">E2688*Assumptions!$G$20*Assumptions!$G$39*IF(E2683&gt;0,E2684/E2683,0)*E2673</f>
        <v>0</v>
      </c>
      <c r="F2689" s="48" t="n">
        <f aca="false">F2688*Assumptions!$G$20*Assumptions!$G$39*IF(F2683&gt;0,F2684/F2683,0)*F2673</f>
        <v>0</v>
      </c>
      <c r="G2689" s="48" t="n">
        <f aca="false">G2688*Assumptions!$G$20*Assumptions!$G$39*IF(G2683&gt;0,G2684/G2683,0)*G2673</f>
        <v>0</v>
      </c>
      <c r="H2689" s="48" t="n">
        <f aca="false">H2688*Assumptions!$G$20*Assumptions!$G$39*IF(H2683&gt;0,H2684/H2683,0)*H2673</f>
        <v>0</v>
      </c>
      <c r="I2689" s="48" t="n">
        <f aca="false">I2688*Assumptions!$G$20*Assumptions!$G$39*IF(I2683&gt;0,I2684/I2683,0)*I2673</f>
        <v>0</v>
      </c>
      <c r="J2689" s="48" t="n">
        <f aca="false">J2688*Assumptions!$G$20*Assumptions!$G$39*IF(J2683&gt;0,J2684/J2683,0)*J2673</f>
        <v>0</v>
      </c>
      <c r="K2689" s="48" t="n">
        <f aca="false">K2688*Assumptions!$G$20*Assumptions!$G$39*IF(K2683&gt;0,K2684/K2683,0)*K2673</f>
        <v>0</v>
      </c>
      <c r="L2689" s="48" t="n">
        <f aca="false">L2688*Assumptions!$G$20*Assumptions!$G$39*IF(L2683&gt;0,L2684/L2683,0)*L2673</f>
        <v>0</v>
      </c>
      <c r="M2689" s="48" t="n">
        <f aca="false">M2688*Assumptions!$G$20*Assumptions!$G$39*IF(M2683&gt;0,M2684/M2683,0)*M2673</f>
        <v>0</v>
      </c>
      <c r="N2689" s="48" t="n">
        <f aca="false">N2688*Assumptions!$G$20*Assumptions!$G$39*IF(N2683&gt;0,N2684/N2683,0)*N2673</f>
        <v>0</v>
      </c>
      <c r="P2689" s="49" t="n">
        <f aca="false">SUM(C2689:F2689)</f>
        <v>0</v>
      </c>
      <c r="Q2689" s="49" t="n">
        <f aca="false">SUM(G2689:J2689)</f>
        <v>0</v>
      </c>
      <c r="R2689" s="49" t="n">
        <f aca="false">SUM(K2689:N2689)</f>
        <v>0</v>
      </c>
      <c r="S2689" s="50" t="n">
        <f aca="false">SUM(P2689:R2689)</f>
        <v>0</v>
      </c>
    </row>
    <row r="2690" customFormat="false" ht="15" hidden="false" customHeight="false" outlineLevel="0" collapsed="false">
      <c r="A2690" s="4" t="s">
        <v>496</v>
      </c>
      <c r="B2690" s="36" t="s">
        <v>497</v>
      </c>
      <c r="C2690" s="48" t="n">
        <f aca="false">IF(AND(C2683&gt;0,$C$2670&gt;0),C2683*Assumptions!$G$24*(1-EXP(-$C$2670/(Assumptions!$G$23*C2683*Assumptions!$G$24))),0)</f>
        <v>0</v>
      </c>
      <c r="D2690" s="48" t="n">
        <f aca="false">IF(AND(D2683&gt;0,$C$2670&gt;0),D2683*Assumptions!$G$24*(1-EXP(-$C$2670/(Assumptions!$G$23*D2683*Assumptions!$G$24))),0)</f>
        <v>0</v>
      </c>
      <c r="E2690" s="48" t="n">
        <f aca="false">IF(AND(E2683&gt;0,$C$2670&gt;0),E2683*Assumptions!$G$24*(1-EXP(-$C$2670/(Assumptions!$G$23*E2683*Assumptions!$G$24))),0)</f>
        <v>0</v>
      </c>
      <c r="F2690" s="48" t="n">
        <f aca="false">IF(AND(F2683&gt;0,$C$2670&gt;0),F2683*Assumptions!$G$24*(1-EXP(-$C$2670/(Assumptions!$G$23*F2683*Assumptions!$G$24))),0)</f>
        <v>0</v>
      </c>
      <c r="G2690" s="48" t="n">
        <f aca="false">IF(AND(G2683&gt;0,$C$2670&gt;0),G2683*Assumptions!$G$24*(1-EXP(-$C$2670/(Assumptions!$G$23*G2683*Assumptions!$G$24))),0)</f>
        <v>0</v>
      </c>
      <c r="H2690" s="48" t="n">
        <f aca="false">IF(AND(H2683&gt;0,$C$2670&gt;0),H2683*Assumptions!$G$24*(1-EXP(-$C$2670/(Assumptions!$G$23*H2683*Assumptions!$G$24))),0)</f>
        <v>0</v>
      </c>
      <c r="I2690" s="48" t="n">
        <f aca="false">IF(AND(I2683&gt;0,$C$2670&gt;0),I2683*Assumptions!$G$24*(1-EXP(-$C$2670/(Assumptions!$G$23*I2683*Assumptions!$G$24))),0)</f>
        <v>0</v>
      </c>
      <c r="J2690" s="48" t="n">
        <f aca="false">IF(AND(J2683&gt;0,$C$2670&gt;0),J2683*Assumptions!$G$24*(1-EXP(-$C$2670/(Assumptions!$G$23*J2683*Assumptions!$G$24))),0)</f>
        <v>0</v>
      </c>
      <c r="K2690" s="48" t="n">
        <f aca="false">IF(AND(K2683&gt;0,$C$2670&gt;0),K2683*Assumptions!$G$24*(1-EXP(-$C$2670/(Assumptions!$G$23*K2683*Assumptions!$G$24))),0)</f>
        <v>0</v>
      </c>
      <c r="L2690" s="48" t="n">
        <f aca="false">IF(AND(L2683&gt;0,$C$2670&gt;0),L2683*Assumptions!$G$24*(1-EXP(-$C$2670/(Assumptions!$G$23*L2683*Assumptions!$G$24))),0)</f>
        <v>0</v>
      </c>
      <c r="M2690" s="48" t="n">
        <f aca="false">IF(AND(M2683&gt;0,$C$2670&gt;0),M2683*Assumptions!$G$24*(1-EXP(-$C$2670/(Assumptions!$G$23*M2683*Assumptions!$G$24))),0)</f>
        <v>0</v>
      </c>
      <c r="N2690" s="48" t="n">
        <f aca="false">IF(AND(N2683&gt;0,$C$2670&gt;0),N2683*Assumptions!$G$24*(1-EXP(-$C$2670/(Assumptions!$G$23*N2683*Assumptions!$G$24))),0)</f>
        <v>0</v>
      </c>
      <c r="P2690" s="49" t="n">
        <f aca="false">SUM(C2690:F2690)</f>
        <v>0</v>
      </c>
      <c r="Q2690" s="49" t="n">
        <f aca="false">SUM(G2690:J2690)</f>
        <v>0</v>
      </c>
      <c r="R2690" s="49" t="n">
        <f aca="false">SUM(K2690:N2690)</f>
        <v>0</v>
      </c>
      <c r="S2690" s="50" t="n">
        <f aca="false">SUM(P2690:R2690)</f>
        <v>0</v>
      </c>
    </row>
    <row r="2691" customFormat="false" ht="15" hidden="false" customHeight="false" outlineLevel="0" collapsed="false">
      <c r="A2691" s="4" t="s">
        <v>498</v>
      </c>
      <c r="B2691" s="36" t="s">
        <v>497</v>
      </c>
      <c r="C2691" s="48" t="n">
        <f aca="false">(C2683*Assumptions!$G$22*MIN(1,Assumptions!$F$103/Assumptions!$G$78)+C2690)*C2673</f>
        <v>6.869373588</v>
      </c>
      <c r="D2691" s="48" t="n">
        <f aca="false">(D2683*Assumptions!$G$22*MIN(1,Assumptions!$F$103/Assumptions!$G$78)+D2690)*D2673</f>
        <v>13.738747176</v>
      </c>
      <c r="E2691" s="48" t="n">
        <f aca="false">(E2683*Assumptions!$G$22*MIN(1,Assumptions!$F$103/Assumptions!$G$78)+E2690)*E2673</f>
        <v>13.738747176</v>
      </c>
      <c r="F2691" s="48" t="n">
        <f aca="false">(F2683*Assumptions!$G$22*MIN(1,Assumptions!$F$103/Assumptions!$G$78)+F2690)*F2673</f>
        <v>13.738747176</v>
      </c>
      <c r="G2691" s="48" t="n">
        <f aca="false">(G2683*Assumptions!$G$22*MIN(1,Assumptions!$F$103/Assumptions!$G$78)+G2690)*G2673</f>
        <v>13.738747176</v>
      </c>
      <c r="H2691" s="48" t="n">
        <f aca="false">(H2683*Assumptions!$G$22*MIN(1,Assumptions!$F$103/Assumptions!$G$78)+H2690)*H2673</f>
        <v>13.738747176</v>
      </c>
      <c r="I2691" s="48" t="n">
        <f aca="false">(I2683*Assumptions!$G$22*MIN(1,Assumptions!$F$103/Assumptions!$G$78)+I2690)*I2673</f>
        <v>20.507102847</v>
      </c>
      <c r="J2691" s="48" t="n">
        <f aca="false">(J2683*Assumptions!$G$22*MIN(1,Assumptions!$F$103/Assumptions!$G$78)+J2690)*J2673</f>
        <v>27.275458518</v>
      </c>
      <c r="K2691" s="48" t="n">
        <f aca="false">(K2683*Assumptions!$G$22*MIN(1,Assumptions!$F$103/Assumptions!$G$78)+K2690)*K2673</f>
        <v>27.275458518</v>
      </c>
      <c r="L2691" s="48" t="n">
        <f aca="false">(L2683*Assumptions!$G$22*MIN(1,Assumptions!$F$103/Assumptions!$G$78)+L2690)*L2673</f>
        <v>27.275458518</v>
      </c>
      <c r="M2691" s="48" t="n">
        <f aca="false">(M2683*Assumptions!$G$22*MIN(1,Assumptions!$F$103/Assumptions!$G$78)+M2690)*M2673</f>
        <v>27.275458518</v>
      </c>
      <c r="N2691" s="48" t="n">
        <f aca="false">(N2683*Assumptions!$G$22*MIN(1,Assumptions!$F$103/Assumptions!$G$78)+N2690)*N2673</f>
        <v>27.275458518</v>
      </c>
      <c r="P2691" s="49" t="n">
        <f aca="false">SUM(C2691:F2691)</f>
        <v>48.085615116</v>
      </c>
      <c r="Q2691" s="49" t="n">
        <f aca="false">SUM(G2691:J2691)</f>
        <v>75.260055717</v>
      </c>
      <c r="R2691" s="49" t="n">
        <f aca="false">SUM(K2691:N2691)</f>
        <v>109.101834072</v>
      </c>
      <c r="S2691" s="50" t="n">
        <f aca="false">SUM(P2691:R2691)</f>
        <v>232.447504905</v>
      </c>
    </row>
    <row r="2692" customFormat="false" ht="15" hidden="false" customHeight="false" outlineLevel="0" collapsed="false">
      <c r="A2692" s="4" t="s">
        <v>499</v>
      </c>
      <c r="B2692" s="36" t="s">
        <v>500</v>
      </c>
      <c r="C2692" s="48" t="n">
        <f aca="false">C2673*MIN(Assumptions!$G$27,Assumptions!$G$25+Assumptions!$G$26*(C2672-1))*Assumptions!$F$107</f>
        <v>1</v>
      </c>
      <c r="D2692" s="48" t="n">
        <f aca="false">D2673*MIN(Assumptions!$G$27,Assumptions!$G$25+Assumptions!$G$26*(D2672-1))*Assumptions!$F$107</f>
        <v>1.5</v>
      </c>
      <c r="E2692" s="48" t="n">
        <f aca="false">E2673*MIN(Assumptions!$G$27,Assumptions!$G$25+Assumptions!$G$26*(E2672-1))*Assumptions!$F$107</f>
        <v>2</v>
      </c>
      <c r="F2692" s="48" t="n">
        <f aca="false">F2673*MIN(Assumptions!$G$27,Assumptions!$G$25+Assumptions!$G$26*(F2672-1))*Assumptions!$F$107</f>
        <v>2.5</v>
      </c>
      <c r="G2692" s="48" t="n">
        <f aca="false">G2673*MIN(Assumptions!$G$27,Assumptions!$G$25+Assumptions!$G$26*(G2672-1))*Assumptions!$F$107</f>
        <v>3</v>
      </c>
      <c r="H2692" s="48" t="n">
        <f aca="false">H2673*MIN(Assumptions!$G$27,Assumptions!$G$25+Assumptions!$G$26*(H2672-1))*Assumptions!$F$107</f>
        <v>3</v>
      </c>
      <c r="I2692" s="48" t="n">
        <f aca="false">I2673*MIN(Assumptions!$G$27,Assumptions!$G$25+Assumptions!$G$26*(I2672-1))*Assumptions!$F$107</f>
        <v>3</v>
      </c>
      <c r="J2692" s="48" t="n">
        <f aca="false">J2673*MIN(Assumptions!$G$27,Assumptions!$G$25+Assumptions!$G$26*(J2672-1))*Assumptions!$F$107</f>
        <v>3</v>
      </c>
      <c r="K2692" s="48" t="n">
        <f aca="false">K2673*MIN(Assumptions!$G$27,Assumptions!$G$25+Assumptions!$G$26*(K2672-1))*Assumptions!$F$107</f>
        <v>3</v>
      </c>
      <c r="L2692" s="48" t="n">
        <f aca="false">L2673*MIN(Assumptions!$G$27,Assumptions!$G$25+Assumptions!$G$26*(L2672-1))*Assumptions!$F$107</f>
        <v>3</v>
      </c>
      <c r="M2692" s="48" t="n">
        <f aca="false">M2673*MIN(Assumptions!$G$27,Assumptions!$G$25+Assumptions!$G$26*(M2672-1))*Assumptions!$F$107</f>
        <v>3</v>
      </c>
      <c r="N2692" s="48" t="n">
        <f aca="false">N2673*MIN(Assumptions!$G$27,Assumptions!$G$25+Assumptions!$G$26*(N2672-1))*Assumptions!$F$107</f>
        <v>3</v>
      </c>
      <c r="P2692" s="49" t="n">
        <f aca="false">F2692</f>
        <v>2.5</v>
      </c>
      <c r="Q2692" s="49" t="n">
        <f aca="false">J2692</f>
        <v>3</v>
      </c>
      <c r="R2692" s="49" t="n">
        <f aca="false">N2692</f>
        <v>3</v>
      </c>
      <c r="S2692" s="50" t="n">
        <f aca="false">R2692</f>
        <v>3</v>
      </c>
    </row>
    <row r="2693" customFormat="false" ht="15" hidden="false" customHeight="false" outlineLevel="0" collapsed="false">
      <c r="A2693" s="4" t="s">
        <v>501</v>
      </c>
      <c r="B2693" s="36" t="s">
        <v>502</v>
      </c>
      <c r="C2693" s="48" t="n">
        <f aca="false">C2692*Assumptions!$G$28</f>
        <v>2</v>
      </c>
      <c r="D2693" s="48" t="n">
        <f aca="false">D2692*Assumptions!$G$28</f>
        <v>3</v>
      </c>
      <c r="E2693" s="48" t="n">
        <f aca="false">E2692*Assumptions!$G$28</f>
        <v>4</v>
      </c>
      <c r="F2693" s="48" t="n">
        <f aca="false">F2692*Assumptions!$G$28</f>
        <v>5</v>
      </c>
      <c r="G2693" s="48" t="n">
        <f aca="false">G2692*Assumptions!$G$28</f>
        <v>6</v>
      </c>
      <c r="H2693" s="48" t="n">
        <f aca="false">H2692*Assumptions!$G$28</f>
        <v>6</v>
      </c>
      <c r="I2693" s="48" t="n">
        <f aca="false">I2692*Assumptions!$G$28</f>
        <v>6</v>
      </c>
      <c r="J2693" s="48" t="n">
        <f aca="false">J2692*Assumptions!$G$28</f>
        <v>6</v>
      </c>
      <c r="K2693" s="48" t="n">
        <f aca="false">K2692*Assumptions!$G$28</f>
        <v>6</v>
      </c>
      <c r="L2693" s="48" t="n">
        <f aca="false">L2692*Assumptions!$G$28</f>
        <v>6</v>
      </c>
      <c r="M2693" s="48" t="n">
        <f aca="false">M2692*Assumptions!$G$28</f>
        <v>6</v>
      </c>
      <c r="N2693" s="48" t="n">
        <f aca="false">N2692*Assumptions!$G$28</f>
        <v>6</v>
      </c>
      <c r="P2693" s="49" t="n">
        <f aca="false">SUM(C2693:F2693)</f>
        <v>14</v>
      </c>
      <c r="Q2693" s="49" t="n">
        <f aca="false">SUM(G2693:J2693)</f>
        <v>24</v>
      </c>
      <c r="R2693" s="49" t="n">
        <f aca="false">SUM(K2693:N2693)</f>
        <v>24</v>
      </c>
      <c r="S2693" s="50" t="n">
        <f aca="false">SUM(P2693:R2693)</f>
        <v>62</v>
      </c>
    </row>
    <row r="2694" customFormat="false" ht="15" hidden="false" customHeight="false" outlineLevel="0" collapsed="false">
      <c r="A2694" s="4" t="s">
        <v>503</v>
      </c>
      <c r="B2694" s="36" t="s">
        <v>504</v>
      </c>
      <c r="C2694" s="48" t="n">
        <f aca="false">(C2685+C2689)*Assumptions!$G$29</f>
        <v>1.159206792975</v>
      </c>
      <c r="D2694" s="48" t="n">
        <f aca="false">(D2685+D2689)*Assumptions!$G$29</f>
        <v>2.04046300773585</v>
      </c>
      <c r="E2694" s="48" t="n">
        <f aca="false">(E2685+E2689)*Assumptions!$G$29</f>
        <v>1.79583544160107</v>
      </c>
      <c r="F2694" s="48" t="n">
        <f aca="false">(F2685+F2689)*Assumptions!$G$29</f>
        <v>1.58053584950265</v>
      </c>
      <c r="G2694" s="48" t="n">
        <f aca="false">(G2685+G2689)*Assumptions!$G$29</f>
        <v>1.39104815157</v>
      </c>
      <c r="H2694" s="48" t="n">
        <f aca="false">(H2685+H2689)*Assumptions!$G$29</f>
        <v>1.22427780464151</v>
      </c>
      <c r="I2694" s="48" t="n">
        <f aca="false">(I2685+I2689)*Assumptions!$G$29</f>
        <v>2.21966128444189</v>
      </c>
      <c r="J2694" s="48" t="n">
        <f aca="false">(J2685+J2689)*Assumptions!$G$29</f>
        <v>2.95877838658483</v>
      </c>
      <c r="K2694" s="48" t="n">
        <f aca="false">(K2685+K2689)*Assumptions!$G$29</f>
        <v>2.60405558460393</v>
      </c>
      <c r="L2694" s="48" t="n">
        <f aca="false">(L2685+L2689)*Assumptions!$G$29</f>
        <v>2.2918598832723</v>
      </c>
      <c r="M2694" s="48" t="n">
        <f aca="false">(M2685+M2689)*Assumptions!$G$29</f>
        <v>2.01709278235389</v>
      </c>
      <c r="N2694" s="48" t="n">
        <f aca="false">(N2685+N2689)*Assumptions!$G$29</f>
        <v>1.7752670319509</v>
      </c>
      <c r="P2694" s="49" t="n">
        <f aca="false">SUM(C2694:F2694)</f>
        <v>6.57604109181458</v>
      </c>
      <c r="Q2694" s="49" t="n">
        <f aca="false">SUM(G2694:J2694)</f>
        <v>7.79376562723823</v>
      </c>
      <c r="R2694" s="49" t="n">
        <f aca="false">SUM(K2694:N2694)</f>
        <v>8.68827528218101</v>
      </c>
      <c r="S2694" s="50" t="n">
        <f aca="false">SUM(P2694:R2694)</f>
        <v>23.0580820012338</v>
      </c>
    </row>
    <row r="2695" customFormat="false" ht="15" hidden="false" customHeight="false" outlineLevel="0" collapsed="false">
      <c r="A2695" s="4" t="s">
        <v>505</v>
      </c>
      <c r="B2695" s="36" t="s">
        <v>504</v>
      </c>
      <c r="C2695" s="48" t="n">
        <f aca="false">C2691*Assumptions!$G$31</f>
        <v>0.6869373588</v>
      </c>
      <c r="D2695" s="48" t="n">
        <f aca="false">D2691*Assumptions!$G$31</f>
        <v>1.3738747176</v>
      </c>
      <c r="E2695" s="48" t="n">
        <f aca="false">E2691*Assumptions!$G$31</f>
        <v>1.3738747176</v>
      </c>
      <c r="F2695" s="48" t="n">
        <f aca="false">F2691*Assumptions!$G$31</f>
        <v>1.3738747176</v>
      </c>
      <c r="G2695" s="48" t="n">
        <f aca="false">G2691*Assumptions!$G$31</f>
        <v>1.3738747176</v>
      </c>
      <c r="H2695" s="48" t="n">
        <f aca="false">H2691*Assumptions!$G$31</f>
        <v>1.3738747176</v>
      </c>
      <c r="I2695" s="48" t="n">
        <f aca="false">I2691*Assumptions!$G$31</f>
        <v>2.0507102847</v>
      </c>
      <c r="J2695" s="48" t="n">
        <f aca="false">J2691*Assumptions!$G$31</f>
        <v>2.7275458518</v>
      </c>
      <c r="K2695" s="48" t="n">
        <f aca="false">K2691*Assumptions!$G$31</f>
        <v>2.7275458518</v>
      </c>
      <c r="L2695" s="48" t="n">
        <f aca="false">L2691*Assumptions!$G$31</f>
        <v>2.7275458518</v>
      </c>
      <c r="M2695" s="48" t="n">
        <f aca="false">M2691*Assumptions!$G$31</f>
        <v>2.7275458518</v>
      </c>
      <c r="N2695" s="48" t="n">
        <f aca="false">N2691*Assumptions!$G$31</f>
        <v>2.7275458518</v>
      </c>
      <c r="P2695" s="49" t="n">
        <f aca="false">SUM(C2695:F2695)</f>
        <v>4.8085615116</v>
      </c>
      <c r="Q2695" s="49" t="n">
        <f aca="false">SUM(G2695:J2695)</f>
        <v>7.5260055717</v>
      </c>
      <c r="R2695" s="49" t="n">
        <f aca="false">SUM(K2695:N2695)</f>
        <v>10.9101834072</v>
      </c>
      <c r="S2695" s="50" t="n">
        <f aca="false">SUM(P2695:R2695)</f>
        <v>23.2447504905</v>
      </c>
    </row>
    <row r="2696" customFormat="false" ht="15" hidden="false" customHeight="false" outlineLevel="0" collapsed="false">
      <c r="A2696" s="4" t="s">
        <v>506</v>
      </c>
      <c r="B2696" s="36" t="s">
        <v>504</v>
      </c>
      <c r="C2696" s="48" t="n">
        <f aca="false">C2693*Assumptions!$G$30</f>
        <v>0.8</v>
      </c>
      <c r="D2696" s="48" t="n">
        <f aca="false">D2693*Assumptions!$G$30</f>
        <v>1.2</v>
      </c>
      <c r="E2696" s="48" t="n">
        <f aca="false">E2693*Assumptions!$G$30</f>
        <v>1.6</v>
      </c>
      <c r="F2696" s="48" t="n">
        <f aca="false">F2693*Assumptions!$G$30</f>
        <v>2</v>
      </c>
      <c r="G2696" s="48" t="n">
        <f aca="false">G2693*Assumptions!$G$30</f>
        <v>2.4</v>
      </c>
      <c r="H2696" s="48" t="n">
        <f aca="false">H2693*Assumptions!$G$30</f>
        <v>2.4</v>
      </c>
      <c r="I2696" s="48" t="n">
        <f aca="false">I2693*Assumptions!$G$30</f>
        <v>2.4</v>
      </c>
      <c r="J2696" s="48" t="n">
        <f aca="false">J2693*Assumptions!$G$30</f>
        <v>2.4</v>
      </c>
      <c r="K2696" s="48" t="n">
        <f aca="false">K2693*Assumptions!$G$30</f>
        <v>2.4</v>
      </c>
      <c r="L2696" s="48" t="n">
        <f aca="false">L2693*Assumptions!$G$30</f>
        <v>2.4</v>
      </c>
      <c r="M2696" s="48" t="n">
        <f aca="false">M2693*Assumptions!$G$30</f>
        <v>2.4</v>
      </c>
      <c r="N2696" s="48" t="n">
        <f aca="false">N2693*Assumptions!$G$30</f>
        <v>2.4</v>
      </c>
      <c r="P2696" s="49" t="n">
        <f aca="false">SUM(C2696:F2696)</f>
        <v>5.6</v>
      </c>
      <c r="Q2696" s="49" t="n">
        <f aca="false">SUM(G2696:J2696)</f>
        <v>9.6</v>
      </c>
      <c r="R2696" s="49" t="n">
        <f aca="false">SUM(K2696:N2696)</f>
        <v>9.6</v>
      </c>
      <c r="S2696" s="50" t="n">
        <f aca="false">SUM(P2696:R2696)</f>
        <v>24.8</v>
      </c>
    </row>
    <row r="2697" customFormat="false" ht="15" hidden="false" customHeight="false" outlineLevel="0" collapsed="false">
      <c r="A2697" s="9" t="s">
        <v>507</v>
      </c>
      <c r="B2697" s="36" t="s">
        <v>504</v>
      </c>
      <c r="C2697" s="49" t="n">
        <f aca="false">C2694+C2695+C2696</f>
        <v>2.646144151775</v>
      </c>
      <c r="D2697" s="49" t="n">
        <f aca="false">D2694+D2695+D2696</f>
        <v>4.61433772533585</v>
      </c>
      <c r="E2697" s="49" t="n">
        <f aca="false">E2694+E2695+E2696</f>
        <v>4.76971015920107</v>
      </c>
      <c r="F2697" s="49" t="n">
        <f aca="false">F2694+F2695+F2696</f>
        <v>4.95441056710265</v>
      </c>
      <c r="G2697" s="49" t="n">
        <f aca="false">G2694+G2695+G2696</f>
        <v>5.16492286917</v>
      </c>
      <c r="H2697" s="49" t="n">
        <f aca="false">H2694+H2695+H2696</f>
        <v>4.99815252224151</v>
      </c>
      <c r="I2697" s="49" t="n">
        <f aca="false">I2694+I2695+I2696</f>
        <v>6.6703715691419</v>
      </c>
      <c r="J2697" s="49" t="n">
        <f aca="false">J2694+J2695+J2696</f>
        <v>8.08632423838483</v>
      </c>
      <c r="K2697" s="49" t="n">
        <f aca="false">K2694+K2695+K2696</f>
        <v>7.73160143640393</v>
      </c>
      <c r="L2697" s="49" t="n">
        <f aca="false">L2694+L2695+L2696</f>
        <v>7.4194057350723</v>
      </c>
      <c r="M2697" s="49" t="n">
        <f aca="false">M2694+M2695+M2696</f>
        <v>7.14463863415389</v>
      </c>
      <c r="N2697" s="49" t="n">
        <f aca="false">N2694+N2695+N2696</f>
        <v>6.9028128837509</v>
      </c>
      <c r="P2697" s="49" t="n">
        <f aca="false">SUM(C2697:F2697)</f>
        <v>16.9846026034146</v>
      </c>
      <c r="Q2697" s="49" t="n">
        <f aca="false">SUM(G2697:J2697)</f>
        <v>24.9197711989382</v>
      </c>
      <c r="R2697" s="49" t="n">
        <f aca="false">SUM(K2697:N2697)</f>
        <v>29.198458689381</v>
      </c>
      <c r="S2697" s="50" t="n">
        <f aca="false">SUM(P2697:R2697)</f>
        <v>71.1028324917338</v>
      </c>
    </row>
    <row r="2698" customFormat="false" ht="15" hidden="false" customHeight="false" outlineLevel="0" collapsed="false">
      <c r="A2698" s="4" t="s">
        <v>508</v>
      </c>
      <c r="B2698" s="36" t="s">
        <v>509</v>
      </c>
      <c r="C2698" s="48" t="n">
        <f aca="false">C2680</f>
        <v>1371.907152</v>
      </c>
      <c r="D2698" s="48" t="n">
        <f aca="false">D2680</f>
        <v>2743.814304</v>
      </c>
      <c r="E2698" s="48" t="n">
        <f aca="false">E2680</f>
        <v>2743.814304</v>
      </c>
      <c r="F2698" s="48" t="n">
        <f aca="false">F2680</f>
        <v>2743.814304</v>
      </c>
      <c r="G2698" s="48" t="n">
        <f aca="false">G2680</f>
        <v>2743.814304</v>
      </c>
      <c r="H2698" s="48" t="n">
        <f aca="false">H2680</f>
        <v>2743.814304</v>
      </c>
      <c r="I2698" s="48" t="n">
        <f aca="false">I2680</f>
        <v>4099.55809725</v>
      </c>
      <c r="J2698" s="48" t="n">
        <f aca="false">J2680</f>
        <v>5455.3018905</v>
      </c>
      <c r="K2698" s="48" t="n">
        <f aca="false">K2680</f>
        <v>5455.3018905</v>
      </c>
      <c r="L2698" s="48" t="n">
        <f aca="false">L2680</f>
        <v>5455.3018905</v>
      </c>
      <c r="M2698" s="48" t="n">
        <f aca="false">M2680</f>
        <v>5455.3018905</v>
      </c>
      <c r="N2698" s="48" t="n">
        <f aca="false">N2680</f>
        <v>5455.3018905</v>
      </c>
      <c r="P2698" s="49"/>
      <c r="Q2698" s="49"/>
      <c r="R2698" s="49"/>
      <c r="S2698" s="50"/>
    </row>
    <row r="2699" customFormat="false" ht="15" hidden="false" customHeight="false" outlineLevel="0" collapsed="false">
      <c r="A2699" s="4" t="s">
        <v>510</v>
      </c>
      <c r="B2699" s="36" t="s">
        <v>509</v>
      </c>
      <c r="C2699" s="48" t="n">
        <f aca="false">C2681*Assumptions!$G$18*Assumptions!$G$33</f>
        <v>560.531664</v>
      </c>
      <c r="D2699" s="48" t="n">
        <f aca="false">D2681*Assumptions!$G$18*Assumptions!$G$33</f>
        <v>1121.063328</v>
      </c>
      <c r="E2699" s="48" t="n">
        <f aca="false">E2681*Assumptions!$G$18*Assumptions!$G$33</f>
        <v>1121.063328</v>
      </c>
      <c r="F2699" s="48" t="n">
        <f aca="false">F2681*Assumptions!$G$18*Assumptions!$G$33</f>
        <v>1121.063328</v>
      </c>
      <c r="G2699" s="48" t="n">
        <f aca="false">G2681*Assumptions!$G$18*Assumptions!$G$33</f>
        <v>1121.063328</v>
      </c>
      <c r="H2699" s="48" t="n">
        <f aca="false">H2681*Assumptions!$G$18*Assumptions!$G$33</f>
        <v>1121.063328</v>
      </c>
      <c r="I2699" s="48" t="n">
        <f aca="false">I2681*Assumptions!$G$18*Assumptions!$G$33</f>
        <v>1679.579055</v>
      </c>
      <c r="J2699" s="48" t="n">
        <f aca="false">J2681*Assumptions!$G$18*Assumptions!$G$33</f>
        <v>2238.094782</v>
      </c>
      <c r="K2699" s="48" t="n">
        <f aca="false">K2681*Assumptions!$G$18*Assumptions!$G$33</f>
        <v>2238.094782</v>
      </c>
      <c r="L2699" s="48" t="n">
        <f aca="false">L2681*Assumptions!$G$18*Assumptions!$G$33</f>
        <v>2238.094782</v>
      </c>
      <c r="M2699" s="48" t="n">
        <f aca="false">M2681*Assumptions!$G$18*Assumptions!$G$33</f>
        <v>2238.094782</v>
      </c>
      <c r="N2699" s="48" t="n">
        <f aca="false">N2681*Assumptions!$G$18*Assumptions!$G$33</f>
        <v>2238.094782</v>
      </c>
      <c r="P2699" s="49"/>
      <c r="Q2699" s="49"/>
      <c r="R2699" s="49"/>
      <c r="S2699" s="50"/>
    </row>
    <row r="2700" customFormat="false" ht="15" hidden="false" customHeight="false" outlineLevel="0" collapsed="false">
      <c r="A2700" s="4" t="s">
        <v>511</v>
      </c>
      <c r="B2700" s="36" t="s">
        <v>509</v>
      </c>
      <c r="C2700" s="48" t="n">
        <f aca="false">C2682*Assumptions!$G$19*Assumptions!$G$34</f>
        <v>65.170413</v>
      </c>
      <c r="D2700" s="48" t="n">
        <f aca="false">D2682*Assumptions!$G$19*Assumptions!$G$34</f>
        <v>130.340826</v>
      </c>
      <c r="E2700" s="48" t="n">
        <f aca="false">E2682*Assumptions!$G$19*Assumptions!$G$34</f>
        <v>130.340826</v>
      </c>
      <c r="F2700" s="48" t="n">
        <f aca="false">F2682*Assumptions!$G$19*Assumptions!$G$34</f>
        <v>130.340826</v>
      </c>
      <c r="G2700" s="48" t="n">
        <f aca="false">G2682*Assumptions!$G$19*Assumptions!$G$34</f>
        <v>130.340826</v>
      </c>
      <c r="H2700" s="48" t="n">
        <f aca="false">H2682*Assumptions!$G$19*Assumptions!$G$34</f>
        <v>130.340826</v>
      </c>
      <c r="I2700" s="48" t="n">
        <f aca="false">I2682*Assumptions!$G$19*Assumptions!$G$34</f>
        <v>187.428087</v>
      </c>
      <c r="J2700" s="48" t="n">
        <f aca="false">J2682*Assumptions!$G$19*Assumptions!$G$34</f>
        <v>244.515348</v>
      </c>
      <c r="K2700" s="48" t="n">
        <f aca="false">K2682*Assumptions!$G$19*Assumptions!$G$34</f>
        <v>244.515348</v>
      </c>
      <c r="L2700" s="48" t="n">
        <f aca="false">L2682*Assumptions!$G$19*Assumptions!$G$34</f>
        <v>244.515348</v>
      </c>
      <c r="M2700" s="48" t="n">
        <f aca="false">M2682*Assumptions!$G$19*Assumptions!$G$34</f>
        <v>244.515348</v>
      </c>
      <c r="N2700" s="48" t="n">
        <f aca="false">N2682*Assumptions!$G$19*Assumptions!$G$34</f>
        <v>244.515348</v>
      </c>
      <c r="P2700" s="49"/>
      <c r="Q2700" s="49"/>
      <c r="R2700" s="49"/>
      <c r="S2700" s="50"/>
    </row>
    <row r="2701" customFormat="false" ht="15" hidden="false" customHeight="false" outlineLevel="0" collapsed="false">
      <c r="A2701" s="4" t="s">
        <v>512</v>
      </c>
      <c r="B2701" s="36" t="s">
        <v>77</v>
      </c>
      <c r="C2701" s="51" t="n">
        <f aca="false">IFERROR(C2698/(C2698+C2699+C2700),0)</f>
        <v>0.686774536322489</v>
      </c>
      <c r="D2701" s="51" t="n">
        <f aca="false">IFERROR(D2698/(D2698+D2699+D2700),0)</f>
        <v>0.686774536322489</v>
      </c>
      <c r="E2701" s="51" t="n">
        <f aca="false">IFERROR(E2698/(E2698+E2699+E2700),0)</f>
        <v>0.686774536322489</v>
      </c>
      <c r="F2701" s="51" t="n">
        <f aca="false">IFERROR(F2698/(F2698+F2699+F2700),0)</f>
        <v>0.686774536322489</v>
      </c>
      <c r="G2701" s="51" t="n">
        <f aca="false">IFERROR(G2698/(G2698+G2699+G2700),0)</f>
        <v>0.686774536322489</v>
      </c>
      <c r="H2701" s="51" t="n">
        <f aca="false">IFERROR(H2698/(H2698+H2699+H2700),0)</f>
        <v>0.686774536322489</v>
      </c>
      <c r="I2701" s="51" t="n">
        <f aca="false">IFERROR(I2698/(I2698+I2699+I2700),0)</f>
        <v>0.687088455897839</v>
      </c>
      <c r="J2701" s="51" t="n">
        <f aca="false">IFERROR(J2698/(J2698+J2699+J2700),0)</f>
        <v>0.687246454283122</v>
      </c>
      <c r="K2701" s="51" t="n">
        <f aca="false">IFERROR(K2698/(K2698+K2699+K2700),0)</f>
        <v>0.687246454283122</v>
      </c>
      <c r="L2701" s="51" t="n">
        <f aca="false">IFERROR(L2698/(L2698+L2699+L2700),0)</f>
        <v>0.687246454283122</v>
      </c>
      <c r="M2701" s="51" t="n">
        <f aca="false">IFERROR(M2698/(M2698+M2699+M2700),0)</f>
        <v>0.687246454283122</v>
      </c>
      <c r="N2701" s="51" t="n">
        <f aca="false">IFERROR(N2698/(N2698+N2699+N2700),0)</f>
        <v>0.687246454283122</v>
      </c>
      <c r="P2701" s="52"/>
      <c r="Q2701" s="52"/>
      <c r="R2701" s="52"/>
      <c r="S2701" s="53"/>
    </row>
    <row r="2702" customFormat="false" ht="15" hidden="false" customHeight="false" outlineLevel="0" collapsed="false">
      <c r="A2702" s="4" t="s">
        <v>513</v>
      </c>
      <c r="B2702" s="36" t="s">
        <v>77</v>
      </c>
      <c r="C2702" s="51" t="n">
        <f aca="false">IFERROR(C2699/(C2698+C2699+C2700),0)</f>
        <v>0.280601258675903</v>
      </c>
      <c r="D2702" s="51" t="n">
        <f aca="false">IFERROR(D2699/(D2698+D2699+D2700),0)</f>
        <v>0.280601258675903</v>
      </c>
      <c r="E2702" s="51" t="n">
        <f aca="false">IFERROR(E2699/(E2698+E2699+E2700),0)</f>
        <v>0.280601258675903</v>
      </c>
      <c r="F2702" s="51" t="n">
        <f aca="false">IFERROR(F2699/(F2698+F2699+F2700),0)</f>
        <v>0.280601258675903</v>
      </c>
      <c r="G2702" s="51" t="n">
        <f aca="false">IFERROR(G2699/(G2698+G2699+G2700),0)</f>
        <v>0.280601258675903</v>
      </c>
      <c r="H2702" s="51" t="n">
        <f aca="false">IFERROR(H2699/(H2698+H2699+H2700),0)</f>
        <v>0.280601258675903</v>
      </c>
      <c r="I2702" s="51" t="n">
        <f aca="false">IFERROR(I2699/(I2698+I2699+I2700),0)</f>
        <v>0.281498481563762</v>
      </c>
      <c r="J2702" s="51" t="n">
        <f aca="false">IFERROR(J2699/(J2698+J2699+J2700),0)</f>
        <v>0.281950061454451</v>
      </c>
      <c r="K2702" s="51" t="n">
        <f aca="false">IFERROR(K2699/(K2698+K2699+K2700),0)</f>
        <v>0.281950061454451</v>
      </c>
      <c r="L2702" s="51" t="n">
        <f aca="false">IFERROR(L2699/(L2698+L2699+L2700),0)</f>
        <v>0.281950061454451</v>
      </c>
      <c r="M2702" s="51" t="n">
        <f aca="false">IFERROR(M2699/(M2698+M2699+M2700),0)</f>
        <v>0.281950061454451</v>
      </c>
      <c r="N2702" s="51" t="n">
        <f aca="false">IFERROR(N2699/(N2698+N2699+N2700),0)</f>
        <v>0.281950061454451</v>
      </c>
      <c r="P2702" s="52"/>
      <c r="Q2702" s="52"/>
      <c r="R2702" s="52"/>
      <c r="S2702" s="53"/>
    </row>
    <row r="2703" customFormat="false" ht="15" hidden="false" customHeight="false" outlineLevel="0" collapsed="false">
      <c r="A2703" s="4" t="s">
        <v>514</v>
      </c>
      <c r="B2703" s="36" t="s">
        <v>77</v>
      </c>
      <c r="C2703" s="51" t="n">
        <f aca="false">IFERROR(C2700/(C2698+C2699+C2700),0)</f>
        <v>0.0326242050016079</v>
      </c>
      <c r="D2703" s="51" t="n">
        <f aca="false">IFERROR(D2700/(D2698+D2699+D2700),0)</f>
        <v>0.0326242050016079</v>
      </c>
      <c r="E2703" s="51" t="n">
        <f aca="false">IFERROR(E2700/(E2698+E2699+E2700),0)</f>
        <v>0.0326242050016079</v>
      </c>
      <c r="F2703" s="51" t="n">
        <f aca="false">IFERROR(F2700/(F2698+F2699+F2700),0)</f>
        <v>0.0326242050016079</v>
      </c>
      <c r="G2703" s="51" t="n">
        <f aca="false">IFERROR(G2700/(G2698+G2699+G2700),0)</f>
        <v>0.0326242050016079</v>
      </c>
      <c r="H2703" s="51" t="n">
        <f aca="false">IFERROR(H2700/(H2698+H2699+H2700),0)</f>
        <v>0.0326242050016079</v>
      </c>
      <c r="I2703" s="51" t="n">
        <f aca="false">IFERROR(I2700/(I2698+I2699+I2700),0)</f>
        <v>0.0314130625383994</v>
      </c>
      <c r="J2703" s="51" t="n">
        <f aca="false">IFERROR(J2700/(J2698+J2699+J2700),0)</f>
        <v>0.0308034842624268</v>
      </c>
      <c r="K2703" s="51" t="n">
        <f aca="false">IFERROR(K2700/(K2698+K2699+K2700),0)</f>
        <v>0.0308034842624268</v>
      </c>
      <c r="L2703" s="51" t="n">
        <f aca="false">IFERROR(L2700/(L2698+L2699+L2700),0)</f>
        <v>0.0308034842624268</v>
      </c>
      <c r="M2703" s="51" t="n">
        <f aca="false">IFERROR(M2700/(M2698+M2699+M2700),0)</f>
        <v>0.0308034842624268</v>
      </c>
      <c r="N2703" s="51" t="n">
        <f aca="false">IFERROR(N2700/(N2698+N2699+N2700),0)</f>
        <v>0.0308034842624268</v>
      </c>
      <c r="P2703" s="52"/>
      <c r="Q2703" s="52"/>
      <c r="R2703" s="52"/>
      <c r="S2703" s="53"/>
    </row>
    <row r="2704" customFormat="false" ht="15" hidden="false" customHeight="false" outlineLevel="0" collapsed="false">
      <c r="A2704" s="4" t="s">
        <v>515</v>
      </c>
      <c r="B2704" s="36" t="s">
        <v>516</v>
      </c>
      <c r="C2704" s="48" t="n">
        <f aca="false">IF(C2672-Assumptions!$G$35&lt;1,0,INDEX($C$2697:$N$2697,1,C2672-Assumptions!$G$35)*INDEX($C$2701:$N$2701,1,C2672-Assumptions!$G$35)*Assumptions!$G$32)</f>
        <v>0</v>
      </c>
      <c r="D2704" s="48" t="n">
        <f aca="false">IF(D2672-Assumptions!$G$35&lt;1,0,INDEX($C$2697:$N$2697,1,D2672-Assumptions!$G$35)*INDEX($C$2701:$N$2701,1,D2672-Assumptions!$G$35)*Assumptions!$G$32)</f>
        <v>0.236249574974106</v>
      </c>
      <c r="E2704" s="48" t="n">
        <f aca="false">IF(E2672-Assumptions!$G$35&lt;1,0,INDEX($C$2697:$N$2697,1,E2672-Assumptions!$G$35)*INDEX($C$2701:$N$2701,1,E2672-Assumptions!$G$35)*Assumptions!$G$32)</f>
        <v>0.411971254727877</v>
      </c>
      <c r="F2704" s="48" t="n">
        <f aca="false">IF(F2672-Assumptions!$G$35&lt;1,0,INDEX($C$2697:$N$2697,1,F2672-Assumptions!$G$35)*INDEX($C$2701:$N$2701,1,F2672-Assumptions!$G$35)*Assumptions!$G$32)</f>
        <v>0.425843012787138</v>
      </c>
      <c r="G2704" s="48" t="n">
        <f aca="false">IF(G2672-Assumptions!$G$35&lt;1,0,INDEX($C$2697:$N$2697,1,G2672-Assumptions!$G$35)*INDEX($C$2701:$N$2701,1,G2672-Assumptions!$G$35)*Assumptions!$G$32)</f>
        <v>0.442333192596511</v>
      </c>
      <c r="H2704" s="48" t="n">
        <f aca="false">IF(H2672-Assumptions!$G$35&lt;1,0,INDEX($C$2697:$N$2697,1,H2672-Assumptions!$G$35)*INDEX($C$2701:$N$2701,1,H2672-Assumptions!$G$35)*Assumptions!$G$32)</f>
        <v>0.461127876120034</v>
      </c>
      <c r="I2704" s="48" t="n">
        <f aca="false">IF(I2672-Assumptions!$G$35&lt;1,0,INDEX($C$2697:$N$2697,1,I2672-Assumptions!$G$35)*INDEX($C$2701:$N$2701,1,I2672-Assumptions!$G$35)*Assumptions!$G$32)</f>
        <v>0.446238504521094</v>
      </c>
      <c r="J2704" s="48" t="n">
        <f aca="false">IF(J2672-Assumptions!$G$35&lt;1,0,INDEX($C$2697:$N$2697,1,J2672-Assumptions!$G$35)*INDEX($C$2701:$N$2701,1,J2672-Assumptions!$G$35)*Assumptions!$G$32)</f>
        <v>0.595807589221851</v>
      </c>
      <c r="K2704" s="48" t="n">
        <f aca="false">IF(K2672-Assumptions!$G$35&lt;1,0,INDEX($C$2697:$N$2697,1,K2672-Assumptions!$G$35)*INDEX($C$2701:$N$2701,1,K2672-Assumptions!$G$35)*Assumptions!$G$32)</f>
        <v>0.722448695931774</v>
      </c>
      <c r="L2704" s="48" t="n">
        <f aca="false">IF(L2672-Assumptions!$G$35&lt;1,0,INDEX($C$2697:$N$2697,1,L2672-Assumptions!$G$35)*INDEX($C$2701:$N$2701,1,L2672-Assumptions!$G$35)*Assumptions!$G$32)</f>
        <v>0.690757037502856</v>
      </c>
      <c r="M2704" s="48" t="n">
        <f aca="false">IF(M2672-Assumptions!$G$35&lt;1,0,INDEX($C$2697:$N$2697,1,M2672-Assumptions!$G$35)*INDEX($C$2701:$N$2701,1,M2672-Assumptions!$G$35)*Assumptions!$G$32)</f>
        <v>0.662864836961119</v>
      </c>
      <c r="N2704" s="48" t="n">
        <f aca="false">IF(N2672-Assumptions!$G$35&lt;1,0,INDEX($C$2697:$N$2697,1,N2672-Assumptions!$G$35)*INDEX($C$2701:$N$2701,1,N2672-Assumptions!$G$35)*Assumptions!$G$32)</f>
        <v>0.638316583899341</v>
      </c>
      <c r="P2704" s="49" t="n">
        <f aca="false">SUM(C2704:F2704)</f>
        <v>1.07406384248912</v>
      </c>
      <c r="Q2704" s="49" t="n">
        <f aca="false">SUM(G2704:J2704)</f>
        <v>1.94550716245949</v>
      </c>
      <c r="R2704" s="49" t="n">
        <f aca="false">SUM(K2704:N2704)</f>
        <v>2.71438715429509</v>
      </c>
      <c r="S2704" s="50" t="n">
        <f aca="false">SUM(P2704:R2704)</f>
        <v>5.7339581592437</v>
      </c>
    </row>
    <row r="2705" customFormat="false" ht="15" hidden="false" customHeight="false" outlineLevel="0" collapsed="false">
      <c r="A2705" s="4" t="s">
        <v>517</v>
      </c>
      <c r="B2705" s="36" t="s">
        <v>516</v>
      </c>
      <c r="C2705" s="48" t="n">
        <f aca="false">IF(C2672-Assumptions!$G$35&lt;1,0,INDEX($C$2697:$N$2697,1,C2672-Assumptions!$G$35)*INDEX($C$2702:$N$2702,1,C2672-Assumptions!$G$35)*Assumptions!$G$32)</f>
        <v>0</v>
      </c>
      <c r="D2705" s="48" t="n">
        <f aca="false">IF(D2672-Assumptions!$G$35&lt;1,0,INDEX($C$2697:$N$2697,1,D2672-Assumptions!$G$35)*INDEX($C$2702:$N$2702,1,D2672-Assumptions!$G$35)*Assumptions!$G$32)</f>
        <v>0.0965264793513728</v>
      </c>
      <c r="E2705" s="48" t="n">
        <f aca="false">IF(E2672-Assumptions!$G$35&lt;1,0,INDEX($C$2697:$N$2697,1,E2672-Assumptions!$G$35)*INDEX($C$2702:$N$2702,1,E2672-Assumptions!$G$35)*Assumptions!$G$32)</f>
        <v>0.168322566579043</v>
      </c>
      <c r="F2705" s="48" t="n">
        <f aca="false">IF(F2672-Assumptions!$G$35&lt;1,0,INDEX($C$2697:$N$2697,1,F2672-Assumptions!$G$35)*INDEX($C$2702:$N$2702,1,F2672-Assumptions!$G$35)*Assumptions!$G$32)</f>
        <v>0.173990267644838</v>
      </c>
      <c r="G2705" s="48" t="n">
        <f aca="false">IF(G2672-Assumptions!$G$35&lt;1,0,INDEX($C$2697:$N$2697,1,G2672-Assumptions!$G$35)*INDEX($C$2702:$N$2702,1,G2672-Assumptions!$G$35)*Assumptions!$G$32)</f>
        <v>0.180727799346406</v>
      </c>
      <c r="H2705" s="48" t="n">
        <f aca="false">IF(H2672-Assumptions!$G$35&lt;1,0,INDEX($C$2697:$N$2697,1,H2672-Assumptions!$G$35)*INDEX($C$2702:$N$2702,1,H2672-Assumptions!$G$35)*Assumptions!$G$32)</f>
        <v>0.188406901546898</v>
      </c>
      <c r="I2705" s="48" t="n">
        <f aca="false">IF(I2672-Assumptions!$G$35&lt;1,0,INDEX($C$2697:$N$2697,1,I2672-Assumptions!$G$35)*INDEX($C$2702:$N$2702,1,I2672-Assumptions!$G$35)*Assumptions!$G$32)</f>
        <v>0.182323425543364</v>
      </c>
      <c r="J2705" s="48" t="n">
        <f aca="false">IF(J2672-Assumptions!$G$35&lt;1,0,INDEX($C$2697:$N$2697,1,J2672-Assumptions!$G$35)*INDEX($C$2702:$N$2702,1,J2672-Assumptions!$G$35)*Assumptions!$G$32)</f>
        <v>0.244100930863339</v>
      </c>
      <c r="K2705" s="48" t="n">
        <f aca="false">IF(K2672-Assumptions!$G$35&lt;1,0,INDEX($C$2697:$N$2697,1,K2672-Assumptions!$G$35)*INDEX($C$2702:$N$2702,1,K2672-Assumptions!$G$35)*Assumptions!$G$32)</f>
        <v>0.296392150073918</v>
      </c>
      <c r="L2705" s="48" t="n">
        <f aca="false">IF(L2672-Assumptions!$G$35&lt;1,0,INDEX($C$2697:$N$2697,1,L2672-Assumptions!$G$35)*INDEX($C$2702:$N$2702,1,L2672-Assumptions!$G$35)*Assumptions!$G$32)</f>
        <v>0.283390315017603</v>
      </c>
      <c r="M2705" s="48" t="n">
        <f aca="false">IF(M2672-Assumptions!$G$35&lt;1,0,INDEX($C$2697:$N$2697,1,M2672-Assumptions!$G$35)*INDEX($C$2702:$N$2702,1,M2672-Assumptions!$G$35)*Assumptions!$G$32)</f>
        <v>0.271947247384688</v>
      </c>
      <c r="N2705" s="48" t="n">
        <f aca="false">IF(N2672-Assumptions!$G$35&lt;1,0,INDEX($C$2697:$N$2697,1,N2672-Assumptions!$G$35)*INDEX($C$2702:$N$2702,1,N2672-Assumptions!$G$35)*Assumptions!$G$32)</f>
        <v>0.261876069256039</v>
      </c>
      <c r="P2705" s="49" t="n">
        <f aca="false">SUM(C2705:F2705)</f>
        <v>0.438839313575254</v>
      </c>
      <c r="Q2705" s="49" t="n">
        <f aca="false">SUM(G2705:J2705)</f>
        <v>0.795559057300007</v>
      </c>
      <c r="R2705" s="49" t="n">
        <f aca="false">SUM(K2705:N2705)</f>
        <v>1.11360578173225</v>
      </c>
      <c r="S2705" s="50" t="n">
        <f aca="false">SUM(P2705:R2705)</f>
        <v>2.34800415260751</v>
      </c>
    </row>
    <row r="2706" customFormat="false" ht="15" hidden="false" customHeight="false" outlineLevel="0" collapsed="false">
      <c r="A2706" s="4" t="s">
        <v>518</v>
      </c>
      <c r="B2706" s="36" t="s">
        <v>516</v>
      </c>
      <c r="C2706" s="48" t="n">
        <f aca="false">IF(C2672-Assumptions!$G$36&lt;1,0,INDEX($C$2697:$N$2697,1,C2672-Assumptions!$G$36)*INDEX($C$2703:$N$2703,1,C2672-Assumptions!$G$36)*Assumptions!$G$32)</f>
        <v>0</v>
      </c>
      <c r="D2706" s="48" t="n">
        <f aca="false">IF(D2672-Assumptions!$G$36&lt;1,0,INDEX($C$2697:$N$2697,1,D2672-Assumptions!$G$36)*INDEX($C$2703:$N$2703,1,D2672-Assumptions!$G$36)*Assumptions!$G$32)</f>
        <v>0</v>
      </c>
      <c r="E2706" s="48" t="n">
        <f aca="false">IF(E2672-Assumptions!$G$36&lt;1,0,INDEX($C$2697:$N$2697,1,E2672-Assumptions!$G$36)*INDEX($C$2703:$N$2703,1,E2672-Assumptions!$G$36)*Assumptions!$G$32)</f>
        <v>0.0112226854052708</v>
      </c>
      <c r="F2706" s="48" t="n">
        <f aca="false">IF(F2672-Assumptions!$G$36&lt;1,0,INDEX($C$2697:$N$2697,1,F2672-Assumptions!$G$36)*INDEX($C$2703:$N$2703,1,F2672-Assumptions!$G$36)*Assumptions!$G$32)</f>
        <v>0.0195700829867413</v>
      </c>
      <c r="G2706" s="48" t="n">
        <f aca="false">IF(G2672-Assumptions!$G$36&lt;1,0,INDEX($C$2697:$N$2697,1,G2672-Assumptions!$G$36)*INDEX($C$2703:$N$2703,1,G2672-Assumptions!$G$36)*Assumptions!$G$32)</f>
        <v>0.0202290402641636</v>
      </c>
      <c r="H2706" s="48" t="n">
        <f aca="false">IF(H2672-Assumptions!$G$36&lt;1,0,INDEX($C$2697:$N$2697,1,H2672-Assumptions!$G$36)*INDEX($C$2703:$N$2703,1,H2672-Assumptions!$G$36)*Assumptions!$G$32)</f>
        <v>0.0210123817804277</v>
      </c>
      <c r="I2706" s="48" t="n">
        <f aca="false">IF(I2672-Assumptions!$G$36&lt;1,0,INDEX($C$2697:$N$2697,1,I2672-Assumptions!$G$36)*INDEX($C$2703:$N$2703,1,I2672-Assumptions!$G$36)*Assumptions!$G$32)</f>
        <v>0.0219051953251684</v>
      </c>
      <c r="J2706" s="48" t="n">
        <f aca="false">IF(J2672-Assumptions!$G$36&lt;1,0,INDEX($C$2697:$N$2697,1,J2672-Assumptions!$G$36)*INDEX($C$2703:$N$2703,1,J2672-Assumptions!$G$36)*Assumptions!$G$32)</f>
        <v>0.0211978978269384</v>
      </c>
      <c r="K2706" s="48" t="n">
        <f aca="false">IF(K2672-Assumptions!$G$36&lt;1,0,INDEX($C$2697:$N$2697,1,K2672-Assumptions!$G$36)*INDEX($C$2703:$N$2703,1,K2672-Assumptions!$G$36)*Assumptions!$G$32)</f>
        <v>0.027239783903256</v>
      </c>
      <c r="L2706" s="48" t="n">
        <f aca="false">IF(L2672-Assumptions!$G$36&lt;1,0,INDEX($C$2697:$N$2697,1,L2672-Assumptions!$G$36)*INDEX($C$2703:$N$2703,1,L2672-Assumptions!$G$36)*Assumptions!$G$32)</f>
        <v>0.0323813049843357</v>
      </c>
      <c r="M2706" s="48" t="n">
        <f aca="false">IF(M2672-Assumptions!$G$36&lt;1,0,INDEX($C$2697:$N$2697,1,M2672-Assumptions!$G$36)*INDEX($C$2703:$N$2703,1,M2672-Assumptions!$G$36)*Assumptions!$G$32)</f>
        <v>0.0309608342120512</v>
      </c>
      <c r="N2706" s="48" t="n">
        <f aca="false">IF(N2672-Assumptions!$G$36&lt;1,0,INDEX($C$2697:$N$2697,1,N2672-Assumptions!$G$36)*INDEX($C$2703:$N$2703,1,N2672-Assumptions!$G$36)*Assumptions!$G$32)</f>
        <v>0.0297106612135916</v>
      </c>
      <c r="P2706" s="49" t="n">
        <f aca="false">SUM(C2706:F2706)</f>
        <v>0.0307927683920121</v>
      </c>
      <c r="Q2706" s="49" t="n">
        <f aca="false">SUM(G2706:J2706)</f>
        <v>0.0843445151966981</v>
      </c>
      <c r="R2706" s="49" t="n">
        <f aca="false">SUM(K2706:N2706)</f>
        <v>0.120292584313235</v>
      </c>
      <c r="S2706" s="50" t="n">
        <f aca="false">SUM(P2706:R2706)</f>
        <v>0.235429867901945</v>
      </c>
    </row>
    <row r="2707" customFormat="false" ht="15" hidden="false" customHeight="false" outlineLevel="0" collapsed="false">
      <c r="A2707" s="4" t="s">
        <v>519</v>
      </c>
      <c r="B2707" s="36" t="s">
        <v>77</v>
      </c>
      <c r="C2707" s="51" t="n">
        <f aca="false">IF(C2672-Assumptions!$G$35&lt;1,0,IFERROR(INDEX($C$2696:$N$2696,1,C2672-Assumptions!$G$35)/INDEX($C$2697:$N$2697,1,C2672-Assumptions!$G$35),0))</f>
        <v>0</v>
      </c>
      <c r="D2707" s="51" t="n">
        <f aca="false">IF(D2672-Assumptions!$G$35&lt;1,0,IFERROR(INDEX($C$2696:$N$2696,1,D2672-Assumptions!$G$35)/INDEX($C$2697:$N$2697,1,D2672-Assumptions!$G$35),0))</f>
        <v>0.302326688991365</v>
      </c>
      <c r="E2707" s="51" t="n">
        <f aca="false">IF(E2672-Assumptions!$G$35&lt;1,0,IFERROR(INDEX($C$2696:$N$2696,1,E2672-Assumptions!$G$35)/INDEX($C$2697:$N$2697,1,E2672-Assumptions!$G$35),0))</f>
        <v>0.260058988186145</v>
      </c>
      <c r="F2707" s="51" t="n">
        <f aca="false">IF(F2672-Assumptions!$G$35&lt;1,0,IFERROR(INDEX($C$2696:$N$2696,1,F2672-Assumptions!$G$35)/INDEX($C$2697:$N$2697,1,F2672-Assumptions!$G$35),0))</f>
        <v>0.33545015244029</v>
      </c>
      <c r="G2707" s="51" t="n">
        <f aca="false">IF(G2672-Assumptions!$G$35&lt;1,0,IFERROR(INDEX($C$2696:$N$2696,1,G2672-Assumptions!$G$35)/INDEX($C$2697:$N$2697,1,G2672-Assumptions!$G$35),0))</f>
        <v>0.403680714973447</v>
      </c>
      <c r="H2707" s="51" t="n">
        <f aca="false">IF(H2672-Assumptions!$G$35&lt;1,0,IFERROR(INDEX($C$2696:$N$2696,1,H2672-Assumptions!$G$35)/INDEX($C$2697:$N$2697,1,H2672-Assumptions!$G$35),0))</f>
        <v>0.464672960428096</v>
      </c>
      <c r="I2707" s="51" t="n">
        <f aca="false">IF(I2672-Assumptions!$G$35&lt;1,0,IFERROR(INDEX($C$2696:$N$2696,1,I2672-Assumptions!$G$35)/INDEX($C$2697:$N$2697,1,I2672-Assumptions!$G$35),0))</f>
        <v>0.48017742342198</v>
      </c>
      <c r="J2707" s="51" t="n">
        <f aca="false">IF(J2672-Assumptions!$G$35&lt;1,0,IFERROR(INDEX($C$2696:$N$2696,1,J2672-Assumptions!$G$35)/INDEX($C$2697:$N$2697,1,J2672-Assumptions!$G$35),0))</f>
        <v>0.359800046387633</v>
      </c>
      <c r="K2707" s="51" t="n">
        <f aca="false">IF(K2672-Assumptions!$G$35&lt;1,0,IFERROR(INDEX($C$2696:$N$2696,1,K2672-Assumptions!$G$35)/INDEX($C$2697:$N$2697,1,K2672-Assumptions!$G$35),0))</f>
        <v>0.29679739882399</v>
      </c>
      <c r="L2707" s="51" t="n">
        <f aca="false">IF(L2672-Assumptions!$G$35&lt;1,0,IFERROR(INDEX($C$2696:$N$2696,1,L2672-Assumptions!$G$35)/INDEX($C$2697:$N$2697,1,L2672-Assumptions!$G$35),0))</f>
        <v>0.310414345558437</v>
      </c>
      <c r="M2707" s="51" t="n">
        <f aca="false">IF(M2672-Assumptions!$G$35&lt;1,0,IFERROR(INDEX($C$2696:$N$2696,1,M2672-Assumptions!$G$35)/INDEX($C$2697:$N$2697,1,M2672-Assumptions!$G$35),0))</f>
        <v>0.323476041841862</v>
      </c>
      <c r="N2707" s="51" t="n">
        <f aca="false">IF(N2672-Assumptions!$G$35&lt;1,0,IFERROR(INDEX($C$2696:$N$2696,1,N2672-Assumptions!$G$35)/INDEX($C$2697:$N$2697,1,N2672-Assumptions!$G$35),0))</f>
        <v>0.335916219544982</v>
      </c>
      <c r="P2707" s="52"/>
      <c r="Q2707" s="52"/>
      <c r="R2707" s="52"/>
      <c r="S2707" s="53"/>
    </row>
    <row r="2708" customFormat="false" ht="15" hidden="false" customHeight="false" outlineLevel="0" collapsed="false">
      <c r="A2708" s="4" t="s">
        <v>520</v>
      </c>
      <c r="B2708" s="36" t="s">
        <v>516</v>
      </c>
      <c r="C2708" s="48" t="n">
        <f aca="false">C2704*Assumptions!$G$37</f>
        <v>0</v>
      </c>
      <c r="D2708" s="48" t="n">
        <f aca="false">D2704*Assumptions!$G$37</f>
        <v>0.0708748724922319</v>
      </c>
      <c r="E2708" s="48" t="n">
        <f aca="false">E2704*Assumptions!$G$37</f>
        <v>0.123591376418363</v>
      </c>
      <c r="F2708" s="48" t="n">
        <f aca="false">F2704*Assumptions!$G$37</f>
        <v>0.127752903836141</v>
      </c>
      <c r="G2708" s="48" t="n">
        <f aca="false">G2704*Assumptions!$G$37</f>
        <v>0.132699957778953</v>
      </c>
      <c r="H2708" s="48" t="n">
        <f aca="false">H2704*Assumptions!$G$37</f>
        <v>0.13833836283601</v>
      </c>
      <c r="I2708" s="48" t="n">
        <f aca="false">I2704*Assumptions!$G$37</f>
        <v>0.133871551356328</v>
      </c>
      <c r="J2708" s="48" t="n">
        <f aca="false">J2704*Assumptions!$G$37</f>
        <v>0.178742276766555</v>
      </c>
      <c r="K2708" s="48" t="n">
        <f aca="false">K2704*Assumptions!$G$37</f>
        <v>0.216734608779532</v>
      </c>
      <c r="L2708" s="48" t="n">
        <f aca="false">L2704*Assumptions!$G$37</f>
        <v>0.207227111250857</v>
      </c>
      <c r="M2708" s="48" t="n">
        <f aca="false">M2704*Assumptions!$G$37</f>
        <v>0.198859451088336</v>
      </c>
      <c r="N2708" s="48" t="n">
        <f aca="false">N2704*Assumptions!$G$37</f>
        <v>0.191494975169802</v>
      </c>
      <c r="P2708" s="49" t="n">
        <f aca="false">SUM(C2708:F2708)</f>
        <v>0.322219152746736</v>
      </c>
      <c r="Q2708" s="49" t="n">
        <f aca="false">SUM(G2708:J2708)</f>
        <v>0.583652148737847</v>
      </c>
      <c r="R2708" s="49" t="n">
        <f aca="false">SUM(K2708:N2708)</f>
        <v>0.814316146288527</v>
      </c>
      <c r="S2708" s="50" t="n">
        <f aca="false">SUM(P2708:R2708)</f>
        <v>1.72018744777311</v>
      </c>
    </row>
    <row r="2709" customFormat="false" ht="15" hidden="false" customHeight="false" outlineLevel="0" collapsed="false">
      <c r="A2709" s="4" t="s">
        <v>521</v>
      </c>
      <c r="B2709" s="36" t="s">
        <v>516</v>
      </c>
      <c r="C2709" s="48" t="n">
        <f aca="false">C2704*(1-Assumptions!$G$37)</f>
        <v>0</v>
      </c>
      <c r="D2709" s="48" t="n">
        <f aca="false">D2704*(1-Assumptions!$G$37)</f>
        <v>0.165374702481875</v>
      </c>
      <c r="E2709" s="48" t="n">
        <f aca="false">E2704*(1-Assumptions!$G$37)</f>
        <v>0.288379878309514</v>
      </c>
      <c r="F2709" s="48" t="n">
        <f aca="false">F2704*(1-Assumptions!$G$37)</f>
        <v>0.298090108950996</v>
      </c>
      <c r="G2709" s="48" t="n">
        <f aca="false">G2704*(1-Assumptions!$G$37)</f>
        <v>0.309633234817558</v>
      </c>
      <c r="H2709" s="48" t="n">
        <f aca="false">H2704*(1-Assumptions!$G$37)</f>
        <v>0.322789513284024</v>
      </c>
      <c r="I2709" s="48" t="n">
        <f aca="false">I2704*(1-Assumptions!$G$37)</f>
        <v>0.312366953164766</v>
      </c>
      <c r="J2709" s="48" t="n">
        <f aca="false">J2704*(1-Assumptions!$G$37)</f>
        <v>0.417065312455296</v>
      </c>
      <c r="K2709" s="48" t="n">
        <f aca="false">K2704*(1-Assumptions!$G$37)</f>
        <v>0.505714087152242</v>
      </c>
      <c r="L2709" s="48" t="n">
        <f aca="false">L2704*(1-Assumptions!$G$37)</f>
        <v>0.483529926252</v>
      </c>
      <c r="M2709" s="48" t="n">
        <f aca="false">M2704*(1-Assumptions!$G$37)</f>
        <v>0.464005385872783</v>
      </c>
      <c r="N2709" s="48" t="n">
        <f aca="false">N2704*(1-Assumptions!$G$37)</f>
        <v>0.446821608729539</v>
      </c>
      <c r="P2709" s="49" t="n">
        <f aca="false">SUM(C2709:F2709)</f>
        <v>0.751844689742385</v>
      </c>
      <c r="Q2709" s="49" t="n">
        <f aca="false">SUM(G2709:J2709)</f>
        <v>1.36185501372164</v>
      </c>
      <c r="R2709" s="49" t="n">
        <f aca="false">SUM(K2709:N2709)</f>
        <v>1.90007100800656</v>
      </c>
      <c r="S2709" s="50" t="n">
        <f aca="false">SUM(P2709:R2709)</f>
        <v>4.01377071147059</v>
      </c>
    </row>
    <row r="2710" customFormat="false" ht="15" hidden="false" customHeight="false" outlineLevel="0" collapsed="false">
      <c r="A2710" s="4" t="s">
        <v>522</v>
      </c>
      <c r="B2710" s="36" t="s">
        <v>125</v>
      </c>
      <c r="C2710" s="54" t="n">
        <f aca="false">C2709*$C$2663+C2705*$C$2664+C2706*$C$2665</f>
        <v>0</v>
      </c>
      <c r="D2710" s="54" t="n">
        <f aca="false">D2709*$C$2663+D2705*$C$2664+D2706*$C$2665</f>
        <v>1401.69512517154</v>
      </c>
      <c r="E2710" s="54" t="n">
        <f aca="false">E2709*$C$2663+E2705*$C$2664+E2706*$C$2665</f>
        <v>2941.5486753511</v>
      </c>
      <c r="F2710" s="54" t="n">
        <f aca="false">F2709*$C$2663+F2705*$C$2664+F2706*$C$2665</f>
        <v>3393.72455268342</v>
      </c>
      <c r="G2710" s="54" t="n">
        <f aca="false">G2709*$C$2663+G2705*$C$2664+G2706*$C$2665</f>
        <v>3520.76102895062</v>
      </c>
      <c r="H2710" s="54" t="n">
        <f aca="false">H2709*$C$2663+H2705*$C$2664+H2706*$C$2665</f>
        <v>3666.98184886584</v>
      </c>
      <c r="I2710" s="54" t="n">
        <f aca="false">I2709*$C$2663+I2705*$C$2664+I2706*$C$2665</f>
        <v>3618.20211170412</v>
      </c>
      <c r="J2710" s="54" t="n">
        <f aca="false">J2709*$C$2663+J2705*$C$2664+J2706*$C$2665</f>
        <v>4477.84058695298</v>
      </c>
      <c r="K2710" s="54" t="n">
        <f aca="false">K2709*$C$2663+K2705*$C$2664+K2706*$C$2665</f>
        <v>5499.86740638768</v>
      </c>
      <c r="L2710" s="54" t="n">
        <f aca="false">L2709*$C$2663+L2705*$C$2664+L2706*$C$2665</f>
        <v>5539.37275513083</v>
      </c>
      <c r="M2710" s="54" t="n">
        <f aca="false">M2709*$C$2663+M2705*$C$2664+M2706*$C$2665</f>
        <v>5310.69305712998</v>
      </c>
      <c r="N2710" s="54" t="n">
        <f aca="false">N2709*$C$2663+N2705*$C$2664+N2706*$C$2665</f>
        <v>5109.42937095306</v>
      </c>
      <c r="P2710" s="55" t="n">
        <f aca="false">SUM(C2710:F2710)</f>
        <v>7736.96835320606</v>
      </c>
      <c r="Q2710" s="55" t="n">
        <f aca="false">SUM(G2710:J2710)</f>
        <v>15283.7855764736</v>
      </c>
      <c r="R2710" s="55" t="n">
        <f aca="false">SUM(K2710:N2710)</f>
        <v>21459.3625896015</v>
      </c>
      <c r="S2710" s="56" t="n">
        <f aca="false">SUM(P2710:R2710)</f>
        <v>44480.1165192812</v>
      </c>
    </row>
    <row r="2711" customFormat="false" ht="15" hidden="false" customHeight="false" outlineLevel="0" collapsed="false">
      <c r="A2711" s="4" t="s">
        <v>523</v>
      </c>
      <c r="B2711" s="36" t="s">
        <v>125</v>
      </c>
      <c r="C2711" s="54" t="n">
        <f aca="false">(C2687+Assumptions!$F$104*C2673)*$C$2668</f>
        <v>240625</v>
      </c>
      <c r="D2711" s="54" t="n">
        <f aca="false">(D2687+Assumptions!$F$104*D2673)*$C$2668</f>
        <v>240625</v>
      </c>
      <c r="E2711" s="54" t="n">
        <f aca="false">(E2687+Assumptions!$F$104*E2673)*$C$2668</f>
        <v>240625</v>
      </c>
      <c r="F2711" s="54" t="n">
        <f aca="false">(F2687+Assumptions!$F$104*F2673)*$C$2668</f>
        <v>240625</v>
      </c>
      <c r="G2711" s="54" t="n">
        <f aca="false">(G2687+Assumptions!$F$104*G2673)*$C$2668</f>
        <v>240625</v>
      </c>
      <c r="H2711" s="54" t="n">
        <f aca="false">(H2687+Assumptions!$F$104*H2673)*$C$2668</f>
        <v>240625</v>
      </c>
      <c r="I2711" s="54" t="n">
        <f aca="false">(I2687+Assumptions!$F$104*I2673)*$C$2668</f>
        <v>240625</v>
      </c>
      <c r="J2711" s="54" t="n">
        <f aca="false">(J2687+Assumptions!$F$104*J2673)*$C$2668</f>
        <v>240625</v>
      </c>
      <c r="K2711" s="54" t="n">
        <f aca="false">(K2687+Assumptions!$F$104*K2673)*$C$2668</f>
        <v>240625</v>
      </c>
      <c r="L2711" s="54" t="n">
        <f aca="false">(L2687+Assumptions!$F$104*L2673)*$C$2668</f>
        <v>240625</v>
      </c>
      <c r="M2711" s="54" t="n">
        <f aca="false">(M2687+Assumptions!$F$104*M2673)*$C$2668</f>
        <v>240625</v>
      </c>
      <c r="N2711" s="54" t="n">
        <f aca="false">(N2687+Assumptions!$F$104*N2673)*$C$2668</f>
        <v>240625</v>
      </c>
      <c r="P2711" s="55" t="n">
        <f aca="false">SUM(C2711:F2711)</f>
        <v>962500</v>
      </c>
      <c r="Q2711" s="55" t="n">
        <f aca="false">SUM(G2711:J2711)</f>
        <v>962500</v>
      </c>
      <c r="R2711" s="55" t="n">
        <f aca="false">SUM(K2711:N2711)</f>
        <v>962500</v>
      </c>
      <c r="S2711" s="56" t="n">
        <f aca="false">SUM(P2711:R2711)</f>
        <v>2887500</v>
      </c>
    </row>
    <row r="2712" customFormat="false" ht="15" hidden="false" customHeight="false" outlineLevel="0" collapsed="false">
      <c r="A2712" s="4" t="s">
        <v>524</v>
      </c>
      <c r="B2712" s="36" t="s">
        <v>77</v>
      </c>
      <c r="C2712" s="51" t="n">
        <f aca="false">IF(C2710&gt;0,MIN(1,C2711/C2710),1)</f>
        <v>1</v>
      </c>
      <c r="D2712" s="51" t="n">
        <f aca="false">IF(D2710&gt;0,MIN(1,D2711/D2710),1)</f>
        <v>1</v>
      </c>
      <c r="E2712" s="51" t="n">
        <f aca="false">IF(E2710&gt;0,MIN(1,E2711/E2710),1)</f>
        <v>1</v>
      </c>
      <c r="F2712" s="51" t="n">
        <f aca="false">IF(F2710&gt;0,MIN(1,F2711/F2710),1)</f>
        <v>1</v>
      </c>
      <c r="G2712" s="51" t="n">
        <f aca="false">IF(G2710&gt;0,MIN(1,G2711/G2710),1)</f>
        <v>1</v>
      </c>
      <c r="H2712" s="51" t="n">
        <f aca="false">IF(H2710&gt;0,MIN(1,H2711/H2710),1)</f>
        <v>1</v>
      </c>
      <c r="I2712" s="51" t="n">
        <f aca="false">IF(I2710&gt;0,MIN(1,I2711/I2710),1)</f>
        <v>1</v>
      </c>
      <c r="J2712" s="51" t="n">
        <f aca="false">IF(J2710&gt;0,MIN(1,J2711/J2710),1)</f>
        <v>1</v>
      </c>
      <c r="K2712" s="51" t="n">
        <f aca="false">IF(K2710&gt;0,MIN(1,K2711/K2710),1)</f>
        <v>1</v>
      </c>
      <c r="L2712" s="51" t="n">
        <f aca="false">IF(L2710&gt;0,MIN(1,L2711/L2710),1)</f>
        <v>1</v>
      </c>
      <c r="M2712" s="51" t="n">
        <f aca="false">IF(M2710&gt;0,MIN(1,M2711/M2710),1)</f>
        <v>1</v>
      </c>
      <c r="N2712" s="51" t="n">
        <f aca="false">IF(N2710&gt;0,MIN(1,N2711/N2710),1)</f>
        <v>1</v>
      </c>
      <c r="P2712" s="52"/>
      <c r="Q2712" s="52"/>
      <c r="R2712" s="52"/>
      <c r="S2712" s="53"/>
    </row>
    <row r="2713" customFormat="false" ht="15" hidden="false" customHeight="false" outlineLevel="0" collapsed="false">
      <c r="A2713" s="4" t="s">
        <v>525</v>
      </c>
      <c r="B2713" s="36" t="s">
        <v>125</v>
      </c>
      <c r="C2713" s="54" t="n">
        <f aca="false">C2710*(1-C2712)</f>
        <v>0</v>
      </c>
      <c r="D2713" s="54" t="n">
        <f aca="false">D2710*(1-D2712)</f>
        <v>0</v>
      </c>
      <c r="E2713" s="54" t="n">
        <f aca="false">E2710*(1-E2712)</f>
        <v>0</v>
      </c>
      <c r="F2713" s="54" t="n">
        <f aca="false">F2710*(1-F2712)</f>
        <v>0</v>
      </c>
      <c r="G2713" s="54" t="n">
        <f aca="false">G2710*(1-G2712)</f>
        <v>0</v>
      </c>
      <c r="H2713" s="54" t="n">
        <f aca="false">H2710*(1-H2712)</f>
        <v>0</v>
      </c>
      <c r="I2713" s="54" t="n">
        <f aca="false">I2710*(1-I2712)</f>
        <v>0</v>
      </c>
      <c r="J2713" s="54" t="n">
        <f aca="false">J2710*(1-J2712)</f>
        <v>0</v>
      </c>
      <c r="K2713" s="54" t="n">
        <f aca="false">K2710*(1-K2712)</f>
        <v>0</v>
      </c>
      <c r="L2713" s="54" t="n">
        <f aca="false">L2710*(1-L2712)</f>
        <v>0</v>
      </c>
      <c r="M2713" s="54" t="n">
        <f aca="false">M2710*(1-M2712)</f>
        <v>0</v>
      </c>
      <c r="N2713" s="54" t="n">
        <f aca="false">N2710*(1-N2712)</f>
        <v>0</v>
      </c>
      <c r="P2713" s="55" t="n">
        <f aca="false">SUM(C2713:F2713)</f>
        <v>0</v>
      </c>
      <c r="Q2713" s="55" t="n">
        <f aca="false">SUM(G2713:J2713)</f>
        <v>0</v>
      </c>
      <c r="R2713" s="55" t="n">
        <f aca="false">SUM(K2713:N2713)</f>
        <v>0</v>
      </c>
      <c r="S2713" s="56" t="n">
        <f aca="false">SUM(P2713:R2713)</f>
        <v>0</v>
      </c>
    </row>
    <row r="2714" customFormat="false" ht="15" hidden="false" customHeight="false" outlineLevel="0" collapsed="false">
      <c r="A2714" s="4" t="s">
        <v>526</v>
      </c>
      <c r="B2714" s="36" t="s">
        <v>527</v>
      </c>
      <c r="C2714" s="48" t="n">
        <f aca="false">C2708+C2709*C2712</f>
        <v>0</v>
      </c>
      <c r="D2714" s="48" t="n">
        <f aca="false">D2708+D2709*D2712</f>
        <v>0.236249574974106</v>
      </c>
      <c r="E2714" s="48" t="n">
        <f aca="false">E2708+E2709*E2712</f>
        <v>0.411971254727877</v>
      </c>
      <c r="F2714" s="48" t="n">
        <f aca="false">F2708+F2709*F2712</f>
        <v>0.425843012787138</v>
      </c>
      <c r="G2714" s="48" t="n">
        <f aca="false">G2708+G2709*G2712</f>
        <v>0.442333192596511</v>
      </c>
      <c r="H2714" s="48" t="n">
        <f aca="false">H2708+H2709*H2712</f>
        <v>0.461127876120034</v>
      </c>
      <c r="I2714" s="48" t="n">
        <f aca="false">I2708+I2709*I2712</f>
        <v>0.446238504521094</v>
      </c>
      <c r="J2714" s="48" t="n">
        <f aca="false">J2708+J2709*J2712</f>
        <v>0.595807589221851</v>
      </c>
      <c r="K2714" s="48" t="n">
        <f aca="false">K2708+K2709*K2712</f>
        <v>0.722448695931774</v>
      </c>
      <c r="L2714" s="48" t="n">
        <f aca="false">L2708+L2709*L2712</f>
        <v>0.690757037502856</v>
      </c>
      <c r="M2714" s="48" t="n">
        <f aca="false">M2708+M2709*M2712</f>
        <v>0.662864836961119</v>
      </c>
      <c r="N2714" s="48" t="n">
        <f aca="false">N2708+N2709*N2712</f>
        <v>0.638316583899341</v>
      </c>
      <c r="P2714" s="49" t="n">
        <f aca="false">SUM(C2714:F2714)</f>
        <v>1.07406384248912</v>
      </c>
      <c r="Q2714" s="49" t="n">
        <f aca="false">SUM(G2714:J2714)</f>
        <v>1.94550716245949</v>
      </c>
      <c r="R2714" s="49" t="n">
        <f aca="false">SUM(K2714:N2714)</f>
        <v>2.71438715429509</v>
      </c>
      <c r="S2714" s="50" t="n">
        <f aca="false">SUM(P2714:R2714)</f>
        <v>5.7339581592437</v>
      </c>
    </row>
    <row r="2715" customFormat="false" ht="15" hidden="false" customHeight="false" outlineLevel="0" collapsed="false">
      <c r="A2715" s="4" t="s">
        <v>528</v>
      </c>
      <c r="B2715" s="36" t="s">
        <v>527</v>
      </c>
      <c r="C2715" s="48" t="n">
        <f aca="false">C2705*C2712</f>
        <v>0</v>
      </c>
      <c r="D2715" s="48" t="n">
        <f aca="false">D2705*D2712</f>
        <v>0.0965264793513728</v>
      </c>
      <c r="E2715" s="48" t="n">
        <f aca="false">E2705*E2712</f>
        <v>0.168322566579043</v>
      </c>
      <c r="F2715" s="48" t="n">
        <f aca="false">F2705*F2712</f>
        <v>0.173990267644838</v>
      </c>
      <c r="G2715" s="48" t="n">
        <f aca="false">G2705*G2712</f>
        <v>0.180727799346406</v>
      </c>
      <c r="H2715" s="48" t="n">
        <f aca="false">H2705*H2712</f>
        <v>0.188406901546898</v>
      </c>
      <c r="I2715" s="48" t="n">
        <f aca="false">I2705*I2712</f>
        <v>0.182323425543364</v>
      </c>
      <c r="J2715" s="48" t="n">
        <f aca="false">J2705*J2712</f>
        <v>0.244100930863339</v>
      </c>
      <c r="K2715" s="48" t="n">
        <f aca="false">K2705*K2712</f>
        <v>0.296392150073918</v>
      </c>
      <c r="L2715" s="48" t="n">
        <f aca="false">L2705*L2712</f>
        <v>0.283390315017603</v>
      </c>
      <c r="M2715" s="48" t="n">
        <f aca="false">M2705*M2712</f>
        <v>0.271947247384688</v>
      </c>
      <c r="N2715" s="48" t="n">
        <f aca="false">N2705*N2712</f>
        <v>0.261876069256039</v>
      </c>
      <c r="P2715" s="49" t="n">
        <f aca="false">SUM(C2715:F2715)</f>
        <v>0.438839313575254</v>
      </c>
      <c r="Q2715" s="49" t="n">
        <f aca="false">SUM(G2715:J2715)</f>
        <v>0.795559057300007</v>
      </c>
      <c r="R2715" s="49" t="n">
        <f aca="false">SUM(K2715:N2715)</f>
        <v>1.11360578173225</v>
      </c>
      <c r="S2715" s="50" t="n">
        <f aca="false">SUM(P2715:R2715)</f>
        <v>2.34800415260751</v>
      </c>
    </row>
    <row r="2716" customFormat="false" ht="15" hidden="false" customHeight="false" outlineLevel="0" collapsed="false">
      <c r="A2716" s="4" t="s">
        <v>529</v>
      </c>
      <c r="B2716" s="36" t="s">
        <v>527</v>
      </c>
      <c r="C2716" s="48" t="n">
        <f aca="false">C2706*C2712</f>
        <v>0</v>
      </c>
      <c r="D2716" s="48" t="n">
        <f aca="false">D2706*D2712</f>
        <v>0</v>
      </c>
      <c r="E2716" s="48" t="n">
        <f aca="false">E2706*E2712</f>
        <v>0.0112226854052708</v>
      </c>
      <c r="F2716" s="48" t="n">
        <f aca="false">F2706*F2712</f>
        <v>0.0195700829867413</v>
      </c>
      <c r="G2716" s="48" t="n">
        <f aca="false">G2706*G2712</f>
        <v>0.0202290402641636</v>
      </c>
      <c r="H2716" s="48" t="n">
        <f aca="false">H2706*H2712</f>
        <v>0.0210123817804277</v>
      </c>
      <c r="I2716" s="48" t="n">
        <f aca="false">I2706*I2712</f>
        <v>0.0219051953251684</v>
      </c>
      <c r="J2716" s="48" t="n">
        <f aca="false">J2706*J2712</f>
        <v>0.0211978978269384</v>
      </c>
      <c r="K2716" s="48" t="n">
        <f aca="false">K2706*K2712</f>
        <v>0.027239783903256</v>
      </c>
      <c r="L2716" s="48" t="n">
        <f aca="false">L2706*L2712</f>
        <v>0.0323813049843357</v>
      </c>
      <c r="M2716" s="48" t="n">
        <f aca="false">M2706*M2712</f>
        <v>0.0309608342120512</v>
      </c>
      <c r="N2716" s="48" t="n">
        <f aca="false">N2706*N2712</f>
        <v>0.0297106612135916</v>
      </c>
      <c r="P2716" s="49" t="n">
        <f aca="false">SUM(C2716:F2716)</f>
        <v>0.0307927683920121</v>
      </c>
      <c r="Q2716" s="49" t="n">
        <f aca="false">SUM(G2716:J2716)</f>
        <v>0.0843445151966981</v>
      </c>
      <c r="R2716" s="49" t="n">
        <f aca="false">SUM(K2716:N2716)</f>
        <v>0.120292584313235</v>
      </c>
      <c r="S2716" s="50" t="n">
        <f aca="false">SUM(P2716:R2716)</f>
        <v>0.235429867901945</v>
      </c>
    </row>
    <row r="2717" customFormat="false" ht="15" hidden="false" customHeight="false" outlineLevel="0" collapsed="false">
      <c r="A2717" s="9" t="s">
        <v>530</v>
      </c>
      <c r="B2717" s="36" t="s">
        <v>527</v>
      </c>
      <c r="C2717" s="49" t="n">
        <f aca="false">C2714+C2715+C2716</f>
        <v>0</v>
      </c>
      <c r="D2717" s="49" t="n">
        <f aca="false">D2714+D2715+D2716</f>
        <v>0.332776054325479</v>
      </c>
      <c r="E2717" s="49" t="n">
        <f aca="false">E2714+E2715+E2716</f>
        <v>0.591516506712191</v>
      </c>
      <c r="F2717" s="49" t="n">
        <f aca="false">F2714+F2715+F2716</f>
        <v>0.619403363418717</v>
      </c>
      <c r="G2717" s="49" t="n">
        <f aca="false">G2714+G2715+G2716</f>
        <v>0.643290032207081</v>
      </c>
      <c r="H2717" s="49" t="n">
        <f aca="false">H2714+H2715+H2716</f>
        <v>0.670547159447359</v>
      </c>
      <c r="I2717" s="49" t="n">
        <f aca="false">I2714+I2715+I2716</f>
        <v>0.650467125389627</v>
      </c>
      <c r="J2717" s="49" t="n">
        <f aca="false">J2714+J2715+J2716</f>
        <v>0.861106417912129</v>
      </c>
      <c r="K2717" s="49" t="n">
        <f aca="false">K2714+K2715+K2716</f>
        <v>1.04608062990895</v>
      </c>
      <c r="L2717" s="49" t="n">
        <f aca="false">L2714+L2715+L2716</f>
        <v>1.0065286575048</v>
      </c>
      <c r="M2717" s="49" t="n">
        <f aca="false">M2714+M2715+M2716</f>
        <v>0.965772918557859</v>
      </c>
      <c r="N2717" s="49" t="n">
        <f aca="false">N2714+N2715+N2716</f>
        <v>0.929903314368972</v>
      </c>
      <c r="P2717" s="49" t="n">
        <f aca="false">SUM(C2717:F2717)</f>
        <v>1.54369592445639</v>
      </c>
      <c r="Q2717" s="49" t="n">
        <f aca="false">SUM(G2717:J2717)</f>
        <v>2.8254107349562</v>
      </c>
      <c r="R2717" s="49" t="n">
        <f aca="false">SUM(K2717:N2717)</f>
        <v>3.94828552034057</v>
      </c>
      <c r="S2717" s="50" t="n">
        <f aca="false">SUM(P2717:R2717)</f>
        <v>8.31739217975316</v>
      </c>
    </row>
    <row r="2718" customFormat="false" ht="15" hidden="false" customHeight="false" outlineLevel="0" collapsed="false">
      <c r="A2718" s="35" t="s">
        <v>533</v>
      </c>
      <c r="B2718" s="35" t="s">
        <v>444</v>
      </c>
      <c r="C2718" s="6" t="s">
        <v>354</v>
      </c>
      <c r="D2718" s="6" t="s">
        <v>355</v>
      </c>
      <c r="E2718" s="6" t="s">
        <v>356</v>
      </c>
      <c r="F2718" s="6" t="s">
        <v>357</v>
      </c>
      <c r="G2718" s="6" t="s">
        <v>358</v>
      </c>
      <c r="H2718" s="6" t="s">
        <v>359</v>
      </c>
      <c r="I2718" s="6" t="s">
        <v>360</v>
      </c>
      <c r="J2718" s="6" t="s">
        <v>361</v>
      </c>
      <c r="K2718" s="6" t="s">
        <v>362</v>
      </c>
      <c r="L2718" s="6" t="s">
        <v>363</v>
      </c>
      <c r="M2718" s="6" t="s">
        <v>364</v>
      </c>
      <c r="N2718" s="6" t="s">
        <v>365</v>
      </c>
      <c r="P2718" s="6" t="s">
        <v>445</v>
      </c>
      <c r="Q2718" s="6" t="s">
        <v>446</v>
      </c>
      <c r="R2718" s="6" t="s">
        <v>447</v>
      </c>
      <c r="S2718" s="6" t="s">
        <v>448</v>
      </c>
    </row>
    <row r="2719" customFormat="false" ht="15" hidden="false" customHeight="false" outlineLevel="0" collapsed="false">
      <c r="A2719" s="4" t="s">
        <v>534</v>
      </c>
      <c r="B2719" s="36" t="s">
        <v>527</v>
      </c>
      <c r="C2719" s="48" t="n">
        <f aca="false">0*Assumptions!$G$59^(1/4)+C2714</f>
        <v>0</v>
      </c>
      <c r="D2719" s="48" t="n">
        <f aca="false">C2719*Assumptions!$G$59^(1/4)+D2714</f>
        <v>0.236249574974106</v>
      </c>
      <c r="E2719" s="48" t="n">
        <f aca="false">D2719*Assumptions!$G$59^(1/4)+E2714</f>
        <v>0.638814455871303</v>
      </c>
      <c r="F2719" s="48" t="n">
        <f aca="false">E2719*Assumptions!$G$59^(1/4)+F2714</f>
        <v>1.03922280880338</v>
      </c>
      <c r="G2719" s="48" t="n">
        <f aca="false">F2719*Assumptions!$G$59^(1/4)+G2714</f>
        <v>1.44017891856686</v>
      </c>
      <c r="H2719" s="48" t="n">
        <f aca="false">G2719*Assumptions!$G$59^(1/4)+H2714</f>
        <v>1.84396547971272</v>
      </c>
      <c r="I2719" s="48" t="n">
        <f aca="false">H2719*Assumptions!$G$59^(1/4)+I2714</f>
        <v>2.21678574153455</v>
      </c>
      <c r="J2719" s="48" t="n">
        <f aca="false">I2719*Assumptions!$G$59^(1/4)+J2714</f>
        <v>2.72433109625426</v>
      </c>
      <c r="K2719" s="48" t="n">
        <f aca="false">J2719*Assumptions!$G$59^(1/4)+K2714</f>
        <v>3.33830943098973</v>
      </c>
      <c r="L2719" s="48" t="n">
        <f aca="false">K2719*Assumptions!$G$59^(1/4)+L2714</f>
        <v>3.89615030780186</v>
      </c>
      <c r="M2719" s="48" t="n">
        <f aca="false">L2719*Assumptions!$G$59^(1/4)+M2714</f>
        <v>4.40388832051485</v>
      </c>
      <c r="N2719" s="48" t="n">
        <f aca="false">M2719*Assumptions!$G$59^(1/4)+N2714</f>
        <v>4.86686228271479</v>
      </c>
      <c r="P2719" s="49" t="n">
        <f aca="false">F2719</f>
        <v>1.03922280880338</v>
      </c>
      <c r="Q2719" s="49" t="n">
        <f aca="false">J2719</f>
        <v>2.72433109625426</v>
      </c>
      <c r="R2719" s="49" t="n">
        <f aca="false">N2719</f>
        <v>4.86686228271479</v>
      </c>
      <c r="S2719" s="50" t="n">
        <f aca="false">R2719</f>
        <v>4.86686228271479</v>
      </c>
    </row>
    <row r="2720" customFormat="false" ht="15" hidden="false" customHeight="false" outlineLevel="0" collapsed="false">
      <c r="A2720" s="4" t="s">
        <v>535</v>
      </c>
      <c r="B2720" s="36" t="s">
        <v>527</v>
      </c>
      <c r="C2720" s="48" t="n">
        <f aca="false">0*Assumptions!$G$60^(1/4)+C2715</f>
        <v>0</v>
      </c>
      <c r="D2720" s="48" t="n">
        <f aca="false">C2720*Assumptions!$G$60^(1/4)+D2715</f>
        <v>0.0965264793513728</v>
      </c>
      <c r="E2720" s="48" t="n">
        <f aca="false">D2720*Assumptions!$G$60^(1/4)+E2715</f>
        <v>0.261277207830377</v>
      </c>
      <c r="F2720" s="48" t="n">
        <f aca="false">E2720*Assumptions!$G$60^(1/4)+F2715</f>
        <v>0.425599248768189</v>
      </c>
      <c r="G2720" s="48" t="n">
        <f aca="false">F2720*Assumptions!$G$60^(1/4)+G2715</f>
        <v>0.590578295831149</v>
      </c>
      <c r="H2720" s="48" t="n">
        <f aca="false">G2720*Assumptions!$G$60^(1/4)+H2715</f>
        <v>0.757131607852352</v>
      </c>
      <c r="I2720" s="48" t="n">
        <f aca="false">H2720*Assumptions!$G$60^(1/4)+I2715</f>
        <v>0.911438352979703</v>
      </c>
      <c r="J2720" s="48" t="n">
        <f aca="false">I2720*Assumptions!$G$60^(1/4)+J2715</f>
        <v>1.12181268097837</v>
      </c>
      <c r="K2720" s="48" t="n">
        <f aca="false">J2720*Assumptions!$G$60^(1/4)+K2715</f>
        <v>1.3766935970163</v>
      </c>
      <c r="L2720" s="48" t="n">
        <f aca="false">K2720*Assumptions!$G$60^(1/4)+L2715</f>
        <v>1.60914113783407</v>
      </c>
      <c r="M2720" s="48" t="n">
        <f aca="false">L2720*Assumptions!$G$60^(1/4)+M2715</f>
        <v>1.82154418902434</v>
      </c>
      <c r="N2720" s="48" t="n">
        <f aca="false">M2720*Assumptions!$G$60^(1/4)+N2715</f>
        <v>2.01601636062473</v>
      </c>
      <c r="P2720" s="49" t="n">
        <f aca="false">F2720</f>
        <v>0.425599248768189</v>
      </c>
      <c r="Q2720" s="49" t="n">
        <f aca="false">J2720</f>
        <v>1.12181268097837</v>
      </c>
      <c r="R2720" s="49" t="n">
        <f aca="false">N2720</f>
        <v>2.01601636062473</v>
      </c>
      <c r="S2720" s="50" t="n">
        <f aca="false">R2720</f>
        <v>2.01601636062473</v>
      </c>
    </row>
    <row r="2721" customFormat="false" ht="15" hidden="false" customHeight="false" outlineLevel="0" collapsed="false">
      <c r="A2721" s="4" t="s">
        <v>536</v>
      </c>
      <c r="B2721" s="36" t="s">
        <v>527</v>
      </c>
      <c r="C2721" s="48" t="n">
        <f aca="false">0*Assumptions!$G$61^(1/4)+C2716</f>
        <v>0</v>
      </c>
      <c r="D2721" s="48" t="n">
        <f aca="false">C2721*Assumptions!$G$61^(1/4)+D2716</f>
        <v>0</v>
      </c>
      <c r="E2721" s="48" t="n">
        <f aca="false">D2721*Assumptions!$G$61^(1/4)+E2716</f>
        <v>0.0112226854052708</v>
      </c>
      <c r="F2721" s="48" t="n">
        <f aca="false">E2721*Assumptions!$G$61^(1/4)+F2716</f>
        <v>0.0304397804612387</v>
      </c>
      <c r="G2721" s="48" t="n">
        <f aca="false">F2721*Assumptions!$G$61^(1/4)+G2716</f>
        <v>0.0497113961224493</v>
      </c>
      <c r="H2721" s="48" t="n">
        <f aca="false">G2721*Assumptions!$G$61^(1/4)+H2716</f>
        <v>0.0691602017872283</v>
      </c>
      <c r="I2721" s="48" t="n">
        <f aca="false">H2721*Assumptions!$G$61^(1/4)+I2716</f>
        <v>0.0888900963141334</v>
      </c>
      <c r="J2721" s="48" t="n">
        <f aca="false">I2721*Assumptions!$G$61^(1/4)+J2716</f>
        <v>0.107292127552008</v>
      </c>
      <c r="K2721" s="48" t="n">
        <f aca="false">J2721*Assumptions!$G$61^(1/4)+K2716</f>
        <v>0.13115724445488</v>
      </c>
      <c r="L2721" s="48" t="n">
        <f aca="false">K2721*Assumptions!$G$61^(1/4)+L2716</f>
        <v>0.159413251201387</v>
      </c>
      <c r="M2721" s="48" t="n">
        <f aca="false">L2721*Assumptions!$G$61^(1/4)+M2716</f>
        <v>0.185360048964283</v>
      </c>
      <c r="N2721" s="48" t="n">
        <f aca="false">M2721*Assumptions!$G$61^(1/4)+N2716</f>
        <v>0.209240567233546</v>
      </c>
      <c r="P2721" s="49" t="n">
        <f aca="false">F2721</f>
        <v>0.0304397804612387</v>
      </c>
      <c r="Q2721" s="49" t="n">
        <f aca="false">J2721</f>
        <v>0.107292127552008</v>
      </c>
      <c r="R2721" s="49" t="n">
        <f aca="false">N2721</f>
        <v>0.209240567233546</v>
      </c>
      <c r="S2721" s="50" t="n">
        <f aca="false">R2721</f>
        <v>0.209240567233546</v>
      </c>
    </row>
    <row r="2722" customFormat="false" ht="15" hidden="false" customHeight="false" outlineLevel="0" collapsed="false">
      <c r="A2722" s="9" t="s">
        <v>537</v>
      </c>
      <c r="B2722" s="36" t="s">
        <v>527</v>
      </c>
      <c r="C2722" s="49" t="n">
        <f aca="false">C2719+C2720+C2721</f>
        <v>0</v>
      </c>
      <c r="D2722" s="49" t="n">
        <f aca="false">D2719+D2720+D2721</f>
        <v>0.332776054325479</v>
      </c>
      <c r="E2722" s="49" t="n">
        <f aca="false">E2719+E2720+E2721</f>
        <v>0.911314349106951</v>
      </c>
      <c r="F2722" s="49" t="n">
        <f aca="false">F2719+F2720+F2721</f>
        <v>1.49526183803281</v>
      </c>
      <c r="G2722" s="49" t="n">
        <f aca="false">G2719+G2720+G2721</f>
        <v>2.08046861052046</v>
      </c>
      <c r="H2722" s="49" t="n">
        <f aca="false">H2719+H2720+H2721</f>
        <v>2.6702572893523</v>
      </c>
      <c r="I2722" s="49" t="n">
        <f aca="false">I2719+I2720+I2721</f>
        <v>3.21711419082838</v>
      </c>
      <c r="J2722" s="49" t="n">
        <f aca="false">J2719+J2720+J2721</f>
        <v>3.95343590478463</v>
      </c>
      <c r="K2722" s="49" t="n">
        <f aca="false">K2719+K2720+K2721</f>
        <v>4.84616027246091</v>
      </c>
      <c r="L2722" s="49" t="n">
        <f aca="false">L2719+L2720+L2721</f>
        <v>5.66470469683732</v>
      </c>
      <c r="M2722" s="49" t="n">
        <f aca="false">M2719+M2720+M2721</f>
        <v>6.41079255850347</v>
      </c>
      <c r="N2722" s="49" t="n">
        <f aca="false">N2719+N2720+N2721</f>
        <v>7.09211921057306</v>
      </c>
      <c r="P2722" s="49" t="n">
        <f aca="false">F2722</f>
        <v>1.49526183803281</v>
      </c>
      <c r="Q2722" s="49" t="n">
        <f aca="false">J2722</f>
        <v>3.95343590478463</v>
      </c>
      <c r="R2722" s="49" t="n">
        <f aca="false">N2722</f>
        <v>7.09211921057306</v>
      </c>
      <c r="S2722" s="50" t="n">
        <f aca="false">R2722</f>
        <v>7.09211921057306</v>
      </c>
    </row>
    <row r="2723" customFormat="false" ht="15" hidden="false" customHeight="false" outlineLevel="0" collapsed="false">
      <c r="A2723" s="4" t="s">
        <v>538</v>
      </c>
      <c r="B2723" s="36" t="s">
        <v>125</v>
      </c>
      <c r="C2723" s="54" t="n">
        <f aca="false">0*Assumptions!$G$62^(1/4)+C2714*$C$2663</f>
        <v>0</v>
      </c>
      <c r="D2723" s="54" t="n">
        <f aca="false">C2723*Assumptions!$G$62^(1/4)+D2714*$C$2663</f>
        <v>1264.40772526142</v>
      </c>
      <c r="E2723" s="54" t="n">
        <f aca="false">D2723*Assumptions!$G$62^(1/4)+E2714*$C$2663</f>
        <v>3443.19360606835</v>
      </c>
      <c r="F2723" s="54" t="n">
        <f aca="false">E2723*Assumptions!$G$62^(1/4)+F2714*$C$2663</f>
        <v>5651.2735705602</v>
      </c>
      <c r="G2723" s="54" t="n">
        <f aca="false">F2723*Assumptions!$G$62^(1/4)+G2714*$C$2663</f>
        <v>7902.05708558217</v>
      </c>
      <c r="H2723" s="54" t="n">
        <f aca="false">G2723*Assumptions!$G$62^(1/4)+H2714*$C$2663</f>
        <v>10206.9968961953</v>
      </c>
      <c r="I2723" s="54" t="n">
        <f aca="false">H2723*Assumptions!$G$62^(1/4)+I2714*$C$2663</f>
        <v>12384.6987145746</v>
      </c>
      <c r="J2723" s="54" t="n">
        <f aca="false">I2723*Assumptions!$G$62^(1/4)+J2714*$C$2663</f>
        <v>15317.9690726403</v>
      </c>
      <c r="K2723" s="54" t="n">
        <f aca="false">J2723*Assumptions!$G$62^(1/4)+K2714*$C$2663</f>
        <v>18868.5103262255</v>
      </c>
      <c r="L2723" s="54" t="n">
        <f aca="false">K2723*Assumptions!$G$62^(1/4)+L2714*$C$2663</f>
        <v>22176.1914407745</v>
      </c>
      <c r="M2723" s="54" t="n">
        <f aca="false">L2723*Assumptions!$G$62^(1/4)+M2714*$C$2663</f>
        <v>25266.3572318138</v>
      </c>
      <c r="N2723" s="54" t="n">
        <f aca="false">M2723*Assumptions!$G$62^(1/4)+N2714*$C$2663</f>
        <v>28161.391768784</v>
      </c>
      <c r="P2723" s="55" t="n">
        <f aca="false">F2723</f>
        <v>5651.2735705602</v>
      </c>
      <c r="Q2723" s="55" t="n">
        <f aca="false">J2723</f>
        <v>15317.9690726403</v>
      </c>
      <c r="R2723" s="55" t="n">
        <f aca="false">N2723</f>
        <v>28161.391768784</v>
      </c>
      <c r="S2723" s="56" t="n">
        <f aca="false">R2723</f>
        <v>28161.391768784</v>
      </c>
    </row>
    <row r="2724" customFormat="false" ht="15" hidden="false" customHeight="false" outlineLevel="0" collapsed="false">
      <c r="A2724" s="4" t="s">
        <v>539</v>
      </c>
      <c r="B2724" s="36" t="s">
        <v>125</v>
      </c>
      <c r="C2724" s="54" t="n">
        <f aca="false">0*Assumptions!$G$63^(1/4)+C2715*$C$2664</f>
        <v>0</v>
      </c>
      <c r="D2724" s="54" t="n">
        <f aca="false">C2724*Assumptions!$G$63^(1/4)+D2715*$C$2664</f>
        <v>516.609717488547</v>
      </c>
      <c r="E2724" s="54" t="n">
        <f aca="false">D2724*Assumptions!$G$63^(1/4)+E2715*$C$2664</f>
        <v>1414.86944319589</v>
      </c>
      <c r="F2724" s="54" t="n">
        <f aca="false">E2724*Assumptions!$G$63^(1/4)+F2715*$C$2664</f>
        <v>2338.93732316453</v>
      </c>
      <c r="G2724" s="54" t="n">
        <f aca="false">F2724*Assumptions!$G$63^(1/4)+G2715*$C$2664</f>
        <v>3294.40907093135</v>
      </c>
      <c r="H2724" s="54" t="n">
        <f aca="false">G2724*Assumptions!$G$63^(1/4)+H2715*$C$2664</f>
        <v>4286.16576089158</v>
      </c>
      <c r="I2724" s="54" t="n">
        <f aca="false">H2724*Assumptions!$G$63^(1/4)+I2715*$C$2664</f>
        <v>5240.3672730047</v>
      </c>
      <c r="J2724" s="54" t="n">
        <f aca="false">I2724*Assumptions!$G$63^(1/4)+J2715*$C$2664</f>
        <v>6520.39478018229</v>
      </c>
      <c r="K2724" s="54" t="n">
        <f aca="false">J2724*Assumptions!$G$63^(1/4)+K2715*$C$2664</f>
        <v>8073.83618617794</v>
      </c>
      <c r="L2724" s="54" t="n">
        <f aca="false">K2724*Assumptions!$G$63^(1/4)+L2715*$C$2664</f>
        <v>9549.86562075151</v>
      </c>
      <c r="M2724" s="54" t="n">
        <f aca="false">L2724*Assumptions!$G$63^(1/4)+M2715*$C$2664</f>
        <v>10957.2156042996</v>
      </c>
      <c r="N2724" s="54" t="n">
        <f aca="false">M2724*Assumptions!$G$63^(1/4)+N2715*$C$2664</f>
        <v>12303.5744926503</v>
      </c>
      <c r="P2724" s="55" t="n">
        <f aca="false">F2724</f>
        <v>2338.93732316453</v>
      </c>
      <c r="Q2724" s="55" t="n">
        <f aca="false">J2724</f>
        <v>6520.39478018229</v>
      </c>
      <c r="R2724" s="55" t="n">
        <f aca="false">N2724</f>
        <v>12303.5744926503</v>
      </c>
      <c r="S2724" s="56" t="n">
        <f aca="false">R2724</f>
        <v>12303.5744926503</v>
      </c>
    </row>
    <row r="2725" customFormat="false" ht="15" hidden="false" customHeight="false" outlineLevel="0" collapsed="false">
      <c r="A2725" s="4" t="s">
        <v>540</v>
      </c>
      <c r="B2725" s="36" t="s">
        <v>125</v>
      </c>
      <c r="C2725" s="54" t="n">
        <f aca="false">0*Assumptions!$G$64^(1/4)+C2716*$C$2665</f>
        <v>0</v>
      </c>
      <c r="D2725" s="54" t="n">
        <f aca="false">C2725*Assumptions!$G$64^(1/4)+D2716*$C$2665</f>
        <v>0</v>
      </c>
      <c r="E2725" s="54" t="n">
        <f aca="false">D2725*Assumptions!$G$64^(1/4)+E2716*$C$2665</f>
        <v>497.277190307548</v>
      </c>
      <c r="F2725" s="54" t="n">
        <f aca="false">E2725*Assumptions!$G$64^(1/4)+F2716*$C$2665</f>
        <v>1370.53026970572</v>
      </c>
      <c r="G2725" s="54" t="n">
        <f aca="false">F2725*Assumptions!$G$64^(1/4)+G2716*$C$2665</f>
        <v>2283.69851257274</v>
      </c>
      <c r="H2725" s="54" t="n">
        <f aca="false">G2725*Assumptions!$G$64^(1/4)+H2716*$C$2665</f>
        <v>3242.78323277503</v>
      </c>
      <c r="I2725" s="54" t="n">
        <f aca="false">H2725*Assumptions!$G$64^(1/4)+I2716*$C$2665</f>
        <v>4253.19863366841</v>
      </c>
      <c r="J2725" s="54" t="n">
        <f aca="false">I2725*Assumptions!$G$64^(1/4)+J2716*$C$2665</f>
        <v>5244.6737370857</v>
      </c>
      <c r="K2725" s="54" t="n">
        <f aca="false">J2725*Assumptions!$G$64^(1/4)+K2716*$C$2665</f>
        <v>6516.03242744432</v>
      </c>
      <c r="L2725" s="54" t="n">
        <f aca="false">K2725*Assumptions!$G$64^(1/4)+L2716*$C$2665</f>
        <v>8030.81432879705</v>
      </c>
      <c r="M2725" s="54" t="n">
        <f aca="false">L2725*Assumptions!$G$64^(1/4)+M2716*$C$2665</f>
        <v>9501.24492883213</v>
      </c>
      <c r="N2725" s="54" t="n">
        <f aca="false">M2725*Assumptions!$G$64^(1/4)+N2716*$C$2665</f>
        <v>10934.3258323407</v>
      </c>
      <c r="P2725" s="55" t="n">
        <f aca="false">F2725</f>
        <v>1370.53026970572</v>
      </c>
      <c r="Q2725" s="55" t="n">
        <f aca="false">J2725</f>
        <v>5244.6737370857</v>
      </c>
      <c r="R2725" s="55" t="n">
        <f aca="false">N2725</f>
        <v>10934.3258323407</v>
      </c>
      <c r="S2725" s="56" t="n">
        <f aca="false">R2725</f>
        <v>10934.3258323407</v>
      </c>
    </row>
    <row r="2726" customFormat="false" ht="15" hidden="false" customHeight="false" outlineLevel="0" collapsed="false">
      <c r="A2726" s="9" t="s">
        <v>541</v>
      </c>
      <c r="B2726" s="36" t="s">
        <v>125</v>
      </c>
      <c r="C2726" s="55" t="n">
        <f aca="false">C2723+C2724+C2725</f>
        <v>0</v>
      </c>
      <c r="D2726" s="55" t="n">
        <f aca="false">D2723+D2724+D2725</f>
        <v>1781.01744274997</v>
      </c>
      <c r="E2726" s="55" t="n">
        <f aca="false">E2723+E2724+E2725</f>
        <v>5355.34023957178</v>
      </c>
      <c r="F2726" s="55" t="n">
        <f aca="false">F2723+F2724+F2725</f>
        <v>9360.74116343046</v>
      </c>
      <c r="G2726" s="55" t="n">
        <f aca="false">G2723+G2724+G2725</f>
        <v>13480.1646690863</v>
      </c>
      <c r="H2726" s="55" t="n">
        <f aca="false">H2723+H2724+H2725</f>
        <v>17735.9458898619</v>
      </c>
      <c r="I2726" s="55" t="n">
        <f aca="false">I2723+I2724+I2725</f>
        <v>21878.2646212477</v>
      </c>
      <c r="J2726" s="55" t="n">
        <f aca="false">J2723+J2724+J2725</f>
        <v>27083.0375899083</v>
      </c>
      <c r="K2726" s="55" t="n">
        <f aca="false">K2723+K2724+K2725</f>
        <v>33458.3789398477</v>
      </c>
      <c r="L2726" s="55" t="n">
        <f aca="false">L2723+L2724+L2725</f>
        <v>39756.871390323</v>
      </c>
      <c r="M2726" s="55" t="n">
        <f aca="false">M2723+M2724+M2725</f>
        <v>45724.8177649455</v>
      </c>
      <c r="N2726" s="55" t="n">
        <f aca="false">N2723+N2724+N2725</f>
        <v>51399.2920937751</v>
      </c>
      <c r="P2726" s="55" t="n">
        <f aca="false">F2726</f>
        <v>9360.74116343046</v>
      </c>
      <c r="Q2726" s="55" t="n">
        <f aca="false">J2726</f>
        <v>27083.0375899083</v>
      </c>
      <c r="R2726" s="55" t="n">
        <f aca="false">N2726</f>
        <v>51399.2920937751</v>
      </c>
      <c r="S2726" s="56" t="n">
        <f aca="false">R2726</f>
        <v>51399.2920937751</v>
      </c>
    </row>
    <row r="2727" customFormat="false" ht="15" hidden="false" customHeight="false" outlineLevel="0" collapsed="false">
      <c r="A2727" s="4" t="s">
        <v>542</v>
      </c>
      <c r="B2727" s="36" t="s">
        <v>125</v>
      </c>
      <c r="C2727" s="54" t="n">
        <f aca="false">C2714*$C$2663+C2715*$C$2664+C2716*$C$2665</f>
        <v>0</v>
      </c>
      <c r="D2727" s="54" t="n">
        <f aca="false">D2714*$C$2663+D2715*$C$2664+D2716*$C$2665</f>
        <v>1781.01744274997</v>
      </c>
      <c r="E2727" s="54" t="n">
        <f aca="false">E2714*$C$2663+E2715*$C$2664+E2716*$C$2665</f>
        <v>3603.00972194218</v>
      </c>
      <c r="F2727" s="54" t="n">
        <f aca="false">F2714*$C$2663+F2715*$C$2664+F2716*$C$2665</f>
        <v>4077.45809401444</v>
      </c>
      <c r="G2727" s="54" t="n">
        <f aca="false">G2714*$C$2663+G2715*$C$2664+G2716*$C$2665</f>
        <v>4230.97120298358</v>
      </c>
      <c r="H2727" s="54" t="n">
        <f aca="false">H2714*$C$2663+H2715*$C$2664+H2716*$C$2665</f>
        <v>4407.36876676417</v>
      </c>
      <c r="I2727" s="54" t="n">
        <f aca="false">I2714*$C$2663+I2715*$C$2664+I2716*$C$2665</f>
        <v>4334.68265456319</v>
      </c>
      <c r="J2727" s="54" t="n">
        <f aca="false">J2714*$C$2663+J2715*$C$2664+J2716*$C$2665</f>
        <v>5434.46925220758</v>
      </c>
      <c r="K2727" s="54" t="n">
        <f aca="false">K2714*$C$2663+K2715*$C$2664+K2716*$C$2665</f>
        <v>6659.83103257574</v>
      </c>
      <c r="L2727" s="54" t="n">
        <f aca="false">L2714*$C$2663+L2715*$C$2664+L2716*$C$2665</f>
        <v>6648.45225454542</v>
      </c>
      <c r="M2727" s="54" t="n">
        <f aca="false">M2714*$C$2663+M2715*$C$2664+M2716*$C$2665</f>
        <v>6374.98883935475</v>
      </c>
      <c r="N2727" s="54" t="n">
        <f aca="false">N2714*$C$2663+N2715*$C$2664+N2716*$C$2665</f>
        <v>6134.31047806184</v>
      </c>
      <c r="P2727" s="55" t="n">
        <f aca="false">SUM(C2727:F2727)</f>
        <v>9461.48525870659</v>
      </c>
      <c r="Q2727" s="55" t="n">
        <f aca="false">SUM(G2727:J2727)</f>
        <v>18407.4918765185</v>
      </c>
      <c r="R2727" s="55" t="n">
        <f aca="false">SUM(K2727:N2727)</f>
        <v>25817.5826045377</v>
      </c>
      <c r="S2727" s="56" t="n">
        <f aca="false">SUM(P2727:R2727)</f>
        <v>53686.5597397629</v>
      </c>
    </row>
    <row r="2728" customFormat="false" ht="15" hidden="false" customHeight="false" outlineLevel="0" collapsed="false">
      <c r="A2728" s="9" t="s">
        <v>543</v>
      </c>
      <c r="B2728" s="36" t="s">
        <v>125</v>
      </c>
      <c r="C2728" s="55" t="n">
        <f aca="false">(0+C2726)/8</f>
        <v>0</v>
      </c>
      <c r="D2728" s="55" t="n">
        <f aca="false">(C2726+D2726)/8</f>
        <v>222.627180343746</v>
      </c>
      <c r="E2728" s="55" t="n">
        <f aca="false">(D2726+E2726)/8</f>
        <v>892.044710290218</v>
      </c>
      <c r="F2728" s="55" t="n">
        <f aca="false">(E2726+F2726)/8</f>
        <v>1839.51017537528</v>
      </c>
      <c r="G2728" s="55" t="n">
        <f aca="false">(F2726+G2726)/8</f>
        <v>2855.11322906459</v>
      </c>
      <c r="H2728" s="55" t="n">
        <f aca="false">(G2726+H2726)/8</f>
        <v>3902.01381986852</v>
      </c>
      <c r="I2728" s="55" t="n">
        <f aca="false">(H2726+I2726)/8</f>
        <v>4951.77631388869</v>
      </c>
      <c r="J2728" s="55" t="n">
        <f aca="false">(I2726+J2726)/8</f>
        <v>6120.1627763945</v>
      </c>
      <c r="K2728" s="55" t="n">
        <f aca="false">(J2726+K2726)/8</f>
        <v>7567.6770662195</v>
      </c>
      <c r="L2728" s="55" t="n">
        <f aca="false">(K2726+L2726)/8</f>
        <v>9151.90629127135</v>
      </c>
      <c r="M2728" s="55" t="n">
        <f aca="false">(L2726+M2726)/8</f>
        <v>10685.2111444086</v>
      </c>
      <c r="N2728" s="55" t="n">
        <f aca="false">(M2726+N2726)/8</f>
        <v>12140.5137323401</v>
      </c>
      <c r="P2728" s="55" t="n">
        <f aca="false">SUM(C2728:F2728)</f>
        <v>2954.18206600924</v>
      </c>
      <c r="Q2728" s="55" t="n">
        <f aca="false">SUM(G2728:J2728)</f>
        <v>17829.0661392163</v>
      </c>
      <c r="R2728" s="55" t="n">
        <f aca="false">SUM(K2728:N2728)</f>
        <v>39545.3082342395</v>
      </c>
      <c r="S2728" s="56" t="n">
        <f aca="false">SUM(P2728:R2728)</f>
        <v>60328.556439465</v>
      </c>
    </row>
    <row r="2729" customFormat="false" ht="15" hidden="false" customHeight="false" outlineLevel="0" collapsed="false">
      <c r="A2729" s="4" t="s">
        <v>544</v>
      </c>
      <c r="B2729" s="36" t="s">
        <v>125</v>
      </c>
      <c r="C2729" s="54" t="n">
        <f aca="false">C2728*Assumptions!$G$76</f>
        <v>0</v>
      </c>
      <c r="D2729" s="54" t="n">
        <f aca="false">D2728*Assumptions!$G$76</f>
        <v>122.44494918906</v>
      </c>
      <c r="E2729" s="54" t="n">
        <f aca="false">E2728*Assumptions!$G$76</f>
        <v>490.62459065962</v>
      </c>
      <c r="F2729" s="54" t="n">
        <f aca="false">F2728*Assumptions!$G$76</f>
        <v>1011.7305964564</v>
      </c>
      <c r="G2729" s="54" t="n">
        <f aca="false">G2728*Assumptions!$G$76</f>
        <v>1570.31227598552</v>
      </c>
      <c r="H2729" s="54" t="n">
        <f aca="false">H2728*Assumptions!$G$76</f>
        <v>2146.10760092768</v>
      </c>
      <c r="I2729" s="54" t="n">
        <f aca="false">I2728*Assumptions!$G$76</f>
        <v>2723.47697263878</v>
      </c>
      <c r="J2729" s="54" t="n">
        <f aca="false">J2728*Assumptions!$G$76</f>
        <v>3366.08952701697</v>
      </c>
      <c r="K2729" s="54" t="n">
        <f aca="false">K2728*Assumptions!$G$76</f>
        <v>4162.22238642073</v>
      </c>
      <c r="L2729" s="54" t="n">
        <f aca="false">L2728*Assumptions!$G$76</f>
        <v>5033.54846019924</v>
      </c>
      <c r="M2729" s="54" t="n">
        <f aca="false">M2728*Assumptions!$G$76</f>
        <v>5876.86612942471</v>
      </c>
      <c r="N2729" s="54" t="n">
        <f aca="false">N2728*Assumptions!$G$76</f>
        <v>6677.28255278704</v>
      </c>
      <c r="P2729" s="55" t="n">
        <f aca="false">SUM(C2729:F2729)</f>
        <v>1624.80013630508</v>
      </c>
      <c r="Q2729" s="55" t="n">
        <f aca="false">SUM(G2729:J2729)</f>
        <v>9805.98637656896</v>
      </c>
      <c r="R2729" s="55" t="n">
        <f aca="false">SUM(K2729:N2729)</f>
        <v>21749.9195288317</v>
      </c>
      <c r="S2729" s="56" t="n">
        <f aca="false">SUM(P2729:R2729)</f>
        <v>33180.7060417058</v>
      </c>
    </row>
    <row r="2730" customFormat="false" ht="15" hidden="false" customHeight="false" outlineLevel="0" collapsed="false">
      <c r="A2730" s="35" t="s">
        <v>547</v>
      </c>
      <c r="B2730" s="35" t="s">
        <v>444</v>
      </c>
      <c r="C2730" s="6" t="s">
        <v>354</v>
      </c>
      <c r="D2730" s="6" t="s">
        <v>355</v>
      </c>
      <c r="E2730" s="6" t="s">
        <v>356</v>
      </c>
      <c r="F2730" s="6" t="s">
        <v>357</v>
      </c>
      <c r="G2730" s="6" t="s">
        <v>358</v>
      </c>
      <c r="H2730" s="6" t="s">
        <v>359</v>
      </c>
      <c r="I2730" s="6" t="s">
        <v>360</v>
      </c>
      <c r="J2730" s="6" t="s">
        <v>361</v>
      </c>
      <c r="K2730" s="6" t="s">
        <v>362</v>
      </c>
      <c r="L2730" s="6" t="s">
        <v>363</v>
      </c>
      <c r="M2730" s="6" t="s">
        <v>364</v>
      </c>
      <c r="N2730" s="6" t="s">
        <v>365</v>
      </c>
      <c r="P2730" s="6" t="s">
        <v>445</v>
      </c>
      <c r="Q2730" s="6" t="s">
        <v>446</v>
      </c>
      <c r="R2730" s="6" t="s">
        <v>447</v>
      </c>
      <c r="S2730" s="6" t="s">
        <v>448</v>
      </c>
    </row>
    <row r="2731" customFormat="false" ht="15" hidden="false" customHeight="false" outlineLevel="0" collapsed="false">
      <c r="A2731" s="4" t="s">
        <v>548</v>
      </c>
      <c r="B2731" s="36" t="s">
        <v>321</v>
      </c>
      <c r="C2731" s="48" t="n">
        <f aca="false">Assumptions!$F$97*C2673</f>
        <v>0</v>
      </c>
      <c r="D2731" s="48" t="n">
        <f aca="false">Assumptions!$F$97*D2673</f>
        <v>0</v>
      </c>
      <c r="E2731" s="48" t="n">
        <f aca="false">Assumptions!$F$97*E2673</f>
        <v>0</v>
      </c>
      <c r="F2731" s="48" t="n">
        <f aca="false">Assumptions!$F$97*F2673</f>
        <v>0</v>
      </c>
      <c r="G2731" s="48" t="n">
        <f aca="false">Assumptions!$F$97*G2673</f>
        <v>0</v>
      </c>
      <c r="H2731" s="48" t="n">
        <f aca="false">Assumptions!$F$97*H2673</f>
        <v>0</v>
      </c>
      <c r="I2731" s="48" t="n">
        <f aca="false">Assumptions!$F$97*I2673</f>
        <v>0</v>
      </c>
      <c r="J2731" s="48" t="n">
        <f aca="false">Assumptions!$F$97*J2673</f>
        <v>0</v>
      </c>
      <c r="K2731" s="48" t="n">
        <f aca="false">Assumptions!$F$97*K2673</f>
        <v>0</v>
      </c>
      <c r="L2731" s="48" t="n">
        <f aca="false">Assumptions!$F$97*L2673</f>
        <v>0</v>
      </c>
      <c r="M2731" s="48" t="n">
        <f aca="false">Assumptions!$F$97*M2673</f>
        <v>0</v>
      </c>
      <c r="N2731" s="48" t="n">
        <f aca="false">Assumptions!$F$97*N2673</f>
        <v>0</v>
      </c>
      <c r="P2731" s="49" t="n">
        <f aca="false">AVERAGE(C2731:F2731)</f>
        <v>0</v>
      </c>
      <c r="Q2731" s="49" t="n">
        <f aca="false">AVERAGE(G2731:J2731)</f>
        <v>0</v>
      </c>
      <c r="R2731" s="49" t="n">
        <f aca="false">AVERAGE(K2731:N2731)</f>
        <v>0</v>
      </c>
      <c r="S2731" s="50"/>
    </row>
    <row r="2732" customFormat="false" ht="15" hidden="false" customHeight="false" outlineLevel="0" collapsed="false">
      <c r="A2732" s="4" t="s">
        <v>549</v>
      </c>
      <c r="B2732" s="36" t="s">
        <v>321</v>
      </c>
      <c r="C2732" s="48" t="n">
        <f aca="false">C2686*C2673</f>
        <v>0</v>
      </c>
      <c r="D2732" s="48" t="n">
        <f aca="false">D2686*D2673</f>
        <v>0</v>
      </c>
      <c r="E2732" s="48" t="n">
        <f aca="false">E2686*E2673</f>
        <v>0</v>
      </c>
      <c r="F2732" s="48" t="n">
        <f aca="false">F2686*F2673</f>
        <v>0</v>
      </c>
      <c r="G2732" s="48" t="n">
        <f aca="false">G2686*G2673</f>
        <v>0</v>
      </c>
      <c r="H2732" s="48" t="n">
        <f aca="false">H2686*H2673</f>
        <v>0</v>
      </c>
      <c r="I2732" s="48" t="n">
        <f aca="false">I2686*I2673</f>
        <v>0</v>
      </c>
      <c r="J2732" s="48" t="n">
        <f aca="false">J2686*J2673</f>
        <v>0</v>
      </c>
      <c r="K2732" s="48" t="n">
        <f aca="false">K2686*K2673</f>
        <v>0</v>
      </c>
      <c r="L2732" s="48" t="n">
        <f aca="false">L2686*L2673</f>
        <v>0</v>
      </c>
      <c r="M2732" s="48" t="n">
        <f aca="false">M2686*M2673</f>
        <v>0</v>
      </c>
      <c r="N2732" s="48" t="n">
        <f aca="false">N2686*N2673</f>
        <v>0</v>
      </c>
      <c r="P2732" s="49" t="n">
        <f aca="false">AVERAGE(C2732:F2732)</f>
        <v>0</v>
      </c>
      <c r="Q2732" s="49" t="n">
        <f aca="false">AVERAGE(G2732:J2732)</f>
        <v>0</v>
      </c>
      <c r="R2732" s="49" t="n">
        <f aca="false">AVERAGE(K2732:N2732)</f>
        <v>0</v>
      </c>
      <c r="S2732" s="50"/>
    </row>
    <row r="2733" customFormat="false" ht="15" hidden="false" customHeight="false" outlineLevel="0" collapsed="false">
      <c r="A2733" s="4" t="s">
        <v>550</v>
      </c>
      <c r="B2733" s="36" t="s">
        <v>321</v>
      </c>
      <c r="C2733" s="48" t="n">
        <f aca="false">IF(C2672&lt;=4,Assumptions!$F$98,Assumptions!$F$99)*C2673</f>
        <v>0</v>
      </c>
      <c r="D2733" s="48" t="n">
        <f aca="false">IF(D2672&lt;=4,Assumptions!$F$98,Assumptions!$F$99)*D2673</f>
        <v>0</v>
      </c>
      <c r="E2733" s="48" t="n">
        <f aca="false">IF(E2672&lt;=4,Assumptions!$F$98,Assumptions!$F$99)*E2673</f>
        <v>0</v>
      </c>
      <c r="F2733" s="48" t="n">
        <f aca="false">IF(F2672&lt;=4,Assumptions!$F$98,Assumptions!$F$99)*F2673</f>
        <v>0</v>
      </c>
      <c r="G2733" s="48" t="n">
        <f aca="false">IF(G2672&lt;=4,Assumptions!$F$98,Assumptions!$F$99)*G2673</f>
        <v>0</v>
      </c>
      <c r="H2733" s="48" t="n">
        <f aca="false">IF(H2672&lt;=4,Assumptions!$F$98,Assumptions!$F$99)*H2673</f>
        <v>0</v>
      </c>
      <c r="I2733" s="48" t="n">
        <f aca="false">IF(I2672&lt;=4,Assumptions!$F$98,Assumptions!$F$99)*I2673</f>
        <v>0</v>
      </c>
      <c r="J2733" s="48" t="n">
        <f aca="false">IF(J2672&lt;=4,Assumptions!$F$98,Assumptions!$F$99)*J2673</f>
        <v>0</v>
      </c>
      <c r="K2733" s="48" t="n">
        <f aca="false">IF(K2672&lt;=4,Assumptions!$F$98,Assumptions!$F$99)*K2673</f>
        <v>0</v>
      </c>
      <c r="L2733" s="48" t="n">
        <f aca="false">IF(L2672&lt;=4,Assumptions!$F$98,Assumptions!$F$99)*L2673</f>
        <v>0</v>
      </c>
      <c r="M2733" s="48" t="n">
        <f aca="false">IF(M2672&lt;=4,Assumptions!$F$98,Assumptions!$F$99)*M2673</f>
        <v>0</v>
      </c>
      <c r="N2733" s="48" t="n">
        <f aca="false">IF(N2672&lt;=4,Assumptions!$F$98,Assumptions!$F$99)*N2673</f>
        <v>0</v>
      </c>
      <c r="P2733" s="49" t="n">
        <f aca="false">AVERAGE(C2733:F2733)</f>
        <v>0</v>
      </c>
      <c r="Q2733" s="49" t="n">
        <f aca="false">AVERAGE(G2733:J2733)</f>
        <v>0</v>
      </c>
      <c r="R2733" s="49" t="n">
        <f aca="false">AVERAGE(K2733:N2733)</f>
        <v>0</v>
      </c>
      <c r="S2733" s="50"/>
    </row>
    <row r="2734" customFormat="false" ht="15" hidden="false" customHeight="false" outlineLevel="0" collapsed="false">
      <c r="A2734" s="4" t="s">
        <v>551</v>
      </c>
      <c r="B2734" s="36" t="s">
        <v>321</v>
      </c>
      <c r="C2734" s="48" t="n">
        <f aca="false">IF(C2672&lt;=4,Assumptions!$F$100,Assumptions!$F$101)*C2673</f>
        <v>0.5</v>
      </c>
      <c r="D2734" s="48" t="n">
        <f aca="false">IF(D2672&lt;=4,Assumptions!$F$100,Assumptions!$F$101)*D2673</f>
        <v>0.5</v>
      </c>
      <c r="E2734" s="48" t="n">
        <f aca="false">IF(E2672&lt;=4,Assumptions!$F$100,Assumptions!$F$101)*E2673</f>
        <v>0.5</v>
      </c>
      <c r="F2734" s="48" t="n">
        <f aca="false">IF(F2672&lt;=4,Assumptions!$F$100,Assumptions!$F$101)*F2673</f>
        <v>0.5</v>
      </c>
      <c r="G2734" s="48" t="n">
        <f aca="false">IF(G2672&lt;=4,Assumptions!$F$100,Assumptions!$F$101)*G2673</f>
        <v>0.25</v>
      </c>
      <c r="H2734" s="48" t="n">
        <f aca="false">IF(H2672&lt;=4,Assumptions!$F$100,Assumptions!$F$101)*H2673</f>
        <v>0.25</v>
      </c>
      <c r="I2734" s="48" t="n">
        <f aca="false">IF(I2672&lt;=4,Assumptions!$F$100,Assumptions!$F$101)*I2673</f>
        <v>0.25</v>
      </c>
      <c r="J2734" s="48" t="n">
        <f aca="false">IF(J2672&lt;=4,Assumptions!$F$100,Assumptions!$F$101)*J2673</f>
        <v>0.25</v>
      </c>
      <c r="K2734" s="48" t="n">
        <f aca="false">IF(K2672&lt;=4,Assumptions!$F$100,Assumptions!$F$101)*K2673</f>
        <v>0.25</v>
      </c>
      <c r="L2734" s="48" t="n">
        <f aca="false">IF(L2672&lt;=4,Assumptions!$F$100,Assumptions!$F$101)*L2673</f>
        <v>0.25</v>
      </c>
      <c r="M2734" s="48" t="n">
        <f aca="false">IF(M2672&lt;=4,Assumptions!$F$100,Assumptions!$F$101)*M2673</f>
        <v>0.25</v>
      </c>
      <c r="N2734" s="48" t="n">
        <f aca="false">IF(N2672&lt;=4,Assumptions!$F$100,Assumptions!$F$101)*N2673</f>
        <v>0.25</v>
      </c>
      <c r="P2734" s="49" t="n">
        <f aca="false">AVERAGE(C2734:F2734)</f>
        <v>0.5</v>
      </c>
      <c r="Q2734" s="49" t="n">
        <f aca="false">AVERAGE(G2734:J2734)</f>
        <v>0.25</v>
      </c>
      <c r="R2734" s="49" t="n">
        <f aca="false">AVERAGE(K2734:N2734)</f>
        <v>0.25</v>
      </c>
      <c r="S2734" s="50"/>
    </row>
    <row r="2735" customFormat="false" ht="15" hidden="false" customHeight="false" outlineLevel="0" collapsed="false">
      <c r="A2735" s="4" t="s">
        <v>552</v>
      </c>
      <c r="B2735" s="36" t="s">
        <v>321</v>
      </c>
      <c r="C2735" s="48" t="n">
        <f aca="false">Assumptions!$F$102*C2673</f>
        <v>0.1</v>
      </c>
      <c r="D2735" s="48" t="n">
        <f aca="false">Assumptions!$F$102*D2673</f>
        <v>0.1</v>
      </c>
      <c r="E2735" s="48" t="n">
        <f aca="false">Assumptions!$F$102*E2673</f>
        <v>0.1</v>
      </c>
      <c r="F2735" s="48" t="n">
        <f aca="false">Assumptions!$F$102*F2673</f>
        <v>0.1</v>
      </c>
      <c r="G2735" s="48" t="n">
        <f aca="false">Assumptions!$F$102*G2673</f>
        <v>0.1</v>
      </c>
      <c r="H2735" s="48" t="n">
        <f aca="false">Assumptions!$F$102*H2673</f>
        <v>0.1</v>
      </c>
      <c r="I2735" s="48" t="n">
        <f aca="false">Assumptions!$F$102*I2673</f>
        <v>0.1</v>
      </c>
      <c r="J2735" s="48" t="n">
        <f aca="false">Assumptions!$F$102*J2673</f>
        <v>0.1</v>
      </c>
      <c r="K2735" s="48" t="n">
        <f aca="false">Assumptions!$F$102*K2673</f>
        <v>0.1</v>
      </c>
      <c r="L2735" s="48" t="n">
        <f aca="false">Assumptions!$F$102*L2673</f>
        <v>0.1</v>
      </c>
      <c r="M2735" s="48" t="n">
        <f aca="false">Assumptions!$F$102*M2673</f>
        <v>0.1</v>
      </c>
      <c r="N2735" s="48" t="n">
        <f aca="false">Assumptions!$F$102*N2673</f>
        <v>0.1</v>
      </c>
      <c r="P2735" s="49" t="n">
        <f aca="false">AVERAGE(C2735:F2735)</f>
        <v>0.1</v>
      </c>
      <c r="Q2735" s="49" t="n">
        <f aca="false">AVERAGE(G2735:J2735)</f>
        <v>0.1</v>
      </c>
      <c r="R2735" s="49" t="n">
        <f aca="false">AVERAGE(K2735:N2735)</f>
        <v>0.1</v>
      </c>
      <c r="S2735" s="50"/>
    </row>
    <row r="2736" customFormat="false" ht="15" hidden="false" customHeight="false" outlineLevel="0" collapsed="false">
      <c r="A2736" s="4" t="s">
        <v>553</v>
      </c>
      <c r="B2736" s="36" t="s">
        <v>321</v>
      </c>
      <c r="C2736" s="48" t="n">
        <f aca="false">(C2720+C2721)/Assumptions!$G$74+C2719/Assumptions!$G$75</f>
        <v>0</v>
      </c>
      <c r="D2736" s="48" t="n">
        <f aca="false">(D2720+D2721)/Assumptions!$G$74+D2719/Assumptions!$G$75</f>
        <v>0.00335816028368075</v>
      </c>
      <c r="E2736" s="48" t="n">
        <f aca="false">(E2720+E2721)/Assumptions!$G$74+E2719/Assumptions!$G$75</f>
        <v>0.00936775515437641</v>
      </c>
      <c r="F2736" s="48" t="n">
        <f aca="false">(F2720+F2721)/Assumptions!$G$74+F2719/Assumptions!$G$75</f>
        <v>0.0155578669659492</v>
      </c>
      <c r="G2736" s="48" t="n">
        <f aca="false">(G2720+G2721)/Assumptions!$G$74+G2719/Assumptions!$G$75</f>
        <v>0.0217679579731074</v>
      </c>
      <c r="H2736" s="48" t="n">
        <f aca="false">(H2720+H2721)/Assumptions!$G$74+H2719/Assumptions!$G$75</f>
        <v>0.0280331571598404</v>
      </c>
      <c r="I2736" s="48" t="n">
        <f aca="false">(I2720+I2721)/Assumptions!$G$74+I2719/Assumptions!$G$75</f>
        <v>0.0338753541984841</v>
      </c>
      <c r="J2736" s="48" t="n">
        <f aca="false">(J2720+J2721)/Assumptions!$G$74+J2719/Assumptions!$G$75</f>
        <v>0.0416249445982764</v>
      </c>
      <c r="K2736" s="48" t="n">
        <f aca="false">(K2720+K2721)/Assumptions!$G$74+K2719/Assumptions!$G$75</f>
        <v>0.0510495087607384</v>
      </c>
      <c r="L2736" s="48" t="n">
        <f aca="false">(L2720+L2721)/Assumptions!$G$74+L2719/Assumptions!$G$75</f>
        <v>0.0597984609570939</v>
      </c>
      <c r="M2736" s="48" t="n">
        <f aca="false">(M2720+M2721)/Assumptions!$G$74+M2719/Assumptions!$G$75</f>
        <v>0.067788159231775</v>
      </c>
      <c r="N2736" s="48" t="n">
        <f aca="false">(N2720+N2721)/Assumptions!$G$74+N2719/Assumptions!$G$75</f>
        <v>0.075098872327316</v>
      </c>
      <c r="P2736" s="49" t="n">
        <f aca="false">AVERAGE(C2736:F2736)</f>
        <v>0.0070709456010016</v>
      </c>
      <c r="Q2736" s="49" t="n">
        <f aca="false">AVERAGE(G2736:J2736)</f>
        <v>0.0313253534824271</v>
      </c>
      <c r="R2736" s="49" t="n">
        <f aca="false">AVERAGE(K2736:N2736)</f>
        <v>0.0634337503192308</v>
      </c>
      <c r="S2736" s="50"/>
    </row>
    <row r="2737" customFormat="false" ht="15" hidden="false" customHeight="false" outlineLevel="0" collapsed="false">
      <c r="A2737" s="4" t="s">
        <v>554</v>
      </c>
      <c r="B2737" s="36" t="s">
        <v>125</v>
      </c>
      <c r="C2737" s="54" t="n">
        <f aca="false">(C2731+C2733)*Assumptions!$G$70/Assumptions!$G$69/4</f>
        <v>0</v>
      </c>
      <c r="D2737" s="54" t="n">
        <f aca="false">(D2731+D2733)*Assumptions!$G$70/Assumptions!$G$69/4</f>
        <v>0</v>
      </c>
      <c r="E2737" s="54" t="n">
        <f aca="false">(E2731+E2733)*Assumptions!$G$70/Assumptions!$G$69/4</f>
        <v>0</v>
      </c>
      <c r="F2737" s="54" t="n">
        <f aca="false">(F2731+F2733)*Assumptions!$G$70/Assumptions!$G$69/4</f>
        <v>0</v>
      </c>
      <c r="G2737" s="54" t="n">
        <f aca="false">(G2731+G2733)*Assumptions!$G$70/Assumptions!$G$69/4</f>
        <v>0</v>
      </c>
      <c r="H2737" s="54" t="n">
        <f aca="false">(H2731+H2733)*Assumptions!$G$70/Assumptions!$G$69/4</f>
        <v>0</v>
      </c>
      <c r="I2737" s="54" t="n">
        <f aca="false">(I2731+I2733)*Assumptions!$G$70/Assumptions!$G$69/4</f>
        <v>0</v>
      </c>
      <c r="J2737" s="54" t="n">
        <f aca="false">(J2731+J2733)*Assumptions!$G$70/Assumptions!$G$69/4</f>
        <v>0</v>
      </c>
      <c r="K2737" s="54" t="n">
        <f aca="false">(K2731+K2733)*Assumptions!$G$70/Assumptions!$G$69/4</f>
        <v>0</v>
      </c>
      <c r="L2737" s="54" t="n">
        <f aca="false">(L2731+L2733)*Assumptions!$G$70/Assumptions!$G$69/4</f>
        <v>0</v>
      </c>
      <c r="M2737" s="54" t="n">
        <f aca="false">(M2731+M2733)*Assumptions!$G$70/Assumptions!$G$69/4</f>
        <v>0</v>
      </c>
      <c r="N2737" s="54" t="n">
        <f aca="false">(N2731+N2733)*Assumptions!$G$70/Assumptions!$G$69/4</f>
        <v>0</v>
      </c>
      <c r="P2737" s="55" t="n">
        <f aca="false">SUM(C2737:F2737)</f>
        <v>0</v>
      </c>
      <c r="Q2737" s="55" t="n">
        <f aca="false">SUM(G2737:J2737)</f>
        <v>0</v>
      </c>
      <c r="R2737" s="55" t="n">
        <f aca="false">SUM(K2737:N2737)</f>
        <v>0</v>
      </c>
      <c r="S2737" s="56" t="n">
        <f aca="false">SUM(P2737:R2737)</f>
        <v>0</v>
      </c>
    </row>
    <row r="2738" customFormat="false" ht="15" hidden="false" customHeight="false" outlineLevel="0" collapsed="false">
      <c r="A2738" s="4" t="s">
        <v>555</v>
      </c>
      <c r="B2738" s="36" t="s">
        <v>125</v>
      </c>
      <c r="C2738" s="54" t="n">
        <f aca="false">C2732*$C$2667/4</f>
        <v>0</v>
      </c>
      <c r="D2738" s="54" t="n">
        <f aca="false">D2732*$C$2667/4</f>
        <v>0</v>
      </c>
      <c r="E2738" s="54" t="n">
        <f aca="false">E2732*$C$2667/4</f>
        <v>0</v>
      </c>
      <c r="F2738" s="54" t="n">
        <f aca="false">F2732*$C$2667/4</f>
        <v>0</v>
      </c>
      <c r="G2738" s="54" t="n">
        <f aca="false">G2732*$C$2667/4</f>
        <v>0</v>
      </c>
      <c r="H2738" s="54" t="n">
        <f aca="false">H2732*$C$2667/4</f>
        <v>0</v>
      </c>
      <c r="I2738" s="54" t="n">
        <f aca="false">I2732*$C$2667/4</f>
        <v>0</v>
      </c>
      <c r="J2738" s="54" t="n">
        <f aca="false">J2732*$C$2667/4</f>
        <v>0</v>
      </c>
      <c r="K2738" s="54" t="n">
        <f aca="false">K2732*$C$2667/4</f>
        <v>0</v>
      </c>
      <c r="L2738" s="54" t="n">
        <f aca="false">L2732*$C$2667/4</f>
        <v>0</v>
      </c>
      <c r="M2738" s="54" t="n">
        <f aca="false">M2732*$C$2667/4</f>
        <v>0</v>
      </c>
      <c r="N2738" s="54" t="n">
        <f aca="false">N2732*$C$2667/4</f>
        <v>0</v>
      </c>
      <c r="P2738" s="55" t="n">
        <f aca="false">SUM(C2738:F2738)</f>
        <v>0</v>
      </c>
      <c r="Q2738" s="55" t="n">
        <f aca="false">SUM(G2738:J2738)</f>
        <v>0</v>
      </c>
      <c r="R2738" s="55" t="n">
        <f aca="false">SUM(K2738:N2738)</f>
        <v>0</v>
      </c>
      <c r="S2738" s="56" t="n">
        <f aca="false">SUM(P2738:R2738)</f>
        <v>0</v>
      </c>
    </row>
    <row r="2739" customFormat="false" ht="15" hidden="false" customHeight="false" outlineLevel="0" collapsed="false">
      <c r="A2739" s="4" t="s">
        <v>556</v>
      </c>
      <c r="B2739" s="36" t="s">
        <v>125</v>
      </c>
      <c r="C2739" s="54" t="n">
        <f aca="false">MAX(0,(C2727-C2708*$C$2663)-C2687*$C$2668)*$C$2669*Assumptions!$F$105</f>
        <v>0</v>
      </c>
      <c r="D2739" s="54" t="n">
        <f aca="false">MAX(0,(D2727-D2708*$C$2663)-D2687*$C$2668)*$C$2669*Assumptions!$F$105</f>
        <v>832.175213459912</v>
      </c>
      <c r="E2739" s="54" t="n">
        <f aca="false">MAX(0,(E2727-E2708*$C$2663)-E2687*$C$2668)*$C$2669*Assumptions!$F$105</f>
        <v>1746.37398165557</v>
      </c>
      <c r="F2739" s="54" t="n">
        <f aca="false">MAX(0,(F2727-F2708*$C$2663)-F2687*$C$2668)*$C$2669*Assumptions!$F$105</f>
        <v>2014.82719268774</v>
      </c>
      <c r="G2739" s="54" t="n">
        <f aca="false">MAX(0,(G2727-G2708*$C$2663)-G2687*$C$2668)*$C$2669*Assumptions!$F$105</f>
        <v>2090.24773518404</v>
      </c>
      <c r="H2739" s="54" t="n">
        <f aca="false">MAX(0,(H2727-H2708*$C$2663)-H2687*$C$2668)*$C$2669*Assumptions!$F$105</f>
        <v>2177.05786945653</v>
      </c>
      <c r="I2739" s="54" t="n">
        <f aca="false">MAX(0,(I2727-I2708*$C$2663)-I2687*$C$2668)*$C$2669*Assumptions!$F$105</f>
        <v>2148.09772865551</v>
      </c>
      <c r="J2739" s="54" t="n">
        <f aca="false">MAX(0,(J2727-J2708*$C$2663)-J2687*$C$2668)*$C$2669*Assumptions!$F$105</f>
        <v>2658.45823344147</v>
      </c>
      <c r="K2739" s="54" t="n">
        <f aca="false">MAX(0,(K2727-K2708*$C$2663)-K2687*$C$2668)*$C$2669*Assumptions!$F$105</f>
        <v>3265.22740267914</v>
      </c>
      <c r="L2739" s="54" t="n">
        <f aca="false">MAX(0,(L2727-L2708*$C$2663)-L2687*$C$2668)*$C$2669*Assumptions!$F$105</f>
        <v>3288.68141306469</v>
      </c>
      <c r="M2739" s="54" t="n">
        <f aca="false">MAX(0,(M2727-M2708*$C$2663)-M2687*$C$2668)*$C$2669*Assumptions!$F$105</f>
        <v>3152.91610070796</v>
      </c>
      <c r="N2739" s="54" t="n">
        <f aca="false">MAX(0,(N2727-N2708*$C$2663)-N2687*$C$2668)*$C$2669*Assumptions!$F$105</f>
        <v>3033.42745585339</v>
      </c>
      <c r="P2739" s="55" t="n">
        <f aca="false">SUM(C2739:F2739)</f>
        <v>4593.37638780323</v>
      </c>
      <c r="Q2739" s="55" t="n">
        <f aca="false">SUM(G2739:J2739)</f>
        <v>9073.86156673755</v>
      </c>
      <c r="R2739" s="55" t="n">
        <f aca="false">SUM(K2739:N2739)</f>
        <v>12740.2523723052</v>
      </c>
      <c r="S2739" s="56" t="n">
        <f aca="false">SUM(P2739:R2739)</f>
        <v>26407.490326846</v>
      </c>
    </row>
    <row r="2740" customFormat="false" ht="15" hidden="false" customHeight="false" outlineLevel="0" collapsed="false">
      <c r="A2740" s="4" t="s">
        <v>557</v>
      </c>
      <c r="B2740" s="36" t="s">
        <v>125</v>
      </c>
      <c r="C2740" s="54" t="n">
        <f aca="false">C2735*Assumptions!$G$71/Assumptions!$G$69/4</f>
        <v>7390.35714285714</v>
      </c>
      <c r="D2740" s="54" t="n">
        <f aca="false">D2735*Assumptions!$G$71/Assumptions!$G$69/4</f>
        <v>7390.35714285714</v>
      </c>
      <c r="E2740" s="54" t="n">
        <f aca="false">E2735*Assumptions!$G$71/Assumptions!$G$69/4</f>
        <v>7390.35714285714</v>
      </c>
      <c r="F2740" s="54" t="n">
        <f aca="false">F2735*Assumptions!$G$71/Assumptions!$G$69/4</f>
        <v>7390.35714285714</v>
      </c>
      <c r="G2740" s="54" t="n">
        <f aca="false">G2735*Assumptions!$G$71/Assumptions!$G$69/4</f>
        <v>7390.35714285714</v>
      </c>
      <c r="H2740" s="54" t="n">
        <f aca="false">H2735*Assumptions!$G$71/Assumptions!$G$69/4</f>
        <v>7390.35714285714</v>
      </c>
      <c r="I2740" s="54" t="n">
        <f aca="false">I2735*Assumptions!$G$71/Assumptions!$G$69/4</f>
        <v>7390.35714285714</v>
      </c>
      <c r="J2740" s="54" t="n">
        <f aca="false">J2735*Assumptions!$G$71/Assumptions!$G$69/4</f>
        <v>7390.35714285714</v>
      </c>
      <c r="K2740" s="54" t="n">
        <f aca="false">K2735*Assumptions!$G$71/Assumptions!$G$69/4</f>
        <v>7390.35714285714</v>
      </c>
      <c r="L2740" s="54" t="n">
        <f aca="false">L2735*Assumptions!$G$71/Assumptions!$G$69/4</f>
        <v>7390.35714285714</v>
      </c>
      <c r="M2740" s="54" t="n">
        <f aca="false">M2735*Assumptions!$G$71/Assumptions!$G$69/4</f>
        <v>7390.35714285714</v>
      </c>
      <c r="N2740" s="54" t="n">
        <f aca="false">N2735*Assumptions!$G$71/Assumptions!$G$69/4</f>
        <v>7390.35714285714</v>
      </c>
      <c r="P2740" s="55" t="n">
        <f aca="false">SUM(C2740:F2740)</f>
        <v>29561.4285714286</v>
      </c>
      <c r="Q2740" s="55" t="n">
        <f aca="false">SUM(G2740:J2740)</f>
        <v>29561.4285714286</v>
      </c>
      <c r="R2740" s="55" t="n">
        <f aca="false">SUM(K2740:N2740)</f>
        <v>29561.4285714286</v>
      </c>
      <c r="S2740" s="56" t="n">
        <f aca="false">SUM(P2740:R2740)</f>
        <v>88684.2857142857</v>
      </c>
    </row>
    <row r="2741" customFormat="false" ht="15" hidden="false" customHeight="false" outlineLevel="0" collapsed="false">
      <c r="A2741" s="4" t="s">
        <v>558</v>
      </c>
      <c r="B2741" s="36" t="s">
        <v>125</v>
      </c>
      <c r="C2741" s="54" t="n">
        <f aca="false">(Assumptions!$F$103+Assumptions!$G$77*((C2672=Assumptions!$G$13)+(C2672=Assumptions!$G$14)+(C2672=Assumptions!$G$15)))*C2673</f>
        <v>50000</v>
      </c>
      <c r="D2741" s="54" t="n">
        <f aca="false">(Assumptions!$F$103+Assumptions!$G$77*((D2672=Assumptions!$G$13)+(D2672=Assumptions!$G$14)+(D2672=Assumptions!$G$15)))*D2673</f>
        <v>10000</v>
      </c>
      <c r="E2741" s="54" t="n">
        <f aca="false">(Assumptions!$F$103+Assumptions!$G$77*((E2672=Assumptions!$G$13)+(E2672=Assumptions!$G$14)+(E2672=Assumptions!$G$15)))*E2673</f>
        <v>10000</v>
      </c>
      <c r="F2741" s="54" t="n">
        <f aca="false">(Assumptions!$F$103+Assumptions!$G$77*((F2672=Assumptions!$G$13)+(F2672=Assumptions!$G$14)+(F2672=Assumptions!$G$15)))*F2673</f>
        <v>10000</v>
      </c>
      <c r="G2741" s="54" t="n">
        <f aca="false">(Assumptions!$F$103+Assumptions!$G$77*((G2672=Assumptions!$G$13)+(G2672=Assumptions!$G$14)+(G2672=Assumptions!$G$15)))*G2673</f>
        <v>10000</v>
      </c>
      <c r="H2741" s="54" t="n">
        <f aca="false">(Assumptions!$F$103+Assumptions!$G$77*((H2672=Assumptions!$G$13)+(H2672=Assumptions!$G$14)+(H2672=Assumptions!$G$15)))*H2673</f>
        <v>10000</v>
      </c>
      <c r="I2741" s="54" t="n">
        <f aca="false">(Assumptions!$F$103+Assumptions!$G$77*((I2672=Assumptions!$G$13)+(I2672=Assumptions!$G$14)+(I2672=Assumptions!$G$15)))*I2673</f>
        <v>50000</v>
      </c>
      <c r="J2741" s="54" t="n">
        <f aca="false">(Assumptions!$F$103+Assumptions!$G$77*((J2672=Assumptions!$G$13)+(J2672=Assumptions!$G$14)+(J2672=Assumptions!$G$15)))*J2673</f>
        <v>10000</v>
      </c>
      <c r="K2741" s="54" t="n">
        <f aca="false">(Assumptions!$F$103+Assumptions!$G$77*((K2672=Assumptions!$G$13)+(K2672=Assumptions!$G$14)+(K2672=Assumptions!$G$15)))*K2673</f>
        <v>10000</v>
      </c>
      <c r="L2741" s="54" t="n">
        <f aca="false">(Assumptions!$F$103+Assumptions!$G$77*((L2672=Assumptions!$G$13)+(L2672=Assumptions!$G$14)+(L2672=Assumptions!$G$15)))*L2673</f>
        <v>10000</v>
      </c>
      <c r="M2741" s="54" t="n">
        <f aca="false">(Assumptions!$F$103+Assumptions!$G$77*((M2672=Assumptions!$G$13)+(M2672=Assumptions!$G$14)+(M2672=Assumptions!$G$15)))*M2673</f>
        <v>10000</v>
      </c>
      <c r="N2741" s="54" t="n">
        <f aca="false">(Assumptions!$F$103+Assumptions!$G$77*((N2672=Assumptions!$G$13)+(N2672=Assumptions!$G$14)+(N2672=Assumptions!$G$15)))*N2673</f>
        <v>10000</v>
      </c>
      <c r="P2741" s="55" t="n">
        <f aca="false">SUM(C2741:F2741)</f>
        <v>80000</v>
      </c>
      <c r="Q2741" s="55" t="n">
        <f aca="false">SUM(G2741:J2741)</f>
        <v>80000</v>
      </c>
      <c r="R2741" s="55" t="n">
        <f aca="false">SUM(K2741:N2741)</f>
        <v>40000</v>
      </c>
      <c r="S2741" s="56" t="n">
        <f aca="false">SUM(P2741:R2741)</f>
        <v>200000</v>
      </c>
    </row>
    <row r="2742" customFormat="false" ht="15" hidden="false" customHeight="false" outlineLevel="0" collapsed="false">
      <c r="A2742" s="4" t="s">
        <v>559</v>
      </c>
      <c r="B2742" s="36" t="s">
        <v>125</v>
      </c>
      <c r="C2742" s="54" t="n">
        <f aca="false">C2727*C2707*Assumptions!$G$79</f>
        <v>0</v>
      </c>
      <c r="D2742" s="54" t="n">
        <f aca="false">D2727*D2707*Assumptions!$G$79</f>
        <v>134.612276625616</v>
      </c>
      <c r="E2742" s="54" t="n">
        <f aca="false">E2727*E2707*Assumptions!$G$79</f>
        <v>234.248765678282</v>
      </c>
      <c r="F2742" s="54" t="n">
        <f aca="false">F2727*F2707*Assumptions!$G$79</f>
        <v>341.94598480151</v>
      </c>
      <c r="G2742" s="54" t="n">
        <f aca="false">G2727*G2707*Assumptions!$G$79</f>
        <v>426.99037006312</v>
      </c>
      <c r="H2742" s="54" t="n">
        <f aca="false">H2727*H2707*Assumptions!$G$79</f>
        <v>511.996273137658</v>
      </c>
      <c r="I2742" s="54" t="n">
        <f aca="false">I2727*I2707*Assumptions!$G$79</f>
        <v>520.354187105026</v>
      </c>
      <c r="J2742" s="54" t="n">
        <f aca="false">J2727*J2707*Assumptions!$G$79</f>
        <v>488.830572259113</v>
      </c>
      <c r="K2742" s="54" t="n">
        <f aca="false">K2727*K2707*Assumptions!$G$79</f>
        <v>494.155131768942</v>
      </c>
      <c r="L2742" s="54" t="n">
        <f aca="false">L2727*L2707*Assumptions!$G$79</f>
        <v>515.943738892808</v>
      </c>
      <c r="M2742" s="54" t="n">
        <f aca="false">M2727*M2707*Assumptions!$G$79</f>
        <v>515.539039135131</v>
      </c>
      <c r="N2742" s="54" t="n">
        <f aca="false">N2727*N2707*Assumptions!$G$79</f>
        <v>515.153596326427</v>
      </c>
      <c r="P2742" s="55" t="n">
        <f aca="false">SUM(C2742:F2742)</f>
        <v>710.807027105408</v>
      </c>
      <c r="Q2742" s="55" t="n">
        <f aca="false">SUM(G2742:J2742)</f>
        <v>1948.17140256492</v>
      </c>
      <c r="R2742" s="55" t="n">
        <f aca="false">SUM(K2742:N2742)</f>
        <v>2040.79150612331</v>
      </c>
      <c r="S2742" s="56" t="n">
        <f aca="false">SUM(P2742:R2742)</f>
        <v>4699.76993579363</v>
      </c>
    </row>
    <row r="2743" customFormat="false" ht="15" hidden="false" customHeight="false" outlineLevel="0" collapsed="false">
      <c r="A2743" s="4" t="s">
        <v>560</v>
      </c>
      <c r="B2743" s="36" t="s">
        <v>125</v>
      </c>
      <c r="C2743" s="54" t="n">
        <f aca="false">C2692*Assumptions!$G$80</f>
        <v>2000</v>
      </c>
      <c r="D2743" s="54" t="n">
        <f aca="false">D2692*Assumptions!$G$80</f>
        <v>3000</v>
      </c>
      <c r="E2743" s="54" t="n">
        <f aca="false">E2692*Assumptions!$G$80</f>
        <v>4000</v>
      </c>
      <c r="F2743" s="54" t="n">
        <f aca="false">F2692*Assumptions!$G$80</f>
        <v>5000</v>
      </c>
      <c r="G2743" s="54" t="n">
        <f aca="false">G2692*Assumptions!$G$80</f>
        <v>6000</v>
      </c>
      <c r="H2743" s="54" t="n">
        <f aca="false">H2692*Assumptions!$G$80</f>
        <v>6000</v>
      </c>
      <c r="I2743" s="54" t="n">
        <f aca="false">I2692*Assumptions!$G$80</f>
        <v>6000</v>
      </c>
      <c r="J2743" s="54" t="n">
        <f aca="false">J2692*Assumptions!$G$80</f>
        <v>6000</v>
      </c>
      <c r="K2743" s="54" t="n">
        <f aca="false">K2692*Assumptions!$G$80</f>
        <v>6000</v>
      </c>
      <c r="L2743" s="54" t="n">
        <f aca="false">L2692*Assumptions!$G$80</f>
        <v>6000</v>
      </c>
      <c r="M2743" s="54" t="n">
        <f aca="false">M2692*Assumptions!$G$80</f>
        <v>6000</v>
      </c>
      <c r="N2743" s="54" t="n">
        <f aca="false">N2692*Assumptions!$G$80</f>
        <v>6000</v>
      </c>
      <c r="P2743" s="55" t="n">
        <f aca="false">SUM(C2743:F2743)</f>
        <v>14000</v>
      </c>
      <c r="Q2743" s="55" t="n">
        <f aca="false">SUM(G2743:J2743)</f>
        <v>24000</v>
      </c>
      <c r="R2743" s="55" t="n">
        <f aca="false">SUM(K2743:N2743)</f>
        <v>24000</v>
      </c>
      <c r="S2743" s="56" t="n">
        <f aca="false">SUM(P2743:R2743)</f>
        <v>62000</v>
      </c>
    </row>
    <row r="2744" customFormat="false" ht="15" hidden="false" customHeight="false" outlineLevel="0" collapsed="false">
      <c r="A2744" s="4" t="s">
        <v>561</v>
      </c>
      <c r="B2744" s="36" t="s">
        <v>125</v>
      </c>
      <c r="C2744" s="54" t="n">
        <f aca="false">(C2715*$C$2664+C2716*$C$2665)*Assumptions!$G$81</f>
        <v>0</v>
      </c>
      <c r="D2744" s="54" t="n">
        <f aca="false">(D2715*$C$2664+D2716*$C$2665)*Assumptions!$G$81</f>
        <v>51.6609717488547</v>
      </c>
      <c r="E2744" s="54" t="n">
        <f aca="false">(E2715*$C$2664+E2716*$C$2665)*Assumptions!$G$81</f>
        <v>139.813956663858</v>
      </c>
      <c r="F2744" s="54" t="n">
        <f aca="false">(F2715*$C$2664+F2716*$C$2665)*Assumptions!$G$81</f>
        <v>179.834628957768</v>
      </c>
      <c r="G2744" s="54" t="n">
        <f aca="false">(G2715*$C$2664+G2716*$C$2665)*Assumptions!$G$81</f>
        <v>186.360395620705</v>
      </c>
      <c r="H2744" s="54" t="n">
        <f aca="false">(H2715*$C$2664+H2716*$C$2665)*Assumptions!$G$81</f>
        <v>193.941237376975</v>
      </c>
      <c r="I2744" s="54" t="n">
        <f aca="false">(I2715*$C$2664+I2716*$C$2665)*Assumptions!$G$81</f>
        <v>194.64141783663</v>
      </c>
      <c r="J2744" s="54" t="n">
        <f aca="false">(J2715*$C$2664+J2716*$C$2665)*Assumptions!$G$81</f>
        <v>224.570703469223</v>
      </c>
      <c r="K2744" s="54" t="n">
        <f aca="false">(K2715*$C$2664+K2716*$C$2665)*Assumptions!$G$81</f>
        <v>279.328561194889</v>
      </c>
      <c r="L2744" s="54" t="n">
        <f aca="false">(L2715*$C$2664+L2716*$C$2665)*Assumptions!$G$81</f>
        <v>295.152058983013</v>
      </c>
      <c r="M2744" s="54" t="n">
        <f aca="false">(M2715*$C$2664+M2716*$C$2665)*Assumptions!$G$81</f>
        <v>282.733623193884</v>
      </c>
      <c r="N2744" s="54" t="n">
        <f aca="false">(N2715*$C$2664+N2716*$C$2665)*Assumptions!$G$81</f>
        <v>271.804012103257</v>
      </c>
      <c r="P2744" s="55" t="n">
        <f aca="false">SUM(C2744:F2744)</f>
        <v>371.309557370481</v>
      </c>
      <c r="Q2744" s="55" t="n">
        <f aca="false">SUM(G2744:J2744)</f>
        <v>799.513754303533</v>
      </c>
      <c r="R2744" s="55" t="n">
        <f aca="false">SUM(K2744:N2744)</f>
        <v>1129.01825547504</v>
      </c>
      <c r="S2744" s="56" t="n">
        <f aca="false">SUM(P2744:R2744)</f>
        <v>2299.84156714906</v>
      </c>
    </row>
    <row r="2745" customFormat="false" ht="15" hidden="false" customHeight="false" outlineLevel="0" collapsed="false">
      <c r="A2745" s="9" t="s">
        <v>562</v>
      </c>
      <c r="B2745" s="36" t="s">
        <v>125</v>
      </c>
      <c r="C2745" s="55" t="n">
        <f aca="false">C2737+C2738+C2739+C2740+C2741+C2742+C2743+C2744</f>
        <v>59390.3571428571</v>
      </c>
      <c r="D2745" s="55" t="n">
        <f aca="false">D2737+D2738+D2739+D2740+D2741+D2742+D2743+D2744</f>
        <v>21408.8056046915</v>
      </c>
      <c r="E2745" s="55" t="n">
        <f aca="false">E2737+E2738+E2739+E2740+E2741+E2742+E2743+E2744</f>
        <v>23510.7938468549</v>
      </c>
      <c r="F2745" s="55" t="n">
        <f aca="false">F2737+F2738+F2739+F2740+F2741+F2742+F2743+F2744</f>
        <v>24926.9649493042</v>
      </c>
      <c r="G2745" s="55" t="n">
        <f aca="false">G2737+G2738+G2739+G2740+G2741+G2742+G2743+G2744</f>
        <v>26093.955643725</v>
      </c>
      <c r="H2745" s="55" t="n">
        <f aca="false">H2737+H2738+H2739+H2740+H2741+H2742+H2743+H2744</f>
        <v>26273.3525228283</v>
      </c>
      <c r="I2745" s="55" t="n">
        <f aca="false">I2737+I2738+I2739+I2740+I2741+I2742+I2743+I2744</f>
        <v>66253.4504764543</v>
      </c>
      <c r="J2745" s="55" t="n">
        <f aca="false">J2737+J2738+J2739+J2740+J2741+J2742+J2743+J2744</f>
        <v>26762.216652027</v>
      </c>
      <c r="K2745" s="55" t="n">
        <f aca="false">K2737+K2738+K2739+K2740+K2741+K2742+K2743+K2744</f>
        <v>27429.0682385001</v>
      </c>
      <c r="L2745" s="55" t="n">
        <f aca="false">L2737+L2738+L2739+L2740+L2741+L2742+L2743+L2744</f>
        <v>27490.1343537977</v>
      </c>
      <c r="M2745" s="55" t="n">
        <f aca="false">M2737+M2738+M2739+M2740+M2741+M2742+M2743+M2744</f>
        <v>27341.5459058941</v>
      </c>
      <c r="N2745" s="55" t="n">
        <f aca="false">N2737+N2738+N2739+N2740+N2741+N2742+N2743+N2744</f>
        <v>27210.7422071402</v>
      </c>
      <c r="P2745" s="55" t="n">
        <f aca="false">SUM(C2745:F2745)</f>
        <v>129236.921543708</v>
      </c>
      <c r="Q2745" s="55" t="n">
        <f aca="false">SUM(G2745:J2745)</f>
        <v>145382.975295035</v>
      </c>
      <c r="R2745" s="55" t="n">
        <f aca="false">SUM(K2745:N2745)</f>
        <v>109471.490705332</v>
      </c>
      <c r="S2745" s="56" t="n">
        <f aca="false">SUM(P2745:R2745)</f>
        <v>384091.387544074</v>
      </c>
    </row>
    <row r="2746" customFormat="false" ht="15" hidden="false" customHeight="false" outlineLevel="0" collapsed="false">
      <c r="A2746" s="4" t="s">
        <v>563</v>
      </c>
      <c r="B2746" s="36" t="s">
        <v>125</v>
      </c>
      <c r="C2746" s="54" t="n">
        <f aca="false">C2734*Assumptions!$G$72/Assumptions!$G$69/4</f>
        <v>28267.8571428571</v>
      </c>
      <c r="D2746" s="54" t="n">
        <f aca="false">D2734*Assumptions!$G$72/Assumptions!$G$69/4</f>
        <v>28267.8571428571</v>
      </c>
      <c r="E2746" s="54" t="n">
        <f aca="false">E2734*Assumptions!$G$72/Assumptions!$G$69/4</f>
        <v>28267.8571428571</v>
      </c>
      <c r="F2746" s="54" t="n">
        <f aca="false">F2734*Assumptions!$G$72/Assumptions!$G$69/4</f>
        <v>28267.8571428571</v>
      </c>
      <c r="G2746" s="54" t="n">
        <f aca="false">G2734*Assumptions!$G$72/Assumptions!$G$69/4</f>
        <v>14133.9285714286</v>
      </c>
      <c r="H2746" s="54" t="n">
        <f aca="false">H2734*Assumptions!$G$72/Assumptions!$G$69/4</f>
        <v>14133.9285714286</v>
      </c>
      <c r="I2746" s="54" t="n">
        <f aca="false">I2734*Assumptions!$G$72/Assumptions!$G$69/4</f>
        <v>14133.9285714286</v>
      </c>
      <c r="J2746" s="54" t="n">
        <f aca="false">J2734*Assumptions!$G$72/Assumptions!$G$69/4</f>
        <v>14133.9285714286</v>
      </c>
      <c r="K2746" s="54" t="n">
        <f aca="false">K2734*Assumptions!$G$72/Assumptions!$G$69/4</f>
        <v>14133.9285714286</v>
      </c>
      <c r="L2746" s="54" t="n">
        <f aca="false">L2734*Assumptions!$G$72/Assumptions!$G$69/4</f>
        <v>14133.9285714286</v>
      </c>
      <c r="M2746" s="54" t="n">
        <f aca="false">M2734*Assumptions!$G$72/Assumptions!$G$69/4</f>
        <v>14133.9285714286</v>
      </c>
      <c r="N2746" s="54" t="n">
        <f aca="false">N2734*Assumptions!$G$72/Assumptions!$G$69/4</f>
        <v>14133.9285714286</v>
      </c>
      <c r="P2746" s="55" t="n">
        <f aca="false">SUM(C2746:F2746)</f>
        <v>113071.428571429</v>
      </c>
      <c r="Q2746" s="55" t="n">
        <f aca="false">SUM(G2746:J2746)</f>
        <v>56535.7142857143</v>
      </c>
      <c r="R2746" s="55" t="n">
        <f aca="false">SUM(K2746:N2746)</f>
        <v>56535.7142857143</v>
      </c>
      <c r="S2746" s="56" t="n">
        <f aca="false">SUM(P2746:R2746)</f>
        <v>226142.857142857</v>
      </c>
    </row>
    <row r="2747" customFormat="false" ht="15" hidden="false" customHeight="false" outlineLevel="0" collapsed="false">
      <c r="A2747" s="4" t="s">
        <v>564</v>
      </c>
      <c r="B2747" s="36" t="s">
        <v>125</v>
      </c>
      <c r="C2747" s="54" t="n">
        <f aca="false">IF(C2672&lt;=Assumptions!$G$83,Assumptions!$G$82*Assumptions!$F$108/Assumptions!$G$83,0)</f>
        <v>37500</v>
      </c>
      <c r="D2747" s="54" t="n">
        <f aca="false">IF(D2672&lt;=Assumptions!$G$83,Assumptions!$G$82*Assumptions!$F$108/Assumptions!$G$83,0)</f>
        <v>37500</v>
      </c>
      <c r="E2747" s="54" t="n">
        <f aca="false">IF(E2672&lt;=Assumptions!$G$83,Assumptions!$G$82*Assumptions!$F$108/Assumptions!$G$83,0)</f>
        <v>37500</v>
      </c>
      <c r="F2747" s="54" t="n">
        <f aca="false">IF(F2672&lt;=Assumptions!$G$83,Assumptions!$G$82*Assumptions!$F$108/Assumptions!$G$83,0)</f>
        <v>37500</v>
      </c>
      <c r="G2747" s="54" t="n">
        <f aca="false">IF(G2672&lt;=Assumptions!$G$83,Assumptions!$G$82*Assumptions!$F$108/Assumptions!$G$83,0)</f>
        <v>0</v>
      </c>
      <c r="H2747" s="54" t="n">
        <f aca="false">IF(H2672&lt;=Assumptions!$G$83,Assumptions!$G$82*Assumptions!$F$108/Assumptions!$G$83,0)</f>
        <v>0</v>
      </c>
      <c r="I2747" s="54" t="n">
        <f aca="false">IF(I2672&lt;=Assumptions!$G$83,Assumptions!$G$82*Assumptions!$F$108/Assumptions!$G$83,0)</f>
        <v>0</v>
      </c>
      <c r="J2747" s="54" t="n">
        <f aca="false">IF(J2672&lt;=Assumptions!$G$83,Assumptions!$G$82*Assumptions!$F$108/Assumptions!$G$83,0)</f>
        <v>0</v>
      </c>
      <c r="K2747" s="54" t="n">
        <f aca="false">IF(K2672&lt;=Assumptions!$G$83,Assumptions!$G$82*Assumptions!$F$108/Assumptions!$G$83,0)</f>
        <v>0</v>
      </c>
      <c r="L2747" s="54" t="n">
        <f aca="false">IF(L2672&lt;=Assumptions!$G$83,Assumptions!$G$82*Assumptions!$F$108/Assumptions!$G$83,0)</f>
        <v>0</v>
      </c>
      <c r="M2747" s="54" t="n">
        <f aca="false">IF(M2672&lt;=Assumptions!$G$83,Assumptions!$G$82*Assumptions!$F$108/Assumptions!$G$83,0)</f>
        <v>0</v>
      </c>
      <c r="N2747" s="54" t="n">
        <f aca="false">IF(N2672&lt;=Assumptions!$G$83,Assumptions!$G$82*Assumptions!$F$108/Assumptions!$G$83,0)</f>
        <v>0</v>
      </c>
      <c r="P2747" s="55" t="n">
        <f aca="false">SUM(C2747:F2747)</f>
        <v>150000</v>
      </c>
      <c r="Q2747" s="55" t="n">
        <f aca="false">SUM(G2747:J2747)</f>
        <v>0</v>
      </c>
      <c r="R2747" s="55" t="n">
        <f aca="false">SUM(K2747:N2747)</f>
        <v>0</v>
      </c>
      <c r="S2747" s="56" t="n">
        <f aca="false">SUM(P2747:R2747)</f>
        <v>150000</v>
      </c>
    </row>
    <row r="2748" customFormat="false" ht="15" hidden="false" customHeight="false" outlineLevel="0" collapsed="false">
      <c r="A2748" s="4" t="s">
        <v>565</v>
      </c>
      <c r="B2748" s="36" t="s">
        <v>125</v>
      </c>
      <c r="C2748" s="54" t="n">
        <f aca="false">C2736*Assumptions!$G$73/Assumptions!$G$69/4</f>
        <v>0</v>
      </c>
      <c r="D2748" s="54" t="n">
        <f aca="false">D2736*Assumptions!$G$73/Assumptions!$G$69/4</f>
        <v>134.938076256043</v>
      </c>
      <c r="E2748" s="54" t="n">
        <f aca="false">E2736*Assumptions!$G$73/Assumptions!$G$69/4</f>
        <v>376.416475863889</v>
      </c>
      <c r="F2748" s="54" t="n">
        <f aca="false">F2736*Assumptions!$G$73/Assumptions!$G$69/4</f>
        <v>625.148432978196</v>
      </c>
      <c r="G2748" s="54" t="n">
        <f aca="false">G2736*Assumptions!$G$73/Assumptions!$G$69/4</f>
        <v>874.683196983683</v>
      </c>
      <c r="H2748" s="54" t="n">
        <f aca="false">H2736*Assumptions!$G$73/Assumptions!$G$69/4</f>
        <v>1126.43232573344</v>
      </c>
      <c r="I2748" s="54" t="n">
        <f aca="false">I2736*Assumptions!$G$73/Assumptions!$G$69/4</f>
        <v>1361.1843217398</v>
      </c>
      <c r="J2748" s="54" t="n">
        <f aca="false">J2736*Assumptions!$G$73/Assumptions!$G$69/4</f>
        <v>1672.5794702686</v>
      </c>
      <c r="K2748" s="54" t="n">
        <f aca="false">K2736*Assumptions!$G$73/Assumptions!$G$69/4</f>
        <v>2051.27865381096</v>
      </c>
      <c r="L2748" s="54" t="n">
        <f aca="false">L2736*Assumptions!$G$73/Assumptions!$G$69/4</f>
        <v>2402.83030081523</v>
      </c>
      <c r="M2748" s="54" t="n">
        <f aca="false">M2736*Assumptions!$G$73/Assumptions!$G$69/4</f>
        <v>2723.87349827393</v>
      </c>
      <c r="N2748" s="54" t="n">
        <f aca="false">N2736*Assumptions!$G$73/Assumptions!$G$69/4</f>
        <v>3017.63361626654</v>
      </c>
      <c r="P2748" s="55" t="n">
        <f aca="false">SUM(C2748:F2748)</f>
        <v>1136.50298509813</v>
      </c>
      <c r="Q2748" s="55" t="n">
        <f aca="false">SUM(G2748:J2748)</f>
        <v>5034.87931472553</v>
      </c>
      <c r="R2748" s="55" t="n">
        <f aca="false">SUM(K2748:N2748)</f>
        <v>10195.6160691667</v>
      </c>
      <c r="S2748" s="56" t="n">
        <f aca="false">SUM(P2748:R2748)</f>
        <v>16366.9983689903</v>
      </c>
    </row>
    <row r="2749" customFormat="false" ht="15" hidden="false" customHeight="false" outlineLevel="0" collapsed="false">
      <c r="A2749" s="9" t="s">
        <v>566</v>
      </c>
      <c r="B2749" s="36" t="s">
        <v>125</v>
      </c>
      <c r="C2749" s="55" t="n">
        <f aca="false">C2745+C2746+C2747+C2748</f>
        <v>125158.214285714</v>
      </c>
      <c r="D2749" s="55" t="n">
        <f aca="false">D2745+D2746+D2747+D2748</f>
        <v>87311.6008238047</v>
      </c>
      <c r="E2749" s="55" t="n">
        <f aca="false">E2745+E2746+E2747+E2748</f>
        <v>89655.0674655759</v>
      </c>
      <c r="F2749" s="55" t="n">
        <f aca="false">F2745+F2746+F2747+F2748</f>
        <v>91319.9705251395</v>
      </c>
      <c r="G2749" s="55" t="n">
        <f aca="false">G2745+G2746+G2747+G2748</f>
        <v>41102.5674121373</v>
      </c>
      <c r="H2749" s="55" t="n">
        <f aca="false">H2745+H2746+H2747+H2748</f>
        <v>41533.7134199903</v>
      </c>
      <c r="I2749" s="55" t="n">
        <f aca="false">I2745+I2746+I2747+I2748</f>
        <v>81748.5633696227</v>
      </c>
      <c r="J2749" s="55" t="n">
        <f aca="false">J2745+J2746+J2747+J2748</f>
        <v>42568.7246937241</v>
      </c>
      <c r="K2749" s="55" t="n">
        <f aca="false">K2745+K2746+K2747+K2748</f>
        <v>43614.2754637397</v>
      </c>
      <c r="L2749" s="55" t="n">
        <f aca="false">L2745+L2746+L2747+L2748</f>
        <v>44026.8932260415</v>
      </c>
      <c r="M2749" s="55" t="n">
        <f aca="false">M2745+M2746+M2747+M2748</f>
        <v>44199.3479755966</v>
      </c>
      <c r="N2749" s="55" t="n">
        <f aca="false">N2745+N2746+N2747+N2748</f>
        <v>44362.3043948353</v>
      </c>
      <c r="P2749" s="55" t="n">
        <f aca="false">SUM(C2749:F2749)</f>
        <v>393444.853100234</v>
      </c>
      <c r="Q2749" s="55" t="n">
        <f aca="false">SUM(G2749:J2749)</f>
        <v>206953.568895474</v>
      </c>
      <c r="R2749" s="55" t="n">
        <f aca="false">SUM(K2749:N2749)</f>
        <v>176202.821060213</v>
      </c>
      <c r="S2749" s="56" t="n">
        <f aca="false">SUM(P2749:R2749)</f>
        <v>776601.243055922</v>
      </c>
    </row>
    <row r="2750" customFormat="false" ht="15" hidden="false" customHeight="false" outlineLevel="0" collapsed="false">
      <c r="A2750" s="35" t="s">
        <v>567</v>
      </c>
      <c r="B2750" s="35" t="s">
        <v>444</v>
      </c>
      <c r="C2750" s="6" t="s">
        <v>354</v>
      </c>
      <c r="D2750" s="6" t="s">
        <v>355</v>
      </c>
      <c r="E2750" s="6" t="s">
        <v>356</v>
      </c>
      <c r="F2750" s="6" t="s">
        <v>357</v>
      </c>
      <c r="G2750" s="6" t="s">
        <v>358</v>
      </c>
      <c r="H2750" s="6" t="s">
        <v>359</v>
      </c>
      <c r="I2750" s="6" t="s">
        <v>360</v>
      </c>
      <c r="J2750" s="6" t="s">
        <v>361</v>
      </c>
      <c r="K2750" s="6" t="s">
        <v>362</v>
      </c>
      <c r="L2750" s="6" t="s">
        <v>363</v>
      </c>
      <c r="M2750" s="6" t="s">
        <v>364</v>
      </c>
      <c r="N2750" s="6" t="s">
        <v>365</v>
      </c>
      <c r="P2750" s="6" t="s">
        <v>445</v>
      </c>
      <c r="Q2750" s="6" t="s">
        <v>446</v>
      </c>
      <c r="R2750" s="6" t="s">
        <v>447</v>
      </c>
      <c r="S2750" s="6" t="s">
        <v>448</v>
      </c>
    </row>
    <row r="2751" customFormat="false" ht="15" hidden="false" customHeight="false" outlineLevel="0" collapsed="false">
      <c r="A2751" s="9" t="s">
        <v>568</v>
      </c>
      <c r="B2751" s="36" t="s">
        <v>125</v>
      </c>
      <c r="C2751" s="55" t="n">
        <f aca="false">C2729-C2749</f>
        <v>-125158.214285714</v>
      </c>
      <c r="D2751" s="55" t="n">
        <f aca="false">D2729-D2749</f>
        <v>-87189.1558746157</v>
      </c>
      <c r="E2751" s="55" t="n">
        <f aca="false">E2729-E2749</f>
        <v>-89164.4428749163</v>
      </c>
      <c r="F2751" s="55" t="n">
        <f aca="false">F2729-F2749</f>
        <v>-90308.2399286831</v>
      </c>
      <c r="G2751" s="55" t="n">
        <f aca="false">G2729-G2749</f>
        <v>-39532.2551361517</v>
      </c>
      <c r="H2751" s="55" t="n">
        <f aca="false">H2729-H2749</f>
        <v>-39387.6058190626</v>
      </c>
      <c r="I2751" s="55" t="n">
        <f aca="false">I2729-I2749</f>
        <v>-79025.0863969839</v>
      </c>
      <c r="J2751" s="55" t="n">
        <f aca="false">J2729-J2749</f>
        <v>-39202.6351667071</v>
      </c>
      <c r="K2751" s="55" t="n">
        <f aca="false">K2729-K2749</f>
        <v>-39452.0530773189</v>
      </c>
      <c r="L2751" s="55" t="n">
        <f aca="false">L2729-L2749</f>
        <v>-38993.3447658422</v>
      </c>
      <c r="M2751" s="55" t="n">
        <f aca="false">M2729-M2749</f>
        <v>-38322.4818461719</v>
      </c>
      <c r="N2751" s="55" t="n">
        <f aca="false">N2729-N2749</f>
        <v>-37685.0218420483</v>
      </c>
      <c r="P2751" s="55" t="n">
        <f aca="false">SUM(C2751:F2751)</f>
        <v>-391820.052963929</v>
      </c>
      <c r="Q2751" s="55" t="n">
        <f aca="false">SUM(G2751:J2751)</f>
        <v>-197147.582518905</v>
      </c>
      <c r="R2751" s="55" t="n">
        <f aca="false">SUM(K2751:N2751)</f>
        <v>-154452.901531381</v>
      </c>
      <c r="S2751" s="56" t="n">
        <f aca="false">SUM(P2751:R2751)</f>
        <v>-743420.537014216</v>
      </c>
    </row>
    <row r="2752" customFormat="false" ht="15" hidden="false" customHeight="false" outlineLevel="0" collapsed="false">
      <c r="A2752" s="9" t="s">
        <v>569</v>
      </c>
      <c r="B2752" s="36" t="s">
        <v>125</v>
      </c>
      <c r="C2752" s="55" t="n">
        <f aca="false">0+C2751</f>
        <v>-125158.214285714</v>
      </c>
      <c r="D2752" s="55" t="n">
        <f aca="false">C2752+D2751</f>
        <v>-212347.37016033</v>
      </c>
      <c r="E2752" s="55" t="n">
        <f aca="false">D2752+E2751</f>
        <v>-301511.813035246</v>
      </c>
      <c r="F2752" s="55" t="n">
        <f aca="false">E2752+F2751</f>
        <v>-391820.052963929</v>
      </c>
      <c r="G2752" s="55" t="n">
        <f aca="false">F2752+G2751</f>
        <v>-431352.308100081</v>
      </c>
      <c r="H2752" s="55" t="n">
        <f aca="false">G2752+H2751</f>
        <v>-470739.913919144</v>
      </c>
      <c r="I2752" s="55" t="n">
        <f aca="false">H2752+I2751</f>
        <v>-549765.000316128</v>
      </c>
      <c r="J2752" s="55" t="n">
        <f aca="false">I2752+J2751</f>
        <v>-588967.635482835</v>
      </c>
      <c r="K2752" s="55" t="n">
        <f aca="false">J2752+K2751</f>
        <v>-628419.688560154</v>
      </c>
      <c r="L2752" s="55" t="n">
        <f aca="false">K2752+L2751</f>
        <v>-667413.033325996</v>
      </c>
      <c r="M2752" s="55" t="n">
        <f aca="false">L2752+M2751</f>
        <v>-705735.515172168</v>
      </c>
      <c r="N2752" s="55" t="n">
        <f aca="false">M2752+N2751</f>
        <v>-743420.537014216</v>
      </c>
      <c r="P2752" s="55" t="n">
        <f aca="false">F2752</f>
        <v>-391820.052963929</v>
      </c>
      <c r="Q2752" s="55" t="n">
        <f aca="false">J2752</f>
        <v>-588967.635482835</v>
      </c>
      <c r="R2752" s="55" t="n">
        <f aca="false">N2752</f>
        <v>-743420.537014216</v>
      </c>
      <c r="S2752" s="56" t="n">
        <f aca="false">R2752</f>
        <v>-743420.537014216</v>
      </c>
    </row>
    <row r="2753" customFormat="false" ht="15" hidden="false" customHeight="false" outlineLevel="0" collapsed="false">
      <c r="A2753" s="4" t="s">
        <v>570</v>
      </c>
      <c r="B2753" s="36" t="s">
        <v>107</v>
      </c>
      <c r="C2753" s="57" t="n">
        <f aca="false">1/(1+Assumptions!$G$87)^(C2672/4)</f>
        <v>0.972065420906982</v>
      </c>
      <c r="D2753" s="57" t="n">
        <f aca="false">1/(1+Assumptions!$G$87)^(D2672/4)</f>
        <v>0.944911182523068</v>
      </c>
      <c r="E2753" s="57" t="n">
        <f aca="false">1/(1+Assumptions!$G$87)^(E2672/4)</f>
        <v>0.918515486359</v>
      </c>
      <c r="F2753" s="57" t="n">
        <f aca="false">1/(1+Assumptions!$G$87)^(F2672/4)</f>
        <v>0.892857142857143</v>
      </c>
      <c r="G2753" s="57" t="n">
        <f aca="false">1/(1+Assumptions!$G$87)^(G2672/4)</f>
        <v>0.867915554381234</v>
      </c>
      <c r="H2753" s="57" t="n">
        <f aca="false">1/(1+Assumptions!$G$87)^(H2672/4)</f>
        <v>0.843670698681311</v>
      </c>
      <c r="I2753" s="57" t="n">
        <f aca="false">1/(1+Assumptions!$G$87)^(I2672/4)</f>
        <v>0.820103112820536</v>
      </c>
      <c r="J2753" s="57" t="n">
        <f aca="false">1/(1+Assumptions!$G$87)^(J2672/4)</f>
        <v>0.79719387755102</v>
      </c>
      <c r="K2753" s="57" t="n">
        <f aca="false">1/(1+Assumptions!$G$87)^(K2672/4)</f>
        <v>0.774924602126102</v>
      </c>
      <c r="L2753" s="57" t="n">
        <f aca="false">1/(1+Assumptions!$G$87)^(L2672/4)</f>
        <v>0.753277409536885</v>
      </c>
      <c r="M2753" s="57" t="n">
        <f aca="false">1/(1+Assumptions!$G$87)^(M2672/4)</f>
        <v>0.732234922161193</v>
      </c>
      <c r="N2753" s="57" t="n">
        <f aca="false">1/(1+Assumptions!$G$87)^(N2672/4)</f>
        <v>0.711780247813411</v>
      </c>
      <c r="P2753" s="58"/>
      <c r="Q2753" s="58"/>
      <c r="R2753" s="58"/>
      <c r="S2753" s="59"/>
    </row>
    <row r="2754" customFormat="false" ht="15" hidden="false" customHeight="false" outlineLevel="0" collapsed="false">
      <c r="A2754" s="4" t="s">
        <v>571</v>
      </c>
      <c r="B2754" s="36" t="s">
        <v>125</v>
      </c>
      <c r="C2754" s="54" t="n">
        <f aca="false">(C2729*(1-Assumptions!$G$88)-C2749)*C2753</f>
        <v>-121661.972249609</v>
      </c>
      <c r="D2754" s="54" t="n">
        <f aca="false">(D2729*(1-Assumptions!$G$88)-D2749)*D2753</f>
        <v>-82455.4281417105</v>
      </c>
      <c r="E2754" s="54" t="n">
        <f aca="false">(E2729*(1-Assumptions!$G$88)-E2749)*E2753</f>
        <v>-82169.3093838887</v>
      </c>
      <c r="F2754" s="54" t="n">
        <f aca="false">(F2729*(1-Assumptions!$G$88)-F2749)*F2753</f>
        <v>-81174.3556129973</v>
      </c>
      <c r="G2754" s="54" t="n">
        <f aca="false">(G2729*(1-Assumptions!$G$88)-G2749)*G2753</f>
        <v>-35128.3982021717</v>
      </c>
      <c r="H2754" s="54" t="n">
        <f aca="false">(H2729*(1-Assumptions!$G$88)-H2749)*H2753</f>
        <v>-34316.5337802246</v>
      </c>
      <c r="I2754" s="54" t="n">
        <f aca="false">(I2729*(1-Assumptions!$G$88)-I2749)*I2753</f>
        <v>-66148.8385108519</v>
      </c>
      <c r="J2754" s="54" t="n">
        <f aca="false">(J2729*(1-Assumptions!$G$88)-J2749)*J2753</f>
        <v>-32862.1563161012</v>
      </c>
      <c r="K2754" s="54" t="n">
        <f aca="false">(K2729*(1-Assumptions!$G$88)-K2749)*K2753</f>
        <v>-32507.6116500537</v>
      </c>
      <c r="L2754" s="54" t="n">
        <f aca="false">(L2729*(1-Assumptions!$G$88)-L2749)*L2753</f>
        <v>-31647.8007413186</v>
      </c>
      <c r="M2754" s="54" t="n">
        <f aca="false">(M2729*(1-Assumptions!$G$88)-M2749)*M2753</f>
        <v>-30643.007479354</v>
      </c>
      <c r="N2754" s="54" t="n">
        <f aca="false">(N2729*(1-Assumptions!$G$88)-N2749)*N2753</f>
        <v>-29675.1088836727</v>
      </c>
      <c r="P2754" s="55" t="n">
        <f aca="false">SUM(C2754:F2754)</f>
        <v>-367461.065388206</v>
      </c>
      <c r="Q2754" s="55" t="n">
        <f aca="false">SUM(G2754:J2754)</f>
        <v>-168455.926809349</v>
      </c>
      <c r="R2754" s="55" t="n">
        <f aca="false">SUM(K2754:N2754)</f>
        <v>-124473.528754399</v>
      </c>
      <c r="S2754" s="56" t="n">
        <f aca="false">SUM(P2754:R2754)</f>
        <v>-660390.520951954</v>
      </c>
    </row>
    <row r="2755" customFormat="false" ht="15" hidden="false" customHeight="false" outlineLevel="0" collapsed="false">
      <c r="A2755" s="4" t="s">
        <v>572</v>
      </c>
      <c r="B2755" s="36" t="s">
        <v>125</v>
      </c>
      <c r="C2755" s="54" t="n">
        <f aca="false">(C2749-C2748)*12/(Assumptions!$G$89*Assumptions!$G$76)*Assumptions!$G$90</f>
        <v>102402.175324675</v>
      </c>
      <c r="D2755" s="54" t="n">
        <f aca="false">(D2749-D2748)*12/(Assumptions!$G$89*Assumptions!$G$76)*Assumptions!$G$90</f>
        <v>71326.3604298125</v>
      </c>
      <c r="E2755" s="54" t="n">
        <f aca="false">(E2749-E2748)*12/(Assumptions!$G$89*Assumptions!$G$76)*Assumptions!$G$90</f>
        <v>73046.1689915825</v>
      </c>
      <c r="F2755" s="54" t="n">
        <f aca="false">(F2749-F2748)*12/(Assumptions!$G$89*Assumptions!$G$76)*Assumptions!$G$90</f>
        <v>74204.8544390411</v>
      </c>
      <c r="G2755" s="54" t="n">
        <f aca="false">(G2749-G2748)*12/(Assumptions!$G$89*Assumptions!$G$76)*Assumptions!$G$90</f>
        <v>32913.723448762</v>
      </c>
      <c r="H2755" s="54" t="n">
        <f aca="false">(H2749-H2748)*12/(Assumptions!$G$89*Assumptions!$G$76)*Assumptions!$G$90</f>
        <v>33060.5027134829</v>
      </c>
      <c r="I2755" s="54" t="n">
        <f aca="false">(I2749-I2748)*12/(Assumptions!$G$89*Assumptions!$G$76)*Assumptions!$G$90</f>
        <v>65771.4919482678</v>
      </c>
      <c r="J2755" s="54" t="n">
        <f aca="false">(J2749-J2748)*12/(Assumptions!$G$89*Assumptions!$G$76)*Assumptions!$G$90</f>
        <v>33460.4824555545</v>
      </c>
      <c r="K2755" s="54" t="n">
        <f aca="false">(K2749-K2748)*12/(Assumptions!$G$89*Assumptions!$G$76)*Assumptions!$G$90</f>
        <v>34006.0882990326</v>
      </c>
      <c r="L2755" s="54" t="n">
        <f aca="false">(L2749-L2748)*12/(Assumptions!$G$89*Assumptions!$G$76)*Assumptions!$G$90</f>
        <v>34056.051484276</v>
      </c>
      <c r="M2755" s="54" t="n">
        <f aca="false">(M2749-M2748)*12/(Assumptions!$G$89*Assumptions!$G$76)*Assumptions!$G$90</f>
        <v>33934.4791178095</v>
      </c>
      <c r="N2755" s="54" t="n">
        <f aca="false">(N2749-N2748)*12/(Assumptions!$G$89*Assumptions!$G$76)*Assumptions!$G$90</f>
        <v>33827.4579097381</v>
      </c>
      <c r="P2755" s="55" t="n">
        <f aca="false">SUM(C2755:F2755)</f>
        <v>320979.559185111</v>
      </c>
      <c r="Q2755" s="55" t="n">
        <f aca="false">SUM(G2755:J2755)</f>
        <v>165206.200566067</v>
      </c>
      <c r="R2755" s="55" t="n">
        <f aca="false">SUM(K2755:N2755)</f>
        <v>135824.076810856</v>
      </c>
      <c r="S2755" s="56" t="n">
        <f aca="false">SUM(P2755:R2755)</f>
        <v>622009.836562035</v>
      </c>
    </row>
    <row r="2756" customFormat="false" ht="15" hidden="false" customHeight="false" outlineLevel="0" collapsed="false">
      <c r="A2756" s="4" t="s">
        <v>573</v>
      </c>
      <c r="B2756" s="36" t="s">
        <v>125</v>
      </c>
      <c r="C2756" s="54" t="n">
        <f aca="false">0*Assumptions!$G$92^(1/4)+C2755</f>
        <v>102402.175324675</v>
      </c>
      <c r="D2756" s="54" t="n">
        <f aca="false">C2756*Assumptions!$G$92^(1/4)+D2755</f>
        <v>173983.586734311</v>
      </c>
      <c r="E2756" s="54" t="n">
        <f aca="false">D2756*Assumptions!$G$92^(1/4)+E2755</f>
        <v>247463.093046404</v>
      </c>
      <c r="F2756" s="54" t="n">
        <f aca="false">E2756*Assumptions!$G$92^(1/4)+F2755</f>
        <v>322284.298692353</v>
      </c>
      <c r="G2756" s="54" t="n">
        <f aca="false">F2756*Assumptions!$G$92^(1/4)+G2755</f>
        <v>356000.728977199</v>
      </c>
      <c r="H2756" s="54" t="n">
        <f aca="false">G2756*Assumptions!$G$92^(1/4)+H2755</f>
        <v>389947.915342229</v>
      </c>
      <c r="I2756" s="54" t="n">
        <f aca="false">H2756*Assumptions!$G$92^(1/4)+I2755</f>
        <v>456690.642496902</v>
      </c>
      <c r="J2756" s="54" t="n">
        <f aca="false">I2756*Assumptions!$G$92^(1/4)+J2755</f>
        <v>491288.594888767</v>
      </c>
      <c r="K2756" s="54" t="n">
        <f aca="false">J2756*Assumptions!$G$92^(1/4)+K2755</f>
        <v>526518.325528451</v>
      </c>
      <c r="L2756" s="54" t="n">
        <f aca="false">K2756*Assumptions!$G$92^(1/4)+L2755</f>
        <v>561885.765314732</v>
      </c>
      <c r="M2756" s="54" t="n">
        <f aca="false">L2756*Assumptions!$G$92^(1/4)+M2755</f>
        <v>597219.721685222</v>
      </c>
      <c r="N2756" s="54" t="n">
        <f aca="false">M2756*Assumptions!$G$92^(1/4)+N2755</f>
        <v>632534.662401866</v>
      </c>
      <c r="P2756" s="55" t="n">
        <f aca="false">F2756</f>
        <v>322284.298692353</v>
      </c>
      <c r="Q2756" s="55" t="n">
        <f aca="false">J2756</f>
        <v>491288.594888767</v>
      </c>
      <c r="R2756" s="55" t="n">
        <f aca="false">N2756</f>
        <v>632534.662401866</v>
      </c>
      <c r="S2756" s="56" t="n">
        <f aca="false">R2756</f>
        <v>632534.662401866</v>
      </c>
    </row>
    <row r="2757" customFormat="false" ht="15" hidden="false" customHeight="false" outlineLevel="0" collapsed="false">
      <c r="A2757" s="4" t="s">
        <v>574</v>
      </c>
      <c r="B2757" s="36" t="s">
        <v>125</v>
      </c>
      <c r="C2757" s="54" t="n">
        <f aca="false">(0+C2756)/8*Assumptions!$G$76-(C2749-C2748)-C2756*Assumptions!$G$93/4</f>
        <v>-119398.091923701</v>
      </c>
      <c r="D2757" s="54" t="n">
        <f aca="false">(C2756+D2756)/8*Assumptions!$G$76-(D2749-D2748)-D2756*Assumptions!$G$93/4</f>
        <v>-70349.9364401723</v>
      </c>
      <c r="E2757" s="54" t="n">
        <f aca="false">(D2756+E2756)/8*Assumptions!$G$76-(E2749-E2748)-E2756*Assumptions!$G$93/4</f>
        <v>-63397.480417868</v>
      </c>
      <c r="F2757" s="54" t="n">
        <f aca="false">(E2756+F2756)/8*Assumptions!$G$76-(F2749-F2748)-F2756*Assumptions!$G$93/4</f>
        <v>-55553.2426437762</v>
      </c>
      <c r="G2757" s="54" t="n">
        <f aca="false">(F2756+G2756)/8*Assumptions!$G$76-(G2749-G2748)-G2756*Assumptions!$G$93/4</f>
        <v>1954.20232491314</v>
      </c>
      <c r="H2757" s="54" t="n">
        <f aca="false">(G2756+H2756)/8*Assumptions!$G$76-(H2749-H2748)-H2756*Assumptions!$G$93/4</f>
        <v>6002.3392609259</v>
      </c>
      <c r="I2757" s="54" t="n">
        <f aca="false">(H2756+I2756)/8*Assumptions!$G$76-(I2749-I2748)-I2756*Assumptions!$G$93/4</f>
        <v>-27889.611227654</v>
      </c>
      <c r="J2757" s="54" t="n">
        <f aca="false">(I2756+J2756)/8*Assumptions!$G$76-(J2749-J2748)-J2756*Assumptions!$G$93/4</f>
        <v>18136.3199106997</v>
      </c>
      <c r="K2757" s="54" t="n">
        <f aca="false">(J2756+K2756)/8*Assumptions!$G$76-(K2749-K2748)-K2756*Assumptions!$G$93/4</f>
        <v>21829.7498996495</v>
      </c>
      <c r="L2757" s="54" t="n">
        <f aca="false">(K2756+L2756)/8*Assumptions!$G$76-(L2749-L2748)-L2756*Assumptions!$G$93/4</f>
        <v>26180.1462538085</v>
      </c>
      <c r="M2757" s="54" t="n">
        <f aca="false">(L2756+M2756)/8*Assumptions!$G$76-(M2749-M2748)-M2756*Assumptions!$G$93/4</f>
        <v>30747.7812328589</v>
      </c>
      <c r="N2757" s="54" t="n">
        <f aca="false">(M2756+N2756)/8*Assumptions!$G$76-(N2749-N2748)-N2756*Assumptions!$G$93/4</f>
        <v>35294.2598473952</v>
      </c>
      <c r="P2757" s="55" t="n">
        <f aca="false">SUM(C2757:F2757)</f>
        <v>-308698.751425518</v>
      </c>
      <c r="Q2757" s="55" t="n">
        <f aca="false">SUM(G2757:J2757)</f>
        <v>-1796.74973111525</v>
      </c>
      <c r="R2757" s="55" t="n">
        <f aca="false">SUM(K2757:N2757)</f>
        <v>114051.937233712</v>
      </c>
      <c r="S2757" s="56" t="n">
        <f aca="false">SUM(P2757:R2757)</f>
        <v>-196443.563922921</v>
      </c>
    </row>
    <row r="2758" customFormat="false" ht="15" hidden="false" customHeight="false" outlineLevel="0" collapsed="false">
      <c r="A2758" s="4" t="s">
        <v>575</v>
      </c>
      <c r="B2758" s="36" t="s">
        <v>125</v>
      </c>
      <c r="C2758" s="54" t="n">
        <f aca="false">C2757*C2753</f>
        <v>-116062.756481303</v>
      </c>
      <c r="D2758" s="54" t="n">
        <f aca="false">D2757*D2753</f>
        <v>-66474.4416321059</v>
      </c>
      <c r="E2758" s="54" t="n">
        <f aca="false">E2757*E2753</f>
        <v>-58231.5675599532</v>
      </c>
      <c r="F2758" s="54" t="n">
        <f aca="false">F2757*F2753</f>
        <v>-49601.1095033716</v>
      </c>
      <c r="G2758" s="54" t="n">
        <f aca="false">G2757*G2753</f>
        <v>1696.08259420009</v>
      </c>
      <c r="H2758" s="54" t="n">
        <f aca="false">H2757*H2753</f>
        <v>5063.99775798762</v>
      </c>
      <c r="I2758" s="54" t="n">
        <f aca="false">I2757*I2753</f>
        <v>-22872.3569831536</v>
      </c>
      <c r="J2758" s="54" t="n">
        <f aca="false">J2757*J2753</f>
        <v>14458.1631941164</v>
      </c>
      <c r="K2758" s="54" t="n">
        <f aca="false">K2757*K2753</f>
        <v>16916.4102554982</v>
      </c>
      <c r="L2758" s="54" t="n">
        <f aca="false">L2757*L2753</f>
        <v>19720.9127513656</v>
      </c>
      <c r="M2758" s="54" t="n">
        <f aca="false">M2757*M2753</f>
        <v>22514.5991976718</v>
      </c>
      <c r="N2758" s="54" t="n">
        <f aca="false">N2757*N2753</f>
        <v>25121.7570205699</v>
      </c>
      <c r="P2758" s="55" t="n">
        <f aca="false">SUM(C2758:F2758)</f>
        <v>-290369.875176734</v>
      </c>
      <c r="Q2758" s="55" t="n">
        <f aca="false">SUM(G2758:J2758)</f>
        <v>-1654.11343684943</v>
      </c>
      <c r="R2758" s="55" t="n">
        <f aca="false">SUM(K2758:N2758)</f>
        <v>84273.6792251055</v>
      </c>
      <c r="S2758" s="56" t="n">
        <f aca="false">SUM(P2758:R2758)</f>
        <v>-207750.309388478</v>
      </c>
    </row>
    <row r="2759" customFormat="false" ht="15" hidden="false" customHeight="false" outlineLevel="0" collapsed="false">
      <c r="A2759" s="4" t="s">
        <v>576</v>
      </c>
      <c r="B2759" s="36"/>
      <c r="C2759" s="37" t="n">
        <f aca="false">IFERROR((S2714*$C$2663*Assumptions!$G$59+S2715*$C$2664*Assumptions!$G$60+S2716*$C$2665*Assumptions!$G$61)/(S2714*$C$2663+S2715*$C$2664+S2716*$C$2665),0.9)</f>
        <v>0.858170054251488</v>
      </c>
    </row>
    <row r="2760" customFormat="false" ht="15" hidden="false" customHeight="false" outlineLevel="0" collapsed="false">
      <c r="A2760" s="4" t="s">
        <v>577</v>
      </c>
      <c r="B2760" s="36"/>
      <c r="C2760" s="37" t="n">
        <f aca="false">IFERROR(N2748*4/N2726,0)</f>
        <v>0.234838535189243</v>
      </c>
    </row>
    <row r="2761" customFormat="false" ht="15" hidden="false" customHeight="false" outlineLevel="0" collapsed="false">
      <c r="A2761" s="4" t="s">
        <v>578</v>
      </c>
      <c r="B2761" s="36"/>
      <c r="C2761" s="60" t="n">
        <f aca="false">$C$2759/(1+Assumptions!$G$87)</f>
        <v>0.766223262724543</v>
      </c>
    </row>
    <row r="2762" customFormat="false" ht="15" hidden="false" customHeight="false" outlineLevel="0" collapsed="false">
      <c r="A2762" s="4" t="s">
        <v>579</v>
      </c>
      <c r="B2762" s="36"/>
      <c r="C2762" s="60" t="n">
        <f aca="false">Assumptions!$G$91/(1+Assumptions!$G$87)</f>
        <v>0.803571428571429</v>
      </c>
    </row>
    <row r="2763" customFormat="false" ht="15" hidden="false" customHeight="false" outlineLevel="0" collapsed="false">
      <c r="A2763" s="35" t="s">
        <v>580</v>
      </c>
      <c r="B2763" s="35" t="s">
        <v>444</v>
      </c>
      <c r="C2763" s="6" t="s">
        <v>354</v>
      </c>
      <c r="D2763" s="6" t="s">
        <v>355</v>
      </c>
      <c r="E2763" s="6" t="s">
        <v>356</v>
      </c>
      <c r="F2763" s="6" t="s">
        <v>357</v>
      </c>
      <c r="G2763" s="6" t="s">
        <v>358</v>
      </c>
      <c r="H2763" s="6" t="s">
        <v>359</v>
      </c>
      <c r="I2763" s="6" t="s">
        <v>360</v>
      </c>
      <c r="J2763" s="6" t="s">
        <v>361</v>
      </c>
      <c r="K2763" s="6" t="s">
        <v>362</v>
      </c>
      <c r="L2763" s="6" t="s">
        <v>363</v>
      </c>
      <c r="M2763" s="6" t="s">
        <v>364</v>
      </c>
      <c r="N2763" s="6" t="s">
        <v>365</v>
      </c>
      <c r="P2763" s="6" t="s">
        <v>445</v>
      </c>
      <c r="Q2763" s="6" t="s">
        <v>446</v>
      </c>
      <c r="R2763" s="6" t="s">
        <v>447</v>
      </c>
      <c r="S2763" s="6" t="s">
        <v>448</v>
      </c>
    </row>
    <row r="2764" customFormat="false" ht="15" hidden="false" customHeight="false" outlineLevel="0" collapsed="false">
      <c r="A2764" s="9" t="s">
        <v>581</v>
      </c>
      <c r="C2764" s="61" t="n">
        <f aca="false">N2726</f>
        <v>51399.2920937751</v>
      </c>
      <c r="D2764" s="61"/>
    </row>
    <row r="2765" customFormat="false" ht="15" hidden="false" customHeight="false" outlineLevel="0" collapsed="false">
      <c r="A2765" s="9" t="s">
        <v>582</v>
      </c>
      <c r="C2765" s="62" t="n">
        <f aca="false">N2722</f>
        <v>7.09211921057306</v>
      </c>
      <c r="D2765" s="62"/>
    </row>
    <row r="2766" customFormat="false" ht="15" hidden="false" customHeight="false" outlineLevel="0" collapsed="false">
      <c r="A2766" s="9" t="s">
        <v>583</v>
      </c>
      <c r="C2766" s="63" t="n">
        <f aca="false">S2717</f>
        <v>8.31739217975316</v>
      </c>
      <c r="D2766" s="63"/>
    </row>
    <row r="2767" customFormat="false" ht="15" hidden="false" customHeight="false" outlineLevel="0" collapsed="false">
      <c r="A2767" s="9" t="s">
        <v>584</v>
      </c>
      <c r="C2767" s="61" t="n">
        <f aca="false">S2728</f>
        <v>60328.556439465</v>
      </c>
      <c r="D2767" s="61"/>
    </row>
    <row r="2768" customFormat="false" ht="15" hidden="false" customHeight="false" outlineLevel="0" collapsed="false">
      <c r="A2768" s="9" t="s">
        <v>22</v>
      </c>
      <c r="C2768" s="61" t="n">
        <f aca="false">IFERROR(S2727/S2717,0)</f>
        <v>6454.73467879161</v>
      </c>
      <c r="D2768" s="61"/>
    </row>
    <row r="2769" customFormat="false" ht="15" hidden="false" customHeight="false" outlineLevel="0" collapsed="false">
      <c r="A2769" s="9" t="s">
        <v>585</v>
      </c>
      <c r="C2769" s="61" t="n">
        <f aca="false">IFERROR(S2745/S2717,0)</f>
        <v>46179.3046718489</v>
      </c>
      <c r="D2769" s="61"/>
    </row>
    <row r="2770" customFormat="false" ht="23.85" hidden="false" customHeight="false" outlineLevel="0" collapsed="false">
      <c r="A2770" s="9" t="s">
        <v>586</v>
      </c>
      <c r="C2770" s="61" t="n">
        <f aca="false">IFERROR((S2739+S2741+S2742+S2743+S2744)/S2717,0)</f>
        <v>35516.793659062</v>
      </c>
      <c r="D2770" s="61"/>
    </row>
    <row r="2771" customFormat="false" ht="15" hidden="false" customHeight="false" outlineLevel="0" collapsed="false">
      <c r="A2771" s="9" t="s">
        <v>587</v>
      </c>
      <c r="C2771" s="64" t="n">
        <f aca="false">IFERROR('Engine Runs'!$C$2769/('Engine Runs'!$C$2768*Assumptions!$G$76/12),0)</f>
        <v>156.094481912343</v>
      </c>
      <c r="D2771" s="64"/>
    </row>
    <row r="2772" customFormat="false" ht="15" hidden="false" customHeight="false" outlineLevel="0" collapsed="false">
      <c r="A2772" s="9" t="s">
        <v>588</v>
      </c>
      <c r="C2772" s="64" t="n">
        <f aca="false">IFERROR((R2745/R2717)/((R2727/R2717)*Assumptions!$G$76/12),0)</f>
        <v>92.5132660443792</v>
      </c>
      <c r="D2772" s="64"/>
    </row>
    <row r="2773" customFormat="false" ht="15" hidden="false" customHeight="false" outlineLevel="0" collapsed="false">
      <c r="A2773" s="9" t="s">
        <v>589</v>
      </c>
      <c r="C2773" s="61" t="n">
        <f aca="false">S2749</f>
        <v>776601.243055922</v>
      </c>
      <c r="D2773" s="61"/>
    </row>
    <row r="2774" customFormat="false" ht="15" hidden="false" customHeight="false" outlineLevel="0" collapsed="false">
      <c r="A2774" s="9" t="s">
        <v>590</v>
      </c>
      <c r="C2774" s="61" t="n">
        <f aca="false">N2752</f>
        <v>-743420.537014216</v>
      </c>
      <c r="D2774" s="61"/>
    </row>
    <row r="2775" customFormat="false" ht="15" hidden="false" customHeight="false" outlineLevel="0" collapsed="false">
      <c r="A2775" s="9" t="s">
        <v>591</v>
      </c>
      <c r="C2775" s="61" t="n">
        <f aca="false">MIN($C$2752:$N$2752)</f>
        <v>-743420.537014216</v>
      </c>
      <c r="D2775" s="61"/>
    </row>
    <row r="2776" customFormat="false" ht="15" hidden="false" customHeight="false" outlineLevel="0" collapsed="false">
      <c r="A2776" s="9" t="s">
        <v>592</v>
      </c>
      <c r="C2776" s="61" t="n">
        <f aca="false">N2726*(Assumptions!$G$76-$C$2760)*$C$2759*(1-$C$2759^Assumptions!$G$85)/(1-$C$2759)</f>
        <v>52394.952114702</v>
      </c>
      <c r="D2776" s="61"/>
    </row>
    <row r="2777" customFormat="false" ht="15" hidden="false" customHeight="false" outlineLevel="0" collapsed="false">
      <c r="A2777" s="9" t="s">
        <v>593</v>
      </c>
      <c r="C2777" s="61" t="n">
        <f aca="false">N2726*(Assumptions!$G$76-$C$2760)*(1-Assumptions!$G$88)/(1+Assumptions!$G$87)^2.5*$C$2761*(1-$C$2761^Assumptions!$G$85)/(1-$C$2761)</f>
        <v>11772.6724165216</v>
      </c>
      <c r="D2777" s="61"/>
    </row>
    <row r="2778" customFormat="false" ht="15" hidden="false" customHeight="false" outlineLevel="0" collapsed="false">
      <c r="A2778" s="9" t="s">
        <v>594</v>
      </c>
      <c r="C2778" s="61" t="n">
        <f aca="false">SUM($C$2754:$N$2754)+'Engine Runs'!$C$2777</f>
        <v>-648617.848535433</v>
      </c>
      <c r="D2778" s="61"/>
    </row>
    <row r="2779" customFormat="false" ht="15" hidden="false" customHeight="false" outlineLevel="0" collapsed="false">
      <c r="A2779" s="9" t="s">
        <v>595</v>
      </c>
      <c r="C2779" s="61" t="n">
        <f aca="false">SUM($C$2758:$N$2758)+N2756*(Assumptions!$G$76-Assumptions!$G$93)/(1+Assumptions!$G$87)^2.5*$C$2762*(1-$C$2762^Assumptions!$G$85)/(1-$C$2762)</f>
        <v>440304.354665281</v>
      </c>
      <c r="D2779" s="61"/>
    </row>
    <row r="2780" customFormat="false" ht="15" hidden="false" customHeight="false" outlineLevel="0" collapsed="false">
      <c r="A2780" s="9" t="s">
        <v>596</v>
      </c>
      <c r="C2780" s="61" t="n">
        <f aca="false">'Engine Runs'!$C$2778-'Engine Runs'!$C$2779</f>
        <v>-1088922.20320071</v>
      </c>
      <c r="D2780" s="61"/>
    </row>
    <row r="2781" customFormat="false" ht="15" hidden="false" customHeight="false" outlineLevel="0" collapsed="false">
      <c r="A2781" s="9" t="s">
        <v>597</v>
      </c>
      <c r="C2781" s="61" t="n">
        <f aca="false">S2713</f>
        <v>0</v>
      </c>
      <c r="D2781" s="61"/>
    </row>
    <row r="2782" customFormat="false" ht="15" hidden="false" customHeight="false" outlineLevel="0" collapsed="false">
      <c r="A2782" s="9" t="s">
        <v>598</v>
      </c>
      <c r="C2782" s="63" t="n">
        <f aca="false">P2697</f>
        <v>16.9846026034146</v>
      </c>
      <c r="D2782" s="63"/>
    </row>
    <row r="2783" customFormat="false" ht="15" hidden="false" customHeight="false" outlineLevel="0" collapsed="false">
      <c r="A2783" s="9" t="s">
        <v>599</v>
      </c>
      <c r="C2783" s="63" t="n">
        <f aca="false">P2717</f>
        <v>1.54369592445639</v>
      </c>
      <c r="D2783" s="63"/>
    </row>
    <row r="2784" customFormat="false" ht="15" hidden="false" customHeight="false" outlineLevel="0" collapsed="false">
      <c r="A2784" s="9" t="s">
        <v>600</v>
      </c>
      <c r="C2784" s="63" t="n">
        <f aca="false">P2693</f>
        <v>14</v>
      </c>
      <c r="D2784" s="63"/>
    </row>
    <row r="2785" customFormat="false" ht="15" hidden="false" customHeight="false" outlineLevel="0" collapsed="false">
      <c r="A2785" s="9" t="s">
        <v>601</v>
      </c>
      <c r="C2785" s="61" t="n">
        <f aca="false">IFERROR(P2727/P2717,0)</f>
        <v>6129.11202835394</v>
      </c>
      <c r="D2785" s="61"/>
    </row>
    <row r="2788" customFormat="false" ht="15" hidden="false" customHeight="true" outlineLevel="0" collapsed="false">
      <c r="A2788" s="77" t="s">
        <v>803</v>
      </c>
      <c r="B2788" s="77"/>
      <c r="C2788" s="77"/>
      <c r="D2788" s="77"/>
      <c r="E2788" s="77"/>
      <c r="F2788" s="77"/>
      <c r="G2788" s="77"/>
      <c r="H2788" s="77"/>
      <c r="I2788" s="77"/>
      <c r="J2788" s="77"/>
      <c r="K2788" s="77"/>
      <c r="L2788" s="77"/>
      <c r="M2788" s="77"/>
      <c r="N2788" s="77"/>
    </row>
    <row r="2789" customFormat="false" ht="23.85" hidden="false" customHeight="false" outlineLevel="0" collapsed="false">
      <c r="A2789" s="35" t="s">
        <v>804</v>
      </c>
      <c r="B2789" s="35" t="s">
        <v>444</v>
      </c>
      <c r="C2789" s="6" t="s">
        <v>354</v>
      </c>
      <c r="D2789" s="6" t="s">
        <v>355</v>
      </c>
      <c r="E2789" s="6" t="s">
        <v>356</v>
      </c>
      <c r="F2789" s="6" t="s">
        <v>357</v>
      </c>
      <c r="G2789" s="6" t="s">
        <v>358</v>
      </c>
      <c r="H2789" s="6" t="s">
        <v>359</v>
      </c>
      <c r="I2789" s="6" t="s">
        <v>360</v>
      </c>
      <c r="J2789" s="6" t="s">
        <v>361</v>
      </c>
      <c r="K2789" s="6" t="s">
        <v>362</v>
      </c>
      <c r="L2789" s="6" t="s">
        <v>363</v>
      </c>
      <c r="M2789" s="6" t="s">
        <v>364</v>
      </c>
      <c r="N2789" s="6" t="s">
        <v>365</v>
      </c>
      <c r="P2789" s="6" t="s">
        <v>445</v>
      </c>
      <c r="Q2789" s="6" t="s">
        <v>446</v>
      </c>
      <c r="R2789" s="6" t="s">
        <v>447</v>
      </c>
      <c r="S2789" s="6" t="s">
        <v>448</v>
      </c>
    </row>
    <row r="2790" customFormat="false" ht="15" hidden="false" customHeight="false" outlineLevel="0" collapsed="false">
      <c r="A2790" s="4" t="s">
        <v>449</v>
      </c>
      <c r="B2790" s="36" t="s">
        <v>450</v>
      </c>
      <c r="C2790" s="34" t="n">
        <f aca="false">'Market Sizing'!$C$20*Assumptions!$H$10*Assumptions!$H$11*(1-Assumptions!$H$12)</f>
        <v>2743.814304</v>
      </c>
    </row>
    <row r="2791" customFormat="false" ht="15" hidden="false" customHeight="false" outlineLevel="0" collapsed="false">
      <c r="A2791" s="4" t="s">
        <v>451</v>
      </c>
      <c r="B2791" s="36" t="s">
        <v>450</v>
      </c>
      <c r="C2791" s="34" t="n">
        <f aca="false">'Market Sizing'!$D$20*Assumptions!$H$10*Assumptions!$H$11*(1-Assumptions!$H$12)</f>
        <v>560.531664</v>
      </c>
    </row>
    <row r="2792" customFormat="false" ht="15" hidden="false" customHeight="false" outlineLevel="0" collapsed="false">
      <c r="A2792" s="4" t="s">
        <v>452</v>
      </c>
      <c r="B2792" s="36" t="s">
        <v>450</v>
      </c>
      <c r="C2792" s="34" t="n">
        <f aca="false">'Market Sizing'!$E$20*Assumptions!$H$10*Assumptions!$H$11*(1-Assumptions!$H$12)</f>
        <v>130.340826</v>
      </c>
    </row>
    <row r="2793" customFormat="false" ht="15" hidden="false" customHeight="false" outlineLevel="0" collapsed="false">
      <c r="A2793" s="4" t="s">
        <v>453</v>
      </c>
      <c r="B2793" s="36"/>
      <c r="C2793" s="34" t="n">
        <f aca="false">$C$2790+$C$2791+$C$2792</f>
        <v>3434.686794</v>
      </c>
    </row>
    <row r="2794" customFormat="false" ht="15" hidden="false" customHeight="false" outlineLevel="0" collapsed="false">
      <c r="A2794" s="4" t="s">
        <v>454</v>
      </c>
      <c r="B2794" s="36" t="s">
        <v>450</v>
      </c>
      <c r="C2794" s="34" t="n">
        <f aca="false">'Market Sizing'!$C$21*Assumptions!$H$10*Assumptions!$H$11*(1-Assumptions!$H$12)</f>
        <v>2711.4875865</v>
      </c>
    </row>
    <row r="2795" customFormat="false" ht="15" hidden="false" customHeight="false" outlineLevel="0" collapsed="false">
      <c r="A2795" s="4" t="s">
        <v>455</v>
      </c>
      <c r="B2795" s="36" t="s">
        <v>450</v>
      </c>
      <c r="C2795" s="34" t="n">
        <f aca="false">'Market Sizing'!$D$21*Assumptions!$H$10*Assumptions!$H$11*(1-Assumptions!$H$12)</f>
        <v>558.515727</v>
      </c>
    </row>
    <row r="2796" customFormat="false" ht="15" hidden="false" customHeight="false" outlineLevel="0" collapsed="false">
      <c r="A2796" s="4" t="s">
        <v>456</v>
      </c>
      <c r="B2796" s="36" t="s">
        <v>450</v>
      </c>
      <c r="C2796" s="34" t="n">
        <f aca="false">'Market Sizing'!$E$21*Assumptions!$H$10*Assumptions!$H$11*(1-Assumptions!$H$12)</f>
        <v>114.174522</v>
      </c>
    </row>
    <row r="2797" customFormat="false" ht="15" hidden="false" customHeight="false" outlineLevel="0" collapsed="false">
      <c r="A2797" s="4" t="s">
        <v>457</v>
      </c>
      <c r="B2797" s="36"/>
      <c r="C2797" s="34" t="n">
        <f aca="false">$C$2794+$C$2795+$C$2796</f>
        <v>3384.1778355</v>
      </c>
    </row>
    <row r="2798" customFormat="false" ht="15" hidden="false" customHeight="false" outlineLevel="0" collapsed="false">
      <c r="A2798" s="4" t="s">
        <v>458</v>
      </c>
      <c r="B2798" s="36" t="s">
        <v>450</v>
      </c>
      <c r="C2798" s="34" t="n">
        <f aca="false">'Market Sizing'!$C$22*Assumptions!$H$10*Assumptions!$H$11*(1-Assumptions!$H$12)</f>
        <v>2796.4244385</v>
      </c>
    </row>
    <row r="2799" customFormat="false" ht="15" hidden="false" customHeight="false" outlineLevel="0" collapsed="false">
      <c r="A2799" s="4" t="s">
        <v>459</v>
      </c>
      <c r="B2799" s="36" t="s">
        <v>450</v>
      </c>
      <c r="C2799" s="34" t="n">
        <f aca="false">'Market Sizing'!$D$22*Assumptions!$H$10*Assumptions!$H$11*(1-Assumptions!$H$12)</f>
        <v>714.600117</v>
      </c>
    </row>
    <row r="2800" customFormat="false" ht="15" hidden="false" customHeight="false" outlineLevel="0" collapsed="false">
      <c r="A2800" s="4" t="s">
        <v>460</v>
      </c>
      <c r="B2800" s="36" t="s">
        <v>450</v>
      </c>
      <c r="C2800" s="34" t="n">
        <f aca="false">'Market Sizing'!$E$22*Assumptions!$H$10*Assumptions!$H$11*(1-Assumptions!$H$12)</f>
        <v>150.548706</v>
      </c>
    </row>
    <row r="2801" customFormat="false" ht="15" hidden="false" customHeight="false" outlineLevel="0" collapsed="false">
      <c r="A2801" s="4" t="s">
        <v>461</v>
      </c>
      <c r="B2801" s="36"/>
      <c r="C2801" s="34" t="n">
        <f aca="false">$C$2798+$C$2799+$C$2800</f>
        <v>3661.5732615</v>
      </c>
    </row>
    <row r="2802" customFormat="false" ht="15" hidden="false" customHeight="false" outlineLevel="0" collapsed="false">
      <c r="A2802" s="4" t="s">
        <v>462</v>
      </c>
      <c r="B2802" s="36" t="s">
        <v>463</v>
      </c>
      <c r="C2802" s="33" t="n">
        <f aca="false">MAX((Assumptions!$H$51+Assumptions!$H$53)*12,(((('Market Sizing'!$E$28*Assumptions!$H$41*Assumptions!$H$42*Assumptions!$H$43)*Assumptions!$H$44)*Assumptions!$H$45*Assumptions!$H$46+('Market Sizing'!$E$28*Assumptions!$H$41*Assumptions!$H$42*Assumptions!$H$43)*Assumptions!$H$47+('Market Sizing'!$E$28*Assumptions!$H$41*Assumptions!$H$42*Assumptions!$H$43)*Assumptions!$H$48*Assumptions!$H$49)*(Assumptions!$H$51*12/Assumptions!$H$52)+((('Market Sizing'!$E$28*Assumptions!$H$41*Assumptions!$H$42*Assumptions!$H$43)*Assumptions!$H$44)*Assumptions!$H$45+('Market Sizing'!$E$28*Assumptions!$H$41*Assumptions!$H$42*Assumptions!$H$43)+('Market Sizing'!$E$28*Assumptions!$H$41*Assumptions!$H$42*Assumptions!$H$43)*Assumptions!$H$48)*Assumptions!$H$50*(Assumptions!$H$53*12/Assumptions!$H$54)))</f>
        <v>5352</v>
      </c>
    </row>
    <row r="2803" customFormat="false" ht="15" hidden="false" customHeight="false" outlineLevel="0" collapsed="false">
      <c r="A2803" s="4" t="s">
        <v>464</v>
      </c>
      <c r="B2803" s="36" t="s">
        <v>463</v>
      </c>
      <c r="C2803" s="33" t="n">
        <f aca="false">MAX((Assumptions!$H$51+Assumptions!$H$53)*12,(((('Market Sizing'!$E$29*Assumptions!$H$41*Assumptions!$H$42*Assumptions!$H$43)*Assumptions!$H$44)*Assumptions!$H$45*Assumptions!$H$46+('Market Sizing'!$E$29*Assumptions!$H$41*Assumptions!$H$42*Assumptions!$H$43)*Assumptions!$H$47+('Market Sizing'!$E$29*Assumptions!$H$41*Assumptions!$H$42*Assumptions!$H$43)*Assumptions!$H$48*Assumptions!$H$49)*(Assumptions!$H$51*12/Assumptions!$H$52)+((('Market Sizing'!$E$29*Assumptions!$H$41*Assumptions!$H$42*Assumptions!$H$43)*Assumptions!$H$44)*Assumptions!$H$45+('Market Sizing'!$E$29*Assumptions!$H$41*Assumptions!$H$42*Assumptions!$H$43)+('Market Sizing'!$E$29*Assumptions!$H$41*Assumptions!$H$42*Assumptions!$H$43)*Assumptions!$H$48)*Assumptions!$H$50*(Assumptions!$H$53*12/Assumptions!$H$54)))</f>
        <v>5352</v>
      </c>
    </row>
    <row r="2804" customFormat="false" ht="15" hidden="false" customHeight="false" outlineLevel="0" collapsed="false">
      <c r="A2804" s="4" t="s">
        <v>465</v>
      </c>
      <c r="B2804" s="36" t="s">
        <v>463</v>
      </c>
      <c r="C2804" s="33" t="n">
        <f aca="false">MAX(Assumptions!$H$55*(Assumptions!$H$51*12/Assumptions!$H$52)+Assumptions!$H$56*(Assumptions!$H$53*12/Assumptions!$H$54),(((('Market Sizing'!$E$30*Assumptions!$H$41*Assumptions!$H$42*Assumptions!$H$43)*Assumptions!$H$44)*Assumptions!$H$45*Assumptions!$H$46+('Market Sizing'!$E$30*Assumptions!$H$41*Assumptions!$H$42*Assumptions!$H$43)*Assumptions!$H$47+('Market Sizing'!$E$30*Assumptions!$H$41*Assumptions!$H$42*Assumptions!$H$43)*Assumptions!$H$48*Assumptions!$H$49)*(Assumptions!$H$51*12/Assumptions!$H$52)+((('Market Sizing'!$E$30*Assumptions!$H$41*Assumptions!$H$42*Assumptions!$H$43)*Assumptions!$H$44)*Assumptions!$H$45+('Market Sizing'!$E$30*Assumptions!$H$41*Assumptions!$H$42*Assumptions!$H$43)+('Market Sizing'!$E$30*Assumptions!$H$41*Assumptions!$H$42*Assumptions!$H$43)*Assumptions!$H$48)*Assumptions!$H$50*(Assumptions!$H$53*12/Assumptions!$H$54)))*(1-Assumptions!$H$57)</f>
        <v>44310</v>
      </c>
    </row>
    <row r="2805" customFormat="false" ht="23.85" hidden="false" customHeight="false" outlineLevel="0" collapsed="false">
      <c r="A2805" s="4" t="s">
        <v>466</v>
      </c>
      <c r="B2805" s="36" t="s">
        <v>467</v>
      </c>
      <c r="C2805" s="37" t="n">
        <f aca="false">Assumptions!$H$17*Assumptions!$F$106</f>
        <v>0.2</v>
      </c>
    </row>
    <row r="2806" customFormat="false" ht="23.85" hidden="false" customHeight="false" outlineLevel="0" collapsed="false">
      <c r="A2806" s="4" t="s">
        <v>468</v>
      </c>
      <c r="B2806" s="36" t="s">
        <v>469</v>
      </c>
      <c r="C2806" s="33" t="n">
        <f aca="false">Assumptions!$H$68/Assumptions!$H$69</f>
        <v>285714.285714286</v>
      </c>
    </row>
    <row r="2807" customFormat="false" ht="23.85" hidden="false" customHeight="false" outlineLevel="0" collapsed="false">
      <c r="A2807" s="4" t="s">
        <v>470</v>
      </c>
      <c r="B2807" s="36" t="s">
        <v>471</v>
      </c>
      <c r="C2807" s="33" t="n">
        <f aca="false">Assumptions!$H$66*Assumptions!$H$67/4</f>
        <v>153125</v>
      </c>
    </row>
    <row r="2808" customFormat="false" ht="15" hidden="false" customHeight="false" outlineLevel="0" collapsed="false">
      <c r="A2808" s="4" t="s">
        <v>472</v>
      </c>
      <c r="B2808" s="36"/>
      <c r="C2808" s="38" t="n">
        <f aca="false">$C$2806/Assumptions!$H$66/Assumptions!$H$67</f>
        <v>0.466472303206997</v>
      </c>
    </row>
    <row r="2809" customFormat="false" ht="15" hidden="false" customHeight="false" outlineLevel="0" collapsed="false">
      <c r="A2809" s="4" t="s">
        <v>473</v>
      </c>
      <c r="B2809" s="36"/>
      <c r="C2809" s="33" t="n">
        <f aca="false">MAX(0,Assumptions!$F$103-Assumptions!$H$78)</f>
        <v>0</v>
      </c>
    </row>
    <row r="2810" customFormat="false" ht="15" hidden="false" customHeight="false" outlineLevel="0" collapsed="false">
      <c r="A2810" s="35" t="s">
        <v>474</v>
      </c>
      <c r="B2810" s="35" t="s">
        <v>444</v>
      </c>
      <c r="C2810" s="6" t="s">
        <v>354</v>
      </c>
      <c r="D2810" s="6" t="s">
        <v>355</v>
      </c>
      <c r="E2810" s="6" t="s">
        <v>356</v>
      </c>
      <c r="F2810" s="6" t="s">
        <v>357</v>
      </c>
      <c r="G2810" s="6" t="s">
        <v>358</v>
      </c>
      <c r="H2810" s="6" t="s">
        <v>359</v>
      </c>
      <c r="I2810" s="6" t="s">
        <v>360</v>
      </c>
      <c r="J2810" s="6" t="s">
        <v>361</v>
      </c>
      <c r="K2810" s="6" t="s">
        <v>362</v>
      </c>
      <c r="L2810" s="6" t="s">
        <v>363</v>
      </c>
      <c r="M2810" s="6" t="s">
        <v>364</v>
      </c>
      <c r="N2810" s="6" t="s">
        <v>365</v>
      </c>
      <c r="P2810" s="6" t="s">
        <v>445</v>
      </c>
      <c r="Q2810" s="6" t="s">
        <v>446</v>
      </c>
      <c r="R2810" s="6" t="s">
        <v>447</v>
      </c>
      <c r="S2810" s="6" t="s">
        <v>448</v>
      </c>
    </row>
    <row r="2811" customFormat="false" ht="15" hidden="false" customHeight="false" outlineLevel="0" collapsed="false">
      <c r="A2811" s="4" t="s">
        <v>475</v>
      </c>
      <c r="B2811" s="36" t="s">
        <v>133</v>
      </c>
      <c r="C2811" s="39" t="n">
        <v>1</v>
      </c>
      <c r="D2811" s="39" t="n">
        <v>2</v>
      </c>
      <c r="E2811" s="39" t="n">
        <v>3</v>
      </c>
      <c r="F2811" s="39" t="n">
        <v>4</v>
      </c>
      <c r="G2811" s="39" t="n">
        <v>5</v>
      </c>
      <c r="H2811" s="39" t="n">
        <v>6</v>
      </c>
      <c r="I2811" s="39" t="n">
        <v>7</v>
      </c>
      <c r="J2811" s="39" t="n">
        <v>8</v>
      </c>
      <c r="K2811" s="39" t="n">
        <v>9</v>
      </c>
      <c r="L2811" s="39" t="n">
        <v>10</v>
      </c>
      <c r="M2811" s="39" t="n">
        <v>11</v>
      </c>
      <c r="N2811" s="39" t="n">
        <v>12</v>
      </c>
      <c r="P2811" s="40"/>
      <c r="Q2811" s="40"/>
      <c r="R2811" s="40"/>
      <c r="S2811" s="41"/>
    </row>
    <row r="2812" customFormat="false" ht="15" hidden="false" customHeight="false" outlineLevel="0" collapsed="false">
      <c r="A2812" s="4" t="s">
        <v>476</v>
      </c>
      <c r="B2812" s="36" t="s">
        <v>343</v>
      </c>
      <c r="C2812" s="39" t="n">
        <f aca="false">IF(C2811&lt;=Assumptions!$H$84,1,0)</f>
        <v>1</v>
      </c>
      <c r="D2812" s="39" t="n">
        <f aca="false">IF(D2811&lt;=Assumptions!$H$84,1,0)</f>
        <v>1</v>
      </c>
      <c r="E2812" s="39" t="n">
        <f aca="false">IF(E2811&lt;=Assumptions!$H$84,1,0)</f>
        <v>1</v>
      </c>
      <c r="F2812" s="39" t="n">
        <f aca="false">IF(F2811&lt;=Assumptions!$H$84,1,0)</f>
        <v>1</v>
      </c>
      <c r="G2812" s="39" t="n">
        <f aca="false">IF(G2811&lt;=Assumptions!$H$84,1,0)</f>
        <v>1</v>
      </c>
      <c r="H2812" s="39" t="n">
        <f aca="false">IF(H2811&lt;=Assumptions!$H$84,1,0)</f>
        <v>1</v>
      </c>
      <c r="I2812" s="39" t="n">
        <f aca="false">IF(I2811&lt;=Assumptions!$H$84,1,0)</f>
        <v>1</v>
      </c>
      <c r="J2812" s="39" t="n">
        <f aca="false">IF(J2811&lt;=Assumptions!$H$84,1,0)</f>
        <v>1</v>
      </c>
      <c r="K2812" s="39" t="n">
        <f aca="false">IF(K2811&lt;=Assumptions!$H$84,1,0)</f>
        <v>1</v>
      </c>
      <c r="L2812" s="39" t="n">
        <f aca="false">IF(L2811&lt;=Assumptions!$H$84,1,0)</f>
        <v>1</v>
      </c>
      <c r="M2812" s="39" t="n">
        <f aca="false">IF(M2811&lt;=Assumptions!$H$84,1,0)</f>
        <v>1</v>
      </c>
      <c r="N2812" s="39" t="n">
        <f aca="false">IF(N2811&lt;=Assumptions!$H$84,1,0)</f>
        <v>1</v>
      </c>
      <c r="P2812" s="40"/>
      <c r="Q2812" s="40"/>
      <c r="R2812" s="40"/>
      <c r="S2812" s="41"/>
    </row>
    <row r="2813" customFormat="false" ht="15" hidden="false" customHeight="false" outlineLevel="0" collapsed="false">
      <c r="A2813" s="4" t="s">
        <v>477</v>
      </c>
      <c r="B2813" s="36" t="s">
        <v>478</v>
      </c>
      <c r="C2813" s="42" t="n">
        <f aca="false">IF(C2811=Assumptions!$H$13,0.5,IF(C2811&gt;Assumptions!$H$13,1,0))</f>
        <v>0.5</v>
      </c>
      <c r="D2813" s="42" t="n">
        <f aca="false">IF(D2811=Assumptions!$H$13,0.5,IF(D2811&gt;Assumptions!$H$13,1,0))</f>
        <v>1</v>
      </c>
      <c r="E2813" s="42" t="n">
        <f aca="false">IF(E2811=Assumptions!$H$13,0.5,IF(E2811&gt;Assumptions!$H$13,1,0))</f>
        <v>1</v>
      </c>
      <c r="F2813" s="42" t="n">
        <f aca="false">IF(F2811=Assumptions!$H$13,0.5,IF(F2811&gt;Assumptions!$H$13,1,0))</f>
        <v>1</v>
      </c>
      <c r="G2813" s="42" t="n">
        <f aca="false">IF(G2811=Assumptions!$H$13,0.5,IF(G2811&gt;Assumptions!$H$13,1,0))</f>
        <v>1</v>
      </c>
      <c r="H2813" s="42" t="n">
        <f aca="false">IF(H2811=Assumptions!$H$13,0.5,IF(H2811&gt;Assumptions!$H$13,1,0))</f>
        <v>1</v>
      </c>
      <c r="I2813" s="42" t="n">
        <f aca="false">IF(I2811=Assumptions!$H$13,0.5,IF(I2811&gt;Assumptions!$H$13,1,0))</f>
        <v>1</v>
      </c>
      <c r="J2813" s="42" t="n">
        <f aca="false">IF(J2811=Assumptions!$H$13,0.5,IF(J2811&gt;Assumptions!$H$13,1,0))</f>
        <v>1</v>
      </c>
      <c r="K2813" s="42" t="n">
        <f aca="false">IF(K2811=Assumptions!$H$13,0.5,IF(K2811&gt;Assumptions!$H$13,1,0))</f>
        <v>1</v>
      </c>
      <c r="L2813" s="42" t="n">
        <f aca="false">IF(L2811=Assumptions!$H$13,0.5,IF(L2811&gt;Assumptions!$H$13,1,0))</f>
        <v>1</v>
      </c>
      <c r="M2813" s="42" t="n">
        <f aca="false">IF(M2811=Assumptions!$H$13,0.5,IF(M2811&gt;Assumptions!$H$13,1,0))</f>
        <v>1</v>
      </c>
      <c r="N2813" s="42" t="n">
        <f aca="false">IF(N2811=Assumptions!$H$13,0.5,IF(N2811&gt;Assumptions!$H$13,1,0))</f>
        <v>1</v>
      </c>
      <c r="P2813" s="43"/>
      <c r="Q2813" s="43"/>
      <c r="R2813" s="43"/>
      <c r="S2813" s="44"/>
    </row>
    <row r="2814" customFormat="false" ht="15" hidden="false" customHeight="false" outlineLevel="0" collapsed="false">
      <c r="A2814" s="4" t="s">
        <v>479</v>
      </c>
      <c r="B2814" s="36" t="s">
        <v>478</v>
      </c>
      <c r="C2814" s="42" t="n">
        <f aca="false">IF(C2811=Assumptions!$H$14,0.5,IF(C2811&gt;Assumptions!$H$14,1,0))</f>
        <v>0</v>
      </c>
      <c r="D2814" s="42" t="n">
        <f aca="false">IF(D2811=Assumptions!$H$14,0.5,IF(D2811&gt;Assumptions!$H$14,1,0))</f>
        <v>0</v>
      </c>
      <c r="E2814" s="42" t="n">
        <f aca="false">IF(E2811=Assumptions!$H$14,0.5,IF(E2811&gt;Assumptions!$H$14,1,0))</f>
        <v>0</v>
      </c>
      <c r="F2814" s="42" t="n">
        <f aca="false">IF(F2811=Assumptions!$H$14,0.5,IF(F2811&gt;Assumptions!$H$14,1,0))</f>
        <v>0</v>
      </c>
      <c r="G2814" s="42" t="n">
        <f aca="false">IF(G2811=Assumptions!$H$14,0.5,IF(G2811&gt;Assumptions!$H$14,1,0))</f>
        <v>0.5</v>
      </c>
      <c r="H2814" s="42" t="n">
        <f aca="false">IF(H2811=Assumptions!$H$14,0.5,IF(H2811&gt;Assumptions!$H$14,1,0))</f>
        <v>1</v>
      </c>
      <c r="I2814" s="42" t="n">
        <f aca="false">IF(I2811=Assumptions!$H$14,0.5,IF(I2811&gt;Assumptions!$H$14,1,0))</f>
        <v>1</v>
      </c>
      <c r="J2814" s="42" t="n">
        <f aca="false">IF(J2811=Assumptions!$H$14,0.5,IF(J2811&gt;Assumptions!$H$14,1,0))</f>
        <v>1</v>
      </c>
      <c r="K2814" s="42" t="n">
        <f aca="false">IF(K2811=Assumptions!$H$14,0.5,IF(K2811&gt;Assumptions!$H$14,1,0))</f>
        <v>1</v>
      </c>
      <c r="L2814" s="42" t="n">
        <f aca="false">IF(L2811=Assumptions!$H$14,0.5,IF(L2811&gt;Assumptions!$H$14,1,0))</f>
        <v>1</v>
      </c>
      <c r="M2814" s="42" t="n">
        <f aca="false">IF(M2811=Assumptions!$H$14,0.5,IF(M2811&gt;Assumptions!$H$14,1,0))</f>
        <v>1</v>
      </c>
      <c r="N2814" s="42" t="n">
        <f aca="false">IF(N2811=Assumptions!$H$14,0.5,IF(N2811&gt;Assumptions!$H$14,1,0))</f>
        <v>1</v>
      </c>
      <c r="P2814" s="43"/>
      <c r="Q2814" s="43"/>
      <c r="R2814" s="43"/>
      <c r="S2814" s="44"/>
    </row>
    <row r="2815" customFormat="false" ht="15" hidden="false" customHeight="false" outlineLevel="0" collapsed="false">
      <c r="A2815" s="4" t="s">
        <v>480</v>
      </c>
      <c r="B2815" s="36" t="s">
        <v>478</v>
      </c>
      <c r="C2815" s="42" t="n">
        <f aca="false">IF(C2811=Assumptions!$H$15,0.5,IF(C2811&gt;Assumptions!$H$15,1,0))</f>
        <v>0</v>
      </c>
      <c r="D2815" s="42" t="n">
        <f aca="false">IF(D2811=Assumptions!$H$15,0.5,IF(D2811&gt;Assumptions!$H$15,1,0))</f>
        <v>0</v>
      </c>
      <c r="E2815" s="42" t="n">
        <f aca="false">IF(E2811=Assumptions!$H$15,0.5,IF(E2811&gt;Assumptions!$H$15,1,0))</f>
        <v>0</v>
      </c>
      <c r="F2815" s="42" t="n">
        <f aca="false">IF(F2811=Assumptions!$H$15,0.5,IF(F2811&gt;Assumptions!$H$15,1,0))</f>
        <v>0</v>
      </c>
      <c r="G2815" s="42" t="n">
        <f aca="false">IF(G2811=Assumptions!$H$15,0.5,IF(G2811&gt;Assumptions!$H$15,1,0))</f>
        <v>0</v>
      </c>
      <c r="H2815" s="42" t="n">
        <f aca="false">IF(H2811=Assumptions!$H$15,0.5,IF(H2811&gt;Assumptions!$H$15,1,0))</f>
        <v>0</v>
      </c>
      <c r="I2815" s="42" t="n">
        <f aca="false">IF(I2811=Assumptions!$H$15,0.5,IF(I2811&gt;Assumptions!$H$15,1,0))</f>
        <v>0.5</v>
      </c>
      <c r="J2815" s="42" t="n">
        <f aca="false">IF(J2811=Assumptions!$H$15,0.5,IF(J2811&gt;Assumptions!$H$15,1,0))</f>
        <v>1</v>
      </c>
      <c r="K2815" s="42" t="n">
        <f aca="false">IF(K2811=Assumptions!$H$15,0.5,IF(K2811&gt;Assumptions!$H$15,1,0))</f>
        <v>1</v>
      </c>
      <c r="L2815" s="42" t="n">
        <f aca="false">IF(L2811=Assumptions!$H$15,0.5,IF(L2811&gt;Assumptions!$H$15,1,0))</f>
        <v>1</v>
      </c>
      <c r="M2815" s="42" t="n">
        <f aca="false">IF(M2811=Assumptions!$H$15,0.5,IF(M2811&gt;Assumptions!$H$15,1,0))</f>
        <v>1</v>
      </c>
      <c r="N2815" s="42" t="n">
        <f aca="false">IF(N2811=Assumptions!$H$15,0.5,IF(N2811&gt;Assumptions!$H$15,1,0))</f>
        <v>1</v>
      </c>
      <c r="P2815" s="43"/>
      <c r="Q2815" s="43"/>
      <c r="R2815" s="43"/>
      <c r="S2815" s="44"/>
    </row>
    <row r="2816" customFormat="false" ht="15" hidden="false" customHeight="false" outlineLevel="0" collapsed="false">
      <c r="A2816" s="4" t="s">
        <v>481</v>
      </c>
      <c r="B2816" s="36" t="s">
        <v>478</v>
      </c>
      <c r="C2816" s="45" t="n">
        <f aca="false">Assumptions!$H$21^(MAX(0,C2811-Assumptions!$H$13)/4)</f>
        <v>1</v>
      </c>
      <c r="D2816" s="45" t="n">
        <f aca="false">Assumptions!$H$21^(MAX(0,D2811-Assumptions!$H$13)/4)</f>
        <v>0.9306048591021</v>
      </c>
      <c r="E2816" s="45" t="n">
        <f aca="false">Assumptions!$H$21^(MAX(0,E2811-Assumptions!$H$13)/4)</f>
        <v>0.866025403784439</v>
      </c>
      <c r="F2816" s="45" t="n">
        <f aca="false">Assumptions!$H$21^(MAX(0,F2811-Assumptions!$H$13)/4)</f>
        <v>0.805927448867656</v>
      </c>
      <c r="G2816" s="45" t="n">
        <f aca="false">Assumptions!$H$21^(MAX(0,G2811-Assumptions!$H$13)/4)</f>
        <v>0.75</v>
      </c>
      <c r="H2816" s="45" t="n">
        <f aca="false">Assumptions!$H$21^(MAX(0,H2811-Assumptions!$H$13)/4)</f>
        <v>0.697953644326575</v>
      </c>
      <c r="I2816" s="45" t="n">
        <f aca="false">Assumptions!$H$21^(MAX(0,I2811-Assumptions!$H$13)/4)</f>
        <v>0.649519052838329</v>
      </c>
      <c r="J2816" s="45" t="n">
        <f aca="false">Assumptions!$H$21^(MAX(0,J2811-Assumptions!$H$13)/4)</f>
        <v>0.604445586650742</v>
      </c>
      <c r="K2816" s="45" t="n">
        <f aca="false">Assumptions!$H$21^(MAX(0,K2811-Assumptions!$H$13)/4)</f>
        <v>0.5625</v>
      </c>
      <c r="L2816" s="45" t="n">
        <f aca="false">Assumptions!$H$21^(MAX(0,L2811-Assumptions!$H$13)/4)</f>
        <v>0.523465233244931</v>
      </c>
      <c r="M2816" s="45" t="n">
        <f aca="false">Assumptions!$H$21^(MAX(0,M2811-Assumptions!$H$13)/4)</f>
        <v>0.487139289628747</v>
      </c>
      <c r="N2816" s="45" t="n">
        <f aca="false">Assumptions!$H$21^(MAX(0,N2811-Assumptions!$H$13)/4)</f>
        <v>0.453334189988057</v>
      </c>
      <c r="P2816" s="46"/>
      <c r="Q2816" s="46"/>
      <c r="R2816" s="46"/>
      <c r="S2816" s="47"/>
    </row>
    <row r="2817" customFormat="false" ht="15" hidden="false" customHeight="false" outlineLevel="0" collapsed="false">
      <c r="A2817" s="4" t="s">
        <v>482</v>
      </c>
      <c r="B2817" s="36" t="s">
        <v>478</v>
      </c>
      <c r="C2817" s="45" t="n">
        <f aca="false">Assumptions!$H$21^(MAX(0,C2811-Assumptions!$H$14)/4)</f>
        <v>1</v>
      </c>
      <c r="D2817" s="45" t="n">
        <f aca="false">Assumptions!$H$21^(MAX(0,D2811-Assumptions!$H$14)/4)</f>
        <v>1</v>
      </c>
      <c r="E2817" s="45" t="n">
        <f aca="false">Assumptions!$H$21^(MAX(0,E2811-Assumptions!$H$14)/4)</f>
        <v>1</v>
      </c>
      <c r="F2817" s="45" t="n">
        <f aca="false">Assumptions!$H$21^(MAX(0,F2811-Assumptions!$H$14)/4)</f>
        <v>1</v>
      </c>
      <c r="G2817" s="45" t="n">
        <f aca="false">Assumptions!$H$21^(MAX(0,G2811-Assumptions!$H$14)/4)</f>
        <v>1</v>
      </c>
      <c r="H2817" s="45" t="n">
        <f aca="false">Assumptions!$H$21^(MAX(0,H2811-Assumptions!$H$14)/4)</f>
        <v>0.9306048591021</v>
      </c>
      <c r="I2817" s="45" t="n">
        <f aca="false">Assumptions!$H$21^(MAX(0,I2811-Assumptions!$H$14)/4)</f>
        <v>0.866025403784439</v>
      </c>
      <c r="J2817" s="45" t="n">
        <f aca="false">Assumptions!$H$21^(MAX(0,J2811-Assumptions!$H$14)/4)</f>
        <v>0.805927448867656</v>
      </c>
      <c r="K2817" s="45" t="n">
        <f aca="false">Assumptions!$H$21^(MAX(0,K2811-Assumptions!$H$14)/4)</f>
        <v>0.75</v>
      </c>
      <c r="L2817" s="45" t="n">
        <f aca="false">Assumptions!$H$21^(MAX(0,L2811-Assumptions!$H$14)/4)</f>
        <v>0.697953644326575</v>
      </c>
      <c r="M2817" s="45" t="n">
        <f aca="false">Assumptions!$H$21^(MAX(0,M2811-Assumptions!$H$14)/4)</f>
        <v>0.649519052838329</v>
      </c>
      <c r="N2817" s="45" t="n">
        <f aca="false">Assumptions!$H$21^(MAX(0,N2811-Assumptions!$H$14)/4)</f>
        <v>0.604445586650742</v>
      </c>
      <c r="P2817" s="46"/>
      <c r="Q2817" s="46"/>
      <c r="R2817" s="46"/>
      <c r="S2817" s="47"/>
    </row>
    <row r="2818" customFormat="false" ht="15" hidden="false" customHeight="false" outlineLevel="0" collapsed="false">
      <c r="A2818" s="4" t="s">
        <v>483</v>
      </c>
      <c r="B2818" s="36" t="s">
        <v>478</v>
      </c>
      <c r="C2818" s="45" t="n">
        <f aca="false">Assumptions!$H$21^(MAX(0,C2811-Assumptions!$H$15)/4)</f>
        <v>1</v>
      </c>
      <c r="D2818" s="45" t="n">
        <f aca="false">Assumptions!$H$21^(MAX(0,D2811-Assumptions!$H$15)/4)</f>
        <v>1</v>
      </c>
      <c r="E2818" s="45" t="n">
        <f aca="false">Assumptions!$H$21^(MAX(0,E2811-Assumptions!$H$15)/4)</f>
        <v>1</v>
      </c>
      <c r="F2818" s="45" t="n">
        <f aca="false">Assumptions!$H$21^(MAX(0,F2811-Assumptions!$H$15)/4)</f>
        <v>1</v>
      </c>
      <c r="G2818" s="45" t="n">
        <f aca="false">Assumptions!$H$21^(MAX(0,G2811-Assumptions!$H$15)/4)</f>
        <v>1</v>
      </c>
      <c r="H2818" s="45" t="n">
        <f aca="false">Assumptions!$H$21^(MAX(0,H2811-Assumptions!$H$15)/4)</f>
        <v>1</v>
      </c>
      <c r="I2818" s="45" t="n">
        <f aca="false">Assumptions!$H$21^(MAX(0,I2811-Assumptions!$H$15)/4)</f>
        <v>1</v>
      </c>
      <c r="J2818" s="45" t="n">
        <f aca="false">Assumptions!$H$21^(MAX(0,J2811-Assumptions!$H$15)/4)</f>
        <v>0.9306048591021</v>
      </c>
      <c r="K2818" s="45" t="n">
        <f aca="false">Assumptions!$H$21^(MAX(0,K2811-Assumptions!$H$15)/4)</f>
        <v>0.866025403784439</v>
      </c>
      <c r="L2818" s="45" t="n">
        <f aca="false">Assumptions!$H$21^(MAX(0,L2811-Assumptions!$H$15)/4)</f>
        <v>0.805927448867656</v>
      </c>
      <c r="M2818" s="45" t="n">
        <f aca="false">Assumptions!$H$21^(MAX(0,M2811-Assumptions!$H$15)/4)</f>
        <v>0.75</v>
      </c>
      <c r="N2818" s="45" t="n">
        <f aca="false">Assumptions!$H$21^(MAX(0,N2811-Assumptions!$H$15)/4)</f>
        <v>0.697953644326575</v>
      </c>
      <c r="P2818" s="46"/>
      <c r="Q2818" s="46"/>
      <c r="R2818" s="46"/>
      <c r="S2818" s="47"/>
    </row>
    <row r="2819" customFormat="false" ht="15" hidden="false" customHeight="false" outlineLevel="0" collapsed="false">
      <c r="A2819" s="4" t="s">
        <v>484</v>
      </c>
      <c r="B2819" s="36" t="s">
        <v>485</v>
      </c>
      <c r="C2819" s="39" t="n">
        <f aca="false">$C$2790*C2813+$C$2794*C2814+$C$2798*C2815</f>
        <v>1371.907152</v>
      </c>
      <c r="D2819" s="39" t="n">
        <f aca="false">$C$2790*D2813+$C$2794*D2814+$C$2798*D2815</f>
        <v>2743.814304</v>
      </c>
      <c r="E2819" s="39" t="n">
        <f aca="false">$C$2790*E2813+$C$2794*E2814+$C$2798*E2815</f>
        <v>2743.814304</v>
      </c>
      <c r="F2819" s="39" t="n">
        <f aca="false">$C$2790*F2813+$C$2794*F2814+$C$2798*F2815</f>
        <v>2743.814304</v>
      </c>
      <c r="G2819" s="39" t="n">
        <f aca="false">$C$2790*G2813+$C$2794*G2814+$C$2798*G2815</f>
        <v>4099.55809725</v>
      </c>
      <c r="H2819" s="39" t="n">
        <f aca="false">$C$2790*H2813+$C$2794*H2814+$C$2798*H2815</f>
        <v>5455.3018905</v>
      </c>
      <c r="I2819" s="39" t="n">
        <f aca="false">$C$2790*I2813+$C$2794*I2814+$C$2798*I2815</f>
        <v>6853.51410975</v>
      </c>
      <c r="J2819" s="39" t="n">
        <f aca="false">$C$2790*J2813+$C$2794*J2814+$C$2798*J2815</f>
        <v>8251.726329</v>
      </c>
      <c r="K2819" s="39" t="n">
        <f aca="false">$C$2790*K2813+$C$2794*K2814+$C$2798*K2815</f>
        <v>8251.726329</v>
      </c>
      <c r="L2819" s="39" t="n">
        <f aca="false">$C$2790*L2813+$C$2794*L2814+$C$2798*L2815</f>
        <v>8251.726329</v>
      </c>
      <c r="M2819" s="39" t="n">
        <f aca="false">$C$2790*M2813+$C$2794*M2814+$C$2798*M2815</f>
        <v>8251.726329</v>
      </c>
      <c r="N2819" s="39" t="n">
        <f aca="false">$C$2790*N2813+$C$2794*N2814+$C$2798*N2815</f>
        <v>8251.726329</v>
      </c>
      <c r="P2819" s="40" t="n">
        <f aca="false">F2819</f>
        <v>2743.814304</v>
      </c>
      <c r="Q2819" s="40" t="n">
        <f aca="false">J2819</f>
        <v>8251.726329</v>
      </c>
      <c r="R2819" s="40" t="n">
        <f aca="false">N2819</f>
        <v>8251.726329</v>
      </c>
      <c r="S2819" s="41" t="n">
        <f aca="false">R2819</f>
        <v>8251.726329</v>
      </c>
    </row>
    <row r="2820" customFormat="false" ht="15" hidden="false" customHeight="false" outlineLevel="0" collapsed="false">
      <c r="A2820" s="4" t="s">
        <v>486</v>
      </c>
      <c r="B2820" s="36" t="s">
        <v>485</v>
      </c>
      <c r="C2820" s="39" t="n">
        <f aca="false">$C$2791*C2813+$C$2795*C2814+$C$2799*C2815</f>
        <v>280.265832</v>
      </c>
      <c r="D2820" s="39" t="n">
        <f aca="false">$C$2791*D2813+$C$2795*D2814+$C$2799*D2815</f>
        <v>560.531664</v>
      </c>
      <c r="E2820" s="39" t="n">
        <f aca="false">$C$2791*E2813+$C$2795*E2814+$C$2799*E2815</f>
        <v>560.531664</v>
      </c>
      <c r="F2820" s="39" t="n">
        <f aca="false">$C$2791*F2813+$C$2795*F2814+$C$2799*F2815</f>
        <v>560.531664</v>
      </c>
      <c r="G2820" s="39" t="n">
        <f aca="false">$C$2791*G2813+$C$2795*G2814+$C$2799*G2815</f>
        <v>839.7895275</v>
      </c>
      <c r="H2820" s="39" t="n">
        <f aca="false">$C$2791*H2813+$C$2795*H2814+$C$2799*H2815</f>
        <v>1119.047391</v>
      </c>
      <c r="I2820" s="39" t="n">
        <f aca="false">$C$2791*I2813+$C$2795*I2814+$C$2799*I2815</f>
        <v>1476.3474495</v>
      </c>
      <c r="J2820" s="39" t="n">
        <f aca="false">$C$2791*J2813+$C$2795*J2814+$C$2799*J2815</f>
        <v>1833.647508</v>
      </c>
      <c r="K2820" s="39" t="n">
        <f aca="false">$C$2791*K2813+$C$2795*K2814+$C$2799*K2815</f>
        <v>1833.647508</v>
      </c>
      <c r="L2820" s="39" t="n">
        <f aca="false">$C$2791*L2813+$C$2795*L2814+$C$2799*L2815</f>
        <v>1833.647508</v>
      </c>
      <c r="M2820" s="39" t="n">
        <f aca="false">$C$2791*M2813+$C$2795*M2814+$C$2799*M2815</f>
        <v>1833.647508</v>
      </c>
      <c r="N2820" s="39" t="n">
        <f aca="false">$C$2791*N2813+$C$2795*N2814+$C$2799*N2815</f>
        <v>1833.647508</v>
      </c>
      <c r="P2820" s="40" t="n">
        <f aca="false">F2820</f>
        <v>560.531664</v>
      </c>
      <c r="Q2820" s="40" t="n">
        <f aca="false">J2820</f>
        <v>1833.647508</v>
      </c>
      <c r="R2820" s="40" t="n">
        <f aca="false">N2820</f>
        <v>1833.647508</v>
      </c>
      <c r="S2820" s="41" t="n">
        <f aca="false">R2820</f>
        <v>1833.647508</v>
      </c>
    </row>
    <row r="2821" customFormat="false" ht="15" hidden="false" customHeight="false" outlineLevel="0" collapsed="false">
      <c r="A2821" s="4" t="s">
        <v>487</v>
      </c>
      <c r="B2821" s="36" t="s">
        <v>485</v>
      </c>
      <c r="C2821" s="39" t="n">
        <f aca="false">$C$2792*C2813+$C$2796*C2814+$C$2800*C2815</f>
        <v>65.170413</v>
      </c>
      <c r="D2821" s="39" t="n">
        <f aca="false">$C$2792*D2813+$C$2796*D2814+$C$2800*D2815</f>
        <v>130.340826</v>
      </c>
      <c r="E2821" s="39" t="n">
        <f aca="false">$C$2792*E2813+$C$2796*E2814+$C$2800*E2815</f>
        <v>130.340826</v>
      </c>
      <c r="F2821" s="39" t="n">
        <f aca="false">$C$2792*F2813+$C$2796*F2814+$C$2800*F2815</f>
        <v>130.340826</v>
      </c>
      <c r="G2821" s="39" t="n">
        <f aca="false">$C$2792*G2813+$C$2796*G2814+$C$2800*G2815</f>
        <v>187.428087</v>
      </c>
      <c r="H2821" s="39" t="n">
        <f aca="false">$C$2792*H2813+$C$2796*H2814+$C$2800*H2815</f>
        <v>244.515348</v>
      </c>
      <c r="I2821" s="39" t="n">
        <f aca="false">$C$2792*I2813+$C$2796*I2814+$C$2800*I2815</f>
        <v>319.789701</v>
      </c>
      <c r="J2821" s="39" t="n">
        <f aca="false">$C$2792*J2813+$C$2796*J2814+$C$2800*J2815</f>
        <v>395.064054</v>
      </c>
      <c r="K2821" s="39" t="n">
        <f aca="false">$C$2792*K2813+$C$2796*K2814+$C$2800*K2815</f>
        <v>395.064054</v>
      </c>
      <c r="L2821" s="39" t="n">
        <f aca="false">$C$2792*L2813+$C$2796*L2814+$C$2800*L2815</f>
        <v>395.064054</v>
      </c>
      <c r="M2821" s="39" t="n">
        <f aca="false">$C$2792*M2813+$C$2796*M2814+$C$2800*M2815</f>
        <v>395.064054</v>
      </c>
      <c r="N2821" s="39" t="n">
        <f aca="false">$C$2792*N2813+$C$2796*N2814+$C$2800*N2815</f>
        <v>395.064054</v>
      </c>
      <c r="P2821" s="40" t="n">
        <f aca="false">F2821</f>
        <v>130.340826</v>
      </c>
      <c r="Q2821" s="40" t="n">
        <f aca="false">J2821</f>
        <v>395.064054</v>
      </c>
      <c r="R2821" s="40" t="n">
        <f aca="false">N2821</f>
        <v>395.064054</v>
      </c>
      <c r="S2821" s="41" t="n">
        <f aca="false">R2821</f>
        <v>395.064054</v>
      </c>
    </row>
    <row r="2822" customFormat="false" ht="15" hidden="false" customHeight="false" outlineLevel="0" collapsed="false">
      <c r="A2822" s="4" t="s">
        <v>488</v>
      </c>
      <c r="B2822" s="36" t="s">
        <v>485</v>
      </c>
      <c r="C2822" s="39" t="n">
        <f aca="false">C2819+C2820+C2821</f>
        <v>1717.343397</v>
      </c>
      <c r="D2822" s="39" t="n">
        <f aca="false">D2819+D2820+D2821</f>
        <v>3434.686794</v>
      </c>
      <c r="E2822" s="39" t="n">
        <f aca="false">E2819+E2820+E2821</f>
        <v>3434.686794</v>
      </c>
      <c r="F2822" s="39" t="n">
        <f aca="false">F2819+F2820+F2821</f>
        <v>3434.686794</v>
      </c>
      <c r="G2822" s="39" t="n">
        <f aca="false">G2819+G2820+G2821</f>
        <v>5126.77571175</v>
      </c>
      <c r="H2822" s="39" t="n">
        <f aca="false">H2819+H2820+H2821</f>
        <v>6818.8646295</v>
      </c>
      <c r="I2822" s="39" t="n">
        <f aca="false">I2819+I2820+I2821</f>
        <v>8649.65126025</v>
      </c>
      <c r="J2822" s="39" t="n">
        <f aca="false">J2819+J2820+J2821</f>
        <v>10480.437891</v>
      </c>
      <c r="K2822" s="39" t="n">
        <f aca="false">K2819+K2820+K2821</f>
        <v>10480.437891</v>
      </c>
      <c r="L2822" s="39" t="n">
        <f aca="false">L2819+L2820+L2821</f>
        <v>10480.437891</v>
      </c>
      <c r="M2822" s="39" t="n">
        <f aca="false">M2819+M2820+M2821</f>
        <v>10480.437891</v>
      </c>
      <c r="N2822" s="39" t="n">
        <f aca="false">N2819+N2820+N2821</f>
        <v>10480.437891</v>
      </c>
      <c r="P2822" s="40" t="n">
        <f aca="false">F2822</f>
        <v>3434.686794</v>
      </c>
      <c r="Q2822" s="40" t="n">
        <f aca="false">J2822</f>
        <v>10480.437891</v>
      </c>
      <c r="R2822" s="40" t="n">
        <f aca="false">N2822</f>
        <v>10480.437891</v>
      </c>
      <c r="S2822" s="41" t="n">
        <f aca="false">R2822</f>
        <v>10480.437891</v>
      </c>
    </row>
    <row r="2823" customFormat="false" ht="15" hidden="false" customHeight="false" outlineLevel="0" collapsed="false">
      <c r="A2823" s="4" t="s">
        <v>489</v>
      </c>
      <c r="B2823" s="36" t="s">
        <v>485</v>
      </c>
      <c r="C2823" s="39" t="n">
        <f aca="false">$C$2793*C2813*C2816+$C$2797*C2814*C2817+$C$2801*C2815*C2818</f>
        <v>1717.343397</v>
      </c>
      <c r="D2823" s="39" t="n">
        <f aca="false">$C$2793*D2813*D2816+$C$2797*D2814*D2817+$C$2801*D2815*D2818</f>
        <v>3196.33621999021</v>
      </c>
      <c r="E2823" s="39" t="n">
        <f aca="false">$C$2793*E2813*E2816+$C$2797*E2814*E2817+$C$2801*E2815*E2818</f>
        <v>2974.52601764693</v>
      </c>
      <c r="F2823" s="39" t="n">
        <f aca="false">$C$2793*F2813*F2816+$C$2797*F2814*F2817+$C$2801*F2815*F2818</f>
        <v>2768.10836554785</v>
      </c>
      <c r="G2823" s="39" t="n">
        <f aca="false">$C$2793*G2813*G2816+$C$2797*G2814*G2817+$C$2801*G2815*G2818</f>
        <v>4268.10401325</v>
      </c>
      <c r="H2823" s="39" t="n">
        <f aca="false">$C$2793*H2813*H2816+$C$2797*H2814*H2817+$C$2801*H2815*H2818</f>
        <v>5546.58450277459</v>
      </c>
      <c r="I2823" s="39" t="n">
        <f aca="false">$C$2793*I2813*I2816+$C$2797*I2814*I2817+$C$2801*I2815*I2818</f>
        <v>6992.46512045243</v>
      </c>
      <c r="J2823" s="39" t="n">
        <f aca="false">$C$2793*J2813*J2816+$C$2797*J2814*J2817+$C$2801*J2815*J2818</f>
        <v>8210.96095275009</v>
      </c>
      <c r="K2823" s="39" t="n">
        <f aca="false">$C$2793*K2813*K2816+$C$2797*K2814*K2817+$C$2801*K2815*K2818</f>
        <v>7641.16016052684</v>
      </c>
      <c r="L2823" s="39" t="n">
        <f aca="false">$C$2793*L2813*L2816+$C$2797*L2814*L2817+$C$2801*L2815*L2818</f>
        <v>7110.90077456366</v>
      </c>
      <c r="M2823" s="39" t="n">
        <f aca="false">$C$2793*M2813*M2816+$C$2797*M2814*M2817+$C$2801*M2815*M2818</f>
        <v>6617.43881340182</v>
      </c>
      <c r="N2823" s="39" t="n">
        <f aca="false">$C$2793*N2813*N2816+$C$2797*N2814*N2817+$C$2801*N2815*N2818</f>
        <v>6158.22071456257</v>
      </c>
      <c r="P2823" s="40"/>
      <c r="Q2823" s="40"/>
      <c r="R2823" s="40"/>
      <c r="S2823" s="41"/>
    </row>
    <row r="2824" customFormat="false" ht="15" hidden="false" customHeight="false" outlineLevel="0" collapsed="false">
      <c r="A2824" s="4" t="s">
        <v>490</v>
      </c>
      <c r="B2824" s="36" t="s">
        <v>491</v>
      </c>
      <c r="C2824" s="48" t="n">
        <f aca="false">$C$2805*Assumptions!$H$20*C2812*C2823</f>
        <v>8.586716985</v>
      </c>
      <c r="D2824" s="48" t="n">
        <f aca="false">$C$2805*Assumptions!$H$20*D2812*D2823</f>
        <v>15.9816810999511</v>
      </c>
      <c r="E2824" s="48" t="n">
        <f aca="false">$C$2805*Assumptions!$H$20*E2812*E2823</f>
        <v>14.8726300882346</v>
      </c>
      <c r="F2824" s="48" t="n">
        <f aca="false">$C$2805*Assumptions!$H$20*F2812*F2823</f>
        <v>13.8405418277393</v>
      </c>
      <c r="G2824" s="48" t="n">
        <f aca="false">$C$2805*Assumptions!$H$20*G2812*G2823</f>
        <v>21.34052006625</v>
      </c>
      <c r="H2824" s="48" t="n">
        <f aca="false">$C$2805*Assumptions!$H$20*H2812*H2823</f>
        <v>27.7329225138729</v>
      </c>
      <c r="I2824" s="48" t="n">
        <f aca="false">$C$2805*Assumptions!$H$20*I2812*I2823</f>
        <v>34.9623256022622</v>
      </c>
      <c r="J2824" s="48" t="n">
        <f aca="false">$C$2805*Assumptions!$H$20*J2812*J2823</f>
        <v>41.0548047637505</v>
      </c>
      <c r="K2824" s="48" t="n">
        <f aca="false">$C$2805*Assumptions!$H$20*K2812*K2823</f>
        <v>38.2058008026342</v>
      </c>
      <c r="L2824" s="48" t="n">
        <f aca="false">$C$2805*Assumptions!$H$20*L2812*L2823</f>
        <v>35.5545038728183</v>
      </c>
      <c r="M2824" s="48" t="n">
        <f aca="false">$C$2805*Assumptions!$H$20*M2812*M2823</f>
        <v>33.0871940670091</v>
      </c>
      <c r="N2824" s="48" t="n">
        <f aca="false">$C$2805*Assumptions!$H$20*N2812*N2823</f>
        <v>30.7911035728129</v>
      </c>
      <c r="P2824" s="49" t="n">
        <f aca="false">SUM(C2824:F2824)</f>
        <v>53.281570000925</v>
      </c>
      <c r="Q2824" s="49" t="n">
        <f aca="false">SUM(G2824:J2824)</f>
        <v>125.090572946136</v>
      </c>
      <c r="R2824" s="49" t="n">
        <f aca="false">SUM(K2824:N2824)</f>
        <v>137.638602315274</v>
      </c>
      <c r="S2824" s="50" t="n">
        <f aca="false">SUM(P2824:R2824)</f>
        <v>316.010745262335</v>
      </c>
    </row>
    <row r="2825" customFormat="false" ht="15" hidden="false" customHeight="false" outlineLevel="0" collapsed="false">
      <c r="A2825" s="4" t="s">
        <v>492</v>
      </c>
      <c r="B2825" s="36" t="s">
        <v>321</v>
      </c>
      <c r="C2825" s="48" t="n">
        <f aca="false">Assumptions!$D$113</f>
        <v>0</v>
      </c>
      <c r="D2825" s="48" t="n">
        <f aca="false">Assumptions!$E$113</f>
        <v>0</v>
      </c>
      <c r="E2825" s="48" t="n">
        <f aca="false">Assumptions!$F$113</f>
        <v>0</v>
      </c>
      <c r="F2825" s="48" t="n">
        <f aca="false">Assumptions!$G$113</f>
        <v>0</v>
      </c>
      <c r="G2825" s="48" t="n">
        <f aca="false">Assumptions!$H$113</f>
        <v>0</v>
      </c>
      <c r="H2825" s="48" t="n">
        <f aca="false">Assumptions!$I$113</f>
        <v>0</v>
      </c>
      <c r="I2825" s="48" t="n">
        <f aca="false">Assumptions!$J$113</f>
        <v>0</v>
      </c>
      <c r="J2825" s="48" t="n">
        <f aca="false">Assumptions!$K$113</f>
        <v>0</v>
      </c>
      <c r="K2825" s="48" t="n">
        <f aca="false">Assumptions!$L$113</f>
        <v>0</v>
      </c>
      <c r="L2825" s="48" t="n">
        <f aca="false">Assumptions!$M$113</f>
        <v>0</v>
      </c>
      <c r="M2825" s="48" t="n">
        <f aca="false">Assumptions!$N$113</f>
        <v>0</v>
      </c>
      <c r="N2825" s="48" t="n">
        <f aca="false">Assumptions!$O$113</f>
        <v>0</v>
      </c>
      <c r="P2825" s="49" t="n">
        <f aca="false">F2825</f>
        <v>0</v>
      </c>
      <c r="Q2825" s="49" t="n">
        <f aca="false">J2825</f>
        <v>0</v>
      </c>
      <c r="R2825" s="49" t="n">
        <f aca="false">N2825</f>
        <v>0</v>
      </c>
      <c r="S2825" s="50" t="n">
        <f aca="false">R2825</f>
        <v>0</v>
      </c>
    </row>
    <row r="2826" customFormat="false" ht="15" hidden="false" customHeight="false" outlineLevel="0" collapsed="false">
      <c r="A2826" s="4" t="s">
        <v>493</v>
      </c>
      <c r="B2826" s="36" t="s">
        <v>321</v>
      </c>
      <c r="C2826" s="48" t="n">
        <f aca="false">0</f>
        <v>0</v>
      </c>
      <c r="D2826" s="48" t="n">
        <f aca="false">0.5*C2825</f>
        <v>0</v>
      </c>
      <c r="E2826" s="48" t="n">
        <f aca="false">C2825+0.5*(D2825-C2825)</f>
        <v>0</v>
      </c>
      <c r="F2826" s="48" t="n">
        <f aca="false">D2825+0.5*(E2825-D2825)</f>
        <v>0</v>
      </c>
      <c r="G2826" s="48" t="n">
        <f aca="false">E2825+0.5*(F2825-E2825)</f>
        <v>0</v>
      </c>
      <c r="H2826" s="48" t="n">
        <f aca="false">F2825+0.5*(G2825-F2825)</f>
        <v>0</v>
      </c>
      <c r="I2826" s="48" t="n">
        <f aca="false">G2825+0.5*(H2825-G2825)</f>
        <v>0</v>
      </c>
      <c r="J2826" s="48" t="n">
        <f aca="false">H2825+0.5*(I2825-H2825)</f>
        <v>0</v>
      </c>
      <c r="K2826" s="48" t="n">
        <f aca="false">I2825+0.5*(J2825-I2825)</f>
        <v>0</v>
      </c>
      <c r="L2826" s="48" t="n">
        <f aca="false">J2825+0.5*(K2825-J2825)</f>
        <v>0</v>
      </c>
      <c r="M2826" s="48" t="n">
        <f aca="false">K2825+0.5*(L2825-K2825)</f>
        <v>0</v>
      </c>
      <c r="N2826" s="48" t="n">
        <f aca="false">L2825+0.5*(M2825-L2825)</f>
        <v>0</v>
      </c>
      <c r="P2826" s="49" t="n">
        <f aca="false">F2826</f>
        <v>0</v>
      </c>
      <c r="Q2826" s="49" t="n">
        <f aca="false">J2826</f>
        <v>0</v>
      </c>
      <c r="R2826" s="49" t="n">
        <f aca="false">N2826</f>
        <v>0</v>
      </c>
      <c r="S2826" s="50" t="n">
        <f aca="false">R2826</f>
        <v>0</v>
      </c>
    </row>
    <row r="2827" customFormat="false" ht="15" hidden="false" customHeight="false" outlineLevel="0" collapsed="false">
      <c r="A2827" s="4" t="s">
        <v>494</v>
      </c>
      <c r="B2827" s="36" t="s">
        <v>485</v>
      </c>
      <c r="C2827" s="39" t="n">
        <f aca="false">MIN(C2826*Assumptions!$H$38,C2822*(1-$C$2805))</f>
        <v>0</v>
      </c>
      <c r="D2827" s="39" t="n">
        <f aca="false">MIN(D2826*Assumptions!$H$38,D2822*(1-$C$2805))</f>
        <v>0</v>
      </c>
      <c r="E2827" s="39" t="n">
        <f aca="false">MIN(E2826*Assumptions!$H$38,E2822*(1-$C$2805))</f>
        <v>0</v>
      </c>
      <c r="F2827" s="39" t="n">
        <f aca="false">MIN(F2826*Assumptions!$H$38,F2822*(1-$C$2805))</f>
        <v>0</v>
      </c>
      <c r="G2827" s="39" t="n">
        <f aca="false">MIN(G2826*Assumptions!$H$38,G2822*(1-$C$2805))</f>
        <v>0</v>
      </c>
      <c r="H2827" s="39" t="n">
        <f aca="false">MIN(H2826*Assumptions!$H$38,H2822*(1-$C$2805))</f>
        <v>0</v>
      </c>
      <c r="I2827" s="39" t="n">
        <f aca="false">MIN(I2826*Assumptions!$H$38,I2822*(1-$C$2805))</f>
        <v>0</v>
      </c>
      <c r="J2827" s="39" t="n">
        <f aca="false">MIN(J2826*Assumptions!$H$38,J2822*(1-$C$2805))</f>
        <v>0</v>
      </c>
      <c r="K2827" s="39" t="n">
        <f aca="false">MIN(K2826*Assumptions!$H$38,K2822*(1-$C$2805))</f>
        <v>0</v>
      </c>
      <c r="L2827" s="39" t="n">
        <f aca="false">MIN(L2826*Assumptions!$H$38,L2822*(1-$C$2805))</f>
        <v>0</v>
      </c>
      <c r="M2827" s="39" t="n">
        <f aca="false">MIN(M2826*Assumptions!$H$38,M2822*(1-$C$2805))</f>
        <v>0</v>
      </c>
      <c r="N2827" s="39" t="n">
        <f aca="false">MIN(N2826*Assumptions!$H$38,N2822*(1-$C$2805))</f>
        <v>0</v>
      </c>
      <c r="P2827" s="40" t="n">
        <f aca="false">SUM(C2827:F2827)</f>
        <v>0</v>
      </c>
      <c r="Q2827" s="40" t="n">
        <f aca="false">SUM(G2827:J2827)</f>
        <v>0</v>
      </c>
      <c r="R2827" s="40" t="n">
        <f aca="false">SUM(K2827:N2827)</f>
        <v>0</v>
      </c>
      <c r="S2827" s="41" t="n">
        <f aca="false">SUM(P2827:R2827)</f>
        <v>0</v>
      </c>
    </row>
    <row r="2828" customFormat="false" ht="15" hidden="false" customHeight="false" outlineLevel="0" collapsed="false">
      <c r="A2828" s="4" t="s">
        <v>495</v>
      </c>
      <c r="B2828" s="36" t="s">
        <v>491</v>
      </c>
      <c r="C2828" s="48" t="n">
        <f aca="false">C2827*Assumptions!$H$20*Assumptions!$H$39*IF(C2822&gt;0,C2823/C2822,0)*C2812</f>
        <v>0</v>
      </c>
      <c r="D2828" s="48" t="n">
        <f aca="false">D2827*Assumptions!$H$20*Assumptions!$H$39*IF(D2822&gt;0,D2823/D2822,0)*D2812</f>
        <v>0</v>
      </c>
      <c r="E2828" s="48" t="n">
        <f aca="false">E2827*Assumptions!$H$20*Assumptions!$H$39*IF(E2822&gt;0,E2823/E2822,0)*E2812</f>
        <v>0</v>
      </c>
      <c r="F2828" s="48" t="n">
        <f aca="false">F2827*Assumptions!$H$20*Assumptions!$H$39*IF(F2822&gt;0,F2823/F2822,0)*F2812</f>
        <v>0</v>
      </c>
      <c r="G2828" s="48" t="n">
        <f aca="false">G2827*Assumptions!$H$20*Assumptions!$H$39*IF(G2822&gt;0,G2823/G2822,0)*G2812</f>
        <v>0</v>
      </c>
      <c r="H2828" s="48" t="n">
        <f aca="false">H2827*Assumptions!$H$20*Assumptions!$H$39*IF(H2822&gt;0,H2823/H2822,0)*H2812</f>
        <v>0</v>
      </c>
      <c r="I2828" s="48" t="n">
        <f aca="false">I2827*Assumptions!$H$20*Assumptions!$H$39*IF(I2822&gt;0,I2823/I2822,0)*I2812</f>
        <v>0</v>
      </c>
      <c r="J2828" s="48" t="n">
        <f aca="false">J2827*Assumptions!$H$20*Assumptions!$H$39*IF(J2822&gt;0,J2823/J2822,0)*J2812</f>
        <v>0</v>
      </c>
      <c r="K2828" s="48" t="n">
        <f aca="false">K2827*Assumptions!$H$20*Assumptions!$H$39*IF(K2822&gt;0,K2823/K2822,0)*K2812</f>
        <v>0</v>
      </c>
      <c r="L2828" s="48" t="n">
        <f aca="false">L2827*Assumptions!$H$20*Assumptions!$H$39*IF(L2822&gt;0,L2823/L2822,0)*L2812</f>
        <v>0</v>
      </c>
      <c r="M2828" s="48" t="n">
        <f aca="false">M2827*Assumptions!$H$20*Assumptions!$H$39*IF(M2822&gt;0,M2823/M2822,0)*M2812</f>
        <v>0</v>
      </c>
      <c r="N2828" s="48" t="n">
        <f aca="false">N2827*Assumptions!$H$20*Assumptions!$H$39*IF(N2822&gt;0,N2823/N2822,0)*N2812</f>
        <v>0</v>
      </c>
      <c r="P2828" s="49" t="n">
        <f aca="false">SUM(C2828:F2828)</f>
        <v>0</v>
      </c>
      <c r="Q2828" s="49" t="n">
        <f aca="false">SUM(G2828:J2828)</f>
        <v>0</v>
      </c>
      <c r="R2828" s="49" t="n">
        <f aca="false">SUM(K2828:N2828)</f>
        <v>0</v>
      </c>
      <c r="S2828" s="50" t="n">
        <f aca="false">SUM(P2828:R2828)</f>
        <v>0</v>
      </c>
    </row>
    <row r="2829" customFormat="false" ht="15" hidden="false" customHeight="false" outlineLevel="0" collapsed="false">
      <c r="A2829" s="4" t="s">
        <v>496</v>
      </c>
      <c r="B2829" s="36" t="s">
        <v>497</v>
      </c>
      <c r="C2829" s="48" t="n">
        <f aca="false">IF(AND(C2822&gt;0,$C$2809&gt;0),C2822*Assumptions!$H$24*(1-EXP(-$C$2809/(Assumptions!$H$23*C2822*Assumptions!$H$24))),0)</f>
        <v>0</v>
      </c>
      <c r="D2829" s="48" t="n">
        <f aca="false">IF(AND(D2822&gt;0,$C$2809&gt;0),D2822*Assumptions!$H$24*(1-EXP(-$C$2809/(Assumptions!$H$23*D2822*Assumptions!$H$24))),0)</f>
        <v>0</v>
      </c>
      <c r="E2829" s="48" t="n">
        <f aca="false">IF(AND(E2822&gt;0,$C$2809&gt;0),E2822*Assumptions!$H$24*(1-EXP(-$C$2809/(Assumptions!$H$23*E2822*Assumptions!$H$24))),0)</f>
        <v>0</v>
      </c>
      <c r="F2829" s="48" t="n">
        <f aca="false">IF(AND(F2822&gt;0,$C$2809&gt;0),F2822*Assumptions!$H$24*(1-EXP(-$C$2809/(Assumptions!$H$23*F2822*Assumptions!$H$24))),0)</f>
        <v>0</v>
      </c>
      <c r="G2829" s="48" t="n">
        <f aca="false">IF(AND(G2822&gt;0,$C$2809&gt;0),G2822*Assumptions!$H$24*(1-EXP(-$C$2809/(Assumptions!$H$23*G2822*Assumptions!$H$24))),0)</f>
        <v>0</v>
      </c>
      <c r="H2829" s="48" t="n">
        <f aca="false">IF(AND(H2822&gt;0,$C$2809&gt;0),H2822*Assumptions!$H$24*(1-EXP(-$C$2809/(Assumptions!$H$23*H2822*Assumptions!$H$24))),0)</f>
        <v>0</v>
      </c>
      <c r="I2829" s="48" t="n">
        <f aca="false">IF(AND(I2822&gt;0,$C$2809&gt;0),I2822*Assumptions!$H$24*(1-EXP(-$C$2809/(Assumptions!$H$23*I2822*Assumptions!$H$24))),0)</f>
        <v>0</v>
      </c>
      <c r="J2829" s="48" t="n">
        <f aca="false">IF(AND(J2822&gt;0,$C$2809&gt;0),J2822*Assumptions!$H$24*(1-EXP(-$C$2809/(Assumptions!$H$23*J2822*Assumptions!$H$24))),0)</f>
        <v>0</v>
      </c>
      <c r="K2829" s="48" t="n">
        <f aca="false">IF(AND(K2822&gt;0,$C$2809&gt;0),K2822*Assumptions!$H$24*(1-EXP(-$C$2809/(Assumptions!$H$23*K2822*Assumptions!$H$24))),0)</f>
        <v>0</v>
      </c>
      <c r="L2829" s="48" t="n">
        <f aca="false">IF(AND(L2822&gt;0,$C$2809&gt;0),L2822*Assumptions!$H$24*(1-EXP(-$C$2809/(Assumptions!$H$23*L2822*Assumptions!$H$24))),0)</f>
        <v>0</v>
      </c>
      <c r="M2829" s="48" t="n">
        <f aca="false">IF(AND(M2822&gt;0,$C$2809&gt;0),M2822*Assumptions!$H$24*(1-EXP(-$C$2809/(Assumptions!$H$23*M2822*Assumptions!$H$24))),0)</f>
        <v>0</v>
      </c>
      <c r="N2829" s="48" t="n">
        <f aca="false">IF(AND(N2822&gt;0,$C$2809&gt;0),N2822*Assumptions!$H$24*(1-EXP(-$C$2809/(Assumptions!$H$23*N2822*Assumptions!$H$24))),0)</f>
        <v>0</v>
      </c>
      <c r="P2829" s="49" t="n">
        <f aca="false">SUM(C2829:F2829)</f>
        <v>0</v>
      </c>
      <c r="Q2829" s="49" t="n">
        <f aca="false">SUM(G2829:J2829)</f>
        <v>0</v>
      </c>
      <c r="R2829" s="49" t="n">
        <f aca="false">SUM(K2829:N2829)</f>
        <v>0</v>
      </c>
      <c r="S2829" s="50" t="n">
        <f aca="false">SUM(P2829:R2829)</f>
        <v>0</v>
      </c>
    </row>
    <row r="2830" customFormat="false" ht="15" hidden="false" customHeight="false" outlineLevel="0" collapsed="false">
      <c r="A2830" s="4" t="s">
        <v>498</v>
      </c>
      <c r="B2830" s="36" t="s">
        <v>497</v>
      </c>
      <c r="C2830" s="48" t="n">
        <f aca="false">(C2822*Assumptions!$H$22*MIN(1,Assumptions!$F$103/Assumptions!$H$78)+C2829)*C2812</f>
        <v>10.304060382</v>
      </c>
      <c r="D2830" s="48" t="n">
        <f aca="false">(D2822*Assumptions!$H$22*MIN(1,Assumptions!$F$103/Assumptions!$H$78)+D2829)*D2812</f>
        <v>20.608120764</v>
      </c>
      <c r="E2830" s="48" t="n">
        <f aca="false">(E2822*Assumptions!$H$22*MIN(1,Assumptions!$F$103/Assumptions!$H$78)+E2829)*E2812</f>
        <v>20.608120764</v>
      </c>
      <c r="F2830" s="48" t="n">
        <f aca="false">(F2822*Assumptions!$H$22*MIN(1,Assumptions!$F$103/Assumptions!$H$78)+F2829)*F2812</f>
        <v>20.608120764</v>
      </c>
      <c r="G2830" s="48" t="n">
        <f aca="false">(G2822*Assumptions!$H$22*MIN(1,Assumptions!$F$103/Assumptions!$H$78)+G2829)*G2812</f>
        <v>30.7606542705</v>
      </c>
      <c r="H2830" s="48" t="n">
        <f aca="false">(H2822*Assumptions!$H$22*MIN(1,Assumptions!$F$103/Assumptions!$H$78)+H2829)*H2812</f>
        <v>40.913187777</v>
      </c>
      <c r="I2830" s="48" t="n">
        <f aca="false">(I2822*Assumptions!$H$22*MIN(1,Assumptions!$F$103/Assumptions!$H$78)+I2829)*I2812</f>
        <v>51.8979075615</v>
      </c>
      <c r="J2830" s="48" t="n">
        <f aca="false">(J2822*Assumptions!$H$22*MIN(1,Assumptions!$F$103/Assumptions!$H$78)+J2829)*J2812</f>
        <v>62.882627346</v>
      </c>
      <c r="K2830" s="48" t="n">
        <f aca="false">(K2822*Assumptions!$H$22*MIN(1,Assumptions!$F$103/Assumptions!$H$78)+K2829)*K2812</f>
        <v>62.882627346</v>
      </c>
      <c r="L2830" s="48" t="n">
        <f aca="false">(L2822*Assumptions!$H$22*MIN(1,Assumptions!$F$103/Assumptions!$H$78)+L2829)*L2812</f>
        <v>62.882627346</v>
      </c>
      <c r="M2830" s="48" t="n">
        <f aca="false">(M2822*Assumptions!$H$22*MIN(1,Assumptions!$F$103/Assumptions!$H$78)+M2829)*M2812</f>
        <v>62.882627346</v>
      </c>
      <c r="N2830" s="48" t="n">
        <f aca="false">(N2822*Assumptions!$H$22*MIN(1,Assumptions!$F$103/Assumptions!$H$78)+N2829)*N2812</f>
        <v>62.882627346</v>
      </c>
      <c r="P2830" s="49" t="n">
        <f aca="false">SUM(C2830:F2830)</f>
        <v>72.128422674</v>
      </c>
      <c r="Q2830" s="49" t="n">
        <f aca="false">SUM(G2830:J2830)</f>
        <v>186.454376955</v>
      </c>
      <c r="R2830" s="49" t="n">
        <f aca="false">SUM(K2830:N2830)</f>
        <v>251.530509384</v>
      </c>
      <c r="S2830" s="50" t="n">
        <f aca="false">SUM(P2830:R2830)</f>
        <v>510.113309013</v>
      </c>
    </row>
    <row r="2831" customFormat="false" ht="15" hidden="false" customHeight="false" outlineLevel="0" collapsed="false">
      <c r="A2831" s="4" t="s">
        <v>499</v>
      </c>
      <c r="B2831" s="36" t="s">
        <v>500</v>
      </c>
      <c r="C2831" s="48" t="n">
        <f aca="false">C2812*MIN(Assumptions!$H$27,Assumptions!$H$25+Assumptions!$H$26*(C2811-1))*Assumptions!$F$107</f>
        <v>1.5</v>
      </c>
      <c r="D2831" s="48" t="n">
        <f aca="false">D2812*MIN(Assumptions!$H$27,Assumptions!$H$25+Assumptions!$H$26*(D2811-1))*Assumptions!$F$107</f>
        <v>2</v>
      </c>
      <c r="E2831" s="48" t="n">
        <f aca="false">E2812*MIN(Assumptions!$H$27,Assumptions!$H$25+Assumptions!$H$26*(E2811-1))*Assumptions!$F$107</f>
        <v>2.5</v>
      </c>
      <c r="F2831" s="48" t="n">
        <f aca="false">F2812*MIN(Assumptions!$H$27,Assumptions!$H$25+Assumptions!$H$26*(F2811-1))*Assumptions!$F$107</f>
        <v>3</v>
      </c>
      <c r="G2831" s="48" t="n">
        <f aca="false">G2812*MIN(Assumptions!$H$27,Assumptions!$H$25+Assumptions!$H$26*(G2811-1))*Assumptions!$F$107</f>
        <v>3.5</v>
      </c>
      <c r="H2831" s="48" t="n">
        <f aca="false">H2812*MIN(Assumptions!$H$27,Assumptions!$H$25+Assumptions!$H$26*(H2811-1))*Assumptions!$F$107</f>
        <v>4</v>
      </c>
      <c r="I2831" s="48" t="n">
        <f aca="false">I2812*MIN(Assumptions!$H$27,Assumptions!$H$25+Assumptions!$H$26*(I2811-1))*Assumptions!$F$107</f>
        <v>4.5</v>
      </c>
      <c r="J2831" s="48" t="n">
        <f aca="false">J2812*MIN(Assumptions!$H$27,Assumptions!$H$25+Assumptions!$H$26*(J2811-1))*Assumptions!$F$107</f>
        <v>5</v>
      </c>
      <c r="K2831" s="48" t="n">
        <f aca="false">K2812*MIN(Assumptions!$H$27,Assumptions!$H$25+Assumptions!$H$26*(K2811-1))*Assumptions!$F$107</f>
        <v>5</v>
      </c>
      <c r="L2831" s="48" t="n">
        <f aca="false">L2812*MIN(Assumptions!$H$27,Assumptions!$H$25+Assumptions!$H$26*(L2811-1))*Assumptions!$F$107</f>
        <v>5</v>
      </c>
      <c r="M2831" s="48" t="n">
        <f aca="false">M2812*MIN(Assumptions!$H$27,Assumptions!$H$25+Assumptions!$H$26*(M2811-1))*Assumptions!$F$107</f>
        <v>5</v>
      </c>
      <c r="N2831" s="48" t="n">
        <f aca="false">N2812*MIN(Assumptions!$H$27,Assumptions!$H$25+Assumptions!$H$26*(N2811-1))*Assumptions!$F$107</f>
        <v>5</v>
      </c>
      <c r="P2831" s="49" t="n">
        <f aca="false">F2831</f>
        <v>3</v>
      </c>
      <c r="Q2831" s="49" t="n">
        <f aca="false">J2831</f>
        <v>5</v>
      </c>
      <c r="R2831" s="49" t="n">
        <f aca="false">N2831</f>
        <v>5</v>
      </c>
      <c r="S2831" s="50" t="n">
        <f aca="false">R2831</f>
        <v>5</v>
      </c>
    </row>
    <row r="2832" customFormat="false" ht="15" hidden="false" customHeight="false" outlineLevel="0" collapsed="false">
      <c r="A2832" s="4" t="s">
        <v>501</v>
      </c>
      <c r="B2832" s="36" t="s">
        <v>502</v>
      </c>
      <c r="C2832" s="48" t="n">
        <f aca="false">C2831*Assumptions!$H$28</f>
        <v>4.5</v>
      </c>
      <c r="D2832" s="48" t="n">
        <f aca="false">D2831*Assumptions!$H$28</f>
        <v>6</v>
      </c>
      <c r="E2832" s="48" t="n">
        <f aca="false">E2831*Assumptions!$H$28</f>
        <v>7.5</v>
      </c>
      <c r="F2832" s="48" t="n">
        <f aca="false">F2831*Assumptions!$H$28</f>
        <v>9</v>
      </c>
      <c r="G2832" s="48" t="n">
        <f aca="false">G2831*Assumptions!$H$28</f>
        <v>10.5</v>
      </c>
      <c r="H2832" s="48" t="n">
        <f aca="false">H2831*Assumptions!$H$28</f>
        <v>12</v>
      </c>
      <c r="I2832" s="48" t="n">
        <f aca="false">I2831*Assumptions!$H$28</f>
        <v>13.5</v>
      </c>
      <c r="J2832" s="48" t="n">
        <f aca="false">J2831*Assumptions!$H$28</f>
        <v>15</v>
      </c>
      <c r="K2832" s="48" t="n">
        <f aca="false">K2831*Assumptions!$H$28</f>
        <v>15</v>
      </c>
      <c r="L2832" s="48" t="n">
        <f aca="false">L2831*Assumptions!$H$28</f>
        <v>15</v>
      </c>
      <c r="M2832" s="48" t="n">
        <f aca="false">M2831*Assumptions!$H$28</f>
        <v>15</v>
      </c>
      <c r="N2832" s="48" t="n">
        <f aca="false">N2831*Assumptions!$H$28</f>
        <v>15</v>
      </c>
      <c r="P2832" s="49" t="n">
        <f aca="false">SUM(C2832:F2832)</f>
        <v>27</v>
      </c>
      <c r="Q2832" s="49" t="n">
        <f aca="false">SUM(G2832:J2832)</f>
        <v>51</v>
      </c>
      <c r="R2832" s="49" t="n">
        <f aca="false">SUM(K2832:N2832)</f>
        <v>60</v>
      </c>
      <c r="S2832" s="50" t="n">
        <f aca="false">SUM(P2832:R2832)</f>
        <v>138</v>
      </c>
    </row>
    <row r="2833" customFormat="false" ht="15" hidden="false" customHeight="false" outlineLevel="0" collapsed="false">
      <c r="A2833" s="4" t="s">
        <v>503</v>
      </c>
      <c r="B2833" s="36" t="s">
        <v>504</v>
      </c>
      <c r="C2833" s="48" t="n">
        <f aca="false">(C2824+C2828)*Assumptions!$H$29</f>
        <v>3.434686794</v>
      </c>
      <c r="D2833" s="48" t="n">
        <f aca="false">(D2824+D2828)*Assumptions!$H$29</f>
        <v>6.39267243998043</v>
      </c>
      <c r="E2833" s="48" t="n">
        <f aca="false">(E2824+E2828)*Assumptions!$H$29</f>
        <v>5.94905203529386</v>
      </c>
      <c r="F2833" s="48" t="n">
        <f aca="false">(F2824+F2828)*Assumptions!$H$29</f>
        <v>5.5362167310957</v>
      </c>
      <c r="G2833" s="48" t="n">
        <f aca="false">(G2824+G2828)*Assumptions!$H$29</f>
        <v>8.5362080265</v>
      </c>
      <c r="H2833" s="48" t="n">
        <f aca="false">(H2824+H2828)*Assumptions!$H$29</f>
        <v>11.0931690055492</v>
      </c>
      <c r="I2833" s="48" t="n">
        <f aca="false">(I2824+I2828)*Assumptions!$H$29</f>
        <v>13.9849302409049</v>
      </c>
      <c r="J2833" s="48" t="n">
        <f aca="false">(J2824+J2828)*Assumptions!$H$29</f>
        <v>16.4219219055002</v>
      </c>
      <c r="K2833" s="48" t="n">
        <f aca="false">(K2824+K2828)*Assumptions!$H$29</f>
        <v>15.2823203210537</v>
      </c>
      <c r="L2833" s="48" t="n">
        <f aca="false">(L2824+L2828)*Assumptions!$H$29</f>
        <v>14.2218015491273</v>
      </c>
      <c r="M2833" s="48" t="n">
        <f aca="false">(M2824+M2828)*Assumptions!$H$29</f>
        <v>13.2348776268037</v>
      </c>
      <c r="N2833" s="48" t="n">
        <f aca="false">(N2824+N2828)*Assumptions!$H$29</f>
        <v>12.3164414291251</v>
      </c>
      <c r="P2833" s="49" t="n">
        <f aca="false">SUM(C2833:F2833)</f>
        <v>21.31262800037</v>
      </c>
      <c r="Q2833" s="49" t="n">
        <f aca="false">SUM(G2833:J2833)</f>
        <v>50.0362291784542</v>
      </c>
      <c r="R2833" s="49" t="n">
        <f aca="false">SUM(K2833:N2833)</f>
        <v>55.0554409261098</v>
      </c>
      <c r="S2833" s="50" t="n">
        <f aca="false">SUM(P2833:R2833)</f>
        <v>126.404298104934</v>
      </c>
    </row>
    <row r="2834" customFormat="false" ht="15" hidden="false" customHeight="false" outlineLevel="0" collapsed="false">
      <c r="A2834" s="4" t="s">
        <v>505</v>
      </c>
      <c r="B2834" s="36" t="s">
        <v>504</v>
      </c>
      <c r="C2834" s="48" t="n">
        <f aca="false">C2830*Assumptions!$H$31</f>
        <v>1.64864966112</v>
      </c>
      <c r="D2834" s="48" t="n">
        <f aca="false">D2830*Assumptions!$H$31</f>
        <v>3.29729932224</v>
      </c>
      <c r="E2834" s="48" t="n">
        <f aca="false">E2830*Assumptions!$H$31</f>
        <v>3.29729932224</v>
      </c>
      <c r="F2834" s="48" t="n">
        <f aca="false">F2830*Assumptions!$H$31</f>
        <v>3.29729932224</v>
      </c>
      <c r="G2834" s="48" t="n">
        <f aca="false">G2830*Assumptions!$H$31</f>
        <v>4.92170468328</v>
      </c>
      <c r="H2834" s="48" t="n">
        <f aca="false">H2830*Assumptions!$H$31</f>
        <v>6.54611004432</v>
      </c>
      <c r="I2834" s="48" t="n">
        <f aca="false">I2830*Assumptions!$H$31</f>
        <v>8.30366520984</v>
      </c>
      <c r="J2834" s="48" t="n">
        <f aca="false">J2830*Assumptions!$H$31</f>
        <v>10.06122037536</v>
      </c>
      <c r="K2834" s="48" t="n">
        <f aca="false">K2830*Assumptions!$H$31</f>
        <v>10.06122037536</v>
      </c>
      <c r="L2834" s="48" t="n">
        <f aca="false">L2830*Assumptions!$H$31</f>
        <v>10.06122037536</v>
      </c>
      <c r="M2834" s="48" t="n">
        <f aca="false">M2830*Assumptions!$H$31</f>
        <v>10.06122037536</v>
      </c>
      <c r="N2834" s="48" t="n">
        <f aca="false">N2830*Assumptions!$H$31</f>
        <v>10.06122037536</v>
      </c>
      <c r="P2834" s="49" t="n">
        <f aca="false">SUM(C2834:F2834)</f>
        <v>11.54054762784</v>
      </c>
      <c r="Q2834" s="49" t="n">
        <f aca="false">SUM(G2834:J2834)</f>
        <v>29.8327003128</v>
      </c>
      <c r="R2834" s="49" t="n">
        <f aca="false">SUM(K2834:N2834)</f>
        <v>40.24488150144</v>
      </c>
      <c r="S2834" s="50" t="n">
        <f aca="false">SUM(P2834:R2834)</f>
        <v>81.61812944208</v>
      </c>
    </row>
    <row r="2835" customFormat="false" ht="15" hidden="false" customHeight="false" outlineLevel="0" collapsed="false">
      <c r="A2835" s="4" t="s">
        <v>506</v>
      </c>
      <c r="B2835" s="36" t="s">
        <v>504</v>
      </c>
      <c r="C2835" s="48" t="n">
        <f aca="false">C2832*Assumptions!$H$30</f>
        <v>2.25</v>
      </c>
      <c r="D2835" s="48" t="n">
        <f aca="false">D2832*Assumptions!$H$30</f>
        <v>3</v>
      </c>
      <c r="E2835" s="48" t="n">
        <f aca="false">E2832*Assumptions!$H$30</f>
        <v>3.75</v>
      </c>
      <c r="F2835" s="48" t="n">
        <f aca="false">F2832*Assumptions!$H$30</f>
        <v>4.5</v>
      </c>
      <c r="G2835" s="48" t="n">
        <f aca="false">G2832*Assumptions!$H$30</f>
        <v>5.25</v>
      </c>
      <c r="H2835" s="48" t="n">
        <f aca="false">H2832*Assumptions!$H$30</f>
        <v>6</v>
      </c>
      <c r="I2835" s="48" t="n">
        <f aca="false">I2832*Assumptions!$H$30</f>
        <v>6.75</v>
      </c>
      <c r="J2835" s="48" t="n">
        <f aca="false">J2832*Assumptions!$H$30</f>
        <v>7.5</v>
      </c>
      <c r="K2835" s="48" t="n">
        <f aca="false">K2832*Assumptions!$H$30</f>
        <v>7.5</v>
      </c>
      <c r="L2835" s="48" t="n">
        <f aca="false">L2832*Assumptions!$H$30</f>
        <v>7.5</v>
      </c>
      <c r="M2835" s="48" t="n">
        <f aca="false">M2832*Assumptions!$H$30</f>
        <v>7.5</v>
      </c>
      <c r="N2835" s="48" t="n">
        <f aca="false">N2832*Assumptions!$H$30</f>
        <v>7.5</v>
      </c>
      <c r="P2835" s="49" t="n">
        <f aca="false">SUM(C2835:F2835)</f>
        <v>13.5</v>
      </c>
      <c r="Q2835" s="49" t="n">
        <f aca="false">SUM(G2835:J2835)</f>
        <v>25.5</v>
      </c>
      <c r="R2835" s="49" t="n">
        <f aca="false">SUM(K2835:N2835)</f>
        <v>30</v>
      </c>
      <c r="S2835" s="50" t="n">
        <f aca="false">SUM(P2835:R2835)</f>
        <v>69</v>
      </c>
    </row>
    <row r="2836" customFormat="false" ht="15" hidden="false" customHeight="false" outlineLevel="0" collapsed="false">
      <c r="A2836" s="9" t="s">
        <v>507</v>
      </c>
      <c r="B2836" s="36" t="s">
        <v>504</v>
      </c>
      <c r="C2836" s="49" t="n">
        <f aca="false">C2833+C2834+C2835</f>
        <v>7.33333645512</v>
      </c>
      <c r="D2836" s="49" t="n">
        <f aca="false">D2833+D2834+D2835</f>
        <v>12.6899717622204</v>
      </c>
      <c r="E2836" s="49" t="n">
        <f aca="false">E2833+E2834+E2835</f>
        <v>12.9963513575339</v>
      </c>
      <c r="F2836" s="49" t="n">
        <f aca="false">F2833+F2834+F2835</f>
        <v>13.3335160533357</v>
      </c>
      <c r="G2836" s="49" t="n">
        <f aca="false">G2833+G2834+G2835</f>
        <v>18.70791270978</v>
      </c>
      <c r="H2836" s="49" t="n">
        <f aca="false">H2833+H2834+H2835</f>
        <v>23.6392790498692</v>
      </c>
      <c r="I2836" s="49" t="n">
        <f aca="false">I2833+I2834+I2835</f>
        <v>29.0385954507449</v>
      </c>
      <c r="J2836" s="49" t="n">
        <f aca="false">J2833+J2834+J2835</f>
        <v>33.9831422808602</v>
      </c>
      <c r="K2836" s="49" t="n">
        <f aca="false">K2833+K2834+K2835</f>
        <v>32.8435406964137</v>
      </c>
      <c r="L2836" s="49" t="n">
        <f aca="false">L2833+L2834+L2835</f>
        <v>31.7830219244873</v>
      </c>
      <c r="M2836" s="49" t="n">
        <f aca="false">M2833+M2834+M2835</f>
        <v>30.7960980021637</v>
      </c>
      <c r="N2836" s="49" t="n">
        <f aca="false">N2833+N2834+N2835</f>
        <v>29.8776618044851</v>
      </c>
      <c r="P2836" s="49" t="n">
        <f aca="false">SUM(C2836:F2836)</f>
        <v>46.35317562821</v>
      </c>
      <c r="Q2836" s="49" t="n">
        <f aca="false">SUM(G2836:J2836)</f>
        <v>105.368929491254</v>
      </c>
      <c r="R2836" s="49" t="n">
        <f aca="false">SUM(K2836:N2836)</f>
        <v>125.30032242755</v>
      </c>
      <c r="S2836" s="50" t="n">
        <f aca="false">SUM(P2836:R2836)</f>
        <v>277.022427547014</v>
      </c>
    </row>
    <row r="2837" customFormat="false" ht="15" hidden="false" customHeight="false" outlineLevel="0" collapsed="false">
      <c r="A2837" s="4" t="s">
        <v>508</v>
      </c>
      <c r="B2837" s="36" t="s">
        <v>509</v>
      </c>
      <c r="C2837" s="48" t="n">
        <f aca="false">C2819</f>
        <v>1371.907152</v>
      </c>
      <c r="D2837" s="48" t="n">
        <f aca="false">D2819</f>
        <v>2743.814304</v>
      </c>
      <c r="E2837" s="48" t="n">
        <f aca="false">E2819</f>
        <v>2743.814304</v>
      </c>
      <c r="F2837" s="48" t="n">
        <f aca="false">F2819</f>
        <v>2743.814304</v>
      </c>
      <c r="G2837" s="48" t="n">
        <f aca="false">G2819</f>
        <v>4099.55809725</v>
      </c>
      <c r="H2837" s="48" t="n">
        <f aca="false">H2819</f>
        <v>5455.3018905</v>
      </c>
      <c r="I2837" s="48" t="n">
        <f aca="false">I2819</f>
        <v>6853.51410975</v>
      </c>
      <c r="J2837" s="48" t="n">
        <f aca="false">J2819</f>
        <v>8251.726329</v>
      </c>
      <c r="K2837" s="48" t="n">
        <f aca="false">K2819</f>
        <v>8251.726329</v>
      </c>
      <c r="L2837" s="48" t="n">
        <f aca="false">L2819</f>
        <v>8251.726329</v>
      </c>
      <c r="M2837" s="48" t="n">
        <f aca="false">M2819</f>
        <v>8251.726329</v>
      </c>
      <c r="N2837" s="48" t="n">
        <f aca="false">N2819</f>
        <v>8251.726329</v>
      </c>
      <c r="P2837" s="49"/>
      <c r="Q2837" s="49"/>
      <c r="R2837" s="49"/>
      <c r="S2837" s="50"/>
    </row>
    <row r="2838" customFormat="false" ht="15" hidden="false" customHeight="false" outlineLevel="0" collapsed="false">
      <c r="A2838" s="4" t="s">
        <v>510</v>
      </c>
      <c r="B2838" s="36" t="s">
        <v>509</v>
      </c>
      <c r="C2838" s="48" t="n">
        <f aca="false">C2820*Assumptions!$H$18*Assumptions!$H$33</f>
        <v>560.531664</v>
      </c>
      <c r="D2838" s="48" t="n">
        <f aca="false">D2820*Assumptions!$H$18*Assumptions!$H$33</f>
        <v>1121.063328</v>
      </c>
      <c r="E2838" s="48" t="n">
        <f aca="false">E2820*Assumptions!$H$18*Assumptions!$H$33</f>
        <v>1121.063328</v>
      </c>
      <c r="F2838" s="48" t="n">
        <f aca="false">F2820*Assumptions!$H$18*Assumptions!$H$33</f>
        <v>1121.063328</v>
      </c>
      <c r="G2838" s="48" t="n">
        <f aca="false">G2820*Assumptions!$H$18*Assumptions!$H$33</f>
        <v>1679.579055</v>
      </c>
      <c r="H2838" s="48" t="n">
        <f aca="false">H2820*Assumptions!$H$18*Assumptions!$H$33</f>
        <v>2238.094782</v>
      </c>
      <c r="I2838" s="48" t="n">
        <f aca="false">I2820*Assumptions!$H$18*Assumptions!$H$33</f>
        <v>2952.694899</v>
      </c>
      <c r="J2838" s="48" t="n">
        <f aca="false">J2820*Assumptions!$H$18*Assumptions!$H$33</f>
        <v>3667.295016</v>
      </c>
      <c r="K2838" s="48" t="n">
        <f aca="false">K2820*Assumptions!$H$18*Assumptions!$H$33</f>
        <v>3667.295016</v>
      </c>
      <c r="L2838" s="48" t="n">
        <f aca="false">L2820*Assumptions!$H$18*Assumptions!$H$33</f>
        <v>3667.295016</v>
      </c>
      <c r="M2838" s="48" t="n">
        <f aca="false">M2820*Assumptions!$H$18*Assumptions!$H$33</f>
        <v>3667.295016</v>
      </c>
      <c r="N2838" s="48" t="n">
        <f aca="false">N2820*Assumptions!$H$18*Assumptions!$H$33</f>
        <v>3667.295016</v>
      </c>
      <c r="P2838" s="49"/>
      <c r="Q2838" s="49"/>
      <c r="R2838" s="49"/>
      <c r="S2838" s="50"/>
    </row>
    <row r="2839" customFormat="false" ht="15" hidden="false" customHeight="false" outlineLevel="0" collapsed="false">
      <c r="A2839" s="4" t="s">
        <v>511</v>
      </c>
      <c r="B2839" s="36" t="s">
        <v>509</v>
      </c>
      <c r="C2839" s="48" t="n">
        <f aca="false">C2821*Assumptions!$H$19*Assumptions!$H$34</f>
        <v>91.2385782</v>
      </c>
      <c r="D2839" s="48" t="n">
        <f aca="false">D2821*Assumptions!$H$19*Assumptions!$H$34</f>
        <v>182.4771564</v>
      </c>
      <c r="E2839" s="48" t="n">
        <f aca="false">E2821*Assumptions!$H$19*Assumptions!$H$34</f>
        <v>182.4771564</v>
      </c>
      <c r="F2839" s="48" t="n">
        <f aca="false">F2821*Assumptions!$H$19*Assumptions!$H$34</f>
        <v>182.4771564</v>
      </c>
      <c r="G2839" s="48" t="n">
        <f aca="false">G2821*Assumptions!$H$19*Assumptions!$H$34</f>
        <v>262.3993218</v>
      </c>
      <c r="H2839" s="48" t="n">
        <f aca="false">H2821*Assumptions!$H$19*Assumptions!$H$34</f>
        <v>342.3214872</v>
      </c>
      <c r="I2839" s="48" t="n">
        <f aca="false">I2821*Assumptions!$H$19*Assumptions!$H$34</f>
        <v>447.7055814</v>
      </c>
      <c r="J2839" s="48" t="n">
        <f aca="false">J2821*Assumptions!$H$19*Assumptions!$H$34</f>
        <v>553.0896756</v>
      </c>
      <c r="K2839" s="48" t="n">
        <f aca="false">K2821*Assumptions!$H$19*Assumptions!$H$34</f>
        <v>553.0896756</v>
      </c>
      <c r="L2839" s="48" t="n">
        <f aca="false">L2821*Assumptions!$H$19*Assumptions!$H$34</f>
        <v>553.0896756</v>
      </c>
      <c r="M2839" s="48" t="n">
        <f aca="false">M2821*Assumptions!$H$19*Assumptions!$H$34</f>
        <v>553.0896756</v>
      </c>
      <c r="N2839" s="48" t="n">
        <f aca="false">N2821*Assumptions!$H$19*Assumptions!$H$34</f>
        <v>553.0896756</v>
      </c>
      <c r="P2839" s="49"/>
      <c r="Q2839" s="49"/>
      <c r="R2839" s="49"/>
      <c r="S2839" s="50"/>
    </row>
    <row r="2840" customFormat="false" ht="15" hidden="false" customHeight="false" outlineLevel="0" collapsed="false">
      <c r="A2840" s="4" t="s">
        <v>512</v>
      </c>
      <c r="B2840" s="36" t="s">
        <v>77</v>
      </c>
      <c r="C2840" s="51" t="n">
        <f aca="false">IFERROR(C2837/(C2837+C2838+C2839),0)</f>
        <v>0.677927794188926</v>
      </c>
      <c r="D2840" s="51" t="n">
        <f aca="false">IFERROR(D2837/(D2837+D2838+D2839),0)</f>
        <v>0.677927794188926</v>
      </c>
      <c r="E2840" s="51" t="n">
        <f aca="false">IFERROR(E2837/(E2837+E2838+E2839),0)</f>
        <v>0.677927794188926</v>
      </c>
      <c r="F2840" s="51" t="n">
        <f aca="false">IFERROR(F2837/(F2837+F2838+F2839),0)</f>
        <v>0.677927794188926</v>
      </c>
      <c r="G2840" s="51" t="n">
        <f aca="false">IFERROR(G2837/(G2837+G2838+G2839),0)</f>
        <v>0.678562169550526</v>
      </c>
      <c r="H2840" s="51" t="n">
        <f aca="false">IFERROR(H2837/(H2837+H2838+H2839),0)</f>
        <v>0.678881685753855</v>
      </c>
      <c r="I2840" s="51" t="n">
        <f aca="false">IFERROR(I2837/(I2837+I2838+I2839),0)</f>
        <v>0.668380260972092</v>
      </c>
      <c r="J2840" s="51" t="n">
        <f aca="false">IFERROR(J2837/(J2837+J2838+J2839),0)</f>
        <v>0.661614246006209</v>
      </c>
      <c r="K2840" s="51" t="n">
        <f aca="false">IFERROR(K2837/(K2837+K2838+K2839),0)</f>
        <v>0.661614246006209</v>
      </c>
      <c r="L2840" s="51" t="n">
        <f aca="false">IFERROR(L2837/(L2837+L2838+L2839),0)</f>
        <v>0.661614246006209</v>
      </c>
      <c r="M2840" s="51" t="n">
        <f aca="false">IFERROR(M2837/(M2837+M2838+M2839),0)</f>
        <v>0.661614246006209</v>
      </c>
      <c r="N2840" s="51" t="n">
        <f aca="false">IFERROR(N2837/(N2837+N2838+N2839),0)</f>
        <v>0.661614246006209</v>
      </c>
      <c r="P2840" s="52"/>
      <c r="Q2840" s="52"/>
      <c r="R2840" s="52"/>
      <c r="S2840" s="53"/>
    </row>
    <row r="2841" customFormat="false" ht="15" hidden="false" customHeight="false" outlineLevel="0" collapsed="false">
      <c r="A2841" s="4" t="s">
        <v>513</v>
      </c>
      <c r="B2841" s="36" t="s">
        <v>77</v>
      </c>
      <c r="C2841" s="51" t="n">
        <f aca="false">IFERROR(C2838/(C2837+C2838+C2839),0)</f>
        <v>0.276986670704789</v>
      </c>
      <c r="D2841" s="51" t="n">
        <f aca="false">IFERROR(D2838/(D2837+D2838+D2839),0)</f>
        <v>0.276986670704789</v>
      </c>
      <c r="E2841" s="51" t="n">
        <f aca="false">IFERROR(E2838/(E2837+E2838+E2839),0)</f>
        <v>0.276986670704789</v>
      </c>
      <c r="F2841" s="51" t="n">
        <f aca="false">IFERROR(F2838/(F2837+F2838+F2839),0)</f>
        <v>0.276986670704789</v>
      </c>
      <c r="G2841" s="51" t="n">
        <f aca="false">IFERROR(G2838/(G2837+G2838+G2839),0)</f>
        <v>0.278005282632032</v>
      </c>
      <c r="H2841" s="51" t="n">
        <f aca="false">IFERROR(H2838/(H2837+H2838+H2839),0)</f>
        <v>0.278518327487428</v>
      </c>
      <c r="I2841" s="51" t="n">
        <f aca="false">IFERROR(I2838/(I2837+I2838+I2839),0)</f>
        <v>0.287957820697706</v>
      </c>
      <c r="J2841" s="51" t="n">
        <f aca="false">IFERROR(J2838/(J2837+J2838+J2839),0)</f>
        <v>0.294039638513703</v>
      </c>
      <c r="K2841" s="51" t="n">
        <f aca="false">IFERROR(K2838/(K2837+K2838+K2839),0)</f>
        <v>0.294039638513703</v>
      </c>
      <c r="L2841" s="51" t="n">
        <f aca="false">IFERROR(L2838/(L2837+L2838+L2839),0)</f>
        <v>0.294039638513703</v>
      </c>
      <c r="M2841" s="51" t="n">
        <f aca="false">IFERROR(M2838/(M2837+M2838+M2839),0)</f>
        <v>0.294039638513703</v>
      </c>
      <c r="N2841" s="51" t="n">
        <f aca="false">IFERROR(N2838/(N2837+N2838+N2839),0)</f>
        <v>0.294039638513703</v>
      </c>
      <c r="P2841" s="52"/>
      <c r="Q2841" s="52"/>
      <c r="R2841" s="52"/>
      <c r="S2841" s="53"/>
    </row>
    <row r="2842" customFormat="false" ht="15" hidden="false" customHeight="false" outlineLevel="0" collapsed="false">
      <c r="A2842" s="4" t="s">
        <v>514</v>
      </c>
      <c r="B2842" s="36" t="s">
        <v>77</v>
      </c>
      <c r="C2842" s="51" t="n">
        <f aca="false">IFERROR(C2839/(C2837+C2838+C2839),0)</f>
        <v>0.0450855351062853</v>
      </c>
      <c r="D2842" s="51" t="n">
        <f aca="false">IFERROR(D2839/(D2837+D2838+D2839),0)</f>
        <v>0.0450855351062853</v>
      </c>
      <c r="E2842" s="51" t="n">
        <f aca="false">IFERROR(E2839/(E2837+E2838+E2839),0)</f>
        <v>0.0450855351062853</v>
      </c>
      <c r="F2842" s="51" t="n">
        <f aca="false">IFERROR(F2839/(F2837+F2838+F2839),0)</f>
        <v>0.0450855351062853</v>
      </c>
      <c r="G2842" s="51" t="n">
        <f aca="false">IFERROR(G2839/(G2837+G2838+G2839),0)</f>
        <v>0.0434325478174426</v>
      </c>
      <c r="H2842" s="51" t="n">
        <f aca="false">IFERROR(H2839/(H2837+H2838+H2839),0)</f>
        <v>0.0425999867587168</v>
      </c>
      <c r="I2842" s="51" t="n">
        <f aca="false">IFERROR(I2839/(I2837+I2838+I2839),0)</f>
        <v>0.0436619183302024</v>
      </c>
      <c r="J2842" s="51" t="n">
        <f aca="false">IFERROR(J2839/(J2837+J2838+J2839),0)</f>
        <v>0.0443461154800875</v>
      </c>
      <c r="K2842" s="51" t="n">
        <f aca="false">IFERROR(K2839/(K2837+K2838+K2839),0)</f>
        <v>0.0443461154800875</v>
      </c>
      <c r="L2842" s="51" t="n">
        <f aca="false">IFERROR(L2839/(L2837+L2838+L2839),0)</f>
        <v>0.0443461154800875</v>
      </c>
      <c r="M2842" s="51" t="n">
        <f aca="false">IFERROR(M2839/(M2837+M2838+M2839),0)</f>
        <v>0.0443461154800875</v>
      </c>
      <c r="N2842" s="51" t="n">
        <f aca="false">IFERROR(N2839/(N2837+N2838+N2839),0)</f>
        <v>0.0443461154800875</v>
      </c>
      <c r="P2842" s="52"/>
      <c r="Q2842" s="52"/>
      <c r="R2842" s="52"/>
      <c r="S2842" s="53"/>
    </row>
    <row r="2843" customFormat="false" ht="15" hidden="false" customHeight="false" outlineLevel="0" collapsed="false">
      <c r="A2843" s="4" t="s">
        <v>515</v>
      </c>
      <c r="B2843" s="36" t="s">
        <v>516</v>
      </c>
      <c r="C2843" s="48" t="n">
        <f aca="false">IF(C2811-Assumptions!$H$35&lt;1,0,INDEX($C$2836:$N$2836,1,C2811-Assumptions!$H$35)*INDEX($C$2840:$N$2840,1,C2811-Assumptions!$H$35)*Assumptions!$H$32)</f>
        <v>0</v>
      </c>
      <c r="D2843" s="48" t="n">
        <f aca="false">IF(D2811-Assumptions!$H$35&lt;1,0,INDEX($C$2836:$N$2836,1,D2811-Assumptions!$H$35)*INDEX($C$2840:$N$2840,1,D2811-Assumptions!$H$35)*Assumptions!$H$32)</f>
        <v>0.894865069271654</v>
      </c>
      <c r="E2843" s="48" t="n">
        <f aca="false">IF(E2811-Assumptions!$H$35&lt;1,0,INDEX($C$2836:$N$2836,1,E2811-Assumptions!$H$35)*INDEX($C$2840:$N$2840,1,E2811-Assumptions!$H$35)*Assumptions!$H$32)</f>
        <v>1.54851922171473</v>
      </c>
      <c r="F2843" s="48" t="n">
        <f aca="false">IF(F2811-Assumptions!$H$35&lt;1,0,INDEX($C$2836:$N$2836,1,F2811-Assumptions!$H$35)*INDEX($C$2840:$N$2840,1,F2811-Assumptions!$H$35)*Assumptions!$H$32)</f>
        <v>1.58590580549709</v>
      </c>
      <c r="G2843" s="48" t="n">
        <f aca="false">IF(G2811-Assumptions!$H$35&lt;1,0,INDEX($C$2836:$N$2836,1,G2811-Assumptions!$H$35)*INDEX($C$2840:$N$2840,1,G2811-Assumptions!$H$35)*Assumptions!$H$32)</f>
        <v>1.62704900282769</v>
      </c>
      <c r="H2843" s="48" t="n">
        <f aca="false">IF(H2811-Assumptions!$H$35&lt;1,0,INDEX($C$2836:$N$2836,1,H2811-Assumptions!$H$35)*INDEX($C$2840:$N$2840,1,H2811-Assumptions!$H$35)*Assumptions!$H$32)</f>
        <v>2.28500673049983</v>
      </c>
      <c r="I2843" s="48" t="n">
        <f aca="false">IF(I2811-Assumptions!$H$35&lt;1,0,INDEX($C$2836:$N$2836,1,I2811-Assumptions!$H$35)*INDEX($C$2840:$N$2840,1,I2811-Assumptions!$H$35)*Assumptions!$H$32)</f>
        <v>2.88868925004857</v>
      </c>
      <c r="J2843" s="48" t="n">
        <f aca="false">IF(J2811-Assumptions!$H$35&lt;1,0,INDEX($C$2836:$N$2836,1,J2811-Assumptions!$H$35)*INDEX($C$2840:$N$2840,1,J2811-Assumptions!$H$35)*Assumptions!$H$32)</f>
        <v>3.49358832101374</v>
      </c>
      <c r="K2843" s="48" t="n">
        <f aca="false">IF(K2811-Assumptions!$H$35&lt;1,0,INDEX($C$2836:$N$2836,1,K2811-Assumptions!$H$35)*INDEX($C$2840:$N$2840,1,K2811-Assumptions!$H$35)*Assumptions!$H$32)</f>
        <v>4.04707159027315</v>
      </c>
      <c r="L2843" s="48" t="n">
        <f aca="false">IF(L2811-Assumptions!$H$35&lt;1,0,INDEX($C$2836:$N$2836,1,L2811-Assumptions!$H$35)*INDEX($C$2840:$N$2840,1,L2811-Assumptions!$H$35)*Assumptions!$H$32)</f>
        <v>3.91135579452576</v>
      </c>
      <c r="M2843" s="48" t="n">
        <f aca="false">IF(M2811-Assumptions!$H$35&lt;1,0,INDEX($C$2836:$N$2836,1,M2811-Assumptions!$H$35)*INDEX($C$2840:$N$2840,1,M2811-Assumptions!$H$35)*Assumptions!$H$32)</f>
        <v>3.78505801554633</v>
      </c>
      <c r="N2843" s="48" t="n">
        <f aca="false">IF(N2811-Assumptions!$H$35&lt;1,0,INDEX($C$2836:$N$2836,1,N2811-Assumptions!$H$35)*INDEX($C$2840:$N$2840,1,N2811-Assumptions!$H$35)*Assumptions!$H$32)</f>
        <v>3.66752468873427</v>
      </c>
      <c r="P2843" s="49" t="n">
        <f aca="false">SUM(C2843:F2843)</f>
        <v>4.02929009648348</v>
      </c>
      <c r="Q2843" s="49" t="n">
        <f aca="false">SUM(G2843:J2843)</f>
        <v>10.2943333043898</v>
      </c>
      <c r="R2843" s="49" t="n">
        <f aca="false">SUM(K2843:N2843)</f>
        <v>15.4110100890795</v>
      </c>
      <c r="S2843" s="50" t="n">
        <f aca="false">SUM(P2843:R2843)</f>
        <v>29.7346334899528</v>
      </c>
    </row>
    <row r="2844" customFormat="false" ht="15" hidden="false" customHeight="false" outlineLevel="0" collapsed="false">
      <c r="A2844" s="4" t="s">
        <v>517</v>
      </c>
      <c r="B2844" s="36" t="s">
        <v>516</v>
      </c>
      <c r="C2844" s="48" t="n">
        <f aca="false">IF(C2811-Assumptions!$H$35&lt;1,0,INDEX($C$2836:$N$2836,1,C2811-Assumptions!$H$35)*INDEX($C$2841:$N$2841,1,C2811-Assumptions!$H$35)*Assumptions!$H$32)</f>
        <v>0</v>
      </c>
      <c r="D2844" s="48" t="n">
        <f aca="false">IF(D2811-Assumptions!$H$35&lt;1,0,INDEX($C$2836:$N$2836,1,D2811-Assumptions!$H$35)*INDEX($C$2841:$N$2841,1,D2811-Assumptions!$H$35)*Assumptions!$H$32)</f>
        <v>0.365622560975114</v>
      </c>
      <c r="E2844" s="48" t="n">
        <f aca="false">IF(E2811-Assumptions!$H$35&lt;1,0,INDEX($C$2836:$N$2836,1,E2811-Assumptions!$H$35)*INDEX($C$2841:$N$2841,1,E2811-Assumptions!$H$35)*Assumptions!$H$32)</f>
        <v>0.632691545355939</v>
      </c>
      <c r="F2844" s="48" t="n">
        <f aca="false">IF(F2811-Assumptions!$H$35&lt;1,0,INDEX($C$2836:$N$2836,1,F2811-Assumptions!$H$35)*INDEX($C$2841:$N$2841,1,F2811-Assumptions!$H$35)*Assumptions!$H$32)</f>
        <v>0.647966896889934</v>
      </c>
      <c r="G2844" s="48" t="n">
        <f aca="false">IF(G2811-Assumptions!$H$35&lt;1,0,INDEX($C$2836:$N$2836,1,G2811-Assumptions!$H$35)*INDEX($C$2841:$N$2841,1,G2811-Assumptions!$H$35)*Assumptions!$H$32)</f>
        <v>0.664777119672416</v>
      </c>
      <c r="H2844" s="48" t="n">
        <f aca="false">IF(H2811-Assumptions!$H$35&lt;1,0,INDEX($C$2836:$N$2836,1,H2811-Assumptions!$H$35)*INDEX($C$2841:$N$2841,1,H2811-Assumptions!$H$35)*Assumptions!$H$32)</f>
        <v>0.936161740860799</v>
      </c>
      <c r="I2844" s="48" t="n">
        <f aca="false">IF(I2811-Assumptions!$H$35&lt;1,0,INDEX($C$2836:$N$2836,1,I2811-Assumptions!$H$35)*INDEX($C$2841:$N$2841,1,I2811-Assumptions!$H$35)*Assumptions!$H$32)</f>
        <v>1.18511504351607</v>
      </c>
      <c r="J2844" s="48" t="n">
        <f aca="false">IF(J2811-Assumptions!$H$35&lt;1,0,INDEX($C$2836:$N$2836,1,J2811-Assumptions!$H$35)*INDEX($C$2841:$N$2841,1,J2811-Assumptions!$H$35)*Assumptions!$H$32)</f>
        <v>1.50514031918138</v>
      </c>
      <c r="K2844" s="48" t="n">
        <f aca="false">IF(K2811-Assumptions!$H$35&lt;1,0,INDEX($C$2836:$N$2836,1,K2811-Assumptions!$H$35)*INDEX($C$2841:$N$2841,1,K2811-Assumptions!$H$35)*Assumptions!$H$32)</f>
        <v>1.7986303569283</v>
      </c>
      <c r="L2844" s="48" t="n">
        <f aca="false">IF(L2811-Assumptions!$H$35&lt;1,0,INDEX($C$2836:$N$2836,1,L2811-Assumptions!$H$35)*INDEX($C$2841:$N$2841,1,L2811-Assumptions!$H$35)*Assumptions!$H$32)</f>
        <v>1.73831451009905</v>
      </c>
      <c r="M2844" s="48" t="n">
        <f aca="false">IF(M2811-Assumptions!$H$35&lt;1,0,INDEX($C$2836:$N$2836,1,M2811-Assumptions!$H$35)*INDEX($C$2841:$N$2841,1,M2811-Assumptions!$H$35)*Assumptions!$H$32)</f>
        <v>1.68218428995888</v>
      </c>
      <c r="N2844" s="48" t="n">
        <f aca="false">IF(N2811-Assumptions!$H$35&lt;1,0,INDEX($C$2836:$N$2836,1,N2811-Assumptions!$H$35)*INDEX($C$2841:$N$2841,1,N2811-Assumptions!$H$35)*Assumptions!$H$32)</f>
        <v>1.62994923435398</v>
      </c>
      <c r="P2844" s="49" t="n">
        <f aca="false">SUM(C2844:F2844)</f>
        <v>1.64628100322099</v>
      </c>
      <c r="Q2844" s="49" t="n">
        <f aca="false">SUM(G2844:J2844)</f>
        <v>4.29119422323067</v>
      </c>
      <c r="R2844" s="49" t="n">
        <f aca="false">SUM(K2844:N2844)</f>
        <v>6.84907839134021</v>
      </c>
      <c r="S2844" s="50" t="n">
        <f aca="false">SUM(P2844:R2844)</f>
        <v>12.7865536177919</v>
      </c>
    </row>
    <row r="2845" customFormat="false" ht="15" hidden="false" customHeight="false" outlineLevel="0" collapsed="false">
      <c r="A2845" s="4" t="s">
        <v>518</v>
      </c>
      <c r="B2845" s="36" t="s">
        <v>516</v>
      </c>
      <c r="C2845" s="48" t="n">
        <f aca="false">IF(C2811-Assumptions!$H$36&lt;1,0,INDEX($C$2836:$N$2836,1,C2811-Assumptions!$H$36)*INDEX($C$2842:$N$2842,1,C2811-Assumptions!$H$36)*Assumptions!$H$32)</f>
        <v>0</v>
      </c>
      <c r="D2845" s="48" t="n">
        <f aca="false">IF(D2811-Assumptions!$H$36&lt;1,0,INDEX($C$2836:$N$2836,1,D2811-Assumptions!$H$36)*INDEX($C$2842:$N$2842,1,D2811-Assumptions!$H$36)*Assumptions!$H$32)</f>
        <v>0</v>
      </c>
      <c r="E2845" s="48" t="n">
        <f aca="false">IF(E2811-Assumptions!$H$36&lt;1,0,INDEX($C$2836:$N$2836,1,E2811-Assumptions!$H$36)*INDEX($C$2842:$N$2842,1,E2811-Assumptions!$H$36)*Assumptions!$H$32)</f>
        <v>0.0595129316748326</v>
      </c>
      <c r="F2845" s="48" t="n">
        <f aca="false">IF(F2811-Assumptions!$H$36&lt;1,0,INDEX($C$2836:$N$2836,1,F2811-Assumptions!$H$36)*INDEX($C$2842:$N$2842,1,F2811-Assumptions!$H$36)*Assumptions!$H$32)</f>
        <v>0.102984150129004</v>
      </c>
      <c r="G2845" s="48" t="n">
        <f aca="false">IF(G2811-Assumptions!$H$36&lt;1,0,INDEX($C$2836:$N$2836,1,G2811-Assumptions!$H$36)*INDEX($C$2842:$N$2842,1,G2811-Assumptions!$H$36)*Assumptions!$H$32)</f>
        <v>0.105470541969068</v>
      </c>
      <c r="H2845" s="48" t="n">
        <f aca="false">IF(H2811-Assumptions!$H$36&lt;1,0,INDEX($C$2836:$N$2836,1,H2811-Assumptions!$H$36)*INDEX($C$2842:$N$2842,1,H2811-Assumptions!$H$36)*Assumptions!$H$32)</f>
        <v>0.108206767100319</v>
      </c>
      <c r="I2845" s="48" t="n">
        <f aca="false">IF(I2811-Assumptions!$H$36&lt;1,0,INDEX($C$2836:$N$2836,1,I2811-Assumptions!$H$36)*INDEX($C$2842:$N$2842,1,I2811-Assumptions!$H$36)*Assumptions!$H$32)</f>
        <v>0.146255816399771</v>
      </c>
      <c r="J2845" s="48" t="n">
        <f aca="false">IF(J2811-Assumptions!$H$36&lt;1,0,INDEX($C$2836:$N$2836,1,J2811-Assumptions!$H$36)*INDEX($C$2842:$N$2842,1,J2811-Assumptions!$H$36)*Assumptions!$H$32)</f>
        <v>0.181265935411807</v>
      </c>
      <c r="K2845" s="48" t="n">
        <f aca="false">IF(K2811-Assumptions!$H$36&lt;1,0,INDEX($C$2836:$N$2836,1,K2811-Assumptions!$H$36)*INDEX($C$2842:$N$2842,1,K2811-Assumptions!$H$36)*Assumptions!$H$32)</f>
        <v>0.228218540938958</v>
      </c>
      <c r="L2845" s="48" t="n">
        <f aca="false">IF(L2811-Assumptions!$H$36&lt;1,0,INDEX($C$2836:$N$2836,1,L2811-Assumptions!$H$36)*INDEX($C$2842:$N$2842,1,L2811-Assumptions!$H$36)*Assumptions!$H$32)</f>
        <v>0.271263663353389</v>
      </c>
      <c r="M2845" s="48" t="n">
        <f aca="false">IF(M2811-Assumptions!$H$36&lt;1,0,INDEX($C$2836:$N$2836,1,M2811-Assumptions!$H$36)*INDEX($C$2842:$N$2842,1,M2811-Assumptions!$H$36)*Assumptions!$H$32)</f>
        <v>0.262167020729661</v>
      </c>
      <c r="N2845" s="48" t="n">
        <f aca="false">IF(N2811-Assumptions!$H$36&lt;1,0,INDEX($C$2836:$N$2836,1,N2811-Assumptions!$H$36)*INDEX($C$2842:$N$2842,1,N2811-Assumptions!$H$36)*Assumptions!$H$32)</f>
        <v>0.253701640902504</v>
      </c>
      <c r="P2845" s="49" t="n">
        <f aca="false">SUM(C2845:F2845)</f>
        <v>0.162497081803837</v>
      </c>
      <c r="Q2845" s="49" t="n">
        <f aca="false">SUM(G2845:J2845)</f>
        <v>0.541199060880965</v>
      </c>
      <c r="R2845" s="49" t="n">
        <f aca="false">SUM(K2845:N2845)</f>
        <v>1.01535086592451</v>
      </c>
      <c r="S2845" s="50" t="n">
        <f aca="false">SUM(P2845:R2845)</f>
        <v>1.71904700860931</v>
      </c>
    </row>
    <row r="2846" customFormat="false" ht="15" hidden="false" customHeight="false" outlineLevel="0" collapsed="false">
      <c r="A2846" s="4" t="s">
        <v>519</v>
      </c>
      <c r="B2846" s="36" t="s">
        <v>77</v>
      </c>
      <c r="C2846" s="51" t="n">
        <f aca="false">IF(C2811-Assumptions!$H$35&lt;1,0,IFERROR(INDEX($C$2835:$N$2835,1,C2811-Assumptions!$H$35)/INDEX($C$2836:$N$2836,1,C2811-Assumptions!$H$35),0))</f>
        <v>0</v>
      </c>
      <c r="D2846" s="51" t="n">
        <f aca="false">IF(D2811-Assumptions!$H$35&lt;1,0,IFERROR(INDEX($C$2835:$N$2835,1,D2811-Assumptions!$H$35)/INDEX($C$2836:$N$2836,1,D2811-Assumptions!$H$35),0))</f>
        <v>0.306818051206295</v>
      </c>
      <c r="E2846" s="51" t="n">
        <f aca="false">IF(E2811-Assumptions!$H$35&lt;1,0,IFERROR(INDEX($C$2835:$N$2835,1,E2811-Assumptions!$H$35)/INDEX($C$2836:$N$2836,1,E2811-Assumptions!$H$35),0))</f>
        <v>0.236407145438366</v>
      </c>
      <c r="F2846" s="51" t="n">
        <f aca="false">IF(F2811-Assumptions!$H$35&lt;1,0,IFERROR(INDEX($C$2835:$N$2835,1,F2811-Assumptions!$H$35)/INDEX($C$2836:$N$2836,1,F2811-Assumptions!$H$35),0))</f>
        <v>0.288542522192289</v>
      </c>
      <c r="G2846" s="51" t="n">
        <f aca="false">IF(G2811-Assumptions!$H$35&lt;1,0,IFERROR(INDEX($C$2835:$N$2835,1,G2811-Assumptions!$H$35)/INDEX($C$2836:$N$2836,1,G2811-Assumptions!$H$35),0))</f>
        <v>0.337495374963322</v>
      </c>
      <c r="H2846" s="51" t="n">
        <f aca="false">IF(H2811-Assumptions!$H$35&lt;1,0,IFERROR(INDEX($C$2835:$N$2835,1,H2811-Assumptions!$H$35)/INDEX($C$2836:$N$2836,1,H2811-Assumptions!$H$35),0))</f>
        <v>0.280629917481678</v>
      </c>
      <c r="I2846" s="51" t="n">
        <f aca="false">IF(I2811-Assumptions!$H$35&lt;1,0,IFERROR(INDEX($C$2835:$N$2835,1,I2811-Assumptions!$H$35)/INDEX($C$2836:$N$2836,1,I2811-Assumptions!$H$35),0))</f>
        <v>0.253814847201662</v>
      </c>
      <c r="J2846" s="51" t="n">
        <f aca="false">IF(J2811-Assumptions!$H$35&lt;1,0,IFERROR(INDEX($C$2835:$N$2835,1,J2811-Assumptions!$H$35)/INDEX($C$2836:$N$2836,1,J2811-Assumptions!$H$35),0))</f>
        <v>0.232449259174719</v>
      </c>
      <c r="K2846" s="51" t="n">
        <f aca="false">IF(K2811-Assumptions!$H$35&lt;1,0,IFERROR(INDEX($C$2835:$N$2835,1,K2811-Assumptions!$H$35)/INDEX($C$2836:$N$2836,1,K2811-Assumptions!$H$35),0))</f>
        <v>0.220697660564018</v>
      </c>
      <c r="L2846" s="51" t="n">
        <f aca="false">IF(L2811-Assumptions!$H$35&lt;1,0,IFERROR(INDEX($C$2835:$N$2835,1,L2811-Assumptions!$H$35)/INDEX($C$2836:$N$2836,1,L2811-Assumptions!$H$35),0))</f>
        <v>0.228355403862378</v>
      </c>
      <c r="M2846" s="51" t="n">
        <f aca="false">IF(M2811-Assumptions!$H$35&lt;1,0,IFERROR(INDEX($C$2835:$N$2835,1,M2811-Assumptions!$H$35)/INDEX($C$2836:$N$2836,1,M2811-Assumptions!$H$35),0))</f>
        <v>0.235975044091752</v>
      </c>
      <c r="N2846" s="51" t="n">
        <f aca="false">IF(N2811-Assumptions!$H$35&lt;1,0,IFERROR(INDEX($C$2835:$N$2835,1,N2811-Assumptions!$H$35)/INDEX($C$2836:$N$2836,1,N2811-Assumptions!$H$35),0))</f>
        <v>0.243537346824688</v>
      </c>
      <c r="P2846" s="52"/>
      <c r="Q2846" s="52"/>
      <c r="R2846" s="52"/>
      <c r="S2846" s="53"/>
    </row>
    <row r="2847" customFormat="false" ht="15" hidden="false" customHeight="false" outlineLevel="0" collapsed="false">
      <c r="A2847" s="4" t="s">
        <v>520</v>
      </c>
      <c r="B2847" s="36" t="s">
        <v>516</v>
      </c>
      <c r="C2847" s="48" t="n">
        <f aca="false">C2843*Assumptions!$H$37</f>
        <v>0</v>
      </c>
      <c r="D2847" s="48" t="n">
        <f aca="false">D2843*Assumptions!$H$37</f>
        <v>0.402689281172244</v>
      </c>
      <c r="E2847" s="48" t="n">
        <f aca="false">E2843*Assumptions!$H$37</f>
        <v>0.69683364977163</v>
      </c>
      <c r="F2847" s="48" t="n">
        <f aca="false">F2843*Assumptions!$H$37</f>
        <v>0.713657612473692</v>
      </c>
      <c r="G2847" s="48" t="n">
        <f aca="false">G2843*Assumptions!$H$37</f>
        <v>0.732172051272461</v>
      </c>
      <c r="H2847" s="48" t="n">
        <f aca="false">H2843*Assumptions!$H$37</f>
        <v>1.02825302872492</v>
      </c>
      <c r="I2847" s="48" t="n">
        <f aca="false">I2843*Assumptions!$H$37</f>
        <v>1.29991016252186</v>
      </c>
      <c r="J2847" s="48" t="n">
        <f aca="false">J2843*Assumptions!$H$37</f>
        <v>1.57211474445618</v>
      </c>
      <c r="K2847" s="48" t="n">
        <f aca="false">K2843*Assumptions!$H$37</f>
        <v>1.82118221562292</v>
      </c>
      <c r="L2847" s="48" t="n">
        <f aca="false">L2843*Assumptions!$H$37</f>
        <v>1.76011010753659</v>
      </c>
      <c r="M2847" s="48" t="n">
        <f aca="false">M2843*Assumptions!$H$37</f>
        <v>1.70327610699585</v>
      </c>
      <c r="N2847" s="48" t="n">
        <f aca="false">N2843*Assumptions!$H$37</f>
        <v>1.65038610993042</v>
      </c>
      <c r="P2847" s="49" t="n">
        <f aca="false">SUM(C2847:F2847)</f>
        <v>1.81318054341757</v>
      </c>
      <c r="Q2847" s="49" t="n">
        <f aca="false">SUM(G2847:J2847)</f>
        <v>4.63244998697543</v>
      </c>
      <c r="R2847" s="49" t="n">
        <f aca="false">SUM(K2847:N2847)</f>
        <v>6.93495454008578</v>
      </c>
      <c r="S2847" s="50" t="n">
        <f aca="false">SUM(P2847:R2847)</f>
        <v>13.3805850704788</v>
      </c>
    </row>
    <row r="2848" customFormat="false" ht="15" hidden="false" customHeight="false" outlineLevel="0" collapsed="false">
      <c r="A2848" s="4" t="s">
        <v>521</v>
      </c>
      <c r="B2848" s="36" t="s">
        <v>516</v>
      </c>
      <c r="C2848" s="48" t="n">
        <f aca="false">C2843*(1-Assumptions!$H$37)</f>
        <v>0</v>
      </c>
      <c r="D2848" s="48" t="n">
        <f aca="false">D2843*(1-Assumptions!$H$37)</f>
        <v>0.49217578809941</v>
      </c>
      <c r="E2848" s="48" t="n">
        <f aca="false">E2843*(1-Assumptions!$H$37)</f>
        <v>0.851685571943104</v>
      </c>
      <c r="F2848" s="48" t="n">
        <f aca="false">F2843*(1-Assumptions!$H$37)</f>
        <v>0.872248193023402</v>
      </c>
      <c r="G2848" s="48" t="n">
        <f aca="false">G2843*(1-Assumptions!$H$37)</f>
        <v>0.894876951555231</v>
      </c>
      <c r="H2848" s="48" t="n">
        <f aca="false">H2843*(1-Assumptions!$H$37)</f>
        <v>1.25675370177491</v>
      </c>
      <c r="I2848" s="48" t="n">
        <f aca="false">I2843*(1-Assumptions!$H$37)</f>
        <v>1.58877908752672</v>
      </c>
      <c r="J2848" s="48" t="n">
        <f aca="false">J2843*(1-Assumptions!$H$37)</f>
        <v>1.92147357655755</v>
      </c>
      <c r="K2848" s="48" t="n">
        <f aca="false">K2843*(1-Assumptions!$H$37)</f>
        <v>2.22588937465023</v>
      </c>
      <c r="L2848" s="48" t="n">
        <f aca="false">L2843*(1-Assumptions!$H$37)</f>
        <v>2.15124568698917</v>
      </c>
      <c r="M2848" s="48" t="n">
        <f aca="false">M2843*(1-Assumptions!$H$37)</f>
        <v>2.08178190855048</v>
      </c>
      <c r="N2848" s="48" t="n">
        <f aca="false">N2843*(1-Assumptions!$H$37)</f>
        <v>2.01713857880385</v>
      </c>
      <c r="P2848" s="49" t="n">
        <f aca="false">SUM(C2848:F2848)</f>
        <v>2.21610955306591</v>
      </c>
      <c r="Q2848" s="49" t="n">
        <f aca="false">SUM(G2848:J2848)</f>
        <v>5.66188331741441</v>
      </c>
      <c r="R2848" s="49" t="n">
        <f aca="false">SUM(K2848:N2848)</f>
        <v>8.47605554899373</v>
      </c>
      <c r="S2848" s="50" t="n">
        <f aca="false">SUM(P2848:R2848)</f>
        <v>16.3540484194741</v>
      </c>
    </row>
    <row r="2849" customFormat="false" ht="15" hidden="false" customHeight="false" outlineLevel="0" collapsed="false">
      <c r="A2849" s="4" t="s">
        <v>522</v>
      </c>
      <c r="B2849" s="36" t="s">
        <v>125</v>
      </c>
      <c r="C2849" s="54" t="n">
        <f aca="false">C2848*$C$2802+C2844*$C$2803+C2845*$C$2804</f>
        <v>0</v>
      </c>
      <c r="D2849" s="54" t="n">
        <f aca="false">D2848*$C$2802+D2844*$C$2803+D2845*$C$2804</f>
        <v>4590.93676424685</v>
      </c>
      <c r="E2849" s="54" t="n">
        <f aca="false">E2848*$C$2802+E2844*$C$2803+E2845*$C$2804</f>
        <v>10581.4043342963</v>
      </c>
      <c r="F2849" s="54" t="n">
        <f aca="false">F2848*$C$2802+F2844*$C$2803+F2845*$C$2804</f>
        <v>12699.4188534324</v>
      </c>
      <c r="G2849" s="54" t="n">
        <f aca="false">G2848*$C$2802+G2844*$C$2803+G2845*$C$2804</f>
        <v>13020.6683038598</v>
      </c>
      <c r="H2849" s="54" t="n">
        <f aca="false">H2848*$C$2802+H2844*$C$2803+H2845*$C$2804</f>
        <v>16531.1252992015</v>
      </c>
      <c r="I2849" s="54" t="n">
        <f aca="false">I2848*$C$2802+I2844*$C$2803+I2845*$C$2804</f>
        <v>21326.4766140148</v>
      </c>
      <c r="J2849" s="54" t="n">
        <f aca="false">J2848*$C$2802+J2844*$C$2803+J2845*$C$2804</f>
        <v>26371.131168092</v>
      </c>
      <c r="K2849" s="54" t="n">
        <f aca="false">K2848*$C$2802+K2844*$C$2803+K2845*$C$2804</f>
        <v>31651.5931524135</v>
      </c>
      <c r="L2849" s="54" t="n">
        <f aca="false">L2848*$C$2802+L2844*$C$2803+L2845*$C$2804</f>
        <v>32836.6190980048</v>
      </c>
      <c r="M2849" s="54" t="n">
        <f aca="false">M2848*$C$2802+M2844*$C$2803+M2845*$C$2804</f>
        <v>31761.3677829534</v>
      </c>
      <c r="N2849" s="54" t="n">
        <f aca="false">N2848*$C$2802+N2844*$C$2803+N2845*$C$2804</f>
        <v>30760.7336844107</v>
      </c>
      <c r="P2849" s="55" t="n">
        <f aca="false">SUM(C2849:F2849)</f>
        <v>27871.7599519755</v>
      </c>
      <c r="Q2849" s="55" t="n">
        <f aca="false">SUM(G2849:J2849)</f>
        <v>77249.401385168</v>
      </c>
      <c r="R2849" s="55" t="n">
        <f aca="false">SUM(K2849:N2849)</f>
        <v>127010.313717782</v>
      </c>
      <c r="S2849" s="56" t="n">
        <f aca="false">SUM(P2849:R2849)</f>
        <v>232131.475054926</v>
      </c>
    </row>
    <row r="2850" customFormat="false" ht="15" hidden="false" customHeight="false" outlineLevel="0" collapsed="false">
      <c r="A2850" s="4" t="s">
        <v>523</v>
      </c>
      <c r="B2850" s="36" t="s">
        <v>125</v>
      </c>
      <c r="C2850" s="54" t="n">
        <f aca="false">(C2826+Assumptions!$F$104*C2812)*$C$2807</f>
        <v>306250</v>
      </c>
      <c r="D2850" s="54" t="n">
        <f aca="false">(D2826+Assumptions!$F$104*D2812)*$C$2807</f>
        <v>306250</v>
      </c>
      <c r="E2850" s="54" t="n">
        <f aca="false">(E2826+Assumptions!$F$104*E2812)*$C$2807</f>
        <v>306250</v>
      </c>
      <c r="F2850" s="54" t="n">
        <f aca="false">(F2826+Assumptions!$F$104*F2812)*$C$2807</f>
        <v>306250</v>
      </c>
      <c r="G2850" s="54" t="n">
        <f aca="false">(G2826+Assumptions!$F$104*G2812)*$C$2807</f>
        <v>306250</v>
      </c>
      <c r="H2850" s="54" t="n">
        <f aca="false">(H2826+Assumptions!$F$104*H2812)*$C$2807</f>
        <v>306250</v>
      </c>
      <c r="I2850" s="54" t="n">
        <f aca="false">(I2826+Assumptions!$F$104*I2812)*$C$2807</f>
        <v>306250</v>
      </c>
      <c r="J2850" s="54" t="n">
        <f aca="false">(J2826+Assumptions!$F$104*J2812)*$C$2807</f>
        <v>306250</v>
      </c>
      <c r="K2850" s="54" t="n">
        <f aca="false">(K2826+Assumptions!$F$104*K2812)*$C$2807</f>
        <v>306250</v>
      </c>
      <c r="L2850" s="54" t="n">
        <f aca="false">(L2826+Assumptions!$F$104*L2812)*$C$2807</f>
        <v>306250</v>
      </c>
      <c r="M2850" s="54" t="n">
        <f aca="false">(M2826+Assumptions!$F$104*M2812)*$C$2807</f>
        <v>306250</v>
      </c>
      <c r="N2850" s="54" t="n">
        <f aca="false">(N2826+Assumptions!$F$104*N2812)*$C$2807</f>
        <v>306250</v>
      </c>
      <c r="P2850" s="55" t="n">
        <f aca="false">SUM(C2850:F2850)</f>
        <v>1225000</v>
      </c>
      <c r="Q2850" s="55" t="n">
        <f aca="false">SUM(G2850:J2850)</f>
        <v>1225000</v>
      </c>
      <c r="R2850" s="55" t="n">
        <f aca="false">SUM(K2850:N2850)</f>
        <v>1225000</v>
      </c>
      <c r="S2850" s="56" t="n">
        <f aca="false">SUM(P2850:R2850)</f>
        <v>3675000</v>
      </c>
    </row>
    <row r="2851" customFormat="false" ht="15" hidden="false" customHeight="false" outlineLevel="0" collapsed="false">
      <c r="A2851" s="4" t="s">
        <v>524</v>
      </c>
      <c r="B2851" s="36" t="s">
        <v>77</v>
      </c>
      <c r="C2851" s="51" t="n">
        <f aca="false">IF(C2849&gt;0,MIN(1,C2850/C2849),1)</f>
        <v>1</v>
      </c>
      <c r="D2851" s="51" t="n">
        <f aca="false">IF(D2849&gt;0,MIN(1,D2850/D2849),1)</f>
        <v>1</v>
      </c>
      <c r="E2851" s="51" t="n">
        <f aca="false">IF(E2849&gt;0,MIN(1,E2850/E2849),1)</f>
        <v>1</v>
      </c>
      <c r="F2851" s="51" t="n">
        <f aca="false">IF(F2849&gt;0,MIN(1,F2850/F2849),1)</f>
        <v>1</v>
      </c>
      <c r="G2851" s="51" t="n">
        <f aca="false">IF(G2849&gt;0,MIN(1,G2850/G2849),1)</f>
        <v>1</v>
      </c>
      <c r="H2851" s="51" t="n">
        <f aca="false">IF(H2849&gt;0,MIN(1,H2850/H2849),1)</f>
        <v>1</v>
      </c>
      <c r="I2851" s="51" t="n">
        <f aca="false">IF(I2849&gt;0,MIN(1,I2850/I2849),1)</f>
        <v>1</v>
      </c>
      <c r="J2851" s="51" t="n">
        <f aca="false">IF(J2849&gt;0,MIN(1,J2850/J2849),1)</f>
        <v>1</v>
      </c>
      <c r="K2851" s="51" t="n">
        <f aca="false">IF(K2849&gt;0,MIN(1,K2850/K2849),1)</f>
        <v>1</v>
      </c>
      <c r="L2851" s="51" t="n">
        <f aca="false">IF(L2849&gt;0,MIN(1,L2850/L2849),1)</f>
        <v>1</v>
      </c>
      <c r="M2851" s="51" t="n">
        <f aca="false">IF(M2849&gt;0,MIN(1,M2850/M2849),1)</f>
        <v>1</v>
      </c>
      <c r="N2851" s="51" t="n">
        <f aca="false">IF(N2849&gt;0,MIN(1,N2850/N2849),1)</f>
        <v>1</v>
      </c>
      <c r="P2851" s="52"/>
      <c r="Q2851" s="52"/>
      <c r="R2851" s="52"/>
      <c r="S2851" s="53"/>
    </row>
    <row r="2852" customFormat="false" ht="15" hidden="false" customHeight="false" outlineLevel="0" collapsed="false">
      <c r="A2852" s="4" t="s">
        <v>525</v>
      </c>
      <c r="B2852" s="36" t="s">
        <v>125</v>
      </c>
      <c r="C2852" s="54" t="n">
        <f aca="false">C2849*(1-C2851)</f>
        <v>0</v>
      </c>
      <c r="D2852" s="54" t="n">
        <f aca="false">D2849*(1-D2851)</f>
        <v>0</v>
      </c>
      <c r="E2852" s="54" t="n">
        <f aca="false">E2849*(1-E2851)</f>
        <v>0</v>
      </c>
      <c r="F2852" s="54" t="n">
        <f aca="false">F2849*(1-F2851)</f>
        <v>0</v>
      </c>
      <c r="G2852" s="54" t="n">
        <f aca="false">G2849*(1-G2851)</f>
        <v>0</v>
      </c>
      <c r="H2852" s="54" t="n">
        <f aca="false">H2849*(1-H2851)</f>
        <v>0</v>
      </c>
      <c r="I2852" s="54" t="n">
        <f aca="false">I2849*(1-I2851)</f>
        <v>0</v>
      </c>
      <c r="J2852" s="54" t="n">
        <f aca="false">J2849*(1-J2851)</f>
        <v>0</v>
      </c>
      <c r="K2852" s="54" t="n">
        <f aca="false">K2849*(1-K2851)</f>
        <v>0</v>
      </c>
      <c r="L2852" s="54" t="n">
        <f aca="false">L2849*(1-L2851)</f>
        <v>0</v>
      </c>
      <c r="M2852" s="54" t="n">
        <f aca="false">M2849*(1-M2851)</f>
        <v>0</v>
      </c>
      <c r="N2852" s="54" t="n">
        <f aca="false">N2849*(1-N2851)</f>
        <v>0</v>
      </c>
      <c r="P2852" s="55" t="n">
        <f aca="false">SUM(C2852:F2852)</f>
        <v>0</v>
      </c>
      <c r="Q2852" s="55" t="n">
        <f aca="false">SUM(G2852:J2852)</f>
        <v>0</v>
      </c>
      <c r="R2852" s="55" t="n">
        <f aca="false">SUM(K2852:N2852)</f>
        <v>0</v>
      </c>
      <c r="S2852" s="56" t="n">
        <f aca="false">SUM(P2852:R2852)</f>
        <v>0</v>
      </c>
    </row>
    <row r="2853" customFormat="false" ht="15" hidden="false" customHeight="false" outlineLevel="0" collapsed="false">
      <c r="A2853" s="4" t="s">
        <v>526</v>
      </c>
      <c r="B2853" s="36" t="s">
        <v>527</v>
      </c>
      <c r="C2853" s="48" t="n">
        <f aca="false">C2847+C2848*C2851</f>
        <v>0</v>
      </c>
      <c r="D2853" s="48" t="n">
        <f aca="false">D2847+D2848*D2851</f>
        <v>0.894865069271654</v>
      </c>
      <c r="E2853" s="48" t="n">
        <f aca="false">E2847+E2848*E2851</f>
        <v>1.54851922171473</v>
      </c>
      <c r="F2853" s="48" t="n">
        <f aca="false">F2847+F2848*F2851</f>
        <v>1.58590580549709</v>
      </c>
      <c r="G2853" s="48" t="n">
        <f aca="false">G2847+G2848*G2851</f>
        <v>1.62704900282769</v>
      </c>
      <c r="H2853" s="48" t="n">
        <f aca="false">H2847+H2848*H2851</f>
        <v>2.28500673049983</v>
      </c>
      <c r="I2853" s="48" t="n">
        <f aca="false">I2847+I2848*I2851</f>
        <v>2.88868925004857</v>
      </c>
      <c r="J2853" s="48" t="n">
        <f aca="false">J2847+J2848*J2851</f>
        <v>3.49358832101374</v>
      </c>
      <c r="K2853" s="48" t="n">
        <f aca="false">K2847+K2848*K2851</f>
        <v>4.04707159027315</v>
      </c>
      <c r="L2853" s="48" t="n">
        <f aca="false">L2847+L2848*L2851</f>
        <v>3.91135579452576</v>
      </c>
      <c r="M2853" s="48" t="n">
        <f aca="false">M2847+M2848*M2851</f>
        <v>3.78505801554633</v>
      </c>
      <c r="N2853" s="48" t="n">
        <f aca="false">N2847+N2848*N2851</f>
        <v>3.66752468873427</v>
      </c>
      <c r="P2853" s="49" t="n">
        <f aca="false">SUM(C2853:F2853)</f>
        <v>4.02929009648348</v>
      </c>
      <c r="Q2853" s="49" t="n">
        <f aca="false">SUM(G2853:J2853)</f>
        <v>10.2943333043898</v>
      </c>
      <c r="R2853" s="49" t="n">
        <f aca="false">SUM(K2853:N2853)</f>
        <v>15.4110100890795</v>
      </c>
      <c r="S2853" s="50" t="n">
        <f aca="false">SUM(P2853:R2853)</f>
        <v>29.7346334899528</v>
      </c>
    </row>
    <row r="2854" customFormat="false" ht="15" hidden="false" customHeight="false" outlineLevel="0" collapsed="false">
      <c r="A2854" s="4" t="s">
        <v>528</v>
      </c>
      <c r="B2854" s="36" t="s">
        <v>527</v>
      </c>
      <c r="C2854" s="48" t="n">
        <f aca="false">C2844*C2851</f>
        <v>0</v>
      </c>
      <c r="D2854" s="48" t="n">
        <f aca="false">D2844*D2851</f>
        <v>0.365622560975114</v>
      </c>
      <c r="E2854" s="48" t="n">
        <f aca="false">E2844*E2851</f>
        <v>0.632691545355939</v>
      </c>
      <c r="F2854" s="48" t="n">
        <f aca="false">F2844*F2851</f>
        <v>0.647966896889934</v>
      </c>
      <c r="G2854" s="48" t="n">
        <f aca="false">G2844*G2851</f>
        <v>0.664777119672416</v>
      </c>
      <c r="H2854" s="48" t="n">
        <f aca="false">H2844*H2851</f>
        <v>0.936161740860799</v>
      </c>
      <c r="I2854" s="48" t="n">
        <f aca="false">I2844*I2851</f>
        <v>1.18511504351607</v>
      </c>
      <c r="J2854" s="48" t="n">
        <f aca="false">J2844*J2851</f>
        <v>1.50514031918138</v>
      </c>
      <c r="K2854" s="48" t="n">
        <f aca="false">K2844*K2851</f>
        <v>1.7986303569283</v>
      </c>
      <c r="L2854" s="48" t="n">
        <f aca="false">L2844*L2851</f>
        <v>1.73831451009905</v>
      </c>
      <c r="M2854" s="48" t="n">
        <f aca="false">M2844*M2851</f>
        <v>1.68218428995888</v>
      </c>
      <c r="N2854" s="48" t="n">
        <f aca="false">N2844*N2851</f>
        <v>1.62994923435398</v>
      </c>
      <c r="P2854" s="49" t="n">
        <f aca="false">SUM(C2854:F2854)</f>
        <v>1.64628100322099</v>
      </c>
      <c r="Q2854" s="49" t="n">
        <f aca="false">SUM(G2854:J2854)</f>
        <v>4.29119422323067</v>
      </c>
      <c r="R2854" s="49" t="n">
        <f aca="false">SUM(K2854:N2854)</f>
        <v>6.84907839134021</v>
      </c>
      <c r="S2854" s="50" t="n">
        <f aca="false">SUM(P2854:R2854)</f>
        <v>12.7865536177919</v>
      </c>
    </row>
    <row r="2855" customFormat="false" ht="15" hidden="false" customHeight="false" outlineLevel="0" collapsed="false">
      <c r="A2855" s="4" t="s">
        <v>529</v>
      </c>
      <c r="B2855" s="36" t="s">
        <v>527</v>
      </c>
      <c r="C2855" s="48" t="n">
        <f aca="false">C2845*C2851</f>
        <v>0</v>
      </c>
      <c r="D2855" s="48" t="n">
        <f aca="false">D2845*D2851</f>
        <v>0</v>
      </c>
      <c r="E2855" s="48" t="n">
        <f aca="false">E2845*E2851</f>
        <v>0.0595129316748326</v>
      </c>
      <c r="F2855" s="48" t="n">
        <f aca="false">F2845*F2851</f>
        <v>0.102984150129004</v>
      </c>
      <c r="G2855" s="48" t="n">
        <f aca="false">G2845*G2851</f>
        <v>0.105470541969068</v>
      </c>
      <c r="H2855" s="48" t="n">
        <f aca="false">H2845*H2851</f>
        <v>0.108206767100319</v>
      </c>
      <c r="I2855" s="48" t="n">
        <f aca="false">I2845*I2851</f>
        <v>0.146255816399771</v>
      </c>
      <c r="J2855" s="48" t="n">
        <f aca="false">J2845*J2851</f>
        <v>0.181265935411807</v>
      </c>
      <c r="K2855" s="48" t="n">
        <f aca="false">K2845*K2851</f>
        <v>0.228218540938958</v>
      </c>
      <c r="L2855" s="48" t="n">
        <f aca="false">L2845*L2851</f>
        <v>0.271263663353389</v>
      </c>
      <c r="M2855" s="48" t="n">
        <f aca="false">M2845*M2851</f>
        <v>0.262167020729661</v>
      </c>
      <c r="N2855" s="48" t="n">
        <f aca="false">N2845*N2851</f>
        <v>0.253701640902504</v>
      </c>
      <c r="P2855" s="49" t="n">
        <f aca="false">SUM(C2855:F2855)</f>
        <v>0.162497081803837</v>
      </c>
      <c r="Q2855" s="49" t="n">
        <f aca="false">SUM(G2855:J2855)</f>
        <v>0.541199060880965</v>
      </c>
      <c r="R2855" s="49" t="n">
        <f aca="false">SUM(K2855:N2855)</f>
        <v>1.01535086592451</v>
      </c>
      <c r="S2855" s="50" t="n">
        <f aca="false">SUM(P2855:R2855)</f>
        <v>1.71904700860931</v>
      </c>
    </row>
    <row r="2856" customFormat="false" ht="15" hidden="false" customHeight="false" outlineLevel="0" collapsed="false">
      <c r="A2856" s="9" t="s">
        <v>530</v>
      </c>
      <c r="B2856" s="36" t="s">
        <v>527</v>
      </c>
      <c r="C2856" s="49" t="n">
        <f aca="false">C2853+C2854+C2855</f>
        <v>0</v>
      </c>
      <c r="D2856" s="49" t="n">
        <f aca="false">D2853+D2854+D2855</f>
        <v>1.26048763024677</v>
      </c>
      <c r="E2856" s="49" t="n">
        <f aca="false">E2853+E2854+E2855</f>
        <v>2.24072369874551</v>
      </c>
      <c r="F2856" s="49" t="n">
        <f aca="false">F2853+F2854+F2855</f>
        <v>2.33685685251603</v>
      </c>
      <c r="G2856" s="49" t="n">
        <f aca="false">G2853+G2854+G2855</f>
        <v>2.39729666446918</v>
      </c>
      <c r="H2856" s="49" t="n">
        <f aca="false">H2853+H2854+H2855</f>
        <v>3.32937523846095</v>
      </c>
      <c r="I2856" s="49" t="n">
        <f aca="false">I2853+I2854+I2855</f>
        <v>4.22006010996442</v>
      </c>
      <c r="J2856" s="49" t="n">
        <f aca="false">J2853+J2854+J2855</f>
        <v>5.17999457560693</v>
      </c>
      <c r="K2856" s="49" t="n">
        <f aca="false">K2853+K2854+K2855</f>
        <v>6.0739204881404</v>
      </c>
      <c r="L2856" s="49" t="n">
        <f aca="false">L2853+L2854+L2855</f>
        <v>5.92093396797819</v>
      </c>
      <c r="M2856" s="49" t="n">
        <f aca="false">M2853+M2854+M2855</f>
        <v>5.72940932623487</v>
      </c>
      <c r="N2856" s="49" t="n">
        <f aca="false">N2853+N2854+N2855</f>
        <v>5.55117556399075</v>
      </c>
      <c r="P2856" s="49" t="n">
        <f aca="false">SUM(C2856:F2856)</f>
        <v>5.83806818150831</v>
      </c>
      <c r="Q2856" s="49" t="n">
        <f aca="false">SUM(G2856:J2856)</f>
        <v>15.1267265885015</v>
      </c>
      <c r="R2856" s="49" t="n">
        <f aca="false">SUM(K2856:N2856)</f>
        <v>23.2754393463442</v>
      </c>
      <c r="S2856" s="50" t="n">
        <f aca="false">SUM(P2856:R2856)</f>
        <v>44.240234116354</v>
      </c>
    </row>
    <row r="2857" customFormat="false" ht="15" hidden="false" customHeight="false" outlineLevel="0" collapsed="false">
      <c r="A2857" s="35" t="s">
        <v>533</v>
      </c>
      <c r="B2857" s="35" t="s">
        <v>444</v>
      </c>
      <c r="C2857" s="6" t="s">
        <v>354</v>
      </c>
      <c r="D2857" s="6" t="s">
        <v>355</v>
      </c>
      <c r="E2857" s="6" t="s">
        <v>356</v>
      </c>
      <c r="F2857" s="6" t="s">
        <v>357</v>
      </c>
      <c r="G2857" s="6" t="s">
        <v>358</v>
      </c>
      <c r="H2857" s="6" t="s">
        <v>359</v>
      </c>
      <c r="I2857" s="6" t="s">
        <v>360</v>
      </c>
      <c r="J2857" s="6" t="s">
        <v>361</v>
      </c>
      <c r="K2857" s="6" t="s">
        <v>362</v>
      </c>
      <c r="L2857" s="6" t="s">
        <v>363</v>
      </c>
      <c r="M2857" s="6" t="s">
        <v>364</v>
      </c>
      <c r="N2857" s="6" t="s">
        <v>365</v>
      </c>
      <c r="P2857" s="6" t="s">
        <v>445</v>
      </c>
      <c r="Q2857" s="6" t="s">
        <v>446</v>
      </c>
      <c r="R2857" s="6" t="s">
        <v>447</v>
      </c>
      <c r="S2857" s="6" t="s">
        <v>448</v>
      </c>
    </row>
    <row r="2858" customFormat="false" ht="15" hidden="false" customHeight="false" outlineLevel="0" collapsed="false">
      <c r="A2858" s="4" t="s">
        <v>534</v>
      </c>
      <c r="B2858" s="36" t="s">
        <v>527</v>
      </c>
      <c r="C2858" s="48" t="n">
        <f aca="false">0*Assumptions!$H$59^(1/4)+C2853</f>
        <v>0</v>
      </c>
      <c r="D2858" s="48" t="n">
        <f aca="false">C2858*Assumptions!$H$59^(1/4)+D2853</f>
        <v>0.894865069271654</v>
      </c>
      <c r="E2858" s="48" t="n">
        <f aca="false">D2858*Assumptions!$H$59^(1/4)+E2853</f>
        <v>2.41523803563691</v>
      </c>
      <c r="F2858" s="48" t="n">
        <f aca="false">E2858*Assumptions!$H$59^(1/4)+F2853</f>
        <v>3.92517718558432</v>
      </c>
      <c r="G2858" s="48" t="n">
        <f aca="false">F2858*Assumptions!$H$59^(1/4)+G2853</f>
        <v>5.42876730823993</v>
      </c>
      <c r="H2858" s="48" t="n">
        <f aca="false">G2858*Assumptions!$H$59^(1/4)+H2853</f>
        <v>7.54302263035708</v>
      </c>
      <c r="I2858" s="48" t="n">
        <f aca="false">H2858*Assumptions!$H$59^(1/4)+I2853</f>
        <v>10.1944606473972</v>
      </c>
      <c r="J2858" s="48" t="n">
        <f aca="false">I2858*Assumptions!$H$59^(1/4)+J2853</f>
        <v>13.3674018648589</v>
      </c>
      <c r="K2858" s="48" t="n">
        <f aca="false">J2858*Assumptions!$H$59^(1/4)+K2853</f>
        <v>16.9940276033864</v>
      </c>
      <c r="L2858" s="48" t="n">
        <f aca="false">K2858*Assumptions!$H$59^(1/4)+L2853</f>
        <v>20.3708690261195</v>
      </c>
      <c r="M2858" s="48" t="n">
        <f aca="false">L2858*Assumptions!$H$59^(1/4)+M2853</f>
        <v>23.5152006338661</v>
      </c>
      <c r="N2858" s="48" t="n">
        <f aca="false">M2858*Assumptions!$H$59^(1/4)+N2853</f>
        <v>26.4431000267179</v>
      </c>
      <c r="P2858" s="49" t="n">
        <f aca="false">F2858</f>
        <v>3.92517718558432</v>
      </c>
      <c r="Q2858" s="49" t="n">
        <f aca="false">J2858</f>
        <v>13.3674018648589</v>
      </c>
      <c r="R2858" s="49" t="n">
        <f aca="false">N2858</f>
        <v>26.4431000267179</v>
      </c>
      <c r="S2858" s="50" t="n">
        <f aca="false">R2858</f>
        <v>26.4431000267179</v>
      </c>
    </row>
    <row r="2859" customFormat="false" ht="15" hidden="false" customHeight="false" outlineLevel="0" collapsed="false">
      <c r="A2859" s="4" t="s">
        <v>535</v>
      </c>
      <c r="B2859" s="36" t="s">
        <v>527</v>
      </c>
      <c r="C2859" s="48" t="n">
        <f aca="false">0*Assumptions!$H$60^(1/4)+C2854</f>
        <v>0</v>
      </c>
      <c r="D2859" s="48" t="n">
        <f aca="false">C2859*Assumptions!$H$60^(1/4)+D2854</f>
        <v>0.365622560975114</v>
      </c>
      <c r="E2859" s="48" t="n">
        <f aca="false">D2859*Assumptions!$H$60^(1/4)+E2854</f>
        <v>0.988809289523311</v>
      </c>
      <c r="F2859" s="48" t="n">
        <f aca="false">E2859*Assumptions!$H$60^(1/4)+F2854</f>
        <v>1.61107084938577</v>
      </c>
      <c r="G2859" s="48" t="n">
        <f aca="false">F2859*Assumptions!$H$60^(1/4)+G2854</f>
        <v>2.23396616273075</v>
      </c>
      <c r="H2859" s="48" t="n">
        <f aca="false">G2859*Assumptions!$H$60^(1/4)+H2854</f>
        <v>3.11205315274789</v>
      </c>
      <c r="I2859" s="48" t="n">
        <f aca="false">H2859*Assumptions!$H$60^(1/4)+I2854</f>
        <v>4.21626647336717</v>
      </c>
      <c r="J2859" s="48" t="n">
        <f aca="false">I2859*Assumptions!$H$60^(1/4)+J2854</f>
        <v>5.61179966016838</v>
      </c>
      <c r="K2859" s="48" t="n">
        <f aca="false">J2859*Assumptions!$H$60^(1/4)+K2854</f>
        <v>7.26454425012051</v>
      </c>
      <c r="L2859" s="48" t="n">
        <f aca="false">K2859*Assumptions!$H$60^(1/4)+L2854</f>
        <v>8.81400782578877</v>
      </c>
      <c r="M2859" s="48" t="n">
        <f aca="false">L2859*Assumptions!$H$60^(1/4)+M2854</f>
        <v>10.267060933299</v>
      </c>
      <c r="N2859" s="48" t="n">
        <f aca="false">M2859*Assumptions!$H$60^(1/4)+N2854</f>
        <v>11.630105048164</v>
      </c>
      <c r="P2859" s="49" t="n">
        <f aca="false">F2859</f>
        <v>1.61107084938577</v>
      </c>
      <c r="Q2859" s="49" t="n">
        <f aca="false">J2859</f>
        <v>5.61179966016838</v>
      </c>
      <c r="R2859" s="49" t="n">
        <f aca="false">N2859</f>
        <v>11.630105048164</v>
      </c>
      <c r="S2859" s="50" t="n">
        <f aca="false">R2859</f>
        <v>11.630105048164</v>
      </c>
    </row>
    <row r="2860" customFormat="false" ht="15" hidden="false" customHeight="false" outlineLevel="0" collapsed="false">
      <c r="A2860" s="4" t="s">
        <v>536</v>
      </c>
      <c r="B2860" s="36" t="s">
        <v>527</v>
      </c>
      <c r="C2860" s="48" t="n">
        <f aca="false">0*Assumptions!$H$61^(1/4)+C2855</f>
        <v>0</v>
      </c>
      <c r="D2860" s="48" t="n">
        <f aca="false">C2860*Assumptions!$H$61^(1/4)+D2855</f>
        <v>0</v>
      </c>
      <c r="E2860" s="48" t="n">
        <f aca="false">D2860*Assumptions!$H$61^(1/4)+E2855</f>
        <v>0.0595129316748326</v>
      </c>
      <c r="F2860" s="48" t="n">
        <f aca="false">E2860*Assumptions!$H$61^(1/4)+F2855</f>
        <v>0.161269351527524</v>
      </c>
      <c r="G2860" s="48" t="n">
        <f aca="false">F2860*Assumptions!$H$61^(1/4)+G2855</f>
        <v>0.26341296504693</v>
      </c>
      <c r="H2860" s="48" t="n">
        <f aca="false">G2860*Assumptions!$H$61^(1/4)+H2855</f>
        <v>0.366185617858802</v>
      </c>
      <c r="I2860" s="48" t="n">
        <f aca="false">H2860*Assumptions!$H$61^(1/4)+I2855</f>
        <v>0.504887157278032</v>
      </c>
      <c r="J2860" s="48" t="n">
        <f aca="false">I2860*Assumptions!$H$61^(1/4)+J2855</f>
        <v>0.675737453068876</v>
      </c>
      <c r="K2860" s="48" t="n">
        <f aca="false">J2860*Assumptions!$H$61^(1/4)+K2855</f>
        <v>0.890015774518993</v>
      </c>
      <c r="L2860" s="48" t="n">
        <f aca="false">K2860*Assumptions!$H$61^(1/4)+L2855</f>
        <v>1.1429187340384</v>
      </c>
      <c r="M2860" s="48" t="n">
        <f aca="false">L2860*Assumptions!$H$61^(1/4)+M2855</f>
        <v>1.38150775426203</v>
      </c>
      <c r="N2860" s="48" t="n">
        <f aca="false">M2860*Assumptions!$H$61^(1/4)+N2855</f>
        <v>1.60670938938199</v>
      </c>
      <c r="P2860" s="49" t="n">
        <f aca="false">F2860</f>
        <v>0.161269351527524</v>
      </c>
      <c r="Q2860" s="49" t="n">
        <f aca="false">J2860</f>
        <v>0.675737453068876</v>
      </c>
      <c r="R2860" s="49" t="n">
        <f aca="false">N2860</f>
        <v>1.60670938938199</v>
      </c>
      <c r="S2860" s="50" t="n">
        <f aca="false">R2860</f>
        <v>1.60670938938199</v>
      </c>
    </row>
    <row r="2861" customFormat="false" ht="15" hidden="false" customHeight="false" outlineLevel="0" collapsed="false">
      <c r="A2861" s="9" t="s">
        <v>537</v>
      </c>
      <c r="B2861" s="36" t="s">
        <v>527</v>
      </c>
      <c r="C2861" s="49" t="n">
        <f aca="false">C2858+C2859+C2860</f>
        <v>0</v>
      </c>
      <c r="D2861" s="49" t="n">
        <f aca="false">D2858+D2859+D2860</f>
        <v>1.26048763024677</v>
      </c>
      <c r="E2861" s="49" t="n">
        <f aca="false">E2858+E2859+E2860</f>
        <v>3.46356025683506</v>
      </c>
      <c r="F2861" s="49" t="n">
        <f aca="false">F2858+F2859+F2860</f>
        <v>5.69751738649762</v>
      </c>
      <c r="G2861" s="49" t="n">
        <f aca="false">G2858+G2859+G2860</f>
        <v>7.92614643601761</v>
      </c>
      <c r="H2861" s="49" t="n">
        <f aca="false">H2858+H2859+H2860</f>
        <v>11.0212614009638</v>
      </c>
      <c r="I2861" s="49" t="n">
        <f aca="false">I2858+I2859+I2860</f>
        <v>14.9156142780424</v>
      </c>
      <c r="J2861" s="49" t="n">
        <f aca="false">J2858+J2859+J2860</f>
        <v>19.6549389780962</v>
      </c>
      <c r="K2861" s="49" t="n">
        <f aca="false">K2858+K2859+K2860</f>
        <v>25.1485876280259</v>
      </c>
      <c r="L2861" s="49" t="n">
        <f aca="false">L2858+L2859+L2860</f>
        <v>30.3277955859466</v>
      </c>
      <c r="M2861" s="49" t="n">
        <f aca="false">M2858+M2859+M2860</f>
        <v>35.1637693214271</v>
      </c>
      <c r="N2861" s="49" t="n">
        <f aca="false">N2858+N2859+N2860</f>
        <v>39.6799144642639</v>
      </c>
      <c r="P2861" s="49" t="n">
        <f aca="false">F2861</f>
        <v>5.69751738649762</v>
      </c>
      <c r="Q2861" s="49" t="n">
        <f aca="false">J2861</f>
        <v>19.6549389780962</v>
      </c>
      <c r="R2861" s="49" t="n">
        <f aca="false">N2861</f>
        <v>39.6799144642639</v>
      </c>
      <c r="S2861" s="50" t="n">
        <f aca="false">R2861</f>
        <v>39.6799144642639</v>
      </c>
    </row>
    <row r="2862" customFormat="false" ht="15" hidden="false" customHeight="false" outlineLevel="0" collapsed="false">
      <c r="A2862" s="4" t="s">
        <v>538</v>
      </c>
      <c r="B2862" s="36" t="s">
        <v>125</v>
      </c>
      <c r="C2862" s="54" t="n">
        <f aca="false">0*Assumptions!$H$62^(1/4)+C2853*$C$2802</f>
        <v>0</v>
      </c>
      <c r="D2862" s="54" t="n">
        <f aca="false">C2862*Assumptions!$H$62^(1/4)+D2853*$C$2802</f>
        <v>4789.31785074189</v>
      </c>
      <c r="E2862" s="54" t="n">
        <f aca="false">D2862*Assumptions!$H$62^(1/4)+E2853*$C$2802</f>
        <v>13076.9927253591</v>
      </c>
      <c r="F2862" s="54" t="n">
        <f aca="false">E2862*Assumptions!$H$62^(1/4)+F2853*$C$2802</f>
        <v>21564.7605963796</v>
      </c>
      <c r="G2862" s="54" t="n">
        <f aca="false">F2862*Assumptions!$H$62^(1/4)+G2853*$C$2802</f>
        <v>30272.7268595134</v>
      </c>
      <c r="H2862" s="54" t="n">
        <f aca="false">G2862*Assumptions!$H$62^(1/4)+H2853*$C$2802</f>
        <v>42502.0828811485</v>
      </c>
      <c r="I2862" s="54" t="n">
        <f aca="false">H2862*Assumptions!$H$62^(1/4)+I2853*$C$2802</f>
        <v>57962.3477474085</v>
      </c>
      <c r="J2862" s="54" t="n">
        <f aca="false">I2862*Assumptions!$H$62^(1/4)+J2853*$C$2802</f>
        <v>76660.032441474</v>
      </c>
      <c r="K2862" s="54" t="n">
        <f aca="false">J2862*Assumptions!$H$62^(1/4)+K2853*$C$2802</f>
        <v>98319.9595926159</v>
      </c>
      <c r="L2862" s="54" t="n">
        <f aca="false">K2862*Assumptions!$H$62^(1/4)+L2853*$C$2802</f>
        <v>119253.535804918</v>
      </c>
      <c r="M2862" s="54" t="n">
        <f aca="false">L2862*Assumptions!$H$62^(1/4)+M2853*$C$2802</f>
        <v>139511.166304122</v>
      </c>
      <c r="N2862" s="54" t="n">
        <f aca="false">M2862*Assumptions!$H$62^(1/4)+N2853*$C$2802</f>
        <v>159139.758438227</v>
      </c>
      <c r="P2862" s="55" t="n">
        <f aca="false">F2862</f>
        <v>21564.7605963796</v>
      </c>
      <c r="Q2862" s="55" t="n">
        <f aca="false">J2862</f>
        <v>76660.032441474</v>
      </c>
      <c r="R2862" s="55" t="n">
        <f aca="false">N2862</f>
        <v>159139.758438227</v>
      </c>
      <c r="S2862" s="56" t="n">
        <f aca="false">R2862</f>
        <v>159139.758438227</v>
      </c>
    </row>
    <row r="2863" customFormat="false" ht="15" hidden="false" customHeight="false" outlineLevel="0" collapsed="false">
      <c r="A2863" s="4" t="s">
        <v>539</v>
      </c>
      <c r="B2863" s="36" t="s">
        <v>125</v>
      </c>
      <c r="C2863" s="54" t="n">
        <f aca="false">0*Assumptions!$H$63^(1/4)+C2854*$C$2803</f>
        <v>0</v>
      </c>
      <c r="D2863" s="54" t="n">
        <f aca="false">C2863*Assumptions!$H$63^(1/4)+D2854*$C$2803</f>
        <v>1956.81194633881</v>
      </c>
      <c r="E2863" s="54" t="n">
        <f aca="false">D2863*Assumptions!$H$63^(1/4)+E2854*$C$2803</f>
        <v>5371.69105456537</v>
      </c>
      <c r="F2863" s="54" t="n">
        <f aca="false">E2863*Assumptions!$H$63^(1/4)+F2854*$C$2803</f>
        <v>8918.43325492055</v>
      </c>
      <c r="G2863" s="54" t="n">
        <f aca="false">F2863*Assumptions!$H$63^(1/4)+G2854*$C$2803</f>
        <v>12607.1881170555</v>
      </c>
      <c r="H2863" s="54" t="n">
        <f aca="false">G2863*Assumptions!$H$63^(1/4)+H2854*$C$2803</f>
        <v>17802.5216931915</v>
      </c>
      <c r="I2863" s="54" t="n">
        <f aca="false">H2863*Assumptions!$H$63^(1/4)+I2854*$C$2803</f>
        <v>24406.4888708296</v>
      </c>
      <c r="J2863" s="54" t="n">
        <f aca="false">I2863*Assumptions!$H$63^(1/4)+J2854*$C$2803</f>
        <v>32820.136922296</v>
      </c>
      <c r="K2863" s="54" t="n">
        <f aca="false">J2863*Assumptions!$H$63^(1/4)+K2854*$C$2803</f>
        <v>42928.0042330084</v>
      </c>
      <c r="L2863" s="54" t="n">
        <f aca="false">K2863*Assumptions!$H$63^(1/4)+L2854*$C$2803</f>
        <v>52861.3824215012</v>
      </c>
      <c r="M2863" s="54" t="n">
        <f aca="false">L2863*Assumptions!$H$63^(1/4)+M2854*$C$2803</f>
        <v>62640.1125352769</v>
      </c>
      <c r="N2863" s="54" t="n">
        <f aca="false">M2863*Assumptions!$H$63^(1/4)+N2854*$C$2803</f>
        <v>72282.7722128696</v>
      </c>
      <c r="P2863" s="55" t="n">
        <f aca="false">F2863</f>
        <v>8918.43325492055</v>
      </c>
      <c r="Q2863" s="55" t="n">
        <f aca="false">J2863</f>
        <v>32820.136922296</v>
      </c>
      <c r="R2863" s="55" t="n">
        <f aca="false">N2863</f>
        <v>72282.7722128696</v>
      </c>
      <c r="S2863" s="56" t="n">
        <f aca="false">R2863</f>
        <v>72282.7722128696</v>
      </c>
    </row>
    <row r="2864" customFormat="false" ht="15" hidden="false" customHeight="false" outlineLevel="0" collapsed="false">
      <c r="A2864" s="4" t="s">
        <v>540</v>
      </c>
      <c r="B2864" s="36" t="s">
        <v>125</v>
      </c>
      <c r="C2864" s="54" t="n">
        <f aca="false">0*Assumptions!$H$64^(1/4)+C2855*$C$2804</f>
        <v>0</v>
      </c>
      <c r="D2864" s="54" t="n">
        <f aca="false">C2864*Assumptions!$H$64^(1/4)+D2855*$C$2804</f>
        <v>0</v>
      </c>
      <c r="E2864" s="54" t="n">
        <f aca="false">D2864*Assumptions!$H$64^(1/4)+E2855*$C$2804</f>
        <v>2637.01800251183</v>
      </c>
      <c r="F2864" s="54" t="n">
        <f aca="false">E2864*Assumptions!$H$64^(1/4)+F2855*$C$2804</f>
        <v>7294.01298217557</v>
      </c>
      <c r="G2864" s="54" t="n">
        <f aca="false">F2864*Assumptions!$H$64^(1/4)+G2855*$C$2804</f>
        <v>12226.773767282</v>
      </c>
      <c r="H2864" s="54" t="n">
        <f aca="false">G2864*Assumptions!$H$64^(1/4)+H2855*$C$2804</f>
        <v>17456.1761725259</v>
      </c>
      <c r="I2864" s="54" t="n">
        <f aca="false">H2864*Assumptions!$H$64^(1/4)+I2855*$C$2804</f>
        <v>24557.4794421752</v>
      </c>
      <c r="J2864" s="54" t="n">
        <f aca="false">I2864*Assumptions!$H$64^(1/4)+J2855*$C$2804</f>
        <v>33462.589769035</v>
      </c>
      <c r="K2864" s="54" t="n">
        <f aca="false">J2864*Assumptions!$H$64^(1/4)+K2855*$C$2804</f>
        <v>44764.818639636</v>
      </c>
      <c r="L2864" s="54" t="n">
        <f aca="false">K2864*Assumptions!$H$64^(1/4)+L2855*$C$2804</f>
        <v>58376.2624014317</v>
      </c>
      <c r="M2864" s="54" t="n">
        <f aca="false">L2864*Assumptions!$H$64^(1/4)+M2855*$C$2804</f>
        <v>72068.6306849716</v>
      </c>
      <c r="N2864" s="54" t="n">
        <f aca="false">M2864*Assumptions!$H$64^(1/4)+N2855*$C$2804</f>
        <v>85872.772265094</v>
      </c>
      <c r="P2864" s="55" t="n">
        <f aca="false">F2864</f>
        <v>7294.01298217557</v>
      </c>
      <c r="Q2864" s="55" t="n">
        <f aca="false">J2864</f>
        <v>33462.589769035</v>
      </c>
      <c r="R2864" s="55" t="n">
        <f aca="false">N2864</f>
        <v>85872.772265094</v>
      </c>
      <c r="S2864" s="56" t="n">
        <f aca="false">R2864</f>
        <v>85872.772265094</v>
      </c>
    </row>
    <row r="2865" customFormat="false" ht="15" hidden="false" customHeight="false" outlineLevel="0" collapsed="false">
      <c r="A2865" s="9" t="s">
        <v>541</v>
      </c>
      <c r="B2865" s="36" t="s">
        <v>125</v>
      </c>
      <c r="C2865" s="55" t="n">
        <f aca="false">C2862+C2863+C2864</f>
        <v>0</v>
      </c>
      <c r="D2865" s="55" t="n">
        <f aca="false">D2862+D2863+D2864</f>
        <v>6746.1297970807</v>
      </c>
      <c r="E2865" s="55" t="n">
        <f aca="false">E2862+E2863+E2864</f>
        <v>21085.7017824363</v>
      </c>
      <c r="F2865" s="55" t="n">
        <f aca="false">F2862+F2863+F2864</f>
        <v>37777.2068334757</v>
      </c>
      <c r="G2865" s="55" t="n">
        <f aca="false">G2862+G2863+G2864</f>
        <v>55106.6887438508</v>
      </c>
      <c r="H2865" s="55" t="n">
        <f aca="false">H2862+H2863+H2864</f>
        <v>77760.7807468658</v>
      </c>
      <c r="I2865" s="55" t="n">
        <f aca="false">I2862+I2863+I2864</f>
        <v>106926.316060413</v>
      </c>
      <c r="J2865" s="55" t="n">
        <f aca="false">J2862+J2863+J2864</f>
        <v>142942.759132805</v>
      </c>
      <c r="K2865" s="55" t="n">
        <f aca="false">K2862+K2863+K2864</f>
        <v>186012.78246526</v>
      </c>
      <c r="L2865" s="55" t="n">
        <f aca="false">L2862+L2863+L2864</f>
        <v>230491.180627851</v>
      </c>
      <c r="M2865" s="55" t="n">
        <f aca="false">M2862+M2863+M2864</f>
        <v>274219.90952437</v>
      </c>
      <c r="N2865" s="55" t="n">
        <f aca="false">N2862+N2863+N2864</f>
        <v>317295.302916191</v>
      </c>
      <c r="P2865" s="55" t="n">
        <f aca="false">F2865</f>
        <v>37777.2068334757</v>
      </c>
      <c r="Q2865" s="55" t="n">
        <f aca="false">J2865</f>
        <v>142942.759132805</v>
      </c>
      <c r="R2865" s="55" t="n">
        <f aca="false">N2865</f>
        <v>317295.302916191</v>
      </c>
      <c r="S2865" s="56" t="n">
        <f aca="false">R2865</f>
        <v>317295.302916191</v>
      </c>
    </row>
    <row r="2866" customFormat="false" ht="15" hidden="false" customHeight="false" outlineLevel="0" collapsed="false">
      <c r="A2866" s="4" t="s">
        <v>542</v>
      </c>
      <c r="B2866" s="36" t="s">
        <v>125</v>
      </c>
      <c r="C2866" s="54" t="n">
        <f aca="false">C2853*$C$2802+C2854*$C$2803+C2855*$C$2804</f>
        <v>0</v>
      </c>
      <c r="D2866" s="54" t="n">
        <f aca="false">D2853*$C$2802+D2854*$C$2803+D2855*$C$2804</f>
        <v>6746.1297970807</v>
      </c>
      <c r="E2866" s="54" t="n">
        <f aca="false">E2853*$C$2802+E2854*$C$2803+E2855*$C$2804</f>
        <v>14310.8580278741</v>
      </c>
      <c r="F2866" s="54" t="n">
        <f aca="false">F2853*$C$2802+F2854*$C$2803+F2855*$C$2804</f>
        <v>16518.9143953916</v>
      </c>
      <c r="G2866" s="54" t="n">
        <f aca="false">G2853*$C$2802+G2854*$C$2803+G2855*$C$2804</f>
        <v>16939.25312227</v>
      </c>
      <c r="H2866" s="54" t="n">
        <f aca="false">H2853*$C$2802+H2854*$C$2803+H2855*$C$2804</f>
        <v>22034.3355089372</v>
      </c>
      <c r="I2866" s="54" t="n">
        <f aca="false">I2853*$C$2802+I2854*$C$2803+I2855*$C$2804</f>
        <v>28283.5958038318</v>
      </c>
      <c r="J2866" s="54" t="n">
        <f aca="false">J2853*$C$2802+J2854*$C$2803+J2855*$C$2804</f>
        <v>34785.0892804214</v>
      </c>
      <c r="K2866" s="54" t="n">
        <f aca="false">K2853*$C$2802+K2854*$C$2803+K2855*$C$2804</f>
        <v>41398.5603704273</v>
      </c>
      <c r="L2866" s="54" t="n">
        <f aca="false">L2853*$C$2802+L2854*$C$2803+L2855*$C$2804</f>
        <v>42256.7283935406</v>
      </c>
      <c r="M2866" s="54" t="n">
        <f aca="false">M2853*$C$2802+M2854*$C$2803+M2855*$C$2804</f>
        <v>40877.3015075952</v>
      </c>
      <c r="N2866" s="54" t="n">
        <f aca="false">N2853*$C$2802+N2854*$C$2803+N2855*$C$2804</f>
        <v>39593.6001447583</v>
      </c>
      <c r="P2866" s="55" t="n">
        <f aca="false">SUM(C2866:F2866)</f>
        <v>37575.9022203463</v>
      </c>
      <c r="Q2866" s="55" t="n">
        <f aca="false">SUM(G2866:J2866)</f>
        <v>102042.273715461</v>
      </c>
      <c r="R2866" s="55" t="n">
        <f aca="false">SUM(K2866:N2866)</f>
        <v>164126.190416321</v>
      </c>
      <c r="S2866" s="56" t="n">
        <f aca="false">SUM(P2866:R2866)</f>
        <v>303744.366352128</v>
      </c>
    </row>
    <row r="2867" customFormat="false" ht="15" hidden="false" customHeight="false" outlineLevel="0" collapsed="false">
      <c r="A2867" s="9" t="s">
        <v>543</v>
      </c>
      <c r="B2867" s="36" t="s">
        <v>125</v>
      </c>
      <c r="C2867" s="55" t="n">
        <f aca="false">(0+C2865)/8</f>
        <v>0</v>
      </c>
      <c r="D2867" s="55" t="n">
        <f aca="false">(C2865+D2865)/8</f>
        <v>843.266224635088</v>
      </c>
      <c r="E2867" s="55" t="n">
        <f aca="false">(D2865+E2865)/8</f>
        <v>3478.97894743963</v>
      </c>
      <c r="F2867" s="55" t="n">
        <f aca="false">(E2865+F2865)/8</f>
        <v>7357.86357698901</v>
      </c>
      <c r="G2867" s="55" t="n">
        <f aca="false">(F2865+G2865)/8</f>
        <v>11610.4869471658</v>
      </c>
      <c r="H2867" s="55" t="n">
        <f aca="false">(G2865+H2865)/8</f>
        <v>16608.4336863396</v>
      </c>
      <c r="I2867" s="55" t="n">
        <f aca="false">(H2865+I2865)/8</f>
        <v>23085.8871009099</v>
      </c>
      <c r="J2867" s="55" t="n">
        <f aca="false">(I2865+J2865)/8</f>
        <v>31233.6343991523</v>
      </c>
      <c r="K2867" s="55" t="n">
        <f aca="false">(J2865+K2865)/8</f>
        <v>41119.4426997582</v>
      </c>
      <c r="L2867" s="55" t="n">
        <f aca="false">(K2865+L2865)/8</f>
        <v>52062.9953866388</v>
      </c>
      <c r="M2867" s="55" t="n">
        <f aca="false">(L2865+M2865)/8</f>
        <v>63088.8862690276</v>
      </c>
      <c r="N2867" s="55" t="n">
        <f aca="false">(M2865+N2865)/8</f>
        <v>73939.4015550702</v>
      </c>
      <c r="P2867" s="55" t="n">
        <f aca="false">SUM(C2867:F2867)</f>
        <v>11680.1087490637</v>
      </c>
      <c r="Q2867" s="55" t="n">
        <f aca="false">SUM(G2867:J2867)</f>
        <v>82538.4421335676</v>
      </c>
      <c r="R2867" s="55" t="n">
        <f aca="false">SUM(K2867:N2867)</f>
        <v>230210.725910495</v>
      </c>
      <c r="S2867" s="56" t="n">
        <f aca="false">SUM(P2867:R2867)</f>
        <v>324429.276793126</v>
      </c>
    </row>
    <row r="2868" customFormat="false" ht="15" hidden="false" customHeight="false" outlineLevel="0" collapsed="false">
      <c r="A2868" s="4" t="s">
        <v>544</v>
      </c>
      <c r="B2868" s="36" t="s">
        <v>125</v>
      </c>
      <c r="C2868" s="54" t="n">
        <f aca="false">C2867*Assumptions!$H$76</f>
        <v>0</v>
      </c>
      <c r="D2868" s="54" t="n">
        <f aca="false">D2867*Assumptions!$H$76</f>
        <v>548.123046012807</v>
      </c>
      <c r="E2868" s="54" t="n">
        <f aca="false">E2867*Assumptions!$H$76</f>
        <v>2261.33631583576</v>
      </c>
      <c r="F2868" s="54" t="n">
        <f aca="false">F2867*Assumptions!$H$76</f>
        <v>4782.61132504285</v>
      </c>
      <c r="G2868" s="54" t="n">
        <f aca="false">G2867*Assumptions!$H$76</f>
        <v>7546.81651565778</v>
      </c>
      <c r="H2868" s="54" t="n">
        <f aca="false">H2867*Assumptions!$H$76</f>
        <v>10795.4818961207</v>
      </c>
      <c r="I2868" s="54" t="n">
        <f aca="false">I2867*Assumptions!$H$76</f>
        <v>15005.8266155914</v>
      </c>
      <c r="J2868" s="54" t="n">
        <f aca="false">J2867*Assumptions!$H$76</f>
        <v>20301.862359449</v>
      </c>
      <c r="K2868" s="54" t="n">
        <f aca="false">K2867*Assumptions!$H$76</f>
        <v>26727.6377548428</v>
      </c>
      <c r="L2868" s="54" t="n">
        <f aca="false">L2867*Assumptions!$H$76</f>
        <v>33840.9470013153</v>
      </c>
      <c r="M2868" s="54" t="n">
        <f aca="false">M2867*Assumptions!$H$76</f>
        <v>41007.7760748679</v>
      </c>
      <c r="N2868" s="54" t="n">
        <f aca="false">N2867*Assumptions!$H$76</f>
        <v>48060.6110107956</v>
      </c>
      <c r="P2868" s="55" t="n">
        <f aca="false">SUM(C2868:F2868)</f>
        <v>7592.07068689142</v>
      </c>
      <c r="Q2868" s="55" t="n">
        <f aca="false">SUM(G2868:J2868)</f>
        <v>53649.9873868189</v>
      </c>
      <c r="R2868" s="55" t="n">
        <f aca="false">SUM(K2868:N2868)</f>
        <v>149636.971841822</v>
      </c>
      <c r="S2868" s="56" t="n">
        <f aca="false">SUM(P2868:R2868)</f>
        <v>210879.029915532</v>
      </c>
    </row>
    <row r="2869" customFormat="false" ht="15" hidden="false" customHeight="false" outlineLevel="0" collapsed="false">
      <c r="A2869" s="35" t="s">
        <v>547</v>
      </c>
      <c r="B2869" s="35" t="s">
        <v>444</v>
      </c>
      <c r="C2869" s="6" t="s">
        <v>354</v>
      </c>
      <c r="D2869" s="6" t="s">
        <v>355</v>
      </c>
      <c r="E2869" s="6" t="s">
        <v>356</v>
      </c>
      <c r="F2869" s="6" t="s">
        <v>357</v>
      </c>
      <c r="G2869" s="6" t="s">
        <v>358</v>
      </c>
      <c r="H2869" s="6" t="s">
        <v>359</v>
      </c>
      <c r="I2869" s="6" t="s">
        <v>360</v>
      </c>
      <c r="J2869" s="6" t="s">
        <v>361</v>
      </c>
      <c r="K2869" s="6" t="s">
        <v>362</v>
      </c>
      <c r="L2869" s="6" t="s">
        <v>363</v>
      </c>
      <c r="M2869" s="6" t="s">
        <v>364</v>
      </c>
      <c r="N2869" s="6" t="s">
        <v>365</v>
      </c>
      <c r="P2869" s="6" t="s">
        <v>445</v>
      </c>
      <c r="Q2869" s="6" t="s">
        <v>446</v>
      </c>
      <c r="R2869" s="6" t="s">
        <v>447</v>
      </c>
      <c r="S2869" s="6" t="s">
        <v>448</v>
      </c>
    </row>
    <row r="2870" customFormat="false" ht="15" hidden="false" customHeight="false" outlineLevel="0" collapsed="false">
      <c r="A2870" s="4" t="s">
        <v>548</v>
      </c>
      <c r="B2870" s="36" t="s">
        <v>321</v>
      </c>
      <c r="C2870" s="48" t="n">
        <f aca="false">Assumptions!$F$97*C2812</f>
        <v>0</v>
      </c>
      <c r="D2870" s="48" t="n">
        <f aca="false">Assumptions!$F$97*D2812</f>
        <v>0</v>
      </c>
      <c r="E2870" s="48" t="n">
        <f aca="false">Assumptions!$F$97*E2812</f>
        <v>0</v>
      </c>
      <c r="F2870" s="48" t="n">
        <f aca="false">Assumptions!$F$97*F2812</f>
        <v>0</v>
      </c>
      <c r="G2870" s="48" t="n">
        <f aca="false">Assumptions!$F$97*G2812</f>
        <v>0</v>
      </c>
      <c r="H2870" s="48" t="n">
        <f aca="false">Assumptions!$F$97*H2812</f>
        <v>0</v>
      </c>
      <c r="I2870" s="48" t="n">
        <f aca="false">Assumptions!$F$97*I2812</f>
        <v>0</v>
      </c>
      <c r="J2870" s="48" t="n">
        <f aca="false">Assumptions!$F$97*J2812</f>
        <v>0</v>
      </c>
      <c r="K2870" s="48" t="n">
        <f aca="false">Assumptions!$F$97*K2812</f>
        <v>0</v>
      </c>
      <c r="L2870" s="48" t="n">
        <f aca="false">Assumptions!$F$97*L2812</f>
        <v>0</v>
      </c>
      <c r="M2870" s="48" t="n">
        <f aca="false">Assumptions!$F$97*M2812</f>
        <v>0</v>
      </c>
      <c r="N2870" s="48" t="n">
        <f aca="false">Assumptions!$F$97*N2812</f>
        <v>0</v>
      </c>
      <c r="P2870" s="49" t="n">
        <f aca="false">AVERAGE(C2870:F2870)</f>
        <v>0</v>
      </c>
      <c r="Q2870" s="49" t="n">
        <f aca="false">AVERAGE(G2870:J2870)</f>
        <v>0</v>
      </c>
      <c r="R2870" s="49" t="n">
        <f aca="false">AVERAGE(K2870:N2870)</f>
        <v>0</v>
      </c>
      <c r="S2870" s="50"/>
    </row>
    <row r="2871" customFormat="false" ht="15" hidden="false" customHeight="false" outlineLevel="0" collapsed="false">
      <c r="A2871" s="4" t="s">
        <v>549</v>
      </c>
      <c r="B2871" s="36" t="s">
        <v>321</v>
      </c>
      <c r="C2871" s="48" t="n">
        <f aca="false">C2825*C2812</f>
        <v>0</v>
      </c>
      <c r="D2871" s="48" t="n">
        <f aca="false">D2825*D2812</f>
        <v>0</v>
      </c>
      <c r="E2871" s="48" t="n">
        <f aca="false">E2825*E2812</f>
        <v>0</v>
      </c>
      <c r="F2871" s="48" t="n">
        <f aca="false">F2825*F2812</f>
        <v>0</v>
      </c>
      <c r="G2871" s="48" t="n">
        <f aca="false">G2825*G2812</f>
        <v>0</v>
      </c>
      <c r="H2871" s="48" t="n">
        <f aca="false">H2825*H2812</f>
        <v>0</v>
      </c>
      <c r="I2871" s="48" t="n">
        <f aca="false">I2825*I2812</f>
        <v>0</v>
      </c>
      <c r="J2871" s="48" t="n">
        <f aca="false">J2825*J2812</f>
        <v>0</v>
      </c>
      <c r="K2871" s="48" t="n">
        <f aca="false">K2825*K2812</f>
        <v>0</v>
      </c>
      <c r="L2871" s="48" t="n">
        <f aca="false">L2825*L2812</f>
        <v>0</v>
      </c>
      <c r="M2871" s="48" t="n">
        <f aca="false">M2825*M2812</f>
        <v>0</v>
      </c>
      <c r="N2871" s="48" t="n">
        <f aca="false">N2825*N2812</f>
        <v>0</v>
      </c>
      <c r="P2871" s="49" t="n">
        <f aca="false">AVERAGE(C2871:F2871)</f>
        <v>0</v>
      </c>
      <c r="Q2871" s="49" t="n">
        <f aca="false">AVERAGE(G2871:J2871)</f>
        <v>0</v>
      </c>
      <c r="R2871" s="49" t="n">
        <f aca="false">AVERAGE(K2871:N2871)</f>
        <v>0</v>
      </c>
      <c r="S2871" s="50"/>
    </row>
    <row r="2872" customFormat="false" ht="15" hidden="false" customHeight="false" outlineLevel="0" collapsed="false">
      <c r="A2872" s="4" t="s">
        <v>550</v>
      </c>
      <c r="B2872" s="36" t="s">
        <v>321</v>
      </c>
      <c r="C2872" s="48" t="n">
        <f aca="false">IF(C2811&lt;=4,Assumptions!$F$98,Assumptions!$F$99)*C2812</f>
        <v>0</v>
      </c>
      <c r="D2872" s="48" t="n">
        <f aca="false">IF(D2811&lt;=4,Assumptions!$F$98,Assumptions!$F$99)*D2812</f>
        <v>0</v>
      </c>
      <c r="E2872" s="48" t="n">
        <f aca="false">IF(E2811&lt;=4,Assumptions!$F$98,Assumptions!$F$99)*E2812</f>
        <v>0</v>
      </c>
      <c r="F2872" s="48" t="n">
        <f aca="false">IF(F2811&lt;=4,Assumptions!$F$98,Assumptions!$F$99)*F2812</f>
        <v>0</v>
      </c>
      <c r="G2872" s="48" t="n">
        <f aca="false">IF(G2811&lt;=4,Assumptions!$F$98,Assumptions!$F$99)*G2812</f>
        <v>0</v>
      </c>
      <c r="H2872" s="48" t="n">
        <f aca="false">IF(H2811&lt;=4,Assumptions!$F$98,Assumptions!$F$99)*H2812</f>
        <v>0</v>
      </c>
      <c r="I2872" s="48" t="n">
        <f aca="false">IF(I2811&lt;=4,Assumptions!$F$98,Assumptions!$F$99)*I2812</f>
        <v>0</v>
      </c>
      <c r="J2872" s="48" t="n">
        <f aca="false">IF(J2811&lt;=4,Assumptions!$F$98,Assumptions!$F$99)*J2812</f>
        <v>0</v>
      </c>
      <c r="K2872" s="48" t="n">
        <f aca="false">IF(K2811&lt;=4,Assumptions!$F$98,Assumptions!$F$99)*K2812</f>
        <v>0</v>
      </c>
      <c r="L2872" s="48" t="n">
        <f aca="false">IF(L2811&lt;=4,Assumptions!$F$98,Assumptions!$F$99)*L2812</f>
        <v>0</v>
      </c>
      <c r="M2872" s="48" t="n">
        <f aca="false">IF(M2811&lt;=4,Assumptions!$F$98,Assumptions!$F$99)*M2812</f>
        <v>0</v>
      </c>
      <c r="N2872" s="48" t="n">
        <f aca="false">IF(N2811&lt;=4,Assumptions!$F$98,Assumptions!$F$99)*N2812</f>
        <v>0</v>
      </c>
      <c r="P2872" s="49" t="n">
        <f aca="false">AVERAGE(C2872:F2872)</f>
        <v>0</v>
      </c>
      <c r="Q2872" s="49" t="n">
        <f aca="false">AVERAGE(G2872:J2872)</f>
        <v>0</v>
      </c>
      <c r="R2872" s="49" t="n">
        <f aca="false">AVERAGE(K2872:N2872)</f>
        <v>0</v>
      </c>
      <c r="S2872" s="50"/>
    </row>
    <row r="2873" customFormat="false" ht="15" hidden="false" customHeight="false" outlineLevel="0" collapsed="false">
      <c r="A2873" s="4" t="s">
        <v>551</v>
      </c>
      <c r="B2873" s="36" t="s">
        <v>321</v>
      </c>
      <c r="C2873" s="48" t="n">
        <f aca="false">IF(C2811&lt;=4,Assumptions!$F$100,Assumptions!$F$101)*C2812</f>
        <v>0.5</v>
      </c>
      <c r="D2873" s="48" t="n">
        <f aca="false">IF(D2811&lt;=4,Assumptions!$F$100,Assumptions!$F$101)*D2812</f>
        <v>0.5</v>
      </c>
      <c r="E2873" s="48" t="n">
        <f aca="false">IF(E2811&lt;=4,Assumptions!$F$100,Assumptions!$F$101)*E2812</f>
        <v>0.5</v>
      </c>
      <c r="F2873" s="48" t="n">
        <f aca="false">IF(F2811&lt;=4,Assumptions!$F$100,Assumptions!$F$101)*F2812</f>
        <v>0.5</v>
      </c>
      <c r="G2873" s="48" t="n">
        <f aca="false">IF(G2811&lt;=4,Assumptions!$F$100,Assumptions!$F$101)*G2812</f>
        <v>0.25</v>
      </c>
      <c r="H2873" s="48" t="n">
        <f aca="false">IF(H2811&lt;=4,Assumptions!$F$100,Assumptions!$F$101)*H2812</f>
        <v>0.25</v>
      </c>
      <c r="I2873" s="48" t="n">
        <f aca="false">IF(I2811&lt;=4,Assumptions!$F$100,Assumptions!$F$101)*I2812</f>
        <v>0.25</v>
      </c>
      <c r="J2873" s="48" t="n">
        <f aca="false">IF(J2811&lt;=4,Assumptions!$F$100,Assumptions!$F$101)*J2812</f>
        <v>0.25</v>
      </c>
      <c r="K2873" s="48" t="n">
        <f aca="false">IF(K2811&lt;=4,Assumptions!$F$100,Assumptions!$F$101)*K2812</f>
        <v>0.25</v>
      </c>
      <c r="L2873" s="48" t="n">
        <f aca="false">IF(L2811&lt;=4,Assumptions!$F$100,Assumptions!$F$101)*L2812</f>
        <v>0.25</v>
      </c>
      <c r="M2873" s="48" t="n">
        <f aca="false">IF(M2811&lt;=4,Assumptions!$F$100,Assumptions!$F$101)*M2812</f>
        <v>0.25</v>
      </c>
      <c r="N2873" s="48" t="n">
        <f aca="false">IF(N2811&lt;=4,Assumptions!$F$100,Assumptions!$F$101)*N2812</f>
        <v>0.25</v>
      </c>
      <c r="P2873" s="49" t="n">
        <f aca="false">AVERAGE(C2873:F2873)</f>
        <v>0.5</v>
      </c>
      <c r="Q2873" s="49" t="n">
        <f aca="false">AVERAGE(G2873:J2873)</f>
        <v>0.25</v>
      </c>
      <c r="R2873" s="49" t="n">
        <f aca="false">AVERAGE(K2873:N2873)</f>
        <v>0.25</v>
      </c>
      <c r="S2873" s="50"/>
    </row>
    <row r="2874" customFormat="false" ht="15" hidden="false" customHeight="false" outlineLevel="0" collapsed="false">
      <c r="A2874" s="4" t="s">
        <v>552</v>
      </c>
      <c r="B2874" s="36" t="s">
        <v>321</v>
      </c>
      <c r="C2874" s="48" t="n">
        <f aca="false">Assumptions!$F$102*C2812</f>
        <v>0.1</v>
      </c>
      <c r="D2874" s="48" t="n">
        <f aca="false">Assumptions!$F$102*D2812</f>
        <v>0.1</v>
      </c>
      <c r="E2874" s="48" t="n">
        <f aca="false">Assumptions!$F$102*E2812</f>
        <v>0.1</v>
      </c>
      <c r="F2874" s="48" t="n">
        <f aca="false">Assumptions!$F$102*F2812</f>
        <v>0.1</v>
      </c>
      <c r="G2874" s="48" t="n">
        <f aca="false">Assumptions!$F$102*G2812</f>
        <v>0.1</v>
      </c>
      <c r="H2874" s="48" t="n">
        <f aca="false">Assumptions!$F$102*H2812</f>
        <v>0.1</v>
      </c>
      <c r="I2874" s="48" t="n">
        <f aca="false">Assumptions!$F$102*I2812</f>
        <v>0.1</v>
      </c>
      <c r="J2874" s="48" t="n">
        <f aca="false">Assumptions!$F$102*J2812</f>
        <v>0.1</v>
      </c>
      <c r="K2874" s="48" t="n">
        <f aca="false">Assumptions!$F$102*K2812</f>
        <v>0.1</v>
      </c>
      <c r="L2874" s="48" t="n">
        <f aca="false">Assumptions!$F$102*L2812</f>
        <v>0.1</v>
      </c>
      <c r="M2874" s="48" t="n">
        <f aca="false">Assumptions!$F$102*M2812</f>
        <v>0.1</v>
      </c>
      <c r="N2874" s="48" t="n">
        <f aca="false">Assumptions!$F$102*N2812</f>
        <v>0.1</v>
      </c>
      <c r="P2874" s="49" t="n">
        <f aca="false">AVERAGE(C2874:F2874)</f>
        <v>0.1</v>
      </c>
      <c r="Q2874" s="49" t="n">
        <f aca="false">AVERAGE(G2874:J2874)</f>
        <v>0.1</v>
      </c>
      <c r="R2874" s="49" t="n">
        <f aca="false">AVERAGE(K2874:N2874)</f>
        <v>0.1</v>
      </c>
      <c r="S2874" s="50"/>
    </row>
    <row r="2875" customFormat="false" ht="15" hidden="false" customHeight="false" outlineLevel="0" collapsed="false">
      <c r="A2875" s="4" t="s">
        <v>553</v>
      </c>
      <c r="B2875" s="36" t="s">
        <v>321</v>
      </c>
      <c r="C2875" s="48" t="n">
        <f aca="false">(C2859+C2860)/Assumptions!$H$74+C2858/Assumptions!$H$75</f>
        <v>0</v>
      </c>
      <c r="D2875" s="48" t="n">
        <f aca="false">(D2859+D2860)/Assumptions!$H$74+D2858/Assumptions!$H$75</f>
        <v>0.0127200243014645</v>
      </c>
      <c r="E2875" s="48" t="n">
        <f aca="false">(E2859+E2860)/Assumptions!$H$74+E2858/Assumptions!$H$75</f>
        <v>0.0358690076725012</v>
      </c>
      <c r="F2875" s="48" t="n">
        <f aca="false">(F2859+F2860)/Assumptions!$H$74+F2858/Assumptions!$H$75</f>
        <v>0.0600092137651698</v>
      </c>
      <c r="G2875" s="48" t="n">
        <f aca="false">(G2859+G2860)/Assumptions!$H$74+G2858/Assumptions!$H$75</f>
        <v>0.0841495474274016</v>
      </c>
      <c r="H2875" s="48" t="n">
        <f aca="false">(H2859+H2860)/Assumptions!$H$74+H2858/Assumptions!$H$75</f>
        <v>0.117128059786596</v>
      </c>
      <c r="I2875" s="48" t="n">
        <f aca="false">(I2859+I2860)/Assumptions!$H$74+I2858/Assumptions!$H$75</f>
        <v>0.158806683355719</v>
      </c>
      <c r="J2875" s="48" t="n">
        <f aca="false">(J2859+J2860)/Assumptions!$H$74+J2858/Assumptions!$H$75</f>
        <v>0.210658035290367</v>
      </c>
      <c r="K2875" s="48" t="n">
        <f aca="false">(K2859+K2860)/Assumptions!$H$74+K2858/Assumptions!$H$75</f>
        <v>0.271840111029533</v>
      </c>
      <c r="L2875" s="48" t="n">
        <f aca="false">(L2859+L2860)/Assumptions!$H$74+L2858/Assumptions!$H$75</f>
        <v>0.330406640100157</v>
      </c>
      <c r="M2875" s="48" t="n">
        <f aca="false">(M2859+M2860)/Assumptions!$H$74+M2858/Assumptions!$H$75</f>
        <v>0.385275019724491</v>
      </c>
      <c r="N2875" s="48" t="n">
        <f aca="false">(N2859+N2860)/Assumptions!$H$74+N2858/Assumptions!$H$75</f>
        <v>0.436692761045522</v>
      </c>
      <c r="P2875" s="49" t="n">
        <f aca="false">AVERAGE(C2875:F2875)</f>
        <v>0.0271495614347839</v>
      </c>
      <c r="Q2875" s="49" t="n">
        <f aca="false">AVERAGE(G2875:J2875)</f>
        <v>0.142685581465021</v>
      </c>
      <c r="R2875" s="49" t="n">
        <f aca="false">AVERAGE(K2875:N2875)</f>
        <v>0.356053632974926</v>
      </c>
      <c r="S2875" s="50"/>
    </row>
    <row r="2876" customFormat="false" ht="15" hidden="false" customHeight="false" outlineLevel="0" collapsed="false">
      <c r="A2876" s="4" t="s">
        <v>554</v>
      </c>
      <c r="B2876" s="36" t="s">
        <v>125</v>
      </c>
      <c r="C2876" s="54" t="n">
        <f aca="false">(C2870+C2872)*Assumptions!$H$70/Assumptions!$H$69/4</f>
        <v>0</v>
      </c>
      <c r="D2876" s="54" t="n">
        <f aca="false">(D2870+D2872)*Assumptions!$H$70/Assumptions!$H$69/4</f>
        <v>0</v>
      </c>
      <c r="E2876" s="54" t="n">
        <f aca="false">(E2870+E2872)*Assumptions!$H$70/Assumptions!$H$69/4</f>
        <v>0</v>
      </c>
      <c r="F2876" s="54" t="n">
        <f aca="false">(F2870+F2872)*Assumptions!$H$70/Assumptions!$H$69/4</f>
        <v>0</v>
      </c>
      <c r="G2876" s="54" t="n">
        <f aca="false">(G2870+G2872)*Assumptions!$H$70/Assumptions!$H$69/4</f>
        <v>0</v>
      </c>
      <c r="H2876" s="54" t="n">
        <f aca="false">(H2870+H2872)*Assumptions!$H$70/Assumptions!$H$69/4</f>
        <v>0</v>
      </c>
      <c r="I2876" s="54" t="n">
        <f aca="false">(I2870+I2872)*Assumptions!$H$70/Assumptions!$H$69/4</f>
        <v>0</v>
      </c>
      <c r="J2876" s="54" t="n">
        <f aca="false">(J2870+J2872)*Assumptions!$H$70/Assumptions!$H$69/4</f>
        <v>0</v>
      </c>
      <c r="K2876" s="54" t="n">
        <f aca="false">(K2870+K2872)*Assumptions!$H$70/Assumptions!$H$69/4</f>
        <v>0</v>
      </c>
      <c r="L2876" s="54" t="n">
        <f aca="false">(L2870+L2872)*Assumptions!$H$70/Assumptions!$H$69/4</f>
        <v>0</v>
      </c>
      <c r="M2876" s="54" t="n">
        <f aca="false">(M2870+M2872)*Assumptions!$H$70/Assumptions!$H$69/4</f>
        <v>0</v>
      </c>
      <c r="N2876" s="54" t="n">
        <f aca="false">(N2870+N2872)*Assumptions!$H$70/Assumptions!$H$69/4</f>
        <v>0</v>
      </c>
      <c r="P2876" s="55" t="n">
        <f aca="false">SUM(C2876:F2876)</f>
        <v>0</v>
      </c>
      <c r="Q2876" s="55" t="n">
        <f aca="false">SUM(G2876:J2876)</f>
        <v>0</v>
      </c>
      <c r="R2876" s="55" t="n">
        <f aca="false">SUM(K2876:N2876)</f>
        <v>0</v>
      </c>
      <c r="S2876" s="56" t="n">
        <f aca="false">SUM(P2876:R2876)</f>
        <v>0</v>
      </c>
    </row>
    <row r="2877" customFormat="false" ht="15" hidden="false" customHeight="false" outlineLevel="0" collapsed="false">
      <c r="A2877" s="4" t="s">
        <v>555</v>
      </c>
      <c r="B2877" s="36" t="s">
        <v>125</v>
      </c>
      <c r="C2877" s="54" t="n">
        <f aca="false">C2871*$C$2806/4</f>
        <v>0</v>
      </c>
      <c r="D2877" s="54" t="n">
        <f aca="false">D2871*$C$2806/4</f>
        <v>0</v>
      </c>
      <c r="E2877" s="54" t="n">
        <f aca="false">E2871*$C$2806/4</f>
        <v>0</v>
      </c>
      <c r="F2877" s="54" t="n">
        <f aca="false">F2871*$C$2806/4</f>
        <v>0</v>
      </c>
      <c r="G2877" s="54" t="n">
        <f aca="false">G2871*$C$2806/4</f>
        <v>0</v>
      </c>
      <c r="H2877" s="54" t="n">
        <f aca="false">H2871*$C$2806/4</f>
        <v>0</v>
      </c>
      <c r="I2877" s="54" t="n">
        <f aca="false">I2871*$C$2806/4</f>
        <v>0</v>
      </c>
      <c r="J2877" s="54" t="n">
        <f aca="false">J2871*$C$2806/4</f>
        <v>0</v>
      </c>
      <c r="K2877" s="54" t="n">
        <f aca="false">K2871*$C$2806/4</f>
        <v>0</v>
      </c>
      <c r="L2877" s="54" t="n">
        <f aca="false">L2871*$C$2806/4</f>
        <v>0</v>
      </c>
      <c r="M2877" s="54" t="n">
        <f aca="false">M2871*$C$2806/4</f>
        <v>0</v>
      </c>
      <c r="N2877" s="54" t="n">
        <f aca="false">N2871*$C$2806/4</f>
        <v>0</v>
      </c>
      <c r="P2877" s="55" t="n">
        <f aca="false">SUM(C2877:F2877)</f>
        <v>0</v>
      </c>
      <c r="Q2877" s="55" t="n">
        <f aca="false">SUM(G2877:J2877)</f>
        <v>0</v>
      </c>
      <c r="R2877" s="55" t="n">
        <f aca="false">SUM(K2877:N2877)</f>
        <v>0</v>
      </c>
      <c r="S2877" s="56" t="n">
        <f aca="false">SUM(P2877:R2877)</f>
        <v>0</v>
      </c>
    </row>
    <row r="2878" customFormat="false" ht="15" hidden="false" customHeight="false" outlineLevel="0" collapsed="false">
      <c r="A2878" s="4" t="s">
        <v>556</v>
      </c>
      <c r="B2878" s="36" t="s">
        <v>125</v>
      </c>
      <c r="C2878" s="54" t="n">
        <f aca="false">MAX(0,(C2866-C2847*$C$2802)-C2826*$C$2807)*$C$2808*Assumptions!$F$105</f>
        <v>0</v>
      </c>
      <c r="D2878" s="54" t="n">
        <f aca="false">MAX(0,(D2866-D2847*$C$2802)-D2826*$C$2807)*$C$2808*Assumptions!$F$105</f>
        <v>2141.54484629591</v>
      </c>
      <c r="E2878" s="54" t="n">
        <f aca="false">MAX(0,(E2866-E2847*$C$2802)-E2826*$C$2807)*$C$2808*Assumptions!$F$105</f>
        <v>4935.9320509837</v>
      </c>
      <c r="F2878" s="54" t="n">
        <f aca="false">MAX(0,(F2866-F2847*$C$2802)-F2826*$C$2807)*$C$2808*Assumptions!$F$105</f>
        <v>5923.92716195095</v>
      </c>
      <c r="G2878" s="54" t="n">
        <f aca="false">MAX(0,(G2866-G2847*$C$2802)-G2826*$C$2807)*$C$2808*Assumptions!$F$105</f>
        <v>6073.78113299581</v>
      </c>
      <c r="H2878" s="54" t="n">
        <f aca="false">MAX(0,(H2866-H2847*$C$2802)-H2826*$C$2807)*$C$2808*Assumptions!$F$105</f>
        <v>7711.31209292196</v>
      </c>
      <c r="I2878" s="54" t="n">
        <f aca="false">MAX(0,(I2866-I2847*$C$2802)-I2826*$C$2807)*$C$2808*Assumptions!$F$105</f>
        <v>9948.21066542967</v>
      </c>
      <c r="J2878" s="54" t="n">
        <f aca="false">MAX(0,(J2866-J2847*$C$2802)-J2826*$C$2807)*$C$2808*Assumptions!$F$105</f>
        <v>12301.4022941537</v>
      </c>
      <c r="K2878" s="54" t="n">
        <f aca="false">MAX(0,(K2866-K2847*$C$2802)-K2826*$C$2807)*$C$2808*Assumptions!$F$105</f>
        <v>14764.5915579771</v>
      </c>
      <c r="L2878" s="54" t="n">
        <f aca="false">MAX(0,(L2866-L2847*$C$2802)-L2826*$C$2807)*$C$2808*Assumptions!$F$105</f>
        <v>15317.3733401772</v>
      </c>
      <c r="M2878" s="54" t="n">
        <f aca="false">MAX(0,(M2866-M2847*$C$2802)-M2826*$C$2807)*$C$2808*Assumptions!$F$105</f>
        <v>14815.7983827188</v>
      </c>
      <c r="N2878" s="54" t="n">
        <f aca="false">MAX(0,(N2866-N2847*$C$2802)-N2826*$C$2807)*$C$2808*Assumptions!$F$105</f>
        <v>14349.0302901041</v>
      </c>
      <c r="P2878" s="55" t="n">
        <f aca="false">SUM(C2878:F2878)</f>
        <v>13001.4040592306</v>
      </c>
      <c r="Q2878" s="55" t="n">
        <f aca="false">SUM(G2878:J2878)</f>
        <v>36034.7061855011</v>
      </c>
      <c r="R2878" s="55" t="n">
        <f aca="false">SUM(K2878:N2878)</f>
        <v>59246.7935709772</v>
      </c>
      <c r="S2878" s="56" t="n">
        <f aca="false">SUM(P2878:R2878)</f>
        <v>108282.903815709</v>
      </c>
    </row>
    <row r="2879" customFormat="false" ht="15" hidden="false" customHeight="false" outlineLevel="0" collapsed="false">
      <c r="A2879" s="4" t="s">
        <v>557</v>
      </c>
      <c r="B2879" s="36" t="s">
        <v>125</v>
      </c>
      <c r="C2879" s="54" t="n">
        <f aca="false">C2874*Assumptions!$H$71/Assumptions!$H$69/4</f>
        <v>7390.35714285714</v>
      </c>
      <c r="D2879" s="54" t="n">
        <f aca="false">D2874*Assumptions!$H$71/Assumptions!$H$69/4</f>
        <v>7390.35714285714</v>
      </c>
      <c r="E2879" s="54" t="n">
        <f aca="false">E2874*Assumptions!$H$71/Assumptions!$H$69/4</f>
        <v>7390.35714285714</v>
      </c>
      <c r="F2879" s="54" t="n">
        <f aca="false">F2874*Assumptions!$H$71/Assumptions!$H$69/4</f>
        <v>7390.35714285714</v>
      </c>
      <c r="G2879" s="54" t="n">
        <f aca="false">G2874*Assumptions!$H$71/Assumptions!$H$69/4</f>
        <v>7390.35714285714</v>
      </c>
      <c r="H2879" s="54" t="n">
        <f aca="false">H2874*Assumptions!$H$71/Assumptions!$H$69/4</f>
        <v>7390.35714285714</v>
      </c>
      <c r="I2879" s="54" t="n">
        <f aca="false">I2874*Assumptions!$H$71/Assumptions!$H$69/4</f>
        <v>7390.35714285714</v>
      </c>
      <c r="J2879" s="54" t="n">
        <f aca="false">J2874*Assumptions!$H$71/Assumptions!$H$69/4</f>
        <v>7390.35714285714</v>
      </c>
      <c r="K2879" s="54" t="n">
        <f aca="false">K2874*Assumptions!$H$71/Assumptions!$H$69/4</f>
        <v>7390.35714285714</v>
      </c>
      <c r="L2879" s="54" t="n">
        <f aca="false">L2874*Assumptions!$H$71/Assumptions!$H$69/4</f>
        <v>7390.35714285714</v>
      </c>
      <c r="M2879" s="54" t="n">
        <f aca="false">M2874*Assumptions!$H$71/Assumptions!$H$69/4</f>
        <v>7390.35714285714</v>
      </c>
      <c r="N2879" s="54" t="n">
        <f aca="false">N2874*Assumptions!$H$71/Assumptions!$H$69/4</f>
        <v>7390.35714285714</v>
      </c>
      <c r="P2879" s="55" t="n">
        <f aca="false">SUM(C2879:F2879)</f>
        <v>29561.4285714286</v>
      </c>
      <c r="Q2879" s="55" t="n">
        <f aca="false">SUM(G2879:J2879)</f>
        <v>29561.4285714286</v>
      </c>
      <c r="R2879" s="55" t="n">
        <f aca="false">SUM(K2879:N2879)</f>
        <v>29561.4285714286</v>
      </c>
      <c r="S2879" s="56" t="n">
        <f aca="false">SUM(P2879:R2879)</f>
        <v>88684.2857142857</v>
      </c>
    </row>
    <row r="2880" customFormat="false" ht="15" hidden="false" customHeight="false" outlineLevel="0" collapsed="false">
      <c r="A2880" s="4" t="s">
        <v>558</v>
      </c>
      <c r="B2880" s="36" t="s">
        <v>125</v>
      </c>
      <c r="C2880" s="54" t="n">
        <f aca="false">(Assumptions!$F$103+Assumptions!$H$77*((C2811=Assumptions!$H$13)+(C2811=Assumptions!$H$14)+(C2811=Assumptions!$H$15)))*C2812</f>
        <v>50000</v>
      </c>
      <c r="D2880" s="54" t="n">
        <f aca="false">(Assumptions!$F$103+Assumptions!$H$77*((D2811=Assumptions!$H$13)+(D2811=Assumptions!$H$14)+(D2811=Assumptions!$H$15)))*D2812</f>
        <v>10000</v>
      </c>
      <c r="E2880" s="54" t="n">
        <f aca="false">(Assumptions!$F$103+Assumptions!$H$77*((E2811=Assumptions!$H$13)+(E2811=Assumptions!$H$14)+(E2811=Assumptions!$H$15)))*E2812</f>
        <v>10000</v>
      </c>
      <c r="F2880" s="54" t="n">
        <f aca="false">(Assumptions!$F$103+Assumptions!$H$77*((F2811=Assumptions!$H$13)+(F2811=Assumptions!$H$14)+(F2811=Assumptions!$H$15)))*F2812</f>
        <v>10000</v>
      </c>
      <c r="G2880" s="54" t="n">
        <f aca="false">(Assumptions!$F$103+Assumptions!$H$77*((G2811=Assumptions!$H$13)+(G2811=Assumptions!$H$14)+(G2811=Assumptions!$H$15)))*G2812</f>
        <v>50000</v>
      </c>
      <c r="H2880" s="54" t="n">
        <f aca="false">(Assumptions!$F$103+Assumptions!$H$77*((H2811=Assumptions!$H$13)+(H2811=Assumptions!$H$14)+(H2811=Assumptions!$H$15)))*H2812</f>
        <v>10000</v>
      </c>
      <c r="I2880" s="54" t="n">
        <f aca="false">(Assumptions!$F$103+Assumptions!$H$77*((I2811=Assumptions!$H$13)+(I2811=Assumptions!$H$14)+(I2811=Assumptions!$H$15)))*I2812</f>
        <v>50000</v>
      </c>
      <c r="J2880" s="54" t="n">
        <f aca="false">(Assumptions!$F$103+Assumptions!$H$77*((J2811=Assumptions!$H$13)+(J2811=Assumptions!$H$14)+(J2811=Assumptions!$H$15)))*J2812</f>
        <v>10000</v>
      </c>
      <c r="K2880" s="54" t="n">
        <f aca="false">(Assumptions!$F$103+Assumptions!$H$77*((K2811=Assumptions!$H$13)+(K2811=Assumptions!$H$14)+(K2811=Assumptions!$H$15)))*K2812</f>
        <v>10000</v>
      </c>
      <c r="L2880" s="54" t="n">
        <f aca="false">(Assumptions!$F$103+Assumptions!$H$77*((L2811=Assumptions!$H$13)+(L2811=Assumptions!$H$14)+(L2811=Assumptions!$H$15)))*L2812</f>
        <v>10000</v>
      </c>
      <c r="M2880" s="54" t="n">
        <f aca="false">(Assumptions!$F$103+Assumptions!$H$77*((M2811=Assumptions!$H$13)+(M2811=Assumptions!$H$14)+(M2811=Assumptions!$H$15)))*M2812</f>
        <v>10000</v>
      </c>
      <c r="N2880" s="54" t="n">
        <f aca="false">(Assumptions!$F$103+Assumptions!$H$77*((N2811=Assumptions!$H$13)+(N2811=Assumptions!$H$14)+(N2811=Assumptions!$H$15)))*N2812</f>
        <v>10000</v>
      </c>
      <c r="P2880" s="55" t="n">
        <f aca="false">SUM(C2880:F2880)</f>
        <v>80000</v>
      </c>
      <c r="Q2880" s="55" t="n">
        <f aca="false">SUM(G2880:J2880)</f>
        <v>120000</v>
      </c>
      <c r="R2880" s="55" t="n">
        <f aca="false">SUM(K2880:N2880)</f>
        <v>40000</v>
      </c>
      <c r="S2880" s="56" t="n">
        <f aca="false">SUM(P2880:R2880)</f>
        <v>240000</v>
      </c>
    </row>
    <row r="2881" customFormat="false" ht="15" hidden="false" customHeight="false" outlineLevel="0" collapsed="false">
      <c r="A2881" s="4" t="s">
        <v>559</v>
      </c>
      <c r="B2881" s="36" t="s">
        <v>125</v>
      </c>
      <c r="C2881" s="54" t="n">
        <f aca="false">C2866*C2846*Assumptions!$H$79</f>
        <v>0</v>
      </c>
      <c r="D2881" s="54" t="n">
        <f aca="false">D2866*D2846*Assumptions!$H$79</f>
        <v>413.966879505004</v>
      </c>
      <c r="E2881" s="54" t="n">
        <f aca="false">E2866*E2846*Assumptions!$H$79</f>
        <v>676.637819028686</v>
      </c>
      <c r="F2881" s="54" t="n">
        <f aca="false">F2866*F2846*Assumptions!$H$79</f>
        <v>953.281844704958</v>
      </c>
      <c r="G2881" s="54" t="n">
        <f aca="false">G2866*G2846*Assumptions!$H$79</f>
        <v>1143.38391681982</v>
      </c>
      <c r="H2881" s="54" t="n">
        <f aca="false">H2866*H2846*Assumptions!$H$79</f>
        <v>1236.69875112733</v>
      </c>
      <c r="I2881" s="54" t="n">
        <f aca="false">I2866*I2846*Assumptions!$H$79</f>
        <v>1435.75930945263</v>
      </c>
      <c r="J2881" s="54" t="n">
        <f aca="false">J2866*J2846*Assumptions!$H$79</f>
        <v>1617.15364671208</v>
      </c>
      <c r="K2881" s="54" t="n">
        <f aca="false">K2866*K2846*Assumptions!$H$79</f>
        <v>1827.31308489431</v>
      </c>
      <c r="L2881" s="54" t="n">
        <f aca="false">L2866*L2846*Assumptions!$H$79</f>
        <v>1929.91045564196</v>
      </c>
      <c r="M2881" s="54" t="n">
        <f aca="false">M2866*M2846*Assumptions!$H$79</f>
        <v>1929.20460512132</v>
      </c>
      <c r="N2881" s="54" t="n">
        <f aca="false">N2866*N2846*Assumptions!$H$79</f>
        <v>1928.5040660984</v>
      </c>
      <c r="P2881" s="55" t="n">
        <f aca="false">SUM(C2881:F2881)</f>
        <v>2043.88654323865</v>
      </c>
      <c r="Q2881" s="55" t="n">
        <f aca="false">SUM(G2881:J2881)</f>
        <v>5432.99562411187</v>
      </c>
      <c r="R2881" s="55" t="n">
        <f aca="false">SUM(K2881:N2881)</f>
        <v>7614.93221175599</v>
      </c>
      <c r="S2881" s="56" t="n">
        <f aca="false">SUM(P2881:R2881)</f>
        <v>15091.8143791065</v>
      </c>
    </row>
    <row r="2882" customFormat="false" ht="15" hidden="false" customHeight="false" outlineLevel="0" collapsed="false">
      <c r="A2882" s="4" t="s">
        <v>560</v>
      </c>
      <c r="B2882" s="36" t="s">
        <v>125</v>
      </c>
      <c r="C2882" s="54" t="n">
        <f aca="false">C2831*Assumptions!$H$80</f>
        <v>3000</v>
      </c>
      <c r="D2882" s="54" t="n">
        <f aca="false">D2831*Assumptions!$H$80</f>
        <v>4000</v>
      </c>
      <c r="E2882" s="54" t="n">
        <f aca="false">E2831*Assumptions!$H$80</f>
        <v>5000</v>
      </c>
      <c r="F2882" s="54" t="n">
        <f aca="false">F2831*Assumptions!$H$80</f>
        <v>6000</v>
      </c>
      <c r="G2882" s="54" t="n">
        <f aca="false">G2831*Assumptions!$H$80</f>
        <v>7000</v>
      </c>
      <c r="H2882" s="54" t="n">
        <f aca="false">H2831*Assumptions!$H$80</f>
        <v>8000</v>
      </c>
      <c r="I2882" s="54" t="n">
        <f aca="false">I2831*Assumptions!$H$80</f>
        <v>9000</v>
      </c>
      <c r="J2882" s="54" t="n">
        <f aca="false">J2831*Assumptions!$H$80</f>
        <v>10000</v>
      </c>
      <c r="K2882" s="54" t="n">
        <f aca="false">K2831*Assumptions!$H$80</f>
        <v>10000</v>
      </c>
      <c r="L2882" s="54" t="n">
        <f aca="false">L2831*Assumptions!$H$80</f>
        <v>10000</v>
      </c>
      <c r="M2882" s="54" t="n">
        <f aca="false">M2831*Assumptions!$H$80</f>
        <v>10000</v>
      </c>
      <c r="N2882" s="54" t="n">
        <f aca="false">N2831*Assumptions!$H$80</f>
        <v>10000</v>
      </c>
      <c r="P2882" s="55" t="n">
        <f aca="false">SUM(C2882:F2882)</f>
        <v>18000</v>
      </c>
      <c r="Q2882" s="55" t="n">
        <f aca="false">SUM(G2882:J2882)</f>
        <v>34000</v>
      </c>
      <c r="R2882" s="55" t="n">
        <f aca="false">SUM(K2882:N2882)</f>
        <v>40000</v>
      </c>
      <c r="S2882" s="56" t="n">
        <f aca="false">SUM(P2882:R2882)</f>
        <v>92000</v>
      </c>
    </row>
    <row r="2883" customFormat="false" ht="15" hidden="false" customHeight="false" outlineLevel="0" collapsed="false">
      <c r="A2883" s="4" t="s">
        <v>561</v>
      </c>
      <c r="B2883" s="36" t="s">
        <v>125</v>
      </c>
      <c r="C2883" s="54" t="n">
        <f aca="false">(C2854*$C$2803+C2855*$C$2804)*Assumptions!$H$81</f>
        <v>0</v>
      </c>
      <c r="D2883" s="54" t="n">
        <f aca="false">(D2854*$C$2803+D2855*$C$2804)*Assumptions!$H$81</f>
        <v>136.976836243717</v>
      </c>
      <c r="E2883" s="54" t="n">
        <f aca="false">(E2854*$C$2803+E2855*$C$2804)*Assumptions!$H$81</f>
        <v>421.622820727977</v>
      </c>
      <c r="F2883" s="54" t="n">
        <f aca="false">(F2854*$C$2803+F2855*$C$2804)*Assumptions!$H$81</f>
        <v>562.180256705978</v>
      </c>
      <c r="G2883" s="54" t="n">
        <f aca="false">(G2854*$C$2803+G2855*$C$2804)*Assumptions!$H$81</f>
        <v>576.190080139532</v>
      </c>
      <c r="H2883" s="54" t="n">
        <f aca="false">(H2854*$C$2803+H2855*$C$2804)*Assumptions!$H$81</f>
        <v>686.34856411115</v>
      </c>
      <c r="I2883" s="54" t="n">
        <f aca="false">(I2854*$C$2803+I2855*$C$2804)*Assumptions!$H$81</f>
        <v>897.63316563003</v>
      </c>
      <c r="J2883" s="54" t="n">
        <f aca="false">(J2854*$C$2803+J2855*$C$2804)*Assumptions!$H$81</f>
        <v>1126.11832104491</v>
      </c>
      <c r="K2883" s="54" t="n">
        <f aca="false">(K2854*$C$2803+K2855*$C$2804)*Assumptions!$H$81</f>
        <v>1381.70432534998</v>
      </c>
      <c r="L2883" s="54" t="n">
        <f aca="false">(L2854*$C$2803+L2855*$C$2804)*Assumptions!$H$81</f>
        <v>1492.62065268671</v>
      </c>
      <c r="M2883" s="54" t="n">
        <f aca="false">(M2854*$C$2803+M2855*$C$2804)*Assumptions!$H$81</f>
        <v>1443.37697058739</v>
      </c>
      <c r="N2883" s="54" t="n">
        <f aca="false">(N2854*$C$2803+N2855*$C$2804)*Assumptions!$H$81</f>
        <v>1397.55056074567</v>
      </c>
      <c r="P2883" s="55" t="n">
        <f aca="false">SUM(C2883:F2883)</f>
        <v>1120.77991367767</v>
      </c>
      <c r="Q2883" s="55" t="n">
        <f aca="false">SUM(G2883:J2883)</f>
        <v>3286.29013092563</v>
      </c>
      <c r="R2883" s="55" t="n">
        <f aca="false">SUM(K2883:N2883)</f>
        <v>5715.25250936975</v>
      </c>
      <c r="S2883" s="56" t="n">
        <f aca="false">SUM(P2883:R2883)</f>
        <v>10122.3225539731</v>
      </c>
    </row>
    <row r="2884" customFormat="false" ht="15" hidden="false" customHeight="false" outlineLevel="0" collapsed="false">
      <c r="A2884" s="9" t="s">
        <v>562</v>
      </c>
      <c r="B2884" s="36" t="s">
        <v>125</v>
      </c>
      <c r="C2884" s="55" t="n">
        <f aca="false">C2876+C2877+C2878+C2879+C2880+C2881+C2882+C2883</f>
        <v>60390.3571428571</v>
      </c>
      <c r="D2884" s="55" t="n">
        <f aca="false">D2876+D2877+D2878+D2879+D2880+D2881+D2882+D2883</f>
        <v>24082.8457049018</v>
      </c>
      <c r="E2884" s="55" t="n">
        <f aca="false">E2876+E2877+E2878+E2879+E2880+E2881+E2882+E2883</f>
        <v>28424.5498335975</v>
      </c>
      <c r="F2884" s="55" t="n">
        <f aca="false">F2876+F2877+F2878+F2879+F2880+F2881+F2882+F2883</f>
        <v>30829.746406219</v>
      </c>
      <c r="G2884" s="55" t="n">
        <f aca="false">G2876+G2877+G2878+G2879+G2880+G2881+G2882+G2883</f>
        <v>72183.7122728123</v>
      </c>
      <c r="H2884" s="55" t="n">
        <f aca="false">H2876+H2877+H2878+H2879+H2880+H2881+H2882+H2883</f>
        <v>35024.7165510176</v>
      </c>
      <c r="I2884" s="55" t="n">
        <f aca="false">I2876+I2877+I2878+I2879+I2880+I2881+I2882+I2883</f>
        <v>78671.9602833695</v>
      </c>
      <c r="J2884" s="55" t="n">
        <f aca="false">J2876+J2877+J2878+J2879+J2880+J2881+J2882+J2883</f>
        <v>42435.0314047678</v>
      </c>
      <c r="K2884" s="55" t="n">
        <f aca="false">K2876+K2877+K2878+K2879+K2880+K2881+K2882+K2883</f>
        <v>45363.9661110786</v>
      </c>
      <c r="L2884" s="55" t="n">
        <f aca="false">L2876+L2877+L2878+L2879+L2880+L2881+L2882+L2883</f>
        <v>46130.261591363</v>
      </c>
      <c r="M2884" s="55" t="n">
        <f aca="false">M2876+M2877+M2878+M2879+M2880+M2881+M2882+M2883</f>
        <v>45578.7371012846</v>
      </c>
      <c r="N2884" s="55" t="n">
        <f aca="false">N2876+N2877+N2878+N2879+N2880+N2881+N2882+N2883</f>
        <v>45065.4420598053</v>
      </c>
      <c r="P2884" s="55" t="n">
        <f aca="false">SUM(C2884:F2884)</f>
        <v>143727.499087575</v>
      </c>
      <c r="Q2884" s="55" t="n">
        <f aca="false">SUM(G2884:J2884)</f>
        <v>228315.420511967</v>
      </c>
      <c r="R2884" s="55" t="n">
        <f aca="false">SUM(K2884:N2884)</f>
        <v>182138.406863532</v>
      </c>
      <c r="S2884" s="56" t="n">
        <f aca="false">SUM(P2884:R2884)</f>
        <v>554181.326463074</v>
      </c>
    </row>
    <row r="2885" customFormat="false" ht="15" hidden="false" customHeight="false" outlineLevel="0" collapsed="false">
      <c r="A2885" s="4" t="s">
        <v>563</v>
      </c>
      <c r="B2885" s="36" t="s">
        <v>125</v>
      </c>
      <c r="C2885" s="54" t="n">
        <f aca="false">C2873*Assumptions!$H$72/Assumptions!$H$69/4</f>
        <v>28267.8571428571</v>
      </c>
      <c r="D2885" s="54" t="n">
        <f aca="false">D2873*Assumptions!$H$72/Assumptions!$H$69/4</f>
        <v>28267.8571428571</v>
      </c>
      <c r="E2885" s="54" t="n">
        <f aca="false">E2873*Assumptions!$H$72/Assumptions!$H$69/4</f>
        <v>28267.8571428571</v>
      </c>
      <c r="F2885" s="54" t="n">
        <f aca="false">F2873*Assumptions!$H$72/Assumptions!$H$69/4</f>
        <v>28267.8571428571</v>
      </c>
      <c r="G2885" s="54" t="n">
        <f aca="false">G2873*Assumptions!$H$72/Assumptions!$H$69/4</f>
        <v>14133.9285714286</v>
      </c>
      <c r="H2885" s="54" t="n">
        <f aca="false">H2873*Assumptions!$H$72/Assumptions!$H$69/4</f>
        <v>14133.9285714286</v>
      </c>
      <c r="I2885" s="54" t="n">
        <f aca="false">I2873*Assumptions!$H$72/Assumptions!$H$69/4</f>
        <v>14133.9285714286</v>
      </c>
      <c r="J2885" s="54" t="n">
        <f aca="false">J2873*Assumptions!$H$72/Assumptions!$H$69/4</f>
        <v>14133.9285714286</v>
      </c>
      <c r="K2885" s="54" t="n">
        <f aca="false">K2873*Assumptions!$H$72/Assumptions!$H$69/4</f>
        <v>14133.9285714286</v>
      </c>
      <c r="L2885" s="54" t="n">
        <f aca="false">L2873*Assumptions!$H$72/Assumptions!$H$69/4</f>
        <v>14133.9285714286</v>
      </c>
      <c r="M2885" s="54" t="n">
        <f aca="false">M2873*Assumptions!$H$72/Assumptions!$H$69/4</f>
        <v>14133.9285714286</v>
      </c>
      <c r="N2885" s="54" t="n">
        <f aca="false">N2873*Assumptions!$H$72/Assumptions!$H$69/4</f>
        <v>14133.9285714286</v>
      </c>
      <c r="P2885" s="55" t="n">
        <f aca="false">SUM(C2885:F2885)</f>
        <v>113071.428571429</v>
      </c>
      <c r="Q2885" s="55" t="n">
        <f aca="false">SUM(G2885:J2885)</f>
        <v>56535.7142857143</v>
      </c>
      <c r="R2885" s="55" t="n">
        <f aca="false">SUM(K2885:N2885)</f>
        <v>56535.7142857143</v>
      </c>
      <c r="S2885" s="56" t="n">
        <f aca="false">SUM(P2885:R2885)</f>
        <v>226142.857142857</v>
      </c>
    </row>
    <row r="2886" customFormat="false" ht="15" hidden="false" customHeight="false" outlineLevel="0" collapsed="false">
      <c r="A2886" s="4" t="s">
        <v>564</v>
      </c>
      <c r="B2886" s="36" t="s">
        <v>125</v>
      </c>
      <c r="C2886" s="54" t="n">
        <f aca="false">IF(C2811&lt;=Assumptions!$H$83,Assumptions!$H$82*Assumptions!$F$108/Assumptions!$H$83,0)</f>
        <v>37500</v>
      </c>
      <c r="D2886" s="54" t="n">
        <f aca="false">IF(D2811&lt;=Assumptions!$H$83,Assumptions!$H$82*Assumptions!$F$108/Assumptions!$H$83,0)</f>
        <v>37500</v>
      </c>
      <c r="E2886" s="54" t="n">
        <f aca="false">IF(E2811&lt;=Assumptions!$H$83,Assumptions!$H$82*Assumptions!$F$108/Assumptions!$H$83,0)</f>
        <v>37500</v>
      </c>
      <c r="F2886" s="54" t="n">
        <f aca="false">IF(F2811&lt;=Assumptions!$H$83,Assumptions!$H$82*Assumptions!$F$108/Assumptions!$H$83,0)</f>
        <v>37500</v>
      </c>
      <c r="G2886" s="54" t="n">
        <f aca="false">IF(G2811&lt;=Assumptions!$H$83,Assumptions!$H$82*Assumptions!$F$108/Assumptions!$H$83,0)</f>
        <v>0</v>
      </c>
      <c r="H2886" s="54" t="n">
        <f aca="false">IF(H2811&lt;=Assumptions!$H$83,Assumptions!$H$82*Assumptions!$F$108/Assumptions!$H$83,0)</f>
        <v>0</v>
      </c>
      <c r="I2886" s="54" t="n">
        <f aca="false">IF(I2811&lt;=Assumptions!$H$83,Assumptions!$H$82*Assumptions!$F$108/Assumptions!$H$83,0)</f>
        <v>0</v>
      </c>
      <c r="J2886" s="54" t="n">
        <f aca="false">IF(J2811&lt;=Assumptions!$H$83,Assumptions!$H$82*Assumptions!$F$108/Assumptions!$H$83,0)</f>
        <v>0</v>
      </c>
      <c r="K2886" s="54" t="n">
        <f aca="false">IF(K2811&lt;=Assumptions!$H$83,Assumptions!$H$82*Assumptions!$F$108/Assumptions!$H$83,0)</f>
        <v>0</v>
      </c>
      <c r="L2886" s="54" t="n">
        <f aca="false">IF(L2811&lt;=Assumptions!$H$83,Assumptions!$H$82*Assumptions!$F$108/Assumptions!$H$83,0)</f>
        <v>0</v>
      </c>
      <c r="M2886" s="54" t="n">
        <f aca="false">IF(M2811&lt;=Assumptions!$H$83,Assumptions!$H$82*Assumptions!$F$108/Assumptions!$H$83,0)</f>
        <v>0</v>
      </c>
      <c r="N2886" s="54" t="n">
        <f aca="false">IF(N2811&lt;=Assumptions!$H$83,Assumptions!$H$82*Assumptions!$F$108/Assumptions!$H$83,0)</f>
        <v>0</v>
      </c>
      <c r="P2886" s="55" t="n">
        <f aca="false">SUM(C2886:F2886)</f>
        <v>150000</v>
      </c>
      <c r="Q2886" s="55" t="n">
        <f aca="false">SUM(G2886:J2886)</f>
        <v>0</v>
      </c>
      <c r="R2886" s="55" t="n">
        <f aca="false">SUM(K2886:N2886)</f>
        <v>0</v>
      </c>
      <c r="S2886" s="56" t="n">
        <f aca="false">SUM(P2886:R2886)</f>
        <v>150000</v>
      </c>
    </row>
    <row r="2887" customFormat="false" ht="15" hidden="false" customHeight="false" outlineLevel="0" collapsed="false">
      <c r="A2887" s="4" t="s">
        <v>565</v>
      </c>
      <c r="B2887" s="36" t="s">
        <v>125</v>
      </c>
      <c r="C2887" s="54" t="n">
        <f aca="false">C2875*Assumptions!$H$73/Assumptions!$H$69/4</f>
        <v>0</v>
      </c>
      <c r="D2887" s="54" t="n">
        <f aca="false">D2875*Assumptions!$H$73/Assumptions!$H$69/4</f>
        <v>511.117833627774</v>
      </c>
      <c r="E2887" s="54" t="n">
        <f aca="false">E2875*Assumptions!$H$73/Assumptions!$H$69/4</f>
        <v>1441.2935904404</v>
      </c>
      <c r="F2887" s="54" t="n">
        <f aca="false">F2875*Assumptions!$H$73/Assumptions!$H$69/4</f>
        <v>2411.29880025688</v>
      </c>
      <c r="G2887" s="54" t="n">
        <f aca="false">G2875*Assumptions!$H$73/Assumptions!$H$69/4</f>
        <v>3381.30913609177</v>
      </c>
      <c r="H2887" s="54" t="n">
        <f aca="false">H2875*Assumptions!$H$73/Assumptions!$H$69/4</f>
        <v>4706.45643092495</v>
      </c>
      <c r="I2887" s="54" t="n">
        <f aca="false">I2875*Assumptions!$H$73/Assumptions!$H$69/4</f>
        <v>6381.19283726854</v>
      </c>
      <c r="J2887" s="54" t="n">
        <f aca="false">J2875*Assumptions!$H$73/Assumptions!$H$69/4</f>
        <v>8464.69126804257</v>
      </c>
      <c r="K2887" s="54" t="n">
        <f aca="false">K2875*Assumptions!$H$73/Assumptions!$H$69/4</f>
        <v>10923.1181756903</v>
      </c>
      <c r="L2887" s="54" t="n">
        <f aca="false">L2875*Assumptions!$H$73/Assumptions!$H$69/4</f>
        <v>13276.4468134531</v>
      </c>
      <c r="M2887" s="54" t="n">
        <f aca="false">M2875*Assumptions!$H$73/Assumptions!$H$69/4</f>
        <v>15481.175881858</v>
      </c>
      <c r="N2887" s="54" t="n">
        <f aca="false">N2875*Assumptions!$H$73/Assumptions!$H$69/4</f>
        <v>17547.2509090113</v>
      </c>
      <c r="P2887" s="55" t="n">
        <f aca="false">SUM(C2887:F2887)</f>
        <v>4363.71022432505</v>
      </c>
      <c r="Q2887" s="55" t="n">
        <f aca="false">SUM(G2887:J2887)</f>
        <v>22933.6496723278</v>
      </c>
      <c r="R2887" s="55" t="n">
        <f aca="false">SUM(K2887:N2887)</f>
        <v>57227.9917800127</v>
      </c>
      <c r="S2887" s="56" t="n">
        <f aca="false">SUM(P2887:R2887)</f>
        <v>84525.3516766656</v>
      </c>
    </row>
    <row r="2888" customFormat="false" ht="15" hidden="false" customHeight="false" outlineLevel="0" collapsed="false">
      <c r="A2888" s="9" t="s">
        <v>566</v>
      </c>
      <c r="B2888" s="36" t="s">
        <v>125</v>
      </c>
      <c r="C2888" s="55" t="n">
        <f aca="false">C2884+C2885+C2886+C2887</f>
        <v>126158.214285714</v>
      </c>
      <c r="D2888" s="55" t="n">
        <f aca="false">D2884+D2885+D2886+D2887</f>
        <v>90361.8206813867</v>
      </c>
      <c r="E2888" s="55" t="n">
        <f aca="false">E2884+E2885+E2886+E2887</f>
        <v>95633.7005668951</v>
      </c>
      <c r="F2888" s="55" t="n">
        <f aca="false">F2884+F2885+F2886+F2887</f>
        <v>99008.9023493331</v>
      </c>
      <c r="G2888" s="55" t="n">
        <f aca="false">G2884+G2885+G2886+G2887</f>
        <v>89698.9499803327</v>
      </c>
      <c r="H2888" s="55" t="n">
        <f aca="false">H2884+H2885+H2886+H2887</f>
        <v>53865.1015533711</v>
      </c>
      <c r="I2888" s="55" t="n">
        <f aca="false">I2884+I2885+I2886+I2887</f>
        <v>99187.0816920666</v>
      </c>
      <c r="J2888" s="55" t="n">
        <f aca="false">J2884+J2885+J2886+J2887</f>
        <v>65033.651244239</v>
      </c>
      <c r="K2888" s="55" t="n">
        <f aca="false">K2884+K2885+K2886+K2887</f>
        <v>70421.0128581974</v>
      </c>
      <c r="L2888" s="55" t="n">
        <f aca="false">L2884+L2885+L2886+L2887</f>
        <v>73540.6369762446</v>
      </c>
      <c r="M2888" s="55" t="n">
        <f aca="false">M2884+M2885+M2886+M2887</f>
        <v>75193.8415545712</v>
      </c>
      <c r="N2888" s="55" t="n">
        <f aca="false">N2884+N2885+N2886+N2887</f>
        <v>76746.6215402452</v>
      </c>
      <c r="P2888" s="55" t="n">
        <f aca="false">SUM(C2888:F2888)</f>
        <v>411162.637883329</v>
      </c>
      <c r="Q2888" s="55" t="n">
        <f aca="false">SUM(G2888:J2888)</f>
        <v>307784.784470009</v>
      </c>
      <c r="R2888" s="55" t="n">
        <f aca="false">SUM(K2888:N2888)</f>
        <v>295902.112929259</v>
      </c>
      <c r="S2888" s="56" t="n">
        <f aca="false">SUM(P2888:R2888)</f>
        <v>1014849.5352826</v>
      </c>
    </row>
    <row r="2889" customFormat="false" ht="15" hidden="false" customHeight="false" outlineLevel="0" collapsed="false">
      <c r="A2889" s="35" t="s">
        <v>567</v>
      </c>
      <c r="B2889" s="35" t="s">
        <v>444</v>
      </c>
      <c r="C2889" s="6" t="s">
        <v>354</v>
      </c>
      <c r="D2889" s="6" t="s">
        <v>355</v>
      </c>
      <c r="E2889" s="6" t="s">
        <v>356</v>
      </c>
      <c r="F2889" s="6" t="s">
        <v>357</v>
      </c>
      <c r="G2889" s="6" t="s">
        <v>358</v>
      </c>
      <c r="H2889" s="6" t="s">
        <v>359</v>
      </c>
      <c r="I2889" s="6" t="s">
        <v>360</v>
      </c>
      <c r="J2889" s="6" t="s">
        <v>361</v>
      </c>
      <c r="K2889" s="6" t="s">
        <v>362</v>
      </c>
      <c r="L2889" s="6" t="s">
        <v>363</v>
      </c>
      <c r="M2889" s="6" t="s">
        <v>364</v>
      </c>
      <c r="N2889" s="6" t="s">
        <v>365</v>
      </c>
      <c r="P2889" s="6" t="s">
        <v>445</v>
      </c>
      <c r="Q2889" s="6" t="s">
        <v>446</v>
      </c>
      <c r="R2889" s="6" t="s">
        <v>447</v>
      </c>
      <c r="S2889" s="6" t="s">
        <v>448</v>
      </c>
    </row>
    <row r="2890" customFormat="false" ht="15" hidden="false" customHeight="false" outlineLevel="0" collapsed="false">
      <c r="A2890" s="9" t="s">
        <v>568</v>
      </c>
      <c r="B2890" s="36" t="s">
        <v>125</v>
      </c>
      <c r="C2890" s="55" t="n">
        <f aca="false">C2868-C2888</f>
        <v>-126158.214285714</v>
      </c>
      <c r="D2890" s="55" t="n">
        <f aca="false">D2868-D2888</f>
        <v>-89813.6976353739</v>
      </c>
      <c r="E2890" s="55" t="n">
        <f aca="false">E2868-E2888</f>
        <v>-93372.3642510593</v>
      </c>
      <c r="F2890" s="55" t="n">
        <f aca="false">F2868-F2888</f>
        <v>-94226.2910242902</v>
      </c>
      <c r="G2890" s="55" t="n">
        <f aca="false">G2868-G2888</f>
        <v>-82152.1334646749</v>
      </c>
      <c r="H2890" s="55" t="n">
        <f aca="false">H2868-H2888</f>
        <v>-43069.6196572504</v>
      </c>
      <c r="I2890" s="55" t="n">
        <f aca="false">I2868-I2888</f>
        <v>-84181.2550764752</v>
      </c>
      <c r="J2890" s="55" t="n">
        <f aca="false">J2868-J2888</f>
        <v>-44731.78888479</v>
      </c>
      <c r="K2890" s="55" t="n">
        <f aca="false">K2868-K2888</f>
        <v>-43693.3751033546</v>
      </c>
      <c r="L2890" s="55" t="n">
        <f aca="false">L2868-L2888</f>
        <v>-39699.6899749294</v>
      </c>
      <c r="M2890" s="55" t="n">
        <f aca="false">M2868-M2888</f>
        <v>-34186.0654797033</v>
      </c>
      <c r="N2890" s="55" t="n">
        <f aca="false">N2868-N2888</f>
        <v>-28686.0105294496</v>
      </c>
      <c r="P2890" s="55" t="n">
        <f aca="false">SUM(C2890:F2890)</f>
        <v>-403570.567196438</v>
      </c>
      <c r="Q2890" s="55" t="n">
        <f aca="false">SUM(G2890:J2890)</f>
        <v>-254134.79708319</v>
      </c>
      <c r="R2890" s="55" t="n">
        <f aca="false">SUM(K2890:N2890)</f>
        <v>-146265.141087437</v>
      </c>
      <c r="S2890" s="56" t="n">
        <f aca="false">SUM(P2890:R2890)</f>
        <v>-803970.505367065</v>
      </c>
    </row>
    <row r="2891" customFormat="false" ht="15" hidden="false" customHeight="false" outlineLevel="0" collapsed="false">
      <c r="A2891" s="9" t="s">
        <v>569</v>
      </c>
      <c r="B2891" s="36" t="s">
        <v>125</v>
      </c>
      <c r="C2891" s="55" t="n">
        <f aca="false">0+C2890</f>
        <v>-126158.214285714</v>
      </c>
      <c r="D2891" s="55" t="n">
        <f aca="false">C2891+D2890</f>
        <v>-215971.911921088</v>
      </c>
      <c r="E2891" s="55" t="n">
        <f aca="false">D2891+E2890</f>
        <v>-309344.276172148</v>
      </c>
      <c r="F2891" s="55" t="n">
        <f aca="false">E2891+F2890</f>
        <v>-403570.567196438</v>
      </c>
      <c r="G2891" s="55" t="n">
        <f aca="false">F2891+G2890</f>
        <v>-485722.700661113</v>
      </c>
      <c r="H2891" s="55" t="n">
        <f aca="false">G2891+H2890</f>
        <v>-528792.320318363</v>
      </c>
      <c r="I2891" s="55" t="n">
        <f aca="false">H2891+I2890</f>
        <v>-612973.575394838</v>
      </c>
      <c r="J2891" s="55" t="n">
        <f aca="false">I2891+J2890</f>
        <v>-657705.364279628</v>
      </c>
      <c r="K2891" s="55" t="n">
        <f aca="false">J2891+K2890</f>
        <v>-701398.739382983</v>
      </c>
      <c r="L2891" s="55" t="n">
        <f aca="false">K2891+L2890</f>
        <v>-741098.429357912</v>
      </c>
      <c r="M2891" s="55" t="n">
        <f aca="false">L2891+M2890</f>
        <v>-775284.494837615</v>
      </c>
      <c r="N2891" s="55" t="n">
        <f aca="false">M2891+N2890</f>
        <v>-803970.505367065</v>
      </c>
      <c r="P2891" s="55" t="n">
        <f aca="false">F2891</f>
        <v>-403570.567196438</v>
      </c>
      <c r="Q2891" s="55" t="n">
        <f aca="false">J2891</f>
        <v>-657705.364279628</v>
      </c>
      <c r="R2891" s="55" t="n">
        <f aca="false">N2891</f>
        <v>-803970.505367065</v>
      </c>
      <c r="S2891" s="56" t="n">
        <f aca="false">R2891</f>
        <v>-803970.505367065</v>
      </c>
    </row>
    <row r="2892" customFormat="false" ht="15" hidden="false" customHeight="false" outlineLevel="0" collapsed="false">
      <c r="A2892" s="4" t="s">
        <v>570</v>
      </c>
      <c r="B2892" s="36" t="s">
        <v>107</v>
      </c>
      <c r="C2892" s="57" t="n">
        <f aca="false">1/(1+Assumptions!$H$87)^(C2811/4)</f>
        <v>0.972065420906982</v>
      </c>
      <c r="D2892" s="57" t="n">
        <f aca="false">1/(1+Assumptions!$H$87)^(D2811/4)</f>
        <v>0.944911182523068</v>
      </c>
      <c r="E2892" s="57" t="n">
        <f aca="false">1/(1+Assumptions!$H$87)^(E2811/4)</f>
        <v>0.918515486359</v>
      </c>
      <c r="F2892" s="57" t="n">
        <f aca="false">1/(1+Assumptions!$H$87)^(F2811/4)</f>
        <v>0.892857142857143</v>
      </c>
      <c r="G2892" s="57" t="n">
        <f aca="false">1/(1+Assumptions!$H$87)^(G2811/4)</f>
        <v>0.867915554381234</v>
      </c>
      <c r="H2892" s="57" t="n">
        <f aca="false">1/(1+Assumptions!$H$87)^(H2811/4)</f>
        <v>0.843670698681311</v>
      </c>
      <c r="I2892" s="57" t="n">
        <f aca="false">1/(1+Assumptions!$H$87)^(I2811/4)</f>
        <v>0.820103112820536</v>
      </c>
      <c r="J2892" s="57" t="n">
        <f aca="false">1/(1+Assumptions!$H$87)^(J2811/4)</f>
        <v>0.79719387755102</v>
      </c>
      <c r="K2892" s="57" t="n">
        <f aca="false">1/(1+Assumptions!$H$87)^(K2811/4)</f>
        <v>0.774924602126102</v>
      </c>
      <c r="L2892" s="57" t="n">
        <f aca="false">1/(1+Assumptions!$H$87)^(L2811/4)</f>
        <v>0.753277409536885</v>
      </c>
      <c r="M2892" s="57" t="n">
        <f aca="false">1/(1+Assumptions!$H$87)^(M2811/4)</f>
        <v>0.732234922161193</v>
      </c>
      <c r="N2892" s="57" t="n">
        <f aca="false">1/(1+Assumptions!$H$87)^(N2811/4)</f>
        <v>0.711780247813411</v>
      </c>
      <c r="P2892" s="58"/>
      <c r="Q2892" s="58"/>
      <c r="R2892" s="58"/>
      <c r="S2892" s="59"/>
    </row>
    <row r="2893" customFormat="false" ht="15" hidden="false" customHeight="false" outlineLevel="0" collapsed="false">
      <c r="A2893" s="4" t="s">
        <v>571</v>
      </c>
      <c r="B2893" s="36" t="s">
        <v>125</v>
      </c>
      <c r="C2893" s="54" t="n">
        <f aca="false">(C2868*(1-Assumptions!$H$88)-C2888)*C2892</f>
        <v>-122634.037670516</v>
      </c>
      <c r="D2893" s="54" t="n">
        <f aca="false">(D2868*(1-Assumptions!$H$88)-D2888)*D2892</f>
        <v>-85099.0346574197</v>
      </c>
      <c r="E2893" s="54" t="n">
        <f aca="false">(E2868*(1-Assumptions!$H$88)-E2888)*E2892</f>
        <v>-86698.645154234</v>
      </c>
      <c r="F2893" s="54" t="n">
        <f aca="false">(F2868*(1-Assumptions!$H$88)-F2888)*F2892</f>
        <v>-86052.2018933567</v>
      </c>
      <c r="G2893" s="54" t="n">
        <f aca="false">(G2868*(1-Assumptions!$H$88)-G2888)*G2892</f>
        <v>-74248.6142075947</v>
      </c>
      <c r="H2893" s="54" t="n">
        <f aca="false">(H2868*(1-Assumptions!$H$88)-H2888)*H2892</f>
        <v>-40435.1003974265</v>
      </c>
      <c r="I2893" s="54" t="n">
        <f aca="false">(I2868*(1-Assumptions!$H$88)-I2888)*I2892</f>
        <v>-74575.1556324081</v>
      </c>
      <c r="J2893" s="54" t="n">
        <f aca="false">(J2868*(1-Assumptions!$H$88)-J2888)*J2892</f>
        <v>-42942.9423999857</v>
      </c>
      <c r="K2893" s="54" t="n">
        <f aca="false">(K2868*(1-Assumptions!$H$88)-K2888)*K2892</f>
        <v>-43179.4281413376</v>
      </c>
      <c r="L2893" s="54" t="n">
        <f aca="false">(L2868*(1-Assumptions!$H$88)-L2888)*L2892</f>
        <v>-41376.1090257738</v>
      </c>
      <c r="M2893" s="54" t="n">
        <f aca="false">(M2868*(1-Assumptions!$H$88)-M2888)*M2892</f>
        <v>-38544.527570511</v>
      </c>
      <c r="N2893" s="54" t="n">
        <f aca="false">(N2868*(1-Assumptions!$H$88)-N2888)*N2892</f>
        <v>-35812.0028103274</v>
      </c>
      <c r="P2893" s="55" t="n">
        <f aca="false">SUM(C2893:F2893)</f>
        <v>-380483.919375526</v>
      </c>
      <c r="Q2893" s="55" t="n">
        <f aca="false">SUM(G2893:J2893)</f>
        <v>-232201.812637415</v>
      </c>
      <c r="R2893" s="55" t="n">
        <f aca="false">SUM(K2893:N2893)</f>
        <v>-158912.06754795</v>
      </c>
      <c r="S2893" s="56" t="n">
        <f aca="false">SUM(P2893:R2893)</f>
        <v>-771597.799560891</v>
      </c>
    </row>
    <row r="2894" customFormat="false" ht="15" hidden="false" customHeight="false" outlineLevel="0" collapsed="false">
      <c r="A2894" s="4" t="s">
        <v>572</v>
      </c>
      <c r="B2894" s="36" t="s">
        <v>125</v>
      </c>
      <c r="C2894" s="54" t="n">
        <f aca="false">(C2888-C2887)*12/(Assumptions!$H$89*Assumptions!$H$76)*Assumptions!$H$90</f>
        <v>87340.3021978022</v>
      </c>
      <c r="D2894" s="54" t="n">
        <f aca="false">(D2888-D2887)*12/(Assumptions!$H$89*Assumptions!$H$76)*Assumptions!$H$90</f>
        <v>62204.3327407562</v>
      </c>
      <c r="E2894" s="54" t="n">
        <f aca="false">(E2888-E2887)*12/(Assumptions!$H$89*Assumptions!$H$76)*Assumptions!$H$90</f>
        <v>65210.1279067763</v>
      </c>
      <c r="F2894" s="54" t="n">
        <f aca="false">(F2888-F2887)*12/(Assumptions!$H$89*Assumptions!$H$76)*Assumptions!$H$90</f>
        <v>66875.2639955143</v>
      </c>
      <c r="G2894" s="54" t="n">
        <f aca="false">(G2888-G2887)*12/(Assumptions!$H$89*Assumptions!$H$76)*Assumptions!$H$90</f>
        <v>59758.3667383206</v>
      </c>
      <c r="H2894" s="54" t="n">
        <f aca="false">(H2888-H2887)*12/(Assumptions!$H$89*Assumptions!$H$76)*Assumptions!$H$90</f>
        <v>34032.9081616935</v>
      </c>
      <c r="I2894" s="54" t="n">
        <f aca="false">(I2888-I2887)*12/(Assumptions!$H$89*Assumptions!$H$76)*Assumptions!$H$90</f>
        <v>64250.2307456294</v>
      </c>
      <c r="J2894" s="54" t="n">
        <f aca="false">(J2888-J2887)*12/(Assumptions!$H$89*Assumptions!$H$76)*Assumptions!$H$90</f>
        <v>39163.1261373667</v>
      </c>
      <c r="K2894" s="54" t="n">
        <f aca="false">(K2888-K2887)*12/(Assumptions!$H$89*Assumptions!$H$76)*Assumptions!$H$90</f>
        <v>41190.8501648127</v>
      </c>
      <c r="L2894" s="54" t="n">
        <f aca="false">(L2888-L2887)*12/(Assumptions!$H$89*Assumptions!$H$76)*Assumptions!$H$90</f>
        <v>41721.3624203941</v>
      </c>
      <c r="M2894" s="54" t="n">
        <f aca="false">(M2888-M2887)*12/(Assumptions!$H$89*Assumptions!$H$76)*Assumptions!$H$90</f>
        <v>41339.5377734168</v>
      </c>
      <c r="N2894" s="54" t="n">
        <f aca="false">(N2888-N2887)*12/(Assumptions!$H$89*Assumptions!$H$76)*Assumptions!$H$90</f>
        <v>40984.1796677773</v>
      </c>
      <c r="P2894" s="55" t="n">
        <f aca="false">SUM(C2894:F2894)</f>
        <v>281630.026840849</v>
      </c>
      <c r="Q2894" s="55" t="n">
        <f aca="false">SUM(G2894:J2894)</f>
        <v>197204.63178301</v>
      </c>
      <c r="R2894" s="55" t="n">
        <f aca="false">SUM(K2894:N2894)</f>
        <v>165235.930026401</v>
      </c>
      <c r="S2894" s="56" t="n">
        <f aca="false">SUM(P2894:R2894)</f>
        <v>644070.58865026</v>
      </c>
    </row>
    <row r="2895" customFormat="false" ht="15" hidden="false" customHeight="false" outlineLevel="0" collapsed="false">
      <c r="A2895" s="4" t="s">
        <v>573</v>
      </c>
      <c r="B2895" s="36" t="s">
        <v>125</v>
      </c>
      <c r="C2895" s="54" t="n">
        <f aca="false">0*Assumptions!$H$92^(1/4)+C2894</f>
        <v>87340.3021978022</v>
      </c>
      <c r="D2895" s="54" t="n">
        <f aca="false">C2895*Assumptions!$H$92^(1/4)+D2894</f>
        <v>149762.171622549</v>
      </c>
      <c r="E2895" s="54" t="n">
        <f aca="false">D2895*Assumptions!$H$92^(1/4)+E2894</f>
        <v>215345.309072253</v>
      </c>
      <c r="F2895" s="54" t="n">
        <f aca="false">E2895*Assumptions!$H$92^(1/4)+F2894</f>
        <v>282756.92917451</v>
      </c>
      <c r="G2895" s="54" t="n">
        <f aca="false">F2895*Assumptions!$H$92^(1/4)+G2894</f>
        <v>343219.552747307</v>
      </c>
      <c r="H2895" s="54" t="n">
        <f aca="false">G2895*Assumptions!$H$92^(1/4)+H2894</f>
        <v>378107.310749298</v>
      </c>
      <c r="I2895" s="54" t="n">
        <f aca="false">H2895*Assumptions!$H$92^(1/4)+I2894</f>
        <v>443299.285552405</v>
      </c>
      <c r="J2895" s="54" t="n">
        <f aca="false">I2895*Assumptions!$H$92^(1/4)+J2894</f>
        <v>483566.52805035</v>
      </c>
      <c r="K2895" s="54" t="n">
        <f aca="false">J2895*Assumptions!$H$92^(1/4)+K2894</f>
        <v>525961.787363676</v>
      </c>
      <c r="L2895" s="54" t="n">
        <f aca="false">K2895*Assumptions!$H$92^(1/4)+L2894</f>
        <v>568993.15192798</v>
      </c>
      <c r="M2895" s="54" t="n">
        <f aca="false">L2895*Assumptions!$H$92^(1/4)+M2894</f>
        <v>611749.869174894</v>
      </c>
      <c r="N2895" s="54" t="n">
        <f aca="false">M2895*Assumptions!$H$92^(1/4)+N2894</f>
        <v>654257.721587364</v>
      </c>
      <c r="P2895" s="55" t="n">
        <f aca="false">F2895</f>
        <v>282756.92917451</v>
      </c>
      <c r="Q2895" s="55" t="n">
        <f aca="false">J2895</f>
        <v>483566.52805035</v>
      </c>
      <c r="R2895" s="55" t="n">
        <f aca="false">N2895</f>
        <v>654257.721587364</v>
      </c>
      <c r="S2895" s="56" t="n">
        <f aca="false">R2895</f>
        <v>654257.721587364</v>
      </c>
    </row>
    <row r="2896" customFormat="false" ht="15" hidden="false" customHeight="false" outlineLevel="0" collapsed="false">
      <c r="A2896" s="4" t="s">
        <v>574</v>
      </c>
      <c r="B2896" s="36" t="s">
        <v>125</v>
      </c>
      <c r="C2896" s="54" t="n">
        <f aca="false">(0+C2895)/8*Assumptions!$H$76-(C2888-C2887)-C2895*Assumptions!$H$93/4</f>
        <v>-120153.568509615</v>
      </c>
      <c r="D2896" s="54" t="n">
        <f aca="false">(C2895+D2895)/8*Assumptions!$H$76-(D2888-D2887)-D2895*Assumptions!$H$93/4</f>
        <v>-72458.1539951372</v>
      </c>
      <c r="E2896" s="54" t="n">
        <f aca="false">(D2895+E2895)/8*Assumptions!$H$76-(E2888-E2887)-E2895*Assumptions!$H$93/4</f>
        <v>-67219.2405334051</v>
      </c>
      <c r="F2896" s="54" t="n">
        <f aca="false">(E2895+F2895)/8*Assumptions!$H$76-(F2888-F2887)-F2895*Assumptions!$H$93/4</f>
        <v>-59661.258306208</v>
      </c>
      <c r="G2896" s="54" t="n">
        <f aca="false">(F2895+G2895)/8*Assumptions!$H$76-(G2888-G2887)-G2895*Assumptions!$H$93/4</f>
        <v>-39747.2960974346</v>
      </c>
      <c r="H2896" s="54" t="n">
        <f aca="false">(G2895+H2895)/8*Assumptions!$H$76-(H2888-H2887)-H2895*Assumptions!$H$93/4</f>
        <v>4722.82115228676</v>
      </c>
      <c r="I2896" s="54" t="n">
        <f aca="false">(H2895+I2895)/8*Assumptions!$H$76-(I2888-I2887)-I2895*Assumptions!$H$93/4</f>
        <v>-31607.8439746897</v>
      </c>
      <c r="J2896" s="54" t="n">
        <f aca="false">(I2895+J2895)/8*Assumptions!$H$76-(J2888-J2887)-J2895*Assumptions!$H$93/4</f>
        <v>12694.305778398</v>
      </c>
      <c r="K2896" s="54" t="n">
        <f aca="false">(J2895+K2895)/8*Assumptions!$H$76-(K2888-K2887)-K2895*Assumptions!$H$93/4</f>
        <v>15951.7586028365</v>
      </c>
      <c r="L2896" s="54" t="n">
        <f aca="false">(K2895+L2895)/8*Assumptions!$H$76-(L2888-L2887)-L2895*Assumptions!$H$93/4</f>
        <v>21588.4842555557</v>
      </c>
      <c r="M2896" s="54" t="n">
        <f aca="false">(L2895+M2895)/8*Assumptions!$H$76-(M2888-M2887)-M2895*Assumptions!$H$93/4</f>
        <v>28575.8314272091</v>
      </c>
      <c r="N2896" s="54" t="n">
        <f aca="false">(M2895+N2895)/8*Assumptions!$H$76-(N2888-N2887)-N2895*Assumptions!$H$93/4</f>
        <v>35485.5245983575</v>
      </c>
      <c r="P2896" s="55" t="n">
        <f aca="false">SUM(C2896:F2896)</f>
        <v>-319492.221344366</v>
      </c>
      <c r="Q2896" s="55" t="n">
        <f aca="false">SUM(G2896:J2896)</f>
        <v>-53938.0131414396</v>
      </c>
      <c r="R2896" s="55" t="n">
        <f aca="false">SUM(K2896:N2896)</f>
        <v>101601.598883959</v>
      </c>
      <c r="S2896" s="56" t="n">
        <f aca="false">SUM(P2896:R2896)</f>
        <v>-271828.635601847</v>
      </c>
    </row>
    <row r="2897" customFormat="false" ht="15" hidden="false" customHeight="false" outlineLevel="0" collapsed="false">
      <c r="A2897" s="4" t="s">
        <v>575</v>
      </c>
      <c r="B2897" s="36" t="s">
        <v>125</v>
      </c>
      <c r="C2897" s="54" t="n">
        <f aca="false">C2896*C2892</f>
        <v>-116797.129146775</v>
      </c>
      <c r="D2897" s="54" t="n">
        <f aca="false">D2896*D2892</f>
        <v>-68466.5199749837</v>
      </c>
      <c r="E2897" s="54" t="n">
        <f aca="false">E2896*E2892</f>
        <v>-61741.9134112232</v>
      </c>
      <c r="F2897" s="54" t="n">
        <f aca="false">F2896*F2892</f>
        <v>-53268.9806305429</v>
      </c>
      <c r="G2897" s="54" t="n">
        <f aca="false">G2896*G2892</f>
        <v>-34497.29652756</v>
      </c>
      <c r="H2897" s="54" t="n">
        <f aca="false">H2896*H2892</f>
        <v>3984.50582129665</v>
      </c>
      <c r="I2897" s="54" t="n">
        <f aca="false">I2896*I2892</f>
        <v>-25921.6912331889</v>
      </c>
      <c r="J2897" s="54" t="n">
        <f aca="false">J2896*J2892</f>
        <v>10119.8228462994</v>
      </c>
      <c r="K2897" s="54" t="n">
        <f aca="false">K2896*K2892</f>
        <v>12361.4101885147</v>
      </c>
      <c r="L2897" s="54" t="n">
        <f aca="false">L2896*L2892</f>
        <v>16262.1174958528</v>
      </c>
      <c r="M2897" s="54" t="n">
        <f aca="false">M2896*M2892</f>
        <v>20924.2217007939</v>
      </c>
      <c r="N2897" s="54" t="n">
        <f aca="false">N2896*N2892</f>
        <v>25257.8954924078</v>
      </c>
      <c r="P2897" s="55" t="n">
        <f aca="false">SUM(C2897:F2897)</f>
        <v>-300274.543163525</v>
      </c>
      <c r="Q2897" s="55" t="n">
        <f aca="false">SUM(G2897:J2897)</f>
        <v>-46314.6590931528</v>
      </c>
      <c r="R2897" s="55" t="n">
        <f aca="false">SUM(K2897:N2897)</f>
        <v>74805.6448775692</v>
      </c>
      <c r="S2897" s="56" t="n">
        <f aca="false">SUM(P2897:R2897)</f>
        <v>-271783.557379109</v>
      </c>
    </row>
    <row r="2898" customFormat="false" ht="15" hidden="false" customHeight="false" outlineLevel="0" collapsed="false">
      <c r="A2898" s="4" t="s">
        <v>576</v>
      </c>
      <c r="B2898" s="36"/>
      <c r="C2898" s="37" t="n">
        <f aca="false">IFERROR((S2853*$C$2802*Assumptions!$H$59+S2854*$C$2803*Assumptions!$H$60+S2855*$C$2804*Assumptions!$H$61)/(S2853*$C$2802+S2854*$C$2803+S2855*$C$2804),0.9)</f>
        <v>0.894536933377025</v>
      </c>
    </row>
    <row r="2899" customFormat="false" ht="15" hidden="false" customHeight="false" outlineLevel="0" collapsed="false">
      <c r="A2899" s="4" t="s">
        <v>577</v>
      </c>
      <c r="B2899" s="36"/>
      <c r="C2899" s="37" t="n">
        <f aca="false">IFERROR(N2887*4/N2865,0)</f>
        <v>0.221210345665233</v>
      </c>
    </row>
    <row r="2900" customFormat="false" ht="15" hidden="false" customHeight="false" outlineLevel="0" collapsed="false">
      <c r="A2900" s="4" t="s">
        <v>578</v>
      </c>
      <c r="B2900" s="36"/>
      <c r="C2900" s="60" t="n">
        <f aca="false">$C$2898/(1+Assumptions!$H$87)</f>
        <v>0.798693690515201</v>
      </c>
    </row>
    <row r="2901" customFormat="false" ht="15" hidden="false" customHeight="false" outlineLevel="0" collapsed="false">
      <c r="A2901" s="4" t="s">
        <v>579</v>
      </c>
      <c r="B2901" s="36"/>
      <c r="C2901" s="60" t="n">
        <f aca="false">Assumptions!$H$91/(1+Assumptions!$H$87)</f>
        <v>0.803571428571429</v>
      </c>
    </row>
    <row r="2902" customFormat="false" ht="15" hidden="false" customHeight="false" outlineLevel="0" collapsed="false">
      <c r="A2902" s="35" t="s">
        <v>580</v>
      </c>
      <c r="B2902" s="35" t="s">
        <v>444</v>
      </c>
      <c r="C2902" s="6" t="s">
        <v>354</v>
      </c>
      <c r="D2902" s="6" t="s">
        <v>355</v>
      </c>
      <c r="E2902" s="6" t="s">
        <v>356</v>
      </c>
      <c r="F2902" s="6" t="s">
        <v>357</v>
      </c>
      <c r="G2902" s="6" t="s">
        <v>358</v>
      </c>
      <c r="H2902" s="6" t="s">
        <v>359</v>
      </c>
      <c r="I2902" s="6" t="s">
        <v>360</v>
      </c>
      <c r="J2902" s="6" t="s">
        <v>361</v>
      </c>
      <c r="K2902" s="6" t="s">
        <v>362</v>
      </c>
      <c r="L2902" s="6" t="s">
        <v>363</v>
      </c>
      <c r="M2902" s="6" t="s">
        <v>364</v>
      </c>
      <c r="N2902" s="6" t="s">
        <v>365</v>
      </c>
      <c r="P2902" s="6" t="s">
        <v>445</v>
      </c>
      <c r="Q2902" s="6" t="s">
        <v>446</v>
      </c>
      <c r="R2902" s="6" t="s">
        <v>447</v>
      </c>
      <c r="S2902" s="6" t="s">
        <v>448</v>
      </c>
    </row>
    <row r="2903" customFormat="false" ht="15" hidden="false" customHeight="false" outlineLevel="0" collapsed="false">
      <c r="A2903" s="9" t="s">
        <v>581</v>
      </c>
      <c r="C2903" s="61" t="n">
        <f aca="false">N2865</f>
        <v>317295.302916191</v>
      </c>
      <c r="D2903" s="61"/>
    </row>
    <row r="2904" customFormat="false" ht="15" hidden="false" customHeight="false" outlineLevel="0" collapsed="false">
      <c r="A2904" s="9" t="s">
        <v>582</v>
      </c>
      <c r="C2904" s="62" t="n">
        <f aca="false">N2861</f>
        <v>39.6799144642639</v>
      </c>
      <c r="D2904" s="62"/>
    </row>
    <row r="2905" customFormat="false" ht="15" hidden="false" customHeight="false" outlineLevel="0" collapsed="false">
      <c r="A2905" s="9" t="s">
        <v>583</v>
      </c>
      <c r="C2905" s="63" t="n">
        <f aca="false">S2856</f>
        <v>44.240234116354</v>
      </c>
      <c r="D2905" s="63"/>
    </row>
    <row r="2906" customFormat="false" ht="15" hidden="false" customHeight="false" outlineLevel="0" collapsed="false">
      <c r="A2906" s="9" t="s">
        <v>584</v>
      </c>
      <c r="C2906" s="61" t="n">
        <f aca="false">S2867</f>
        <v>324429.276793126</v>
      </c>
      <c r="D2906" s="61"/>
    </row>
    <row r="2907" customFormat="false" ht="15" hidden="false" customHeight="false" outlineLevel="0" collapsed="false">
      <c r="A2907" s="9" t="s">
        <v>22</v>
      </c>
      <c r="C2907" s="61" t="n">
        <f aca="false">IFERROR(S2866/S2856,0)</f>
        <v>6865.79473230783</v>
      </c>
      <c r="D2907" s="61"/>
    </row>
    <row r="2908" customFormat="false" ht="15" hidden="false" customHeight="false" outlineLevel="0" collapsed="false">
      <c r="A2908" s="9" t="s">
        <v>585</v>
      </c>
      <c r="C2908" s="61" t="n">
        <f aca="false">IFERROR(S2884/S2856,0)</f>
        <v>12526.6363872657</v>
      </c>
      <c r="D2908" s="61"/>
    </row>
    <row r="2909" customFormat="false" ht="23.85" hidden="false" customHeight="false" outlineLevel="0" collapsed="false">
      <c r="A2909" s="9" t="s">
        <v>586</v>
      </c>
      <c r="C2909" s="61" t="n">
        <f aca="false">IFERROR((S2878+S2880+S2881+S2882+S2883)/S2856,0)</f>
        <v>10522.0293257153</v>
      </c>
      <c r="D2909" s="61"/>
    </row>
    <row r="2910" customFormat="false" ht="15" hidden="false" customHeight="false" outlineLevel="0" collapsed="false">
      <c r="A2910" s="9" t="s">
        <v>587</v>
      </c>
      <c r="C2910" s="64" t="n">
        <f aca="false">IFERROR('Engine Runs'!$C$2908/('Engine Runs'!$C$2907*Assumptions!$H$76/12),0)</f>
        <v>33.6830605157749</v>
      </c>
      <c r="D2910" s="64"/>
    </row>
    <row r="2911" customFormat="false" ht="15" hidden="false" customHeight="false" outlineLevel="0" collapsed="false">
      <c r="A2911" s="9" t="s">
        <v>588</v>
      </c>
      <c r="C2911" s="64" t="n">
        <f aca="false">IFERROR((R2884/R2856)/((R2866/R2856)*Assumptions!$H$76/12),0)</f>
        <v>20.4876211109573</v>
      </c>
      <c r="D2911" s="64"/>
    </row>
    <row r="2912" customFormat="false" ht="15" hidden="false" customHeight="false" outlineLevel="0" collapsed="false">
      <c r="A2912" s="9" t="s">
        <v>589</v>
      </c>
      <c r="C2912" s="61" t="n">
        <f aca="false">S2888</f>
        <v>1014849.5352826</v>
      </c>
      <c r="D2912" s="61"/>
    </row>
    <row r="2913" customFormat="false" ht="15" hidden="false" customHeight="false" outlineLevel="0" collapsed="false">
      <c r="A2913" s="9" t="s">
        <v>590</v>
      </c>
      <c r="C2913" s="61" t="n">
        <f aca="false">N2891</f>
        <v>-803970.505367065</v>
      </c>
      <c r="D2913" s="61"/>
    </row>
    <row r="2914" customFormat="false" ht="15" hidden="false" customHeight="false" outlineLevel="0" collapsed="false">
      <c r="A2914" s="9" t="s">
        <v>591</v>
      </c>
      <c r="C2914" s="61" t="n">
        <f aca="false">MIN($C$2891:$N$2891)</f>
        <v>-803970.505367065</v>
      </c>
      <c r="D2914" s="61"/>
    </row>
    <row r="2915" customFormat="false" ht="15" hidden="false" customHeight="false" outlineLevel="0" collapsed="false">
      <c r="A2915" s="9" t="s">
        <v>592</v>
      </c>
      <c r="C2915" s="61" t="n">
        <f aca="false">N2865*(Assumptions!$H$76-$C$2899)*$C$2898*(1-$C$2898^Assumptions!$H$85)/(1-$C$2898)</f>
        <v>493006.512926637</v>
      </c>
      <c r="D2915" s="61"/>
    </row>
    <row r="2916" customFormat="false" ht="15" hidden="false" customHeight="false" outlineLevel="0" collapsed="false">
      <c r="A2916" s="9" t="s">
        <v>593</v>
      </c>
      <c r="C2916" s="61" t="n">
        <f aca="false">N2865*(Assumptions!$H$76-$C$2899)*(1-Assumptions!$H$88)/(1+Assumptions!$H$87)^2.5*$C$2900*(1-$C$2900^Assumptions!$H$85)/(1-$C$2900)</f>
        <v>150953.64055315</v>
      </c>
      <c r="D2916" s="61"/>
    </row>
    <row r="2917" customFormat="false" ht="15" hidden="false" customHeight="false" outlineLevel="0" collapsed="false">
      <c r="A2917" s="9" t="s">
        <v>594</v>
      </c>
      <c r="C2917" s="61" t="n">
        <f aca="false">SUM($C$2893:$N$2893)+'Engine Runs'!$C$2916</f>
        <v>-620644.159007741</v>
      </c>
      <c r="D2917" s="61"/>
    </row>
    <row r="2918" customFormat="false" ht="15" hidden="false" customHeight="false" outlineLevel="0" collapsed="false">
      <c r="A2918" s="9" t="s">
        <v>595</v>
      </c>
      <c r="C2918" s="61" t="n">
        <f aca="false">SUM($C$2897:$N$2897)+N2895*(Assumptions!$H$76-Assumptions!$H$93)/(1+Assumptions!$H$87)^2.5*$C$2901*(1-$C$2901^Assumptions!$H$85)/(1-$C$2901)</f>
        <v>532589.31229013</v>
      </c>
      <c r="D2918" s="61"/>
    </row>
    <row r="2919" customFormat="false" ht="15" hidden="false" customHeight="false" outlineLevel="0" collapsed="false">
      <c r="A2919" s="9" t="s">
        <v>596</v>
      </c>
      <c r="C2919" s="61" t="n">
        <f aca="false">'Engine Runs'!$C$2917-'Engine Runs'!$C$2918</f>
        <v>-1153233.47129787</v>
      </c>
      <c r="D2919" s="61"/>
    </row>
    <row r="2920" customFormat="false" ht="15" hidden="false" customHeight="false" outlineLevel="0" collapsed="false">
      <c r="A2920" s="9" t="s">
        <v>597</v>
      </c>
      <c r="C2920" s="61" t="n">
        <f aca="false">S2852</f>
        <v>0</v>
      </c>
      <c r="D2920" s="61"/>
    </row>
    <row r="2921" customFormat="false" ht="15" hidden="false" customHeight="false" outlineLevel="0" collapsed="false">
      <c r="A2921" s="9" t="s">
        <v>598</v>
      </c>
      <c r="C2921" s="63" t="n">
        <f aca="false">P2836</f>
        <v>46.35317562821</v>
      </c>
      <c r="D2921" s="63"/>
    </row>
    <row r="2922" customFormat="false" ht="15" hidden="false" customHeight="false" outlineLevel="0" collapsed="false">
      <c r="A2922" s="9" t="s">
        <v>599</v>
      </c>
      <c r="C2922" s="63" t="n">
        <f aca="false">P2856</f>
        <v>5.83806818150831</v>
      </c>
      <c r="D2922" s="63"/>
    </row>
    <row r="2923" customFormat="false" ht="15" hidden="false" customHeight="false" outlineLevel="0" collapsed="false">
      <c r="A2923" s="9" t="s">
        <v>600</v>
      </c>
      <c r="C2923" s="63" t="n">
        <f aca="false">P2832</f>
        <v>27</v>
      </c>
      <c r="D2923" s="63"/>
    </row>
    <row r="2924" customFormat="false" ht="15" hidden="false" customHeight="false" outlineLevel="0" collapsed="false">
      <c r="A2924" s="9" t="s">
        <v>601</v>
      </c>
      <c r="C2924" s="61" t="n">
        <f aca="false">IFERROR(P2866/P2856,0)</f>
        <v>6436.35892080972</v>
      </c>
      <c r="D2924" s="61"/>
    </row>
    <row r="2927" customFormat="false" ht="15" hidden="false" customHeight="true" outlineLevel="0" collapsed="false">
      <c r="A2927" s="77" t="s">
        <v>805</v>
      </c>
      <c r="B2927" s="77"/>
      <c r="C2927" s="77"/>
      <c r="D2927" s="77"/>
      <c r="E2927" s="77"/>
      <c r="F2927" s="77"/>
      <c r="G2927" s="77"/>
      <c r="H2927" s="77"/>
      <c r="I2927" s="77"/>
      <c r="J2927" s="77"/>
      <c r="K2927" s="77"/>
      <c r="L2927" s="77"/>
      <c r="M2927" s="77"/>
      <c r="N2927" s="77"/>
    </row>
    <row r="2928" customFormat="false" ht="23.85" hidden="false" customHeight="false" outlineLevel="0" collapsed="false">
      <c r="A2928" s="35" t="s">
        <v>806</v>
      </c>
      <c r="B2928" s="35" t="s">
        <v>444</v>
      </c>
      <c r="C2928" s="6" t="s">
        <v>354</v>
      </c>
      <c r="D2928" s="6" t="s">
        <v>355</v>
      </c>
      <c r="E2928" s="6" t="s">
        <v>356</v>
      </c>
      <c r="F2928" s="6" t="s">
        <v>357</v>
      </c>
      <c r="G2928" s="6" t="s">
        <v>358</v>
      </c>
      <c r="H2928" s="6" t="s">
        <v>359</v>
      </c>
      <c r="I2928" s="6" t="s">
        <v>360</v>
      </c>
      <c r="J2928" s="6" t="s">
        <v>361</v>
      </c>
      <c r="K2928" s="6" t="s">
        <v>362</v>
      </c>
      <c r="L2928" s="6" t="s">
        <v>363</v>
      </c>
      <c r="M2928" s="6" t="s">
        <v>364</v>
      </c>
      <c r="N2928" s="6" t="s">
        <v>365</v>
      </c>
      <c r="P2928" s="6" t="s">
        <v>445</v>
      </c>
      <c r="Q2928" s="6" t="s">
        <v>446</v>
      </c>
      <c r="R2928" s="6" t="s">
        <v>447</v>
      </c>
      <c r="S2928" s="6" t="s">
        <v>448</v>
      </c>
    </row>
    <row r="2929" customFormat="false" ht="15" hidden="false" customHeight="false" outlineLevel="0" collapsed="false">
      <c r="A2929" s="4" t="s">
        <v>449</v>
      </c>
      <c r="B2929" s="36" t="s">
        <v>450</v>
      </c>
      <c r="C2929" s="34" t="n">
        <f aca="false">'Market Sizing'!$C$20*Assumptions!$I$10*Assumptions!$I$11*(1-Assumptions!$I$12)</f>
        <v>2743.814304</v>
      </c>
    </row>
    <row r="2930" customFormat="false" ht="15" hidden="false" customHeight="false" outlineLevel="0" collapsed="false">
      <c r="A2930" s="4" t="s">
        <v>451</v>
      </c>
      <c r="B2930" s="36" t="s">
        <v>450</v>
      </c>
      <c r="C2930" s="34" t="n">
        <f aca="false">'Market Sizing'!$D$20*Assumptions!$I$10*Assumptions!$I$11*(1-Assumptions!$I$12)</f>
        <v>560.531664</v>
      </c>
    </row>
    <row r="2931" customFormat="false" ht="15" hidden="false" customHeight="false" outlineLevel="0" collapsed="false">
      <c r="A2931" s="4" t="s">
        <v>452</v>
      </c>
      <c r="B2931" s="36" t="s">
        <v>450</v>
      </c>
      <c r="C2931" s="34" t="n">
        <f aca="false">'Market Sizing'!$E$20*Assumptions!$I$10*Assumptions!$I$11*(1-Assumptions!$I$12)</f>
        <v>130.340826</v>
      </c>
    </row>
    <row r="2932" customFormat="false" ht="15" hidden="false" customHeight="false" outlineLevel="0" collapsed="false">
      <c r="A2932" s="4" t="s">
        <v>453</v>
      </c>
      <c r="B2932" s="36"/>
      <c r="C2932" s="34" t="n">
        <f aca="false">$C$2929+$C$2930+$C$2931</f>
        <v>3434.686794</v>
      </c>
    </row>
    <row r="2933" customFormat="false" ht="15" hidden="false" customHeight="false" outlineLevel="0" collapsed="false">
      <c r="A2933" s="4" t="s">
        <v>454</v>
      </c>
      <c r="B2933" s="36" t="s">
        <v>450</v>
      </c>
      <c r="C2933" s="34" t="n">
        <f aca="false">'Market Sizing'!$C$21*Assumptions!$I$10*Assumptions!$I$11*(1-Assumptions!$I$12)</f>
        <v>2711.4875865</v>
      </c>
    </row>
    <row r="2934" customFormat="false" ht="15" hidden="false" customHeight="false" outlineLevel="0" collapsed="false">
      <c r="A2934" s="4" t="s">
        <v>455</v>
      </c>
      <c r="B2934" s="36" t="s">
        <v>450</v>
      </c>
      <c r="C2934" s="34" t="n">
        <f aca="false">'Market Sizing'!$D$21*Assumptions!$I$10*Assumptions!$I$11*(1-Assumptions!$I$12)</f>
        <v>558.515727</v>
      </c>
    </row>
    <row r="2935" customFormat="false" ht="15" hidden="false" customHeight="false" outlineLevel="0" collapsed="false">
      <c r="A2935" s="4" t="s">
        <v>456</v>
      </c>
      <c r="B2935" s="36" t="s">
        <v>450</v>
      </c>
      <c r="C2935" s="34" t="n">
        <f aca="false">'Market Sizing'!$E$21*Assumptions!$I$10*Assumptions!$I$11*(1-Assumptions!$I$12)</f>
        <v>114.174522</v>
      </c>
    </row>
    <row r="2936" customFormat="false" ht="15" hidden="false" customHeight="false" outlineLevel="0" collapsed="false">
      <c r="A2936" s="4" t="s">
        <v>457</v>
      </c>
      <c r="B2936" s="36"/>
      <c r="C2936" s="34" t="n">
        <f aca="false">$C$2933+$C$2934+$C$2935</f>
        <v>3384.1778355</v>
      </c>
    </row>
    <row r="2937" customFormat="false" ht="15" hidden="false" customHeight="false" outlineLevel="0" collapsed="false">
      <c r="A2937" s="4" t="s">
        <v>458</v>
      </c>
      <c r="B2937" s="36" t="s">
        <v>450</v>
      </c>
      <c r="C2937" s="34" t="n">
        <f aca="false">'Market Sizing'!$C$22*Assumptions!$I$10*Assumptions!$I$11*(1-Assumptions!$I$12)</f>
        <v>2796.4244385</v>
      </c>
    </row>
    <row r="2938" customFormat="false" ht="15" hidden="false" customHeight="false" outlineLevel="0" collapsed="false">
      <c r="A2938" s="4" t="s">
        <v>459</v>
      </c>
      <c r="B2938" s="36" t="s">
        <v>450</v>
      </c>
      <c r="C2938" s="34" t="n">
        <f aca="false">'Market Sizing'!$D$22*Assumptions!$I$10*Assumptions!$I$11*(1-Assumptions!$I$12)</f>
        <v>714.600117</v>
      </c>
    </row>
    <row r="2939" customFormat="false" ht="15" hidden="false" customHeight="false" outlineLevel="0" collapsed="false">
      <c r="A2939" s="4" t="s">
        <v>460</v>
      </c>
      <c r="B2939" s="36" t="s">
        <v>450</v>
      </c>
      <c r="C2939" s="34" t="n">
        <f aca="false">'Market Sizing'!$E$22*Assumptions!$I$10*Assumptions!$I$11*(1-Assumptions!$I$12)</f>
        <v>150.548706</v>
      </c>
    </row>
    <row r="2940" customFormat="false" ht="15" hidden="false" customHeight="false" outlineLevel="0" collapsed="false">
      <c r="A2940" s="4" t="s">
        <v>461</v>
      </c>
      <c r="B2940" s="36"/>
      <c r="C2940" s="34" t="n">
        <f aca="false">$C$2937+$C$2938+$C$2939</f>
        <v>3661.5732615</v>
      </c>
    </row>
    <row r="2941" customFormat="false" ht="15" hidden="false" customHeight="false" outlineLevel="0" collapsed="false">
      <c r="A2941" s="4" t="s">
        <v>462</v>
      </c>
      <c r="B2941" s="36" t="s">
        <v>463</v>
      </c>
      <c r="C2941" s="33" t="n">
        <f aca="false">MAX((Assumptions!$I$51+Assumptions!$I$53)*12,(((('Market Sizing'!$E$28*Assumptions!$I$41*Assumptions!$I$42*Assumptions!$I$43)*Assumptions!$I$44)*Assumptions!$I$45*Assumptions!$I$46+('Market Sizing'!$E$28*Assumptions!$I$41*Assumptions!$I$42*Assumptions!$I$43)*Assumptions!$I$47+('Market Sizing'!$E$28*Assumptions!$I$41*Assumptions!$I$42*Assumptions!$I$43)*Assumptions!$I$48*Assumptions!$I$49)*(Assumptions!$I$51*12/Assumptions!$I$52)+((('Market Sizing'!$E$28*Assumptions!$I$41*Assumptions!$I$42*Assumptions!$I$43)*Assumptions!$I$44)*Assumptions!$I$45+('Market Sizing'!$E$28*Assumptions!$I$41*Assumptions!$I$42*Assumptions!$I$43)+('Market Sizing'!$E$28*Assumptions!$I$41*Assumptions!$I$42*Assumptions!$I$43)*Assumptions!$I$48)*Assumptions!$I$50*(Assumptions!$I$53*12/Assumptions!$I$54)))</f>
        <v>5352</v>
      </c>
    </row>
    <row r="2942" customFormat="false" ht="15" hidden="false" customHeight="false" outlineLevel="0" collapsed="false">
      <c r="A2942" s="4" t="s">
        <v>464</v>
      </c>
      <c r="B2942" s="36" t="s">
        <v>463</v>
      </c>
      <c r="C2942" s="33" t="n">
        <f aca="false">MAX((Assumptions!$I$51+Assumptions!$I$53)*12,(((('Market Sizing'!$E$29*Assumptions!$I$41*Assumptions!$I$42*Assumptions!$I$43)*Assumptions!$I$44)*Assumptions!$I$45*Assumptions!$I$46+('Market Sizing'!$E$29*Assumptions!$I$41*Assumptions!$I$42*Assumptions!$I$43)*Assumptions!$I$47+('Market Sizing'!$E$29*Assumptions!$I$41*Assumptions!$I$42*Assumptions!$I$43)*Assumptions!$I$48*Assumptions!$I$49)*(Assumptions!$I$51*12/Assumptions!$I$52)+((('Market Sizing'!$E$29*Assumptions!$I$41*Assumptions!$I$42*Assumptions!$I$43)*Assumptions!$I$44)*Assumptions!$I$45+('Market Sizing'!$E$29*Assumptions!$I$41*Assumptions!$I$42*Assumptions!$I$43)+('Market Sizing'!$E$29*Assumptions!$I$41*Assumptions!$I$42*Assumptions!$I$43)*Assumptions!$I$48)*Assumptions!$I$50*(Assumptions!$I$53*12/Assumptions!$I$54)))</f>
        <v>5352</v>
      </c>
    </row>
    <row r="2943" customFormat="false" ht="15" hidden="false" customHeight="false" outlineLevel="0" collapsed="false">
      <c r="A2943" s="4" t="s">
        <v>465</v>
      </c>
      <c r="B2943" s="36" t="s">
        <v>463</v>
      </c>
      <c r="C2943" s="33" t="n">
        <f aca="false">MAX(Assumptions!$I$55*(Assumptions!$I$51*12/Assumptions!$I$52)+Assumptions!$I$56*(Assumptions!$I$53*12/Assumptions!$I$54),(((('Market Sizing'!$E$30*Assumptions!$I$41*Assumptions!$I$42*Assumptions!$I$43)*Assumptions!$I$44)*Assumptions!$I$45*Assumptions!$I$46+('Market Sizing'!$E$30*Assumptions!$I$41*Assumptions!$I$42*Assumptions!$I$43)*Assumptions!$I$47+('Market Sizing'!$E$30*Assumptions!$I$41*Assumptions!$I$42*Assumptions!$I$43)*Assumptions!$I$48*Assumptions!$I$49)*(Assumptions!$I$51*12/Assumptions!$I$52)+((('Market Sizing'!$E$30*Assumptions!$I$41*Assumptions!$I$42*Assumptions!$I$43)*Assumptions!$I$44)*Assumptions!$I$45+('Market Sizing'!$E$30*Assumptions!$I$41*Assumptions!$I$42*Assumptions!$I$43)+('Market Sizing'!$E$30*Assumptions!$I$41*Assumptions!$I$42*Assumptions!$I$43)*Assumptions!$I$48)*Assumptions!$I$50*(Assumptions!$I$53*12/Assumptions!$I$54)))*(1-Assumptions!$I$57)</f>
        <v>44310</v>
      </c>
    </row>
    <row r="2944" customFormat="false" ht="23.85" hidden="false" customHeight="false" outlineLevel="0" collapsed="false">
      <c r="A2944" s="4" t="s">
        <v>466</v>
      </c>
      <c r="B2944" s="36" t="s">
        <v>467</v>
      </c>
      <c r="C2944" s="37" t="n">
        <f aca="false">Assumptions!$I$17*Assumptions!$F$106</f>
        <v>0.25</v>
      </c>
    </row>
    <row r="2945" customFormat="false" ht="23.85" hidden="false" customHeight="false" outlineLevel="0" collapsed="false">
      <c r="A2945" s="4" t="s">
        <v>468</v>
      </c>
      <c r="B2945" s="36" t="s">
        <v>469</v>
      </c>
      <c r="C2945" s="33" t="n">
        <f aca="false">Assumptions!$I$68/Assumptions!$I$69</f>
        <v>285714.285714286</v>
      </c>
    </row>
    <row r="2946" customFormat="false" ht="23.85" hidden="false" customHeight="false" outlineLevel="0" collapsed="false">
      <c r="A2946" s="4" t="s">
        <v>470</v>
      </c>
      <c r="B2946" s="36" t="s">
        <v>471</v>
      </c>
      <c r="C2946" s="33" t="n">
        <f aca="false">Assumptions!$I$66*Assumptions!$I$67/4</f>
        <v>185937.5</v>
      </c>
    </row>
    <row r="2947" customFormat="false" ht="15" hidden="false" customHeight="false" outlineLevel="0" collapsed="false">
      <c r="A2947" s="4" t="s">
        <v>472</v>
      </c>
      <c r="B2947" s="36"/>
      <c r="C2947" s="38" t="n">
        <f aca="false">$C$2945/Assumptions!$I$66/Assumptions!$I$67</f>
        <v>0.384153661464586</v>
      </c>
    </row>
    <row r="2948" customFormat="false" ht="15" hidden="false" customHeight="false" outlineLevel="0" collapsed="false">
      <c r="A2948" s="4" t="s">
        <v>473</v>
      </c>
      <c r="B2948" s="36"/>
      <c r="C2948" s="33" t="n">
        <f aca="false">MAX(0,Assumptions!$F$103-Assumptions!$I$78)</f>
        <v>0</v>
      </c>
    </row>
    <row r="2949" customFormat="false" ht="15" hidden="false" customHeight="false" outlineLevel="0" collapsed="false">
      <c r="A2949" s="35" t="s">
        <v>474</v>
      </c>
      <c r="B2949" s="35" t="s">
        <v>444</v>
      </c>
      <c r="C2949" s="6" t="s">
        <v>354</v>
      </c>
      <c r="D2949" s="6" t="s">
        <v>355</v>
      </c>
      <c r="E2949" s="6" t="s">
        <v>356</v>
      </c>
      <c r="F2949" s="6" t="s">
        <v>357</v>
      </c>
      <c r="G2949" s="6" t="s">
        <v>358</v>
      </c>
      <c r="H2949" s="6" t="s">
        <v>359</v>
      </c>
      <c r="I2949" s="6" t="s">
        <v>360</v>
      </c>
      <c r="J2949" s="6" t="s">
        <v>361</v>
      </c>
      <c r="K2949" s="6" t="s">
        <v>362</v>
      </c>
      <c r="L2949" s="6" t="s">
        <v>363</v>
      </c>
      <c r="M2949" s="6" t="s">
        <v>364</v>
      </c>
      <c r="N2949" s="6" t="s">
        <v>365</v>
      </c>
      <c r="P2949" s="6" t="s">
        <v>445</v>
      </c>
      <c r="Q2949" s="6" t="s">
        <v>446</v>
      </c>
      <c r="R2949" s="6" t="s">
        <v>447</v>
      </c>
      <c r="S2949" s="6" t="s">
        <v>448</v>
      </c>
    </row>
    <row r="2950" customFormat="false" ht="15" hidden="false" customHeight="false" outlineLevel="0" collapsed="false">
      <c r="A2950" s="4" t="s">
        <v>475</v>
      </c>
      <c r="B2950" s="36" t="s">
        <v>133</v>
      </c>
      <c r="C2950" s="39" t="n">
        <v>1</v>
      </c>
      <c r="D2950" s="39" t="n">
        <v>2</v>
      </c>
      <c r="E2950" s="39" t="n">
        <v>3</v>
      </c>
      <c r="F2950" s="39" t="n">
        <v>4</v>
      </c>
      <c r="G2950" s="39" t="n">
        <v>5</v>
      </c>
      <c r="H2950" s="39" t="n">
        <v>6</v>
      </c>
      <c r="I2950" s="39" t="n">
        <v>7</v>
      </c>
      <c r="J2950" s="39" t="n">
        <v>8</v>
      </c>
      <c r="K2950" s="39" t="n">
        <v>9</v>
      </c>
      <c r="L2950" s="39" t="n">
        <v>10</v>
      </c>
      <c r="M2950" s="39" t="n">
        <v>11</v>
      </c>
      <c r="N2950" s="39" t="n">
        <v>12</v>
      </c>
      <c r="P2950" s="40"/>
      <c r="Q2950" s="40"/>
      <c r="R2950" s="40"/>
      <c r="S2950" s="41"/>
    </row>
    <row r="2951" customFormat="false" ht="15" hidden="false" customHeight="false" outlineLevel="0" collapsed="false">
      <c r="A2951" s="4" t="s">
        <v>476</v>
      </c>
      <c r="B2951" s="36" t="s">
        <v>343</v>
      </c>
      <c r="C2951" s="39" t="n">
        <f aca="false">IF(C2950&lt;=Assumptions!$I$84,1,0)</f>
        <v>1</v>
      </c>
      <c r="D2951" s="39" t="n">
        <f aca="false">IF(D2950&lt;=Assumptions!$I$84,1,0)</f>
        <v>1</v>
      </c>
      <c r="E2951" s="39" t="n">
        <f aca="false">IF(E2950&lt;=Assumptions!$I$84,1,0)</f>
        <v>1</v>
      </c>
      <c r="F2951" s="39" t="n">
        <f aca="false">IF(F2950&lt;=Assumptions!$I$84,1,0)</f>
        <v>1</v>
      </c>
      <c r="G2951" s="39" t="n">
        <f aca="false">IF(G2950&lt;=Assumptions!$I$84,1,0)</f>
        <v>1</v>
      </c>
      <c r="H2951" s="39" t="n">
        <f aca="false">IF(H2950&lt;=Assumptions!$I$84,1,0)</f>
        <v>1</v>
      </c>
      <c r="I2951" s="39" t="n">
        <f aca="false">IF(I2950&lt;=Assumptions!$I$84,1,0)</f>
        <v>1</v>
      </c>
      <c r="J2951" s="39" t="n">
        <f aca="false">IF(J2950&lt;=Assumptions!$I$84,1,0)</f>
        <v>1</v>
      </c>
      <c r="K2951" s="39" t="n">
        <f aca="false">IF(K2950&lt;=Assumptions!$I$84,1,0)</f>
        <v>1</v>
      </c>
      <c r="L2951" s="39" t="n">
        <f aca="false">IF(L2950&lt;=Assumptions!$I$84,1,0)</f>
        <v>1</v>
      </c>
      <c r="M2951" s="39" t="n">
        <f aca="false">IF(M2950&lt;=Assumptions!$I$84,1,0)</f>
        <v>1</v>
      </c>
      <c r="N2951" s="39" t="n">
        <f aca="false">IF(N2950&lt;=Assumptions!$I$84,1,0)</f>
        <v>1</v>
      </c>
      <c r="P2951" s="40"/>
      <c r="Q2951" s="40"/>
      <c r="R2951" s="40"/>
      <c r="S2951" s="41"/>
    </row>
    <row r="2952" customFormat="false" ht="15" hidden="false" customHeight="false" outlineLevel="0" collapsed="false">
      <c r="A2952" s="4" t="s">
        <v>477</v>
      </c>
      <c r="B2952" s="36" t="s">
        <v>478</v>
      </c>
      <c r="C2952" s="42" t="n">
        <f aca="false">IF(C2950=Assumptions!$I$13,0.5,IF(C2950&gt;Assumptions!$I$13,1,0))</f>
        <v>0.5</v>
      </c>
      <c r="D2952" s="42" t="n">
        <f aca="false">IF(D2950=Assumptions!$I$13,0.5,IF(D2950&gt;Assumptions!$I$13,1,0))</f>
        <v>1</v>
      </c>
      <c r="E2952" s="42" t="n">
        <f aca="false">IF(E2950=Assumptions!$I$13,0.5,IF(E2950&gt;Assumptions!$I$13,1,0))</f>
        <v>1</v>
      </c>
      <c r="F2952" s="42" t="n">
        <f aca="false">IF(F2950=Assumptions!$I$13,0.5,IF(F2950&gt;Assumptions!$I$13,1,0))</f>
        <v>1</v>
      </c>
      <c r="G2952" s="42" t="n">
        <f aca="false">IF(G2950=Assumptions!$I$13,0.5,IF(G2950&gt;Assumptions!$I$13,1,0))</f>
        <v>1</v>
      </c>
      <c r="H2952" s="42" t="n">
        <f aca="false">IF(H2950=Assumptions!$I$13,0.5,IF(H2950&gt;Assumptions!$I$13,1,0))</f>
        <v>1</v>
      </c>
      <c r="I2952" s="42" t="n">
        <f aca="false">IF(I2950=Assumptions!$I$13,0.5,IF(I2950&gt;Assumptions!$I$13,1,0))</f>
        <v>1</v>
      </c>
      <c r="J2952" s="42" t="n">
        <f aca="false">IF(J2950=Assumptions!$I$13,0.5,IF(J2950&gt;Assumptions!$I$13,1,0))</f>
        <v>1</v>
      </c>
      <c r="K2952" s="42" t="n">
        <f aca="false">IF(K2950=Assumptions!$I$13,0.5,IF(K2950&gt;Assumptions!$I$13,1,0))</f>
        <v>1</v>
      </c>
      <c r="L2952" s="42" t="n">
        <f aca="false">IF(L2950=Assumptions!$I$13,0.5,IF(L2950&gt;Assumptions!$I$13,1,0))</f>
        <v>1</v>
      </c>
      <c r="M2952" s="42" t="n">
        <f aca="false">IF(M2950=Assumptions!$I$13,0.5,IF(M2950&gt;Assumptions!$I$13,1,0))</f>
        <v>1</v>
      </c>
      <c r="N2952" s="42" t="n">
        <f aca="false">IF(N2950=Assumptions!$I$13,0.5,IF(N2950&gt;Assumptions!$I$13,1,0))</f>
        <v>1</v>
      </c>
      <c r="P2952" s="43"/>
      <c r="Q2952" s="43"/>
      <c r="R2952" s="43"/>
      <c r="S2952" s="44"/>
    </row>
    <row r="2953" customFormat="false" ht="15" hidden="false" customHeight="false" outlineLevel="0" collapsed="false">
      <c r="A2953" s="4" t="s">
        <v>479</v>
      </c>
      <c r="B2953" s="36" t="s">
        <v>478</v>
      </c>
      <c r="C2953" s="42" t="n">
        <f aca="false">IF(C2950=Assumptions!$I$14,0.5,IF(C2950&gt;Assumptions!$I$14,1,0))</f>
        <v>0</v>
      </c>
      <c r="D2953" s="42" t="n">
        <f aca="false">IF(D2950=Assumptions!$I$14,0.5,IF(D2950&gt;Assumptions!$I$14,1,0))</f>
        <v>0</v>
      </c>
      <c r="E2953" s="42" t="n">
        <f aca="false">IF(E2950=Assumptions!$I$14,0.5,IF(E2950&gt;Assumptions!$I$14,1,0))</f>
        <v>0</v>
      </c>
      <c r="F2953" s="42" t="n">
        <f aca="false">IF(F2950=Assumptions!$I$14,0.5,IF(F2950&gt;Assumptions!$I$14,1,0))</f>
        <v>0.5</v>
      </c>
      <c r="G2953" s="42" t="n">
        <f aca="false">IF(G2950=Assumptions!$I$14,0.5,IF(G2950&gt;Assumptions!$I$14,1,0))</f>
        <v>1</v>
      </c>
      <c r="H2953" s="42" t="n">
        <f aca="false">IF(H2950=Assumptions!$I$14,0.5,IF(H2950&gt;Assumptions!$I$14,1,0))</f>
        <v>1</v>
      </c>
      <c r="I2953" s="42" t="n">
        <f aca="false">IF(I2950=Assumptions!$I$14,0.5,IF(I2950&gt;Assumptions!$I$14,1,0))</f>
        <v>1</v>
      </c>
      <c r="J2953" s="42" t="n">
        <f aca="false">IF(J2950=Assumptions!$I$14,0.5,IF(J2950&gt;Assumptions!$I$14,1,0))</f>
        <v>1</v>
      </c>
      <c r="K2953" s="42" t="n">
        <f aca="false">IF(K2950=Assumptions!$I$14,0.5,IF(K2950&gt;Assumptions!$I$14,1,0))</f>
        <v>1</v>
      </c>
      <c r="L2953" s="42" t="n">
        <f aca="false">IF(L2950=Assumptions!$I$14,0.5,IF(L2950&gt;Assumptions!$I$14,1,0))</f>
        <v>1</v>
      </c>
      <c r="M2953" s="42" t="n">
        <f aca="false">IF(M2950=Assumptions!$I$14,0.5,IF(M2950&gt;Assumptions!$I$14,1,0))</f>
        <v>1</v>
      </c>
      <c r="N2953" s="42" t="n">
        <f aca="false">IF(N2950=Assumptions!$I$14,0.5,IF(N2950&gt;Assumptions!$I$14,1,0))</f>
        <v>1</v>
      </c>
      <c r="P2953" s="43"/>
      <c r="Q2953" s="43"/>
      <c r="R2953" s="43"/>
      <c r="S2953" s="44"/>
    </row>
    <row r="2954" customFormat="false" ht="15" hidden="false" customHeight="false" outlineLevel="0" collapsed="false">
      <c r="A2954" s="4" t="s">
        <v>480</v>
      </c>
      <c r="B2954" s="36" t="s">
        <v>478</v>
      </c>
      <c r="C2954" s="42" t="n">
        <f aca="false">IF(C2950=Assumptions!$I$15,0.5,IF(C2950&gt;Assumptions!$I$15,1,0))</f>
        <v>0</v>
      </c>
      <c r="D2954" s="42" t="n">
        <f aca="false">IF(D2950=Assumptions!$I$15,0.5,IF(D2950&gt;Assumptions!$I$15,1,0))</f>
        <v>0</v>
      </c>
      <c r="E2954" s="42" t="n">
        <f aca="false">IF(E2950=Assumptions!$I$15,0.5,IF(E2950&gt;Assumptions!$I$15,1,0))</f>
        <v>0</v>
      </c>
      <c r="F2954" s="42" t="n">
        <f aca="false">IF(F2950=Assumptions!$I$15,0.5,IF(F2950&gt;Assumptions!$I$15,1,0))</f>
        <v>0</v>
      </c>
      <c r="G2954" s="42" t="n">
        <f aca="false">IF(G2950=Assumptions!$I$15,0.5,IF(G2950&gt;Assumptions!$I$15,1,0))</f>
        <v>0</v>
      </c>
      <c r="H2954" s="42" t="n">
        <f aca="false">IF(H2950=Assumptions!$I$15,0.5,IF(H2950&gt;Assumptions!$I$15,1,0))</f>
        <v>0.5</v>
      </c>
      <c r="I2954" s="42" t="n">
        <f aca="false">IF(I2950=Assumptions!$I$15,0.5,IF(I2950&gt;Assumptions!$I$15,1,0))</f>
        <v>1</v>
      </c>
      <c r="J2954" s="42" t="n">
        <f aca="false">IF(J2950=Assumptions!$I$15,0.5,IF(J2950&gt;Assumptions!$I$15,1,0))</f>
        <v>1</v>
      </c>
      <c r="K2954" s="42" t="n">
        <f aca="false">IF(K2950=Assumptions!$I$15,0.5,IF(K2950&gt;Assumptions!$I$15,1,0))</f>
        <v>1</v>
      </c>
      <c r="L2954" s="42" t="n">
        <f aca="false">IF(L2950=Assumptions!$I$15,0.5,IF(L2950&gt;Assumptions!$I$15,1,0))</f>
        <v>1</v>
      </c>
      <c r="M2954" s="42" t="n">
        <f aca="false">IF(M2950=Assumptions!$I$15,0.5,IF(M2950&gt;Assumptions!$I$15,1,0))</f>
        <v>1</v>
      </c>
      <c r="N2954" s="42" t="n">
        <f aca="false">IF(N2950=Assumptions!$I$15,0.5,IF(N2950&gt;Assumptions!$I$15,1,0))</f>
        <v>1</v>
      </c>
      <c r="P2954" s="43"/>
      <c r="Q2954" s="43"/>
      <c r="R2954" s="43"/>
      <c r="S2954" s="44"/>
    </row>
    <row r="2955" customFormat="false" ht="15" hidden="false" customHeight="false" outlineLevel="0" collapsed="false">
      <c r="A2955" s="4" t="s">
        <v>481</v>
      </c>
      <c r="B2955" s="36" t="s">
        <v>478</v>
      </c>
      <c r="C2955" s="45" t="n">
        <f aca="false">Assumptions!$I$21^(MAX(0,C2950-Assumptions!$I$13)/4)</f>
        <v>1</v>
      </c>
      <c r="D2955" s="45" t="n">
        <f aca="false">Assumptions!$I$21^(MAX(0,D2950-Assumptions!$I$13)/4)</f>
        <v>0.960184589404188</v>
      </c>
      <c r="E2955" s="45" t="n">
        <f aca="false">Assumptions!$I$21^(MAX(0,E2950-Assumptions!$I$13)/4)</f>
        <v>0.921954445729289</v>
      </c>
      <c r="F2955" s="45" t="n">
        <f aca="false">Assumptions!$I$21^(MAX(0,F2950-Assumptions!$I$13)/4)</f>
        <v>0.885246450921943</v>
      </c>
      <c r="G2955" s="45" t="n">
        <f aca="false">Assumptions!$I$21^(MAX(0,G2950-Assumptions!$I$13)/4)</f>
        <v>0.85</v>
      </c>
      <c r="H2955" s="45" t="n">
        <f aca="false">Assumptions!$I$21^(MAX(0,H2950-Assumptions!$I$13)/4)</f>
        <v>0.81615690099356</v>
      </c>
      <c r="I2955" s="45" t="n">
        <f aca="false">Assumptions!$I$21^(MAX(0,I2950-Assumptions!$I$13)/4)</f>
        <v>0.783661278869895</v>
      </c>
      <c r="J2955" s="45" t="n">
        <f aca="false">Assumptions!$I$21^(MAX(0,J2950-Assumptions!$I$13)/4)</f>
        <v>0.752459483283651</v>
      </c>
      <c r="K2955" s="45" t="n">
        <f aca="false">Assumptions!$I$21^(MAX(0,K2950-Assumptions!$I$13)/4)</f>
        <v>0.7225</v>
      </c>
      <c r="L2955" s="45" t="n">
        <f aca="false">Assumptions!$I$21^(MAX(0,L2950-Assumptions!$I$13)/4)</f>
        <v>0.693733365844526</v>
      </c>
      <c r="M2955" s="45" t="n">
        <f aca="false">Assumptions!$I$21^(MAX(0,M2950-Assumptions!$I$13)/4)</f>
        <v>0.666112087039411</v>
      </c>
      <c r="N2955" s="45" t="n">
        <f aca="false">Assumptions!$I$21^(MAX(0,N2950-Assumptions!$I$13)/4)</f>
        <v>0.639590560791104</v>
      </c>
      <c r="P2955" s="46"/>
      <c r="Q2955" s="46"/>
      <c r="R2955" s="46"/>
      <c r="S2955" s="47"/>
    </row>
    <row r="2956" customFormat="false" ht="15" hidden="false" customHeight="false" outlineLevel="0" collapsed="false">
      <c r="A2956" s="4" t="s">
        <v>482</v>
      </c>
      <c r="B2956" s="36" t="s">
        <v>478</v>
      </c>
      <c r="C2956" s="45" t="n">
        <f aca="false">Assumptions!$I$21^(MAX(0,C2950-Assumptions!$I$14)/4)</f>
        <v>1</v>
      </c>
      <c r="D2956" s="45" t="n">
        <f aca="false">Assumptions!$I$21^(MAX(0,D2950-Assumptions!$I$14)/4)</f>
        <v>1</v>
      </c>
      <c r="E2956" s="45" t="n">
        <f aca="false">Assumptions!$I$21^(MAX(0,E2950-Assumptions!$I$14)/4)</f>
        <v>1</v>
      </c>
      <c r="F2956" s="45" t="n">
        <f aca="false">Assumptions!$I$21^(MAX(0,F2950-Assumptions!$I$14)/4)</f>
        <v>1</v>
      </c>
      <c r="G2956" s="45" t="n">
        <f aca="false">Assumptions!$I$21^(MAX(0,G2950-Assumptions!$I$14)/4)</f>
        <v>0.960184589404188</v>
      </c>
      <c r="H2956" s="45" t="n">
        <f aca="false">Assumptions!$I$21^(MAX(0,H2950-Assumptions!$I$14)/4)</f>
        <v>0.921954445729289</v>
      </c>
      <c r="I2956" s="45" t="n">
        <f aca="false">Assumptions!$I$21^(MAX(0,I2950-Assumptions!$I$14)/4)</f>
        <v>0.885246450921943</v>
      </c>
      <c r="J2956" s="45" t="n">
        <f aca="false">Assumptions!$I$21^(MAX(0,J2950-Assumptions!$I$14)/4)</f>
        <v>0.85</v>
      </c>
      <c r="K2956" s="45" t="n">
        <f aca="false">Assumptions!$I$21^(MAX(0,K2950-Assumptions!$I$14)/4)</f>
        <v>0.81615690099356</v>
      </c>
      <c r="L2956" s="45" t="n">
        <f aca="false">Assumptions!$I$21^(MAX(0,L2950-Assumptions!$I$14)/4)</f>
        <v>0.783661278869895</v>
      </c>
      <c r="M2956" s="45" t="n">
        <f aca="false">Assumptions!$I$21^(MAX(0,M2950-Assumptions!$I$14)/4)</f>
        <v>0.752459483283651</v>
      </c>
      <c r="N2956" s="45" t="n">
        <f aca="false">Assumptions!$I$21^(MAX(0,N2950-Assumptions!$I$14)/4)</f>
        <v>0.7225</v>
      </c>
      <c r="P2956" s="46"/>
      <c r="Q2956" s="46"/>
      <c r="R2956" s="46"/>
      <c r="S2956" s="47"/>
    </row>
    <row r="2957" customFormat="false" ht="15" hidden="false" customHeight="false" outlineLevel="0" collapsed="false">
      <c r="A2957" s="4" t="s">
        <v>483</v>
      </c>
      <c r="B2957" s="36" t="s">
        <v>478</v>
      </c>
      <c r="C2957" s="45" t="n">
        <f aca="false">Assumptions!$I$21^(MAX(0,C2950-Assumptions!$I$15)/4)</f>
        <v>1</v>
      </c>
      <c r="D2957" s="45" t="n">
        <f aca="false">Assumptions!$I$21^(MAX(0,D2950-Assumptions!$I$15)/4)</f>
        <v>1</v>
      </c>
      <c r="E2957" s="45" t="n">
        <f aca="false">Assumptions!$I$21^(MAX(0,E2950-Assumptions!$I$15)/4)</f>
        <v>1</v>
      </c>
      <c r="F2957" s="45" t="n">
        <f aca="false">Assumptions!$I$21^(MAX(0,F2950-Assumptions!$I$15)/4)</f>
        <v>1</v>
      </c>
      <c r="G2957" s="45" t="n">
        <f aca="false">Assumptions!$I$21^(MAX(0,G2950-Assumptions!$I$15)/4)</f>
        <v>1</v>
      </c>
      <c r="H2957" s="45" t="n">
        <f aca="false">Assumptions!$I$21^(MAX(0,H2950-Assumptions!$I$15)/4)</f>
        <v>1</v>
      </c>
      <c r="I2957" s="45" t="n">
        <f aca="false">Assumptions!$I$21^(MAX(0,I2950-Assumptions!$I$15)/4)</f>
        <v>0.960184589404188</v>
      </c>
      <c r="J2957" s="45" t="n">
        <f aca="false">Assumptions!$I$21^(MAX(0,J2950-Assumptions!$I$15)/4)</f>
        <v>0.921954445729289</v>
      </c>
      <c r="K2957" s="45" t="n">
        <f aca="false">Assumptions!$I$21^(MAX(0,K2950-Assumptions!$I$15)/4)</f>
        <v>0.885246450921943</v>
      </c>
      <c r="L2957" s="45" t="n">
        <f aca="false">Assumptions!$I$21^(MAX(0,L2950-Assumptions!$I$15)/4)</f>
        <v>0.85</v>
      </c>
      <c r="M2957" s="45" t="n">
        <f aca="false">Assumptions!$I$21^(MAX(0,M2950-Assumptions!$I$15)/4)</f>
        <v>0.81615690099356</v>
      </c>
      <c r="N2957" s="45" t="n">
        <f aca="false">Assumptions!$I$21^(MAX(0,N2950-Assumptions!$I$15)/4)</f>
        <v>0.783661278869895</v>
      </c>
      <c r="P2957" s="46"/>
      <c r="Q2957" s="46"/>
      <c r="R2957" s="46"/>
      <c r="S2957" s="47"/>
    </row>
    <row r="2958" customFormat="false" ht="15" hidden="false" customHeight="false" outlineLevel="0" collapsed="false">
      <c r="A2958" s="4" t="s">
        <v>484</v>
      </c>
      <c r="B2958" s="36" t="s">
        <v>485</v>
      </c>
      <c r="C2958" s="39" t="n">
        <f aca="false">$C$2929*C2952+$C$2933*C2953+$C$2937*C2954</f>
        <v>1371.907152</v>
      </c>
      <c r="D2958" s="39" t="n">
        <f aca="false">$C$2929*D2952+$C$2933*D2953+$C$2937*D2954</f>
        <v>2743.814304</v>
      </c>
      <c r="E2958" s="39" t="n">
        <f aca="false">$C$2929*E2952+$C$2933*E2953+$C$2937*E2954</f>
        <v>2743.814304</v>
      </c>
      <c r="F2958" s="39" t="n">
        <f aca="false">$C$2929*F2952+$C$2933*F2953+$C$2937*F2954</f>
        <v>4099.55809725</v>
      </c>
      <c r="G2958" s="39" t="n">
        <f aca="false">$C$2929*G2952+$C$2933*G2953+$C$2937*G2954</f>
        <v>5455.3018905</v>
      </c>
      <c r="H2958" s="39" t="n">
        <f aca="false">$C$2929*H2952+$C$2933*H2953+$C$2937*H2954</f>
        <v>6853.51410975</v>
      </c>
      <c r="I2958" s="39" t="n">
        <f aca="false">$C$2929*I2952+$C$2933*I2953+$C$2937*I2954</f>
        <v>8251.726329</v>
      </c>
      <c r="J2958" s="39" t="n">
        <f aca="false">$C$2929*J2952+$C$2933*J2953+$C$2937*J2954</f>
        <v>8251.726329</v>
      </c>
      <c r="K2958" s="39" t="n">
        <f aca="false">$C$2929*K2952+$C$2933*K2953+$C$2937*K2954</f>
        <v>8251.726329</v>
      </c>
      <c r="L2958" s="39" t="n">
        <f aca="false">$C$2929*L2952+$C$2933*L2953+$C$2937*L2954</f>
        <v>8251.726329</v>
      </c>
      <c r="M2958" s="39" t="n">
        <f aca="false">$C$2929*M2952+$C$2933*M2953+$C$2937*M2954</f>
        <v>8251.726329</v>
      </c>
      <c r="N2958" s="39" t="n">
        <f aca="false">$C$2929*N2952+$C$2933*N2953+$C$2937*N2954</f>
        <v>8251.726329</v>
      </c>
      <c r="P2958" s="40" t="n">
        <f aca="false">F2958</f>
        <v>4099.55809725</v>
      </c>
      <c r="Q2958" s="40" t="n">
        <f aca="false">J2958</f>
        <v>8251.726329</v>
      </c>
      <c r="R2958" s="40" t="n">
        <f aca="false">N2958</f>
        <v>8251.726329</v>
      </c>
      <c r="S2958" s="41" t="n">
        <f aca="false">R2958</f>
        <v>8251.726329</v>
      </c>
    </row>
    <row r="2959" customFormat="false" ht="15" hidden="false" customHeight="false" outlineLevel="0" collapsed="false">
      <c r="A2959" s="4" t="s">
        <v>486</v>
      </c>
      <c r="B2959" s="36" t="s">
        <v>485</v>
      </c>
      <c r="C2959" s="39" t="n">
        <f aca="false">$C$2930*C2952+$C$2934*C2953+$C$2938*C2954</f>
        <v>280.265832</v>
      </c>
      <c r="D2959" s="39" t="n">
        <f aca="false">$C$2930*D2952+$C$2934*D2953+$C$2938*D2954</f>
        <v>560.531664</v>
      </c>
      <c r="E2959" s="39" t="n">
        <f aca="false">$C$2930*E2952+$C$2934*E2953+$C$2938*E2954</f>
        <v>560.531664</v>
      </c>
      <c r="F2959" s="39" t="n">
        <f aca="false">$C$2930*F2952+$C$2934*F2953+$C$2938*F2954</f>
        <v>839.7895275</v>
      </c>
      <c r="G2959" s="39" t="n">
        <f aca="false">$C$2930*G2952+$C$2934*G2953+$C$2938*G2954</f>
        <v>1119.047391</v>
      </c>
      <c r="H2959" s="39" t="n">
        <f aca="false">$C$2930*H2952+$C$2934*H2953+$C$2938*H2954</f>
        <v>1476.3474495</v>
      </c>
      <c r="I2959" s="39" t="n">
        <f aca="false">$C$2930*I2952+$C$2934*I2953+$C$2938*I2954</f>
        <v>1833.647508</v>
      </c>
      <c r="J2959" s="39" t="n">
        <f aca="false">$C$2930*J2952+$C$2934*J2953+$C$2938*J2954</f>
        <v>1833.647508</v>
      </c>
      <c r="K2959" s="39" t="n">
        <f aca="false">$C$2930*K2952+$C$2934*K2953+$C$2938*K2954</f>
        <v>1833.647508</v>
      </c>
      <c r="L2959" s="39" t="n">
        <f aca="false">$C$2930*L2952+$C$2934*L2953+$C$2938*L2954</f>
        <v>1833.647508</v>
      </c>
      <c r="M2959" s="39" t="n">
        <f aca="false">$C$2930*M2952+$C$2934*M2953+$C$2938*M2954</f>
        <v>1833.647508</v>
      </c>
      <c r="N2959" s="39" t="n">
        <f aca="false">$C$2930*N2952+$C$2934*N2953+$C$2938*N2954</f>
        <v>1833.647508</v>
      </c>
      <c r="P2959" s="40" t="n">
        <f aca="false">F2959</f>
        <v>839.7895275</v>
      </c>
      <c r="Q2959" s="40" t="n">
        <f aca="false">J2959</f>
        <v>1833.647508</v>
      </c>
      <c r="R2959" s="40" t="n">
        <f aca="false">N2959</f>
        <v>1833.647508</v>
      </c>
      <c r="S2959" s="41" t="n">
        <f aca="false">R2959</f>
        <v>1833.647508</v>
      </c>
    </row>
    <row r="2960" customFormat="false" ht="15" hidden="false" customHeight="false" outlineLevel="0" collapsed="false">
      <c r="A2960" s="4" t="s">
        <v>487</v>
      </c>
      <c r="B2960" s="36" t="s">
        <v>485</v>
      </c>
      <c r="C2960" s="39" t="n">
        <f aca="false">$C$2931*C2952+$C$2935*C2953+$C$2939*C2954</f>
        <v>65.170413</v>
      </c>
      <c r="D2960" s="39" t="n">
        <f aca="false">$C$2931*D2952+$C$2935*D2953+$C$2939*D2954</f>
        <v>130.340826</v>
      </c>
      <c r="E2960" s="39" t="n">
        <f aca="false">$C$2931*E2952+$C$2935*E2953+$C$2939*E2954</f>
        <v>130.340826</v>
      </c>
      <c r="F2960" s="39" t="n">
        <f aca="false">$C$2931*F2952+$C$2935*F2953+$C$2939*F2954</f>
        <v>187.428087</v>
      </c>
      <c r="G2960" s="39" t="n">
        <f aca="false">$C$2931*G2952+$C$2935*G2953+$C$2939*G2954</f>
        <v>244.515348</v>
      </c>
      <c r="H2960" s="39" t="n">
        <f aca="false">$C$2931*H2952+$C$2935*H2953+$C$2939*H2954</f>
        <v>319.789701</v>
      </c>
      <c r="I2960" s="39" t="n">
        <f aca="false">$C$2931*I2952+$C$2935*I2953+$C$2939*I2954</f>
        <v>395.064054</v>
      </c>
      <c r="J2960" s="39" t="n">
        <f aca="false">$C$2931*J2952+$C$2935*J2953+$C$2939*J2954</f>
        <v>395.064054</v>
      </c>
      <c r="K2960" s="39" t="n">
        <f aca="false">$C$2931*K2952+$C$2935*K2953+$C$2939*K2954</f>
        <v>395.064054</v>
      </c>
      <c r="L2960" s="39" t="n">
        <f aca="false">$C$2931*L2952+$C$2935*L2953+$C$2939*L2954</f>
        <v>395.064054</v>
      </c>
      <c r="M2960" s="39" t="n">
        <f aca="false">$C$2931*M2952+$C$2935*M2953+$C$2939*M2954</f>
        <v>395.064054</v>
      </c>
      <c r="N2960" s="39" t="n">
        <f aca="false">$C$2931*N2952+$C$2935*N2953+$C$2939*N2954</f>
        <v>395.064054</v>
      </c>
      <c r="P2960" s="40" t="n">
        <f aca="false">F2960</f>
        <v>187.428087</v>
      </c>
      <c r="Q2960" s="40" t="n">
        <f aca="false">J2960</f>
        <v>395.064054</v>
      </c>
      <c r="R2960" s="40" t="n">
        <f aca="false">N2960</f>
        <v>395.064054</v>
      </c>
      <c r="S2960" s="41" t="n">
        <f aca="false">R2960</f>
        <v>395.064054</v>
      </c>
    </row>
    <row r="2961" customFormat="false" ht="15" hidden="false" customHeight="false" outlineLevel="0" collapsed="false">
      <c r="A2961" s="4" t="s">
        <v>488</v>
      </c>
      <c r="B2961" s="36" t="s">
        <v>485</v>
      </c>
      <c r="C2961" s="39" t="n">
        <f aca="false">C2958+C2959+C2960</f>
        <v>1717.343397</v>
      </c>
      <c r="D2961" s="39" t="n">
        <f aca="false">D2958+D2959+D2960</f>
        <v>3434.686794</v>
      </c>
      <c r="E2961" s="39" t="n">
        <f aca="false">E2958+E2959+E2960</f>
        <v>3434.686794</v>
      </c>
      <c r="F2961" s="39" t="n">
        <f aca="false">F2958+F2959+F2960</f>
        <v>5126.77571175</v>
      </c>
      <c r="G2961" s="39" t="n">
        <f aca="false">G2958+G2959+G2960</f>
        <v>6818.8646295</v>
      </c>
      <c r="H2961" s="39" t="n">
        <f aca="false">H2958+H2959+H2960</f>
        <v>8649.65126025</v>
      </c>
      <c r="I2961" s="39" t="n">
        <f aca="false">I2958+I2959+I2960</f>
        <v>10480.437891</v>
      </c>
      <c r="J2961" s="39" t="n">
        <f aca="false">J2958+J2959+J2960</f>
        <v>10480.437891</v>
      </c>
      <c r="K2961" s="39" t="n">
        <f aca="false">K2958+K2959+K2960</f>
        <v>10480.437891</v>
      </c>
      <c r="L2961" s="39" t="n">
        <f aca="false">L2958+L2959+L2960</f>
        <v>10480.437891</v>
      </c>
      <c r="M2961" s="39" t="n">
        <f aca="false">M2958+M2959+M2960</f>
        <v>10480.437891</v>
      </c>
      <c r="N2961" s="39" t="n">
        <f aca="false">N2958+N2959+N2960</f>
        <v>10480.437891</v>
      </c>
      <c r="P2961" s="40" t="n">
        <f aca="false">F2961</f>
        <v>5126.77571175</v>
      </c>
      <c r="Q2961" s="40" t="n">
        <f aca="false">J2961</f>
        <v>10480.437891</v>
      </c>
      <c r="R2961" s="40" t="n">
        <f aca="false">N2961</f>
        <v>10480.437891</v>
      </c>
      <c r="S2961" s="41" t="n">
        <f aca="false">R2961</f>
        <v>10480.437891</v>
      </c>
    </row>
    <row r="2962" customFormat="false" ht="15" hidden="false" customHeight="false" outlineLevel="0" collapsed="false">
      <c r="A2962" s="4" t="s">
        <v>489</v>
      </c>
      <c r="B2962" s="36" t="s">
        <v>485</v>
      </c>
      <c r="C2962" s="39" t="n">
        <f aca="false">$C$2932*C2952*C2955+$C$2936*C2953*C2956+$C$2940*C2954*C2957</f>
        <v>1717.343397</v>
      </c>
      <c r="D2962" s="39" t="n">
        <f aca="false">$C$2932*D2952*D2955+$C$2936*D2953*D2956+$C$2940*D2954*D2957</f>
        <v>3297.93332902888</v>
      </c>
      <c r="E2962" s="39" t="n">
        <f aca="false">$C$2932*E2952*E2955+$C$2936*E2953*E2956+$C$2940*E2954*E2957</f>
        <v>3166.62475941598</v>
      </c>
      <c r="F2962" s="39" t="n">
        <f aca="false">$C$2932*F2952*F2955+$C$2936*F2953*F2956+$C$2940*F2954*F2957</f>
        <v>4732.63321216697</v>
      </c>
      <c r="G2962" s="39" t="n">
        <f aca="false">$C$2932*G2952*G2955+$C$2936*G2953*G2956+$C$2940*G2954*G2957</f>
        <v>6168.91918035032</v>
      </c>
      <c r="H2962" s="39" t="n">
        <f aca="false">$C$2932*H2952*H2955+$C$2936*H2953*H2956+$C$2940*H2954*H2957</f>
        <v>7754.08776100229</v>
      </c>
      <c r="I2962" s="39" t="n">
        <f aca="false">$C$2932*I2952*I2955+$C$2936*I2953*I2956+$C$2940*I2954*I2957</f>
        <v>9203.24868233539</v>
      </c>
      <c r="J2962" s="39" t="n">
        <f aca="false">$C$2932*J2952*J2955+$C$2936*J2953*J2956+$C$2940*J2954*J2957</f>
        <v>8836.81755723284</v>
      </c>
      <c r="K2962" s="39" t="n">
        <f aca="false">$C$2932*K2952*K2955+$C$2936*K2953*K2956+$C$2940*K2954*K2957</f>
        <v>8484.97603783133</v>
      </c>
      <c r="L2962" s="39" t="n">
        <f aca="false">$C$2932*L2952*L2955+$C$2936*L2953*L2956+$C$2940*L2954*L2957</f>
        <v>8147.14323298945</v>
      </c>
      <c r="M2962" s="39" t="n">
        <f aca="false">$C$2932*M2952*M2955+$C$2936*M2953*M2956+$C$2940*M2954*M2957</f>
        <v>7822.76137998508</v>
      </c>
      <c r="N2962" s="39" t="n">
        <f aca="false">$C$2932*N2952*N2955+$C$2936*N2953*N2956+$C$2940*N2954*N2957</f>
        <v>7511.29492364791</v>
      </c>
      <c r="P2962" s="40"/>
      <c r="Q2962" s="40"/>
      <c r="R2962" s="40"/>
      <c r="S2962" s="41"/>
    </row>
    <row r="2963" customFormat="false" ht="15" hidden="false" customHeight="false" outlineLevel="0" collapsed="false">
      <c r="A2963" s="4" t="s">
        <v>490</v>
      </c>
      <c r="B2963" s="36" t="s">
        <v>491</v>
      </c>
      <c r="C2963" s="48" t="n">
        <f aca="false">$C$2944*Assumptions!$I$20*C2951*C2962</f>
        <v>15.02675472375</v>
      </c>
      <c r="D2963" s="48" t="n">
        <f aca="false">$C$2944*Assumptions!$I$20*D2951*D2962</f>
        <v>28.8569166290027</v>
      </c>
      <c r="E2963" s="48" t="n">
        <f aca="false">$C$2944*Assumptions!$I$20*E2951*E2962</f>
        <v>27.7079666448898</v>
      </c>
      <c r="F2963" s="48" t="n">
        <f aca="false">$C$2944*Assumptions!$I$20*F2951*F2962</f>
        <v>41.410540606461</v>
      </c>
      <c r="G2963" s="48" t="n">
        <f aca="false">$C$2944*Assumptions!$I$20*G2951*G2962</f>
        <v>53.9780428280653</v>
      </c>
      <c r="H2963" s="48" t="n">
        <f aca="false">$C$2944*Assumptions!$I$20*H2951*H2962</f>
        <v>67.8482679087701</v>
      </c>
      <c r="I2963" s="48" t="n">
        <f aca="false">$C$2944*Assumptions!$I$20*I2951*I2962</f>
        <v>80.5284259704347</v>
      </c>
      <c r="J2963" s="48" t="n">
        <f aca="false">$C$2944*Assumptions!$I$20*J2951*J2962</f>
        <v>77.3221536257873</v>
      </c>
      <c r="K2963" s="48" t="n">
        <f aca="false">$C$2944*Assumptions!$I$20*K2951*K2962</f>
        <v>74.2435403310241</v>
      </c>
      <c r="L2963" s="48" t="n">
        <f aca="false">$C$2944*Assumptions!$I$20*L2951*L2962</f>
        <v>71.2875032886577</v>
      </c>
      <c r="M2963" s="48" t="n">
        <f aca="false">$C$2944*Assumptions!$I$20*M2951*M2962</f>
        <v>68.4491620748695</v>
      </c>
      <c r="N2963" s="48" t="n">
        <f aca="false">$C$2944*Assumptions!$I$20*N2951*N2962</f>
        <v>65.7238305819192</v>
      </c>
      <c r="P2963" s="49" t="n">
        <f aca="false">SUM(C2963:F2963)</f>
        <v>113.002178604103</v>
      </c>
      <c r="Q2963" s="49" t="n">
        <f aca="false">SUM(G2963:J2963)</f>
        <v>279.676890333057</v>
      </c>
      <c r="R2963" s="49" t="n">
        <f aca="false">SUM(K2963:N2963)</f>
        <v>279.70403627647</v>
      </c>
      <c r="S2963" s="50" t="n">
        <f aca="false">SUM(P2963:R2963)</f>
        <v>672.383105213631</v>
      </c>
    </row>
    <row r="2964" customFormat="false" ht="15" hidden="false" customHeight="false" outlineLevel="0" collapsed="false">
      <c r="A2964" s="4" t="s">
        <v>492</v>
      </c>
      <c r="B2964" s="36" t="s">
        <v>321</v>
      </c>
      <c r="C2964" s="48" t="n">
        <f aca="false">Assumptions!$D$113</f>
        <v>0</v>
      </c>
      <c r="D2964" s="48" t="n">
        <f aca="false">Assumptions!$E$113</f>
        <v>0</v>
      </c>
      <c r="E2964" s="48" t="n">
        <f aca="false">Assumptions!$F$113</f>
        <v>0</v>
      </c>
      <c r="F2964" s="48" t="n">
        <f aca="false">Assumptions!$G$113</f>
        <v>0</v>
      </c>
      <c r="G2964" s="48" t="n">
        <f aca="false">Assumptions!$H$113</f>
        <v>0</v>
      </c>
      <c r="H2964" s="48" t="n">
        <f aca="false">Assumptions!$I$113</f>
        <v>0</v>
      </c>
      <c r="I2964" s="48" t="n">
        <f aca="false">Assumptions!$J$113</f>
        <v>0</v>
      </c>
      <c r="J2964" s="48" t="n">
        <f aca="false">Assumptions!$K$113</f>
        <v>0</v>
      </c>
      <c r="K2964" s="48" t="n">
        <f aca="false">Assumptions!$L$113</f>
        <v>0</v>
      </c>
      <c r="L2964" s="48" t="n">
        <f aca="false">Assumptions!$M$113</f>
        <v>0</v>
      </c>
      <c r="M2964" s="48" t="n">
        <f aca="false">Assumptions!$N$113</f>
        <v>0</v>
      </c>
      <c r="N2964" s="48" t="n">
        <f aca="false">Assumptions!$O$113</f>
        <v>0</v>
      </c>
      <c r="P2964" s="49" t="n">
        <f aca="false">F2964</f>
        <v>0</v>
      </c>
      <c r="Q2964" s="49" t="n">
        <f aca="false">J2964</f>
        <v>0</v>
      </c>
      <c r="R2964" s="49" t="n">
        <f aca="false">N2964</f>
        <v>0</v>
      </c>
      <c r="S2964" s="50" t="n">
        <f aca="false">R2964</f>
        <v>0</v>
      </c>
    </row>
    <row r="2965" customFormat="false" ht="15" hidden="false" customHeight="false" outlineLevel="0" collapsed="false">
      <c r="A2965" s="4" t="s">
        <v>493</v>
      </c>
      <c r="B2965" s="36" t="s">
        <v>321</v>
      </c>
      <c r="C2965" s="48" t="n">
        <f aca="false">0</f>
        <v>0</v>
      </c>
      <c r="D2965" s="48" t="n">
        <f aca="false">0.5*C2964</f>
        <v>0</v>
      </c>
      <c r="E2965" s="48" t="n">
        <f aca="false">C2964+0.5*(D2964-C2964)</f>
        <v>0</v>
      </c>
      <c r="F2965" s="48" t="n">
        <f aca="false">D2964+0.5*(E2964-D2964)</f>
        <v>0</v>
      </c>
      <c r="G2965" s="48" t="n">
        <f aca="false">E2964+0.5*(F2964-E2964)</f>
        <v>0</v>
      </c>
      <c r="H2965" s="48" t="n">
        <f aca="false">F2964+0.5*(G2964-F2964)</f>
        <v>0</v>
      </c>
      <c r="I2965" s="48" t="n">
        <f aca="false">G2964+0.5*(H2964-G2964)</f>
        <v>0</v>
      </c>
      <c r="J2965" s="48" t="n">
        <f aca="false">H2964+0.5*(I2964-H2964)</f>
        <v>0</v>
      </c>
      <c r="K2965" s="48" t="n">
        <f aca="false">I2964+0.5*(J2964-I2964)</f>
        <v>0</v>
      </c>
      <c r="L2965" s="48" t="n">
        <f aca="false">J2964+0.5*(K2964-J2964)</f>
        <v>0</v>
      </c>
      <c r="M2965" s="48" t="n">
        <f aca="false">K2964+0.5*(L2964-K2964)</f>
        <v>0</v>
      </c>
      <c r="N2965" s="48" t="n">
        <f aca="false">L2964+0.5*(M2964-L2964)</f>
        <v>0</v>
      </c>
      <c r="P2965" s="49" t="n">
        <f aca="false">F2965</f>
        <v>0</v>
      </c>
      <c r="Q2965" s="49" t="n">
        <f aca="false">J2965</f>
        <v>0</v>
      </c>
      <c r="R2965" s="49" t="n">
        <f aca="false">N2965</f>
        <v>0</v>
      </c>
      <c r="S2965" s="50" t="n">
        <f aca="false">R2965</f>
        <v>0</v>
      </c>
    </row>
    <row r="2966" customFormat="false" ht="15" hidden="false" customHeight="false" outlineLevel="0" collapsed="false">
      <c r="A2966" s="4" t="s">
        <v>494</v>
      </c>
      <c r="B2966" s="36" t="s">
        <v>485</v>
      </c>
      <c r="C2966" s="39" t="n">
        <f aca="false">MIN(C2965*Assumptions!$I$38,C2961*(1-$C$2944))</f>
        <v>0</v>
      </c>
      <c r="D2966" s="39" t="n">
        <f aca="false">MIN(D2965*Assumptions!$I$38,D2961*(1-$C$2944))</f>
        <v>0</v>
      </c>
      <c r="E2966" s="39" t="n">
        <f aca="false">MIN(E2965*Assumptions!$I$38,E2961*(1-$C$2944))</f>
        <v>0</v>
      </c>
      <c r="F2966" s="39" t="n">
        <f aca="false">MIN(F2965*Assumptions!$I$38,F2961*(1-$C$2944))</f>
        <v>0</v>
      </c>
      <c r="G2966" s="39" t="n">
        <f aca="false">MIN(G2965*Assumptions!$I$38,G2961*(1-$C$2944))</f>
        <v>0</v>
      </c>
      <c r="H2966" s="39" t="n">
        <f aca="false">MIN(H2965*Assumptions!$I$38,H2961*(1-$C$2944))</f>
        <v>0</v>
      </c>
      <c r="I2966" s="39" t="n">
        <f aca="false">MIN(I2965*Assumptions!$I$38,I2961*(1-$C$2944))</f>
        <v>0</v>
      </c>
      <c r="J2966" s="39" t="n">
        <f aca="false">MIN(J2965*Assumptions!$I$38,J2961*(1-$C$2944))</f>
        <v>0</v>
      </c>
      <c r="K2966" s="39" t="n">
        <f aca="false">MIN(K2965*Assumptions!$I$38,K2961*(1-$C$2944))</f>
        <v>0</v>
      </c>
      <c r="L2966" s="39" t="n">
        <f aca="false">MIN(L2965*Assumptions!$I$38,L2961*(1-$C$2944))</f>
        <v>0</v>
      </c>
      <c r="M2966" s="39" t="n">
        <f aca="false">MIN(M2965*Assumptions!$I$38,M2961*(1-$C$2944))</f>
        <v>0</v>
      </c>
      <c r="N2966" s="39" t="n">
        <f aca="false">MIN(N2965*Assumptions!$I$38,N2961*(1-$C$2944))</f>
        <v>0</v>
      </c>
      <c r="P2966" s="40" t="n">
        <f aca="false">SUM(C2966:F2966)</f>
        <v>0</v>
      </c>
      <c r="Q2966" s="40" t="n">
        <f aca="false">SUM(G2966:J2966)</f>
        <v>0</v>
      </c>
      <c r="R2966" s="40" t="n">
        <f aca="false">SUM(K2966:N2966)</f>
        <v>0</v>
      </c>
      <c r="S2966" s="41" t="n">
        <f aca="false">SUM(P2966:R2966)</f>
        <v>0</v>
      </c>
    </row>
    <row r="2967" customFormat="false" ht="15" hidden="false" customHeight="false" outlineLevel="0" collapsed="false">
      <c r="A2967" s="4" t="s">
        <v>495</v>
      </c>
      <c r="B2967" s="36" t="s">
        <v>491</v>
      </c>
      <c r="C2967" s="48" t="n">
        <f aca="false">C2966*Assumptions!$I$20*Assumptions!$I$39*IF(C2961&gt;0,C2962/C2961,0)*C2951</f>
        <v>0</v>
      </c>
      <c r="D2967" s="48" t="n">
        <f aca="false">D2966*Assumptions!$I$20*Assumptions!$I$39*IF(D2961&gt;0,D2962/D2961,0)*D2951</f>
        <v>0</v>
      </c>
      <c r="E2967" s="48" t="n">
        <f aca="false">E2966*Assumptions!$I$20*Assumptions!$I$39*IF(E2961&gt;0,E2962/E2961,0)*E2951</f>
        <v>0</v>
      </c>
      <c r="F2967" s="48" t="n">
        <f aca="false">F2966*Assumptions!$I$20*Assumptions!$I$39*IF(F2961&gt;0,F2962/F2961,0)*F2951</f>
        <v>0</v>
      </c>
      <c r="G2967" s="48" t="n">
        <f aca="false">G2966*Assumptions!$I$20*Assumptions!$I$39*IF(G2961&gt;0,G2962/G2961,0)*G2951</f>
        <v>0</v>
      </c>
      <c r="H2967" s="48" t="n">
        <f aca="false">H2966*Assumptions!$I$20*Assumptions!$I$39*IF(H2961&gt;0,H2962/H2961,0)*H2951</f>
        <v>0</v>
      </c>
      <c r="I2967" s="48" t="n">
        <f aca="false">I2966*Assumptions!$I$20*Assumptions!$I$39*IF(I2961&gt;0,I2962/I2961,0)*I2951</f>
        <v>0</v>
      </c>
      <c r="J2967" s="48" t="n">
        <f aca="false">J2966*Assumptions!$I$20*Assumptions!$I$39*IF(J2961&gt;0,J2962/J2961,0)*J2951</f>
        <v>0</v>
      </c>
      <c r="K2967" s="48" t="n">
        <f aca="false">K2966*Assumptions!$I$20*Assumptions!$I$39*IF(K2961&gt;0,K2962/K2961,0)*K2951</f>
        <v>0</v>
      </c>
      <c r="L2967" s="48" t="n">
        <f aca="false">L2966*Assumptions!$I$20*Assumptions!$I$39*IF(L2961&gt;0,L2962/L2961,0)*L2951</f>
        <v>0</v>
      </c>
      <c r="M2967" s="48" t="n">
        <f aca="false">M2966*Assumptions!$I$20*Assumptions!$I$39*IF(M2961&gt;0,M2962/M2961,0)*M2951</f>
        <v>0</v>
      </c>
      <c r="N2967" s="48" t="n">
        <f aca="false">N2966*Assumptions!$I$20*Assumptions!$I$39*IF(N2961&gt;0,N2962/N2961,0)*N2951</f>
        <v>0</v>
      </c>
      <c r="P2967" s="49" t="n">
        <f aca="false">SUM(C2967:F2967)</f>
        <v>0</v>
      </c>
      <c r="Q2967" s="49" t="n">
        <f aca="false">SUM(G2967:J2967)</f>
        <v>0</v>
      </c>
      <c r="R2967" s="49" t="n">
        <f aca="false">SUM(K2967:N2967)</f>
        <v>0</v>
      </c>
      <c r="S2967" s="50" t="n">
        <f aca="false">SUM(P2967:R2967)</f>
        <v>0</v>
      </c>
    </row>
    <row r="2968" customFormat="false" ht="15" hidden="false" customHeight="false" outlineLevel="0" collapsed="false">
      <c r="A2968" s="4" t="s">
        <v>496</v>
      </c>
      <c r="B2968" s="36" t="s">
        <v>497</v>
      </c>
      <c r="C2968" s="48" t="n">
        <f aca="false">IF(AND(C2961&gt;0,$C$2948&gt;0),C2961*Assumptions!$I$24*(1-EXP(-$C$2948/(Assumptions!$I$23*C2961*Assumptions!$I$24))),0)</f>
        <v>0</v>
      </c>
      <c r="D2968" s="48" t="n">
        <f aca="false">IF(AND(D2961&gt;0,$C$2948&gt;0),D2961*Assumptions!$I$24*(1-EXP(-$C$2948/(Assumptions!$I$23*D2961*Assumptions!$I$24))),0)</f>
        <v>0</v>
      </c>
      <c r="E2968" s="48" t="n">
        <f aca="false">IF(AND(E2961&gt;0,$C$2948&gt;0),E2961*Assumptions!$I$24*(1-EXP(-$C$2948/(Assumptions!$I$23*E2961*Assumptions!$I$24))),0)</f>
        <v>0</v>
      </c>
      <c r="F2968" s="48" t="n">
        <f aca="false">IF(AND(F2961&gt;0,$C$2948&gt;0),F2961*Assumptions!$I$24*(1-EXP(-$C$2948/(Assumptions!$I$23*F2961*Assumptions!$I$24))),0)</f>
        <v>0</v>
      </c>
      <c r="G2968" s="48" t="n">
        <f aca="false">IF(AND(G2961&gt;0,$C$2948&gt;0),G2961*Assumptions!$I$24*(1-EXP(-$C$2948/(Assumptions!$I$23*G2961*Assumptions!$I$24))),0)</f>
        <v>0</v>
      </c>
      <c r="H2968" s="48" t="n">
        <f aca="false">IF(AND(H2961&gt;0,$C$2948&gt;0),H2961*Assumptions!$I$24*(1-EXP(-$C$2948/(Assumptions!$I$23*H2961*Assumptions!$I$24))),0)</f>
        <v>0</v>
      </c>
      <c r="I2968" s="48" t="n">
        <f aca="false">IF(AND(I2961&gt;0,$C$2948&gt;0),I2961*Assumptions!$I$24*(1-EXP(-$C$2948/(Assumptions!$I$23*I2961*Assumptions!$I$24))),0)</f>
        <v>0</v>
      </c>
      <c r="J2968" s="48" t="n">
        <f aca="false">IF(AND(J2961&gt;0,$C$2948&gt;0),J2961*Assumptions!$I$24*(1-EXP(-$C$2948/(Assumptions!$I$23*J2961*Assumptions!$I$24))),0)</f>
        <v>0</v>
      </c>
      <c r="K2968" s="48" t="n">
        <f aca="false">IF(AND(K2961&gt;0,$C$2948&gt;0),K2961*Assumptions!$I$24*(1-EXP(-$C$2948/(Assumptions!$I$23*K2961*Assumptions!$I$24))),0)</f>
        <v>0</v>
      </c>
      <c r="L2968" s="48" t="n">
        <f aca="false">IF(AND(L2961&gt;0,$C$2948&gt;0),L2961*Assumptions!$I$24*(1-EXP(-$C$2948/(Assumptions!$I$23*L2961*Assumptions!$I$24))),0)</f>
        <v>0</v>
      </c>
      <c r="M2968" s="48" t="n">
        <f aca="false">IF(AND(M2961&gt;0,$C$2948&gt;0),M2961*Assumptions!$I$24*(1-EXP(-$C$2948/(Assumptions!$I$23*M2961*Assumptions!$I$24))),0)</f>
        <v>0</v>
      </c>
      <c r="N2968" s="48" t="n">
        <f aca="false">IF(AND(N2961&gt;0,$C$2948&gt;0),N2961*Assumptions!$I$24*(1-EXP(-$C$2948/(Assumptions!$I$23*N2961*Assumptions!$I$24))),0)</f>
        <v>0</v>
      </c>
      <c r="P2968" s="49" t="n">
        <f aca="false">SUM(C2968:F2968)</f>
        <v>0</v>
      </c>
      <c r="Q2968" s="49" t="n">
        <f aca="false">SUM(G2968:J2968)</f>
        <v>0</v>
      </c>
      <c r="R2968" s="49" t="n">
        <f aca="false">SUM(K2968:N2968)</f>
        <v>0</v>
      </c>
      <c r="S2968" s="50" t="n">
        <f aca="false">SUM(P2968:R2968)</f>
        <v>0</v>
      </c>
    </row>
    <row r="2969" customFormat="false" ht="15" hidden="false" customHeight="false" outlineLevel="0" collapsed="false">
      <c r="A2969" s="4" t="s">
        <v>498</v>
      </c>
      <c r="B2969" s="36" t="s">
        <v>497</v>
      </c>
      <c r="C2969" s="48" t="n">
        <f aca="false">(C2961*Assumptions!$I$22*MIN(1,Assumptions!$F$103/Assumptions!$I$78)+C2968)*C2951</f>
        <v>13.738747176</v>
      </c>
      <c r="D2969" s="48" t="n">
        <f aca="false">(D2961*Assumptions!$I$22*MIN(1,Assumptions!$F$103/Assumptions!$I$78)+D2968)*D2951</f>
        <v>27.477494352</v>
      </c>
      <c r="E2969" s="48" t="n">
        <f aca="false">(E2961*Assumptions!$I$22*MIN(1,Assumptions!$F$103/Assumptions!$I$78)+E2968)*E2951</f>
        <v>27.477494352</v>
      </c>
      <c r="F2969" s="48" t="n">
        <f aca="false">(F2961*Assumptions!$I$22*MIN(1,Assumptions!$F$103/Assumptions!$I$78)+F2968)*F2951</f>
        <v>41.014205694</v>
      </c>
      <c r="G2969" s="48" t="n">
        <f aca="false">(G2961*Assumptions!$I$22*MIN(1,Assumptions!$F$103/Assumptions!$I$78)+G2968)*G2951</f>
        <v>54.550917036</v>
      </c>
      <c r="H2969" s="48" t="n">
        <f aca="false">(H2961*Assumptions!$I$22*MIN(1,Assumptions!$F$103/Assumptions!$I$78)+H2968)*H2951</f>
        <v>69.197210082</v>
      </c>
      <c r="I2969" s="48" t="n">
        <f aca="false">(I2961*Assumptions!$I$22*MIN(1,Assumptions!$F$103/Assumptions!$I$78)+I2968)*I2951</f>
        <v>83.843503128</v>
      </c>
      <c r="J2969" s="48" t="n">
        <f aca="false">(J2961*Assumptions!$I$22*MIN(1,Assumptions!$F$103/Assumptions!$I$78)+J2968)*J2951</f>
        <v>83.843503128</v>
      </c>
      <c r="K2969" s="48" t="n">
        <f aca="false">(K2961*Assumptions!$I$22*MIN(1,Assumptions!$F$103/Assumptions!$I$78)+K2968)*K2951</f>
        <v>83.843503128</v>
      </c>
      <c r="L2969" s="48" t="n">
        <f aca="false">(L2961*Assumptions!$I$22*MIN(1,Assumptions!$F$103/Assumptions!$I$78)+L2968)*L2951</f>
        <v>83.843503128</v>
      </c>
      <c r="M2969" s="48" t="n">
        <f aca="false">(M2961*Assumptions!$I$22*MIN(1,Assumptions!$F$103/Assumptions!$I$78)+M2968)*M2951</f>
        <v>83.843503128</v>
      </c>
      <c r="N2969" s="48" t="n">
        <f aca="false">(N2961*Assumptions!$I$22*MIN(1,Assumptions!$F$103/Assumptions!$I$78)+N2968)*N2951</f>
        <v>83.843503128</v>
      </c>
      <c r="P2969" s="49" t="n">
        <f aca="false">SUM(C2969:F2969)</f>
        <v>109.707941574</v>
      </c>
      <c r="Q2969" s="49" t="n">
        <f aca="false">SUM(G2969:J2969)</f>
        <v>291.435133374</v>
      </c>
      <c r="R2969" s="49" t="n">
        <f aca="false">SUM(K2969:N2969)</f>
        <v>335.374012512</v>
      </c>
      <c r="S2969" s="50" t="n">
        <f aca="false">SUM(P2969:R2969)</f>
        <v>736.51708746</v>
      </c>
    </row>
    <row r="2970" customFormat="false" ht="15" hidden="false" customHeight="false" outlineLevel="0" collapsed="false">
      <c r="A2970" s="4" t="s">
        <v>499</v>
      </c>
      <c r="B2970" s="36" t="s">
        <v>500</v>
      </c>
      <c r="C2970" s="48" t="n">
        <f aca="false">C2951*MIN(Assumptions!$I$27,Assumptions!$I$25+Assumptions!$I$26*(C2950-1))*Assumptions!$F$107</f>
        <v>2</v>
      </c>
      <c r="D2970" s="48" t="n">
        <f aca="false">D2951*MIN(Assumptions!$I$27,Assumptions!$I$25+Assumptions!$I$26*(D2950-1))*Assumptions!$F$107</f>
        <v>3</v>
      </c>
      <c r="E2970" s="48" t="n">
        <f aca="false">E2951*MIN(Assumptions!$I$27,Assumptions!$I$25+Assumptions!$I$26*(E2950-1))*Assumptions!$F$107</f>
        <v>4</v>
      </c>
      <c r="F2970" s="48" t="n">
        <f aca="false">F2951*MIN(Assumptions!$I$27,Assumptions!$I$25+Assumptions!$I$26*(F2950-1))*Assumptions!$F$107</f>
        <v>5</v>
      </c>
      <c r="G2970" s="48" t="n">
        <f aca="false">G2951*MIN(Assumptions!$I$27,Assumptions!$I$25+Assumptions!$I$26*(G2950-1))*Assumptions!$F$107</f>
        <v>6</v>
      </c>
      <c r="H2970" s="48" t="n">
        <f aca="false">H2951*MIN(Assumptions!$I$27,Assumptions!$I$25+Assumptions!$I$26*(H2950-1))*Assumptions!$F$107</f>
        <v>7</v>
      </c>
      <c r="I2970" s="48" t="n">
        <f aca="false">I2951*MIN(Assumptions!$I$27,Assumptions!$I$25+Assumptions!$I$26*(I2950-1))*Assumptions!$F$107</f>
        <v>7</v>
      </c>
      <c r="J2970" s="48" t="n">
        <f aca="false">J2951*MIN(Assumptions!$I$27,Assumptions!$I$25+Assumptions!$I$26*(J2950-1))*Assumptions!$F$107</f>
        <v>7</v>
      </c>
      <c r="K2970" s="48" t="n">
        <f aca="false">K2951*MIN(Assumptions!$I$27,Assumptions!$I$25+Assumptions!$I$26*(K2950-1))*Assumptions!$F$107</f>
        <v>7</v>
      </c>
      <c r="L2970" s="48" t="n">
        <f aca="false">L2951*MIN(Assumptions!$I$27,Assumptions!$I$25+Assumptions!$I$26*(L2950-1))*Assumptions!$F$107</f>
        <v>7</v>
      </c>
      <c r="M2970" s="48" t="n">
        <f aca="false">M2951*MIN(Assumptions!$I$27,Assumptions!$I$25+Assumptions!$I$26*(M2950-1))*Assumptions!$F$107</f>
        <v>7</v>
      </c>
      <c r="N2970" s="48" t="n">
        <f aca="false">N2951*MIN(Assumptions!$I$27,Assumptions!$I$25+Assumptions!$I$26*(N2950-1))*Assumptions!$F$107</f>
        <v>7</v>
      </c>
      <c r="P2970" s="49" t="n">
        <f aca="false">F2970</f>
        <v>5</v>
      </c>
      <c r="Q2970" s="49" t="n">
        <f aca="false">J2970</f>
        <v>7</v>
      </c>
      <c r="R2970" s="49" t="n">
        <f aca="false">N2970</f>
        <v>7</v>
      </c>
      <c r="S2970" s="50" t="n">
        <f aca="false">R2970</f>
        <v>7</v>
      </c>
    </row>
    <row r="2971" customFormat="false" ht="15" hidden="false" customHeight="false" outlineLevel="0" collapsed="false">
      <c r="A2971" s="4" t="s">
        <v>501</v>
      </c>
      <c r="B2971" s="36" t="s">
        <v>502</v>
      </c>
      <c r="C2971" s="48" t="n">
        <f aca="false">C2970*Assumptions!$I$28</f>
        <v>8</v>
      </c>
      <c r="D2971" s="48" t="n">
        <f aca="false">D2970*Assumptions!$I$28</f>
        <v>12</v>
      </c>
      <c r="E2971" s="48" t="n">
        <f aca="false">E2970*Assumptions!$I$28</f>
        <v>16</v>
      </c>
      <c r="F2971" s="48" t="n">
        <f aca="false">F2970*Assumptions!$I$28</f>
        <v>20</v>
      </c>
      <c r="G2971" s="48" t="n">
        <f aca="false">G2970*Assumptions!$I$28</f>
        <v>24</v>
      </c>
      <c r="H2971" s="48" t="n">
        <f aca="false">H2970*Assumptions!$I$28</f>
        <v>28</v>
      </c>
      <c r="I2971" s="48" t="n">
        <f aca="false">I2970*Assumptions!$I$28</f>
        <v>28</v>
      </c>
      <c r="J2971" s="48" t="n">
        <f aca="false">J2970*Assumptions!$I$28</f>
        <v>28</v>
      </c>
      <c r="K2971" s="48" t="n">
        <f aca="false">K2970*Assumptions!$I$28</f>
        <v>28</v>
      </c>
      <c r="L2971" s="48" t="n">
        <f aca="false">L2970*Assumptions!$I$28</f>
        <v>28</v>
      </c>
      <c r="M2971" s="48" t="n">
        <f aca="false">M2970*Assumptions!$I$28</f>
        <v>28</v>
      </c>
      <c r="N2971" s="48" t="n">
        <f aca="false">N2970*Assumptions!$I$28</f>
        <v>28</v>
      </c>
      <c r="P2971" s="49" t="n">
        <f aca="false">SUM(C2971:F2971)</f>
        <v>56</v>
      </c>
      <c r="Q2971" s="49" t="n">
        <f aca="false">SUM(G2971:J2971)</f>
        <v>108</v>
      </c>
      <c r="R2971" s="49" t="n">
        <f aca="false">SUM(K2971:N2971)</f>
        <v>112</v>
      </c>
      <c r="S2971" s="50" t="n">
        <f aca="false">SUM(P2971:R2971)</f>
        <v>276</v>
      </c>
    </row>
    <row r="2972" customFormat="false" ht="15" hidden="false" customHeight="false" outlineLevel="0" collapsed="false">
      <c r="A2972" s="4" t="s">
        <v>503</v>
      </c>
      <c r="B2972" s="36" t="s">
        <v>504</v>
      </c>
      <c r="C2972" s="48" t="n">
        <f aca="false">(C2963+C2967)*Assumptions!$I$29</f>
        <v>7.513377361875</v>
      </c>
      <c r="D2972" s="48" t="n">
        <f aca="false">(D2963+D2967)*Assumptions!$I$29</f>
        <v>14.4284583145013</v>
      </c>
      <c r="E2972" s="48" t="n">
        <f aca="false">(E2963+E2967)*Assumptions!$I$29</f>
        <v>13.8539833224449</v>
      </c>
      <c r="F2972" s="48" t="n">
        <f aca="false">(F2963+F2967)*Assumptions!$I$29</f>
        <v>20.7052703032305</v>
      </c>
      <c r="G2972" s="48" t="n">
        <f aca="false">(G2963+G2967)*Assumptions!$I$29</f>
        <v>26.9890214140327</v>
      </c>
      <c r="H2972" s="48" t="n">
        <f aca="false">(H2963+H2967)*Assumptions!$I$29</f>
        <v>33.924133954385</v>
      </c>
      <c r="I2972" s="48" t="n">
        <f aca="false">(I2963+I2967)*Assumptions!$I$29</f>
        <v>40.2642129852173</v>
      </c>
      <c r="J2972" s="48" t="n">
        <f aca="false">(J2963+J2967)*Assumptions!$I$29</f>
        <v>38.6610768128937</v>
      </c>
      <c r="K2972" s="48" t="n">
        <f aca="false">(K2963+K2967)*Assumptions!$I$29</f>
        <v>37.1217701655121</v>
      </c>
      <c r="L2972" s="48" t="n">
        <f aca="false">(L2963+L2967)*Assumptions!$I$29</f>
        <v>35.6437516443288</v>
      </c>
      <c r="M2972" s="48" t="n">
        <f aca="false">(M2963+M2967)*Assumptions!$I$29</f>
        <v>34.2245810374347</v>
      </c>
      <c r="N2972" s="48" t="n">
        <f aca="false">(N2963+N2967)*Assumptions!$I$29</f>
        <v>32.8619152909596</v>
      </c>
      <c r="P2972" s="49" t="n">
        <f aca="false">SUM(C2972:F2972)</f>
        <v>56.5010893020517</v>
      </c>
      <c r="Q2972" s="49" t="n">
        <f aca="false">SUM(G2972:J2972)</f>
        <v>139.838445166529</v>
      </c>
      <c r="R2972" s="49" t="n">
        <f aca="false">SUM(K2972:N2972)</f>
        <v>139.852018138235</v>
      </c>
      <c r="S2972" s="50" t="n">
        <f aca="false">SUM(P2972:R2972)</f>
        <v>336.191552606816</v>
      </c>
    </row>
    <row r="2973" customFormat="false" ht="15" hidden="false" customHeight="false" outlineLevel="0" collapsed="false">
      <c r="A2973" s="4" t="s">
        <v>505</v>
      </c>
      <c r="B2973" s="36" t="s">
        <v>504</v>
      </c>
      <c r="C2973" s="48" t="n">
        <f aca="false">C2969*Assumptions!$I$31</f>
        <v>3.02252437872</v>
      </c>
      <c r="D2973" s="48" t="n">
        <f aca="false">D2969*Assumptions!$I$31</f>
        <v>6.04504875744</v>
      </c>
      <c r="E2973" s="48" t="n">
        <f aca="false">E2969*Assumptions!$I$31</f>
        <v>6.04504875744</v>
      </c>
      <c r="F2973" s="48" t="n">
        <f aca="false">F2969*Assumptions!$I$31</f>
        <v>9.02312525268</v>
      </c>
      <c r="G2973" s="48" t="n">
        <f aca="false">G2969*Assumptions!$I$31</f>
        <v>12.00120174792</v>
      </c>
      <c r="H2973" s="48" t="n">
        <f aca="false">H2969*Assumptions!$I$31</f>
        <v>15.22338621804</v>
      </c>
      <c r="I2973" s="48" t="n">
        <f aca="false">I2969*Assumptions!$I$31</f>
        <v>18.44557068816</v>
      </c>
      <c r="J2973" s="48" t="n">
        <f aca="false">J2969*Assumptions!$I$31</f>
        <v>18.44557068816</v>
      </c>
      <c r="K2973" s="48" t="n">
        <f aca="false">K2969*Assumptions!$I$31</f>
        <v>18.44557068816</v>
      </c>
      <c r="L2973" s="48" t="n">
        <f aca="false">L2969*Assumptions!$I$31</f>
        <v>18.44557068816</v>
      </c>
      <c r="M2973" s="48" t="n">
        <f aca="false">M2969*Assumptions!$I$31</f>
        <v>18.44557068816</v>
      </c>
      <c r="N2973" s="48" t="n">
        <f aca="false">N2969*Assumptions!$I$31</f>
        <v>18.44557068816</v>
      </c>
      <c r="P2973" s="49" t="n">
        <f aca="false">SUM(C2973:F2973)</f>
        <v>24.13574714628</v>
      </c>
      <c r="Q2973" s="49" t="n">
        <f aca="false">SUM(G2973:J2973)</f>
        <v>64.11572934228</v>
      </c>
      <c r="R2973" s="49" t="n">
        <f aca="false">SUM(K2973:N2973)</f>
        <v>73.78228275264</v>
      </c>
      <c r="S2973" s="50" t="n">
        <f aca="false">SUM(P2973:R2973)</f>
        <v>162.0337592412</v>
      </c>
    </row>
    <row r="2974" customFormat="false" ht="15" hidden="false" customHeight="false" outlineLevel="0" collapsed="false">
      <c r="A2974" s="4" t="s">
        <v>506</v>
      </c>
      <c r="B2974" s="36" t="s">
        <v>504</v>
      </c>
      <c r="C2974" s="48" t="n">
        <f aca="false">C2971*Assumptions!$I$30</f>
        <v>4.8</v>
      </c>
      <c r="D2974" s="48" t="n">
        <f aca="false">D2971*Assumptions!$I$30</f>
        <v>7.2</v>
      </c>
      <c r="E2974" s="48" t="n">
        <f aca="false">E2971*Assumptions!$I$30</f>
        <v>9.6</v>
      </c>
      <c r="F2974" s="48" t="n">
        <f aca="false">F2971*Assumptions!$I$30</f>
        <v>12</v>
      </c>
      <c r="G2974" s="48" t="n">
        <f aca="false">G2971*Assumptions!$I$30</f>
        <v>14.4</v>
      </c>
      <c r="H2974" s="48" t="n">
        <f aca="false">H2971*Assumptions!$I$30</f>
        <v>16.8</v>
      </c>
      <c r="I2974" s="48" t="n">
        <f aca="false">I2971*Assumptions!$I$30</f>
        <v>16.8</v>
      </c>
      <c r="J2974" s="48" t="n">
        <f aca="false">J2971*Assumptions!$I$30</f>
        <v>16.8</v>
      </c>
      <c r="K2974" s="48" t="n">
        <f aca="false">K2971*Assumptions!$I$30</f>
        <v>16.8</v>
      </c>
      <c r="L2974" s="48" t="n">
        <f aca="false">L2971*Assumptions!$I$30</f>
        <v>16.8</v>
      </c>
      <c r="M2974" s="48" t="n">
        <f aca="false">M2971*Assumptions!$I$30</f>
        <v>16.8</v>
      </c>
      <c r="N2974" s="48" t="n">
        <f aca="false">N2971*Assumptions!$I$30</f>
        <v>16.8</v>
      </c>
      <c r="P2974" s="49" t="n">
        <f aca="false">SUM(C2974:F2974)</f>
        <v>33.6</v>
      </c>
      <c r="Q2974" s="49" t="n">
        <f aca="false">SUM(G2974:J2974)</f>
        <v>64.8</v>
      </c>
      <c r="R2974" s="49" t="n">
        <f aca="false">SUM(K2974:N2974)</f>
        <v>67.2</v>
      </c>
      <c r="S2974" s="50" t="n">
        <f aca="false">SUM(P2974:R2974)</f>
        <v>165.6</v>
      </c>
    </row>
    <row r="2975" customFormat="false" ht="15" hidden="false" customHeight="false" outlineLevel="0" collapsed="false">
      <c r="A2975" s="9" t="s">
        <v>507</v>
      </c>
      <c r="B2975" s="36" t="s">
        <v>504</v>
      </c>
      <c r="C2975" s="49" t="n">
        <f aca="false">C2972+C2973+C2974</f>
        <v>15.335901740595</v>
      </c>
      <c r="D2975" s="49" t="n">
        <f aca="false">D2972+D2973+D2974</f>
        <v>27.6735070719413</v>
      </c>
      <c r="E2975" s="49" t="n">
        <f aca="false">E2972+E2973+E2974</f>
        <v>29.4990320798849</v>
      </c>
      <c r="F2975" s="49" t="n">
        <f aca="false">F2972+F2973+F2974</f>
        <v>41.7283955559105</v>
      </c>
      <c r="G2975" s="49" t="n">
        <f aca="false">G2972+G2973+G2974</f>
        <v>53.3902231619527</v>
      </c>
      <c r="H2975" s="49" t="n">
        <f aca="false">H2972+H2973+H2974</f>
        <v>65.947520172425</v>
      </c>
      <c r="I2975" s="49" t="n">
        <f aca="false">I2972+I2973+I2974</f>
        <v>75.5097836733773</v>
      </c>
      <c r="J2975" s="49" t="n">
        <f aca="false">J2972+J2973+J2974</f>
        <v>73.9066475010537</v>
      </c>
      <c r="K2975" s="49" t="n">
        <f aca="false">K2972+K2973+K2974</f>
        <v>72.3673408536721</v>
      </c>
      <c r="L2975" s="49" t="n">
        <f aca="false">L2972+L2973+L2974</f>
        <v>70.8893223324888</v>
      </c>
      <c r="M2975" s="49" t="n">
        <f aca="false">M2972+M2973+M2974</f>
        <v>69.4701517255947</v>
      </c>
      <c r="N2975" s="49" t="n">
        <f aca="false">N2972+N2973+N2974</f>
        <v>68.1074859791196</v>
      </c>
      <c r="P2975" s="49" t="n">
        <f aca="false">SUM(C2975:F2975)</f>
        <v>114.236836448332</v>
      </c>
      <c r="Q2975" s="49" t="n">
        <f aca="false">SUM(G2975:J2975)</f>
        <v>268.754174508809</v>
      </c>
      <c r="R2975" s="49" t="n">
        <f aca="false">SUM(K2975:N2975)</f>
        <v>280.834300890875</v>
      </c>
      <c r="S2975" s="50" t="n">
        <f aca="false">SUM(P2975:R2975)</f>
        <v>663.825311848016</v>
      </c>
    </row>
    <row r="2976" customFormat="false" ht="15" hidden="false" customHeight="false" outlineLevel="0" collapsed="false">
      <c r="A2976" s="4" t="s">
        <v>508</v>
      </c>
      <c r="B2976" s="36" t="s">
        <v>509</v>
      </c>
      <c r="C2976" s="48" t="n">
        <f aca="false">C2958</f>
        <v>1371.907152</v>
      </c>
      <c r="D2976" s="48" t="n">
        <f aca="false">D2958</f>
        <v>2743.814304</v>
      </c>
      <c r="E2976" s="48" t="n">
        <f aca="false">E2958</f>
        <v>2743.814304</v>
      </c>
      <c r="F2976" s="48" t="n">
        <f aca="false">F2958</f>
        <v>4099.55809725</v>
      </c>
      <c r="G2976" s="48" t="n">
        <f aca="false">G2958</f>
        <v>5455.3018905</v>
      </c>
      <c r="H2976" s="48" t="n">
        <f aca="false">H2958</f>
        <v>6853.51410975</v>
      </c>
      <c r="I2976" s="48" t="n">
        <f aca="false">I2958</f>
        <v>8251.726329</v>
      </c>
      <c r="J2976" s="48" t="n">
        <f aca="false">J2958</f>
        <v>8251.726329</v>
      </c>
      <c r="K2976" s="48" t="n">
        <f aca="false">K2958</f>
        <v>8251.726329</v>
      </c>
      <c r="L2976" s="48" t="n">
        <f aca="false">L2958</f>
        <v>8251.726329</v>
      </c>
      <c r="M2976" s="48" t="n">
        <f aca="false">M2958</f>
        <v>8251.726329</v>
      </c>
      <c r="N2976" s="48" t="n">
        <f aca="false">N2958</f>
        <v>8251.726329</v>
      </c>
      <c r="P2976" s="49"/>
      <c r="Q2976" s="49"/>
      <c r="R2976" s="49"/>
      <c r="S2976" s="50"/>
    </row>
    <row r="2977" customFormat="false" ht="15" hidden="false" customHeight="false" outlineLevel="0" collapsed="false">
      <c r="A2977" s="4" t="s">
        <v>510</v>
      </c>
      <c r="B2977" s="36" t="s">
        <v>509</v>
      </c>
      <c r="C2977" s="48" t="n">
        <f aca="false">C2959*Assumptions!$I$18*Assumptions!$I$33</f>
        <v>560.531664</v>
      </c>
      <c r="D2977" s="48" t="n">
        <f aca="false">D2959*Assumptions!$I$18*Assumptions!$I$33</f>
        <v>1121.063328</v>
      </c>
      <c r="E2977" s="48" t="n">
        <f aca="false">E2959*Assumptions!$I$18*Assumptions!$I$33</f>
        <v>1121.063328</v>
      </c>
      <c r="F2977" s="48" t="n">
        <f aca="false">F2959*Assumptions!$I$18*Assumptions!$I$33</f>
        <v>1679.579055</v>
      </c>
      <c r="G2977" s="48" t="n">
        <f aca="false">G2959*Assumptions!$I$18*Assumptions!$I$33</f>
        <v>2238.094782</v>
      </c>
      <c r="H2977" s="48" t="n">
        <f aca="false">H2959*Assumptions!$I$18*Assumptions!$I$33</f>
        <v>2952.694899</v>
      </c>
      <c r="I2977" s="48" t="n">
        <f aca="false">I2959*Assumptions!$I$18*Assumptions!$I$33</f>
        <v>3667.295016</v>
      </c>
      <c r="J2977" s="48" t="n">
        <f aca="false">J2959*Assumptions!$I$18*Assumptions!$I$33</f>
        <v>3667.295016</v>
      </c>
      <c r="K2977" s="48" t="n">
        <f aca="false">K2959*Assumptions!$I$18*Assumptions!$I$33</f>
        <v>3667.295016</v>
      </c>
      <c r="L2977" s="48" t="n">
        <f aca="false">L2959*Assumptions!$I$18*Assumptions!$I$33</f>
        <v>3667.295016</v>
      </c>
      <c r="M2977" s="48" t="n">
        <f aca="false">M2959*Assumptions!$I$18*Assumptions!$I$33</f>
        <v>3667.295016</v>
      </c>
      <c r="N2977" s="48" t="n">
        <f aca="false">N2959*Assumptions!$I$18*Assumptions!$I$33</f>
        <v>3667.295016</v>
      </c>
      <c r="P2977" s="49"/>
      <c r="Q2977" s="49"/>
      <c r="R2977" s="49"/>
      <c r="S2977" s="50"/>
    </row>
    <row r="2978" customFormat="false" ht="15" hidden="false" customHeight="false" outlineLevel="0" collapsed="false">
      <c r="A2978" s="4" t="s">
        <v>511</v>
      </c>
      <c r="B2978" s="36" t="s">
        <v>509</v>
      </c>
      <c r="C2978" s="48" t="n">
        <f aca="false">C2960*Assumptions!$I$19*Assumptions!$I$34</f>
        <v>117.3067434</v>
      </c>
      <c r="D2978" s="48" t="n">
        <f aca="false">D2960*Assumptions!$I$19*Assumptions!$I$34</f>
        <v>234.6134868</v>
      </c>
      <c r="E2978" s="48" t="n">
        <f aca="false">E2960*Assumptions!$I$19*Assumptions!$I$34</f>
        <v>234.6134868</v>
      </c>
      <c r="F2978" s="48" t="n">
        <f aca="false">F2960*Assumptions!$I$19*Assumptions!$I$34</f>
        <v>337.3705566</v>
      </c>
      <c r="G2978" s="48" t="n">
        <f aca="false">G2960*Assumptions!$I$19*Assumptions!$I$34</f>
        <v>440.1276264</v>
      </c>
      <c r="H2978" s="48" t="n">
        <f aca="false">H2960*Assumptions!$I$19*Assumptions!$I$34</f>
        <v>575.6214618</v>
      </c>
      <c r="I2978" s="48" t="n">
        <f aca="false">I2960*Assumptions!$I$19*Assumptions!$I$34</f>
        <v>711.1152972</v>
      </c>
      <c r="J2978" s="48" t="n">
        <f aca="false">J2960*Assumptions!$I$19*Assumptions!$I$34</f>
        <v>711.1152972</v>
      </c>
      <c r="K2978" s="48" t="n">
        <f aca="false">K2960*Assumptions!$I$19*Assumptions!$I$34</f>
        <v>711.1152972</v>
      </c>
      <c r="L2978" s="48" t="n">
        <f aca="false">L2960*Assumptions!$I$19*Assumptions!$I$34</f>
        <v>711.1152972</v>
      </c>
      <c r="M2978" s="48" t="n">
        <f aca="false">M2960*Assumptions!$I$19*Assumptions!$I$34</f>
        <v>711.1152972</v>
      </c>
      <c r="N2978" s="48" t="n">
        <f aca="false">N2960*Assumptions!$I$19*Assumptions!$I$34</f>
        <v>711.1152972</v>
      </c>
      <c r="P2978" s="49"/>
      <c r="Q2978" s="49"/>
      <c r="R2978" s="49"/>
      <c r="S2978" s="50"/>
    </row>
    <row r="2979" customFormat="false" ht="15" hidden="false" customHeight="false" outlineLevel="0" collapsed="false">
      <c r="A2979" s="4" t="s">
        <v>512</v>
      </c>
      <c r="B2979" s="36" t="s">
        <v>77</v>
      </c>
      <c r="C2979" s="51" t="n">
        <f aca="false">IFERROR(C2976/(C2976+C2977+C2978),0)</f>
        <v>0.6693060734824</v>
      </c>
      <c r="D2979" s="51" t="n">
        <f aca="false">IFERROR(D2976/(D2976+D2977+D2978),0)</f>
        <v>0.6693060734824</v>
      </c>
      <c r="E2979" s="51" t="n">
        <f aca="false">IFERROR(E2976/(E2976+E2977+E2978),0)</f>
        <v>0.6693060734824</v>
      </c>
      <c r="F2979" s="51" t="n">
        <f aca="false">IFERROR(F2976/(F2976+F2977+F2978),0)</f>
        <v>0.670244899931759</v>
      </c>
      <c r="G2979" s="51" t="n">
        <f aca="false">IFERROR(G2976/(G2976+G2977+G2978),0)</f>
        <v>0.670718090955699</v>
      </c>
      <c r="H2979" s="51" t="n">
        <f aca="false">IFERROR(H2976/(H2976+H2977+H2978),0)</f>
        <v>0.660145061045957</v>
      </c>
      <c r="I2979" s="51" t="n">
        <f aca="false">IFERROR(I2976/(I2976+I2977+I2978),0)</f>
        <v>0.653336267275938</v>
      </c>
      <c r="J2979" s="51" t="n">
        <f aca="false">IFERROR(J2976/(J2976+J2977+J2978),0)</f>
        <v>0.653336267275938</v>
      </c>
      <c r="K2979" s="51" t="n">
        <f aca="false">IFERROR(K2976/(K2976+K2977+K2978),0)</f>
        <v>0.653336267275938</v>
      </c>
      <c r="L2979" s="51" t="n">
        <f aca="false">IFERROR(L2976/(L2976+L2977+L2978),0)</f>
        <v>0.653336267275938</v>
      </c>
      <c r="M2979" s="51" t="n">
        <f aca="false">IFERROR(M2976/(M2976+M2977+M2978),0)</f>
        <v>0.653336267275938</v>
      </c>
      <c r="N2979" s="51" t="n">
        <f aca="false">IFERROR(N2976/(N2976+N2977+N2978),0)</f>
        <v>0.653336267275938</v>
      </c>
      <c r="P2979" s="52"/>
      <c r="Q2979" s="52"/>
      <c r="R2979" s="52"/>
      <c r="S2979" s="53"/>
    </row>
    <row r="2980" customFormat="false" ht="15" hidden="false" customHeight="false" outlineLevel="0" collapsed="false">
      <c r="A2980" s="4" t="s">
        <v>513</v>
      </c>
      <c r="B2980" s="36" t="s">
        <v>77</v>
      </c>
      <c r="C2980" s="51" t="n">
        <f aca="false">IFERROR(C2977/(C2976+C2977+C2978),0)</f>
        <v>0.273464021634021</v>
      </c>
      <c r="D2980" s="51" t="n">
        <f aca="false">IFERROR(D2977/(D2976+D2977+D2978),0)</f>
        <v>0.273464021634021</v>
      </c>
      <c r="E2980" s="51" t="n">
        <f aca="false">IFERROR(E2977/(E2976+E2977+E2978),0)</f>
        <v>0.273464021634021</v>
      </c>
      <c r="F2980" s="51" t="n">
        <f aca="false">IFERROR(F2977/(F2976+F2977+F2978),0)</f>
        <v>0.274597717349364</v>
      </c>
      <c r="G2980" s="51" t="n">
        <f aca="false">IFERROR(G2977/(G2976+G2977+G2978),0)</f>
        <v>0.275169127152259</v>
      </c>
      <c r="H2980" s="51" t="n">
        <f aca="false">IFERROR(H2977/(H2976+H2977+H2978),0)</f>
        <v>0.28440985502276</v>
      </c>
      <c r="I2980" s="51" t="n">
        <f aca="false">IFERROR(I2977/(I2976+I2977+I2978),0)</f>
        <v>0.290360676205733</v>
      </c>
      <c r="J2980" s="51" t="n">
        <f aca="false">IFERROR(J2977/(J2976+J2977+J2978),0)</f>
        <v>0.290360676205733</v>
      </c>
      <c r="K2980" s="51" t="n">
        <f aca="false">IFERROR(K2977/(K2976+K2977+K2978),0)</f>
        <v>0.290360676205733</v>
      </c>
      <c r="L2980" s="51" t="n">
        <f aca="false">IFERROR(L2977/(L2976+L2977+L2978),0)</f>
        <v>0.290360676205733</v>
      </c>
      <c r="M2980" s="51" t="n">
        <f aca="false">IFERROR(M2977/(M2976+M2977+M2978),0)</f>
        <v>0.290360676205733</v>
      </c>
      <c r="N2980" s="51" t="n">
        <f aca="false">IFERROR(N2977/(N2976+N2977+N2978),0)</f>
        <v>0.290360676205733</v>
      </c>
      <c r="P2980" s="52"/>
      <c r="Q2980" s="52"/>
      <c r="R2980" s="52"/>
      <c r="S2980" s="53"/>
    </row>
    <row r="2981" customFormat="false" ht="15" hidden="false" customHeight="false" outlineLevel="0" collapsed="false">
      <c r="A2981" s="4" t="s">
        <v>514</v>
      </c>
      <c r="B2981" s="36" t="s">
        <v>77</v>
      </c>
      <c r="C2981" s="51" t="n">
        <f aca="false">IFERROR(C2978/(C2976+C2977+C2978),0)</f>
        <v>0.0572299048835788</v>
      </c>
      <c r="D2981" s="51" t="n">
        <f aca="false">IFERROR(D2978/(D2976+D2977+D2978),0)</f>
        <v>0.0572299048835788</v>
      </c>
      <c r="E2981" s="51" t="n">
        <f aca="false">IFERROR(E2978/(E2976+E2977+E2978),0)</f>
        <v>0.0572299048835788</v>
      </c>
      <c r="F2981" s="51" t="n">
        <f aca="false">IFERROR(F2978/(F2976+F2977+F2978),0)</f>
        <v>0.0551573827188768</v>
      </c>
      <c r="G2981" s="51" t="n">
        <f aca="false">IFERROR(G2978/(G2976+G2977+G2978),0)</f>
        <v>0.054112781892042</v>
      </c>
      <c r="H2981" s="51" t="n">
        <f aca="false">IFERROR(H2978/(H2976+H2977+H2978),0)</f>
        <v>0.0554450839312834</v>
      </c>
      <c r="I2981" s="51" t="n">
        <f aca="false">IFERROR(I2978/(I2976+I2977+I2978),0)</f>
        <v>0.0563030565183286</v>
      </c>
      <c r="J2981" s="51" t="n">
        <f aca="false">IFERROR(J2978/(J2976+J2977+J2978),0)</f>
        <v>0.0563030565183286</v>
      </c>
      <c r="K2981" s="51" t="n">
        <f aca="false">IFERROR(K2978/(K2976+K2977+K2978),0)</f>
        <v>0.0563030565183286</v>
      </c>
      <c r="L2981" s="51" t="n">
        <f aca="false">IFERROR(L2978/(L2976+L2977+L2978),0)</f>
        <v>0.0563030565183286</v>
      </c>
      <c r="M2981" s="51" t="n">
        <f aca="false">IFERROR(M2978/(M2976+M2977+M2978),0)</f>
        <v>0.0563030565183286</v>
      </c>
      <c r="N2981" s="51" t="n">
        <f aca="false">IFERROR(N2978/(N2976+N2977+N2978),0)</f>
        <v>0.0563030565183286</v>
      </c>
      <c r="P2981" s="52"/>
      <c r="Q2981" s="52"/>
      <c r="R2981" s="52"/>
      <c r="S2981" s="53"/>
    </row>
    <row r="2982" customFormat="false" ht="15" hidden="false" customHeight="false" outlineLevel="0" collapsed="false">
      <c r="A2982" s="4" t="s">
        <v>515</v>
      </c>
      <c r="B2982" s="36" t="s">
        <v>516</v>
      </c>
      <c r="C2982" s="48" t="n">
        <f aca="false">IF(C2950-Assumptions!$I$35&lt;1,0,INDEX($C$2975:$N$2975,1,C2950-Assumptions!$I$35)*INDEX($C$2979:$N$2979,1,C2950-Assumptions!$I$35)*Assumptions!$I$32)</f>
        <v>0</v>
      </c>
      <c r="D2982" s="48" t="n">
        <f aca="false">IF(D2950-Assumptions!$I$35&lt;1,0,INDEX($C$2975:$N$2975,1,D2950-Assumptions!$I$35)*INDEX($C$2979:$N$2979,1,D2950-Assumptions!$I$35)*Assumptions!$I$32)</f>
        <v>2.56610304432739</v>
      </c>
      <c r="E2982" s="48" t="n">
        <f aca="false">IF(E2950-Assumptions!$I$35&lt;1,0,INDEX($C$2975:$N$2975,1,E2950-Assumptions!$I$35)*INDEX($C$2979:$N$2979,1,E2950-Assumptions!$I$35)*Assumptions!$I$32)</f>
        <v>4.63051158945212</v>
      </c>
      <c r="F2982" s="48" t="n">
        <f aca="false">IF(F2950-Assumptions!$I$35&lt;1,0,INDEX($C$2975:$N$2975,1,F2950-Assumptions!$I$35)*INDEX($C$2979:$N$2979,1,F2950-Assumptions!$I$35)*Assumptions!$I$32)</f>
        <v>4.93597033322978</v>
      </c>
      <c r="G2982" s="48" t="n">
        <f aca="false">IF(G2950-Assumptions!$I$35&lt;1,0,INDEX($C$2975:$N$2975,1,G2950-Assumptions!$I$35)*INDEX($C$2979:$N$2979,1,G2950-Assumptions!$I$35)*Assumptions!$I$32)</f>
        <v>6.99206107592102</v>
      </c>
      <c r="H2982" s="48" t="n">
        <f aca="false">IF(H2950-Assumptions!$I$35&lt;1,0,INDEX($C$2975:$N$2975,1,H2950-Assumptions!$I$35)*INDEX($C$2979:$N$2979,1,H2950-Assumptions!$I$35)*Assumptions!$I$32)</f>
        <v>8.95244713872091</v>
      </c>
      <c r="I2982" s="48" t="n">
        <f aca="false">IF(I2950-Assumptions!$I$35&lt;1,0,INDEX($C$2975:$N$2975,1,I2950-Assumptions!$I$35)*INDEX($C$2979:$N$2979,1,I2950-Assumptions!$I$35)*Assumptions!$I$32)</f>
        <v>10.8837324325137</v>
      </c>
      <c r="J2982" s="48" t="n">
        <f aca="false">IF(J2950-Assumptions!$I$35&lt;1,0,INDEX($C$2975:$N$2975,1,J2950-Assumptions!$I$35)*INDEX($C$2979:$N$2979,1,J2950-Assumptions!$I$35)*Assumptions!$I$32)</f>
        <v>12.3333200519945</v>
      </c>
      <c r="K2982" s="48" t="n">
        <f aca="false">IF(K2950-Assumptions!$I$35&lt;1,0,INDEX($C$2975:$N$2975,1,K2950-Assumptions!$I$35)*INDEX($C$2979:$N$2979,1,K2950-Assumptions!$I$35)*Assumptions!$I$32)</f>
        <v>12.0714733013042</v>
      </c>
      <c r="L2982" s="48" t="n">
        <f aca="false">IF(L2950-Assumptions!$I$35&lt;1,0,INDEX($C$2975:$N$2975,1,L2950-Assumptions!$I$35)*INDEX($C$2979:$N$2979,1,L2950-Assumptions!$I$35)*Assumptions!$I$32)</f>
        <v>11.8200520865059</v>
      </c>
      <c r="M2982" s="48" t="n">
        <f aca="false">IF(M2950-Assumptions!$I$35&lt;1,0,INDEX($C$2975:$N$2975,1,M2950-Assumptions!$I$35)*INDEX($C$2979:$N$2979,1,M2950-Assumptions!$I$35)*Assumptions!$I$32)</f>
        <v>11.5786413106073</v>
      </c>
      <c r="N2982" s="48" t="n">
        <f aca="false">IF(N2950-Assumptions!$I$35&lt;1,0,INDEX($C$2975:$N$2975,1,N2950-Assumptions!$I$35)*INDEX($C$2979:$N$2979,1,N2950-Assumptions!$I$35)*Assumptions!$I$32)</f>
        <v>11.3468424038733</v>
      </c>
      <c r="P2982" s="49" t="n">
        <f aca="false">SUM(C2982:F2982)</f>
        <v>12.1325849670093</v>
      </c>
      <c r="Q2982" s="49" t="n">
        <f aca="false">SUM(G2982:J2982)</f>
        <v>39.1615606991502</v>
      </c>
      <c r="R2982" s="49" t="n">
        <f aca="false">SUM(K2982:N2982)</f>
        <v>46.8170091022907</v>
      </c>
      <c r="S2982" s="50" t="n">
        <f aca="false">SUM(P2982:R2982)</f>
        <v>98.1111547684501</v>
      </c>
    </row>
    <row r="2983" customFormat="false" ht="15" hidden="false" customHeight="false" outlineLevel="0" collapsed="false">
      <c r="A2983" s="4" t="s">
        <v>517</v>
      </c>
      <c r="B2983" s="36" t="s">
        <v>516</v>
      </c>
      <c r="C2983" s="48" t="n">
        <f aca="false">IF(C2950-Assumptions!$I$35&lt;1,0,INDEX($C$2975:$N$2975,1,C2950-Assumptions!$I$35)*INDEX($C$2980:$N$2980,1,C2950-Assumptions!$I$35)*Assumptions!$I$32)</f>
        <v>0</v>
      </c>
      <c r="D2983" s="48" t="n">
        <f aca="false">IF(D2950-Assumptions!$I$35&lt;1,0,INDEX($C$2975:$N$2975,1,D2950-Assumptions!$I$35)*INDEX($C$2980:$N$2980,1,D2950-Assumptions!$I$35)*Assumptions!$I$32)</f>
        <v>1.04845434134182</v>
      </c>
      <c r="E2983" s="48" t="n">
        <f aca="false">IF(E2950-Assumptions!$I$35&lt;1,0,INDEX($C$2975:$N$2975,1,E2950-Assumptions!$I$35)*INDEX($C$2980:$N$2980,1,E2950-Assumptions!$I$35)*Assumptions!$I$32)</f>
        <v>1.89192713415265</v>
      </c>
      <c r="F2983" s="48" t="n">
        <f aca="false">IF(F2950-Assumptions!$I$35&lt;1,0,INDEX($C$2975:$N$2975,1,F2950-Assumptions!$I$35)*INDEX($C$2980:$N$2980,1,F2950-Assumptions!$I$35)*Assumptions!$I$32)</f>
        <v>2.01673098671908</v>
      </c>
      <c r="G2983" s="48" t="n">
        <f aca="false">IF(G2950-Assumptions!$I$35&lt;1,0,INDEX($C$2975:$N$2975,1,G2950-Assumptions!$I$35)*INDEX($C$2980:$N$2980,1,G2950-Assumptions!$I$35)*Assumptions!$I$32)</f>
        <v>2.86463054207609</v>
      </c>
      <c r="H2983" s="48" t="n">
        <f aca="false">IF(H2950-Assumptions!$I$35&lt;1,0,INDEX($C$2975:$N$2975,1,H2950-Assumptions!$I$35)*INDEX($C$2980:$N$2980,1,H2950-Assumptions!$I$35)*Assumptions!$I$32)</f>
        <v>3.6728352764847</v>
      </c>
      <c r="I2983" s="48" t="n">
        <f aca="false">IF(I2950-Assumptions!$I$35&lt;1,0,INDEX($C$2975:$N$2975,1,I2950-Assumptions!$I$35)*INDEX($C$2980:$N$2980,1,I2950-Assumptions!$I$35)*Assumptions!$I$32)</f>
        <v>4.68903116283749</v>
      </c>
      <c r="J2983" s="48" t="n">
        <f aca="false">IF(J2950-Assumptions!$I$35&lt;1,0,INDEX($C$2975:$N$2975,1,J2950-Assumptions!$I$35)*INDEX($C$2980:$N$2980,1,J2950-Assumptions!$I$35)*Assumptions!$I$32)</f>
        <v>5.48126796188762</v>
      </c>
      <c r="K2983" s="48" t="n">
        <f aca="false">IF(K2950-Assumptions!$I$35&lt;1,0,INDEX($C$2975:$N$2975,1,K2950-Assumptions!$I$35)*INDEX($C$2980:$N$2980,1,K2950-Assumptions!$I$35)*Assumptions!$I$32)</f>
        <v>5.36489603612618</v>
      </c>
      <c r="L2983" s="48" t="n">
        <f aca="false">IF(L2950-Assumptions!$I$35&lt;1,0,INDEX($C$2975:$N$2975,1,L2950-Assumptions!$I$35)*INDEX($C$2980:$N$2980,1,L2950-Assumptions!$I$35)*Assumptions!$I$32)</f>
        <v>5.25315750637075</v>
      </c>
      <c r="M2983" s="48" t="n">
        <f aca="false">IF(M2950-Assumptions!$I$35&lt;1,0,INDEX($C$2975:$N$2975,1,M2950-Assumptions!$I$35)*INDEX($C$2980:$N$2980,1,M2950-Assumptions!$I$35)*Assumptions!$I$32)</f>
        <v>5.14586789205691</v>
      </c>
      <c r="N2983" s="48" t="n">
        <f aca="false">IF(N2950-Assumptions!$I$35&lt;1,0,INDEX($C$2975:$N$2975,1,N2950-Assumptions!$I$35)*INDEX($C$2980:$N$2980,1,N2950-Assumptions!$I$35)*Assumptions!$I$32)</f>
        <v>5.04285005778964</v>
      </c>
      <c r="P2983" s="49" t="n">
        <f aca="false">SUM(C2983:F2983)</f>
        <v>4.95711246221355</v>
      </c>
      <c r="Q2983" s="49" t="n">
        <f aca="false">SUM(G2983:J2983)</f>
        <v>16.7077649432859</v>
      </c>
      <c r="R2983" s="49" t="n">
        <f aca="false">SUM(K2983:N2983)</f>
        <v>20.8067714923435</v>
      </c>
      <c r="S2983" s="50" t="n">
        <f aca="false">SUM(P2983:R2983)</f>
        <v>42.4716488978429</v>
      </c>
    </row>
    <row r="2984" customFormat="false" ht="15" hidden="false" customHeight="false" outlineLevel="0" collapsed="false">
      <c r="A2984" s="4" t="s">
        <v>518</v>
      </c>
      <c r="B2984" s="36" t="s">
        <v>516</v>
      </c>
      <c r="C2984" s="48" t="n">
        <f aca="false">IF(C2950-Assumptions!$I$36&lt;1,0,INDEX($C$2975:$N$2975,1,C2950-Assumptions!$I$36)*INDEX($C$2981:$N$2981,1,C2950-Assumptions!$I$36)*Assumptions!$I$32)</f>
        <v>0</v>
      </c>
      <c r="D2984" s="48" t="n">
        <f aca="false">IF(D2950-Assumptions!$I$36&lt;1,0,INDEX($C$2975:$N$2975,1,D2950-Assumptions!$I$36)*INDEX($C$2981:$N$2981,1,D2950-Assumptions!$I$36)*Assumptions!$I$32)</f>
        <v>0</v>
      </c>
      <c r="E2984" s="48" t="n">
        <f aca="false">IF(E2950-Assumptions!$I$36&lt;1,0,INDEX($C$2975:$N$2975,1,E2950-Assumptions!$I$36)*INDEX($C$2981:$N$2981,1,E2950-Assumptions!$I$36)*Assumptions!$I$32)</f>
        <v>0.219418049479541</v>
      </c>
      <c r="F2984" s="48" t="n">
        <f aca="false">IF(F2950-Assumptions!$I$36&lt;1,0,INDEX($C$2975:$N$2975,1,F2950-Assumptions!$I$36)*INDEX($C$2981:$N$2981,1,F2950-Assumptions!$I$36)*Assumptions!$I$32)</f>
        <v>0.395938044380562</v>
      </c>
      <c r="G2984" s="48" t="n">
        <f aca="false">IF(G2950-Assumptions!$I$36&lt;1,0,INDEX($C$2975:$N$2975,1,G2950-Assumptions!$I$36)*INDEX($C$2981:$N$2981,1,G2950-Assumptions!$I$36)*Assumptions!$I$32)</f>
        <v>0.422056700022363</v>
      </c>
      <c r="H2984" s="48" t="n">
        <f aca="false">IF(H2950-Assumptions!$I$36&lt;1,0,INDEX($C$2975:$N$2975,1,H2950-Assumptions!$I$36)*INDEX($C$2981:$N$2981,1,H2950-Assumptions!$I$36)*Assumptions!$I$32)</f>
        <v>0.575407270980509</v>
      </c>
      <c r="I2984" s="48" t="n">
        <f aca="false">IF(I2950-Assumptions!$I$36&lt;1,0,INDEX($C$2975:$N$2975,1,I2950-Assumptions!$I$36)*INDEX($C$2981:$N$2981,1,I2950-Assumptions!$I$36)*Assumptions!$I$32)</f>
        <v>0.722273375282549</v>
      </c>
      <c r="J2984" s="48" t="n">
        <f aca="false">IF(J2950-Assumptions!$I$36&lt;1,0,INDEX($C$2975:$N$2975,1,J2950-Assumptions!$I$36)*INDEX($C$2981:$N$2981,1,J2950-Assumptions!$I$36)*Assumptions!$I$32)</f>
        <v>0.914116447755028</v>
      </c>
      <c r="K2984" s="48" t="n">
        <f aca="false">IF(K2950-Assumptions!$I$36&lt;1,0,INDEX($C$2975:$N$2975,1,K2950-Assumptions!$I$36)*INDEX($C$2981:$N$2981,1,K2950-Assumptions!$I$36)*Assumptions!$I$32)</f>
        <v>1.06285790446223</v>
      </c>
      <c r="L2984" s="48" t="n">
        <f aca="false">IF(L2950-Assumptions!$I$36&lt;1,0,INDEX($C$2975:$N$2975,1,L2950-Assumptions!$I$36)*INDEX($C$2981:$N$2981,1,L2950-Assumptions!$I$36)*Assumptions!$I$32)</f>
        <v>1.040292537833</v>
      </c>
      <c r="M2984" s="48" t="n">
        <f aca="false">IF(M2950-Assumptions!$I$36&lt;1,0,INDEX($C$2975:$N$2975,1,M2950-Assumptions!$I$36)*INDEX($C$2981:$N$2981,1,M2950-Assumptions!$I$36)*Assumptions!$I$32)</f>
        <v>1.01862562054136</v>
      </c>
      <c r="N2984" s="48" t="n">
        <f aca="false">IF(N2950-Assumptions!$I$36&lt;1,0,INDEX($C$2975:$N$2975,1,N2950-Assumptions!$I$36)*INDEX($C$2981:$N$2981,1,N2950-Assumptions!$I$36)*Assumptions!$I$32)</f>
        <v>0.997821380458033</v>
      </c>
      <c r="P2984" s="49" t="n">
        <f aca="false">SUM(C2984:F2984)</f>
        <v>0.615356093860103</v>
      </c>
      <c r="Q2984" s="49" t="n">
        <f aca="false">SUM(G2984:J2984)</f>
        <v>2.63385379404045</v>
      </c>
      <c r="R2984" s="49" t="n">
        <f aca="false">SUM(K2984:N2984)</f>
        <v>4.11959744329463</v>
      </c>
      <c r="S2984" s="50" t="n">
        <f aca="false">SUM(P2984:R2984)</f>
        <v>7.36880733119518</v>
      </c>
    </row>
    <row r="2985" customFormat="false" ht="15" hidden="false" customHeight="false" outlineLevel="0" collapsed="false">
      <c r="A2985" s="4" t="s">
        <v>519</v>
      </c>
      <c r="B2985" s="36" t="s">
        <v>77</v>
      </c>
      <c r="C2985" s="51" t="n">
        <f aca="false">IF(C2950-Assumptions!$I$35&lt;1,0,IFERROR(INDEX($C$2974:$N$2974,1,C2950-Assumptions!$I$35)/INDEX($C$2975:$N$2975,1,C2950-Assumptions!$I$35),0))</f>
        <v>0</v>
      </c>
      <c r="D2985" s="51" t="n">
        <f aca="false">IF(D2950-Assumptions!$I$35&lt;1,0,IFERROR(INDEX($C$2974:$N$2974,1,D2950-Assumptions!$I$35)/INDEX($C$2975:$N$2975,1,D2950-Assumptions!$I$35),0))</f>
        <v>0.31299105075081</v>
      </c>
      <c r="E2985" s="51" t="n">
        <f aca="false">IF(E2950-Assumptions!$I$35&lt;1,0,IFERROR(INDEX($C$2974:$N$2974,1,E2950-Assumptions!$I$35)/INDEX($C$2975:$N$2975,1,E2950-Assumptions!$I$35),0))</f>
        <v>0.260176636856418</v>
      </c>
      <c r="F2985" s="51" t="n">
        <f aca="false">IF(F2950-Assumptions!$I$35&lt;1,0,IFERROR(INDEX($C$2974:$N$2974,1,F2950-Assumptions!$I$35)/INDEX($C$2975:$N$2975,1,F2950-Assumptions!$I$35),0))</f>
        <v>0.325434406593501</v>
      </c>
      <c r="G2985" s="51" t="n">
        <f aca="false">IF(G2950-Assumptions!$I$35&lt;1,0,IFERROR(INDEX($C$2974:$N$2974,1,G2950-Assumptions!$I$35)/INDEX($C$2975:$N$2975,1,G2950-Assumptions!$I$35),0))</f>
        <v>0.287573961091353</v>
      </c>
      <c r="H2985" s="51" t="n">
        <f aca="false">IF(H2950-Assumptions!$I$35&lt;1,0,IFERROR(INDEX($C$2974:$N$2974,1,H2950-Assumptions!$I$35)/INDEX($C$2975:$N$2975,1,H2950-Assumptions!$I$35),0))</f>
        <v>0.269712302125417</v>
      </c>
      <c r="I2985" s="51" t="n">
        <f aca="false">IF(I2950-Assumptions!$I$35&lt;1,0,IFERROR(INDEX($C$2974:$N$2974,1,I2950-Assumptions!$I$35)/INDEX($C$2975:$N$2975,1,I2950-Assumptions!$I$35),0))</f>
        <v>0.254748017151745</v>
      </c>
      <c r="J2985" s="51" t="n">
        <f aca="false">IF(J2950-Assumptions!$I$35&lt;1,0,IFERROR(INDEX($C$2974:$N$2974,1,J2950-Assumptions!$I$35)/INDEX($C$2975:$N$2975,1,J2950-Assumptions!$I$35),0))</f>
        <v>0.222487725202201</v>
      </c>
      <c r="K2985" s="51" t="n">
        <f aca="false">IF(K2950-Assumptions!$I$35&lt;1,0,IFERROR(INDEX($C$2974:$N$2974,1,K2950-Assumptions!$I$35)/INDEX($C$2975:$N$2975,1,K2950-Assumptions!$I$35),0))</f>
        <v>0.227313787975033</v>
      </c>
      <c r="L2985" s="51" t="n">
        <f aca="false">IF(L2950-Assumptions!$I$35&lt;1,0,IFERROR(INDEX($C$2974:$N$2974,1,L2950-Assumptions!$I$35)/INDEX($C$2975:$N$2975,1,L2950-Assumptions!$I$35),0))</f>
        <v>0.232148919689752</v>
      </c>
      <c r="M2985" s="51" t="n">
        <f aca="false">IF(M2950-Assumptions!$I$35&lt;1,0,IFERROR(INDEX($C$2974:$N$2974,1,M2950-Assumptions!$I$35)/INDEX($C$2975:$N$2975,1,M2950-Assumptions!$I$35),0))</f>
        <v>0.236989146562916</v>
      </c>
      <c r="N2985" s="51" t="n">
        <f aca="false">IF(N2950-Assumptions!$I$35&lt;1,0,IFERROR(INDEX($C$2974:$N$2974,1,N2950-Assumptions!$I$35)/INDEX($C$2975:$N$2975,1,N2950-Assumptions!$I$35),0))</f>
        <v>0.241830478021116</v>
      </c>
      <c r="P2985" s="52"/>
      <c r="Q2985" s="52"/>
      <c r="R2985" s="52"/>
      <c r="S2985" s="53"/>
    </row>
    <row r="2986" customFormat="false" ht="15" hidden="false" customHeight="false" outlineLevel="0" collapsed="false">
      <c r="A2986" s="4" t="s">
        <v>520</v>
      </c>
      <c r="B2986" s="36" t="s">
        <v>516</v>
      </c>
      <c r="C2986" s="48" t="n">
        <f aca="false">C2982*Assumptions!$I$37</f>
        <v>0</v>
      </c>
      <c r="D2986" s="48" t="n">
        <f aca="false">D2982*Assumptions!$I$37</f>
        <v>1.53966182659643</v>
      </c>
      <c r="E2986" s="48" t="n">
        <f aca="false">E2982*Assumptions!$I$37</f>
        <v>2.77830695367127</v>
      </c>
      <c r="F2986" s="48" t="n">
        <f aca="false">F2982*Assumptions!$I$37</f>
        <v>2.96158219993787</v>
      </c>
      <c r="G2986" s="48" t="n">
        <f aca="false">G2982*Assumptions!$I$37</f>
        <v>4.19523664555261</v>
      </c>
      <c r="H2986" s="48" t="n">
        <f aca="false">H2982*Assumptions!$I$37</f>
        <v>5.37146828323255</v>
      </c>
      <c r="I2986" s="48" t="n">
        <f aca="false">I2982*Assumptions!$I$37</f>
        <v>6.53023945950825</v>
      </c>
      <c r="J2986" s="48" t="n">
        <f aca="false">J2982*Assumptions!$I$37</f>
        <v>7.39999203119669</v>
      </c>
      <c r="K2986" s="48" t="n">
        <f aca="false">K2982*Assumptions!$I$37</f>
        <v>7.24288398078254</v>
      </c>
      <c r="L2986" s="48" t="n">
        <f aca="false">L2982*Assumptions!$I$37</f>
        <v>7.09203125190354</v>
      </c>
      <c r="M2986" s="48" t="n">
        <f aca="false">M2982*Assumptions!$I$37</f>
        <v>6.94718478636436</v>
      </c>
      <c r="N2986" s="48" t="n">
        <f aca="false">N2982*Assumptions!$I$37</f>
        <v>6.80810544232397</v>
      </c>
      <c r="P2986" s="49" t="n">
        <f aca="false">SUM(C2986:F2986)</f>
        <v>7.27955098020558</v>
      </c>
      <c r="Q2986" s="49" t="n">
        <f aca="false">SUM(G2986:J2986)</f>
        <v>23.4969364194901</v>
      </c>
      <c r="R2986" s="49" t="n">
        <f aca="false">SUM(K2986:N2986)</f>
        <v>28.0902054613744</v>
      </c>
      <c r="S2986" s="50" t="n">
        <f aca="false">SUM(P2986:R2986)</f>
        <v>58.8666928610701</v>
      </c>
    </row>
    <row r="2987" customFormat="false" ht="15" hidden="false" customHeight="false" outlineLevel="0" collapsed="false">
      <c r="A2987" s="4" t="s">
        <v>521</v>
      </c>
      <c r="B2987" s="36" t="s">
        <v>516</v>
      </c>
      <c r="C2987" s="48" t="n">
        <f aca="false">C2982*(1-Assumptions!$I$37)</f>
        <v>0</v>
      </c>
      <c r="D2987" s="48" t="n">
        <f aca="false">D2982*(1-Assumptions!$I$37)</f>
        <v>1.02644121773096</v>
      </c>
      <c r="E2987" s="48" t="n">
        <f aca="false">E2982*(1-Assumptions!$I$37)</f>
        <v>1.85220463578085</v>
      </c>
      <c r="F2987" s="48" t="n">
        <f aca="false">F2982*(1-Assumptions!$I$37)</f>
        <v>1.97438813329191</v>
      </c>
      <c r="G2987" s="48" t="n">
        <f aca="false">G2982*(1-Assumptions!$I$37)</f>
        <v>2.79682443036841</v>
      </c>
      <c r="H2987" s="48" t="n">
        <f aca="false">H2982*(1-Assumptions!$I$37)</f>
        <v>3.58097885548836</v>
      </c>
      <c r="I2987" s="48" t="n">
        <f aca="false">I2982*(1-Assumptions!$I$37)</f>
        <v>4.3534929730055</v>
      </c>
      <c r="J2987" s="48" t="n">
        <f aca="false">J2982*(1-Assumptions!$I$37)</f>
        <v>4.93332802079779</v>
      </c>
      <c r="K2987" s="48" t="n">
        <f aca="false">K2982*(1-Assumptions!$I$37)</f>
        <v>4.8285893205217</v>
      </c>
      <c r="L2987" s="48" t="n">
        <f aca="false">L2982*(1-Assumptions!$I$37)</f>
        <v>4.72802083460236</v>
      </c>
      <c r="M2987" s="48" t="n">
        <f aca="false">M2982*(1-Assumptions!$I$37)</f>
        <v>4.63145652424291</v>
      </c>
      <c r="N2987" s="48" t="n">
        <f aca="false">N2982*(1-Assumptions!$I$37)</f>
        <v>4.53873696154931</v>
      </c>
      <c r="P2987" s="49" t="n">
        <f aca="false">SUM(C2987:F2987)</f>
        <v>4.85303398680372</v>
      </c>
      <c r="Q2987" s="49" t="n">
        <f aca="false">SUM(G2987:J2987)</f>
        <v>15.6646242796601</v>
      </c>
      <c r="R2987" s="49" t="n">
        <f aca="false">SUM(K2987:N2987)</f>
        <v>18.7268036409163</v>
      </c>
      <c r="S2987" s="50" t="n">
        <f aca="false">SUM(P2987:R2987)</f>
        <v>39.2444619073801</v>
      </c>
    </row>
    <row r="2988" customFormat="false" ht="15" hidden="false" customHeight="false" outlineLevel="0" collapsed="false">
      <c r="A2988" s="4" t="s">
        <v>522</v>
      </c>
      <c r="B2988" s="36" t="s">
        <v>125</v>
      </c>
      <c r="C2988" s="54" t="n">
        <f aca="false">C2987*$C$2941+C2983*$C$2942+C2984*$C$2943</f>
        <v>0</v>
      </c>
      <c r="D2988" s="54" t="n">
        <f aca="false">D2987*$C$2941+D2983*$C$2942+D2984*$C$2943</f>
        <v>11104.8410321575</v>
      </c>
      <c r="E2988" s="54" t="n">
        <f aca="false">E2987*$C$2941+E2983*$C$2942+E2984*$C$2943</f>
        <v>29761.0070051225</v>
      </c>
      <c r="F2988" s="54" t="n">
        <f aca="false">F2987*$C$2941+F2983*$C$2942+F2984*$C$2943</f>
        <v>38904.4842768015</v>
      </c>
      <c r="G2988" s="54" t="n">
        <f aca="false">G2987*$C$2941+G2983*$C$2942+G2984*$C$2943</f>
        <v>49001.4393905139</v>
      </c>
      <c r="H2988" s="54" t="n">
        <f aca="false">H2987*$C$2941+H2983*$C$2942+H2984*$C$2943</f>
        <v>64318.7094114662</v>
      </c>
      <c r="I2988" s="54" t="n">
        <f aca="false">I2987*$C$2941+I2983*$C$2942+I2984*$C$2943</f>
        <v>80399.5224338014</v>
      </c>
      <c r="J2988" s="54" t="n">
        <f aca="false">J2987*$C$2941+J2983*$C$2942+J2984*$C$2943</f>
        <v>96243.4174993576</v>
      </c>
      <c r="K2988" s="54" t="n">
        <f aca="false">K2987*$C$2941+K2983*$C$2942+K2984*$C$2943</f>
        <v>101650.767375501</v>
      </c>
      <c r="L2988" s="54" t="n">
        <f aca="false">L2987*$C$2941+L2983*$C$2942+L2984*$C$2943</f>
        <v>99514.6288322685</v>
      </c>
      <c r="M2988" s="54" t="n">
        <f aca="false">M2987*$C$2941+M2983*$C$2942+M2984*$C$2943</f>
        <v>97463.5415222244</v>
      </c>
      <c r="N2988" s="54" t="n">
        <f aca="false">N2987*$C$2941+N2983*$C$2942+N2984*$C$2943</f>
        <v>95494.1190955975</v>
      </c>
      <c r="P2988" s="55" t="n">
        <f aca="false">SUM(C2988:F2988)</f>
        <v>79770.3323140816</v>
      </c>
      <c r="Q2988" s="55" t="n">
        <f aca="false">SUM(G2988:J2988)</f>
        <v>289963.088735139</v>
      </c>
      <c r="R2988" s="55" t="n">
        <f aca="false">SUM(K2988:N2988)</f>
        <v>394123.056825591</v>
      </c>
      <c r="S2988" s="56" t="n">
        <f aca="false">SUM(P2988:R2988)</f>
        <v>763856.477874812</v>
      </c>
    </row>
    <row r="2989" customFormat="false" ht="15" hidden="false" customHeight="false" outlineLevel="0" collapsed="false">
      <c r="A2989" s="4" t="s">
        <v>523</v>
      </c>
      <c r="B2989" s="36" t="s">
        <v>125</v>
      </c>
      <c r="C2989" s="54" t="n">
        <f aca="false">(C2965+Assumptions!$F$104*C2951)*$C$2946</f>
        <v>371875</v>
      </c>
      <c r="D2989" s="54" t="n">
        <f aca="false">(D2965+Assumptions!$F$104*D2951)*$C$2946</f>
        <v>371875</v>
      </c>
      <c r="E2989" s="54" t="n">
        <f aca="false">(E2965+Assumptions!$F$104*E2951)*$C$2946</f>
        <v>371875</v>
      </c>
      <c r="F2989" s="54" t="n">
        <f aca="false">(F2965+Assumptions!$F$104*F2951)*$C$2946</f>
        <v>371875</v>
      </c>
      <c r="G2989" s="54" t="n">
        <f aca="false">(G2965+Assumptions!$F$104*G2951)*$C$2946</f>
        <v>371875</v>
      </c>
      <c r="H2989" s="54" t="n">
        <f aca="false">(H2965+Assumptions!$F$104*H2951)*$C$2946</f>
        <v>371875</v>
      </c>
      <c r="I2989" s="54" t="n">
        <f aca="false">(I2965+Assumptions!$F$104*I2951)*$C$2946</f>
        <v>371875</v>
      </c>
      <c r="J2989" s="54" t="n">
        <f aca="false">(J2965+Assumptions!$F$104*J2951)*$C$2946</f>
        <v>371875</v>
      </c>
      <c r="K2989" s="54" t="n">
        <f aca="false">(K2965+Assumptions!$F$104*K2951)*$C$2946</f>
        <v>371875</v>
      </c>
      <c r="L2989" s="54" t="n">
        <f aca="false">(L2965+Assumptions!$F$104*L2951)*$C$2946</f>
        <v>371875</v>
      </c>
      <c r="M2989" s="54" t="n">
        <f aca="false">(M2965+Assumptions!$F$104*M2951)*$C$2946</f>
        <v>371875</v>
      </c>
      <c r="N2989" s="54" t="n">
        <f aca="false">(N2965+Assumptions!$F$104*N2951)*$C$2946</f>
        <v>371875</v>
      </c>
      <c r="P2989" s="55" t="n">
        <f aca="false">SUM(C2989:F2989)</f>
        <v>1487500</v>
      </c>
      <c r="Q2989" s="55" t="n">
        <f aca="false">SUM(G2989:J2989)</f>
        <v>1487500</v>
      </c>
      <c r="R2989" s="55" t="n">
        <f aca="false">SUM(K2989:N2989)</f>
        <v>1487500</v>
      </c>
      <c r="S2989" s="56" t="n">
        <f aca="false">SUM(P2989:R2989)</f>
        <v>4462500</v>
      </c>
    </row>
    <row r="2990" customFormat="false" ht="15" hidden="false" customHeight="false" outlineLevel="0" collapsed="false">
      <c r="A2990" s="4" t="s">
        <v>524</v>
      </c>
      <c r="B2990" s="36" t="s">
        <v>77</v>
      </c>
      <c r="C2990" s="51" t="n">
        <f aca="false">IF(C2988&gt;0,MIN(1,C2989/C2988),1)</f>
        <v>1</v>
      </c>
      <c r="D2990" s="51" t="n">
        <f aca="false">IF(D2988&gt;0,MIN(1,D2989/D2988),1)</f>
        <v>1</v>
      </c>
      <c r="E2990" s="51" t="n">
        <f aca="false">IF(E2988&gt;0,MIN(1,E2989/E2988),1)</f>
        <v>1</v>
      </c>
      <c r="F2990" s="51" t="n">
        <f aca="false">IF(F2988&gt;0,MIN(1,F2989/F2988),1)</f>
        <v>1</v>
      </c>
      <c r="G2990" s="51" t="n">
        <f aca="false">IF(G2988&gt;0,MIN(1,G2989/G2988),1)</f>
        <v>1</v>
      </c>
      <c r="H2990" s="51" t="n">
        <f aca="false">IF(H2988&gt;0,MIN(1,H2989/H2988),1)</f>
        <v>1</v>
      </c>
      <c r="I2990" s="51" t="n">
        <f aca="false">IF(I2988&gt;0,MIN(1,I2989/I2988),1)</f>
        <v>1</v>
      </c>
      <c r="J2990" s="51" t="n">
        <f aca="false">IF(J2988&gt;0,MIN(1,J2989/J2988),1)</f>
        <v>1</v>
      </c>
      <c r="K2990" s="51" t="n">
        <f aca="false">IF(K2988&gt;0,MIN(1,K2989/K2988),1)</f>
        <v>1</v>
      </c>
      <c r="L2990" s="51" t="n">
        <f aca="false">IF(L2988&gt;0,MIN(1,L2989/L2988),1)</f>
        <v>1</v>
      </c>
      <c r="M2990" s="51" t="n">
        <f aca="false">IF(M2988&gt;0,MIN(1,M2989/M2988),1)</f>
        <v>1</v>
      </c>
      <c r="N2990" s="51" t="n">
        <f aca="false">IF(N2988&gt;0,MIN(1,N2989/N2988),1)</f>
        <v>1</v>
      </c>
      <c r="P2990" s="52"/>
      <c r="Q2990" s="52"/>
      <c r="R2990" s="52"/>
      <c r="S2990" s="53"/>
    </row>
    <row r="2991" customFormat="false" ht="15" hidden="false" customHeight="false" outlineLevel="0" collapsed="false">
      <c r="A2991" s="4" t="s">
        <v>525</v>
      </c>
      <c r="B2991" s="36" t="s">
        <v>125</v>
      </c>
      <c r="C2991" s="54" t="n">
        <f aca="false">C2988*(1-C2990)</f>
        <v>0</v>
      </c>
      <c r="D2991" s="54" t="n">
        <f aca="false">D2988*(1-D2990)</f>
        <v>0</v>
      </c>
      <c r="E2991" s="54" t="n">
        <f aca="false">E2988*(1-E2990)</f>
        <v>0</v>
      </c>
      <c r="F2991" s="54" t="n">
        <f aca="false">F2988*(1-F2990)</f>
        <v>0</v>
      </c>
      <c r="G2991" s="54" t="n">
        <f aca="false">G2988*(1-G2990)</f>
        <v>0</v>
      </c>
      <c r="H2991" s="54" t="n">
        <f aca="false">H2988*(1-H2990)</f>
        <v>0</v>
      </c>
      <c r="I2991" s="54" t="n">
        <f aca="false">I2988*(1-I2990)</f>
        <v>0</v>
      </c>
      <c r="J2991" s="54" t="n">
        <f aca="false">J2988*(1-J2990)</f>
        <v>0</v>
      </c>
      <c r="K2991" s="54" t="n">
        <f aca="false">K2988*(1-K2990)</f>
        <v>0</v>
      </c>
      <c r="L2991" s="54" t="n">
        <f aca="false">L2988*(1-L2990)</f>
        <v>0</v>
      </c>
      <c r="M2991" s="54" t="n">
        <f aca="false">M2988*(1-M2990)</f>
        <v>0</v>
      </c>
      <c r="N2991" s="54" t="n">
        <f aca="false">N2988*(1-N2990)</f>
        <v>0</v>
      </c>
      <c r="P2991" s="55" t="n">
        <f aca="false">SUM(C2991:F2991)</f>
        <v>0</v>
      </c>
      <c r="Q2991" s="55" t="n">
        <f aca="false">SUM(G2991:J2991)</f>
        <v>0</v>
      </c>
      <c r="R2991" s="55" t="n">
        <f aca="false">SUM(K2991:N2991)</f>
        <v>0</v>
      </c>
      <c r="S2991" s="56" t="n">
        <f aca="false">SUM(P2991:R2991)</f>
        <v>0</v>
      </c>
    </row>
    <row r="2992" customFormat="false" ht="15" hidden="false" customHeight="false" outlineLevel="0" collapsed="false">
      <c r="A2992" s="4" t="s">
        <v>526</v>
      </c>
      <c r="B2992" s="36" t="s">
        <v>527</v>
      </c>
      <c r="C2992" s="48" t="n">
        <f aca="false">C2986+C2987*C2990</f>
        <v>0</v>
      </c>
      <c r="D2992" s="48" t="n">
        <f aca="false">D2986+D2987*D2990</f>
        <v>2.56610304432739</v>
      </c>
      <c r="E2992" s="48" t="n">
        <f aca="false">E2986+E2987*E2990</f>
        <v>4.63051158945212</v>
      </c>
      <c r="F2992" s="48" t="n">
        <f aca="false">F2986+F2987*F2990</f>
        <v>4.93597033322978</v>
      </c>
      <c r="G2992" s="48" t="n">
        <f aca="false">G2986+G2987*G2990</f>
        <v>6.99206107592102</v>
      </c>
      <c r="H2992" s="48" t="n">
        <f aca="false">H2986+H2987*H2990</f>
        <v>8.95244713872091</v>
      </c>
      <c r="I2992" s="48" t="n">
        <f aca="false">I2986+I2987*I2990</f>
        <v>10.8837324325137</v>
      </c>
      <c r="J2992" s="48" t="n">
        <f aca="false">J2986+J2987*J2990</f>
        <v>12.3333200519945</v>
      </c>
      <c r="K2992" s="48" t="n">
        <f aca="false">K2986+K2987*K2990</f>
        <v>12.0714733013042</v>
      </c>
      <c r="L2992" s="48" t="n">
        <f aca="false">L2986+L2987*L2990</f>
        <v>11.8200520865059</v>
      </c>
      <c r="M2992" s="48" t="n">
        <f aca="false">M2986+M2987*M2990</f>
        <v>11.5786413106073</v>
      </c>
      <c r="N2992" s="48" t="n">
        <f aca="false">N2986+N2987*N2990</f>
        <v>11.3468424038733</v>
      </c>
      <c r="P2992" s="49" t="n">
        <f aca="false">SUM(C2992:F2992)</f>
        <v>12.1325849670093</v>
      </c>
      <c r="Q2992" s="49" t="n">
        <f aca="false">SUM(G2992:J2992)</f>
        <v>39.1615606991501</v>
      </c>
      <c r="R2992" s="49" t="n">
        <f aca="false">SUM(K2992:N2992)</f>
        <v>46.8170091022907</v>
      </c>
      <c r="S2992" s="50" t="n">
        <f aca="false">SUM(P2992:R2992)</f>
        <v>98.1111547684501</v>
      </c>
    </row>
    <row r="2993" customFormat="false" ht="15" hidden="false" customHeight="false" outlineLevel="0" collapsed="false">
      <c r="A2993" s="4" t="s">
        <v>528</v>
      </c>
      <c r="B2993" s="36" t="s">
        <v>527</v>
      </c>
      <c r="C2993" s="48" t="n">
        <f aca="false">C2983*C2990</f>
        <v>0</v>
      </c>
      <c r="D2993" s="48" t="n">
        <f aca="false">D2983*D2990</f>
        <v>1.04845434134182</v>
      </c>
      <c r="E2993" s="48" t="n">
        <f aca="false">E2983*E2990</f>
        <v>1.89192713415265</v>
      </c>
      <c r="F2993" s="48" t="n">
        <f aca="false">F2983*F2990</f>
        <v>2.01673098671908</v>
      </c>
      <c r="G2993" s="48" t="n">
        <f aca="false">G2983*G2990</f>
        <v>2.86463054207609</v>
      </c>
      <c r="H2993" s="48" t="n">
        <f aca="false">H2983*H2990</f>
        <v>3.6728352764847</v>
      </c>
      <c r="I2993" s="48" t="n">
        <f aca="false">I2983*I2990</f>
        <v>4.68903116283749</v>
      </c>
      <c r="J2993" s="48" t="n">
        <f aca="false">J2983*J2990</f>
        <v>5.48126796188762</v>
      </c>
      <c r="K2993" s="48" t="n">
        <f aca="false">K2983*K2990</f>
        <v>5.36489603612618</v>
      </c>
      <c r="L2993" s="48" t="n">
        <f aca="false">L2983*L2990</f>
        <v>5.25315750637075</v>
      </c>
      <c r="M2993" s="48" t="n">
        <f aca="false">M2983*M2990</f>
        <v>5.14586789205691</v>
      </c>
      <c r="N2993" s="48" t="n">
        <f aca="false">N2983*N2990</f>
        <v>5.04285005778964</v>
      </c>
      <c r="P2993" s="49" t="n">
        <f aca="false">SUM(C2993:F2993)</f>
        <v>4.95711246221355</v>
      </c>
      <c r="Q2993" s="49" t="n">
        <f aca="false">SUM(G2993:J2993)</f>
        <v>16.7077649432859</v>
      </c>
      <c r="R2993" s="49" t="n">
        <f aca="false">SUM(K2993:N2993)</f>
        <v>20.8067714923435</v>
      </c>
      <c r="S2993" s="50" t="n">
        <f aca="false">SUM(P2993:R2993)</f>
        <v>42.4716488978429</v>
      </c>
    </row>
    <row r="2994" customFormat="false" ht="15" hidden="false" customHeight="false" outlineLevel="0" collapsed="false">
      <c r="A2994" s="4" t="s">
        <v>529</v>
      </c>
      <c r="B2994" s="36" t="s">
        <v>527</v>
      </c>
      <c r="C2994" s="48" t="n">
        <f aca="false">C2984*C2990</f>
        <v>0</v>
      </c>
      <c r="D2994" s="48" t="n">
        <f aca="false">D2984*D2990</f>
        <v>0</v>
      </c>
      <c r="E2994" s="48" t="n">
        <f aca="false">E2984*E2990</f>
        <v>0.219418049479541</v>
      </c>
      <c r="F2994" s="48" t="n">
        <f aca="false">F2984*F2990</f>
        <v>0.395938044380562</v>
      </c>
      <c r="G2994" s="48" t="n">
        <f aca="false">G2984*G2990</f>
        <v>0.422056700022363</v>
      </c>
      <c r="H2994" s="48" t="n">
        <f aca="false">H2984*H2990</f>
        <v>0.575407270980509</v>
      </c>
      <c r="I2994" s="48" t="n">
        <f aca="false">I2984*I2990</f>
        <v>0.722273375282549</v>
      </c>
      <c r="J2994" s="48" t="n">
        <f aca="false">J2984*J2990</f>
        <v>0.914116447755028</v>
      </c>
      <c r="K2994" s="48" t="n">
        <f aca="false">K2984*K2990</f>
        <v>1.06285790446223</v>
      </c>
      <c r="L2994" s="48" t="n">
        <f aca="false">L2984*L2990</f>
        <v>1.040292537833</v>
      </c>
      <c r="M2994" s="48" t="n">
        <f aca="false">M2984*M2990</f>
        <v>1.01862562054136</v>
      </c>
      <c r="N2994" s="48" t="n">
        <f aca="false">N2984*N2990</f>
        <v>0.997821380458033</v>
      </c>
      <c r="P2994" s="49" t="n">
        <f aca="false">SUM(C2994:F2994)</f>
        <v>0.615356093860103</v>
      </c>
      <c r="Q2994" s="49" t="n">
        <f aca="false">SUM(G2994:J2994)</f>
        <v>2.63385379404045</v>
      </c>
      <c r="R2994" s="49" t="n">
        <f aca="false">SUM(K2994:N2994)</f>
        <v>4.11959744329463</v>
      </c>
      <c r="S2994" s="50" t="n">
        <f aca="false">SUM(P2994:R2994)</f>
        <v>7.36880733119518</v>
      </c>
    </row>
    <row r="2995" customFormat="false" ht="15" hidden="false" customHeight="false" outlineLevel="0" collapsed="false">
      <c r="A2995" s="9" t="s">
        <v>530</v>
      </c>
      <c r="B2995" s="36" t="s">
        <v>527</v>
      </c>
      <c r="C2995" s="49" t="n">
        <f aca="false">C2992+C2993+C2994</f>
        <v>0</v>
      </c>
      <c r="D2995" s="49" t="n">
        <f aca="false">D2992+D2993+D2994</f>
        <v>3.61455738566921</v>
      </c>
      <c r="E2995" s="49" t="n">
        <f aca="false">E2992+E2993+E2994</f>
        <v>6.74185677308431</v>
      </c>
      <c r="F2995" s="49" t="n">
        <f aca="false">F2992+F2993+F2994</f>
        <v>7.34863936432943</v>
      </c>
      <c r="G2995" s="49" t="n">
        <f aca="false">G2992+G2993+G2994</f>
        <v>10.2787483180195</v>
      </c>
      <c r="H2995" s="49" t="n">
        <f aca="false">H2992+H2993+H2994</f>
        <v>13.2006896861861</v>
      </c>
      <c r="I2995" s="49" t="n">
        <f aca="false">I2992+I2993+I2994</f>
        <v>16.2950369706338</v>
      </c>
      <c r="J2995" s="49" t="n">
        <f aca="false">J2992+J2993+J2994</f>
        <v>18.7287044616371</v>
      </c>
      <c r="K2995" s="49" t="n">
        <f aca="false">K2992+K2993+K2994</f>
        <v>18.4992272418926</v>
      </c>
      <c r="L2995" s="49" t="n">
        <f aca="false">L2992+L2993+L2994</f>
        <v>18.1135021307097</v>
      </c>
      <c r="M2995" s="49" t="n">
        <f aca="false">M2992+M2993+M2994</f>
        <v>17.7431348232055</v>
      </c>
      <c r="N2995" s="49" t="n">
        <f aca="false">N2992+N2993+N2994</f>
        <v>17.387513842121</v>
      </c>
      <c r="P2995" s="49" t="n">
        <f aca="false">SUM(C2995:F2995)</f>
        <v>17.705053523083</v>
      </c>
      <c r="Q2995" s="49" t="n">
        <f aca="false">SUM(G2995:J2995)</f>
        <v>58.5031794364765</v>
      </c>
      <c r="R2995" s="49" t="n">
        <f aca="false">SUM(K2995:N2995)</f>
        <v>71.7433780379288</v>
      </c>
      <c r="S2995" s="50" t="n">
        <f aca="false">SUM(P2995:R2995)</f>
        <v>147.951610997488</v>
      </c>
    </row>
    <row r="2996" customFormat="false" ht="15" hidden="false" customHeight="false" outlineLevel="0" collapsed="false">
      <c r="A2996" s="35" t="s">
        <v>533</v>
      </c>
      <c r="B2996" s="35" t="s">
        <v>444</v>
      </c>
      <c r="C2996" s="6" t="s">
        <v>354</v>
      </c>
      <c r="D2996" s="6" t="s">
        <v>355</v>
      </c>
      <c r="E2996" s="6" t="s">
        <v>356</v>
      </c>
      <c r="F2996" s="6" t="s">
        <v>357</v>
      </c>
      <c r="G2996" s="6" t="s">
        <v>358</v>
      </c>
      <c r="H2996" s="6" t="s">
        <v>359</v>
      </c>
      <c r="I2996" s="6" t="s">
        <v>360</v>
      </c>
      <c r="J2996" s="6" t="s">
        <v>361</v>
      </c>
      <c r="K2996" s="6" t="s">
        <v>362</v>
      </c>
      <c r="L2996" s="6" t="s">
        <v>363</v>
      </c>
      <c r="M2996" s="6" t="s">
        <v>364</v>
      </c>
      <c r="N2996" s="6" t="s">
        <v>365</v>
      </c>
      <c r="P2996" s="6" t="s">
        <v>445</v>
      </c>
      <c r="Q2996" s="6" t="s">
        <v>446</v>
      </c>
      <c r="R2996" s="6" t="s">
        <v>447</v>
      </c>
      <c r="S2996" s="6" t="s">
        <v>448</v>
      </c>
    </row>
    <row r="2997" customFormat="false" ht="15" hidden="false" customHeight="false" outlineLevel="0" collapsed="false">
      <c r="A2997" s="4" t="s">
        <v>534</v>
      </c>
      <c r="B2997" s="36" t="s">
        <v>527</v>
      </c>
      <c r="C2997" s="48" t="n">
        <f aca="false">0*Assumptions!$I$59^(1/4)+C2992</f>
        <v>0</v>
      </c>
      <c r="D2997" s="48" t="n">
        <f aca="false">C2997*Assumptions!$I$59^(1/4)+D2992</f>
        <v>2.56610304432739</v>
      </c>
      <c r="E2997" s="48" t="n">
        <f aca="false">D2997*Assumptions!$I$59^(1/4)+E2992</f>
        <v>7.13681958729874</v>
      </c>
      <c r="F2997" s="48" t="n">
        <f aca="false">E2997*Assumptions!$I$59^(1/4)+F2992</f>
        <v>11.906488547756</v>
      </c>
      <c r="G2997" s="48" t="n">
        <f aca="false">F2997*Assumptions!$I$59^(1/4)+G2992</f>
        <v>18.6211059576053</v>
      </c>
      <c r="H2997" s="48" t="n">
        <f aca="false">G2997*Assumptions!$I$59^(1/4)+H2992</f>
        <v>27.139646165457</v>
      </c>
      <c r="I2997" s="48" t="n">
        <f aca="false">H2997*Assumptions!$I$59^(1/4)+I2992</f>
        <v>37.3909735947801</v>
      </c>
      <c r="J2997" s="48" t="n">
        <f aca="false">I2997*Assumptions!$I$59^(1/4)+J2992</f>
        <v>48.8530133569968</v>
      </c>
      <c r="K2997" s="48" t="n">
        <f aca="false">J2997*Assumptions!$I$59^(1/4)+K2992</f>
        <v>59.7861191984031</v>
      </c>
      <c r="L2997" s="48" t="n">
        <f aca="false">K2997*Assumptions!$I$59^(1/4)+L2992</f>
        <v>70.2130418140266</v>
      </c>
      <c r="M2997" s="48" t="n">
        <f aca="false">L2997*Assumptions!$I$59^(1/4)+M2992</f>
        <v>80.1555866677488</v>
      </c>
      <c r="N2997" s="48" t="n">
        <f aca="false">M2997*Assumptions!$I$59^(1/4)+N2992</f>
        <v>89.6346525452324</v>
      </c>
      <c r="P2997" s="49" t="n">
        <f aca="false">F2997</f>
        <v>11.906488547756</v>
      </c>
      <c r="Q2997" s="49" t="n">
        <f aca="false">J2997</f>
        <v>48.8530133569968</v>
      </c>
      <c r="R2997" s="49" t="n">
        <f aca="false">N2997</f>
        <v>89.6346525452324</v>
      </c>
      <c r="S2997" s="50" t="n">
        <f aca="false">R2997</f>
        <v>89.6346525452324</v>
      </c>
    </row>
    <row r="2998" customFormat="false" ht="15" hidden="false" customHeight="false" outlineLevel="0" collapsed="false">
      <c r="A2998" s="4" t="s">
        <v>535</v>
      </c>
      <c r="B2998" s="36" t="s">
        <v>527</v>
      </c>
      <c r="C2998" s="48" t="n">
        <f aca="false">0*Assumptions!$I$60^(1/4)+C2993</f>
        <v>0</v>
      </c>
      <c r="D2998" s="48" t="n">
        <f aca="false">C2998*Assumptions!$I$60^(1/4)+D2993</f>
        <v>1.04845434134182</v>
      </c>
      <c r="E2998" s="48" t="n">
        <f aca="false">D2998*Assumptions!$I$60^(1/4)+E2993</f>
        <v>2.92153122502651</v>
      </c>
      <c r="F2998" s="48" t="n">
        <f aca="false">E2998*Assumptions!$I$60^(1/4)+F2993</f>
        <v>4.88573575144093</v>
      </c>
      <c r="G2998" s="48" t="n">
        <f aca="false">F2998*Assumptions!$I$60^(1/4)+G2993</f>
        <v>7.66252523167632</v>
      </c>
      <c r="H2998" s="48" t="n">
        <f aca="false">G2998*Assumptions!$I$60^(1/4)+H2993</f>
        <v>11.1975953102514</v>
      </c>
      <c r="I2998" s="48" t="n">
        <f aca="false">H2998*Assumptions!$I$60^(1/4)+I2993</f>
        <v>15.685303947239</v>
      </c>
      <c r="J2998" s="48" t="n">
        <f aca="false">I2998*Assumptions!$I$60^(1/4)+J2993</f>
        <v>20.8845644850425</v>
      </c>
      <c r="K2998" s="48" t="n">
        <f aca="false">J2998*Assumptions!$I$60^(1/4)+K2993</f>
        <v>25.873975146237</v>
      </c>
      <c r="L2998" s="48" t="n">
        <f aca="false">K2998*Assumptions!$I$60^(1/4)+L2993</f>
        <v>30.6619422357468</v>
      </c>
      <c r="M2998" s="48" t="n">
        <f aca="false">L2998*Assumptions!$I$60^(1/4)+M2993</f>
        <v>35.2565364402548</v>
      </c>
      <c r="N2998" s="48" t="n">
        <f aca="false">M2998*Assumptions!$I$60^(1/4)+N2993</f>
        <v>39.6655062074815</v>
      </c>
      <c r="P2998" s="49" t="n">
        <f aca="false">F2998</f>
        <v>4.88573575144093</v>
      </c>
      <c r="Q2998" s="49" t="n">
        <f aca="false">J2998</f>
        <v>20.8845644850425</v>
      </c>
      <c r="R2998" s="49" t="n">
        <f aca="false">N2998</f>
        <v>39.6655062074815</v>
      </c>
      <c r="S2998" s="50" t="n">
        <f aca="false">R2998</f>
        <v>39.6655062074815</v>
      </c>
    </row>
    <row r="2999" customFormat="false" ht="15" hidden="false" customHeight="false" outlineLevel="0" collapsed="false">
      <c r="A2999" s="4" t="s">
        <v>536</v>
      </c>
      <c r="B2999" s="36" t="s">
        <v>527</v>
      </c>
      <c r="C2999" s="48" t="n">
        <f aca="false">0*Assumptions!$I$61^(1/4)+C2994</f>
        <v>0</v>
      </c>
      <c r="D2999" s="48" t="n">
        <f aca="false">C2999*Assumptions!$I$61^(1/4)+D2994</f>
        <v>0</v>
      </c>
      <c r="E2999" s="48" t="n">
        <f aca="false">D2999*Assumptions!$I$61^(1/4)+E2994</f>
        <v>0.219418049479541</v>
      </c>
      <c r="F2999" s="48" t="n">
        <f aca="false">E2999*Assumptions!$I$61^(1/4)+F2994</f>
        <v>0.612560388634844</v>
      </c>
      <c r="G2999" s="48" t="n">
        <f aca="false">F2999*Assumptions!$I$61^(1/4)+G2994</f>
        <v>1.02681217797026</v>
      </c>
      <c r="H2999" s="48" t="n">
        <f aca="false">G2999*Assumptions!$I$61^(1/4)+H2994</f>
        <v>1.5891363676905</v>
      </c>
      <c r="I2999" s="48" t="n">
        <f aca="false">H2999*Assumptions!$I$61^(1/4)+I2994</f>
        <v>2.29116183329862</v>
      </c>
      <c r="J2999" s="48" t="n">
        <f aca="false">I2999*Assumptions!$I$61^(1/4)+J2994</f>
        <v>3.17608554543112</v>
      </c>
      <c r="K2999" s="48" t="n">
        <f aca="false">J2999*Assumptions!$I$61^(1/4)+K2994</f>
        <v>4.19847549852704</v>
      </c>
      <c r="L2999" s="48" t="n">
        <f aca="false">K2999*Assumptions!$I$61^(1/4)+L2994</f>
        <v>5.18527334931313</v>
      </c>
      <c r="M2999" s="48" t="n">
        <f aca="false">L2999*Assumptions!$I$61^(1/4)+M2994</f>
        <v>6.13783104230043</v>
      </c>
      <c r="N2999" s="48" t="n">
        <f aca="false">M2999*Assumptions!$I$61^(1/4)+N2994</f>
        <v>7.05744752413041</v>
      </c>
      <c r="P2999" s="49" t="n">
        <f aca="false">F2999</f>
        <v>0.612560388634844</v>
      </c>
      <c r="Q2999" s="49" t="n">
        <f aca="false">J2999</f>
        <v>3.17608554543112</v>
      </c>
      <c r="R2999" s="49" t="n">
        <f aca="false">N2999</f>
        <v>7.05744752413041</v>
      </c>
      <c r="S2999" s="50" t="n">
        <f aca="false">R2999</f>
        <v>7.05744752413041</v>
      </c>
    </row>
    <row r="3000" customFormat="false" ht="15" hidden="false" customHeight="false" outlineLevel="0" collapsed="false">
      <c r="A3000" s="9" t="s">
        <v>537</v>
      </c>
      <c r="B3000" s="36" t="s">
        <v>527</v>
      </c>
      <c r="C3000" s="49" t="n">
        <f aca="false">C2997+C2998+C2999</f>
        <v>0</v>
      </c>
      <c r="D3000" s="49" t="n">
        <f aca="false">D2997+D2998+D2999</f>
        <v>3.61455738566921</v>
      </c>
      <c r="E3000" s="49" t="n">
        <f aca="false">E2997+E2998+E2999</f>
        <v>10.2777688618048</v>
      </c>
      <c r="F3000" s="49" t="n">
        <f aca="false">F2997+F2998+F2999</f>
        <v>17.4047846878318</v>
      </c>
      <c r="G3000" s="49" t="n">
        <f aca="false">G2997+G2998+G2999</f>
        <v>27.3104433672519</v>
      </c>
      <c r="H3000" s="49" t="n">
        <f aca="false">H2997+H2998+H2999</f>
        <v>39.9263778433988</v>
      </c>
      <c r="I3000" s="49" t="n">
        <f aca="false">I2997+I2998+I2999</f>
        <v>55.3674393753178</v>
      </c>
      <c r="J3000" s="49" t="n">
        <f aca="false">J2997+J2998+J2999</f>
        <v>72.9136633874705</v>
      </c>
      <c r="K3000" s="49" t="n">
        <f aca="false">K2997+K2998+K2999</f>
        <v>89.8585698431672</v>
      </c>
      <c r="L3000" s="49" t="n">
        <f aca="false">L2997+L2998+L2999</f>
        <v>106.060257399087</v>
      </c>
      <c r="M3000" s="49" t="n">
        <f aca="false">M2997+M2998+M2999</f>
        <v>121.549954150304</v>
      </c>
      <c r="N3000" s="49" t="n">
        <f aca="false">N2997+N2998+N2999</f>
        <v>136.357606276844</v>
      </c>
      <c r="P3000" s="49" t="n">
        <f aca="false">F3000</f>
        <v>17.4047846878318</v>
      </c>
      <c r="Q3000" s="49" t="n">
        <f aca="false">J3000</f>
        <v>72.9136633874705</v>
      </c>
      <c r="R3000" s="49" t="n">
        <f aca="false">N3000</f>
        <v>136.357606276844</v>
      </c>
      <c r="S3000" s="50" t="n">
        <f aca="false">R3000</f>
        <v>136.357606276844</v>
      </c>
    </row>
    <row r="3001" customFormat="false" ht="15" hidden="false" customHeight="false" outlineLevel="0" collapsed="false">
      <c r="A3001" s="4" t="s">
        <v>538</v>
      </c>
      <c r="B3001" s="36" t="s">
        <v>125</v>
      </c>
      <c r="C3001" s="54" t="n">
        <f aca="false">0*Assumptions!$I$62^(1/4)+C2992*$C$2941</f>
        <v>0</v>
      </c>
      <c r="D3001" s="54" t="n">
        <f aca="false">C3001*Assumptions!$I$62^(1/4)+D2992*$C$2941</f>
        <v>13733.7834932402</v>
      </c>
      <c r="E3001" s="54" t="n">
        <f aca="false">D3001*Assumptions!$I$62^(1/4)+E2992*$C$2941</f>
        <v>38717.8089462814</v>
      </c>
      <c r="F3001" s="54" t="n">
        <f aca="false">E3001*Assumptions!$I$62^(1/4)+F2992*$C$2941</f>
        <v>65703.2613421925</v>
      </c>
      <c r="G3001" s="54" t="n">
        <f aca="false">F3001*Assumptions!$I$62^(1/4)+G2992*$C$2941</f>
        <v>104088.891770236</v>
      </c>
      <c r="H3001" s="54" t="n">
        <f aca="false">G3001*Assumptions!$I$62^(1/4)+H2992*$C$2941</f>
        <v>153529.773242373</v>
      </c>
      <c r="I3001" s="54" t="n">
        <f aca="false">H3001*Assumptions!$I$62^(1/4)+I2992*$C$2941</f>
        <v>214032.381496055</v>
      </c>
      <c r="J3001" s="54" t="n">
        <f aca="false">I3001*Assumptions!$I$62^(1/4)+J2992*$C$2941</f>
        <v>283180.988655514</v>
      </c>
      <c r="K3001" s="54" t="n">
        <f aca="false">J3001*Assumptions!$I$62^(1/4)+K2992*$C$2941</f>
        <v>351942.868029514</v>
      </c>
      <c r="L3001" s="54" t="n">
        <f aca="false">K3001*Assumptions!$I$62^(1/4)+L2992*$C$2941</f>
        <v>420368.142302116</v>
      </c>
      <c r="M3001" s="54" t="n">
        <f aca="false">L3001*Assumptions!$I$62^(1/4)+M2992*$C$2941</f>
        <v>488505.448050832</v>
      </c>
      <c r="N3001" s="54" t="n">
        <f aca="false">M3001*Assumptions!$I$62^(1/4)+N2992*$C$2941</f>
        <v>556402.002393612</v>
      </c>
      <c r="P3001" s="55" t="n">
        <f aca="false">F3001</f>
        <v>65703.2613421925</v>
      </c>
      <c r="Q3001" s="55" t="n">
        <f aca="false">J3001</f>
        <v>283180.988655514</v>
      </c>
      <c r="R3001" s="55" t="n">
        <f aca="false">N3001</f>
        <v>556402.002393612</v>
      </c>
      <c r="S3001" s="56" t="n">
        <f aca="false">R3001</f>
        <v>556402.002393612</v>
      </c>
    </row>
    <row r="3002" customFormat="false" ht="15" hidden="false" customHeight="false" outlineLevel="0" collapsed="false">
      <c r="A3002" s="4" t="s">
        <v>539</v>
      </c>
      <c r="B3002" s="36" t="s">
        <v>125</v>
      </c>
      <c r="C3002" s="54" t="n">
        <f aca="false">0*Assumptions!$I$63^(1/4)+C2993*$C$2942</f>
        <v>0</v>
      </c>
      <c r="D3002" s="54" t="n">
        <f aca="false">C3002*Assumptions!$I$63^(1/4)+D2993*$C$2942</f>
        <v>5611.32763486144</v>
      </c>
      <c r="E3002" s="54" t="n">
        <f aca="false">D3002*Assumptions!$I$63^(1/4)+E2993*$C$2942</f>
        <v>15936.4496732647</v>
      </c>
      <c r="F3002" s="54" t="n">
        <f aca="false">E3002*Assumptions!$I$63^(1/4)+F2993*$C$2942</f>
        <v>27296.6634082816</v>
      </c>
      <c r="G3002" s="54" t="n">
        <f aca="false">F3002*Assumptions!$I$63^(1/4)+G2993*$C$2942</f>
        <v>43598.7829108161</v>
      </c>
      <c r="H3002" s="54" t="n">
        <f aca="false">G3002*Assumptions!$I$63^(1/4)+H2993*$C$2942</f>
        <v>64806.0861617068</v>
      </c>
      <c r="I3002" s="54" t="n">
        <f aca="false">H3002*Assumptions!$I$63^(1/4)+I2993*$C$2942</f>
        <v>92206.1607043528</v>
      </c>
      <c r="J3002" s="54" t="n">
        <f aca="false">I3002*Assumptions!$I$63^(1/4)+J2993*$C$2942</f>
        <v>124820.580537869</v>
      </c>
      <c r="K3002" s="54" t="n">
        <f aca="false">J3002*Assumptions!$I$63^(1/4)+K2993*$C$2942</f>
        <v>157971.883854987</v>
      </c>
      <c r="L3002" s="54" t="n">
        <f aca="false">K3002*Assumptions!$I$63^(1/4)+L2993*$C$2942</f>
        <v>191703.959135029</v>
      </c>
      <c r="M3002" s="54" t="n">
        <f aca="false">L3002*Assumptions!$I$63^(1/4)+M2993*$C$2942</f>
        <v>226061.268107232</v>
      </c>
      <c r="N3002" s="54" t="n">
        <f aca="false">M3002*Assumptions!$I$63^(1/4)+N2993*$C$2942</f>
        <v>261088.905445763</v>
      </c>
      <c r="P3002" s="55" t="n">
        <f aca="false">F3002</f>
        <v>27296.6634082816</v>
      </c>
      <c r="Q3002" s="55" t="n">
        <f aca="false">J3002</f>
        <v>124820.580537869</v>
      </c>
      <c r="R3002" s="55" t="n">
        <f aca="false">N3002</f>
        <v>261088.905445763</v>
      </c>
      <c r="S3002" s="56" t="n">
        <f aca="false">R3002</f>
        <v>261088.905445763</v>
      </c>
    </row>
    <row r="3003" customFormat="false" ht="15" hidden="false" customHeight="false" outlineLevel="0" collapsed="false">
      <c r="A3003" s="4" t="s">
        <v>540</v>
      </c>
      <c r="B3003" s="36" t="s">
        <v>125</v>
      </c>
      <c r="C3003" s="54" t="n">
        <f aca="false">0*Assumptions!$I$64^(1/4)+C2994*$C$2943</f>
        <v>0</v>
      </c>
      <c r="D3003" s="54" t="n">
        <f aca="false">C3003*Assumptions!$I$64^(1/4)+D2994*$C$2943</f>
        <v>0</v>
      </c>
      <c r="E3003" s="54" t="n">
        <f aca="false">D3003*Assumptions!$I$64^(1/4)+E2994*$C$2943</f>
        <v>9722.41377243845</v>
      </c>
      <c r="F3003" s="54" t="n">
        <f aca="false">E3003*Assumptions!$I$64^(1/4)+F2994*$C$2943</f>
        <v>27925.5106799682</v>
      </c>
      <c r="G3003" s="54" t="n">
        <f aca="false">F3003*Assumptions!$I$64^(1/4)+G2994*$C$2943</f>
        <v>48519.9126554405</v>
      </c>
      <c r="H3003" s="54" t="n">
        <f aca="false">G3003*Assumptions!$I$64^(1/4)+H2994*$C$2943</f>
        <v>77305.3723710123</v>
      </c>
      <c r="I3003" s="54" t="n">
        <f aca="false">H3003*Assumptions!$I$64^(1/4)+I2994*$C$2943</f>
        <v>114549.834687054</v>
      </c>
      <c r="J3003" s="54" t="n">
        <f aca="false">I3003*Assumptions!$I$64^(1/4)+J2994*$C$2943</f>
        <v>162819.664615783</v>
      </c>
      <c r="K3003" s="54" t="n">
        <f aca="false">J3003*Assumptions!$I$64^(1/4)+K2994*$C$2943</f>
        <v>220952.438928498</v>
      </c>
      <c r="L3003" s="54" t="n">
        <f aca="false">K3003*Assumptions!$I$64^(1/4)+L2994*$C$2943</f>
        <v>282026.161010465</v>
      </c>
      <c r="M3003" s="54" t="n">
        <f aca="false">L3003*Assumptions!$I$64^(1/4)+M2994*$C$2943</f>
        <v>346280.007919858</v>
      </c>
      <c r="N3003" s="54" t="n">
        <f aca="false">M3003*Assumptions!$I$64^(1/4)+N2994*$C$2943</f>
        <v>413967.785457969</v>
      </c>
      <c r="P3003" s="55" t="n">
        <f aca="false">F3003</f>
        <v>27925.5106799682</v>
      </c>
      <c r="Q3003" s="55" t="n">
        <f aca="false">J3003</f>
        <v>162819.664615783</v>
      </c>
      <c r="R3003" s="55" t="n">
        <f aca="false">N3003</f>
        <v>413967.785457969</v>
      </c>
      <c r="S3003" s="56" t="n">
        <f aca="false">R3003</f>
        <v>413967.785457969</v>
      </c>
    </row>
    <row r="3004" customFormat="false" ht="15" hidden="false" customHeight="false" outlineLevel="0" collapsed="false">
      <c r="A3004" s="9" t="s">
        <v>541</v>
      </c>
      <c r="B3004" s="36" t="s">
        <v>125</v>
      </c>
      <c r="C3004" s="55" t="n">
        <f aca="false">C3001+C3002+C3003</f>
        <v>0</v>
      </c>
      <c r="D3004" s="55" t="n">
        <f aca="false">D3001+D3002+D3003</f>
        <v>19345.1111281016</v>
      </c>
      <c r="E3004" s="55" t="n">
        <f aca="false">E3001+E3002+E3003</f>
        <v>64376.6723919845</v>
      </c>
      <c r="F3004" s="55" t="n">
        <f aca="false">F3001+F3002+F3003</f>
        <v>120925.435430442</v>
      </c>
      <c r="G3004" s="55" t="n">
        <f aca="false">G3001+G3002+G3003</f>
        <v>196207.587336493</v>
      </c>
      <c r="H3004" s="55" t="n">
        <f aca="false">H3001+H3002+H3003</f>
        <v>295641.231775092</v>
      </c>
      <c r="I3004" s="55" t="n">
        <f aca="false">I3001+I3002+I3003</f>
        <v>420788.376887462</v>
      </c>
      <c r="J3004" s="55" t="n">
        <f aca="false">J3001+J3002+J3003</f>
        <v>570821.233809165</v>
      </c>
      <c r="K3004" s="55" t="n">
        <f aca="false">K3001+K3002+K3003</f>
        <v>730867.190812999</v>
      </c>
      <c r="L3004" s="55" t="n">
        <f aca="false">L3001+L3002+L3003</f>
        <v>894098.262447609</v>
      </c>
      <c r="M3004" s="55" t="n">
        <f aca="false">M3001+M3002+M3003</f>
        <v>1060846.72407792</v>
      </c>
      <c r="N3004" s="55" t="n">
        <f aca="false">N3001+N3002+N3003</f>
        <v>1231458.69329734</v>
      </c>
      <c r="P3004" s="55" t="n">
        <f aca="false">F3004</f>
        <v>120925.435430442</v>
      </c>
      <c r="Q3004" s="55" t="n">
        <f aca="false">J3004</f>
        <v>570821.233809165</v>
      </c>
      <c r="R3004" s="55" t="n">
        <f aca="false">N3004</f>
        <v>1231458.69329734</v>
      </c>
      <c r="S3004" s="56" t="n">
        <f aca="false">R3004</f>
        <v>1231458.69329734</v>
      </c>
    </row>
    <row r="3005" customFormat="false" ht="15" hidden="false" customHeight="false" outlineLevel="0" collapsed="false">
      <c r="A3005" s="4" t="s">
        <v>542</v>
      </c>
      <c r="B3005" s="36" t="s">
        <v>125</v>
      </c>
      <c r="C3005" s="54" t="n">
        <f aca="false">C2992*$C$2941+C2993*$C$2942+C2994*$C$2943</f>
        <v>0</v>
      </c>
      <c r="D3005" s="54" t="n">
        <f aca="false">D2992*$C$2941+D2993*$C$2942+D2994*$C$2943</f>
        <v>19345.1111281016</v>
      </c>
      <c r="E3005" s="54" t="n">
        <f aca="false">E2992*$C$2941+E2993*$C$2942+E2994*$C$2943</f>
        <v>44630.5058211712</v>
      </c>
      <c r="F3005" s="54" t="n">
        <f aca="false">F2992*$C$2941+F2993*$C$2942+F2994*$C$2943</f>
        <v>54754.872210869</v>
      </c>
      <c r="G3005" s="54" t="n">
        <f aca="false">G2992*$C$2941+G2993*$C$2942+G2994*$C$2943</f>
        <v>71454.3459175114</v>
      </c>
      <c r="H3005" s="54" t="n">
        <f aca="false">H2992*$C$2941+H2993*$C$2942+H2994*$C$2943</f>
        <v>93066.8076633268</v>
      </c>
      <c r="I3005" s="54" t="n">
        <f aca="false">I2992*$C$2941+I2993*$C$2942+I2994*$C$2943</f>
        <v>115349.36402109</v>
      </c>
      <c r="J3005" s="54" t="n">
        <f aca="false">J2992*$C$2941+J2993*$C$2942+J2994*$C$2943</f>
        <v>135848.174850322</v>
      </c>
      <c r="K3005" s="54" t="n">
        <f aca="false">K2992*$C$2941+K2993*$C$2942+K2994*$C$2943</f>
        <v>140414.682440649</v>
      </c>
      <c r="L3005" s="54" t="n">
        <f aca="false">L2992*$C$2941+L2993*$C$2942+L2994*$C$2943</f>
        <v>137471.180092456</v>
      </c>
      <c r="M3005" s="54" t="n">
        <f aca="false">M2992*$C$2941+M2993*$C$2942+M2994*$C$2943</f>
        <v>134644.874498846</v>
      </c>
      <c r="N3005" s="54" t="n">
        <f aca="false">N2992*$C$2941+N2993*$C$2942+N2994*$C$2943</f>
        <v>131931.099422915</v>
      </c>
      <c r="P3005" s="55" t="n">
        <f aca="false">SUM(C3005:F3005)</f>
        <v>118730.489160142</v>
      </c>
      <c r="Q3005" s="55" t="n">
        <f aca="false">SUM(G3005:J3005)</f>
        <v>415718.69245225</v>
      </c>
      <c r="R3005" s="55" t="n">
        <f aca="false">SUM(K3005:N3005)</f>
        <v>544461.836454867</v>
      </c>
      <c r="S3005" s="56" t="n">
        <f aca="false">SUM(P3005:R3005)</f>
        <v>1078911.01806726</v>
      </c>
    </row>
    <row r="3006" customFormat="false" ht="15" hidden="false" customHeight="false" outlineLevel="0" collapsed="false">
      <c r="A3006" s="9" t="s">
        <v>543</v>
      </c>
      <c r="B3006" s="36" t="s">
        <v>125</v>
      </c>
      <c r="C3006" s="55" t="n">
        <f aca="false">(0+C3004)/8</f>
        <v>0</v>
      </c>
      <c r="D3006" s="55" t="n">
        <f aca="false">(C3004+D3004)/8</f>
        <v>2418.1388910127</v>
      </c>
      <c r="E3006" s="55" t="n">
        <f aca="false">(D3004+E3004)/8</f>
        <v>10465.2229400108</v>
      </c>
      <c r="F3006" s="55" t="n">
        <f aca="false">(E3004+F3004)/8</f>
        <v>23162.7634778033</v>
      </c>
      <c r="G3006" s="55" t="n">
        <f aca="false">(F3004+G3004)/8</f>
        <v>39641.6278458669</v>
      </c>
      <c r="H3006" s="55" t="n">
        <f aca="false">(G3004+H3004)/8</f>
        <v>61481.1023889482</v>
      </c>
      <c r="I3006" s="55" t="n">
        <f aca="false">(H3004+I3004)/8</f>
        <v>89553.7010828193</v>
      </c>
      <c r="J3006" s="55" t="n">
        <f aca="false">(I3004+J3004)/8</f>
        <v>123951.201337078</v>
      </c>
      <c r="K3006" s="55" t="n">
        <f aca="false">(J3004+K3004)/8</f>
        <v>162711.053077771</v>
      </c>
      <c r="L3006" s="55" t="n">
        <f aca="false">(K3004+L3004)/8</f>
        <v>203120.681657576</v>
      </c>
      <c r="M3006" s="55" t="n">
        <f aca="false">(L3004+M3004)/8</f>
        <v>244368.123315691</v>
      </c>
      <c r="N3006" s="55" t="n">
        <f aca="false">(M3004+N3004)/8</f>
        <v>286538.177171908</v>
      </c>
      <c r="P3006" s="55" t="n">
        <f aca="false">SUM(C3006:F3006)</f>
        <v>36046.1253088268</v>
      </c>
      <c r="Q3006" s="55" t="n">
        <f aca="false">SUM(G3006:J3006)</f>
        <v>314627.632654713</v>
      </c>
      <c r="R3006" s="55" t="n">
        <f aca="false">SUM(K3006:N3006)</f>
        <v>896738.035222946</v>
      </c>
      <c r="S3006" s="56" t="n">
        <f aca="false">SUM(P3006:R3006)</f>
        <v>1247411.79318649</v>
      </c>
    </row>
    <row r="3007" customFormat="false" ht="15" hidden="false" customHeight="false" outlineLevel="0" collapsed="false">
      <c r="A3007" s="4" t="s">
        <v>544</v>
      </c>
      <c r="B3007" s="36" t="s">
        <v>125</v>
      </c>
      <c r="C3007" s="54" t="n">
        <f aca="false">C3006*Assumptions!$I$76</f>
        <v>0</v>
      </c>
      <c r="D3007" s="54" t="n">
        <f aca="false">D3006*Assumptions!$I$76</f>
        <v>1741.06000152915</v>
      </c>
      <c r="E3007" s="54" t="n">
        <f aca="false">E3006*Assumptions!$I$76</f>
        <v>7534.96051680775</v>
      </c>
      <c r="F3007" s="54" t="n">
        <f aca="false">F3006*Assumptions!$I$76</f>
        <v>16677.1897040184</v>
      </c>
      <c r="G3007" s="54" t="n">
        <f aca="false">G3006*Assumptions!$I$76</f>
        <v>28541.9720490242</v>
      </c>
      <c r="H3007" s="54" t="n">
        <f aca="false">H3006*Assumptions!$I$76</f>
        <v>44266.3937200427</v>
      </c>
      <c r="I3007" s="54" t="n">
        <f aca="false">I3006*Assumptions!$I$76</f>
        <v>64478.6647796299</v>
      </c>
      <c r="J3007" s="54" t="n">
        <f aca="false">J3006*Assumptions!$I$76</f>
        <v>89244.8649626964</v>
      </c>
      <c r="K3007" s="54" t="n">
        <f aca="false">K3006*Assumptions!$I$76</f>
        <v>117151.958215995</v>
      </c>
      <c r="L3007" s="54" t="n">
        <f aca="false">L3006*Assumptions!$I$76</f>
        <v>146246.890793455</v>
      </c>
      <c r="M3007" s="54" t="n">
        <f aca="false">M3006*Assumptions!$I$76</f>
        <v>175945.048787298</v>
      </c>
      <c r="N3007" s="54" t="n">
        <f aca="false">N3006*Assumptions!$I$76</f>
        <v>206307.487563774</v>
      </c>
      <c r="P3007" s="55" t="n">
        <f aca="false">SUM(C3007:F3007)</f>
        <v>25953.2102223553</v>
      </c>
      <c r="Q3007" s="55" t="n">
        <f aca="false">SUM(G3007:J3007)</f>
        <v>226531.895511393</v>
      </c>
      <c r="R3007" s="55" t="n">
        <f aca="false">SUM(K3007:N3007)</f>
        <v>645651.385360521</v>
      </c>
      <c r="S3007" s="56" t="n">
        <f aca="false">SUM(P3007:R3007)</f>
        <v>898136.491094269</v>
      </c>
    </row>
    <row r="3008" customFormat="false" ht="15" hidden="false" customHeight="false" outlineLevel="0" collapsed="false">
      <c r="A3008" s="35" t="s">
        <v>547</v>
      </c>
      <c r="B3008" s="35" t="s">
        <v>444</v>
      </c>
      <c r="C3008" s="6" t="s">
        <v>354</v>
      </c>
      <c r="D3008" s="6" t="s">
        <v>355</v>
      </c>
      <c r="E3008" s="6" t="s">
        <v>356</v>
      </c>
      <c r="F3008" s="6" t="s">
        <v>357</v>
      </c>
      <c r="G3008" s="6" t="s">
        <v>358</v>
      </c>
      <c r="H3008" s="6" t="s">
        <v>359</v>
      </c>
      <c r="I3008" s="6" t="s">
        <v>360</v>
      </c>
      <c r="J3008" s="6" t="s">
        <v>361</v>
      </c>
      <c r="K3008" s="6" t="s">
        <v>362</v>
      </c>
      <c r="L3008" s="6" t="s">
        <v>363</v>
      </c>
      <c r="M3008" s="6" t="s">
        <v>364</v>
      </c>
      <c r="N3008" s="6" t="s">
        <v>365</v>
      </c>
      <c r="P3008" s="6" t="s">
        <v>445</v>
      </c>
      <c r="Q3008" s="6" t="s">
        <v>446</v>
      </c>
      <c r="R3008" s="6" t="s">
        <v>447</v>
      </c>
      <c r="S3008" s="6" t="s">
        <v>448</v>
      </c>
    </row>
    <row r="3009" customFormat="false" ht="15" hidden="false" customHeight="false" outlineLevel="0" collapsed="false">
      <c r="A3009" s="4" t="s">
        <v>548</v>
      </c>
      <c r="B3009" s="36" t="s">
        <v>321</v>
      </c>
      <c r="C3009" s="48" t="n">
        <f aca="false">Assumptions!$F$97*C2951</f>
        <v>0</v>
      </c>
      <c r="D3009" s="48" t="n">
        <f aca="false">Assumptions!$F$97*D2951</f>
        <v>0</v>
      </c>
      <c r="E3009" s="48" t="n">
        <f aca="false">Assumptions!$F$97*E2951</f>
        <v>0</v>
      </c>
      <c r="F3009" s="48" t="n">
        <f aca="false">Assumptions!$F$97*F2951</f>
        <v>0</v>
      </c>
      <c r="G3009" s="48" t="n">
        <f aca="false">Assumptions!$F$97*G2951</f>
        <v>0</v>
      </c>
      <c r="H3009" s="48" t="n">
        <f aca="false">Assumptions!$F$97*H2951</f>
        <v>0</v>
      </c>
      <c r="I3009" s="48" t="n">
        <f aca="false">Assumptions!$F$97*I2951</f>
        <v>0</v>
      </c>
      <c r="J3009" s="48" t="n">
        <f aca="false">Assumptions!$F$97*J2951</f>
        <v>0</v>
      </c>
      <c r="K3009" s="48" t="n">
        <f aca="false">Assumptions!$F$97*K2951</f>
        <v>0</v>
      </c>
      <c r="L3009" s="48" t="n">
        <f aca="false">Assumptions!$F$97*L2951</f>
        <v>0</v>
      </c>
      <c r="M3009" s="48" t="n">
        <f aca="false">Assumptions!$F$97*M2951</f>
        <v>0</v>
      </c>
      <c r="N3009" s="48" t="n">
        <f aca="false">Assumptions!$F$97*N2951</f>
        <v>0</v>
      </c>
      <c r="P3009" s="49" t="n">
        <f aca="false">AVERAGE(C3009:F3009)</f>
        <v>0</v>
      </c>
      <c r="Q3009" s="49" t="n">
        <f aca="false">AVERAGE(G3009:J3009)</f>
        <v>0</v>
      </c>
      <c r="R3009" s="49" t="n">
        <f aca="false">AVERAGE(K3009:N3009)</f>
        <v>0</v>
      </c>
      <c r="S3009" s="50"/>
    </row>
    <row r="3010" customFormat="false" ht="15" hidden="false" customHeight="false" outlineLevel="0" collapsed="false">
      <c r="A3010" s="4" t="s">
        <v>549</v>
      </c>
      <c r="B3010" s="36" t="s">
        <v>321</v>
      </c>
      <c r="C3010" s="48" t="n">
        <f aca="false">C2964*C2951</f>
        <v>0</v>
      </c>
      <c r="D3010" s="48" t="n">
        <f aca="false">D2964*D2951</f>
        <v>0</v>
      </c>
      <c r="E3010" s="48" t="n">
        <f aca="false">E2964*E2951</f>
        <v>0</v>
      </c>
      <c r="F3010" s="48" t="n">
        <f aca="false">F2964*F2951</f>
        <v>0</v>
      </c>
      <c r="G3010" s="48" t="n">
        <f aca="false">G2964*G2951</f>
        <v>0</v>
      </c>
      <c r="H3010" s="48" t="n">
        <f aca="false">H2964*H2951</f>
        <v>0</v>
      </c>
      <c r="I3010" s="48" t="n">
        <f aca="false">I2964*I2951</f>
        <v>0</v>
      </c>
      <c r="J3010" s="48" t="n">
        <f aca="false">J2964*J2951</f>
        <v>0</v>
      </c>
      <c r="K3010" s="48" t="n">
        <f aca="false">K2964*K2951</f>
        <v>0</v>
      </c>
      <c r="L3010" s="48" t="n">
        <f aca="false">L2964*L2951</f>
        <v>0</v>
      </c>
      <c r="M3010" s="48" t="n">
        <f aca="false">M2964*M2951</f>
        <v>0</v>
      </c>
      <c r="N3010" s="48" t="n">
        <f aca="false">N2964*N2951</f>
        <v>0</v>
      </c>
      <c r="P3010" s="49" t="n">
        <f aca="false">AVERAGE(C3010:F3010)</f>
        <v>0</v>
      </c>
      <c r="Q3010" s="49" t="n">
        <f aca="false">AVERAGE(G3010:J3010)</f>
        <v>0</v>
      </c>
      <c r="R3010" s="49" t="n">
        <f aca="false">AVERAGE(K3010:N3010)</f>
        <v>0</v>
      </c>
      <c r="S3010" s="50"/>
    </row>
    <row r="3011" customFormat="false" ht="15" hidden="false" customHeight="false" outlineLevel="0" collapsed="false">
      <c r="A3011" s="4" t="s">
        <v>550</v>
      </c>
      <c r="B3011" s="36" t="s">
        <v>321</v>
      </c>
      <c r="C3011" s="48" t="n">
        <f aca="false">IF(C2950&lt;=4,Assumptions!$F$98,Assumptions!$F$99)*C2951</f>
        <v>0</v>
      </c>
      <c r="D3011" s="48" t="n">
        <f aca="false">IF(D2950&lt;=4,Assumptions!$F$98,Assumptions!$F$99)*D2951</f>
        <v>0</v>
      </c>
      <c r="E3011" s="48" t="n">
        <f aca="false">IF(E2950&lt;=4,Assumptions!$F$98,Assumptions!$F$99)*E2951</f>
        <v>0</v>
      </c>
      <c r="F3011" s="48" t="n">
        <f aca="false">IF(F2950&lt;=4,Assumptions!$F$98,Assumptions!$F$99)*F2951</f>
        <v>0</v>
      </c>
      <c r="G3011" s="48" t="n">
        <f aca="false">IF(G2950&lt;=4,Assumptions!$F$98,Assumptions!$F$99)*G2951</f>
        <v>0</v>
      </c>
      <c r="H3011" s="48" t="n">
        <f aca="false">IF(H2950&lt;=4,Assumptions!$F$98,Assumptions!$F$99)*H2951</f>
        <v>0</v>
      </c>
      <c r="I3011" s="48" t="n">
        <f aca="false">IF(I2950&lt;=4,Assumptions!$F$98,Assumptions!$F$99)*I2951</f>
        <v>0</v>
      </c>
      <c r="J3011" s="48" t="n">
        <f aca="false">IF(J2950&lt;=4,Assumptions!$F$98,Assumptions!$F$99)*J2951</f>
        <v>0</v>
      </c>
      <c r="K3011" s="48" t="n">
        <f aca="false">IF(K2950&lt;=4,Assumptions!$F$98,Assumptions!$F$99)*K2951</f>
        <v>0</v>
      </c>
      <c r="L3011" s="48" t="n">
        <f aca="false">IF(L2950&lt;=4,Assumptions!$F$98,Assumptions!$F$99)*L2951</f>
        <v>0</v>
      </c>
      <c r="M3011" s="48" t="n">
        <f aca="false">IF(M2950&lt;=4,Assumptions!$F$98,Assumptions!$F$99)*M2951</f>
        <v>0</v>
      </c>
      <c r="N3011" s="48" t="n">
        <f aca="false">IF(N2950&lt;=4,Assumptions!$F$98,Assumptions!$F$99)*N2951</f>
        <v>0</v>
      </c>
      <c r="P3011" s="49" t="n">
        <f aca="false">AVERAGE(C3011:F3011)</f>
        <v>0</v>
      </c>
      <c r="Q3011" s="49" t="n">
        <f aca="false">AVERAGE(G3011:J3011)</f>
        <v>0</v>
      </c>
      <c r="R3011" s="49" t="n">
        <f aca="false">AVERAGE(K3011:N3011)</f>
        <v>0</v>
      </c>
      <c r="S3011" s="50"/>
    </row>
    <row r="3012" customFormat="false" ht="15" hidden="false" customHeight="false" outlineLevel="0" collapsed="false">
      <c r="A3012" s="4" t="s">
        <v>551</v>
      </c>
      <c r="B3012" s="36" t="s">
        <v>321</v>
      </c>
      <c r="C3012" s="48" t="n">
        <f aca="false">IF(C2950&lt;=4,Assumptions!$F$100,Assumptions!$F$101)*C2951</f>
        <v>0.5</v>
      </c>
      <c r="D3012" s="48" t="n">
        <f aca="false">IF(D2950&lt;=4,Assumptions!$F$100,Assumptions!$F$101)*D2951</f>
        <v>0.5</v>
      </c>
      <c r="E3012" s="48" t="n">
        <f aca="false">IF(E2950&lt;=4,Assumptions!$F$100,Assumptions!$F$101)*E2951</f>
        <v>0.5</v>
      </c>
      <c r="F3012" s="48" t="n">
        <f aca="false">IF(F2950&lt;=4,Assumptions!$F$100,Assumptions!$F$101)*F2951</f>
        <v>0.5</v>
      </c>
      <c r="G3012" s="48" t="n">
        <f aca="false">IF(G2950&lt;=4,Assumptions!$F$100,Assumptions!$F$101)*G2951</f>
        <v>0.25</v>
      </c>
      <c r="H3012" s="48" t="n">
        <f aca="false">IF(H2950&lt;=4,Assumptions!$F$100,Assumptions!$F$101)*H2951</f>
        <v>0.25</v>
      </c>
      <c r="I3012" s="48" t="n">
        <f aca="false">IF(I2950&lt;=4,Assumptions!$F$100,Assumptions!$F$101)*I2951</f>
        <v>0.25</v>
      </c>
      <c r="J3012" s="48" t="n">
        <f aca="false">IF(J2950&lt;=4,Assumptions!$F$100,Assumptions!$F$101)*J2951</f>
        <v>0.25</v>
      </c>
      <c r="K3012" s="48" t="n">
        <f aca="false">IF(K2950&lt;=4,Assumptions!$F$100,Assumptions!$F$101)*K2951</f>
        <v>0.25</v>
      </c>
      <c r="L3012" s="48" t="n">
        <f aca="false">IF(L2950&lt;=4,Assumptions!$F$100,Assumptions!$F$101)*L2951</f>
        <v>0.25</v>
      </c>
      <c r="M3012" s="48" t="n">
        <f aca="false">IF(M2950&lt;=4,Assumptions!$F$100,Assumptions!$F$101)*M2951</f>
        <v>0.25</v>
      </c>
      <c r="N3012" s="48" t="n">
        <f aca="false">IF(N2950&lt;=4,Assumptions!$F$100,Assumptions!$F$101)*N2951</f>
        <v>0.25</v>
      </c>
      <c r="P3012" s="49" t="n">
        <f aca="false">AVERAGE(C3012:F3012)</f>
        <v>0.5</v>
      </c>
      <c r="Q3012" s="49" t="n">
        <f aca="false">AVERAGE(G3012:J3012)</f>
        <v>0.25</v>
      </c>
      <c r="R3012" s="49" t="n">
        <f aca="false">AVERAGE(K3012:N3012)</f>
        <v>0.25</v>
      </c>
      <c r="S3012" s="50"/>
    </row>
    <row r="3013" customFormat="false" ht="15" hidden="false" customHeight="false" outlineLevel="0" collapsed="false">
      <c r="A3013" s="4" t="s">
        <v>552</v>
      </c>
      <c r="B3013" s="36" t="s">
        <v>321</v>
      </c>
      <c r="C3013" s="48" t="n">
        <f aca="false">Assumptions!$F$102*C2951</f>
        <v>0.1</v>
      </c>
      <c r="D3013" s="48" t="n">
        <f aca="false">Assumptions!$F$102*D2951</f>
        <v>0.1</v>
      </c>
      <c r="E3013" s="48" t="n">
        <f aca="false">Assumptions!$F$102*E2951</f>
        <v>0.1</v>
      </c>
      <c r="F3013" s="48" t="n">
        <f aca="false">Assumptions!$F$102*F2951</f>
        <v>0.1</v>
      </c>
      <c r="G3013" s="48" t="n">
        <f aca="false">Assumptions!$F$102*G2951</f>
        <v>0.1</v>
      </c>
      <c r="H3013" s="48" t="n">
        <f aca="false">Assumptions!$F$102*H2951</f>
        <v>0.1</v>
      </c>
      <c r="I3013" s="48" t="n">
        <f aca="false">Assumptions!$F$102*I2951</f>
        <v>0.1</v>
      </c>
      <c r="J3013" s="48" t="n">
        <f aca="false">Assumptions!$F$102*J2951</f>
        <v>0.1</v>
      </c>
      <c r="K3013" s="48" t="n">
        <f aca="false">Assumptions!$F$102*K2951</f>
        <v>0.1</v>
      </c>
      <c r="L3013" s="48" t="n">
        <f aca="false">Assumptions!$F$102*L2951</f>
        <v>0.1</v>
      </c>
      <c r="M3013" s="48" t="n">
        <f aca="false">Assumptions!$F$102*M2951</f>
        <v>0.1</v>
      </c>
      <c r="N3013" s="48" t="n">
        <f aca="false">Assumptions!$F$102*N2951</f>
        <v>0.1</v>
      </c>
      <c r="P3013" s="49" t="n">
        <f aca="false">AVERAGE(C3013:F3013)</f>
        <v>0.1</v>
      </c>
      <c r="Q3013" s="49" t="n">
        <f aca="false">AVERAGE(G3013:J3013)</f>
        <v>0.1</v>
      </c>
      <c r="R3013" s="49" t="n">
        <f aca="false">AVERAGE(K3013:N3013)</f>
        <v>0.1</v>
      </c>
      <c r="S3013" s="50"/>
    </row>
    <row r="3014" customFormat="false" ht="15" hidden="false" customHeight="false" outlineLevel="0" collapsed="false">
      <c r="A3014" s="4" t="s">
        <v>553</v>
      </c>
      <c r="B3014" s="36" t="s">
        <v>321</v>
      </c>
      <c r="C3014" s="48" t="n">
        <f aca="false">(C2998+C2999)/Assumptions!$I$74+C2997/Assumptions!$I$75</f>
        <v>0</v>
      </c>
      <c r="D3014" s="48" t="n">
        <f aca="false">(D2998+D2999)/Assumptions!$I$74+D2997/Assumptions!$I$75</f>
        <v>0.0364757707108551</v>
      </c>
      <c r="E3014" s="48" t="n">
        <f aca="false">(E2998+E2999)/Assumptions!$I$74+E2997/Assumptions!$I$75</f>
        <v>0.107071010211846</v>
      </c>
      <c r="F3014" s="48" t="n">
        <f aca="false">(F2998+F2999)/Assumptions!$I$74+F2997/Assumptions!$I$75</f>
        <v>0.185083357692918</v>
      </c>
      <c r="G3014" s="48" t="n">
        <f aca="false">(G2998+G2999)/Assumptions!$I$74+G2997/Assumptions!$I$75</f>
        <v>0.291717859071586</v>
      </c>
      <c r="H3014" s="48" t="n">
        <f aca="false">(H2998+H2999)/Assumptions!$I$74+H2997/Assumptions!$I$75</f>
        <v>0.428226876610374</v>
      </c>
      <c r="I3014" s="48" t="n">
        <f aca="false">(I2998+I2999)/Assumptions!$I$74+I2997/Assumptions!$I$75</f>
        <v>0.598975538892561</v>
      </c>
      <c r="J3014" s="48" t="n">
        <f aca="false">(J2998+J2999)/Assumptions!$I$74+J2997/Assumptions!$I$75</f>
        <v>0.796928304189828</v>
      </c>
      <c r="K3014" s="48" t="n">
        <f aca="false">(K2998+K2999)/Assumptions!$I$74+K2997/Assumptions!$I$75</f>
        <v>0.990955742912714</v>
      </c>
      <c r="L3014" s="48" t="n">
        <f aca="false">(L2998+L2999)/Assumptions!$I$74+L2997/Assumptions!$I$75</f>
        <v>1.1770325568826</v>
      </c>
      <c r="M3014" s="48" t="n">
        <f aca="false">(M2998+M2999)/Assumptions!$I$74+M2997/Assumptions!$I$75</f>
        <v>1.35548153373488</v>
      </c>
      <c r="N3014" s="48" t="n">
        <f aca="false">(N2998+N2999)/Assumptions!$I$74+N2997/Assumptions!$I$75</f>
        <v>1.52661245347123</v>
      </c>
      <c r="P3014" s="49" t="n">
        <f aca="false">AVERAGE(C3014:F3014)</f>
        <v>0.0821575346539049</v>
      </c>
      <c r="Q3014" s="49" t="n">
        <f aca="false">AVERAGE(G3014:J3014)</f>
        <v>0.528962144691087</v>
      </c>
      <c r="R3014" s="49" t="n">
        <f aca="false">AVERAGE(K3014:N3014)</f>
        <v>1.26252057175036</v>
      </c>
      <c r="S3014" s="50"/>
    </row>
    <row r="3015" customFormat="false" ht="15" hidden="false" customHeight="false" outlineLevel="0" collapsed="false">
      <c r="A3015" s="4" t="s">
        <v>554</v>
      </c>
      <c r="B3015" s="36" t="s">
        <v>125</v>
      </c>
      <c r="C3015" s="54" t="n">
        <f aca="false">(C3009+C3011)*Assumptions!$I$70/Assumptions!$I$69/4</f>
        <v>0</v>
      </c>
      <c r="D3015" s="54" t="n">
        <f aca="false">(D3009+D3011)*Assumptions!$I$70/Assumptions!$I$69/4</f>
        <v>0</v>
      </c>
      <c r="E3015" s="54" t="n">
        <f aca="false">(E3009+E3011)*Assumptions!$I$70/Assumptions!$I$69/4</f>
        <v>0</v>
      </c>
      <c r="F3015" s="54" t="n">
        <f aca="false">(F3009+F3011)*Assumptions!$I$70/Assumptions!$I$69/4</f>
        <v>0</v>
      </c>
      <c r="G3015" s="54" t="n">
        <f aca="false">(G3009+G3011)*Assumptions!$I$70/Assumptions!$I$69/4</f>
        <v>0</v>
      </c>
      <c r="H3015" s="54" t="n">
        <f aca="false">(H3009+H3011)*Assumptions!$I$70/Assumptions!$I$69/4</f>
        <v>0</v>
      </c>
      <c r="I3015" s="54" t="n">
        <f aca="false">(I3009+I3011)*Assumptions!$I$70/Assumptions!$I$69/4</f>
        <v>0</v>
      </c>
      <c r="J3015" s="54" t="n">
        <f aca="false">(J3009+J3011)*Assumptions!$I$70/Assumptions!$I$69/4</f>
        <v>0</v>
      </c>
      <c r="K3015" s="54" t="n">
        <f aca="false">(K3009+K3011)*Assumptions!$I$70/Assumptions!$I$69/4</f>
        <v>0</v>
      </c>
      <c r="L3015" s="54" t="n">
        <f aca="false">(L3009+L3011)*Assumptions!$I$70/Assumptions!$I$69/4</f>
        <v>0</v>
      </c>
      <c r="M3015" s="54" t="n">
        <f aca="false">(M3009+M3011)*Assumptions!$I$70/Assumptions!$I$69/4</f>
        <v>0</v>
      </c>
      <c r="N3015" s="54" t="n">
        <f aca="false">(N3009+N3011)*Assumptions!$I$70/Assumptions!$I$69/4</f>
        <v>0</v>
      </c>
      <c r="P3015" s="55" t="n">
        <f aca="false">SUM(C3015:F3015)</f>
        <v>0</v>
      </c>
      <c r="Q3015" s="55" t="n">
        <f aca="false">SUM(G3015:J3015)</f>
        <v>0</v>
      </c>
      <c r="R3015" s="55" t="n">
        <f aca="false">SUM(K3015:N3015)</f>
        <v>0</v>
      </c>
      <c r="S3015" s="56" t="n">
        <f aca="false">SUM(P3015:R3015)</f>
        <v>0</v>
      </c>
    </row>
    <row r="3016" customFormat="false" ht="15" hidden="false" customHeight="false" outlineLevel="0" collapsed="false">
      <c r="A3016" s="4" t="s">
        <v>555</v>
      </c>
      <c r="B3016" s="36" t="s">
        <v>125</v>
      </c>
      <c r="C3016" s="54" t="n">
        <f aca="false">C3010*$C$2945/4</f>
        <v>0</v>
      </c>
      <c r="D3016" s="54" t="n">
        <f aca="false">D3010*$C$2945/4</f>
        <v>0</v>
      </c>
      <c r="E3016" s="54" t="n">
        <f aca="false">E3010*$C$2945/4</f>
        <v>0</v>
      </c>
      <c r="F3016" s="54" t="n">
        <f aca="false">F3010*$C$2945/4</f>
        <v>0</v>
      </c>
      <c r="G3016" s="54" t="n">
        <f aca="false">G3010*$C$2945/4</f>
        <v>0</v>
      </c>
      <c r="H3016" s="54" t="n">
        <f aca="false">H3010*$C$2945/4</f>
        <v>0</v>
      </c>
      <c r="I3016" s="54" t="n">
        <f aca="false">I3010*$C$2945/4</f>
        <v>0</v>
      </c>
      <c r="J3016" s="54" t="n">
        <f aca="false">J3010*$C$2945/4</f>
        <v>0</v>
      </c>
      <c r="K3016" s="54" t="n">
        <f aca="false">K3010*$C$2945/4</f>
        <v>0</v>
      </c>
      <c r="L3016" s="54" t="n">
        <f aca="false">L3010*$C$2945/4</f>
        <v>0</v>
      </c>
      <c r="M3016" s="54" t="n">
        <f aca="false">M3010*$C$2945/4</f>
        <v>0</v>
      </c>
      <c r="N3016" s="54" t="n">
        <f aca="false">N3010*$C$2945/4</f>
        <v>0</v>
      </c>
      <c r="P3016" s="55" t="n">
        <f aca="false">SUM(C3016:F3016)</f>
        <v>0</v>
      </c>
      <c r="Q3016" s="55" t="n">
        <f aca="false">SUM(G3016:J3016)</f>
        <v>0</v>
      </c>
      <c r="R3016" s="55" t="n">
        <f aca="false">SUM(K3016:N3016)</f>
        <v>0</v>
      </c>
      <c r="S3016" s="56" t="n">
        <f aca="false">SUM(P3016:R3016)</f>
        <v>0</v>
      </c>
    </row>
    <row r="3017" customFormat="false" ht="15" hidden="false" customHeight="false" outlineLevel="0" collapsed="false">
      <c r="A3017" s="4" t="s">
        <v>556</v>
      </c>
      <c r="B3017" s="36" t="s">
        <v>125</v>
      </c>
      <c r="C3017" s="54" t="n">
        <f aca="false">MAX(0,(C3005-C2986*$C$2941)-C2965*$C$2946)*$C$2947*Assumptions!$F$105</f>
        <v>0</v>
      </c>
      <c r="D3017" s="54" t="n">
        <f aca="false">MAX(0,(D3005-D2986*$C$2941)-D2965*$C$2946)*$C$2947*Assumptions!$F$105</f>
        <v>4265.96534248548</v>
      </c>
      <c r="E3017" s="54" t="n">
        <f aca="false">MAX(0,(E3005-E2986*$C$2941)-E2965*$C$2946)*$C$2947*Assumptions!$F$105</f>
        <v>11432.799809891</v>
      </c>
      <c r="F3017" s="54" t="n">
        <f aca="false">MAX(0,(F3005-F2986*$C$2941)-F2965*$C$2946)*$C$2947*Assumptions!$F$105</f>
        <v>14945.3000823247</v>
      </c>
      <c r="G3017" s="54" t="n">
        <f aca="false">MAX(0,(G3005-G2986*$C$2941)-G2965*$C$2946)*$C$2947*Assumptions!$F$105</f>
        <v>18824.0823589009</v>
      </c>
      <c r="H3017" s="54" t="n">
        <f aca="false">MAX(0,(H3005-H2986*$C$2941)-H2965*$C$2946)*$C$2947*Assumptions!$F$105</f>
        <v>24708.2677210915</v>
      </c>
      <c r="I3017" s="54" t="n">
        <f aca="false">MAX(0,(I3005-I2986*$C$2941)-I2965*$C$2946)*$C$2947*Assumptions!$F$105</f>
        <v>30885.7709229489</v>
      </c>
      <c r="J3017" s="54" t="n">
        <f aca="false">MAX(0,(J3005-J2986*$C$2941)-J2965*$C$2946)*$C$2947*Assumptions!$F$105</f>
        <v>36972.261224243</v>
      </c>
      <c r="K3017" s="54" t="n">
        <f aca="false">MAX(0,(K3005-K2986*$C$2941)-K2965*$C$2946)*$C$2947*Assumptions!$F$105</f>
        <v>39049.5144779836</v>
      </c>
      <c r="L3017" s="54" t="n">
        <f aca="false">MAX(0,(L3005-L2986*$C$2941)-L2965*$C$2946)*$C$2947*Assumptions!$F$105</f>
        <v>38228.9090352052</v>
      </c>
      <c r="M3017" s="54" t="n">
        <f aca="false">MAX(0,(M3005-M2986*$C$2941)-M2965*$C$2946)*$C$2947*Assumptions!$F$105</f>
        <v>37440.9763350682</v>
      </c>
      <c r="N3017" s="54" t="n">
        <f aca="false">MAX(0,(N3005-N2986*$C$2941)-N2965*$C$2946)*$C$2947*Assumptions!$F$105</f>
        <v>36684.415498909</v>
      </c>
      <c r="P3017" s="55" t="n">
        <f aca="false">SUM(C3017:F3017)</f>
        <v>30644.0652347012</v>
      </c>
      <c r="Q3017" s="55" t="n">
        <f aca="false">SUM(G3017:J3017)</f>
        <v>111390.382227184</v>
      </c>
      <c r="R3017" s="55" t="n">
        <f aca="false">SUM(K3017:N3017)</f>
        <v>151403.815347166</v>
      </c>
      <c r="S3017" s="56" t="n">
        <f aca="false">SUM(P3017:R3017)</f>
        <v>293438.262809051</v>
      </c>
    </row>
    <row r="3018" customFormat="false" ht="15" hidden="false" customHeight="false" outlineLevel="0" collapsed="false">
      <c r="A3018" s="4" t="s">
        <v>557</v>
      </c>
      <c r="B3018" s="36" t="s">
        <v>125</v>
      </c>
      <c r="C3018" s="54" t="n">
        <f aca="false">C3013*Assumptions!$I$71/Assumptions!$I$69/4</f>
        <v>7390.35714285714</v>
      </c>
      <c r="D3018" s="54" t="n">
        <f aca="false">D3013*Assumptions!$I$71/Assumptions!$I$69/4</f>
        <v>7390.35714285714</v>
      </c>
      <c r="E3018" s="54" t="n">
        <f aca="false">E3013*Assumptions!$I$71/Assumptions!$I$69/4</f>
        <v>7390.35714285714</v>
      </c>
      <c r="F3018" s="54" t="n">
        <f aca="false">F3013*Assumptions!$I$71/Assumptions!$I$69/4</f>
        <v>7390.35714285714</v>
      </c>
      <c r="G3018" s="54" t="n">
        <f aca="false">G3013*Assumptions!$I$71/Assumptions!$I$69/4</f>
        <v>7390.35714285714</v>
      </c>
      <c r="H3018" s="54" t="n">
        <f aca="false">H3013*Assumptions!$I$71/Assumptions!$I$69/4</f>
        <v>7390.35714285714</v>
      </c>
      <c r="I3018" s="54" t="n">
        <f aca="false">I3013*Assumptions!$I$71/Assumptions!$I$69/4</f>
        <v>7390.35714285714</v>
      </c>
      <c r="J3018" s="54" t="n">
        <f aca="false">J3013*Assumptions!$I$71/Assumptions!$I$69/4</f>
        <v>7390.35714285714</v>
      </c>
      <c r="K3018" s="54" t="n">
        <f aca="false">K3013*Assumptions!$I$71/Assumptions!$I$69/4</f>
        <v>7390.35714285714</v>
      </c>
      <c r="L3018" s="54" t="n">
        <f aca="false">L3013*Assumptions!$I$71/Assumptions!$I$69/4</f>
        <v>7390.35714285714</v>
      </c>
      <c r="M3018" s="54" t="n">
        <f aca="false">M3013*Assumptions!$I$71/Assumptions!$I$69/4</f>
        <v>7390.35714285714</v>
      </c>
      <c r="N3018" s="54" t="n">
        <f aca="false">N3013*Assumptions!$I$71/Assumptions!$I$69/4</f>
        <v>7390.35714285714</v>
      </c>
      <c r="P3018" s="55" t="n">
        <f aca="false">SUM(C3018:F3018)</f>
        <v>29561.4285714286</v>
      </c>
      <c r="Q3018" s="55" t="n">
        <f aca="false">SUM(G3018:J3018)</f>
        <v>29561.4285714286</v>
      </c>
      <c r="R3018" s="55" t="n">
        <f aca="false">SUM(K3018:N3018)</f>
        <v>29561.4285714286</v>
      </c>
      <c r="S3018" s="56" t="n">
        <f aca="false">SUM(P3018:R3018)</f>
        <v>88684.2857142857</v>
      </c>
    </row>
    <row r="3019" customFormat="false" ht="15" hidden="false" customHeight="false" outlineLevel="0" collapsed="false">
      <c r="A3019" s="4" t="s">
        <v>558</v>
      </c>
      <c r="B3019" s="36" t="s">
        <v>125</v>
      </c>
      <c r="C3019" s="54" t="n">
        <f aca="false">(Assumptions!$F$103+Assumptions!$I$77*((C2950=Assumptions!$I$13)+(C2950=Assumptions!$I$14)+(C2950=Assumptions!$I$15)))*C2951</f>
        <v>50000</v>
      </c>
      <c r="D3019" s="54" t="n">
        <f aca="false">(Assumptions!$F$103+Assumptions!$I$77*((D2950=Assumptions!$I$13)+(D2950=Assumptions!$I$14)+(D2950=Assumptions!$I$15)))*D2951</f>
        <v>10000</v>
      </c>
      <c r="E3019" s="54" t="n">
        <f aca="false">(Assumptions!$F$103+Assumptions!$I$77*((E2950=Assumptions!$I$13)+(E2950=Assumptions!$I$14)+(E2950=Assumptions!$I$15)))*E2951</f>
        <v>10000</v>
      </c>
      <c r="F3019" s="54" t="n">
        <f aca="false">(Assumptions!$F$103+Assumptions!$I$77*((F2950=Assumptions!$I$13)+(F2950=Assumptions!$I$14)+(F2950=Assumptions!$I$15)))*F2951</f>
        <v>50000</v>
      </c>
      <c r="G3019" s="54" t="n">
        <f aca="false">(Assumptions!$F$103+Assumptions!$I$77*((G2950=Assumptions!$I$13)+(G2950=Assumptions!$I$14)+(G2950=Assumptions!$I$15)))*G2951</f>
        <v>10000</v>
      </c>
      <c r="H3019" s="54" t="n">
        <f aca="false">(Assumptions!$F$103+Assumptions!$I$77*((H2950=Assumptions!$I$13)+(H2950=Assumptions!$I$14)+(H2950=Assumptions!$I$15)))*H2951</f>
        <v>50000</v>
      </c>
      <c r="I3019" s="54" t="n">
        <f aca="false">(Assumptions!$F$103+Assumptions!$I$77*((I2950=Assumptions!$I$13)+(I2950=Assumptions!$I$14)+(I2950=Assumptions!$I$15)))*I2951</f>
        <v>10000</v>
      </c>
      <c r="J3019" s="54" t="n">
        <f aca="false">(Assumptions!$F$103+Assumptions!$I$77*((J2950=Assumptions!$I$13)+(J2950=Assumptions!$I$14)+(J2950=Assumptions!$I$15)))*J2951</f>
        <v>10000</v>
      </c>
      <c r="K3019" s="54" t="n">
        <f aca="false">(Assumptions!$F$103+Assumptions!$I$77*((K2950=Assumptions!$I$13)+(K2950=Assumptions!$I$14)+(K2950=Assumptions!$I$15)))*K2951</f>
        <v>10000</v>
      </c>
      <c r="L3019" s="54" t="n">
        <f aca="false">(Assumptions!$F$103+Assumptions!$I$77*((L2950=Assumptions!$I$13)+(L2950=Assumptions!$I$14)+(L2950=Assumptions!$I$15)))*L2951</f>
        <v>10000</v>
      </c>
      <c r="M3019" s="54" t="n">
        <f aca="false">(Assumptions!$F$103+Assumptions!$I$77*((M2950=Assumptions!$I$13)+(M2950=Assumptions!$I$14)+(M2950=Assumptions!$I$15)))*M2951</f>
        <v>10000</v>
      </c>
      <c r="N3019" s="54" t="n">
        <f aca="false">(Assumptions!$F$103+Assumptions!$I$77*((N2950=Assumptions!$I$13)+(N2950=Assumptions!$I$14)+(N2950=Assumptions!$I$15)))*N2951</f>
        <v>10000</v>
      </c>
      <c r="P3019" s="55" t="n">
        <f aca="false">SUM(C3019:F3019)</f>
        <v>120000</v>
      </c>
      <c r="Q3019" s="55" t="n">
        <f aca="false">SUM(G3019:J3019)</f>
        <v>80000</v>
      </c>
      <c r="R3019" s="55" t="n">
        <f aca="false">SUM(K3019:N3019)</f>
        <v>40000</v>
      </c>
      <c r="S3019" s="56" t="n">
        <f aca="false">SUM(P3019:R3019)</f>
        <v>240000</v>
      </c>
    </row>
    <row r="3020" customFormat="false" ht="15" hidden="false" customHeight="false" outlineLevel="0" collapsed="false">
      <c r="A3020" s="4" t="s">
        <v>559</v>
      </c>
      <c r="B3020" s="36" t="s">
        <v>125</v>
      </c>
      <c r="C3020" s="54" t="n">
        <f aca="false">C3005*C2985*Assumptions!$I$79</f>
        <v>0</v>
      </c>
      <c r="D3020" s="54" t="n">
        <f aca="false">D3005*D2985*Assumptions!$I$79</f>
        <v>908.226998831356</v>
      </c>
      <c r="E3020" s="54" t="n">
        <f aca="false">E3005*E2985*Assumptions!$I$79</f>
        <v>1741.77223586297</v>
      </c>
      <c r="F3020" s="54" t="n">
        <f aca="false">F3005*F2985*Assumptions!$I$79</f>
        <v>2672.86790190707</v>
      </c>
      <c r="G3020" s="54" t="n">
        <f aca="false">G3005*G2985*Assumptions!$I$79</f>
        <v>3082.26139390358</v>
      </c>
      <c r="H3020" s="54" t="n">
        <f aca="false">H3005*H2985*Assumptions!$I$79</f>
        <v>3765.18944195089</v>
      </c>
      <c r="I3020" s="54" t="n">
        <f aca="false">I3005*I2985*Assumptions!$I$79</f>
        <v>4407.75326461311</v>
      </c>
      <c r="J3020" s="54" t="n">
        <f aca="false">J3005*J2985*Assumptions!$I$79</f>
        <v>4533.68270929785</v>
      </c>
      <c r="K3020" s="54" t="n">
        <f aca="false">K3005*K2985*Assumptions!$I$79</f>
        <v>4787.72900293429</v>
      </c>
      <c r="L3020" s="54" t="n">
        <f aca="false">L3005*L2985*Assumptions!$I$79</f>
        <v>4787.06789204085</v>
      </c>
      <c r="M3020" s="54" t="n">
        <f aca="false">M3005*M2985*Assumptions!$I$79</f>
        <v>4786.40608448289</v>
      </c>
      <c r="N3020" s="54" t="n">
        <f aca="false">N3005*N2985*Assumptions!$I$79</f>
        <v>4785.74412589424</v>
      </c>
      <c r="P3020" s="55" t="n">
        <f aca="false">SUM(C3020:F3020)</f>
        <v>5322.86713660139</v>
      </c>
      <c r="Q3020" s="55" t="n">
        <f aca="false">SUM(G3020:J3020)</f>
        <v>15788.8868097654</v>
      </c>
      <c r="R3020" s="55" t="n">
        <f aca="false">SUM(K3020:N3020)</f>
        <v>19146.9471053523</v>
      </c>
      <c r="S3020" s="56" t="n">
        <f aca="false">SUM(P3020:R3020)</f>
        <v>40258.7010517191</v>
      </c>
    </row>
    <row r="3021" customFormat="false" ht="15" hidden="false" customHeight="false" outlineLevel="0" collapsed="false">
      <c r="A3021" s="4" t="s">
        <v>560</v>
      </c>
      <c r="B3021" s="36" t="s">
        <v>125</v>
      </c>
      <c r="C3021" s="54" t="n">
        <f aca="false">C2970*Assumptions!$I$80</f>
        <v>4000</v>
      </c>
      <c r="D3021" s="54" t="n">
        <f aca="false">D2970*Assumptions!$I$80</f>
        <v>6000</v>
      </c>
      <c r="E3021" s="54" t="n">
        <f aca="false">E2970*Assumptions!$I$80</f>
        <v>8000</v>
      </c>
      <c r="F3021" s="54" t="n">
        <f aca="false">F2970*Assumptions!$I$80</f>
        <v>10000</v>
      </c>
      <c r="G3021" s="54" t="n">
        <f aca="false">G2970*Assumptions!$I$80</f>
        <v>12000</v>
      </c>
      <c r="H3021" s="54" t="n">
        <f aca="false">H2970*Assumptions!$I$80</f>
        <v>14000</v>
      </c>
      <c r="I3021" s="54" t="n">
        <f aca="false">I2970*Assumptions!$I$80</f>
        <v>14000</v>
      </c>
      <c r="J3021" s="54" t="n">
        <f aca="false">J2970*Assumptions!$I$80</f>
        <v>14000</v>
      </c>
      <c r="K3021" s="54" t="n">
        <f aca="false">K2970*Assumptions!$I$80</f>
        <v>14000</v>
      </c>
      <c r="L3021" s="54" t="n">
        <f aca="false">L2970*Assumptions!$I$80</f>
        <v>14000</v>
      </c>
      <c r="M3021" s="54" t="n">
        <f aca="false">M2970*Assumptions!$I$80</f>
        <v>14000</v>
      </c>
      <c r="N3021" s="54" t="n">
        <f aca="false">N2970*Assumptions!$I$80</f>
        <v>14000</v>
      </c>
      <c r="P3021" s="55" t="n">
        <f aca="false">SUM(C3021:F3021)</f>
        <v>28000</v>
      </c>
      <c r="Q3021" s="55" t="n">
        <f aca="false">SUM(G3021:J3021)</f>
        <v>54000</v>
      </c>
      <c r="R3021" s="55" t="n">
        <f aca="false">SUM(K3021:N3021)</f>
        <v>56000</v>
      </c>
      <c r="S3021" s="56" t="n">
        <f aca="false">SUM(P3021:R3021)</f>
        <v>138000</v>
      </c>
    </row>
    <row r="3022" customFormat="false" ht="15" hidden="false" customHeight="false" outlineLevel="0" collapsed="false">
      <c r="A3022" s="4" t="s">
        <v>561</v>
      </c>
      <c r="B3022" s="36" t="s">
        <v>125</v>
      </c>
      <c r="C3022" s="54" t="n">
        <f aca="false">(C2993*$C$2942+C2994*$C$2943)*Assumptions!$I$81</f>
        <v>0</v>
      </c>
      <c r="D3022" s="54" t="n">
        <f aca="false">(D2993*$C$2942+D2994*$C$2943)*Assumptions!$I$81</f>
        <v>280.566381743072</v>
      </c>
      <c r="E3022" s="54" t="n">
        <f aca="false">(E2993*$C$2942+E2994*$C$2943)*Assumptions!$I$81</f>
        <v>992.400389721171</v>
      </c>
      <c r="F3022" s="54" t="n">
        <f aca="false">(F2993*$C$2942+F2994*$C$2943)*Assumptions!$I$81</f>
        <v>1416.87794937116</v>
      </c>
      <c r="G3022" s="54" t="n">
        <f aca="false">(G2993*$C$2942+G2994*$C$2943)*Assumptions!$I$81</f>
        <v>1701.64175195911</v>
      </c>
      <c r="H3022" s="54" t="n">
        <f aca="false">(H2993*$C$2942+H2994*$C$2943)*Assumptions!$I$81</f>
        <v>2257.66552884462</v>
      </c>
      <c r="I3022" s="54" t="n">
        <f aca="false">(I2993*$C$2942+I2994*$C$2943)*Assumptions!$I$81</f>
        <v>2854.9814021138</v>
      </c>
      <c r="J3022" s="54" t="n">
        <f aca="false">(J2993*$C$2942+J2994*$C$2943)*Assumptions!$I$81</f>
        <v>3492.01229660239</v>
      </c>
      <c r="K3022" s="54" t="n">
        <f aca="false">(K2993*$C$2942+K2994*$C$2943)*Assumptions!$I$81</f>
        <v>3790.40786660344</v>
      </c>
      <c r="L3022" s="54" t="n">
        <f aca="false">(L2993*$C$2942+L2994*$C$2943)*Assumptions!$I$81</f>
        <v>3710.51306627383</v>
      </c>
      <c r="M3022" s="54" t="n">
        <f aca="false">(M2993*$C$2942+M2994*$C$2943)*Assumptions!$I$81</f>
        <v>3633.79931022382</v>
      </c>
      <c r="N3022" s="54" t="n">
        <f aca="false">(N2993*$C$2942+N2994*$C$2943)*Assumptions!$I$81</f>
        <v>3560.13994386928</v>
      </c>
      <c r="P3022" s="55" t="n">
        <f aca="false">SUM(C3022:F3022)</f>
        <v>2689.8447208354</v>
      </c>
      <c r="Q3022" s="55" t="n">
        <f aca="false">SUM(G3022:J3022)</f>
        <v>10306.3009795199</v>
      </c>
      <c r="R3022" s="55" t="n">
        <f aca="false">SUM(K3022:N3022)</f>
        <v>14694.8601869704</v>
      </c>
      <c r="S3022" s="56" t="n">
        <f aca="false">SUM(P3022:R3022)</f>
        <v>27691.0058873257</v>
      </c>
    </row>
    <row r="3023" customFormat="false" ht="15" hidden="false" customHeight="false" outlineLevel="0" collapsed="false">
      <c r="A3023" s="9" t="s">
        <v>562</v>
      </c>
      <c r="B3023" s="36" t="s">
        <v>125</v>
      </c>
      <c r="C3023" s="55" t="n">
        <f aca="false">C3015+C3016+C3017+C3018+C3019+C3020+C3021+C3022</f>
        <v>61390.3571428571</v>
      </c>
      <c r="D3023" s="55" t="n">
        <f aca="false">D3015+D3016+D3017+D3018+D3019+D3020+D3021+D3022</f>
        <v>28845.1158659171</v>
      </c>
      <c r="E3023" s="55" t="n">
        <f aca="false">E3015+E3016+E3017+E3018+E3019+E3020+E3021+E3022</f>
        <v>39557.3295783323</v>
      </c>
      <c r="F3023" s="55" t="n">
        <f aca="false">F3015+F3016+F3017+F3018+F3019+F3020+F3021+F3022</f>
        <v>86425.4030764601</v>
      </c>
      <c r="G3023" s="55" t="n">
        <f aca="false">G3015+G3016+G3017+G3018+G3019+G3020+G3021+G3022</f>
        <v>52998.3426476207</v>
      </c>
      <c r="H3023" s="55" t="n">
        <f aca="false">H3015+H3016+H3017+H3018+H3019+H3020+H3021+H3022</f>
        <v>102121.479834744</v>
      </c>
      <c r="I3023" s="55" t="n">
        <f aca="false">I3015+I3016+I3017+I3018+I3019+I3020+I3021+I3022</f>
        <v>69538.862732533</v>
      </c>
      <c r="J3023" s="55" t="n">
        <f aca="false">J3015+J3016+J3017+J3018+J3019+J3020+J3021+J3022</f>
        <v>76388.3133730004</v>
      </c>
      <c r="K3023" s="55" t="n">
        <f aca="false">K3015+K3016+K3017+K3018+K3019+K3020+K3021+K3022</f>
        <v>79018.0084903784</v>
      </c>
      <c r="L3023" s="55" t="n">
        <f aca="false">L3015+L3016+L3017+L3018+L3019+L3020+L3021+L3022</f>
        <v>78116.847136377</v>
      </c>
      <c r="M3023" s="55" t="n">
        <f aca="false">M3015+M3016+M3017+M3018+M3019+M3020+M3021+M3022</f>
        <v>77251.5388726321</v>
      </c>
      <c r="N3023" s="55" t="n">
        <f aca="false">N3015+N3016+N3017+N3018+N3019+N3020+N3021+N3022</f>
        <v>76420.6567115297</v>
      </c>
      <c r="P3023" s="55" t="n">
        <f aca="false">SUM(C3023:F3023)</f>
        <v>216218.205663567</v>
      </c>
      <c r="Q3023" s="55" t="n">
        <f aca="false">SUM(G3023:J3023)</f>
        <v>301046.998587898</v>
      </c>
      <c r="R3023" s="55" t="n">
        <f aca="false">SUM(K3023:N3023)</f>
        <v>310807.051210917</v>
      </c>
      <c r="S3023" s="56" t="n">
        <f aca="false">SUM(P3023:R3023)</f>
        <v>828072.255462382</v>
      </c>
    </row>
    <row r="3024" customFormat="false" ht="15" hidden="false" customHeight="false" outlineLevel="0" collapsed="false">
      <c r="A3024" s="4" t="s">
        <v>563</v>
      </c>
      <c r="B3024" s="36" t="s">
        <v>125</v>
      </c>
      <c r="C3024" s="54" t="n">
        <f aca="false">C3012*Assumptions!$I$72/Assumptions!$I$69/4</f>
        <v>28267.8571428571</v>
      </c>
      <c r="D3024" s="54" t="n">
        <f aca="false">D3012*Assumptions!$I$72/Assumptions!$I$69/4</f>
        <v>28267.8571428571</v>
      </c>
      <c r="E3024" s="54" t="n">
        <f aca="false">E3012*Assumptions!$I$72/Assumptions!$I$69/4</f>
        <v>28267.8571428571</v>
      </c>
      <c r="F3024" s="54" t="n">
        <f aca="false">F3012*Assumptions!$I$72/Assumptions!$I$69/4</f>
        <v>28267.8571428571</v>
      </c>
      <c r="G3024" s="54" t="n">
        <f aca="false">G3012*Assumptions!$I$72/Assumptions!$I$69/4</f>
        <v>14133.9285714286</v>
      </c>
      <c r="H3024" s="54" t="n">
        <f aca="false">H3012*Assumptions!$I$72/Assumptions!$I$69/4</f>
        <v>14133.9285714286</v>
      </c>
      <c r="I3024" s="54" t="n">
        <f aca="false">I3012*Assumptions!$I$72/Assumptions!$I$69/4</f>
        <v>14133.9285714286</v>
      </c>
      <c r="J3024" s="54" t="n">
        <f aca="false">J3012*Assumptions!$I$72/Assumptions!$I$69/4</f>
        <v>14133.9285714286</v>
      </c>
      <c r="K3024" s="54" t="n">
        <f aca="false">K3012*Assumptions!$I$72/Assumptions!$I$69/4</f>
        <v>14133.9285714286</v>
      </c>
      <c r="L3024" s="54" t="n">
        <f aca="false">L3012*Assumptions!$I$72/Assumptions!$I$69/4</f>
        <v>14133.9285714286</v>
      </c>
      <c r="M3024" s="54" t="n">
        <f aca="false">M3012*Assumptions!$I$72/Assumptions!$I$69/4</f>
        <v>14133.9285714286</v>
      </c>
      <c r="N3024" s="54" t="n">
        <f aca="false">N3012*Assumptions!$I$72/Assumptions!$I$69/4</f>
        <v>14133.9285714286</v>
      </c>
      <c r="P3024" s="55" t="n">
        <f aca="false">SUM(C3024:F3024)</f>
        <v>113071.428571429</v>
      </c>
      <c r="Q3024" s="55" t="n">
        <f aca="false">SUM(G3024:J3024)</f>
        <v>56535.7142857143</v>
      </c>
      <c r="R3024" s="55" t="n">
        <f aca="false">SUM(K3024:N3024)</f>
        <v>56535.7142857143</v>
      </c>
      <c r="S3024" s="56" t="n">
        <f aca="false">SUM(P3024:R3024)</f>
        <v>226142.857142857</v>
      </c>
    </row>
    <row r="3025" customFormat="false" ht="15" hidden="false" customHeight="false" outlineLevel="0" collapsed="false">
      <c r="A3025" s="4" t="s">
        <v>564</v>
      </c>
      <c r="B3025" s="36" t="s">
        <v>125</v>
      </c>
      <c r="C3025" s="54" t="n">
        <f aca="false">IF(C2950&lt;=Assumptions!$I$83,Assumptions!$I$82*Assumptions!$F$108/Assumptions!$I$83,0)</f>
        <v>37500</v>
      </c>
      <c r="D3025" s="54" t="n">
        <f aca="false">IF(D2950&lt;=Assumptions!$I$83,Assumptions!$I$82*Assumptions!$F$108/Assumptions!$I$83,0)</f>
        <v>37500</v>
      </c>
      <c r="E3025" s="54" t="n">
        <f aca="false">IF(E2950&lt;=Assumptions!$I$83,Assumptions!$I$82*Assumptions!$F$108/Assumptions!$I$83,0)</f>
        <v>37500</v>
      </c>
      <c r="F3025" s="54" t="n">
        <f aca="false">IF(F2950&lt;=Assumptions!$I$83,Assumptions!$I$82*Assumptions!$F$108/Assumptions!$I$83,0)</f>
        <v>37500</v>
      </c>
      <c r="G3025" s="54" t="n">
        <f aca="false">IF(G2950&lt;=Assumptions!$I$83,Assumptions!$I$82*Assumptions!$F$108/Assumptions!$I$83,0)</f>
        <v>0</v>
      </c>
      <c r="H3025" s="54" t="n">
        <f aca="false">IF(H2950&lt;=Assumptions!$I$83,Assumptions!$I$82*Assumptions!$F$108/Assumptions!$I$83,0)</f>
        <v>0</v>
      </c>
      <c r="I3025" s="54" t="n">
        <f aca="false">IF(I2950&lt;=Assumptions!$I$83,Assumptions!$I$82*Assumptions!$F$108/Assumptions!$I$83,0)</f>
        <v>0</v>
      </c>
      <c r="J3025" s="54" t="n">
        <f aca="false">IF(J2950&lt;=Assumptions!$I$83,Assumptions!$I$82*Assumptions!$F$108/Assumptions!$I$83,0)</f>
        <v>0</v>
      </c>
      <c r="K3025" s="54" t="n">
        <f aca="false">IF(K2950&lt;=Assumptions!$I$83,Assumptions!$I$82*Assumptions!$F$108/Assumptions!$I$83,0)</f>
        <v>0</v>
      </c>
      <c r="L3025" s="54" t="n">
        <f aca="false">IF(L2950&lt;=Assumptions!$I$83,Assumptions!$I$82*Assumptions!$F$108/Assumptions!$I$83,0)</f>
        <v>0</v>
      </c>
      <c r="M3025" s="54" t="n">
        <f aca="false">IF(M2950&lt;=Assumptions!$I$83,Assumptions!$I$82*Assumptions!$F$108/Assumptions!$I$83,0)</f>
        <v>0</v>
      </c>
      <c r="N3025" s="54" t="n">
        <f aca="false">IF(N2950&lt;=Assumptions!$I$83,Assumptions!$I$82*Assumptions!$F$108/Assumptions!$I$83,0)</f>
        <v>0</v>
      </c>
      <c r="P3025" s="55" t="n">
        <f aca="false">SUM(C3025:F3025)</f>
        <v>150000</v>
      </c>
      <c r="Q3025" s="55" t="n">
        <f aca="false">SUM(G3025:J3025)</f>
        <v>0</v>
      </c>
      <c r="R3025" s="55" t="n">
        <f aca="false">SUM(K3025:N3025)</f>
        <v>0</v>
      </c>
      <c r="S3025" s="56" t="n">
        <f aca="false">SUM(P3025:R3025)</f>
        <v>150000</v>
      </c>
    </row>
    <row r="3026" customFormat="false" ht="15" hidden="false" customHeight="false" outlineLevel="0" collapsed="false">
      <c r="A3026" s="4" t="s">
        <v>565</v>
      </c>
      <c r="B3026" s="36" t="s">
        <v>125</v>
      </c>
      <c r="C3026" s="54" t="n">
        <f aca="false">C3014*Assumptions!$I$73/Assumptions!$I$69/4</f>
        <v>0</v>
      </c>
      <c r="D3026" s="54" t="n">
        <f aca="false">D3014*Assumptions!$I$73/Assumptions!$I$69/4</f>
        <v>1465.67462952797</v>
      </c>
      <c r="E3026" s="54" t="n">
        <f aca="false">E3014*Assumptions!$I$73/Assumptions!$I$69/4</f>
        <v>4302.342628191</v>
      </c>
      <c r="F3026" s="54" t="n">
        <f aca="false">F3014*Assumptions!$I$73/Assumptions!$I$69/4</f>
        <v>7437.04591929652</v>
      </c>
      <c r="G3026" s="54" t="n">
        <f aca="false">G3014*Assumptions!$I$73/Assumptions!$I$69/4</f>
        <v>11721.8486871943</v>
      </c>
      <c r="H3026" s="54" t="n">
        <f aca="false">H3014*Assumptions!$I$73/Assumptions!$I$69/4</f>
        <v>17207.0735312261</v>
      </c>
      <c r="I3026" s="54" t="n">
        <f aca="false">I3014*Assumptions!$I$73/Assumptions!$I$69/4</f>
        <v>24068.120671715</v>
      </c>
      <c r="J3026" s="54" t="n">
        <f aca="false">J3014*Assumptions!$I$73/Assumptions!$I$69/4</f>
        <v>32022.2869658563</v>
      </c>
      <c r="K3026" s="54" t="n">
        <f aca="false">K3014*Assumptions!$I$73/Assumptions!$I$69/4</f>
        <v>39818.7252268248</v>
      </c>
      <c r="L3026" s="54" t="n">
        <f aca="false">L3014*Assumptions!$I$73/Assumptions!$I$69/4</f>
        <v>47295.690348165</v>
      </c>
      <c r="M3026" s="54" t="n">
        <f aca="false">M3014*Assumptions!$I$73/Assumptions!$I$69/4</f>
        <v>54466.1526287539</v>
      </c>
      <c r="N3026" s="54" t="n">
        <f aca="false">N3014*Assumptions!$I$73/Assumptions!$I$69/4</f>
        <v>61342.5596928742</v>
      </c>
      <c r="P3026" s="55" t="n">
        <f aca="false">SUM(C3026:F3026)</f>
        <v>13205.0631770155</v>
      </c>
      <c r="Q3026" s="55" t="n">
        <f aca="false">SUM(G3026:J3026)</f>
        <v>85019.3298559918</v>
      </c>
      <c r="R3026" s="55" t="n">
        <f aca="false">SUM(K3026:N3026)</f>
        <v>202923.127896618</v>
      </c>
      <c r="S3026" s="56" t="n">
        <f aca="false">SUM(P3026:R3026)</f>
        <v>301147.520929625</v>
      </c>
    </row>
    <row r="3027" customFormat="false" ht="15" hidden="false" customHeight="false" outlineLevel="0" collapsed="false">
      <c r="A3027" s="9" t="s">
        <v>566</v>
      </c>
      <c r="B3027" s="36" t="s">
        <v>125</v>
      </c>
      <c r="C3027" s="55" t="n">
        <f aca="false">C3023+C3024+C3025+C3026</f>
        <v>127158.214285714</v>
      </c>
      <c r="D3027" s="55" t="n">
        <f aca="false">D3023+D3024+D3025+D3026</f>
        <v>96078.6476383022</v>
      </c>
      <c r="E3027" s="55" t="n">
        <f aca="false">E3023+E3024+E3025+E3026</f>
        <v>109627.52934938</v>
      </c>
      <c r="F3027" s="55" t="n">
        <f aca="false">F3023+F3024+F3025+F3026</f>
        <v>159630.306138614</v>
      </c>
      <c r="G3027" s="55" t="n">
        <f aca="false">G3023+G3024+G3025+G3026</f>
        <v>78854.1199062436</v>
      </c>
      <c r="H3027" s="55" t="n">
        <f aca="false">H3023+H3024+H3025+H3026</f>
        <v>133462.481937399</v>
      </c>
      <c r="I3027" s="55" t="n">
        <f aca="false">I3023+I3024+I3025+I3026</f>
        <v>107740.911975677</v>
      </c>
      <c r="J3027" s="55" t="n">
        <f aca="false">J3023+J3024+J3025+J3026</f>
        <v>122544.528910285</v>
      </c>
      <c r="K3027" s="55" t="n">
        <f aca="false">K3023+K3024+K3025+K3026</f>
        <v>132970.662288632</v>
      </c>
      <c r="L3027" s="55" t="n">
        <f aca="false">L3023+L3024+L3025+L3026</f>
        <v>139546.466055971</v>
      </c>
      <c r="M3027" s="55" t="n">
        <f aca="false">M3023+M3024+M3025+M3026</f>
        <v>145851.620072815</v>
      </c>
      <c r="N3027" s="55" t="n">
        <f aca="false">N3023+N3024+N3025+N3026</f>
        <v>151897.144975832</v>
      </c>
      <c r="P3027" s="55" t="n">
        <f aca="false">SUM(C3027:F3027)</f>
        <v>492494.697412011</v>
      </c>
      <c r="Q3027" s="55" t="n">
        <f aca="false">SUM(G3027:J3027)</f>
        <v>442602.042729604</v>
      </c>
      <c r="R3027" s="55" t="n">
        <f aca="false">SUM(K3027:N3027)</f>
        <v>570265.893393249</v>
      </c>
      <c r="S3027" s="56" t="n">
        <f aca="false">SUM(P3027:R3027)</f>
        <v>1505362.63353486</v>
      </c>
    </row>
    <row r="3028" customFormat="false" ht="15" hidden="false" customHeight="false" outlineLevel="0" collapsed="false">
      <c r="A3028" s="35" t="s">
        <v>567</v>
      </c>
      <c r="B3028" s="35" t="s">
        <v>444</v>
      </c>
      <c r="C3028" s="6" t="s">
        <v>354</v>
      </c>
      <c r="D3028" s="6" t="s">
        <v>355</v>
      </c>
      <c r="E3028" s="6" t="s">
        <v>356</v>
      </c>
      <c r="F3028" s="6" t="s">
        <v>357</v>
      </c>
      <c r="G3028" s="6" t="s">
        <v>358</v>
      </c>
      <c r="H3028" s="6" t="s">
        <v>359</v>
      </c>
      <c r="I3028" s="6" t="s">
        <v>360</v>
      </c>
      <c r="J3028" s="6" t="s">
        <v>361</v>
      </c>
      <c r="K3028" s="6" t="s">
        <v>362</v>
      </c>
      <c r="L3028" s="6" t="s">
        <v>363</v>
      </c>
      <c r="M3028" s="6" t="s">
        <v>364</v>
      </c>
      <c r="N3028" s="6" t="s">
        <v>365</v>
      </c>
      <c r="P3028" s="6" t="s">
        <v>445</v>
      </c>
      <c r="Q3028" s="6" t="s">
        <v>446</v>
      </c>
      <c r="R3028" s="6" t="s">
        <v>447</v>
      </c>
      <c r="S3028" s="6" t="s">
        <v>448</v>
      </c>
    </row>
    <row r="3029" customFormat="false" ht="15" hidden="false" customHeight="false" outlineLevel="0" collapsed="false">
      <c r="A3029" s="9" t="s">
        <v>568</v>
      </c>
      <c r="B3029" s="36" t="s">
        <v>125</v>
      </c>
      <c r="C3029" s="55" t="n">
        <f aca="false">C3007-C3027</f>
        <v>-127158.214285714</v>
      </c>
      <c r="D3029" s="55" t="n">
        <f aca="false">D3007-D3027</f>
        <v>-94337.587636773</v>
      </c>
      <c r="E3029" s="55" t="n">
        <f aca="false">E3007-E3027</f>
        <v>-102092.568832573</v>
      </c>
      <c r="F3029" s="55" t="n">
        <f aca="false">F3007-F3027</f>
        <v>-142953.116434595</v>
      </c>
      <c r="G3029" s="55" t="n">
        <f aca="false">G3007-G3027</f>
        <v>-50312.1478572195</v>
      </c>
      <c r="H3029" s="55" t="n">
        <f aca="false">H3007-H3027</f>
        <v>-89196.0882173561</v>
      </c>
      <c r="I3029" s="55" t="n">
        <f aca="false">I3007-I3027</f>
        <v>-43262.2471960467</v>
      </c>
      <c r="J3029" s="55" t="n">
        <f aca="false">J3007-J3027</f>
        <v>-33299.6639475888</v>
      </c>
      <c r="K3029" s="55" t="n">
        <f aca="false">K3007-K3027</f>
        <v>-15818.704072637</v>
      </c>
      <c r="L3029" s="55" t="n">
        <f aca="false">L3007-L3027</f>
        <v>6700.42473748422</v>
      </c>
      <c r="M3029" s="55" t="n">
        <f aca="false">M3007-M3027</f>
        <v>30093.4287144832</v>
      </c>
      <c r="N3029" s="55" t="n">
        <f aca="false">N3007-N3027</f>
        <v>54410.3425879414</v>
      </c>
      <c r="P3029" s="55" t="n">
        <f aca="false">SUM(C3029:F3029)</f>
        <v>-466541.487189655</v>
      </c>
      <c r="Q3029" s="55" t="n">
        <f aca="false">SUM(G3029:J3029)</f>
        <v>-216070.147218211</v>
      </c>
      <c r="R3029" s="55" t="n">
        <f aca="false">SUM(K3029:N3029)</f>
        <v>75385.4919672718</v>
      </c>
      <c r="S3029" s="56" t="n">
        <f aca="false">SUM(P3029:R3029)</f>
        <v>-607226.142440595</v>
      </c>
    </row>
    <row r="3030" customFormat="false" ht="15" hidden="false" customHeight="false" outlineLevel="0" collapsed="false">
      <c r="A3030" s="9" t="s">
        <v>569</v>
      </c>
      <c r="B3030" s="36" t="s">
        <v>125</v>
      </c>
      <c r="C3030" s="55" t="n">
        <f aca="false">0+C3029</f>
        <v>-127158.214285714</v>
      </c>
      <c r="D3030" s="55" t="n">
        <f aca="false">C3030+D3029</f>
        <v>-221495.801922487</v>
      </c>
      <c r="E3030" s="55" t="n">
        <f aca="false">D3030+E3029</f>
        <v>-323588.37075506</v>
      </c>
      <c r="F3030" s="55" t="n">
        <f aca="false">E3030+F3029</f>
        <v>-466541.487189655</v>
      </c>
      <c r="G3030" s="55" t="n">
        <f aca="false">F3030+G3029</f>
        <v>-516853.635046875</v>
      </c>
      <c r="H3030" s="55" t="n">
        <f aca="false">G3030+H3029</f>
        <v>-606049.723264231</v>
      </c>
      <c r="I3030" s="55" t="n">
        <f aca="false">H3030+I3029</f>
        <v>-649311.970460278</v>
      </c>
      <c r="J3030" s="55" t="n">
        <f aca="false">I3030+J3029</f>
        <v>-682611.634407866</v>
      </c>
      <c r="K3030" s="55" t="n">
        <f aca="false">J3030+K3029</f>
        <v>-698430.338480503</v>
      </c>
      <c r="L3030" s="55" t="n">
        <f aca="false">K3030+L3029</f>
        <v>-691729.913743019</v>
      </c>
      <c r="M3030" s="55" t="n">
        <f aca="false">L3030+M3029</f>
        <v>-661636.485028536</v>
      </c>
      <c r="N3030" s="55" t="n">
        <f aca="false">M3030+N3029</f>
        <v>-607226.142440595</v>
      </c>
      <c r="P3030" s="55" t="n">
        <f aca="false">F3030</f>
        <v>-466541.487189655</v>
      </c>
      <c r="Q3030" s="55" t="n">
        <f aca="false">J3030</f>
        <v>-682611.634407866</v>
      </c>
      <c r="R3030" s="55" t="n">
        <f aca="false">N3030</f>
        <v>-607226.142440595</v>
      </c>
      <c r="S3030" s="56" t="n">
        <f aca="false">R3030</f>
        <v>-607226.142440595</v>
      </c>
    </row>
    <row r="3031" customFormat="false" ht="15" hidden="false" customHeight="false" outlineLevel="0" collapsed="false">
      <c r="A3031" s="4" t="s">
        <v>570</v>
      </c>
      <c r="B3031" s="36" t="s">
        <v>107</v>
      </c>
      <c r="C3031" s="57" t="n">
        <f aca="false">1/(1+Assumptions!$I$87)^(C2950/4)</f>
        <v>0.972065420906982</v>
      </c>
      <c r="D3031" s="57" t="n">
        <f aca="false">1/(1+Assumptions!$I$87)^(D2950/4)</f>
        <v>0.944911182523068</v>
      </c>
      <c r="E3031" s="57" t="n">
        <f aca="false">1/(1+Assumptions!$I$87)^(E2950/4)</f>
        <v>0.918515486359</v>
      </c>
      <c r="F3031" s="57" t="n">
        <f aca="false">1/(1+Assumptions!$I$87)^(F2950/4)</f>
        <v>0.892857142857143</v>
      </c>
      <c r="G3031" s="57" t="n">
        <f aca="false">1/(1+Assumptions!$I$87)^(G2950/4)</f>
        <v>0.867915554381234</v>
      </c>
      <c r="H3031" s="57" t="n">
        <f aca="false">1/(1+Assumptions!$I$87)^(H2950/4)</f>
        <v>0.843670698681311</v>
      </c>
      <c r="I3031" s="57" t="n">
        <f aca="false">1/(1+Assumptions!$I$87)^(I2950/4)</f>
        <v>0.820103112820536</v>
      </c>
      <c r="J3031" s="57" t="n">
        <f aca="false">1/(1+Assumptions!$I$87)^(J2950/4)</f>
        <v>0.79719387755102</v>
      </c>
      <c r="K3031" s="57" t="n">
        <f aca="false">1/(1+Assumptions!$I$87)^(K2950/4)</f>
        <v>0.774924602126102</v>
      </c>
      <c r="L3031" s="57" t="n">
        <f aca="false">1/(1+Assumptions!$I$87)^(L2950/4)</f>
        <v>0.753277409536885</v>
      </c>
      <c r="M3031" s="57" t="n">
        <f aca="false">1/(1+Assumptions!$I$87)^(M2950/4)</f>
        <v>0.732234922161193</v>
      </c>
      <c r="N3031" s="57" t="n">
        <f aca="false">1/(1+Assumptions!$I$87)^(N2950/4)</f>
        <v>0.711780247813411</v>
      </c>
      <c r="P3031" s="58"/>
      <c r="Q3031" s="58"/>
      <c r="R3031" s="58"/>
      <c r="S3031" s="59"/>
    </row>
    <row r="3032" customFormat="false" ht="15" hidden="false" customHeight="false" outlineLevel="0" collapsed="false">
      <c r="A3032" s="4" t="s">
        <v>571</v>
      </c>
      <c r="B3032" s="36" t="s">
        <v>125</v>
      </c>
      <c r="C3032" s="54" t="n">
        <f aca="false">(C3007*(1-Assumptions!$I$88)-C3027)*C3031</f>
        <v>-123606.103091423</v>
      </c>
      <c r="D3032" s="54" t="n">
        <f aca="false">(D3007*(1-Assumptions!$I$88)-D3027)*D3031</f>
        <v>-89634.1856097033</v>
      </c>
      <c r="E3032" s="54" t="n">
        <f aca="false">(E3007*(1-Assumptions!$I$88)-E3027)*E3031</f>
        <v>-95849.8988920277</v>
      </c>
      <c r="F3032" s="54" t="n">
        <f aca="false">(F3007*(1-Assumptions!$I$88)-F3027)*F3031</f>
        <v>-132103.815487322</v>
      </c>
      <c r="G3032" s="54" t="n">
        <f aca="false">(G3007*(1-Assumptions!$I$88)-G3027)*G3031</f>
        <v>-51098.302147828</v>
      </c>
      <c r="H3032" s="54" t="n">
        <f aca="false">(H3007*(1-Assumptions!$I$88)-H3027)*H3031</f>
        <v>-86456.0038613438</v>
      </c>
      <c r="I3032" s="54" t="n">
        <f aca="false">(I3007*(1-Assumptions!$I$88)-I3027)*I3031</f>
        <v>-51343.2497019753</v>
      </c>
      <c r="J3032" s="54" t="n">
        <f aca="false">(J3007*(1-Assumptions!$I$88)-J3027)*J3031</f>
        <v>-47889.926208863</v>
      </c>
      <c r="K3032" s="54" t="n">
        <f aca="false">(K3007*(1-Assumptions!$I$88)-K3027)*K3031</f>
        <v>-39493.4833422858</v>
      </c>
      <c r="L3032" s="54" t="n">
        <f aca="false">(L3007*(1-Assumptions!$I$88)-L3027)*L3031</f>
        <v>-28002.0651258662</v>
      </c>
      <c r="M3032" s="54" t="n">
        <f aca="false">(M3007*(1-Assumptions!$I$88)-M3027)*M3031</f>
        <v>-16614.4732987113</v>
      </c>
      <c r="N3032" s="54" t="n">
        <f aca="false">(N3007*(1-Assumptions!$I$88)-N3027)*N3031</f>
        <v>-5325.47125631404</v>
      </c>
      <c r="P3032" s="55" t="n">
        <f aca="false">SUM(C3032:F3032)</f>
        <v>-441194.003080476</v>
      </c>
      <c r="Q3032" s="55" t="n">
        <f aca="false">SUM(G3032:J3032)</f>
        <v>-236787.48192001</v>
      </c>
      <c r="R3032" s="55" t="n">
        <f aca="false">SUM(K3032:N3032)</f>
        <v>-89435.4930231773</v>
      </c>
      <c r="S3032" s="56" t="n">
        <f aca="false">SUM(P3032:R3032)</f>
        <v>-767416.978023664</v>
      </c>
    </row>
    <row r="3033" customFormat="false" ht="15" hidden="false" customHeight="false" outlineLevel="0" collapsed="false">
      <c r="A3033" s="4" t="s">
        <v>572</v>
      </c>
      <c r="B3033" s="36" t="s">
        <v>125</v>
      </c>
      <c r="C3033" s="54" t="n">
        <f aca="false">(C3027-C3026)*12/(Assumptions!$I$89*Assumptions!$I$76)*Assumptions!$I$90</f>
        <v>79473.8839285714</v>
      </c>
      <c r="D3033" s="54" t="n">
        <f aca="false">(D3027-D3026)*12/(Assumptions!$I$89*Assumptions!$I$76)*Assumptions!$I$90</f>
        <v>59133.1081304839</v>
      </c>
      <c r="E3033" s="54" t="n">
        <f aca="false">(E3027-E3026)*12/(Assumptions!$I$89*Assumptions!$I$76)*Assumptions!$I$90</f>
        <v>65828.2417007434</v>
      </c>
      <c r="F3033" s="54" t="n">
        <f aca="false">(F3027-F3026)*12/(Assumptions!$I$89*Assumptions!$I$76)*Assumptions!$I$90</f>
        <v>95120.7876370733</v>
      </c>
      <c r="G3033" s="54" t="n">
        <f aca="false">(G3027-G3026)*12/(Assumptions!$I$89*Assumptions!$I$76)*Assumptions!$I$90</f>
        <v>41957.6695119058</v>
      </c>
      <c r="H3033" s="54" t="n">
        <f aca="false">(H3027-H3026)*12/(Assumptions!$I$89*Assumptions!$I$76)*Assumptions!$I$90</f>
        <v>72659.6302538579</v>
      </c>
      <c r="I3033" s="54" t="n">
        <f aca="false">(I3027-I3026)*12/(Assumptions!$I$89*Assumptions!$I$76)*Assumptions!$I$90</f>
        <v>52295.494564976</v>
      </c>
      <c r="J3033" s="54" t="n">
        <f aca="false">(J3027-J3026)*12/(Assumptions!$I$89*Assumptions!$I$76)*Assumptions!$I$90</f>
        <v>56576.4012152681</v>
      </c>
      <c r="K3033" s="54" t="n">
        <f aca="false">(K3027-K3026)*12/(Assumptions!$I$89*Assumptions!$I$76)*Assumptions!$I$90</f>
        <v>58219.9606636294</v>
      </c>
      <c r="L3033" s="54" t="n">
        <f aca="false">(L3027-L3026)*12/(Assumptions!$I$89*Assumptions!$I$76)*Assumptions!$I$90</f>
        <v>57656.7348173785</v>
      </c>
      <c r="M3033" s="54" t="n">
        <f aca="false">(M3027-M3026)*12/(Assumptions!$I$89*Assumptions!$I$76)*Assumptions!$I$90</f>
        <v>57115.9171525379</v>
      </c>
      <c r="N3033" s="54" t="n">
        <f aca="false">(N3027-N3026)*12/(Assumptions!$I$89*Assumptions!$I$76)*Assumptions!$I$90</f>
        <v>56596.6158018489</v>
      </c>
      <c r="P3033" s="55" t="n">
        <f aca="false">SUM(C3033:F3033)</f>
        <v>299556.021396872</v>
      </c>
      <c r="Q3033" s="55" t="n">
        <f aca="false">SUM(G3033:J3033)</f>
        <v>223489.195546008</v>
      </c>
      <c r="R3033" s="55" t="n">
        <f aca="false">SUM(K3033:N3033)</f>
        <v>229589.228435395</v>
      </c>
      <c r="S3033" s="56" t="n">
        <f aca="false">SUM(P3033:R3033)</f>
        <v>752634.445378274</v>
      </c>
    </row>
    <row r="3034" customFormat="false" ht="15" hidden="false" customHeight="false" outlineLevel="0" collapsed="false">
      <c r="A3034" s="4" t="s">
        <v>573</v>
      </c>
      <c r="B3034" s="36" t="s">
        <v>125</v>
      </c>
      <c r="C3034" s="54" t="n">
        <f aca="false">0*Assumptions!$I$92^(1/4)+C3033</f>
        <v>79473.8839285714</v>
      </c>
      <c r="D3034" s="54" t="n">
        <f aca="false">C3034*Assumptions!$I$92^(1/4)+D3033</f>
        <v>138804.936017785</v>
      </c>
      <c r="E3034" s="54" t="n">
        <f aca="false">D3034*Assumptions!$I$92^(1/4)+E3033</f>
        <v>204978.896301394</v>
      </c>
      <c r="F3034" s="54" t="n">
        <f aca="false">E3034*Assumptions!$I$92^(1/4)+F3033</f>
        <v>300610.220635357</v>
      </c>
      <c r="G3034" s="54" t="n">
        <f aca="false">F3034*Assumptions!$I$92^(1/4)+G3033</f>
        <v>343316.613805473</v>
      </c>
      <c r="H3034" s="54" t="n">
        <f aca="false">G3034*Assumptions!$I$92^(1/4)+H3033</f>
        <v>416831.335647599</v>
      </c>
      <c r="I3034" s="54" t="n">
        <f aca="false">H3034*Assumptions!$I$92^(1/4)+I3033</f>
        <v>470165.023397833</v>
      </c>
      <c r="J3034" s="54" t="n">
        <f aca="false">I3034*Assumptions!$I$92^(1/4)+J3033</f>
        <v>527912.454911196</v>
      </c>
      <c r="K3034" s="54" t="n">
        <f aca="false">J3034*Assumptions!$I$92^(1/4)+K3033</f>
        <v>587447.276206045</v>
      </c>
      <c r="L3034" s="54" t="n">
        <f aca="false">K3034*Assumptions!$I$92^(1/4)+L3033</f>
        <v>646567.153802524</v>
      </c>
      <c r="M3034" s="54" t="n">
        <f aca="false">L3034*Assumptions!$I$92^(1/4)+M3033</f>
        <v>705293.462390357</v>
      </c>
      <c r="N3034" s="54" t="n">
        <f aca="false">M3034*Assumptions!$I$92^(1/4)+N3033</f>
        <v>763646.738029508</v>
      </c>
      <c r="P3034" s="55" t="n">
        <f aca="false">F3034</f>
        <v>300610.220635357</v>
      </c>
      <c r="Q3034" s="55" t="n">
        <f aca="false">J3034</f>
        <v>527912.454911196</v>
      </c>
      <c r="R3034" s="55" t="n">
        <f aca="false">N3034</f>
        <v>763646.738029508</v>
      </c>
      <c r="S3034" s="56" t="n">
        <f aca="false">R3034</f>
        <v>763646.738029508</v>
      </c>
    </row>
    <row r="3035" customFormat="false" ht="15" hidden="false" customHeight="false" outlineLevel="0" collapsed="false">
      <c r="A3035" s="4" t="s">
        <v>574</v>
      </c>
      <c r="B3035" s="36" t="s">
        <v>125</v>
      </c>
      <c r="C3035" s="54" t="n">
        <f aca="false">(0+C3034)/8*Assumptions!$I$76-(C3027-C3026)-C3034*Assumptions!$I$93/4</f>
        <v>-120998.98828125</v>
      </c>
      <c r="D3035" s="54" t="n">
        <f aca="false">(C3034+D3034)/8*Assumptions!$I$76-(D3027-D3026)-D3034*Assumptions!$I$93/4</f>
        <v>-76702.9409138244</v>
      </c>
      <c r="E3035" s="54" t="n">
        <f aca="false">(D3034+E3034)/8*Assumptions!$I$76-(E3027-E3026)-E3034*Assumptions!$I$93/4</f>
        <v>-76946.8780162308</v>
      </c>
      <c r="F3035" s="54" t="n">
        <f aca="false">(E3034+F3034)/8*Assumptions!$I$76-(F3027-F3026)-F3034*Assumptions!$I$93/4</f>
        <v>-110447.867452952</v>
      </c>
      <c r="G3035" s="54" t="n">
        <f aca="false">(F3034+G3034)/8*Assumptions!$I$76-(G3027-G3026)-G3034*Assumptions!$I$93/4</f>
        <v>-13470.313791943</v>
      </c>
      <c r="H3035" s="54" t="n">
        <f aca="false">(G3034+H3034)/8*Assumptions!$I$76-(H3027-H3026)-H3034*Assumptions!$I$93/4</f>
        <v>-53052.4846509912</v>
      </c>
      <c r="I3035" s="54" t="n">
        <f aca="false">(H3034+I3034)/8*Assumptions!$I$76-(I3027-I3026)-I3034*Assumptions!$I$93/4</f>
        <v>-9720.1817823456</v>
      </c>
      <c r="J3035" s="54" t="n">
        <f aca="false">(I3034+J3034)/8*Assumptions!$I$76-(J3027-J3026)-J3034*Assumptions!$I$93/4</f>
        <v>-7294.17458300633</v>
      </c>
      <c r="K3035" s="54" t="n">
        <f aca="false">(J3034+K3034)/8*Assumptions!$I$76-(K3027-K3026)-K3034*Assumptions!$I$93/4</f>
        <v>-112.652213830926</v>
      </c>
      <c r="L3035" s="54" t="n">
        <f aca="false">(K3034+L3034)/8*Assumptions!$I$76-(L3027-L3026)-L3034*Assumptions!$I$93/4</f>
        <v>10728.433570434</v>
      </c>
      <c r="M3035" s="54" t="n">
        <f aca="false">(L3034+M3034)/8*Assumptions!$I$76-(M3027-M3026)-M3034*Assumptions!$I$93/4</f>
        <v>21465.8197334192</v>
      </c>
      <c r="N3035" s="54" t="n">
        <f aca="false">(M3034+N3034)/8*Assumptions!$I$76-(N3027-N3026)-N3034*Assumptions!$I$93/4</f>
        <v>32104.4485294607</v>
      </c>
      <c r="P3035" s="55" t="n">
        <f aca="false">SUM(C3035:F3035)</f>
        <v>-385096.674664257</v>
      </c>
      <c r="Q3035" s="55" t="n">
        <f aca="false">SUM(G3035:J3035)</f>
        <v>-83537.1548082861</v>
      </c>
      <c r="R3035" s="55" t="n">
        <f aca="false">SUM(K3035:N3035)</f>
        <v>64186.049619483</v>
      </c>
      <c r="S3035" s="56" t="n">
        <f aca="false">SUM(P3035:R3035)</f>
        <v>-404447.77985306</v>
      </c>
    </row>
    <row r="3036" customFormat="false" ht="15" hidden="false" customHeight="false" outlineLevel="0" collapsed="false">
      <c r="A3036" s="4" t="s">
        <v>575</v>
      </c>
      <c r="B3036" s="36" t="s">
        <v>125</v>
      </c>
      <c r="C3036" s="54" t="n">
        <f aca="false">C3035*C3031</f>
        <v>-117618.932472932</v>
      </c>
      <c r="D3036" s="54" t="n">
        <f aca="false">D3035*D3031</f>
        <v>-72477.4666018789</v>
      </c>
      <c r="E3036" s="54" t="n">
        <f aca="false">E3035*E3031</f>
        <v>-70676.8990848849</v>
      </c>
      <c r="F3036" s="54" t="n">
        <f aca="false">F3035*F3031</f>
        <v>-98614.1673687068</v>
      </c>
      <c r="G3036" s="54" t="n">
        <f aca="false">G3035*G3031</f>
        <v>-11691.0948624234</v>
      </c>
      <c r="H3036" s="54" t="n">
        <f aca="false">H3035*H3031</f>
        <v>-44758.8267922813</v>
      </c>
      <c r="I3036" s="54" t="n">
        <f aca="false">I3035*I3031</f>
        <v>-7971.55133688309</v>
      </c>
      <c r="J3036" s="54" t="n">
        <f aca="false">J3035*J3031</f>
        <v>-5814.87131936091</v>
      </c>
      <c r="K3036" s="54" t="n">
        <f aca="false">K3035*K3031</f>
        <v>-87.2969719815552</v>
      </c>
      <c r="L3036" s="54" t="n">
        <f aca="false">L3035*L3031</f>
        <v>8081.4866483251</v>
      </c>
      <c r="M3036" s="54" t="n">
        <f aca="false">M3035*M3031</f>
        <v>15718.0228416264</v>
      </c>
      <c r="N3036" s="54" t="n">
        <f aca="false">N3035*N3031</f>
        <v>22851.3123302125</v>
      </c>
      <c r="P3036" s="55" t="n">
        <f aca="false">SUM(C3036:F3036)</f>
        <v>-359387.465528403</v>
      </c>
      <c r="Q3036" s="55" t="n">
        <f aca="false">SUM(G3036:J3036)</f>
        <v>-70236.3443109487</v>
      </c>
      <c r="R3036" s="55" t="n">
        <f aca="false">SUM(K3036:N3036)</f>
        <v>46563.5248481824</v>
      </c>
      <c r="S3036" s="56" t="n">
        <f aca="false">SUM(P3036:R3036)</f>
        <v>-383060.284991169</v>
      </c>
    </row>
    <row r="3037" customFormat="false" ht="15" hidden="false" customHeight="false" outlineLevel="0" collapsed="false">
      <c r="A3037" s="4" t="s">
        <v>576</v>
      </c>
      <c r="B3037" s="36"/>
      <c r="C3037" s="37" t="n">
        <f aca="false">IFERROR((S2992*$C$2941*Assumptions!$I$59+S2993*$C$2942*Assumptions!$I$60+S2994*$C$2943*Assumptions!$I$61)/(S2992*$C$2941+S2993*$C$2942+S2994*$C$2943),0.9)</f>
        <v>0.926318898516187</v>
      </c>
    </row>
    <row r="3038" customFormat="false" ht="15" hidden="false" customHeight="false" outlineLevel="0" collapsed="false">
      <c r="A3038" s="4" t="s">
        <v>577</v>
      </c>
      <c r="B3038" s="36"/>
      <c r="C3038" s="37" t="n">
        <f aca="false">IFERROR(N3026*4/N3004,0)</f>
        <v>0.199251700529634</v>
      </c>
    </row>
    <row r="3039" customFormat="false" ht="15" hidden="false" customHeight="false" outlineLevel="0" collapsed="false">
      <c r="A3039" s="4" t="s">
        <v>578</v>
      </c>
      <c r="B3039" s="36"/>
      <c r="C3039" s="60" t="n">
        <f aca="false">$C$3037/(1+Assumptions!$I$87)</f>
        <v>0.827070445103738</v>
      </c>
    </row>
    <row r="3040" customFormat="false" ht="15" hidden="false" customHeight="false" outlineLevel="0" collapsed="false">
      <c r="A3040" s="4" t="s">
        <v>579</v>
      </c>
      <c r="B3040" s="36"/>
      <c r="C3040" s="60" t="n">
        <f aca="false">Assumptions!$I$91/(1+Assumptions!$I$87)</f>
        <v>0.803571428571429</v>
      </c>
    </row>
    <row r="3041" customFormat="false" ht="15" hidden="false" customHeight="false" outlineLevel="0" collapsed="false">
      <c r="A3041" s="35" t="s">
        <v>580</v>
      </c>
      <c r="B3041" s="35" t="s">
        <v>444</v>
      </c>
      <c r="C3041" s="6" t="s">
        <v>354</v>
      </c>
      <c r="D3041" s="6" t="s">
        <v>355</v>
      </c>
      <c r="E3041" s="6" t="s">
        <v>356</v>
      </c>
      <c r="F3041" s="6" t="s">
        <v>357</v>
      </c>
      <c r="G3041" s="6" t="s">
        <v>358</v>
      </c>
      <c r="H3041" s="6" t="s">
        <v>359</v>
      </c>
      <c r="I3041" s="6" t="s">
        <v>360</v>
      </c>
      <c r="J3041" s="6" t="s">
        <v>361</v>
      </c>
      <c r="K3041" s="6" t="s">
        <v>362</v>
      </c>
      <c r="L3041" s="6" t="s">
        <v>363</v>
      </c>
      <c r="M3041" s="6" t="s">
        <v>364</v>
      </c>
      <c r="N3041" s="6" t="s">
        <v>365</v>
      </c>
      <c r="P3041" s="6" t="s">
        <v>445</v>
      </c>
      <c r="Q3041" s="6" t="s">
        <v>446</v>
      </c>
      <c r="R3041" s="6" t="s">
        <v>447</v>
      </c>
      <c r="S3041" s="6" t="s">
        <v>448</v>
      </c>
    </row>
    <row r="3042" customFormat="false" ht="15" hidden="false" customHeight="false" outlineLevel="0" collapsed="false">
      <c r="A3042" s="9" t="s">
        <v>581</v>
      </c>
      <c r="C3042" s="61" t="n">
        <f aca="false">N3004</f>
        <v>1231458.69329734</v>
      </c>
      <c r="D3042" s="61"/>
    </row>
    <row r="3043" customFormat="false" ht="15" hidden="false" customHeight="false" outlineLevel="0" collapsed="false">
      <c r="A3043" s="9" t="s">
        <v>582</v>
      </c>
      <c r="C3043" s="62" t="n">
        <f aca="false">N3000</f>
        <v>136.357606276844</v>
      </c>
      <c r="D3043" s="62"/>
    </row>
    <row r="3044" customFormat="false" ht="15" hidden="false" customHeight="false" outlineLevel="0" collapsed="false">
      <c r="A3044" s="9" t="s">
        <v>583</v>
      </c>
      <c r="C3044" s="63" t="n">
        <f aca="false">S2995</f>
        <v>147.951610997488</v>
      </c>
      <c r="D3044" s="63"/>
    </row>
    <row r="3045" customFormat="false" ht="15" hidden="false" customHeight="false" outlineLevel="0" collapsed="false">
      <c r="A3045" s="9" t="s">
        <v>584</v>
      </c>
      <c r="C3045" s="61" t="n">
        <f aca="false">S3006</f>
        <v>1247411.79318649</v>
      </c>
      <c r="D3045" s="61"/>
    </row>
    <row r="3046" customFormat="false" ht="15" hidden="false" customHeight="false" outlineLevel="0" collapsed="false">
      <c r="A3046" s="9" t="s">
        <v>22</v>
      </c>
      <c r="C3046" s="61" t="n">
        <f aca="false">IFERROR(S3005/S2995,0)</f>
        <v>7292.32355628473</v>
      </c>
      <c r="D3046" s="61"/>
    </row>
    <row r="3047" customFormat="false" ht="15" hidden="false" customHeight="false" outlineLevel="0" collapsed="false">
      <c r="A3047" s="9" t="s">
        <v>585</v>
      </c>
      <c r="C3047" s="61" t="n">
        <f aca="false">IFERROR(S3023/S2995,0)</f>
        <v>5596.91273301809</v>
      </c>
      <c r="D3047" s="61"/>
    </row>
    <row r="3048" customFormat="false" ht="23.85" hidden="false" customHeight="false" outlineLevel="0" collapsed="false">
      <c r="A3048" s="9" t="s">
        <v>586</v>
      </c>
      <c r="C3048" s="61" t="n">
        <f aca="false">IFERROR((S3017+S3019+S3020+S3021+S3022)/S2995,0)</f>
        <v>4997.49860622098</v>
      </c>
      <c r="D3048" s="61"/>
    </row>
    <row r="3049" customFormat="false" ht="15" hidden="false" customHeight="false" outlineLevel="0" collapsed="false">
      <c r="A3049" s="9" t="s">
        <v>587</v>
      </c>
      <c r="C3049" s="64" t="n">
        <f aca="false">IFERROR('Engine Runs'!$C$3047/('Engine Runs'!$C$3046*Assumptions!$I$76/12),0)</f>
        <v>12.7917910064813</v>
      </c>
      <c r="D3049" s="64"/>
    </row>
    <row r="3050" customFormat="false" ht="15" hidden="false" customHeight="false" outlineLevel="0" collapsed="false">
      <c r="A3050" s="9" t="s">
        <v>588</v>
      </c>
      <c r="C3050" s="64" t="n">
        <f aca="false">IFERROR((R3023/R2995)/((R3005/R2995)*Assumptions!$I$76/12),0)</f>
        <v>9.51419764130953</v>
      </c>
      <c r="D3050" s="64"/>
    </row>
    <row r="3051" customFormat="false" ht="15" hidden="false" customHeight="false" outlineLevel="0" collapsed="false">
      <c r="A3051" s="9" t="s">
        <v>589</v>
      </c>
      <c r="C3051" s="61" t="n">
        <f aca="false">S3027</f>
        <v>1505362.63353486</v>
      </c>
      <c r="D3051" s="61"/>
    </row>
    <row r="3052" customFormat="false" ht="15" hidden="false" customHeight="false" outlineLevel="0" collapsed="false">
      <c r="A3052" s="9" t="s">
        <v>590</v>
      </c>
      <c r="C3052" s="61" t="n">
        <f aca="false">N3030</f>
        <v>-607226.142440595</v>
      </c>
      <c r="D3052" s="61"/>
    </row>
    <row r="3053" customFormat="false" ht="15" hidden="false" customHeight="false" outlineLevel="0" collapsed="false">
      <c r="A3053" s="9" t="s">
        <v>591</v>
      </c>
      <c r="C3053" s="61" t="n">
        <f aca="false">MIN($C$3030:$N$3030)</f>
        <v>-698430.338480503</v>
      </c>
      <c r="D3053" s="61"/>
    </row>
    <row r="3054" customFormat="false" ht="15" hidden="false" customHeight="false" outlineLevel="0" collapsed="false">
      <c r="A3054" s="9" t="s">
        <v>592</v>
      </c>
      <c r="C3054" s="61" t="n">
        <f aca="false">N3004*(Assumptions!$I$76-$C$3038)*$C$3037*(1-$C$3037^Assumptions!$I$85)/(1-$C$3037)</f>
        <v>2563540.04671334</v>
      </c>
      <c r="D3054" s="61"/>
    </row>
    <row r="3055" customFormat="false" ht="15" hidden="false" customHeight="false" outlineLevel="0" collapsed="false">
      <c r="A3055" s="9" t="s">
        <v>593</v>
      </c>
      <c r="C3055" s="61" t="n">
        <f aca="false">N3004*(Assumptions!$I$76-$C$3038)*(1-Assumptions!$I$88)/(1+Assumptions!$I$87)^2.5*$C$3039*(1-$C$3039^Assumptions!$I$85)/(1-$C$3039)</f>
        <v>991364.745211956</v>
      </c>
      <c r="D3055" s="61"/>
    </row>
    <row r="3056" customFormat="false" ht="15" hidden="false" customHeight="false" outlineLevel="0" collapsed="false">
      <c r="A3056" s="9" t="s">
        <v>594</v>
      </c>
      <c r="C3056" s="61" t="n">
        <f aca="false">SUM($C$3032:$N$3032)+'Engine Runs'!$C$3055</f>
        <v>223947.767188292</v>
      </c>
      <c r="D3056" s="61"/>
    </row>
    <row r="3057" customFormat="false" ht="15" hidden="false" customHeight="false" outlineLevel="0" collapsed="false">
      <c r="A3057" s="9" t="s">
        <v>595</v>
      </c>
      <c r="C3057" s="61" t="n">
        <f aca="false">SUM($C$3036:$N$3036)+N3034*(Assumptions!$I$76-Assumptions!$I$93)/(1+Assumptions!$I$87)^2.5*$C$3040*(1-$C$3040^Assumptions!$I$85)/(1-$C$3040)</f>
        <v>665333.916905965</v>
      </c>
      <c r="D3057" s="61"/>
    </row>
    <row r="3058" customFormat="false" ht="15" hidden="false" customHeight="false" outlineLevel="0" collapsed="false">
      <c r="A3058" s="9" t="s">
        <v>596</v>
      </c>
      <c r="C3058" s="61" t="n">
        <f aca="false">'Engine Runs'!$C$3056-'Engine Runs'!$C$3057</f>
        <v>-441386.149717673</v>
      </c>
      <c r="D3058" s="61"/>
    </row>
    <row r="3059" customFormat="false" ht="15" hidden="false" customHeight="false" outlineLevel="0" collapsed="false">
      <c r="A3059" s="9" t="s">
        <v>597</v>
      </c>
      <c r="C3059" s="61" t="n">
        <f aca="false">S2991</f>
        <v>0</v>
      </c>
      <c r="D3059" s="61"/>
    </row>
    <row r="3060" customFormat="false" ht="15" hidden="false" customHeight="false" outlineLevel="0" collapsed="false">
      <c r="A3060" s="9" t="s">
        <v>598</v>
      </c>
      <c r="C3060" s="63" t="n">
        <f aca="false">P2975</f>
        <v>114.236836448332</v>
      </c>
      <c r="D3060" s="63"/>
    </row>
    <row r="3061" customFormat="false" ht="15" hidden="false" customHeight="false" outlineLevel="0" collapsed="false">
      <c r="A3061" s="9" t="s">
        <v>599</v>
      </c>
      <c r="C3061" s="63" t="n">
        <f aca="false">P2995</f>
        <v>17.705053523083</v>
      </c>
      <c r="D3061" s="63"/>
    </row>
    <row r="3062" customFormat="false" ht="15" hidden="false" customHeight="false" outlineLevel="0" collapsed="false">
      <c r="A3062" s="9" t="s">
        <v>600</v>
      </c>
      <c r="C3062" s="63" t="n">
        <f aca="false">P2971</f>
        <v>56</v>
      </c>
      <c r="D3062" s="63"/>
    </row>
    <row r="3063" customFormat="false" ht="15" hidden="false" customHeight="false" outlineLevel="0" collapsed="false">
      <c r="A3063" s="9" t="s">
        <v>601</v>
      </c>
      <c r="C3063" s="61" t="n">
        <f aca="false">IFERROR(P3005/P2995,0)</f>
        <v>6706.0226056559</v>
      </c>
      <c r="D3063" s="61"/>
    </row>
    <row r="3066" customFormat="false" ht="15" hidden="false" customHeight="true" outlineLevel="0" collapsed="false">
      <c r="A3066" s="78" t="s">
        <v>807</v>
      </c>
      <c r="B3066" s="78"/>
      <c r="C3066" s="78"/>
      <c r="D3066" s="78"/>
      <c r="E3066" s="78"/>
      <c r="F3066" s="78"/>
      <c r="G3066" s="78"/>
      <c r="H3066" s="78"/>
      <c r="I3066" s="78"/>
      <c r="J3066" s="78"/>
      <c r="K3066" s="78"/>
      <c r="L3066" s="78"/>
      <c r="M3066" s="78"/>
      <c r="N3066" s="78"/>
    </row>
    <row r="3067" customFormat="false" ht="15" hidden="false" customHeight="true" outlineLevel="0" collapsed="false">
      <c r="A3067" s="79" t="s">
        <v>808</v>
      </c>
      <c r="B3067" s="79"/>
      <c r="C3067" s="79"/>
      <c r="D3067" s="79"/>
      <c r="E3067" s="79"/>
      <c r="F3067" s="79"/>
      <c r="G3067" s="79"/>
      <c r="H3067" s="79"/>
      <c r="I3067" s="79"/>
      <c r="J3067" s="79"/>
      <c r="K3067" s="79"/>
      <c r="L3067" s="79"/>
      <c r="M3067" s="79"/>
      <c r="N3067" s="79"/>
    </row>
    <row r="3068" customFormat="false" ht="23.85" hidden="false" customHeight="false" outlineLevel="0" collapsed="false">
      <c r="A3068" s="35" t="s">
        <v>809</v>
      </c>
      <c r="B3068" s="35" t="s">
        <v>444</v>
      </c>
      <c r="C3068" s="6" t="s">
        <v>354</v>
      </c>
      <c r="D3068" s="6" t="s">
        <v>355</v>
      </c>
      <c r="E3068" s="6" t="s">
        <v>356</v>
      </c>
      <c r="F3068" s="6" t="s">
        <v>357</v>
      </c>
      <c r="G3068" s="6" t="s">
        <v>358</v>
      </c>
      <c r="H3068" s="6" t="s">
        <v>359</v>
      </c>
      <c r="I3068" s="6" t="s">
        <v>360</v>
      </c>
      <c r="J3068" s="6" t="s">
        <v>361</v>
      </c>
      <c r="K3068" s="6" t="s">
        <v>362</v>
      </c>
      <c r="L3068" s="6" t="s">
        <v>363</v>
      </c>
      <c r="M3068" s="6" t="s">
        <v>364</v>
      </c>
      <c r="N3068" s="6" t="s">
        <v>365</v>
      </c>
      <c r="P3068" s="6" t="s">
        <v>445</v>
      </c>
      <c r="Q3068" s="6" t="s">
        <v>446</v>
      </c>
      <c r="R3068" s="6" t="s">
        <v>447</v>
      </c>
      <c r="S3068" s="6" t="s">
        <v>448</v>
      </c>
    </row>
    <row r="3069" customFormat="false" ht="15" hidden="false" customHeight="false" outlineLevel="0" collapsed="false">
      <c r="A3069" s="4" t="s">
        <v>449</v>
      </c>
      <c r="B3069" s="36" t="s">
        <v>450</v>
      </c>
      <c r="C3069" s="34" t="n">
        <f aca="false">'Market Sizing'!$C$17*Assumptions!$E$10*Assumptions!$E$11*(1-Assumptions!$E$12)</f>
        <v>843.03944704</v>
      </c>
    </row>
    <row r="3070" customFormat="false" ht="15" hidden="false" customHeight="false" outlineLevel="0" collapsed="false">
      <c r="A3070" s="4" t="s">
        <v>451</v>
      </c>
      <c r="B3070" s="36" t="s">
        <v>450</v>
      </c>
      <c r="C3070" s="34" t="n">
        <f aca="false">'Market Sizing'!$D$17*Assumptions!$E$10*Assumptions!$E$11*(1-Assumptions!$E$12)</f>
        <v>211.19616</v>
      </c>
    </row>
    <row r="3071" customFormat="false" ht="15" hidden="false" customHeight="false" outlineLevel="0" collapsed="false">
      <c r="A3071" s="4" t="s">
        <v>452</v>
      </c>
      <c r="B3071" s="36" t="s">
        <v>450</v>
      </c>
      <c r="C3071" s="34" t="n">
        <f aca="false">'Market Sizing'!$E$17*Assumptions!$E$10*Assumptions!$E$11*(1-Assumptions!$E$12)</f>
        <v>49.53984</v>
      </c>
    </row>
    <row r="3072" customFormat="false" ht="15" hidden="false" customHeight="false" outlineLevel="0" collapsed="false">
      <c r="A3072" s="4" t="s">
        <v>453</v>
      </c>
      <c r="B3072" s="36"/>
      <c r="C3072" s="34" t="n">
        <f aca="false">$C$3069+$C$3070+$C$3071</f>
        <v>1103.77544704</v>
      </c>
    </row>
    <row r="3073" customFormat="false" ht="15" hidden="false" customHeight="false" outlineLevel="0" collapsed="false">
      <c r="A3073" s="4" t="s">
        <v>454</v>
      </c>
      <c r="B3073" s="36" t="s">
        <v>450</v>
      </c>
      <c r="C3073" s="34" t="n">
        <f aca="false">'Market Sizing'!$C$18*Assumptions!$E$10*Assumptions!$E$11*(1-Assumptions!$E$12)</f>
        <v>612.57706944</v>
      </c>
    </row>
    <row r="3074" customFormat="false" ht="15" hidden="false" customHeight="false" outlineLevel="0" collapsed="false">
      <c r="A3074" s="4" t="s">
        <v>455</v>
      </c>
      <c r="B3074" s="36" t="s">
        <v>450</v>
      </c>
      <c r="C3074" s="34" t="n">
        <f aca="false">'Market Sizing'!$D$18*Assumptions!$E$10*Assumptions!$E$11*(1-Assumptions!$E$12)</f>
        <v>142.10112</v>
      </c>
    </row>
    <row r="3075" customFormat="false" ht="15" hidden="false" customHeight="false" outlineLevel="0" collapsed="false">
      <c r="A3075" s="4" t="s">
        <v>456</v>
      </c>
      <c r="B3075" s="36" t="s">
        <v>450</v>
      </c>
      <c r="C3075" s="34" t="n">
        <f aca="false">'Market Sizing'!$E$18*Assumptions!$E$10*Assumptions!$E$11*(1-Assumptions!$E$12)</f>
        <v>24.76992</v>
      </c>
    </row>
    <row r="3076" customFormat="false" ht="15" hidden="false" customHeight="false" outlineLevel="0" collapsed="false">
      <c r="A3076" s="4" t="s">
        <v>457</v>
      </c>
      <c r="B3076" s="36"/>
      <c r="C3076" s="34" t="n">
        <f aca="false">$C$3073+$C$3074+$C$3075</f>
        <v>779.44810944</v>
      </c>
    </row>
    <row r="3077" customFormat="false" ht="15" hidden="false" customHeight="false" outlineLevel="0" collapsed="false">
      <c r="A3077" s="4" t="s">
        <v>458</v>
      </c>
      <c r="B3077" s="36" t="s">
        <v>450</v>
      </c>
      <c r="C3077" s="34" t="n">
        <f aca="false">'Market Sizing'!$C$19*Assumptions!$E$10*Assumptions!$E$11*(1-Assumptions!$E$12)</f>
        <v>2060.77303936</v>
      </c>
    </row>
    <row r="3078" customFormat="false" ht="15" hidden="false" customHeight="false" outlineLevel="0" collapsed="false">
      <c r="A3078" s="4" t="s">
        <v>459</v>
      </c>
      <c r="B3078" s="36" t="s">
        <v>450</v>
      </c>
      <c r="C3078" s="34" t="n">
        <f aca="false">'Market Sizing'!$D$19*Assumptions!$E$10*Assumptions!$E$11*(1-Assumptions!$E$12)</f>
        <v>428.47616</v>
      </c>
    </row>
    <row r="3079" customFormat="false" ht="15" hidden="false" customHeight="false" outlineLevel="0" collapsed="false">
      <c r="A3079" s="4" t="s">
        <v>460</v>
      </c>
      <c r="B3079" s="36" t="s">
        <v>450</v>
      </c>
      <c r="C3079" s="34" t="n">
        <f aca="false">'Market Sizing'!$E$19*Assumptions!$E$10*Assumptions!$E$11*(1-Assumptions!$E$12)</f>
        <v>79.52448</v>
      </c>
    </row>
    <row r="3080" customFormat="false" ht="15" hidden="false" customHeight="false" outlineLevel="0" collapsed="false">
      <c r="A3080" s="4" t="s">
        <v>461</v>
      </c>
      <c r="B3080" s="36"/>
      <c r="C3080" s="34" t="n">
        <f aca="false">$C$3077+$C$3078+$C$3079</f>
        <v>2568.77367936</v>
      </c>
    </row>
    <row r="3081" customFormat="false" ht="15" hidden="false" customHeight="false" outlineLevel="0" collapsed="false">
      <c r="A3081" s="4" t="s">
        <v>462</v>
      </c>
      <c r="B3081" s="36" t="s">
        <v>463</v>
      </c>
      <c r="C3081" s="33" t="n">
        <f aca="false">MAX((Assumptions!$E$51+Assumptions!$E$53)*12,(((('Market Sizing'!$E$25*Assumptions!$E$41*Assumptions!$E$42*Assumptions!$E$43)*Assumptions!$E$44)*Assumptions!$E$45*Assumptions!$E$46+('Market Sizing'!$E$25*Assumptions!$E$41*Assumptions!$E$42*Assumptions!$E$43)*Assumptions!$E$47+('Market Sizing'!$E$25*Assumptions!$E$41*Assumptions!$E$42*Assumptions!$E$43)*Assumptions!$E$48*Assumptions!$E$49)*(Assumptions!$E$51*12/Assumptions!$E$52)+((('Market Sizing'!$E$25*Assumptions!$E$41*Assumptions!$E$42*Assumptions!$E$43)*Assumptions!$E$44)*Assumptions!$E$45+('Market Sizing'!$E$25*Assumptions!$E$41*Assumptions!$E$42*Assumptions!$E$43)+('Market Sizing'!$E$25*Assumptions!$E$41*Assumptions!$E$42*Assumptions!$E$43)*Assumptions!$E$48)*Assumptions!$E$50*(Assumptions!$E$53*12/Assumptions!$E$54)))</f>
        <v>5352</v>
      </c>
    </row>
    <row r="3082" customFormat="false" ht="15" hidden="false" customHeight="false" outlineLevel="0" collapsed="false">
      <c r="A3082" s="4" t="s">
        <v>464</v>
      </c>
      <c r="B3082" s="36" t="s">
        <v>463</v>
      </c>
      <c r="C3082" s="33" t="n">
        <f aca="false">MAX((Assumptions!$E$51+Assumptions!$E$53)*12,(((('Market Sizing'!$E$26*Assumptions!$E$41*Assumptions!$E$42*Assumptions!$E$43)*Assumptions!$E$44)*Assumptions!$E$45*Assumptions!$E$46+('Market Sizing'!$E$26*Assumptions!$E$41*Assumptions!$E$42*Assumptions!$E$43)*Assumptions!$E$47+('Market Sizing'!$E$26*Assumptions!$E$41*Assumptions!$E$42*Assumptions!$E$43)*Assumptions!$E$48*Assumptions!$E$49)*(Assumptions!$E$51*12/Assumptions!$E$52)+((('Market Sizing'!$E$26*Assumptions!$E$41*Assumptions!$E$42*Assumptions!$E$43)*Assumptions!$E$44)*Assumptions!$E$45+('Market Sizing'!$E$26*Assumptions!$E$41*Assumptions!$E$42*Assumptions!$E$43)+('Market Sizing'!$E$26*Assumptions!$E$41*Assumptions!$E$42*Assumptions!$E$43)*Assumptions!$E$48)*Assumptions!$E$50*(Assumptions!$E$53*12/Assumptions!$E$54)))</f>
        <v>9766.72012875208</v>
      </c>
    </row>
    <row r="3083" customFormat="false" ht="15" hidden="false" customHeight="false" outlineLevel="0" collapsed="false">
      <c r="A3083" s="4" t="s">
        <v>465</v>
      </c>
      <c r="B3083" s="36" t="s">
        <v>463</v>
      </c>
      <c r="C3083" s="33" t="n">
        <f aca="false">MAX(Assumptions!$E$55*(Assumptions!$E$51*12/Assumptions!$E$52)+Assumptions!$E$56*(Assumptions!$E$53*12/Assumptions!$E$54),(((('Market Sizing'!$E$27*Assumptions!$E$41*Assumptions!$E$42*Assumptions!$E$43)*Assumptions!$E$44)*Assumptions!$E$45*Assumptions!$E$46+('Market Sizing'!$E$27*Assumptions!$E$41*Assumptions!$E$42*Assumptions!$E$43)*Assumptions!$E$47+('Market Sizing'!$E$27*Assumptions!$E$41*Assumptions!$E$42*Assumptions!$E$43)*Assumptions!$E$48*Assumptions!$E$49)*(Assumptions!$E$51*12/Assumptions!$E$52)+((('Market Sizing'!$E$27*Assumptions!$E$41*Assumptions!$E$42*Assumptions!$E$43)*Assumptions!$E$44)*Assumptions!$E$45+('Market Sizing'!$E$27*Assumptions!$E$41*Assumptions!$E$42*Assumptions!$E$43)+('Market Sizing'!$E$27*Assumptions!$E$41*Assumptions!$E$42*Assumptions!$E$43)*Assumptions!$E$48)*Assumptions!$E$50*(Assumptions!$E$53*12/Assumptions!$E$54)))*(1-Assumptions!$E$57)</f>
        <v>61778.2562194386</v>
      </c>
    </row>
    <row r="3084" customFormat="false" ht="23.85" hidden="false" customHeight="false" outlineLevel="0" collapsed="false">
      <c r="A3084" s="4" t="s">
        <v>466</v>
      </c>
      <c r="B3084" s="36" t="s">
        <v>467</v>
      </c>
      <c r="C3084" s="37" t="n">
        <f aca="false">Assumptions!$D$17*Assumptions!$D$106</f>
        <v>0.3</v>
      </c>
    </row>
    <row r="3085" customFormat="false" ht="23.85" hidden="false" customHeight="false" outlineLevel="0" collapsed="false">
      <c r="A3085" s="4" t="s">
        <v>468</v>
      </c>
      <c r="B3085" s="36" t="s">
        <v>469</v>
      </c>
      <c r="C3085" s="33" t="n">
        <f aca="false">Assumptions!$E$68/Assumptions!$E$69</f>
        <v>285714.285714286</v>
      </c>
    </row>
    <row r="3086" customFormat="false" ht="23.85" hidden="false" customHeight="false" outlineLevel="0" collapsed="false">
      <c r="A3086" s="4" t="s">
        <v>470</v>
      </c>
      <c r="B3086" s="36" t="s">
        <v>471</v>
      </c>
      <c r="C3086" s="33" t="n">
        <f aca="false">Assumptions!$E$66*Assumptions!$E$67/4</f>
        <v>153125</v>
      </c>
    </row>
    <row r="3087" customFormat="false" ht="15" hidden="false" customHeight="false" outlineLevel="0" collapsed="false">
      <c r="A3087" s="4" t="s">
        <v>472</v>
      </c>
      <c r="B3087" s="36"/>
      <c r="C3087" s="38" t="n">
        <f aca="false">$C$3085/Assumptions!$E$66/Assumptions!$E$67</f>
        <v>0.466472303206997</v>
      </c>
    </row>
    <row r="3088" customFormat="false" ht="15" hidden="false" customHeight="false" outlineLevel="0" collapsed="false">
      <c r="A3088" s="4" t="s">
        <v>473</v>
      </c>
      <c r="B3088" s="36"/>
      <c r="C3088" s="33" t="n">
        <f aca="false">MAX(0,Assumptions!$D$103-Assumptions!$E$78)</f>
        <v>0</v>
      </c>
    </row>
    <row r="3089" customFormat="false" ht="15" hidden="false" customHeight="false" outlineLevel="0" collapsed="false">
      <c r="A3089" s="35" t="s">
        <v>474</v>
      </c>
      <c r="B3089" s="35" t="s">
        <v>444</v>
      </c>
      <c r="C3089" s="6" t="s">
        <v>354</v>
      </c>
      <c r="D3089" s="6" t="s">
        <v>355</v>
      </c>
      <c r="E3089" s="6" t="s">
        <v>356</v>
      </c>
      <c r="F3089" s="6" t="s">
        <v>357</v>
      </c>
      <c r="G3089" s="6" t="s">
        <v>358</v>
      </c>
      <c r="H3089" s="6" t="s">
        <v>359</v>
      </c>
      <c r="I3089" s="6" t="s">
        <v>360</v>
      </c>
      <c r="J3089" s="6" t="s">
        <v>361</v>
      </c>
      <c r="K3089" s="6" t="s">
        <v>362</v>
      </c>
      <c r="L3089" s="6" t="s">
        <v>363</v>
      </c>
      <c r="M3089" s="6" t="s">
        <v>364</v>
      </c>
      <c r="N3089" s="6" t="s">
        <v>365</v>
      </c>
      <c r="P3089" s="6" t="s">
        <v>445</v>
      </c>
      <c r="Q3089" s="6" t="s">
        <v>446</v>
      </c>
      <c r="R3089" s="6" t="s">
        <v>447</v>
      </c>
      <c r="S3089" s="6" t="s">
        <v>448</v>
      </c>
    </row>
    <row r="3090" customFormat="false" ht="15" hidden="false" customHeight="false" outlineLevel="0" collapsed="false">
      <c r="A3090" s="4" t="s">
        <v>475</v>
      </c>
      <c r="B3090" s="36" t="s">
        <v>133</v>
      </c>
      <c r="C3090" s="39" t="n">
        <v>1</v>
      </c>
      <c r="D3090" s="39" t="n">
        <v>2</v>
      </c>
      <c r="E3090" s="39" t="n">
        <v>3</v>
      </c>
      <c r="F3090" s="39" t="n">
        <v>4</v>
      </c>
      <c r="G3090" s="39" t="n">
        <v>5</v>
      </c>
      <c r="H3090" s="39" t="n">
        <v>6</v>
      </c>
      <c r="I3090" s="39" t="n">
        <v>7</v>
      </c>
      <c r="J3090" s="39" t="n">
        <v>8</v>
      </c>
      <c r="K3090" s="39" t="n">
        <v>9</v>
      </c>
      <c r="L3090" s="39" t="n">
        <v>10</v>
      </c>
      <c r="M3090" s="39" t="n">
        <v>11</v>
      </c>
      <c r="N3090" s="39" t="n">
        <v>12</v>
      </c>
      <c r="P3090" s="40"/>
      <c r="Q3090" s="40"/>
      <c r="R3090" s="40"/>
      <c r="S3090" s="41"/>
    </row>
    <row r="3091" customFormat="false" ht="15" hidden="false" customHeight="false" outlineLevel="0" collapsed="false">
      <c r="A3091" s="4" t="s">
        <v>476</v>
      </c>
      <c r="B3091" s="36" t="s">
        <v>343</v>
      </c>
      <c r="C3091" s="39" t="n">
        <f aca="false">IF(C3090&lt;=Assumptions!$E$84,1,0)</f>
        <v>1</v>
      </c>
      <c r="D3091" s="39" t="n">
        <f aca="false">IF(D3090&lt;=Assumptions!$E$84,1,0)</f>
        <v>1</v>
      </c>
      <c r="E3091" s="39" t="n">
        <f aca="false">IF(E3090&lt;=Assumptions!$E$84,1,0)</f>
        <v>1</v>
      </c>
      <c r="F3091" s="39" t="n">
        <f aca="false">IF(F3090&lt;=Assumptions!$E$84,1,0)</f>
        <v>1</v>
      </c>
      <c r="G3091" s="39" t="n">
        <f aca="false">IF(G3090&lt;=Assumptions!$E$84,1,0)</f>
        <v>1</v>
      </c>
      <c r="H3091" s="39" t="n">
        <f aca="false">IF(H3090&lt;=Assumptions!$E$84,1,0)</f>
        <v>1</v>
      </c>
      <c r="I3091" s="39" t="n">
        <f aca="false">IF(I3090&lt;=Assumptions!$E$84,1,0)</f>
        <v>1</v>
      </c>
      <c r="J3091" s="39" t="n">
        <f aca="false">IF(J3090&lt;=Assumptions!$E$84,1,0)</f>
        <v>1</v>
      </c>
      <c r="K3091" s="39" t="n">
        <f aca="false">IF(K3090&lt;=Assumptions!$E$84,1,0)</f>
        <v>1</v>
      </c>
      <c r="L3091" s="39" t="n">
        <f aca="false">IF(L3090&lt;=Assumptions!$E$84,1,0)</f>
        <v>1</v>
      </c>
      <c r="M3091" s="39" t="n">
        <f aca="false">IF(M3090&lt;=Assumptions!$E$84,1,0)</f>
        <v>1</v>
      </c>
      <c r="N3091" s="39" t="n">
        <f aca="false">IF(N3090&lt;=Assumptions!$E$84,1,0)</f>
        <v>1</v>
      </c>
      <c r="P3091" s="40"/>
      <c r="Q3091" s="40"/>
      <c r="R3091" s="40"/>
      <c r="S3091" s="41"/>
    </row>
    <row r="3092" customFormat="false" ht="15" hidden="false" customHeight="false" outlineLevel="0" collapsed="false">
      <c r="A3092" s="4" t="s">
        <v>477</v>
      </c>
      <c r="B3092" s="36" t="s">
        <v>478</v>
      </c>
      <c r="C3092" s="42" t="n">
        <f aca="false">IF(C3090=Assumptions!$E$13,0.5,IF(C3090&gt;Assumptions!$E$13,1,0))</f>
        <v>0.5</v>
      </c>
      <c r="D3092" s="42" t="n">
        <f aca="false">IF(D3090=Assumptions!$E$13,0.5,IF(D3090&gt;Assumptions!$E$13,1,0))</f>
        <v>1</v>
      </c>
      <c r="E3092" s="42" t="n">
        <f aca="false">IF(E3090=Assumptions!$E$13,0.5,IF(E3090&gt;Assumptions!$E$13,1,0))</f>
        <v>1</v>
      </c>
      <c r="F3092" s="42" t="n">
        <f aca="false">IF(F3090=Assumptions!$E$13,0.5,IF(F3090&gt;Assumptions!$E$13,1,0))</f>
        <v>1</v>
      </c>
      <c r="G3092" s="42" t="n">
        <f aca="false">IF(G3090=Assumptions!$E$13,0.5,IF(G3090&gt;Assumptions!$E$13,1,0))</f>
        <v>1</v>
      </c>
      <c r="H3092" s="42" t="n">
        <f aca="false">IF(H3090=Assumptions!$E$13,0.5,IF(H3090&gt;Assumptions!$E$13,1,0))</f>
        <v>1</v>
      </c>
      <c r="I3092" s="42" t="n">
        <f aca="false">IF(I3090=Assumptions!$E$13,0.5,IF(I3090&gt;Assumptions!$E$13,1,0))</f>
        <v>1</v>
      </c>
      <c r="J3092" s="42" t="n">
        <f aca="false">IF(J3090=Assumptions!$E$13,0.5,IF(J3090&gt;Assumptions!$E$13,1,0))</f>
        <v>1</v>
      </c>
      <c r="K3092" s="42" t="n">
        <f aca="false">IF(K3090=Assumptions!$E$13,0.5,IF(K3090&gt;Assumptions!$E$13,1,0))</f>
        <v>1</v>
      </c>
      <c r="L3092" s="42" t="n">
        <f aca="false">IF(L3090=Assumptions!$E$13,0.5,IF(L3090&gt;Assumptions!$E$13,1,0))</f>
        <v>1</v>
      </c>
      <c r="M3092" s="42" t="n">
        <f aca="false">IF(M3090=Assumptions!$E$13,0.5,IF(M3090&gt;Assumptions!$E$13,1,0))</f>
        <v>1</v>
      </c>
      <c r="N3092" s="42" t="n">
        <f aca="false">IF(N3090=Assumptions!$E$13,0.5,IF(N3090&gt;Assumptions!$E$13,1,0))</f>
        <v>1</v>
      </c>
      <c r="P3092" s="43"/>
      <c r="Q3092" s="43"/>
      <c r="R3092" s="43"/>
      <c r="S3092" s="44"/>
    </row>
    <row r="3093" customFormat="false" ht="15" hidden="false" customHeight="false" outlineLevel="0" collapsed="false">
      <c r="A3093" s="4" t="s">
        <v>479</v>
      </c>
      <c r="B3093" s="36" t="s">
        <v>478</v>
      </c>
      <c r="C3093" s="42" t="n">
        <f aca="false">IF(C3090=Assumptions!$E$14,0.5,IF(C3090&gt;Assumptions!$E$14,1,0))</f>
        <v>0</v>
      </c>
      <c r="D3093" s="42" t="n">
        <f aca="false">IF(D3090=Assumptions!$E$14,0.5,IF(D3090&gt;Assumptions!$E$14,1,0))</f>
        <v>0</v>
      </c>
      <c r="E3093" s="42" t="n">
        <f aca="false">IF(E3090=Assumptions!$E$14,0.5,IF(E3090&gt;Assumptions!$E$14,1,0))</f>
        <v>0</v>
      </c>
      <c r="F3093" s="42" t="n">
        <f aca="false">IF(F3090=Assumptions!$E$14,0.5,IF(F3090&gt;Assumptions!$E$14,1,0))</f>
        <v>0</v>
      </c>
      <c r="G3093" s="42" t="n">
        <f aca="false">IF(G3090=Assumptions!$E$14,0.5,IF(G3090&gt;Assumptions!$E$14,1,0))</f>
        <v>0.5</v>
      </c>
      <c r="H3093" s="42" t="n">
        <f aca="false">IF(H3090=Assumptions!$E$14,0.5,IF(H3090&gt;Assumptions!$E$14,1,0))</f>
        <v>1</v>
      </c>
      <c r="I3093" s="42" t="n">
        <f aca="false">IF(I3090=Assumptions!$E$14,0.5,IF(I3090&gt;Assumptions!$E$14,1,0))</f>
        <v>1</v>
      </c>
      <c r="J3093" s="42" t="n">
        <f aca="false">IF(J3090=Assumptions!$E$14,0.5,IF(J3090&gt;Assumptions!$E$14,1,0))</f>
        <v>1</v>
      </c>
      <c r="K3093" s="42" t="n">
        <f aca="false">IF(K3090=Assumptions!$E$14,0.5,IF(K3090&gt;Assumptions!$E$14,1,0))</f>
        <v>1</v>
      </c>
      <c r="L3093" s="42" t="n">
        <f aca="false">IF(L3090=Assumptions!$E$14,0.5,IF(L3090&gt;Assumptions!$E$14,1,0))</f>
        <v>1</v>
      </c>
      <c r="M3093" s="42" t="n">
        <f aca="false">IF(M3090=Assumptions!$E$14,0.5,IF(M3090&gt;Assumptions!$E$14,1,0))</f>
        <v>1</v>
      </c>
      <c r="N3093" s="42" t="n">
        <f aca="false">IF(N3090=Assumptions!$E$14,0.5,IF(N3090&gt;Assumptions!$E$14,1,0))</f>
        <v>1</v>
      </c>
      <c r="P3093" s="43"/>
      <c r="Q3093" s="43"/>
      <c r="R3093" s="43"/>
      <c r="S3093" s="44"/>
    </row>
    <row r="3094" customFormat="false" ht="15" hidden="false" customHeight="false" outlineLevel="0" collapsed="false">
      <c r="A3094" s="4" t="s">
        <v>480</v>
      </c>
      <c r="B3094" s="36" t="s">
        <v>478</v>
      </c>
      <c r="C3094" s="42" t="n">
        <f aca="false">IF(C3090=Assumptions!$E$15,0.5,IF(C3090&gt;Assumptions!$E$15,1,0))</f>
        <v>0</v>
      </c>
      <c r="D3094" s="42" t="n">
        <f aca="false">IF(D3090=Assumptions!$E$15,0.5,IF(D3090&gt;Assumptions!$E$15,1,0))</f>
        <v>0</v>
      </c>
      <c r="E3094" s="42" t="n">
        <f aca="false">IF(E3090=Assumptions!$E$15,0.5,IF(E3090&gt;Assumptions!$E$15,1,0))</f>
        <v>0</v>
      </c>
      <c r="F3094" s="42" t="n">
        <f aca="false">IF(F3090=Assumptions!$E$15,0.5,IF(F3090&gt;Assumptions!$E$15,1,0))</f>
        <v>0</v>
      </c>
      <c r="G3094" s="42" t="n">
        <f aca="false">IF(G3090=Assumptions!$E$15,0.5,IF(G3090&gt;Assumptions!$E$15,1,0))</f>
        <v>0</v>
      </c>
      <c r="H3094" s="42" t="n">
        <f aca="false">IF(H3090=Assumptions!$E$15,0.5,IF(H3090&gt;Assumptions!$E$15,1,0))</f>
        <v>0</v>
      </c>
      <c r="I3094" s="42" t="n">
        <f aca="false">IF(I3090=Assumptions!$E$15,0.5,IF(I3090&gt;Assumptions!$E$15,1,0))</f>
        <v>0.5</v>
      </c>
      <c r="J3094" s="42" t="n">
        <f aca="false">IF(J3090=Assumptions!$E$15,0.5,IF(J3090&gt;Assumptions!$E$15,1,0))</f>
        <v>1</v>
      </c>
      <c r="K3094" s="42" t="n">
        <f aca="false">IF(K3090=Assumptions!$E$15,0.5,IF(K3090&gt;Assumptions!$E$15,1,0))</f>
        <v>1</v>
      </c>
      <c r="L3094" s="42" t="n">
        <f aca="false">IF(L3090=Assumptions!$E$15,0.5,IF(L3090&gt;Assumptions!$E$15,1,0))</f>
        <v>1</v>
      </c>
      <c r="M3094" s="42" t="n">
        <f aca="false">IF(M3090=Assumptions!$E$15,0.5,IF(M3090&gt;Assumptions!$E$15,1,0))</f>
        <v>1</v>
      </c>
      <c r="N3094" s="42" t="n">
        <f aca="false">IF(N3090=Assumptions!$E$15,0.5,IF(N3090&gt;Assumptions!$E$15,1,0))</f>
        <v>1</v>
      </c>
      <c r="P3094" s="43"/>
      <c r="Q3094" s="43"/>
      <c r="R3094" s="43"/>
      <c r="S3094" s="44"/>
    </row>
    <row r="3095" customFormat="false" ht="15" hidden="false" customHeight="false" outlineLevel="0" collapsed="false">
      <c r="A3095" s="4" t="s">
        <v>481</v>
      </c>
      <c r="B3095" s="36" t="s">
        <v>478</v>
      </c>
      <c r="C3095" s="45" t="n">
        <f aca="false">Assumptions!$E$21^(MAX(0,C3090-Assumptions!$E$13)/4)</f>
        <v>1</v>
      </c>
      <c r="D3095" s="45" t="n">
        <f aca="false">Assumptions!$E$21^(MAX(0,D3090-Assumptions!$E$13)/4)</f>
        <v>0.9306048591021</v>
      </c>
      <c r="E3095" s="45" t="n">
        <f aca="false">Assumptions!$E$21^(MAX(0,E3090-Assumptions!$E$13)/4)</f>
        <v>0.866025403784439</v>
      </c>
      <c r="F3095" s="45" t="n">
        <f aca="false">Assumptions!$E$21^(MAX(0,F3090-Assumptions!$E$13)/4)</f>
        <v>0.805927448867656</v>
      </c>
      <c r="G3095" s="45" t="n">
        <f aca="false">Assumptions!$E$21^(MAX(0,G3090-Assumptions!$E$13)/4)</f>
        <v>0.75</v>
      </c>
      <c r="H3095" s="45" t="n">
        <f aca="false">Assumptions!$E$21^(MAX(0,H3090-Assumptions!$E$13)/4)</f>
        <v>0.697953644326575</v>
      </c>
      <c r="I3095" s="45" t="n">
        <f aca="false">Assumptions!$E$21^(MAX(0,I3090-Assumptions!$E$13)/4)</f>
        <v>0.649519052838329</v>
      </c>
      <c r="J3095" s="45" t="n">
        <f aca="false">Assumptions!$E$21^(MAX(0,J3090-Assumptions!$E$13)/4)</f>
        <v>0.604445586650742</v>
      </c>
      <c r="K3095" s="45" t="n">
        <f aca="false">Assumptions!$E$21^(MAX(0,K3090-Assumptions!$E$13)/4)</f>
        <v>0.5625</v>
      </c>
      <c r="L3095" s="45" t="n">
        <f aca="false">Assumptions!$E$21^(MAX(0,L3090-Assumptions!$E$13)/4)</f>
        <v>0.523465233244931</v>
      </c>
      <c r="M3095" s="45" t="n">
        <f aca="false">Assumptions!$E$21^(MAX(0,M3090-Assumptions!$E$13)/4)</f>
        <v>0.487139289628747</v>
      </c>
      <c r="N3095" s="45" t="n">
        <f aca="false">Assumptions!$E$21^(MAX(0,N3090-Assumptions!$E$13)/4)</f>
        <v>0.453334189988057</v>
      </c>
      <c r="P3095" s="46"/>
      <c r="Q3095" s="46"/>
      <c r="R3095" s="46"/>
      <c r="S3095" s="47"/>
    </row>
    <row r="3096" customFormat="false" ht="15" hidden="false" customHeight="false" outlineLevel="0" collapsed="false">
      <c r="A3096" s="4" t="s">
        <v>482</v>
      </c>
      <c r="B3096" s="36" t="s">
        <v>478</v>
      </c>
      <c r="C3096" s="45" t="n">
        <f aca="false">Assumptions!$E$21^(MAX(0,C3090-Assumptions!$E$14)/4)</f>
        <v>1</v>
      </c>
      <c r="D3096" s="45" t="n">
        <f aca="false">Assumptions!$E$21^(MAX(0,D3090-Assumptions!$E$14)/4)</f>
        <v>1</v>
      </c>
      <c r="E3096" s="45" t="n">
        <f aca="false">Assumptions!$E$21^(MAX(0,E3090-Assumptions!$E$14)/4)</f>
        <v>1</v>
      </c>
      <c r="F3096" s="45" t="n">
        <f aca="false">Assumptions!$E$21^(MAX(0,F3090-Assumptions!$E$14)/4)</f>
        <v>1</v>
      </c>
      <c r="G3096" s="45" t="n">
        <f aca="false">Assumptions!$E$21^(MAX(0,G3090-Assumptions!$E$14)/4)</f>
        <v>1</v>
      </c>
      <c r="H3096" s="45" t="n">
        <f aca="false">Assumptions!$E$21^(MAX(0,H3090-Assumptions!$E$14)/4)</f>
        <v>0.9306048591021</v>
      </c>
      <c r="I3096" s="45" t="n">
        <f aca="false">Assumptions!$E$21^(MAX(0,I3090-Assumptions!$E$14)/4)</f>
        <v>0.866025403784439</v>
      </c>
      <c r="J3096" s="45" t="n">
        <f aca="false">Assumptions!$E$21^(MAX(0,J3090-Assumptions!$E$14)/4)</f>
        <v>0.805927448867656</v>
      </c>
      <c r="K3096" s="45" t="n">
        <f aca="false">Assumptions!$E$21^(MAX(0,K3090-Assumptions!$E$14)/4)</f>
        <v>0.75</v>
      </c>
      <c r="L3096" s="45" t="n">
        <f aca="false">Assumptions!$E$21^(MAX(0,L3090-Assumptions!$E$14)/4)</f>
        <v>0.697953644326575</v>
      </c>
      <c r="M3096" s="45" t="n">
        <f aca="false">Assumptions!$E$21^(MAX(0,M3090-Assumptions!$E$14)/4)</f>
        <v>0.649519052838329</v>
      </c>
      <c r="N3096" s="45" t="n">
        <f aca="false">Assumptions!$E$21^(MAX(0,N3090-Assumptions!$E$14)/4)</f>
        <v>0.604445586650742</v>
      </c>
      <c r="P3096" s="46"/>
      <c r="Q3096" s="46"/>
      <c r="R3096" s="46"/>
      <c r="S3096" s="47"/>
    </row>
    <row r="3097" customFormat="false" ht="15" hidden="false" customHeight="false" outlineLevel="0" collapsed="false">
      <c r="A3097" s="4" t="s">
        <v>483</v>
      </c>
      <c r="B3097" s="36" t="s">
        <v>478</v>
      </c>
      <c r="C3097" s="45" t="n">
        <f aca="false">Assumptions!$E$21^(MAX(0,C3090-Assumptions!$E$15)/4)</f>
        <v>1</v>
      </c>
      <c r="D3097" s="45" t="n">
        <f aca="false">Assumptions!$E$21^(MAX(0,D3090-Assumptions!$E$15)/4)</f>
        <v>1</v>
      </c>
      <c r="E3097" s="45" t="n">
        <f aca="false">Assumptions!$E$21^(MAX(0,E3090-Assumptions!$E$15)/4)</f>
        <v>1</v>
      </c>
      <c r="F3097" s="45" t="n">
        <f aca="false">Assumptions!$E$21^(MAX(0,F3090-Assumptions!$E$15)/4)</f>
        <v>1</v>
      </c>
      <c r="G3097" s="45" t="n">
        <f aca="false">Assumptions!$E$21^(MAX(0,G3090-Assumptions!$E$15)/4)</f>
        <v>1</v>
      </c>
      <c r="H3097" s="45" t="n">
        <f aca="false">Assumptions!$E$21^(MAX(0,H3090-Assumptions!$E$15)/4)</f>
        <v>1</v>
      </c>
      <c r="I3097" s="45" t="n">
        <f aca="false">Assumptions!$E$21^(MAX(0,I3090-Assumptions!$E$15)/4)</f>
        <v>1</v>
      </c>
      <c r="J3097" s="45" t="n">
        <f aca="false">Assumptions!$E$21^(MAX(0,J3090-Assumptions!$E$15)/4)</f>
        <v>0.9306048591021</v>
      </c>
      <c r="K3097" s="45" t="n">
        <f aca="false">Assumptions!$E$21^(MAX(0,K3090-Assumptions!$E$15)/4)</f>
        <v>0.866025403784439</v>
      </c>
      <c r="L3097" s="45" t="n">
        <f aca="false">Assumptions!$E$21^(MAX(0,L3090-Assumptions!$E$15)/4)</f>
        <v>0.805927448867656</v>
      </c>
      <c r="M3097" s="45" t="n">
        <f aca="false">Assumptions!$E$21^(MAX(0,M3090-Assumptions!$E$15)/4)</f>
        <v>0.75</v>
      </c>
      <c r="N3097" s="45" t="n">
        <f aca="false">Assumptions!$E$21^(MAX(0,N3090-Assumptions!$E$15)/4)</f>
        <v>0.697953644326575</v>
      </c>
      <c r="P3097" s="46"/>
      <c r="Q3097" s="46"/>
      <c r="R3097" s="46"/>
      <c r="S3097" s="47"/>
    </row>
    <row r="3098" customFormat="false" ht="15" hidden="false" customHeight="false" outlineLevel="0" collapsed="false">
      <c r="A3098" s="4" t="s">
        <v>484</v>
      </c>
      <c r="B3098" s="36" t="s">
        <v>485</v>
      </c>
      <c r="C3098" s="39" t="n">
        <f aca="false">$C$3069*C3092+$C$3073*C3093+$C$3077*C3094</f>
        <v>421.51972352</v>
      </c>
      <c r="D3098" s="39" t="n">
        <f aca="false">$C$3069*D3092+$C$3073*D3093+$C$3077*D3094</f>
        <v>843.03944704</v>
      </c>
      <c r="E3098" s="39" t="n">
        <f aca="false">$C$3069*E3092+$C$3073*E3093+$C$3077*E3094</f>
        <v>843.03944704</v>
      </c>
      <c r="F3098" s="39" t="n">
        <f aca="false">$C$3069*F3092+$C$3073*F3093+$C$3077*F3094</f>
        <v>843.03944704</v>
      </c>
      <c r="G3098" s="39" t="n">
        <f aca="false">$C$3069*G3092+$C$3073*G3093+$C$3077*G3094</f>
        <v>1149.32798176</v>
      </c>
      <c r="H3098" s="39" t="n">
        <f aca="false">$C$3069*H3092+$C$3073*H3093+$C$3077*H3094</f>
        <v>1455.61651648</v>
      </c>
      <c r="I3098" s="39" t="n">
        <f aca="false">$C$3069*I3092+$C$3073*I3093+$C$3077*I3094</f>
        <v>2486.00303616</v>
      </c>
      <c r="J3098" s="39" t="n">
        <f aca="false">$C$3069*J3092+$C$3073*J3093+$C$3077*J3094</f>
        <v>3516.38955584</v>
      </c>
      <c r="K3098" s="39" t="n">
        <f aca="false">$C$3069*K3092+$C$3073*K3093+$C$3077*K3094</f>
        <v>3516.38955584</v>
      </c>
      <c r="L3098" s="39" t="n">
        <f aca="false">$C$3069*L3092+$C$3073*L3093+$C$3077*L3094</f>
        <v>3516.38955584</v>
      </c>
      <c r="M3098" s="39" t="n">
        <f aca="false">$C$3069*M3092+$C$3073*M3093+$C$3077*M3094</f>
        <v>3516.38955584</v>
      </c>
      <c r="N3098" s="39" t="n">
        <f aca="false">$C$3069*N3092+$C$3073*N3093+$C$3077*N3094</f>
        <v>3516.38955584</v>
      </c>
      <c r="P3098" s="40" t="n">
        <f aca="false">F3098</f>
        <v>843.03944704</v>
      </c>
      <c r="Q3098" s="40" t="n">
        <f aca="false">J3098</f>
        <v>3516.38955584</v>
      </c>
      <c r="R3098" s="40" t="n">
        <f aca="false">N3098</f>
        <v>3516.38955584</v>
      </c>
      <c r="S3098" s="41" t="n">
        <f aca="false">R3098</f>
        <v>3516.38955584</v>
      </c>
    </row>
    <row r="3099" customFormat="false" ht="15" hidden="false" customHeight="false" outlineLevel="0" collapsed="false">
      <c r="A3099" s="4" t="s">
        <v>486</v>
      </c>
      <c r="B3099" s="36" t="s">
        <v>485</v>
      </c>
      <c r="C3099" s="39" t="n">
        <f aca="false">$C$3070*C3092+$C$3074*C3093+$C$3078*C3094</f>
        <v>105.59808</v>
      </c>
      <c r="D3099" s="39" t="n">
        <f aca="false">$C$3070*D3092+$C$3074*D3093+$C$3078*D3094</f>
        <v>211.19616</v>
      </c>
      <c r="E3099" s="39" t="n">
        <f aca="false">$C$3070*E3092+$C$3074*E3093+$C$3078*E3094</f>
        <v>211.19616</v>
      </c>
      <c r="F3099" s="39" t="n">
        <f aca="false">$C$3070*F3092+$C$3074*F3093+$C$3078*F3094</f>
        <v>211.19616</v>
      </c>
      <c r="G3099" s="39" t="n">
        <f aca="false">$C$3070*G3092+$C$3074*G3093+$C$3078*G3094</f>
        <v>282.24672</v>
      </c>
      <c r="H3099" s="39" t="n">
        <f aca="false">$C$3070*H3092+$C$3074*H3093+$C$3078*H3094</f>
        <v>353.29728</v>
      </c>
      <c r="I3099" s="39" t="n">
        <f aca="false">$C$3070*I3092+$C$3074*I3093+$C$3078*I3094</f>
        <v>567.53536</v>
      </c>
      <c r="J3099" s="39" t="n">
        <f aca="false">$C$3070*J3092+$C$3074*J3093+$C$3078*J3094</f>
        <v>781.77344</v>
      </c>
      <c r="K3099" s="39" t="n">
        <f aca="false">$C$3070*K3092+$C$3074*K3093+$C$3078*K3094</f>
        <v>781.77344</v>
      </c>
      <c r="L3099" s="39" t="n">
        <f aca="false">$C$3070*L3092+$C$3074*L3093+$C$3078*L3094</f>
        <v>781.77344</v>
      </c>
      <c r="M3099" s="39" t="n">
        <f aca="false">$C$3070*M3092+$C$3074*M3093+$C$3078*M3094</f>
        <v>781.77344</v>
      </c>
      <c r="N3099" s="39" t="n">
        <f aca="false">$C$3070*N3092+$C$3074*N3093+$C$3078*N3094</f>
        <v>781.77344</v>
      </c>
      <c r="P3099" s="40" t="n">
        <f aca="false">F3099</f>
        <v>211.19616</v>
      </c>
      <c r="Q3099" s="40" t="n">
        <f aca="false">J3099</f>
        <v>781.77344</v>
      </c>
      <c r="R3099" s="40" t="n">
        <f aca="false">N3099</f>
        <v>781.77344</v>
      </c>
      <c r="S3099" s="41" t="n">
        <f aca="false">R3099</f>
        <v>781.77344</v>
      </c>
    </row>
    <row r="3100" customFormat="false" ht="15" hidden="false" customHeight="false" outlineLevel="0" collapsed="false">
      <c r="A3100" s="4" t="s">
        <v>487</v>
      </c>
      <c r="B3100" s="36" t="s">
        <v>485</v>
      </c>
      <c r="C3100" s="39" t="n">
        <f aca="false">$C$3071*C3092+$C$3075*C3093+$C$3079*C3094</f>
        <v>24.76992</v>
      </c>
      <c r="D3100" s="39" t="n">
        <f aca="false">$C$3071*D3092+$C$3075*D3093+$C$3079*D3094</f>
        <v>49.53984</v>
      </c>
      <c r="E3100" s="39" t="n">
        <f aca="false">$C$3071*E3092+$C$3075*E3093+$C$3079*E3094</f>
        <v>49.53984</v>
      </c>
      <c r="F3100" s="39" t="n">
        <f aca="false">$C$3071*F3092+$C$3075*F3093+$C$3079*F3094</f>
        <v>49.53984</v>
      </c>
      <c r="G3100" s="39" t="n">
        <f aca="false">$C$3071*G3092+$C$3075*G3093+$C$3079*G3094</f>
        <v>61.9248</v>
      </c>
      <c r="H3100" s="39" t="n">
        <f aca="false">$C$3071*H3092+$C$3075*H3093+$C$3079*H3094</f>
        <v>74.30976</v>
      </c>
      <c r="I3100" s="39" t="n">
        <f aca="false">$C$3071*I3092+$C$3075*I3093+$C$3079*I3094</f>
        <v>114.072</v>
      </c>
      <c r="J3100" s="39" t="n">
        <f aca="false">$C$3071*J3092+$C$3075*J3093+$C$3079*J3094</f>
        <v>153.83424</v>
      </c>
      <c r="K3100" s="39" t="n">
        <f aca="false">$C$3071*K3092+$C$3075*K3093+$C$3079*K3094</f>
        <v>153.83424</v>
      </c>
      <c r="L3100" s="39" t="n">
        <f aca="false">$C$3071*L3092+$C$3075*L3093+$C$3079*L3094</f>
        <v>153.83424</v>
      </c>
      <c r="M3100" s="39" t="n">
        <f aca="false">$C$3071*M3092+$C$3075*M3093+$C$3079*M3094</f>
        <v>153.83424</v>
      </c>
      <c r="N3100" s="39" t="n">
        <f aca="false">$C$3071*N3092+$C$3075*N3093+$C$3079*N3094</f>
        <v>153.83424</v>
      </c>
      <c r="P3100" s="40" t="n">
        <f aca="false">F3100</f>
        <v>49.53984</v>
      </c>
      <c r="Q3100" s="40" t="n">
        <f aca="false">J3100</f>
        <v>153.83424</v>
      </c>
      <c r="R3100" s="40" t="n">
        <f aca="false">N3100</f>
        <v>153.83424</v>
      </c>
      <c r="S3100" s="41" t="n">
        <f aca="false">R3100</f>
        <v>153.83424</v>
      </c>
    </row>
    <row r="3101" customFormat="false" ht="15" hidden="false" customHeight="false" outlineLevel="0" collapsed="false">
      <c r="A3101" s="4" t="s">
        <v>488</v>
      </c>
      <c r="B3101" s="36" t="s">
        <v>485</v>
      </c>
      <c r="C3101" s="39" t="n">
        <f aca="false">C3098+C3099+C3100</f>
        <v>551.88772352</v>
      </c>
      <c r="D3101" s="39" t="n">
        <f aca="false">D3098+D3099+D3100</f>
        <v>1103.77544704</v>
      </c>
      <c r="E3101" s="39" t="n">
        <f aca="false">E3098+E3099+E3100</f>
        <v>1103.77544704</v>
      </c>
      <c r="F3101" s="39" t="n">
        <f aca="false">F3098+F3099+F3100</f>
        <v>1103.77544704</v>
      </c>
      <c r="G3101" s="39" t="n">
        <f aca="false">G3098+G3099+G3100</f>
        <v>1493.49950176</v>
      </c>
      <c r="H3101" s="39" t="n">
        <f aca="false">H3098+H3099+H3100</f>
        <v>1883.22355648</v>
      </c>
      <c r="I3101" s="39" t="n">
        <f aca="false">I3098+I3099+I3100</f>
        <v>3167.61039616</v>
      </c>
      <c r="J3101" s="39" t="n">
        <f aca="false">J3098+J3099+J3100</f>
        <v>4451.99723584</v>
      </c>
      <c r="K3101" s="39" t="n">
        <f aca="false">K3098+K3099+K3100</f>
        <v>4451.99723584</v>
      </c>
      <c r="L3101" s="39" t="n">
        <f aca="false">L3098+L3099+L3100</f>
        <v>4451.99723584</v>
      </c>
      <c r="M3101" s="39" t="n">
        <f aca="false">M3098+M3099+M3100</f>
        <v>4451.99723584</v>
      </c>
      <c r="N3101" s="39" t="n">
        <f aca="false">N3098+N3099+N3100</f>
        <v>4451.99723584</v>
      </c>
      <c r="P3101" s="40" t="n">
        <f aca="false">F3101</f>
        <v>1103.77544704</v>
      </c>
      <c r="Q3101" s="40" t="n">
        <f aca="false">J3101</f>
        <v>4451.99723584</v>
      </c>
      <c r="R3101" s="40" t="n">
        <f aca="false">N3101</f>
        <v>4451.99723584</v>
      </c>
      <c r="S3101" s="41" t="n">
        <f aca="false">R3101</f>
        <v>4451.99723584</v>
      </c>
    </row>
    <row r="3102" customFormat="false" ht="15" hidden="false" customHeight="false" outlineLevel="0" collapsed="false">
      <c r="A3102" s="4" t="s">
        <v>489</v>
      </c>
      <c r="B3102" s="36" t="s">
        <v>485</v>
      </c>
      <c r="C3102" s="39" t="n">
        <f aca="false">$C$3072*C3092*C3095+$C$3076*C3093*C3096+$C$3080*C3094*C3097</f>
        <v>551.88772352</v>
      </c>
      <c r="D3102" s="39" t="n">
        <f aca="false">$C$3072*D3092*D3095+$C$3076*D3093*D3096+$C$3080*D3094*D3097</f>
        <v>1027.17879437302</v>
      </c>
      <c r="E3102" s="39" t="n">
        <f aca="false">$C$3072*E3092*E3095+$C$3076*E3093*E3096+$C$3080*E3094*E3097</f>
        <v>955.897577210165</v>
      </c>
      <c r="F3102" s="39" t="n">
        <f aca="false">$C$3072*F3092*F3095+$C$3076*F3093*F3096+$C$3080*F3094*F3097</f>
        <v>889.562930155704</v>
      </c>
      <c r="G3102" s="39" t="n">
        <f aca="false">$C$3072*G3092*G3095+$C$3076*G3093*G3096+$C$3080*G3094*G3097</f>
        <v>1217.55564</v>
      </c>
      <c r="H3102" s="39" t="n">
        <f aca="false">$C$3072*H3092*H3095+$C$3076*H3093*H3096+$C$3080*H3094*H3097</f>
        <v>1495.74229384257</v>
      </c>
      <c r="I3102" s="39" t="n">
        <f aca="false">$C$3072*I3092*I3095+$C$3076*I3093*I3096+$C$3080*I3094*I3097</f>
        <v>2676.33188629442</v>
      </c>
      <c r="J3102" s="39" t="n">
        <f aca="false">$C$3072*J3092*J3095+$C$3076*J3093*J3096+$C$3080*J3094*J3097</f>
        <v>3685.86409192847</v>
      </c>
      <c r="K3102" s="39" t="n">
        <f aca="false">$C$3072*K3092*K3095+$C$3076*K3093*K3096+$C$3080*K3094*K3097</f>
        <v>3430.08303393858</v>
      </c>
      <c r="L3102" s="39" t="n">
        <f aca="false">$C$3072*L3092*L3095+$C$3076*L3093*L3096+$C$3080*L3094*L3097</f>
        <v>3192.05193850692</v>
      </c>
      <c r="M3102" s="39" t="n">
        <f aca="false">$C$3072*M3092*M3095+$C$3076*M3093*M3096+$C$3080*M3094*M3097</f>
        <v>2970.53904448081</v>
      </c>
      <c r="N3102" s="39" t="n">
        <f aca="false">$C$3072*N3092*N3095+$C$3076*N3093*N3096+$C$3080*N3094*N3097</f>
        <v>2764.39806894635</v>
      </c>
      <c r="P3102" s="40"/>
      <c r="Q3102" s="40"/>
      <c r="R3102" s="40"/>
      <c r="S3102" s="41"/>
    </row>
    <row r="3103" customFormat="false" ht="15" hidden="false" customHeight="false" outlineLevel="0" collapsed="false">
      <c r="A3103" s="4" t="s">
        <v>490</v>
      </c>
      <c r="B3103" s="36" t="s">
        <v>491</v>
      </c>
      <c r="C3103" s="48" t="n">
        <f aca="false">$C$3084*Assumptions!$E$20*C3091*C3102</f>
        <v>4.96698951168</v>
      </c>
      <c r="D3103" s="48" t="n">
        <f aca="false">$C$3084*Assumptions!$E$20*D3091*D3102</f>
        <v>9.24460914935715</v>
      </c>
      <c r="E3103" s="48" t="n">
        <f aca="false">$C$3084*Assumptions!$E$20*E3091*E3102</f>
        <v>8.60307819489149</v>
      </c>
      <c r="F3103" s="48" t="n">
        <f aca="false">$C$3084*Assumptions!$E$20*F3091*F3102</f>
        <v>8.00606637140134</v>
      </c>
      <c r="G3103" s="48" t="n">
        <f aca="false">$C$3084*Assumptions!$E$20*G3091*G3102</f>
        <v>10.95800076</v>
      </c>
      <c r="H3103" s="48" t="n">
        <f aca="false">$C$3084*Assumptions!$E$20*H3091*H3102</f>
        <v>13.4616806445831</v>
      </c>
      <c r="I3103" s="48" t="n">
        <f aca="false">$C$3084*Assumptions!$E$20*I3091*I3102</f>
        <v>24.0869869766498</v>
      </c>
      <c r="J3103" s="48" t="n">
        <f aca="false">$C$3084*Assumptions!$E$20*J3091*J3102</f>
        <v>33.1727768273562</v>
      </c>
      <c r="K3103" s="48" t="n">
        <f aca="false">$C$3084*Assumptions!$E$20*K3091*K3102</f>
        <v>30.8707473054472</v>
      </c>
      <c r="L3103" s="48" t="n">
        <f aca="false">$C$3084*Assumptions!$E$20*L3091*L3102</f>
        <v>28.7284674465623</v>
      </c>
      <c r="M3103" s="48" t="n">
        <f aca="false">$C$3084*Assumptions!$E$20*M3091*M3102</f>
        <v>26.7348514003273</v>
      </c>
      <c r="N3103" s="48" t="n">
        <f aca="false">$C$3084*Assumptions!$E$20*N3091*N3102</f>
        <v>24.8795826205172</v>
      </c>
      <c r="P3103" s="49" t="n">
        <f aca="false">SUM(C3103:F3103)</f>
        <v>30.82074322733</v>
      </c>
      <c r="Q3103" s="49" t="n">
        <f aca="false">SUM(G3103:J3103)</f>
        <v>81.6794452085891</v>
      </c>
      <c r="R3103" s="49" t="n">
        <f aca="false">SUM(K3103:N3103)</f>
        <v>111.213648772854</v>
      </c>
      <c r="S3103" s="50" t="n">
        <f aca="false">SUM(P3103:R3103)</f>
        <v>223.713837208773</v>
      </c>
    </row>
    <row r="3104" customFormat="false" ht="15" hidden="false" customHeight="false" outlineLevel="0" collapsed="false">
      <c r="A3104" s="4" t="s">
        <v>492</v>
      </c>
      <c r="B3104" s="36" t="s">
        <v>321</v>
      </c>
      <c r="C3104" s="48" t="n">
        <f aca="false">Assumptions!$D$111</f>
        <v>0</v>
      </c>
      <c r="D3104" s="48" t="n">
        <f aca="false">Assumptions!$E$111</f>
        <v>0</v>
      </c>
      <c r="E3104" s="48" t="n">
        <f aca="false">Assumptions!$F$111</f>
        <v>0</v>
      </c>
      <c r="F3104" s="48" t="n">
        <f aca="false">Assumptions!$G$111</f>
        <v>0</v>
      </c>
      <c r="G3104" s="48" t="n">
        <f aca="false">Assumptions!$H$111</f>
        <v>0</v>
      </c>
      <c r="H3104" s="48" t="n">
        <f aca="false">Assumptions!$I$111</f>
        <v>0</v>
      </c>
      <c r="I3104" s="48" t="n">
        <f aca="false">Assumptions!$J$111</f>
        <v>0</v>
      </c>
      <c r="J3104" s="48" t="n">
        <f aca="false">Assumptions!$K$111</f>
        <v>0</v>
      </c>
      <c r="K3104" s="48" t="n">
        <f aca="false">Assumptions!$L$111</f>
        <v>0</v>
      </c>
      <c r="L3104" s="48" t="n">
        <f aca="false">Assumptions!$M$111</f>
        <v>0</v>
      </c>
      <c r="M3104" s="48" t="n">
        <f aca="false">Assumptions!$N$111</f>
        <v>0</v>
      </c>
      <c r="N3104" s="48" t="n">
        <f aca="false">Assumptions!$O$111</f>
        <v>0</v>
      </c>
      <c r="P3104" s="49" t="n">
        <f aca="false">F3104</f>
        <v>0</v>
      </c>
      <c r="Q3104" s="49" t="n">
        <f aca="false">J3104</f>
        <v>0</v>
      </c>
      <c r="R3104" s="49" t="n">
        <f aca="false">N3104</f>
        <v>0</v>
      </c>
      <c r="S3104" s="50" t="n">
        <f aca="false">R3104</f>
        <v>0</v>
      </c>
    </row>
    <row r="3105" customFormat="false" ht="15" hidden="false" customHeight="false" outlineLevel="0" collapsed="false">
      <c r="A3105" s="4" t="s">
        <v>493</v>
      </c>
      <c r="B3105" s="36" t="s">
        <v>321</v>
      </c>
      <c r="C3105" s="48" t="n">
        <f aca="false">0</f>
        <v>0</v>
      </c>
      <c r="D3105" s="48" t="n">
        <f aca="false">0.5*C3104</f>
        <v>0</v>
      </c>
      <c r="E3105" s="48" t="n">
        <f aca="false">C3104+0.5*(D3104-C3104)</f>
        <v>0</v>
      </c>
      <c r="F3105" s="48" t="n">
        <f aca="false">D3104+0.5*(E3104-D3104)</f>
        <v>0</v>
      </c>
      <c r="G3105" s="48" t="n">
        <f aca="false">E3104+0.5*(F3104-E3104)</f>
        <v>0</v>
      </c>
      <c r="H3105" s="48" t="n">
        <f aca="false">F3104+0.5*(G3104-F3104)</f>
        <v>0</v>
      </c>
      <c r="I3105" s="48" t="n">
        <f aca="false">G3104+0.5*(H3104-G3104)</f>
        <v>0</v>
      </c>
      <c r="J3105" s="48" t="n">
        <f aca="false">H3104+0.5*(I3104-H3104)</f>
        <v>0</v>
      </c>
      <c r="K3105" s="48" t="n">
        <f aca="false">I3104+0.5*(J3104-I3104)</f>
        <v>0</v>
      </c>
      <c r="L3105" s="48" t="n">
        <f aca="false">J3104+0.5*(K3104-J3104)</f>
        <v>0</v>
      </c>
      <c r="M3105" s="48" t="n">
        <f aca="false">K3104+0.5*(L3104-K3104)</f>
        <v>0</v>
      </c>
      <c r="N3105" s="48" t="n">
        <f aca="false">L3104+0.5*(M3104-L3104)</f>
        <v>0</v>
      </c>
      <c r="P3105" s="49" t="n">
        <f aca="false">F3105</f>
        <v>0</v>
      </c>
      <c r="Q3105" s="49" t="n">
        <f aca="false">J3105</f>
        <v>0</v>
      </c>
      <c r="R3105" s="49" t="n">
        <f aca="false">N3105</f>
        <v>0</v>
      </c>
      <c r="S3105" s="50" t="n">
        <f aca="false">R3105</f>
        <v>0</v>
      </c>
    </row>
    <row r="3106" customFormat="false" ht="15" hidden="false" customHeight="false" outlineLevel="0" collapsed="false">
      <c r="A3106" s="4" t="s">
        <v>494</v>
      </c>
      <c r="B3106" s="36" t="s">
        <v>485</v>
      </c>
      <c r="C3106" s="39" t="n">
        <f aca="false">MIN(C3105*Assumptions!$E$38,C3101*(1-$C$3084))</f>
        <v>0</v>
      </c>
      <c r="D3106" s="39" t="n">
        <f aca="false">MIN(D3105*Assumptions!$E$38,D3101*(1-$C$3084))</f>
        <v>0</v>
      </c>
      <c r="E3106" s="39" t="n">
        <f aca="false">MIN(E3105*Assumptions!$E$38,E3101*(1-$C$3084))</f>
        <v>0</v>
      </c>
      <c r="F3106" s="39" t="n">
        <f aca="false">MIN(F3105*Assumptions!$E$38,F3101*(1-$C$3084))</f>
        <v>0</v>
      </c>
      <c r="G3106" s="39" t="n">
        <f aca="false">MIN(G3105*Assumptions!$E$38,G3101*(1-$C$3084))</f>
        <v>0</v>
      </c>
      <c r="H3106" s="39" t="n">
        <f aca="false">MIN(H3105*Assumptions!$E$38,H3101*(1-$C$3084))</f>
        <v>0</v>
      </c>
      <c r="I3106" s="39" t="n">
        <f aca="false">MIN(I3105*Assumptions!$E$38,I3101*(1-$C$3084))</f>
        <v>0</v>
      </c>
      <c r="J3106" s="39" t="n">
        <f aca="false">MIN(J3105*Assumptions!$E$38,J3101*(1-$C$3084))</f>
        <v>0</v>
      </c>
      <c r="K3106" s="39" t="n">
        <f aca="false">MIN(K3105*Assumptions!$E$38,K3101*(1-$C$3084))</f>
        <v>0</v>
      </c>
      <c r="L3106" s="39" t="n">
        <f aca="false">MIN(L3105*Assumptions!$E$38,L3101*(1-$C$3084))</f>
        <v>0</v>
      </c>
      <c r="M3106" s="39" t="n">
        <f aca="false">MIN(M3105*Assumptions!$E$38,M3101*(1-$C$3084))</f>
        <v>0</v>
      </c>
      <c r="N3106" s="39" t="n">
        <f aca="false">MIN(N3105*Assumptions!$E$38,N3101*(1-$C$3084))</f>
        <v>0</v>
      </c>
      <c r="P3106" s="40" t="n">
        <f aca="false">SUM(C3106:F3106)</f>
        <v>0</v>
      </c>
      <c r="Q3106" s="40" t="n">
        <f aca="false">SUM(G3106:J3106)</f>
        <v>0</v>
      </c>
      <c r="R3106" s="40" t="n">
        <f aca="false">SUM(K3106:N3106)</f>
        <v>0</v>
      </c>
      <c r="S3106" s="41" t="n">
        <f aca="false">SUM(P3106:R3106)</f>
        <v>0</v>
      </c>
    </row>
    <row r="3107" customFormat="false" ht="15" hidden="false" customHeight="false" outlineLevel="0" collapsed="false">
      <c r="A3107" s="4" t="s">
        <v>495</v>
      </c>
      <c r="B3107" s="36" t="s">
        <v>491</v>
      </c>
      <c r="C3107" s="48" t="n">
        <f aca="false">C3106*Assumptions!$E$20*Assumptions!$E$39*IF(C3101&gt;0,C3102/C3101,0)*C3091</f>
        <v>0</v>
      </c>
      <c r="D3107" s="48" t="n">
        <f aca="false">D3106*Assumptions!$E$20*Assumptions!$E$39*IF(D3101&gt;0,D3102/D3101,0)*D3091</f>
        <v>0</v>
      </c>
      <c r="E3107" s="48" t="n">
        <f aca="false">E3106*Assumptions!$E$20*Assumptions!$E$39*IF(E3101&gt;0,E3102/E3101,0)*E3091</f>
        <v>0</v>
      </c>
      <c r="F3107" s="48" t="n">
        <f aca="false">F3106*Assumptions!$E$20*Assumptions!$E$39*IF(F3101&gt;0,F3102/F3101,0)*F3091</f>
        <v>0</v>
      </c>
      <c r="G3107" s="48" t="n">
        <f aca="false">G3106*Assumptions!$E$20*Assumptions!$E$39*IF(G3101&gt;0,G3102/G3101,0)*G3091</f>
        <v>0</v>
      </c>
      <c r="H3107" s="48" t="n">
        <f aca="false">H3106*Assumptions!$E$20*Assumptions!$E$39*IF(H3101&gt;0,H3102/H3101,0)*H3091</f>
        <v>0</v>
      </c>
      <c r="I3107" s="48" t="n">
        <f aca="false">I3106*Assumptions!$E$20*Assumptions!$E$39*IF(I3101&gt;0,I3102/I3101,0)*I3091</f>
        <v>0</v>
      </c>
      <c r="J3107" s="48" t="n">
        <f aca="false">J3106*Assumptions!$E$20*Assumptions!$E$39*IF(J3101&gt;0,J3102/J3101,0)*J3091</f>
        <v>0</v>
      </c>
      <c r="K3107" s="48" t="n">
        <f aca="false">K3106*Assumptions!$E$20*Assumptions!$E$39*IF(K3101&gt;0,K3102/K3101,0)*K3091</f>
        <v>0</v>
      </c>
      <c r="L3107" s="48" t="n">
        <f aca="false">L3106*Assumptions!$E$20*Assumptions!$E$39*IF(L3101&gt;0,L3102/L3101,0)*L3091</f>
        <v>0</v>
      </c>
      <c r="M3107" s="48" t="n">
        <f aca="false">M3106*Assumptions!$E$20*Assumptions!$E$39*IF(M3101&gt;0,M3102/M3101,0)*M3091</f>
        <v>0</v>
      </c>
      <c r="N3107" s="48" t="n">
        <f aca="false">N3106*Assumptions!$E$20*Assumptions!$E$39*IF(N3101&gt;0,N3102/N3101,0)*N3091</f>
        <v>0</v>
      </c>
      <c r="P3107" s="49" t="n">
        <f aca="false">SUM(C3107:F3107)</f>
        <v>0</v>
      </c>
      <c r="Q3107" s="49" t="n">
        <f aca="false">SUM(G3107:J3107)</f>
        <v>0</v>
      </c>
      <c r="R3107" s="49" t="n">
        <f aca="false">SUM(K3107:N3107)</f>
        <v>0</v>
      </c>
      <c r="S3107" s="50" t="n">
        <f aca="false">SUM(P3107:R3107)</f>
        <v>0</v>
      </c>
    </row>
    <row r="3108" customFormat="false" ht="15" hidden="false" customHeight="false" outlineLevel="0" collapsed="false">
      <c r="A3108" s="4" t="s">
        <v>496</v>
      </c>
      <c r="B3108" s="36" t="s">
        <v>497</v>
      </c>
      <c r="C3108" s="48" t="n">
        <f aca="false">IF(AND(C3101&gt;0,$C$3088&gt;0),C3101*Assumptions!$E$24*(1-EXP(-$C$3088/(Assumptions!$E$23*C3101*Assumptions!$E$24))),0)</f>
        <v>0</v>
      </c>
      <c r="D3108" s="48" t="n">
        <f aca="false">IF(AND(D3101&gt;0,$C$3088&gt;0),D3101*Assumptions!$E$24*(1-EXP(-$C$3088/(Assumptions!$E$23*D3101*Assumptions!$E$24))),0)</f>
        <v>0</v>
      </c>
      <c r="E3108" s="48" t="n">
        <f aca="false">IF(AND(E3101&gt;0,$C$3088&gt;0),E3101*Assumptions!$E$24*(1-EXP(-$C$3088/(Assumptions!$E$23*E3101*Assumptions!$E$24))),0)</f>
        <v>0</v>
      </c>
      <c r="F3108" s="48" t="n">
        <f aca="false">IF(AND(F3101&gt;0,$C$3088&gt;0),F3101*Assumptions!$E$24*(1-EXP(-$C$3088/(Assumptions!$E$23*F3101*Assumptions!$E$24))),0)</f>
        <v>0</v>
      </c>
      <c r="G3108" s="48" t="n">
        <f aca="false">IF(AND(G3101&gt;0,$C$3088&gt;0),G3101*Assumptions!$E$24*(1-EXP(-$C$3088/(Assumptions!$E$23*G3101*Assumptions!$E$24))),0)</f>
        <v>0</v>
      </c>
      <c r="H3108" s="48" t="n">
        <f aca="false">IF(AND(H3101&gt;0,$C$3088&gt;0),H3101*Assumptions!$E$24*(1-EXP(-$C$3088/(Assumptions!$E$23*H3101*Assumptions!$E$24))),0)</f>
        <v>0</v>
      </c>
      <c r="I3108" s="48" t="n">
        <f aca="false">IF(AND(I3101&gt;0,$C$3088&gt;0),I3101*Assumptions!$E$24*(1-EXP(-$C$3088/(Assumptions!$E$23*I3101*Assumptions!$E$24))),0)</f>
        <v>0</v>
      </c>
      <c r="J3108" s="48" t="n">
        <f aca="false">IF(AND(J3101&gt;0,$C$3088&gt;0),J3101*Assumptions!$E$24*(1-EXP(-$C$3088/(Assumptions!$E$23*J3101*Assumptions!$E$24))),0)</f>
        <v>0</v>
      </c>
      <c r="K3108" s="48" t="n">
        <f aca="false">IF(AND(K3101&gt;0,$C$3088&gt;0),K3101*Assumptions!$E$24*(1-EXP(-$C$3088/(Assumptions!$E$23*K3101*Assumptions!$E$24))),0)</f>
        <v>0</v>
      </c>
      <c r="L3108" s="48" t="n">
        <f aca="false">IF(AND(L3101&gt;0,$C$3088&gt;0),L3101*Assumptions!$E$24*(1-EXP(-$C$3088/(Assumptions!$E$23*L3101*Assumptions!$E$24))),0)</f>
        <v>0</v>
      </c>
      <c r="M3108" s="48" t="n">
        <f aca="false">IF(AND(M3101&gt;0,$C$3088&gt;0),M3101*Assumptions!$E$24*(1-EXP(-$C$3088/(Assumptions!$E$23*M3101*Assumptions!$E$24))),0)</f>
        <v>0</v>
      </c>
      <c r="N3108" s="48" t="n">
        <f aca="false">IF(AND(N3101&gt;0,$C$3088&gt;0),N3101*Assumptions!$E$24*(1-EXP(-$C$3088/(Assumptions!$E$23*N3101*Assumptions!$E$24))),0)</f>
        <v>0</v>
      </c>
      <c r="P3108" s="49" t="n">
        <f aca="false">SUM(C3108:F3108)</f>
        <v>0</v>
      </c>
      <c r="Q3108" s="49" t="n">
        <f aca="false">SUM(G3108:J3108)</f>
        <v>0</v>
      </c>
      <c r="R3108" s="49" t="n">
        <f aca="false">SUM(K3108:N3108)</f>
        <v>0</v>
      </c>
      <c r="S3108" s="50" t="n">
        <f aca="false">SUM(P3108:R3108)</f>
        <v>0</v>
      </c>
    </row>
    <row r="3109" customFormat="false" ht="15" hidden="false" customHeight="false" outlineLevel="0" collapsed="false">
      <c r="A3109" s="4" t="s">
        <v>498</v>
      </c>
      <c r="B3109" s="36" t="s">
        <v>497</v>
      </c>
      <c r="C3109" s="48" t="n">
        <f aca="false">(C3101*Assumptions!$E$22*MIN(1,Assumptions!$D$103/Assumptions!$E$78)+C3108)*C3091</f>
        <v>5.5188772352</v>
      </c>
      <c r="D3109" s="48" t="n">
        <f aca="false">(D3101*Assumptions!$E$22*MIN(1,Assumptions!$D$103/Assumptions!$E$78)+D3108)*D3091</f>
        <v>11.0377544704</v>
      </c>
      <c r="E3109" s="48" t="n">
        <f aca="false">(E3101*Assumptions!$E$22*MIN(1,Assumptions!$D$103/Assumptions!$E$78)+E3108)*E3091</f>
        <v>11.0377544704</v>
      </c>
      <c r="F3109" s="48" t="n">
        <f aca="false">(F3101*Assumptions!$E$22*MIN(1,Assumptions!$D$103/Assumptions!$E$78)+F3108)*F3091</f>
        <v>11.0377544704</v>
      </c>
      <c r="G3109" s="48" t="n">
        <f aca="false">(G3101*Assumptions!$E$22*MIN(1,Assumptions!$D$103/Assumptions!$E$78)+G3108)*G3091</f>
        <v>14.9349950176</v>
      </c>
      <c r="H3109" s="48" t="n">
        <f aca="false">(H3101*Assumptions!$E$22*MIN(1,Assumptions!$D$103/Assumptions!$E$78)+H3108)*H3091</f>
        <v>18.8322355648</v>
      </c>
      <c r="I3109" s="48" t="n">
        <f aca="false">(I3101*Assumptions!$E$22*MIN(1,Assumptions!$D$103/Assumptions!$E$78)+I3108)*I3091</f>
        <v>31.6761039616</v>
      </c>
      <c r="J3109" s="48" t="n">
        <f aca="false">(J3101*Assumptions!$E$22*MIN(1,Assumptions!$D$103/Assumptions!$E$78)+J3108)*J3091</f>
        <v>44.5199723584</v>
      </c>
      <c r="K3109" s="48" t="n">
        <f aca="false">(K3101*Assumptions!$E$22*MIN(1,Assumptions!$D$103/Assumptions!$E$78)+K3108)*K3091</f>
        <v>44.5199723584</v>
      </c>
      <c r="L3109" s="48" t="n">
        <f aca="false">(L3101*Assumptions!$E$22*MIN(1,Assumptions!$D$103/Assumptions!$E$78)+L3108)*L3091</f>
        <v>44.5199723584</v>
      </c>
      <c r="M3109" s="48" t="n">
        <f aca="false">(M3101*Assumptions!$E$22*MIN(1,Assumptions!$D$103/Assumptions!$E$78)+M3108)*M3091</f>
        <v>44.5199723584</v>
      </c>
      <c r="N3109" s="48" t="n">
        <f aca="false">(N3101*Assumptions!$E$22*MIN(1,Assumptions!$D$103/Assumptions!$E$78)+N3108)*N3091</f>
        <v>44.5199723584</v>
      </c>
      <c r="P3109" s="49" t="n">
        <f aca="false">SUM(C3109:F3109)</f>
        <v>38.6321406464</v>
      </c>
      <c r="Q3109" s="49" t="n">
        <f aca="false">SUM(G3109:J3109)</f>
        <v>109.9633069024</v>
      </c>
      <c r="R3109" s="49" t="n">
        <f aca="false">SUM(K3109:N3109)</f>
        <v>178.0798894336</v>
      </c>
      <c r="S3109" s="50" t="n">
        <f aca="false">SUM(P3109:R3109)</f>
        <v>326.6753369824</v>
      </c>
    </row>
    <row r="3110" customFormat="false" ht="15" hidden="false" customHeight="false" outlineLevel="0" collapsed="false">
      <c r="A3110" s="4" t="s">
        <v>499</v>
      </c>
      <c r="B3110" s="36" t="s">
        <v>500</v>
      </c>
      <c r="C3110" s="48" t="n">
        <f aca="false">C3091*MIN(Assumptions!$E$27,Assumptions!$E$25+Assumptions!$E$26*(C3090-1))*Assumptions!$D$107</f>
        <v>2</v>
      </c>
      <c r="D3110" s="48" t="n">
        <f aca="false">D3091*MIN(Assumptions!$E$27,Assumptions!$E$25+Assumptions!$E$26*(D3090-1))*Assumptions!$D$107</f>
        <v>3</v>
      </c>
      <c r="E3110" s="48" t="n">
        <f aca="false">E3091*MIN(Assumptions!$E$27,Assumptions!$E$25+Assumptions!$E$26*(E3090-1))*Assumptions!$D$107</f>
        <v>4</v>
      </c>
      <c r="F3110" s="48" t="n">
        <f aca="false">F3091*MIN(Assumptions!$E$27,Assumptions!$E$25+Assumptions!$E$26*(F3090-1))*Assumptions!$D$107</f>
        <v>5</v>
      </c>
      <c r="G3110" s="48" t="n">
        <f aca="false">G3091*MIN(Assumptions!$E$27,Assumptions!$E$25+Assumptions!$E$26*(G3090-1))*Assumptions!$D$107</f>
        <v>6</v>
      </c>
      <c r="H3110" s="48" t="n">
        <f aca="false">H3091*MIN(Assumptions!$E$27,Assumptions!$E$25+Assumptions!$E$26*(H3090-1))*Assumptions!$D$107</f>
        <v>7</v>
      </c>
      <c r="I3110" s="48" t="n">
        <f aca="false">I3091*MIN(Assumptions!$E$27,Assumptions!$E$25+Assumptions!$E$26*(I3090-1))*Assumptions!$D$107</f>
        <v>8</v>
      </c>
      <c r="J3110" s="48" t="n">
        <f aca="false">J3091*MIN(Assumptions!$E$27,Assumptions!$E$25+Assumptions!$E$26*(J3090-1))*Assumptions!$D$107</f>
        <v>9</v>
      </c>
      <c r="K3110" s="48" t="n">
        <f aca="false">K3091*MIN(Assumptions!$E$27,Assumptions!$E$25+Assumptions!$E$26*(K3090-1))*Assumptions!$D$107</f>
        <v>10</v>
      </c>
      <c r="L3110" s="48" t="n">
        <f aca="false">L3091*MIN(Assumptions!$E$27,Assumptions!$E$25+Assumptions!$E$26*(L3090-1))*Assumptions!$D$107</f>
        <v>10</v>
      </c>
      <c r="M3110" s="48" t="n">
        <f aca="false">M3091*MIN(Assumptions!$E$27,Assumptions!$E$25+Assumptions!$E$26*(M3090-1))*Assumptions!$D$107</f>
        <v>10</v>
      </c>
      <c r="N3110" s="48" t="n">
        <f aca="false">N3091*MIN(Assumptions!$E$27,Assumptions!$E$25+Assumptions!$E$26*(N3090-1))*Assumptions!$D$107</f>
        <v>10</v>
      </c>
      <c r="P3110" s="49" t="n">
        <f aca="false">F3110</f>
        <v>5</v>
      </c>
      <c r="Q3110" s="49" t="n">
        <f aca="false">J3110</f>
        <v>9</v>
      </c>
      <c r="R3110" s="49" t="n">
        <f aca="false">N3110</f>
        <v>10</v>
      </c>
      <c r="S3110" s="50" t="n">
        <f aca="false">R3110</f>
        <v>10</v>
      </c>
    </row>
    <row r="3111" customFormat="false" ht="15" hidden="false" customHeight="false" outlineLevel="0" collapsed="false">
      <c r="A3111" s="4" t="s">
        <v>501</v>
      </c>
      <c r="B3111" s="36" t="s">
        <v>502</v>
      </c>
      <c r="C3111" s="48" t="n">
        <f aca="false">C3110*Assumptions!$E$28</f>
        <v>6</v>
      </c>
      <c r="D3111" s="48" t="n">
        <f aca="false">D3110*Assumptions!$E$28</f>
        <v>9</v>
      </c>
      <c r="E3111" s="48" t="n">
        <f aca="false">E3110*Assumptions!$E$28</f>
        <v>12</v>
      </c>
      <c r="F3111" s="48" t="n">
        <f aca="false">F3110*Assumptions!$E$28</f>
        <v>15</v>
      </c>
      <c r="G3111" s="48" t="n">
        <f aca="false">G3110*Assumptions!$E$28</f>
        <v>18</v>
      </c>
      <c r="H3111" s="48" t="n">
        <f aca="false">H3110*Assumptions!$E$28</f>
        <v>21</v>
      </c>
      <c r="I3111" s="48" t="n">
        <f aca="false">I3110*Assumptions!$E$28</f>
        <v>24</v>
      </c>
      <c r="J3111" s="48" t="n">
        <f aca="false">J3110*Assumptions!$E$28</f>
        <v>27</v>
      </c>
      <c r="K3111" s="48" t="n">
        <f aca="false">K3110*Assumptions!$E$28</f>
        <v>30</v>
      </c>
      <c r="L3111" s="48" t="n">
        <f aca="false">L3110*Assumptions!$E$28</f>
        <v>30</v>
      </c>
      <c r="M3111" s="48" t="n">
        <f aca="false">M3110*Assumptions!$E$28</f>
        <v>30</v>
      </c>
      <c r="N3111" s="48" t="n">
        <f aca="false">N3110*Assumptions!$E$28</f>
        <v>30</v>
      </c>
      <c r="P3111" s="49" t="n">
        <f aca="false">SUM(C3111:F3111)</f>
        <v>42</v>
      </c>
      <c r="Q3111" s="49" t="n">
        <f aca="false">SUM(G3111:J3111)</f>
        <v>90</v>
      </c>
      <c r="R3111" s="49" t="n">
        <f aca="false">SUM(K3111:N3111)</f>
        <v>120</v>
      </c>
      <c r="S3111" s="50" t="n">
        <f aca="false">SUM(P3111:R3111)</f>
        <v>252</v>
      </c>
    </row>
    <row r="3112" customFormat="false" ht="15" hidden="false" customHeight="false" outlineLevel="0" collapsed="false">
      <c r="A3112" s="4" t="s">
        <v>503</v>
      </c>
      <c r="B3112" s="36" t="s">
        <v>504</v>
      </c>
      <c r="C3112" s="48" t="n">
        <f aca="false">(C3103+C3107)*Assumptions!$E$29</f>
        <v>1.986795804672</v>
      </c>
      <c r="D3112" s="48" t="n">
        <f aca="false">(D3103+D3107)*Assumptions!$E$29</f>
        <v>3.69784365974286</v>
      </c>
      <c r="E3112" s="48" t="n">
        <f aca="false">(E3103+E3107)*Assumptions!$E$29</f>
        <v>3.4412312779566</v>
      </c>
      <c r="F3112" s="48" t="n">
        <f aca="false">(F3103+F3107)*Assumptions!$E$29</f>
        <v>3.20242654856054</v>
      </c>
      <c r="G3112" s="48" t="n">
        <f aca="false">(G3103+G3107)*Assumptions!$E$29</f>
        <v>4.383200304</v>
      </c>
      <c r="H3112" s="48" t="n">
        <f aca="false">(H3103+H3107)*Assumptions!$E$29</f>
        <v>5.38467225783326</v>
      </c>
      <c r="I3112" s="48" t="n">
        <f aca="false">(I3103+I3107)*Assumptions!$E$29</f>
        <v>9.6347947906599</v>
      </c>
      <c r="J3112" s="48" t="n">
        <f aca="false">(J3103+J3107)*Assumptions!$E$29</f>
        <v>13.2691107309425</v>
      </c>
      <c r="K3112" s="48" t="n">
        <f aca="false">(K3103+K3107)*Assumptions!$E$29</f>
        <v>12.3482989221789</v>
      </c>
      <c r="L3112" s="48" t="n">
        <f aca="false">(L3103+L3107)*Assumptions!$E$29</f>
        <v>11.4913869786249</v>
      </c>
      <c r="M3112" s="48" t="n">
        <f aca="false">(M3103+M3107)*Assumptions!$E$29</f>
        <v>10.6939405601309</v>
      </c>
      <c r="N3112" s="48" t="n">
        <f aca="false">(N3103+N3107)*Assumptions!$E$29</f>
        <v>9.95183304820687</v>
      </c>
      <c r="P3112" s="49" t="n">
        <f aca="false">SUM(C3112:F3112)</f>
        <v>12.328297290932</v>
      </c>
      <c r="Q3112" s="49" t="n">
        <f aca="false">SUM(G3112:J3112)</f>
        <v>32.6717780834357</v>
      </c>
      <c r="R3112" s="49" t="n">
        <f aca="false">SUM(K3112:N3112)</f>
        <v>44.4854595091416</v>
      </c>
      <c r="S3112" s="50" t="n">
        <f aca="false">SUM(P3112:R3112)</f>
        <v>89.4855348835093</v>
      </c>
    </row>
    <row r="3113" customFormat="false" ht="15" hidden="false" customHeight="false" outlineLevel="0" collapsed="false">
      <c r="A3113" s="4" t="s">
        <v>505</v>
      </c>
      <c r="B3113" s="36" t="s">
        <v>504</v>
      </c>
      <c r="C3113" s="48" t="n">
        <f aca="false">C3109*Assumptions!$E$31</f>
        <v>0.883020357632</v>
      </c>
      <c r="D3113" s="48" t="n">
        <f aca="false">D3109*Assumptions!$E$31</f>
        <v>1.766040715264</v>
      </c>
      <c r="E3113" s="48" t="n">
        <f aca="false">E3109*Assumptions!$E$31</f>
        <v>1.766040715264</v>
      </c>
      <c r="F3113" s="48" t="n">
        <f aca="false">F3109*Assumptions!$E$31</f>
        <v>1.766040715264</v>
      </c>
      <c r="G3113" s="48" t="n">
        <f aca="false">G3109*Assumptions!$E$31</f>
        <v>2.389599202816</v>
      </c>
      <c r="H3113" s="48" t="n">
        <f aca="false">H3109*Assumptions!$E$31</f>
        <v>3.013157690368</v>
      </c>
      <c r="I3113" s="48" t="n">
        <f aca="false">I3109*Assumptions!$E$31</f>
        <v>5.068176633856</v>
      </c>
      <c r="J3113" s="48" t="n">
        <f aca="false">J3109*Assumptions!$E$31</f>
        <v>7.123195577344</v>
      </c>
      <c r="K3113" s="48" t="n">
        <f aca="false">K3109*Assumptions!$E$31</f>
        <v>7.123195577344</v>
      </c>
      <c r="L3113" s="48" t="n">
        <f aca="false">L3109*Assumptions!$E$31</f>
        <v>7.123195577344</v>
      </c>
      <c r="M3113" s="48" t="n">
        <f aca="false">M3109*Assumptions!$E$31</f>
        <v>7.123195577344</v>
      </c>
      <c r="N3113" s="48" t="n">
        <f aca="false">N3109*Assumptions!$E$31</f>
        <v>7.123195577344</v>
      </c>
      <c r="P3113" s="49" t="n">
        <f aca="false">SUM(C3113:F3113)</f>
        <v>6.181142503424</v>
      </c>
      <c r="Q3113" s="49" t="n">
        <f aca="false">SUM(G3113:J3113)</f>
        <v>17.594129104384</v>
      </c>
      <c r="R3113" s="49" t="n">
        <f aca="false">SUM(K3113:N3113)</f>
        <v>28.492782309376</v>
      </c>
      <c r="S3113" s="50" t="n">
        <f aca="false">SUM(P3113:R3113)</f>
        <v>52.268053917184</v>
      </c>
    </row>
    <row r="3114" customFormat="false" ht="15" hidden="false" customHeight="false" outlineLevel="0" collapsed="false">
      <c r="A3114" s="4" t="s">
        <v>506</v>
      </c>
      <c r="B3114" s="36" t="s">
        <v>504</v>
      </c>
      <c r="C3114" s="48" t="n">
        <f aca="false">C3111*Assumptions!$E$30</f>
        <v>3</v>
      </c>
      <c r="D3114" s="48" t="n">
        <f aca="false">D3111*Assumptions!$E$30</f>
        <v>4.5</v>
      </c>
      <c r="E3114" s="48" t="n">
        <f aca="false">E3111*Assumptions!$E$30</f>
        <v>6</v>
      </c>
      <c r="F3114" s="48" t="n">
        <f aca="false">F3111*Assumptions!$E$30</f>
        <v>7.5</v>
      </c>
      <c r="G3114" s="48" t="n">
        <f aca="false">G3111*Assumptions!$E$30</f>
        <v>9</v>
      </c>
      <c r="H3114" s="48" t="n">
        <f aca="false">H3111*Assumptions!$E$30</f>
        <v>10.5</v>
      </c>
      <c r="I3114" s="48" t="n">
        <f aca="false">I3111*Assumptions!$E$30</f>
        <v>12</v>
      </c>
      <c r="J3114" s="48" t="n">
        <f aca="false">J3111*Assumptions!$E$30</f>
        <v>13.5</v>
      </c>
      <c r="K3114" s="48" t="n">
        <f aca="false">K3111*Assumptions!$E$30</f>
        <v>15</v>
      </c>
      <c r="L3114" s="48" t="n">
        <f aca="false">L3111*Assumptions!$E$30</f>
        <v>15</v>
      </c>
      <c r="M3114" s="48" t="n">
        <f aca="false">M3111*Assumptions!$E$30</f>
        <v>15</v>
      </c>
      <c r="N3114" s="48" t="n">
        <f aca="false">N3111*Assumptions!$E$30</f>
        <v>15</v>
      </c>
      <c r="P3114" s="49" t="n">
        <f aca="false">SUM(C3114:F3114)</f>
        <v>21</v>
      </c>
      <c r="Q3114" s="49" t="n">
        <f aca="false">SUM(G3114:J3114)</f>
        <v>45</v>
      </c>
      <c r="R3114" s="49" t="n">
        <f aca="false">SUM(K3114:N3114)</f>
        <v>60</v>
      </c>
      <c r="S3114" s="50" t="n">
        <f aca="false">SUM(P3114:R3114)</f>
        <v>126</v>
      </c>
    </row>
    <row r="3115" customFormat="false" ht="15" hidden="false" customHeight="false" outlineLevel="0" collapsed="false">
      <c r="A3115" s="9" t="s">
        <v>507</v>
      </c>
      <c r="B3115" s="36" t="s">
        <v>504</v>
      </c>
      <c r="C3115" s="49" t="n">
        <f aca="false">C3112+C3113+C3114</f>
        <v>5.869816162304</v>
      </c>
      <c r="D3115" s="49" t="n">
        <f aca="false">D3112+D3113+D3114</f>
        <v>9.96388437500686</v>
      </c>
      <c r="E3115" s="49" t="n">
        <f aca="false">E3112+E3113+E3114</f>
        <v>11.2072719932206</v>
      </c>
      <c r="F3115" s="49" t="n">
        <f aca="false">F3112+F3113+F3114</f>
        <v>12.4684672638245</v>
      </c>
      <c r="G3115" s="49" t="n">
        <f aca="false">G3112+G3113+G3114</f>
        <v>15.772799506816</v>
      </c>
      <c r="H3115" s="49" t="n">
        <f aca="false">H3112+H3113+H3114</f>
        <v>18.8978299482013</v>
      </c>
      <c r="I3115" s="49" t="n">
        <f aca="false">I3112+I3113+I3114</f>
        <v>26.7029714245159</v>
      </c>
      <c r="J3115" s="49" t="n">
        <f aca="false">J3112+J3113+J3114</f>
        <v>33.8923063082865</v>
      </c>
      <c r="K3115" s="49" t="n">
        <f aca="false">K3112+K3113+K3114</f>
        <v>34.4714944995229</v>
      </c>
      <c r="L3115" s="49" t="n">
        <f aca="false">L3112+L3113+L3114</f>
        <v>33.6145825559689</v>
      </c>
      <c r="M3115" s="49" t="n">
        <f aca="false">M3112+M3113+M3114</f>
        <v>32.8171361374749</v>
      </c>
      <c r="N3115" s="49" t="n">
        <f aca="false">N3112+N3113+N3114</f>
        <v>32.0750286255509</v>
      </c>
      <c r="P3115" s="49" t="n">
        <f aca="false">SUM(C3115:F3115)</f>
        <v>39.509439794356</v>
      </c>
      <c r="Q3115" s="49" t="n">
        <f aca="false">SUM(G3115:J3115)</f>
        <v>95.2659071878197</v>
      </c>
      <c r="R3115" s="49" t="n">
        <f aca="false">SUM(K3115:N3115)</f>
        <v>132.978241818518</v>
      </c>
      <c r="S3115" s="50" t="n">
        <f aca="false">SUM(P3115:R3115)</f>
        <v>267.753588800693</v>
      </c>
    </row>
    <row r="3116" customFormat="false" ht="15" hidden="false" customHeight="false" outlineLevel="0" collapsed="false">
      <c r="A3116" s="4" t="s">
        <v>508</v>
      </c>
      <c r="B3116" s="36" t="s">
        <v>509</v>
      </c>
      <c r="C3116" s="48" t="n">
        <f aca="false">C3098</f>
        <v>421.51972352</v>
      </c>
      <c r="D3116" s="48" t="n">
        <f aca="false">D3098</f>
        <v>843.03944704</v>
      </c>
      <c r="E3116" s="48" t="n">
        <f aca="false">E3098</f>
        <v>843.03944704</v>
      </c>
      <c r="F3116" s="48" t="n">
        <f aca="false">F3098</f>
        <v>843.03944704</v>
      </c>
      <c r="G3116" s="48" t="n">
        <f aca="false">G3098</f>
        <v>1149.32798176</v>
      </c>
      <c r="H3116" s="48" t="n">
        <f aca="false">H3098</f>
        <v>1455.61651648</v>
      </c>
      <c r="I3116" s="48" t="n">
        <f aca="false">I3098</f>
        <v>2486.00303616</v>
      </c>
      <c r="J3116" s="48" t="n">
        <f aca="false">J3098</f>
        <v>3516.38955584</v>
      </c>
      <c r="K3116" s="48" t="n">
        <f aca="false">K3098</f>
        <v>3516.38955584</v>
      </c>
      <c r="L3116" s="48" t="n">
        <f aca="false">L3098</f>
        <v>3516.38955584</v>
      </c>
      <c r="M3116" s="48" t="n">
        <f aca="false">M3098</f>
        <v>3516.38955584</v>
      </c>
      <c r="N3116" s="48" t="n">
        <f aca="false">N3098</f>
        <v>3516.38955584</v>
      </c>
      <c r="P3116" s="49"/>
      <c r="Q3116" s="49"/>
      <c r="R3116" s="49"/>
      <c r="S3116" s="50"/>
    </row>
    <row r="3117" customFormat="false" ht="15" hidden="false" customHeight="false" outlineLevel="0" collapsed="false">
      <c r="A3117" s="4" t="s">
        <v>510</v>
      </c>
      <c r="B3117" s="36" t="s">
        <v>509</v>
      </c>
      <c r="C3117" s="48" t="n">
        <f aca="false">C3099*Assumptions!$E$18*Assumptions!$E$33</f>
        <v>211.19616</v>
      </c>
      <c r="D3117" s="48" t="n">
        <f aca="false">D3099*Assumptions!$E$18*Assumptions!$E$33</f>
        <v>422.39232</v>
      </c>
      <c r="E3117" s="48" t="n">
        <f aca="false">E3099*Assumptions!$E$18*Assumptions!$E$33</f>
        <v>422.39232</v>
      </c>
      <c r="F3117" s="48" t="n">
        <f aca="false">F3099*Assumptions!$E$18*Assumptions!$E$33</f>
        <v>422.39232</v>
      </c>
      <c r="G3117" s="48" t="n">
        <f aca="false">G3099*Assumptions!$E$18*Assumptions!$E$33</f>
        <v>564.49344</v>
      </c>
      <c r="H3117" s="48" t="n">
        <f aca="false">H3099*Assumptions!$E$18*Assumptions!$E$33</f>
        <v>706.59456</v>
      </c>
      <c r="I3117" s="48" t="n">
        <f aca="false">I3099*Assumptions!$E$18*Assumptions!$E$33</f>
        <v>1135.07072</v>
      </c>
      <c r="J3117" s="48" t="n">
        <f aca="false">J3099*Assumptions!$E$18*Assumptions!$E$33</f>
        <v>1563.54688</v>
      </c>
      <c r="K3117" s="48" t="n">
        <f aca="false">K3099*Assumptions!$E$18*Assumptions!$E$33</f>
        <v>1563.54688</v>
      </c>
      <c r="L3117" s="48" t="n">
        <f aca="false">L3099*Assumptions!$E$18*Assumptions!$E$33</f>
        <v>1563.54688</v>
      </c>
      <c r="M3117" s="48" t="n">
        <f aca="false">M3099*Assumptions!$E$18*Assumptions!$E$33</f>
        <v>1563.54688</v>
      </c>
      <c r="N3117" s="48" t="n">
        <f aca="false">N3099*Assumptions!$E$18*Assumptions!$E$33</f>
        <v>1563.54688</v>
      </c>
      <c r="P3117" s="49"/>
      <c r="Q3117" s="49"/>
      <c r="R3117" s="49"/>
      <c r="S3117" s="50"/>
    </row>
    <row r="3118" customFormat="false" ht="15" hidden="false" customHeight="false" outlineLevel="0" collapsed="false">
      <c r="A3118" s="4" t="s">
        <v>511</v>
      </c>
      <c r="B3118" s="36" t="s">
        <v>509</v>
      </c>
      <c r="C3118" s="48" t="n">
        <f aca="false">C3100*Assumptions!$E$19*Assumptions!$E$34</f>
        <v>34.677888</v>
      </c>
      <c r="D3118" s="48" t="n">
        <f aca="false">D3100*Assumptions!$E$19*Assumptions!$E$34</f>
        <v>69.355776</v>
      </c>
      <c r="E3118" s="48" t="n">
        <f aca="false">E3100*Assumptions!$E$19*Assumptions!$E$34</f>
        <v>69.355776</v>
      </c>
      <c r="F3118" s="48" t="n">
        <f aca="false">F3100*Assumptions!$E$19*Assumptions!$E$34</f>
        <v>69.355776</v>
      </c>
      <c r="G3118" s="48" t="n">
        <f aca="false">G3100*Assumptions!$E$19*Assumptions!$E$34</f>
        <v>86.69472</v>
      </c>
      <c r="H3118" s="48" t="n">
        <f aca="false">H3100*Assumptions!$E$19*Assumptions!$E$34</f>
        <v>104.033664</v>
      </c>
      <c r="I3118" s="48" t="n">
        <f aca="false">I3100*Assumptions!$E$19*Assumptions!$E$34</f>
        <v>159.7008</v>
      </c>
      <c r="J3118" s="48" t="n">
        <f aca="false">J3100*Assumptions!$E$19*Assumptions!$E$34</f>
        <v>215.367936</v>
      </c>
      <c r="K3118" s="48" t="n">
        <f aca="false">K3100*Assumptions!$E$19*Assumptions!$E$34</f>
        <v>215.367936</v>
      </c>
      <c r="L3118" s="48" t="n">
        <f aca="false">L3100*Assumptions!$E$19*Assumptions!$E$34</f>
        <v>215.367936</v>
      </c>
      <c r="M3118" s="48" t="n">
        <f aca="false">M3100*Assumptions!$E$19*Assumptions!$E$34</f>
        <v>215.367936</v>
      </c>
      <c r="N3118" s="48" t="n">
        <f aca="false">N3100*Assumptions!$E$19*Assumptions!$E$34</f>
        <v>215.367936</v>
      </c>
      <c r="P3118" s="49"/>
      <c r="Q3118" s="49"/>
      <c r="R3118" s="49"/>
      <c r="S3118" s="50"/>
    </row>
    <row r="3119" customFormat="false" ht="15" hidden="false" customHeight="false" outlineLevel="0" collapsed="false">
      <c r="A3119" s="4" t="s">
        <v>512</v>
      </c>
      <c r="B3119" s="36" t="s">
        <v>77</v>
      </c>
      <c r="C3119" s="51" t="n">
        <f aca="false">IFERROR(C3116/(C3116+C3117+C3118),0)</f>
        <v>0.631590736245533</v>
      </c>
      <c r="D3119" s="51" t="n">
        <f aca="false">IFERROR(D3116/(D3116+D3117+D3118),0)</f>
        <v>0.631590736245533</v>
      </c>
      <c r="E3119" s="51" t="n">
        <f aca="false">IFERROR(E3116/(E3116+E3117+E3118),0)</f>
        <v>0.631590736245533</v>
      </c>
      <c r="F3119" s="51" t="n">
        <f aca="false">IFERROR(F3116/(F3116+F3117+F3118),0)</f>
        <v>0.631590736245533</v>
      </c>
      <c r="G3119" s="51" t="n">
        <f aca="false">IFERROR(G3116/(G3116+G3117+G3118),0)</f>
        <v>0.638332506498128</v>
      </c>
      <c r="H3119" s="51" t="n">
        <f aca="false">IFERROR(H3116/(H3116+H3117+H3118),0)</f>
        <v>0.642303318118984</v>
      </c>
      <c r="I3119" s="51" t="n">
        <f aca="false">IFERROR(I3116/(I3116+I3117+I3118),0)</f>
        <v>0.657538025405288</v>
      </c>
      <c r="J3119" s="51" t="n">
        <f aca="false">IFERROR(J3116/(J3116+J3117+J3118),0)</f>
        <v>0.664058061428891</v>
      </c>
      <c r="K3119" s="51" t="n">
        <f aca="false">IFERROR(K3116/(K3116+K3117+K3118),0)</f>
        <v>0.664058061428891</v>
      </c>
      <c r="L3119" s="51" t="n">
        <f aca="false">IFERROR(L3116/(L3116+L3117+L3118),0)</f>
        <v>0.664058061428891</v>
      </c>
      <c r="M3119" s="51" t="n">
        <f aca="false">IFERROR(M3116/(M3116+M3117+M3118),0)</f>
        <v>0.664058061428891</v>
      </c>
      <c r="N3119" s="51" t="n">
        <f aca="false">IFERROR(N3116/(N3116+N3117+N3118),0)</f>
        <v>0.664058061428891</v>
      </c>
      <c r="P3119" s="52"/>
      <c r="Q3119" s="52"/>
      <c r="R3119" s="52"/>
      <c r="S3119" s="53"/>
    </row>
    <row r="3120" customFormat="false" ht="15" hidden="false" customHeight="false" outlineLevel="0" collapsed="false">
      <c r="A3120" s="4" t="s">
        <v>513</v>
      </c>
      <c r="B3120" s="36" t="s">
        <v>77</v>
      </c>
      <c r="C3120" s="51" t="n">
        <f aca="false">IFERROR(C3117/(C3116+C3117+C3118),0)</f>
        <v>0.316449102482628</v>
      </c>
      <c r="D3120" s="51" t="n">
        <f aca="false">IFERROR(D3117/(D3116+D3117+D3118),0)</f>
        <v>0.316449102482628</v>
      </c>
      <c r="E3120" s="51" t="n">
        <f aca="false">IFERROR(E3117/(E3116+E3117+E3118),0)</f>
        <v>0.316449102482628</v>
      </c>
      <c r="F3120" s="51" t="n">
        <f aca="false">IFERROR(F3117/(F3116+F3117+F3118),0)</f>
        <v>0.316449102482628</v>
      </c>
      <c r="G3120" s="51" t="n">
        <f aca="false">IFERROR(G3117/(G3116+G3117+G3118),0)</f>
        <v>0.313517566939561</v>
      </c>
      <c r="H3120" s="51" t="n">
        <f aca="false">IFERROR(H3117/(H3116+H3117+H3118),0)</f>
        <v>0.311790932099567</v>
      </c>
      <c r="I3120" s="51" t="n">
        <f aca="false">IFERROR(I3117/(I3116+I3117+I3118),0)</f>
        <v>0.300221741111391</v>
      </c>
      <c r="J3120" s="51" t="n">
        <f aca="false">IFERROR(J3117/(J3116+J3117+J3118),0)</f>
        <v>0.295270445324128</v>
      </c>
      <c r="K3120" s="51" t="n">
        <f aca="false">IFERROR(K3117/(K3116+K3117+K3118),0)</f>
        <v>0.295270445324128</v>
      </c>
      <c r="L3120" s="51" t="n">
        <f aca="false">IFERROR(L3117/(L3116+L3117+L3118),0)</f>
        <v>0.295270445324128</v>
      </c>
      <c r="M3120" s="51" t="n">
        <f aca="false">IFERROR(M3117/(M3116+M3117+M3118),0)</f>
        <v>0.295270445324128</v>
      </c>
      <c r="N3120" s="51" t="n">
        <f aca="false">IFERROR(N3117/(N3116+N3117+N3118),0)</f>
        <v>0.295270445324128</v>
      </c>
      <c r="P3120" s="52"/>
      <c r="Q3120" s="52"/>
      <c r="R3120" s="52"/>
      <c r="S3120" s="53"/>
    </row>
    <row r="3121" customFormat="false" ht="15" hidden="false" customHeight="false" outlineLevel="0" collapsed="false">
      <c r="A3121" s="4" t="s">
        <v>514</v>
      </c>
      <c r="B3121" s="36" t="s">
        <v>77</v>
      </c>
      <c r="C3121" s="51" t="n">
        <f aca="false">IFERROR(C3118/(C3116+C3117+C3118),0)</f>
        <v>0.0519601612718389</v>
      </c>
      <c r="D3121" s="51" t="n">
        <f aca="false">IFERROR(D3118/(D3116+D3117+D3118),0)</f>
        <v>0.0519601612718389</v>
      </c>
      <c r="E3121" s="51" t="n">
        <f aca="false">IFERROR(E3118/(E3116+E3117+E3118),0)</f>
        <v>0.0519601612718389</v>
      </c>
      <c r="F3121" s="51" t="n">
        <f aca="false">IFERROR(F3118/(F3116+F3117+F3118),0)</f>
        <v>0.0519601612718389</v>
      </c>
      <c r="G3121" s="51" t="n">
        <f aca="false">IFERROR(G3118/(G3116+G3117+G3118),0)</f>
        <v>0.0481499265623113</v>
      </c>
      <c r="H3121" s="51" t="n">
        <f aca="false">IFERROR(H3118/(H3116+H3117+H3118),0)</f>
        <v>0.0459057497814491</v>
      </c>
      <c r="I3121" s="51" t="n">
        <f aca="false">IFERROR(I3118/(I3116+I3117+I3118),0)</f>
        <v>0.0422402334833216</v>
      </c>
      <c r="J3121" s="51" t="n">
        <f aca="false">IFERROR(J3118/(J3116+J3117+J3118),0)</f>
        <v>0.0406714932469811</v>
      </c>
      <c r="K3121" s="51" t="n">
        <f aca="false">IFERROR(K3118/(K3116+K3117+K3118),0)</f>
        <v>0.0406714932469811</v>
      </c>
      <c r="L3121" s="51" t="n">
        <f aca="false">IFERROR(L3118/(L3116+L3117+L3118),0)</f>
        <v>0.0406714932469811</v>
      </c>
      <c r="M3121" s="51" t="n">
        <f aca="false">IFERROR(M3118/(M3116+M3117+M3118),0)</f>
        <v>0.0406714932469811</v>
      </c>
      <c r="N3121" s="51" t="n">
        <f aca="false">IFERROR(N3118/(N3116+N3117+N3118),0)</f>
        <v>0.0406714932469811</v>
      </c>
      <c r="P3121" s="52"/>
      <c r="Q3121" s="52"/>
      <c r="R3121" s="52"/>
      <c r="S3121" s="53"/>
    </row>
    <row r="3122" customFormat="false" ht="15" hidden="false" customHeight="false" outlineLevel="0" collapsed="false">
      <c r="A3122" s="4" t="s">
        <v>515</v>
      </c>
      <c r="B3122" s="36" t="s">
        <v>516</v>
      </c>
      <c r="C3122" s="48" t="n">
        <f aca="false">IF(C3090-Assumptions!$E$35&lt;1,0,INDEX($C$3115:$N$3115,1,C3090-Assumptions!$E$35)*INDEX($C$3119:$N$3119,1,C3090-Assumptions!$E$35)*Assumptions!$E$32)</f>
        <v>0</v>
      </c>
      <c r="D3122" s="48" t="n">
        <f aca="false">IF(D3090-Assumptions!$E$35&lt;1,0,INDEX($C$3115:$N$3115,1,D3090-Assumptions!$E$35)*INDEX($C$3119:$N$3119,1,D3090-Assumptions!$E$35)*Assumptions!$E$32)</f>
        <v>0.778537517430858</v>
      </c>
      <c r="E3122" s="48" t="n">
        <f aca="false">IF(E3090-Assumptions!$E$35&lt;1,0,INDEX($C$3115:$N$3115,1,E3090-Assumptions!$E$35)*INDEX($C$3119:$N$3119,1,E3090-Assumptions!$E$35)*Assumptions!$E$32)</f>
        <v>1.32155038433795</v>
      </c>
      <c r="F3122" s="48" t="n">
        <f aca="false">IF(F3090-Assumptions!$E$35&lt;1,0,INDEX($C$3115:$N$3115,1,F3090-Assumptions!$E$35)*INDEX($C$3119:$N$3119,1,F3090-Assumptions!$E$35)*Assumptions!$E$32)</f>
        <v>1.48646592559545</v>
      </c>
      <c r="G3122" s="48" t="n">
        <f aca="false">IF(G3090-Assumptions!$E$35&lt;1,0,INDEX($C$3115:$N$3115,1,G3090-Assumptions!$E$35)*INDEX($C$3119:$N$3119,1,G3090-Assumptions!$E$35)*Assumptions!$E$32)</f>
        <v>1.65374336799258</v>
      </c>
      <c r="H3122" s="48" t="n">
        <f aca="false">IF(H3090-Assumptions!$E$35&lt;1,0,INDEX($C$3115:$N$3115,1,H3090-Assumptions!$E$35)*INDEX($C$3119:$N$3119,1,H3090-Assumptions!$E$35)*Assumptions!$E$32)</f>
        <v>2.11434103517244</v>
      </c>
      <c r="I3122" s="48" t="n">
        <f aca="false">IF(I3090-Assumptions!$E$35&lt;1,0,INDEX($C$3115:$N$3115,1,I3090-Assumptions!$E$35)*INDEX($C$3119:$N$3119,1,I3090-Assumptions!$E$35)*Assumptions!$E$32)</f>
        <v>2.54900916500537</v>
      </c>
      <c r="J3122" s="48" t="n">
        <f aca="false">IF(J3090-Assumptions!$E$35&lt;1,0,INDEX($C$3115:$N$3115,1,J3090-Assumptions!$E$35)*INDEX($C$3119:$N$3119,1,J3090-Assumptions!$E$35)*Assumptions!$E$32)</f>
        <v>3.6872260116153</v>
      </c>
      <c r="K3122" s="48" t="n">
        <f aca="false">IF(K3090-Assumptions!$E$35&lt;1,0,INDEX($C$3115:$N$3115,1,K3090-Assumptions!$E$35)*INDEX($C$3119:$N$3119,1,K3090-Assumptions!$E$35)*Assumptions!$E$32)</f>
        <v>4.72635643713133</v>
      </c>
      <c r="L3122" s="48" t="n">
        <f aca="false">IF(L3090-Assumptions!$E$35&lt;1,0,INDEX($C$3115:$N$3115,1,L3090-Assumptions!$E$35)*INDEX($C$3119:$N$3119,1,L3090-Assumptions!$E$35)*Assumptions!$E$32)</f>
        <v>4.80712550050107</v>
      </c>
      <c r="M3122" s="48" t="n">
        <f aca="false">IF(M3090-Assumptions!$E$35&lt;1,0,INDEX($C$3115:$N$3115,1,M3090-Assumptions!$E$35)*INDEX($C$3119:$N$3119,1,M3090-Assumptions!$E$35)*Assumptions!$E$32)</f>
        <v>4.68762725085021</v>
      </c>
      <c r="N3122" s="48" t="n">
        <f aca="false">IF(N3090-Assumptions!$E$35&lt;1,0,INDEX($C$3115:$N$3115,1,N3090-Assumptions!$E$35)*INDEX($C$3119:$N$3119,1,N3090-Assumptions!$E$35)*Assumptions!$E$32)</f>
        <v>4.57642159907092</v>
      </c>
      <c r="P3122" s="49" t="n">
        <f aca="false">SUM(C3122:F3122)</f>
        <v>3.58655382736426</v>
      </c>
      <c r="Q3122" s="49" t="n">
        <f aca="false">SUM(G3122:J3122)</f>
        <v>10.0043195797857</v>
      </c>
      <c r="R3122" s="49" t="n">
        <f aca="false">SUM(K3122:N3122)</f>
        <v>18.7975307875535</v>
      </c>
      <c r="S3122" s="50" t="n">
        <f aca="false">SUM(P3122:R3122)</f>
        <v>32.3884041947035</v>
      </c>
    </row>
    <row r="3123" customFormat="false" ht="15" hidden="false" customHeight="false" outlineLevel="0" collapsed="false">
      <c r="A3123" s="4" t="s">
        <v>517</v>
      </c>
      <c r="B3123" s="36" t="s">
        <v>516</v>
      </c>
      <c r="C3123" s="48" t="n">
        <f aca="false">IF(C3090-Assumptions!$E$35&lt;1,0,INDEX($C$3115:$N$3115,1,C3090-Assumptions!$E$35)*INDEX($C$3120:$N$3120,1,C3090-Assumptions!$E$35)*Assumptions!$E$32)</f>
        <v>0</v>
      </c>
      <c r="D3123" s="48" t="n">
        <f aca="false">IF(D3090-Assumptions!$E$35&lt;1,0,INDEX($C$3115:$N$3115,1,D3090-Assumptions!$E$35)*INDEX($C$3120:$N$3120,1,D3090-Assumptions!$E$35)*Assumptions!$E$32)</f>
        <v>0.390074591822816</v>
      </c>
      <c r="E3123" s="48" t="n">
        <f aca="false">IF(E3090-Assumptions!$E$35&lt;1,0,INDEX($C$3115:$N$3115,1,E3090-Assumptions!$E$35)*INDEX($C$3120:$N$3120,1,E3090-Assumptions!$E$35)*Assumptions!$E$32)</f>
        <v>0.662143076219436</v>
      </c>
      <c r="F3123" s="48" t="n">
        <f aca="false">IF(F3090-Assumptions!$E$35&lt;1,0,INDEX($C$3115:$N$3115,1,F3090-Assumptions!$E$35)*INDEX($C$3120:$N$3120,1,F3090-Assumptions!$E$35)*Assumptions!$E$32)</f>
        <v>0.744771544342003</v>
      </c>
      <c r="G3123" s="48" t="n">
        <f aca="false">IF(G3090-Assumptions!$E$35&lt;1,0,INDEX($C$3115:$N$3115,1,G3090-Assumptions!$E$35)*INDEX($C$3120:$N$3120,1,G3090-Assumptions!$E$35)*Assumptions!$E$32)</f>
        <v>0.828583407743973</v>
      </c>
      <c r="H3123" s="48" t="n">
        <f aca="false">IF(H3090-Assumptions!$E$35&lt;1,0,INDEX($C$3115:$N$3115,1,H3090-Assumptions!$E$35)*INDEX($C$3120:$N$3120,1,H3090-Assumptions!$E$35)*Assumptions!$E$32)</f>
        <v>1.03846044229251</v>
      </c>
      <c r="I3123" s="48" t="n">
        <f aca="false">IF(I3090-Assumptions!$E$35&lt;1,0,INDEX($C$3115:$N$3115,1,I3090-Assumptions!$E$35)*INDEX($C$3120:$N$3120,1,I3090-Assumptions!$E$35)*Assumptions!$E$32)</f>
        <v>1.23735612298384</v>
      </c>
      <c r="J3123" s="48" t="n">
        <f aca="false">IF(J3090-Assumptions!$E$35&lt;1,0,INDEX($C$3115:$N$3115,1,J3090-Assumptions!$E$35)*INDEX($C$3120:$N$3120,1,J3090-Assumptions!$E$35)*Assumptions!$E$32)</f>
        <v>1.68353064052233</v>
      </c>
      <c r="K3123" s="48" t="n">
        <f aca="false">IF(K3090-Assumptions!$E$35&lt;1,0,INDEX($C$3115:$N$3115,1,K3090-Assumptions!$E$35)*INDEX($C$3120:$N$3120,1,K3090-Assumptions!$E$35)*Assumptions!$E$32)</f>
        <v>2.101553239109</v>
      </c>
      <c r="L3123" s="48" t="n">
        <f aca="false">IF(L3090-Assumptions!$E$35&lt;1,0,INDEX($C$3115:$N$3115,1,L3090-Assumptions!$E$35)*INDEX($C$3120:$N$3120,1,L3090-Assumptions!$E$35)*Assumptions!$E$32)</f>
        <v>2.1374668416911</v>
      </c>
      <c r="M3123" s="48" t="n">
        <f aca="false">IF(M3090-Assumptions!$E$35&lt;1,0,INDEX($C$3115:$N$3115,1,M3090-Assumptions!$E$35)*INDEX($C$3120:$N$3120,1,M3090-Assumptions!$E$35)*Assumptions!$E$32)</f>
        <v>2.08433247974398</v>
      </c>
      <c r="N3123" s="48" t="n">
        <f aca="false">IF(N3090-Assumptions!$E$35&lt;1,0,INDEX($C$3115:$N$3115,1,N3090-Assumptions!$E$35)*INDEX($C$3120:$N$3120,1,N3090-Assumptions!$E$35)*Assumptions!$E$32)</f>
        <v>2.0348853843307</v>
      </c>
      <c r="P3123" s="49" t="n">
        <f aca="false">SUM(C3123:F3123)</f>
        <v>1.79698921238426</v>
      </c>
      <c r="Q3123" s="49" t="n">
        <f aca="false">SUM(G3123:J3123)</f>
        <v>4.78793061354266</v>
      </c>
      <c r="R3123" s="49" t="n">
        <f aca="false">SUM(K3123:N3123)</f>
        <v>8.35823794487477</v>
      </c>
      <c r="S3123" s="50" t="n">
        <f aca="false">SUM(P3123:R3123)</f>
        <v>14.9431577708017</v>
      </c>
    </row>
    <row r="3124" customFormat="false" ht="15" hidden="false" customHeight="false" outlineLevel="0" collapsed="false">
      <c r="A3124" s="4" t="s">
        <v>518</v>
      </c>
      <c r="B3124" s="36" t="s">
        <v>516</v>
      </c>
      <c r="C3124" s="48" t="n">
        <f aca="false">IF(C3090-Assumptions!$E$36&lt;1,0,INDEX($C$3115:$N$3115,1,C3090-Assumptions!$E$36)*INDEX($C$3121:$N$3121,1,C3090-Assumptions!$E$36)*Assumptions!$E$32)</f>
        <v>0</v>
      </c>
      <c r="D3124" s="48" t="n">
        <f aca="false">IF(D3090-Assumptions!$E$36&lt;1,0,INDEX($C$3115:$N$3115,1,D3090-Assumptions!$E$36)*INDEX($C$3121:$N$3121,1,D3090-Assumptions!$E$36)*Assumptions!$E$32)</f>
        <v>0</v>
      </c>
      <c r="E3124" s="48" t="n">
        <f aca="false">IF(E3090-Assumptions!$E$36&lt;1,0,INDEX($C$3115:$N$3115,1,E3090-Assumptions!$E$36)*INDEX($C$3121:$N$3121,1,E3090-Assumptions!$E$36)*Assumptions!$E$32)</f>
        <v>0.0640492848301661</v>
      </c>
      <c r="F3124" s="48" t="n">
        <f aca="false">IF(F3090-Assumptions!$E$36&lt;1,0,INDEX($C$3115:$N$3115,1,F3090-Assumptions!$E$36)*INDEX($C$3121:$N$3121,1,F3090-Assumptions!$E$36)*Assumptions!$E$32)</f>
        <v>0.108722258194056</v>
      </c>
      <c r="G3124" s="48" t="n">
        <f aca="false">IF(G3090-Assumptions!$E$36&lt;1,0,INDEX($C$3115:$N$3115,1,G3090-Assumptions!$E$36)*INDEX($C$3121:$N$3121,1,G3090-Assumptions!$E$36)*Assumptions!$E$32)</f>
        <v>0.122289648638872</v>
      </c>
      <c r="H3124" s="48" t="n">
        <f aca="false">IF(H3090-Assumptions!$E$36&lt;1,0,INDEX($C$3115:$N$3115,1,H3090-Assumptions!$E$36)*INDEX($C$3121:$N$3121,1,H3090-Assumptions!$E$36)*Assumptions!$E$32)</f>
        <v>0.136051349666603</v>
      </c>
      <c r="I3124" s="48" t="n">
        <f aca="false">IF(I3090-Assumptions!$E$36&lt;1,0,INDEX($C$3115:$N$3115,1,I3090-Assumptions!$E$36)*INDEX($C$3121:$N$3121,1,I3090-Assumptions!$E$36)*Assumptions!$E$32)</f>
        <v>0.159486418966402</v>
      </c>
      <c r="J3124" s="48" t="n">
        <f aca="false">IF(J3090-Assumptions!$E$36&lt;1,0,INDEX($C$3115:$N$3115,1,J3090-Assumptions!$E$36)*INDEX($C$3121:$N$3121,1,J3090-Assumptions!$E$36)*Assumptions!$E$32)</f>
        <v>0.182179001133046</v>
      </c>
      <c r="K3124" s="48" t="n">
        <f aca="false">IF(K3090-Assumptions!$E$36&lt;1,0,INDEX($C$3115:$N$3115,1,K3090-Assumptions!$E$36)*INDEX($C$3121:$N$3121,1,K3090-Assumptions!$E$36)*Assumptions!$E$32)</f>
        <v>0.236867347010703</v>
      </c>
      <c r="L3124" s="48" t="n">
        <f aca="false">IF(L3090-Assumptions!$E$36&lt;1,0,INDEX($C$3115:$N$3115,1,L3090-Assumptions!$E$36)*INDEX($C$3121:$N$3121,1,L3090-Assumptions!$E$36)*Assumptions!$E$32)</f>
        <v>0.289474648499839</v>
      </c>
      <c r="M3124" s="48" t="n">
        <f aca="false">IF(M3090-Assumptions!$E$36&lt;1,0,INDEX($C$3115:$N$3115,1,M3090-Assumptions!$E$36)*INDEX($C$3121:$N$3121,1,M3090-Assumptions!$E$36)*Assumptions!$E$32)</f>
        <v>0.294421502707645</v>
      </c>
      <c r="N3124" s="48" t="n">
        <f aca="false">IF(N3090-Assumptions!$E$36&lt;1,0,INDEX($C$3115:$N$3115,1,N3090-Assumptions!$E$36)*INDEX($C$3121:$N$3121,1,N3090-Assumptions!$E$36)*Assumptions!$E$32)</f>
        <v>0.287102606159287</v>
      </c>
      <c r="P3124" s="49" t="n">
        <f aca="false">SUM(C3124:F3124)</f>
        <v>0.172771543024222</v>
      </c>
      <c r="Q3124" s="49" t="n">
        <f aca="false">SUM(G3124:J3124)</f>
        <v>0.600006418404923</v>
      </c>
      <c r="R3124" s="49" t="n">
        <f aca="false">SUM(K3124:N3124)</f>
        <v>1.10786610437747</v>
      </c>
      <c r="S3124" s="50" t="n">
        <f aca="false">SUM(P3124:R3124)</f>
        <v>1.88064406580662</v>
      </c>
    </row>
    <row r="3125" customFormat="false" ht="15" hidden="false" customHeight="false" outlineLevel="0" collapsed="false">
      <c r="A3125" s="4" t="s">
        <v>519</v>
      </c>
      <c r="B3125" s="36" t="s">
        <v>77</v>
      </c>
      <c r="C3125" s="51" t="n">
        <f aca="false">IF(C3090-Assumptions!$E$35&lt;1,0,IFERROR(INDEX($C$3114:$N$3114,1,C3090-Assumptions!$E$35)/INDEX($C$3115:$N$3115,1,C3090-Assumptions!$E$35),0))</f>
        <v>0</v>
      </c>
      <c r="D3125" s="51" t="n">
        <f aca="false">IF(D3090-Assumptions!$E$35&lt;1,0,IFERROR(INDEX($C$3114:$N$3114,1,D3090-Assumptions!$E$35)/INDEX($C$3115:$N$3115,1,D3090-Assumptions!$E$35),0))</f>
        <v>0.511089260216703</v>
      </c>
      <c r="E3125" s="51" t="n">
        <f aca="false">IF(E3090-Assumptions!$E$35&lt;1,0,IFERROR(INDEX($C$3114:$N$3114,1,E3090-Assumptions!$E$35)/INDEX($C$3115:$N$3115,1,E3090-Assumptions!$E$35),0))</f>
        <v>0.451631093922334</v>
      </c>
      <c r="F3125" s="51" t="n">
        <f aca="false">IF(F3090-Assumptions!$E$35&lt;1,0,IFERROR(INDEX($C$3114:$N$3114,1,F3090-Assumptions!$E$35)/INDEX($C$3115:$N$3115,1,F3090-Assumptions!$E$35),0))</f>
        <v>0.535366680101051</v>
      </c>
      <c r="G3125" s="51" t="n">
        <f aca="false">IF(G3090-Assumptions!$E$35&lt;1,0,IFERROR(INDEX($C$3114:$N$3114,1,G3090-Assumptions!$E$35)/INDEX($C$3115:$N$3115,1,G3090-Assumptions!$E$35),0))</f>
        <v>0.601517399156204</v>
      </c>
      <c r="H3125" s="51" t="n">
        <f aca="false">IF(H3090-Assumptions!$E$35&lt;1,0,IFERROR(INDEX($C$3114:$N$3114,1,H3090-Assumptions!$E$35)/INDEX($C$3115:$N$3115,1,H3090-Assumptions!$E$35),0))</f>
        <v>0.570602574141057</v>
      </c>
      <c r="I3125" s="51" t="n">
        <f aca="false">IF(I3090-Assumptions!$E$35&lt;1,0,IFERROR(INDEX($C$3114:$N$3114,1,I3090-Assumptions!$E$35)/INDEX($C$3115:$N$3115,1,I3090-Assumptions!$E$35),0))</f>
        <v>0.555619350411152</v>
      </c>
      <c r="J3125" s="51" t="n">
        <f aca="false">IF(J3090-Assumptions!$E$35&lt;1,0,IFERROR(INDEX($C$3114:$N$3114,1,J3090-Assumptions!$E$35)/INDEX($C$3115:$N$3115,1,J3090-Assumptions!$E$35),0))</f>
        <v>0.449388190146616</v>
      </c>
      <c r="K3125" s="51" t="n">
        <f aca="false">IF(K3090-Assumptions!$E$35&lt;1,0,IFERROR(INDEX($C$3114:$N$3114,1,K3090-Assumptions!$E$35)/INDEX($C$3115:$N$3115,1,K3090-Assumptions!$E$35),0))</f>
        <v>0.398320488349278</v>
      </c>
      <c r="L3125" s="51" t="n">
        <f aca="false">IF(L3090-Assumptions!$E$35&lt;1,0,IFERROR(INDEX($C$3114:$N$3114,1,L3090-Assumptions!$E$35)/INDEX($C$3115:$N$3115,1,L3090-Assumptions!$E$35),0))</f>
        <v>0.435142143320987</v>
      </c>
      <c r="M3125" s="51" t="n">
        <f aca="false">IF(M3090-Assumptions!$E$35&lt;1,0,IFERROR(INDEX($C$3114:$N$3114,1,M3090-Assumptions!$E$35)/INDEX($C$3115:$N$3115,1,M3090-Assumptions!$E$35),0))</f>
        <v>0.4462349034091</v>
      </c>
      <c r="N3125" s="51" t="n">
        <f aca="false">IF(N3090-Assumptions!$E$35&lt;1,0,IFERROR(INDEX($C$3114:$N$3114,1,N3090-Assumptions!$E$35)/INDEX($C$3115:$N$3115,1,N3090-Assumptions!$E$35),0))</f>
        <v>0.457078275726535</v>
      </c>
      <c r="P3125" s="52"/>
      <c r="Q3125" s="52"/>
      <c r="R3125" s="52"/>
      <c r="S3125" s="53"/>
    </row>
    <row r="3126" customFormat="false" ht="15" hidden="false" customHeight="false" outlineLevel="0" collapsed="false">
      <c r="A3126" s="4" t="s">
        <v>520</v>
      </c>
      <c r="B3126" s="36" t="s">
        <v>516</v>
      </c>
      <c r="C3126" s="48" t="n">
        <f aca="false">C3122*Assumptions!$E$37</f>
        <v>0</v>
      </c>
      <c r="D3126" s="48" t="n">
        <f aca="false">D3122*Assumptions!$E$37</f>
        <v>0.233561255229257</v>
      </c>
      <c r="E3126" s="48" t="n">
        <f aca="false">E3122*Assumptions!$E$37</f>
        <v>0.396465115301385</v>
      </c>
      <c r="F3126" s="48" t="n">
        <f aca="false">F3122*Assumptions!$E$37</f>
        <v>0.445939777678635</v>
      </c>
      <c r="G3126" s="48" t="n">
        <f aca="false">G3122*Assumptions!$E$37</f>
        <v>0.496123010397773</v>
      </c>
      <c r="H3126" s="48" t="n">
        <f aca="false">H3122*Assumptions!$E$37</f>
        <v>0.634302310551733</v>
      </c>
      <c r="I3126" s="48" t="n">
        <f aca="false">I3122*Assumptions!$E$37</f>
        <v>0.764702749501612</v>
      </c>
      <c r="J3126" s="48" t="n">
        <f aca="false">J3122*Assumptions!$E$37</f>
        <v>1.10616780348459</v>
      </c>
      <c r="K3126" s="48" t="n">
        <f aca="false">K3122*Assumptions!$E$37</f>
        <v>1.4179069311394</v>
      </c>
      <c r="L3126" s="48" t="n">
        <f aca="false">L3122*Assumptions!$E$37</f>
        <v>1.44213765015032</v>
      </c>
      <c r="M3126" s="48" t="n">
        <f aca="false">M3122*Assumptions!$E$37</f>
        <v>1.40628817525506</v>
      </c>
      <c r="N3126" s="48" t="n">
        <f aca="false">N3122*Assumptions!$E$37</f>
        <v>1.37292647972127</v>
      </c>
      <c r="P3126" s="49" t="n">
        <f aca="false">SUM(C3126:F3126)</f>
        <v>1.07596614820928</v>
      </c>
      <c r="Q3126" s="49" t="n">
        <f aca="false">SUM(G3126:J3126)</f>
        <v>3.00129587393571</v>
      </c>
      <c r="R3126" s="49" t="n">
        <f aca="false">SUM(K3126:N3126)</f>
        <v>5.63925923626606</v>
      </c>
      <c r="S3126" s="50" t="n">
        <f aca="false">SUM(P3126:R3126)</f>
        <v>9.71652125841104</v>
      </c>
    </row>
    <row r="3127" customFormat="false" ht="15" hidden="false" customHeight="false" outlineLevel="0" collapsed="false">
      <c r="A3127" s="4" t="s">
        <v>521</v>
      </c>
      <c r="B3127" s="36" t="s">
        <v>516</v>
      </c>
      <c r="C3127" s="48" t="n">
        <f aca="false">C3122*(1-Assumptions!$E$37)</f>
        <v>0</v>
      </c>
      <c r="D3127" s="48" t="n">
        <f aca="false">D3122*(1-Assumptions!$E$37)</f>
        <v>0.5449762622016</v>
      </c>
      <c r="E3127" s="48" t="n">
        <f aca="false">E3122*(1-Assumptions!$E$37)</f>
        <v>0.925085269036564</v>
      </c>
      <c r="F3127" s="48" t="n">
        <f aca="false">F3122*(1-Assumptions!$E$37)</f>
        <v>1.04052614791681</v>
      </c>
      <c r="G3127" s="48" t="n">
        <f aca="false">G3122*(1-Assumptions!$E$37)</f>
        <v>1.1576203575948</v>
      </c>
      <c r="H3127" s="48" t="n">
        <f aca="false">H3122*(1-Assumptions!$E$37)</f>
        <v>1.48003872462071</v>
      </c>
      <c r="I3127" s="48" t="n">
        <f aca="false">I3122*(1-Assumptions!$E$37)</f>
        <v>1.78430641550376</v>
      </c>
      <c r="J3127" s="48" t="n">
        <f aca="false">J3122*(1-Assumptions!$E$37)</f>
        <v>2.58105820813071</v>
      </c>
      <c r="K3127" s="48" t="n">
        <f aca="false">K3122*(1-Assumptions!$E$37)</f>
        <v>3.30844950599193</v>
      </c>
      <c r="L3127" s="48" t="n">
        <f aca="false">L3122*(1-Assumptions!$E$37)</f>
        <v>3.36498785035075</v>
      </c>
      <c r="M3127" s="48" t="n">
        <f aca="false">M3122*(1-Assumptions!$E$37)</f>
        <v>3.28133907559514</v>
      </c>
      <c r="N3127" s="48" t="n">
        <f aca="false">N3122*(1-Assumptions!$E$37)</f>
        <v>3.20349511934964</v>
      </c>
      <c r="P3127" s="49" t="n">
        <f aca="false">SUM(C3127:F3127)</f>
        <v>2.51058767915498</v>
      </c>
      <c r="Q3127" s="49" t="n">
        <f aca="false">SUM(G3127:J3127)</f>
        <v>7.00302370584999</v>
      </c>
      <c r="R3127" s="49" t="n">
        <f aca="false">SUM(K3127:N3127)</f>
        <v>13.1582715512875</v>
      </c>
      <c r="S3127" s="50" t="n">
        <f aca="false">SUM(P3127:R3127)</f>
        <v>22.6718829362924</v>
      </c>
    </row>
    <row r="3128" customFormat="false" ht="15" hidden="false" customHeight="false" outlineLevel="0" collapsed="false">
      <c r="A3128" s="4" t="s">
        <v>522</v>
      </c>
      <c r="B3128" s="36" t="s">
        <v>125</v>
      </c>
      <c r="C3128" s="54" t="n">
        <f aca="false">C3127*$C$3081+C3123*$C$3082+C3124*$C$3083</f>
        <v>0</v>
      </c>
      <c r="D3128" s="54" t="n">
        <f aca="false">D3127*$C$3081+D3123*$C$3082+D3124*$C$3083</f>
        <v>6726.46232297362</v>
      </c>
      <c r="E3128" s="54" t="n">
        <f aca="false">E3127*$C$3081+E3123*$C$3082+E3124*$C$3083</f>
        <v>15374.8755994197</v>
      </c>
      <c r="F3128" s="54" t="n">
        <f aca="false">F3127*$C$3081+F3123*$C$3082+F3124*$C$3083</f>
        <v>19559.5427005659</v>
      </c>
      <c r="G3128" s="54" t="n">
        <f aca="false">G3127*$C$3081+G3123*$C$3082+G3124*$C$3083</f>
        <v>21842.9676472078</v>
      </c>
      <c r="H3128" s="54" t="n">
        <f aca="false">H3127*$C$3081+H3123*$C$3082+H3124*$C$3083</f>
        <v>26468.534897525</v>
      </c>
      <c r="I3128" s="54" t="n">
        <f aca="false">I3127*$C$3081+I3123*$C$3082+I3124*$C$3083</f>
        <v>31487.3117429842</v>
      </c>
      <c r="J3128" s="54" t="n">
        <f aca="false">J3127*$C$3081+J3123*$C$3082+J3124*$C$3083</f>
        <v>41511.0971338746</v>
      </c>
      <c r="K3128" s="54" t="n">
        <f aca="false">K3127*$C$3081+K3123*$C$3082+K3124*$C$3083</f>
        <v>52865.3557317647</v>
      </c>
      <c r="L3128" s="54" t="n">
        <f aca="false">L3127*$C$3081+L3123*$C$3082+L3124*$C$3083</f>
        <v>56768.6944064167</v>
      </c>
      <c r="M3128" s="54" t="n">
        <f aca="false">M3127*$C$3081+M3123*$C$3082+M3124*$C$3083</f>
        <v>56107.6657482975</v>
      </c>
      <c r="N3128" s="54" t="n">
        <f aca="false">N3127*$C$3081+N3123*$C$3082+N3124*$C$3083</f>
        <v>54755.9602861824</v>
      </c>
      <c r="P3128" s="55" t="n">
        <f aca="false">SUM(C3128:F3128)</f>
        <v>41660.8806229592</v>
      </c>
      <c r="Q3128" s="55" t="n">
        <f aca="false">SUM(G3128:J3128)</f>
        <v>121309.911421592</v>
      </c>
      <c r="R3128" s="55" t="n">
        <f aca="false">SUM(K3128:N3128)</f>
        <v>220497.676172661</v>
      </c>
      <c r="S3128" s="56" t="n">
        <f aca="false">SUM(P3128:R3128)</f>
        <v>383468.468217212</v>
      </c>
    </row>
    <row r="3129" customFormat="false" ht="15" hidden="false" customHeight="false" outlineLevel="0" collapsed="false">
      <c r="A3129" s="4" t="s">
        <v>523</v>
      </c>
      <c r="B3129" s="36" t="s">
        <v>125</v>
      </c>
      <c r="C3129" s="54" t="n">
        <f aca="false">(C3105+Assumptions!$D$104*C3091)*$C$3086</f>
        <v>306250</v>
      </c>
      <c r="D3129" s="54" t="n">
        <f aca="false">(D3105+Assumptions!$D$104*D3091)*$C$3086</f>
        <v>306250</v>
      </c>
      <c r="E3129" s="54" t="n">
        <f aca="false">(E3105+Assumptions!$D$104*E3091)*$C$3086</f>
        <v>306250</v>
      </c>
      <c r="F3129" s="54" t="n">
        <f aca="false">(F3105+Assumptions!$D$104*F3091)*$C$3086</f>
        <v>306250</v>
      </c>
      <c r="G3129" s="54" t="n">
        <f aca="false">(G3105+Assumptions!$D$104*G3091)*$C$3086</f>
        <v>306250</v>
      </c>
      <c r="H3129" s="54" t="n">
        <f aca="false">(H3105+Assumptions!$D$104*H3091)*$C$3086</f>
        <v>306250</v>
      </c>
      <c r="I3129" s="54" t="n">
        <f aca="false">(I3105+Assumptions!$D$104*I3091)*$C$3086</f>
        <v>306250</v>
      </c>
      <c r="J3129" s="54" t="n">
        <f aca="false">(J3105+Assumptions!$D$104*J3091)*$C$3086</f>
        <v>306250</v>
      </c>
      <c r="K3129" s="54" t="n">
        <f aca="false">(K3105+Assumptions!$D$104*K3091)*$C$3086</f>
        <v>306250</v>
      </c>
      <c r="L3129" s="54" t="n">
        <f aca="false">(L3105+Assumptions!$D$104*L3091)*$C$3086</f>
        <v>306250</v>
      </c>
      <c r="M3129" s="54" t="n">
        <f aca="false">(M3105+Assumptions!$D$104*M3091)*$C$3086</f>
        <v>306250</v>
      </c>
      <c r="N3129" s="54" t="n">
        <f aca="false">(N3105+Assumptions!$D$104*N3091)*$C$3086</f>
        <v>306250</v>
      </c>
      <c r="P3129" s="55" t="n">
        <f aca="false">SUM(C3129:F3129)</f>
        <v>1225000</v>
      </c>
      <c r="Q3129" s="55" t="n">
        <f aca="false">SUM(G3129:J3129)</f>
        <v>1225000</v>
      </c>
      <c r="R3129" s="55" t="n">
        <f aca="false">SUM(K3129:N3129)</f>
        <v>1225000</v>
      </c>
      <c r="S3129" s="56" t="n">
        <f aca="false">SUM(P3129:R3129)</f>
        <v>3675000</v>
      </c>
    </row>
    <row r="3130" customFormat="false" ht="15" hidden="false" customHeight="false" outlineLevel="0" collapsed="false">
      <c r="A3130" s="4" t="s">
        <v>524</v>
      </c>
      <c r="B3130" s="36" t="s">
        <v>77</v>
      </c>
      <c r="C3130" s="51" t="n">
        <f aca="false">IF(C3128&gt;0,MIN(1,C3129/C3128),1)</f>
        <v>1</v>
      </c>
      <c r="D3130" s="51" t="n">
        <f aca="false">IF(D3128&gt;0,MIN(1,D3129/D3128),1)</f>
        <v>1</v>
      </c>
      <c r="E3130" s="51" t="n">
        <f aca="false">IF(E3128&gt;0,MIN(1,E3129/E3128),1)</f>
        <v>1</v>
      </c>
      <c r="F3130" s="51" t="n">
        <f aca="false">IF(F3128&gt;0,MIN(1,F3129/F3128),1)</f>
        <v>1</v>
      </c>
      <c r="G3130" s="51" t="n">
        <f aca="false">IF(G3128&gt;0,MIN(1,G3129/G3128),1)</f>
        <v>1</v>
      </c>
      <c r="H3130" s="51" t="n">
        <f aca="false">IF(H3128&gt;0,MIN(1,H3129/H3128),1)</f>
        <v>1</v>
      </c>
      <c r="I3130" s="51" t="n">
        <f aca="false">IF(I3128&gt;0,MIN(1,I3129/I3128),1)</f>
        <v>1</v>
      </c>
      <c r="J3130" s="51" t="n">
        <f aca="false">IF(J3128&gt;0,MIN(1,J3129/J3128),1)</f>
        <v>1</v>
      </c>
      <c r="K3130" s="51" t="n">
        <f aca="false">IF(K3128&gt;0,MIN(1,K3129/K3128),1)</f>
        <v>1</v>
      </c>
      <c r="L3130" s="51" t="n">
        <f aca="false">IF(L3128&gt;0,MIN(1,L3129/L3128),1)</f>
        <v>1</v>
      </c>
      <c r="M3130" s="51" t="n">
        <f aca="false">IF(M3128&gt;0,MIN(1,M3129/M3128),1)</f>
        <v>1</v>
      </c>
      <c r="N3130" s="51" t="n">
        <f aca="false">IF(N3128&gt;0,MIN(1,N3129/N3128),1)</f>
        <v>1</v>
      </c>
      <c r="P3130" s="52"/>
      <c r="Q3130" s="52"/>
      <c r="R3130" s="52"/>
      <c r="S3130" s="53"/>
    </row>
    <row r="3131" customFormat="false" ht="15" hidden="false" customHeight="false" outlineLevel="0" collapsed="false">
      <c r="A3131" s="4" t="s">
        <v>525</v>
      </c>
      <c r="B3131" s="36" t="s">
        <v>125</v>
      </c>
      <c r="C3131" s="54" t="n">
        <f aca="false">C3128*(1-C3130)</f>
        <v>0</v>
      </c>
      <c r="D3131" s="54" t="n">
        <f aca="false">D3128*(1-D3130)</f>
        <v>0</v>
      </c>
      <c r="E3131" s="54" t="n">
        <f aca="false">E3128*(1-E3130)</f>
        <v>0</v>
      </c>
      <c r="F3131" s="54" t="n">
        <f aca="false">F3128*(1-F3130)</f>
        <v>0</v>
      </c>
      <c r="G3131" s="54" t="n">
        <f aca="false">G3128*(1-G3130)</f>
        <v>0</v>
      </c>
      <c r="H3131" s="54" t="n">
        <f aca="false">H3128*(1-H3130)</f>
        <v>0</v>
      </c>
      <c r="I3131" s="54" t="n">
        <f aca="false">I3128*(1-I3130)</f>
        <v>0</v>
      </c>
      <c r="J3131" s="54" t="n">
        <f aca="false">J3128*(1-J3130)</f>
        <v>0</v>
      </c>
      <c r="K3131" s="54" t="n">
        <f aca="false">K3128*(1-K3130)</f>
        <v>0</v>
      </c>
      <c r="L3131" s="54" t="n">
        <f aca="false">L3128*(1-L3130)</f>
        <v>0</v>
      </c>
      <c r="M3131" s="54" t="n">
        <f aca="false">M3128*(1-M3130)</f>
        <v>0</v>
      </c>
      <c r="N3131" s="54" t="n">
        <f aca="false">N3128*(1-N3130)</f>
        <v>0</v>
      </c>
      <c r="P3131" s="55" t="n">
        <f aca="false">SUM(C3131:F3131)</f>
        <v>0</v>
      </c>
      <c r="Q3131" s="55" t="n">
        <f aca="false">SUM(G3131:J3131)</f>
        <v>0</v>
      </c>
      <c r="R3131" s="55" t="n">
        <f aca="false">SUM(K3131:N3131)</f>
        <v>0</v>
      </c>
      <c r="S3131" s="56" t="n">
        <f aca="false">SUM(P3131:R3131)</f>
        <v>0</v>
      </c>
    </row>
    <row r="3132" customFormat="false" ht="15" hidden="false" customHeight="false" outlineLevel="0" collapsed="false">
      <c r="A3132" s="4" t="s">
        <v>526</v>
      </c>
      <c r="B3132" s="36" t="s">
        <v>527</v>
      </c>
      <c r="C3132" s="48" t="n">
        <f aca="false">C3126+C3127*C3130</f>
        <v>0</v>
      </c>
      <c r="D3132" s="48" t="n">
        <f aca="false">D3126+D3127*D3130</f>
        <v>0.778537517430858</v>
      </c>
      <c r="E3132" s="48" t="n">
        <f aca="false">E3126+E3127*E3130</f>
        <v>1.32155038433795</v>
      </c>
      <c r="F3132" s="48" t="n">
        <f aca="false">F3126+F3127*F3130</f>
        <v>1.48646592559545</v>
      </c>
      <c r="G3132" s="48" t="n">
        <f aca="false">G3126+G3127*G3130</f>
        <v>1.65374336799258</v>
      </c>
      <c r="H3132" s="48" t="n">
        <f aca="false">H3126+H3127*H3130</f>
        <v>2.11434103517244</v>
      </c>
      <c r="I3132" s="48" t="n">
        <f aca="false">I3126+I3127*I3130</f>
        <v>2.54900916500537</v>
      </c>
      <c r="J3132" s="48" t="n">
        <f aca="false">J3126+J3127*J3130</f>
        <v>3.6872260116153</v>
      </c>
      <c r="K3132" s="48" t="n">
        <f aca="false">K3126+K3127*K3130</f>
        <v>4.72635643713133</v>
      </c>
      <c r="L3132" s="48" t="n">
        <f aca="false">L3126+L3127*L3130</f>
        <v>4.80712550050107</v>
      </c>
      <c r="M3132" s="48" t="n">
        <f aca="false">M3126+M3127*M3130</f>
        <v>4.68762725085021</v>
      </c>
      <c r="N3132" s="48" t="n">
        <f aca="false">N3126+N3127*N3130</f>
        <v>4.57642159907092</v>
      </c>
      <c r="P3132" s="49" t="n">
        <f aca="false">SUM(C3132:F3132)</f>
        <v>3.58655382736426</v>
      </c>
      <c r="Q3132" s="49" t="n">
        <f aca="false">SUM(G3132:J3132)</f>
        <v>10.0043195797857</v>
      </c>
      <c r="R3132" s="49" t="n">
        <f aca="false">SUM(K3132:N3132)</f>
        <v>18.7975307875535</v>
      </c>
      <c r="S3132" s="50" t="n">
        <f aca="false">SUM(P3132:R3132)</f>
        <v>32.3884041947035</v>
      </c>
    </row>
    <row r="3133" customFormat="false" ht="15" hidden="false" customHeight="false" outlineLevel="0" collapsed="false">
      <c r="A3133" s="4" t="s">
        <v>528</v>
      </c>
      <c r="B3133" s="36" t="s">
        <v>527</v>
      </c>
      <c r="C3133" s="48" t="n">
        <f aca="false">C3123*C3130</f>
        <v>0</v>
      </c>
      <c r="D3133" s="48" t="n">
        <f aca="false">D3123*D3130</f>
        <v>0.390074591822816</v>
      </c>
      <c r="E3133" s="48" t="n">
        <f aca="false">E3123*E3130</f>
        <v>0.662143076219436</v>
      </c>
      <c r="F3133" s="48" t="n">
        <f aca="false">F3123*F3130</f>
        <v>0.744771544342003</v>
      </c>
      <c r="G3133" s="48" t="n">
        <f aca="false">G3123*G3130</f>
        <v>0.828583407743973</v>
      </c>
      <c r="H3133" s="48" t="n">
        <f aca="false">H3123*H3130</f>
        <v>1.03846044229251</v>
      </c>
      <c r="I3133" s="48" t="n">
        <f aca="false">I3123*I3130</f>
        <v>1.23735612298384</v>
      </c>
      <c r="J3133" s="48" t="n">
        <f aca="false">J3123*J3130</f>
        <v>1.68353064052233</v>
      </c>
      <c r="K3133" s="48" t="n">
        <f aca="false">K3123*K3130</f>
        <v>2.101553239109</v>
      </c>
      <c r="L3133" s="48" t="n">
        <f aca="false">L3123*L3130</f>
        <v>2.1374668416911</v>
      </c>
      <c r="M3133" s="48" t="n">
        <f aca="false">M3123*M3130</f>
        <v>2.08433247974398</v>
      </c>
      <c r="N3133" s="48" t="n">
        <f aca="false">N3123*N3130</f>
        <v>2.0348853843307</v>
      </c>
      <c r="P3133" s="49" t="n">
        <f aca="false">SUM(C3133:F3133)</f>
        <v>1.79698921238426</v>
      </c>
      <c r="Q3133" s="49" t="n">
        <f aca="false">SUM(G3133:J3133)</f>
        <v>4.78793061354266</v>
      </c>
      <c r="R3133" s="49" t="n">
        <f aca="false">SUM(K3133:N3133)</f>
        <v>8.35823794487477</v>
      </c>
      <c r="S3133" s="50" t="n">
        <f aca="false">SUM(P3133:R3133)</f>
        <v>14.9431577708017</v>
      </c>
    </row>
    <row r="3134" customFormat="false" ht="15" hidden="false" customHeight="false" outlineLevel="0" collapsed="false">
      <c r="A3134" s="4" t="s">
        <v>529</v>
      </c>
      <c r="B3134" s="36" t="s">
        <v>527</v>
      </c>
      <c r="C3134" s="48" t="n">
        <f aca="false">C3124*C3130</f>
        <v>0</v>
      </c>
      <c r="D3134" s="48" t="n">
        <f aca="false">D3124*D3130</f>
        <v>0</v>
      </c>
      <c r="E3134" s="48" t="n">
        <f aca="false">E3124*E3130</f>
        <v>0.0640492848301661</v>
      </c>
      <c r="F3134" s="48" t="n">
        <f aca="false">F3124*F3130</f>
        <v>0.108722258194056</v>
      </c>
      <c r="G3134" s="48" t="n">
        <f aca="false">G3124*G3130</f>
        <v>0.122289648638872</v>
      </c>
      <c r="H3134" s="48" t="n">
        <f aca="false">H3124*H3130</f>
        <v>0.136051349666603</v>
      </c>
      <c r="I3134" s="48" t="n">
        <f aca="false">I3124*I3130</f>
        <v>0.159486418966402</v>
      </c>
      <c r="J3134" s="48" t="n">
        <f aca="false">J3124*J3130</f>
        <v>0.182179001133046</v>
      </c>
      <c r="K3134" s="48" t="n">
        <f aca="false">K3124*K3130</f>
        <v>0.236867347010703</v>
      </c>
      <c r="L3134" s="48" t="n">
        <f aca="false">L3124*L3130</f>
        <v>0.289474648499839</v>
      </c>
      <c r="M3134" s="48" t="n">
        <f aca="false">M3124*M3130</f>
        <v>0.294421502707645</v>
      </c>
      <c r="N3134" s="48" t="n">
        <f aca="false">N3124*N3130</f>
        <v>0.287102606159287</v>
      </c>
      <c r="P3134" s="49" t="n">
        <f aca="false">SUM(C3134:F3134)</f>
        <v>0.172771543024222</v>
      </c>
      <c r="Q3134" s="49" t="n">
        <f aca="false">SUM(G3134:J3134)</f>
        <v>0.600006418404923</v>
      </c>
      <c r="R3134" s="49" t="n">
        <f aca="false">SUM(K3134:N3134)</f>
        <v>1.10786610437747</v>
      </c>
      <c r="S3134" s="50" t="n">
        <f aca="false">SUM(P3134:R3134)</f>
        <v>1.88064406580662</v>
      </c>
    </row>
    <row r="3135" customFormat="false" ht="15" hidden="false" customHeight="false" outlineLevel="0" collapsed="false">
      <c r="A3135" s="9" t="s">
        <v>530</v>
      </c>
      <c r="B3135" s="36" t="s">
        <v>527</v>
      </c>
      <c r="C3135" s="49" t="n">
        <f aca="false">C3132+C3133+C3134</f>
        <v>0</v>
      </c>
      <c r="D3135" s="49" t="n">
        <f aca="false">D3132+D3133+D3134</f>
        <v>1.16861210925367</v>
      </c>
      <c r="E3135" s="49" t="n">
        <f aca="false">E3132+E3133+E3134</f>
        <v>2.04774274538755</v>
      </c>
      <c r="F3135" s="49" t="n">
        <f aca="false">F3132+F3133+F3134</f>
        <v>2.33995972813151</v>
      </c>
      <c r="G3135" s="49" t="n">
        <f aca="false">G3132+G3133+G3134</f>
        <v>2.60461642437542</v>
      </c>
      <c r="H3135" s="49" t="n">
        <f aca="false">H3132+H3133+H3134</f>
        <v>3.28885282713156</v>
      </c>
      <c r="I3135" s="49" t="n">
        <f aca="false">I3132+I3133+I3134</f>
        <v>3.94585170695562</v>
      </c>
      <c r="J3135" s="49" t="n">
        <f aca="false">J3132+J3133+J3134</f>
        <v>5.55293565327068</v>
      </c>
      <c r="K3135" s="49" t="n">
        <f aca="false">K3132+K3133+K3134</f>
        <v>7.06477702325103</v>
      </c>
      <c r="L3135" s="49" t="n">
        <f aca="false">L3132+L3133+L3134</f>
        <v>7.234066990692</v>
      </c>
      <c r="M3135" s="49" t="n">
        <f aca="false">M3132+M3133+M3134</f>
        <v>7.06638123330183</v>
      </c>
      <c r="N3135" s="49" t="n">
        <f aca="false">N3132+N3133+N3134</f>
        <v>6.8984095895609</v>
      </c>
      <c r="P3135" s="49" t="n">
        <f aca="false">SUM(C3135:F3135)</f>
        <v>5.55631458277273</v>
      </c>
      <c r="Q3135" s="49" t="n">
        <f aca="false">SUM(G3135:J3135)</f>
        <v>15.3922566117333</v>
      </c>
      <c r="R3135" s="49" t="n">
        <f aca="false">SUM(K3135:N3135)</f>
        <v>28.2636348368058</v>
      </c>
      <c r="S3135" s="50" t="n">
        <f aca="false">SUM(P3135:R3135)</f>
        <v>49.2122060313118</v>
      </c>
    </row>
    <row r="3136" customFormat="false" ht="15" hidden="false" customHeight="false" outlineLevel="0" collapsed="false">
      <c r="A3136" s="35" t="s">
        <v>533</v>
      </c>
      <c r="B3136" s="35" t="s">
        <v>444</v>
      </c>
      <c r="C3136" s="6" t="s">
        <v>354</v>
      </c>
      <c r="D3136" s="6" t="s">
        <v>355</v>
      </c>
      <c r="E3136" s="6" t="s">
        <v>356</v>
      </c>
      <c r="F3136" s="6" t="s">
        <v>357</v>
      </c>
      <c r="G3136" s="6" t="s">
        <v>358</v>
      </c>
      <c r="H3136" s="6" t="s">
        <v>359</v>
      </c>
      <c r="I3136" s="6" t="s">
        <v>360</v>
      </c>
      <c r="J3136" s="6" t="s">
        <v>361</v>
      </c>
      <c r="K3136" s="6" t="s">
        <v>362</v>
      </c>
      <c r="L3136" s="6" t="s">
        <v>363</v>
      </c>
      <c r="M3136" s="6" t="s">
        <v>364</v>
      </c>
      <c r="N3136" s="6" t="s">
        <v>365</v>
      </c>
      <c r="P3136" s="6" t="s">
        <v>445</v>
      </c>
      <c r="Q3136" s="6" t="s">
        <v>446</v>
      </c>
      <c r="R3136" s="6" t="s">
        <v>447</v>
      </c>
      <c r="S3136" s="6" t="s">
        <v>448</v>
      </c>
    </row>
    <row r="3137" customFormat="false" ht="15" hidden="false" customHeight="false" outlineLevel="0" collapsed="false">
      <c r="A3137" s="4" t="s">
        <v>534</v>
      </c>
      <c r="B3137" s="36" t="s">
        <v>527</v>
      </c>
      <c r="C3137" s="48" t="n">
        <f aca="false">0*Assumptions!$E$59^(1/4)+C3132</f>
        <v>0</v>
      </c>
      <c r="D3137" s="48" t="n">
        <f aca="false">C3137*Assumptions!$E$59^(1/4)+D3132</f>
        <v>0.778537517430858</v>
      </c>
      <c r="E3137" s="48" t="n">
        <f aca="false">D3137*Assumptions!$E$59^(1/4)+E3132</f>
        <v>2.07560050526936</v>
      </c>
      <c r="F3137" s="48" t="n">
        <f aca="false">E3137*Assumptions!$E$59^(1/4)+F3132</f>
        <v>3.49678241897198</v>
      </c>
      <c r="G3137" s="48" t="n">
        <f aca="false">F3137*Assumptions!$E$59^(1/4)+G3132</f>
        <v>5.04054123818108</v>
      </c>
      <c r="H3137" s="48" t="n">
        <f aca="false">G3137*Assumptions!$E$59^(1/4)+H3132</f>
        <v>6.99634176745929</v>
      </c>
      <c r="I3137" s="48" t="n">
        <f aca="false">H3137*Assumptions!$E$59^(1/4)+I3132</f>
        <v>9.32529449193404</v>
      </c>
      <c r="J3137" s="48" t="n">
        <f aca="false">I3137*Assumptions!$E$59^(1/4)+J3132</f>
        <v>12.7192113455635</v>
      </c>
      <c r="K3137" s="48" t="n">
        <f aca="false">J3137*Assumptions!$E$59^(1/4)+K3132</f>
        <v>17.0455095139465</v>
      </c>
      <c r="L3137" s="48" t="n">
        <f aca="false">K3137*Assumptions!$E$59^(1/4)+L3132</f>
        <v>21.3165013784213</v>
      </c>
      <c r="M3137" s="48" t="n">
        <f aca="false">L3137*Assumptions!$E$59^(1/4)+M3132</f>
        <v>25.3336591791199</v>
      </c>
      <c r="N3137" s="48" t="n">
        <f aca="false">M3137*Assumptions!$E$59^(1/4)+N3132</f>
        <v>29.113259374968</v>
      </c>
      <c r="P3137" s="49" t="n">
        <f aca="false">F3137</f>
        <v>3.49678241897198</v>
      </c>
      <c r="Q3137" s="49" t="n">
        <f aca="false">J3137</f>
        <v>12.7192113455635</v>
      </c>
      <c r="R3137" s="49" t="n">
        <f aca="false">N3137</f>
        <v>29.113259374968</v>
      </c>
      <c r="S3137" s="50" t="n">
        <f aca="false">R3137</f>
        <v>29.113259374968</v>
      </c>
    </row>
    <row r="3138" customFormat="false" ht="15" hidden="false" customHeight="false" outlineLevel="0" collapsed="false">
      <c r="A3138" s="4" t="s">
        <v>535</v>
      </c>
      <c r="B3138" s="36" t="s">
        <v>527</v>
      </c>
      <c r="C3138" s="48" t="n">
        <f aca="false">0*Assumptions!$E$60^(1/4)+C3133</f>
        <v>0</v>
      </c>
      <c r="D3138" s="48" t="n">
        <f aca="false">C3138*Assumptions!$E$60^(1/4)+D3133</f>
        <v>0.390074591822816</v>
      </c>
      <c r="E3138" s="48" t="n">
        <f aca="false">D3138*Assumptions!$E$60^(1/4)+E3133</f>
        <v>1.04207719004018</v>
      </c>
      <c r="F3138" s="48" t="n">
        <f aca="false">E3138*Assumptions!$E$60^(1/4)+F3133</f>
        <v>1.75975863150548</v>
      </c>
      <c r="G3138" s="48" t="n">
        <f aca="false">F3138*Assumptions!$E$60^(1/4)+G3133</f>
        <v>2.54259490763457</v>
      </c>
      <c r="H3138" s="48" t="n">
        <f aca="false">G3138*Assumptions!$E$60^(1/4)+H3133</f>
        <v>3.51495740797046</v>
      </c>
      <c r="I3138" s="48" t="n">
        <f aca="false">H3138*Assumptions!$E$60^(1/4)+I3133</f>
        <v>4.66093780687242</v>
      </c>
      <c r="J3138" s="48" t="n">
        <f aca="false">I3138*Assumptions!$E$60^(1/4)+J3133</f>
        <v>6.22330152627138</v>
      </c>
      <c r="K3138" s="48" t="n">
        <f aca="false">J3138*Assumptions!$E$60^(1/4)+K3133</f>
        <v>8.16307224083159</v>
      </c>
      <c r="L3138" s="48" t="n">
        <f aca="false">K3138*Assumptions!$E$60^(1/4)+L3133</f>
        <v>10.0883297866014</v>
      </c>
      <c r="M3138" s="48" t="n">
        <f aca="false">L3138*Assumptions!$E$60^(1/4)+M3133</f>
        <v>11.9104034870677</v>
      </c>
      <c r="N3138" s="48" t="n">
        <f aca="false">M3138*Assumptions!$E$60^(1/4)+N3133</f>
        <v>13.6356630021715</v>
      </c>
      <c r="P3138" s="49" t="n">
        <f aca="false">F3138</f>
        <v>1.75975863150548</v>
      </c>
      <c r="Q3138" s="49" t="n">
        <f aca="false">J3138</f>
        <v>6.22330152627138</v>
      </c>
      <c r="R3138" s="49" t="n">
        <f aca="false">N3138</f>
        <v>13.6356630021715</v>
      </c>
      <c r="S3138" s="50" t="n">
        <f aca="false">R3138</f>
        <v>13.6356630021715</v>
      </c>
    </row>
    <row r="3139" customFormat="false" ht="15" hidden="false" customHeight="false" outlineLevel="0" collapsed="false">
      <c r="A3139" s="4" t="s">
        <v>536</v>
      </c>
      <c r="B3139" s="36" t="s">
        <v>527</v>
      </c>
      <c r="C3139" s="48" t="n">
        <f aca="false">0*Assumptions!$E$61^(1/4)+C3134</f>
        <v>0</v>
      </c>
      <c r="D3139" s="48" t="n">
        <f aca="false">C3139*Assumptions!$E$61^(1/4)+D3134</f>
        <v>0</v>
      </c>
      <c r="E3139" s="48" t="n">
        <f aca="false">D3139*Assumptions!$E$61^(1/4)+E3134</f>
        <v>0.0640492848301661</v>
      </c>
      <c r="F3139" s="48" t="n">
        <f aca="false">E3139*Assumptions!$E$61^(1/4)+F3134</f>
        <v>0.171450229421459</v>
      </c>
      <c r="G3139" s="48" t="n">
        <f aca="false">F3139*Assumptions!$E$61^(1/4)+G3134</f>
        <v>0.290202921778431</v>
      </c>
      <c r="H3139" s="48" t="n">
        <f aca="false">G3139*Assumptions!$E$61^(1/4)+H3134</f>
        <v>0.42026749002938</v>
      </c>
      <c r="I3139" s="48" t="n">
        <f aca="false">H3139*Assumptions!$E$61^(1/4)+I3134</f>
        <v>0.571083942534065</v>
      </c>
      <c r="J3139" s="48" t="n">
        <f aca="false">I3139*Assumptions!$E$61^(1/4)+J3134</f>
        <v>0.741481688285569</v>
      </c>
      <c r="K3139" s="48" t="n">
        <f aca="false">J3139*Assumptions!$E$61^(1/4)+K3134</f>
        <v>0.963052535990642</v>
      </c>
      <c r="L3139" s="48" t="n">
        <f aca="false">K3139*Assumptions!$E$61^(1/4)+L3134</f>
        <v>1.23265975865812</v>
      </c>
      <c r="M3139" s="48" t="n">
        <f aca="false">L3139*Assumptions!$E$61^(1/4)+M3134</f>
        <v>1.50165193594845</v>
      </c>
      <c r="N3139" s="48" t="n">
        <f aca="false">M3139*Assumptions!$E$61^(1/4)+N3134</f>
        <v>1.75777600526936</v>
      </c>
      <c r="P3139" s="49" t="n">
        <f aca="false">F3139</f>
        <v>0.171450229421459</v>
      </c>
      <c r="Q3139" s="49" t="n">
        <f aca="false">J3139</f>
        <v>0.741481688285569</v>
      </c>
      <c r="R3139" s="49" t="n">
        <f aca="false">N3139</f>
        <v>1.75777600526936</v>
      </c>
      <c r="S3139" s="50" t="n">
        <f aca="false">R3139</f>
        <v>1.75777600526936</v>
      </c>
    </row>
    <row r="3140" customFormat="false" ht="15" hidden="false" customHeight="false" outlineLevel="0" collapsed="false">
      <c r="A3140" s="9" t="s">
        <v>537</v>
      </c>
      <c r="B3140" s="36" t="s">
        <v>527</v>
      </c>
      <c r="C3140" s="49" t="n">
        <f aca="false">C3137+C3138+C3139</f>
        <v>0</v>
      </c>
      <c r="D3140" s="49" t="n">
        <f aca="false">D3137+D3138+D3139</f>
        <v>1.16861210925367</v>
      </c>
      <c r="E3140" s="49" t="n">
        <f aca="false">E3137+E3138+E3139</f>
        <v>3.18172698013971</v>
      </c>
      <c r="F3140" s="49" t="n">
        <f aca="false">F3137+F3138+F3139</f>
        <v>5.42799127989892</v>
      </c>
      <c r="G3140" s="49" t="n">
        <f aca="false">G3137+G3138+G3139</f>
        <v>7.87333906759407</v>
      </c>
      <c r="H3140" s="49" t="n">
        <f aca="false">H3137+H3138+H3139</f>
        <v>10.9315666654591</v>
      </c>
      <c r="I3140" s="49" t="n">
        <f aca="false">I3137+I3138+I3139</f>
        <v>14.5573162413405</v>
      </c>
      <c r="J3140" s="49" t="n">
        <f aca="false">J3137+J3138+J3139</f>
        <v>19.6839945601204</v>
      </c>
      <c r="K3140" s="49" t="n">
        <f aca="false">K3137+K3138+K3139</f>
        <v>26.1716342907687</v>
      </c>
      <c r="L3140" s="49" t="n">
        <f aca="false">L3137+L3138+L3139</f>
        <v>32.6374909236809</v>
      </c>
      <c r="M3140" s="49" t="n">
        <f aca="false">M3137+M3138+M3139</f>
        <v>38.745714602136</v>
      </c>
      <c r="N3140" s="49" t="n">
        <f aca="false">N3137+N3138+N3139</f>
        <v>44.5066983824089</v>
      </c>
      <c r="P3140" s="49" t="n">
        <f aca="false">F3140</f>
        <v>5.42799127989892</v>
      </c>
      <c r="Q3140" s="49" t="n">
        <f aca="false">J3140</f>
        <v>19.6839945601204</v>
      </c>
      <c r="R3140" s="49" t="n">
        <f aca="false">N3140</f>
        <v>44.5066983824089</v>
      </c>
      <c r="S3140" s="50" t="n">
        <f aca="false">R3140</f>
        <v>44.5066983824089</v>
      </c>
    </row>
    <row r="3141" customFormat="false" ht="15" hidden="false" customHeight="false" outlineLevel="0" collapsed="false">
      <c r="A3141" s="4" t="s">
        <v>538</v>
      </c>
      <c r="B3141" s="36" t="s">
        <v>125</v>
      </c>
      <c r="C3141" s="54" t="n">
        <f aca="false">0*Assumptions!$E$62^(1/4)+C3132*$C$3081</f>
        <v>0</v>
      </c>
      <c r="D3141" s="54" t="n">
        <f aca="false">C3141*Assumptions!$E$62^(1/4)+D3132*$C$3081</f>
        <v>4166.73279328995</v>
      </c>
      <c r="E3141" s="54" t="n">
        <f aca="false">D3141*Assumptions!$E$62^(1/4)+E3132*$C$3081</f>
        <v>11239.6704502667</v>
      </c>
      <c r="F3141" s="54" t="n">
        <f aca="false">E3141*Assumptions!$E$62^(1/4)+F3132*$C$3081</f>
        <v>19195.2360840535</v>
      </c>
      <c r="G3141" s="54" t="n">
        <f aca="false">F3141*Assumptions!$E$62^(1/4)+G3132*$C$3081</f>
        <v>28046.0705895498</v>
      </c>
      <c r="H3141" s="54" t="n">
        <f aca="false">G3141*Assumptions!$E$62^(1/4)+H3132*$C$3081</f>
        <v>39362.0238097927</v>
      </c>
      <c r="I3141" s="54" t="n">
        <f aca="false">H3141*Assumptions!$E$62^(1/4)+I3132*$C$3081</f>
        <v>53004.3208609014</v>
      </c>
      <c r="J3141" s="54" t="n">
        <f aca="false">I3141*Assumptions!$E$62^(1/4)+J3132*$C$3081</f>
        <v>72738.3544750665</v>
      </c>
      <c r="K3141" s="54" t="n">
        <f aca="false">J3141*Assumptions!$E$62^(1/4)+K3132*$C$3081</f>
        <v>98033.8141265934</v>
      </c>
      <c r="L3141" s="54" t="n">
        <f aca="false">K3141*Assumptions!$E$62^(1/4)+L3132*$C$3081</f>
        <v>123761.549805275</v>
      </c>
      <c r="M3141" s="54" t="n">
        <f aca="false">L3141*Assumptions!$E$62^(1/4)+M3132*$C$3081</f>
        <v>148849.730851825</v>
      </c>
      <c r="N3141" s="54" t="n">
        <f aca="false">M3141*Assumptions!$E$62^(1/4)+N3132*$C$3081</f>
        <v>173342.739250053</v>
      </c>
      <c r="P3141" s="55" t="n">
        <f aca="false">F3141</f>
        <v>19195.2360840535</v>
      </c>
      <c r="Q3141" s="55" t="n">
        <f aca="false">J3141</f>
        <v>72738.3544750665</v>
      </c>
      <c r="R3141" s="55" t="n">
        <f aca="false">N3141</f>
        <v>173342.739250053</v>
      </c>
      <c r="S3141" s="56" t="n">
        <f aca="false">R3141</f>
        <v>173342.739250053</v>
      </c>
    </row>
    <row r="3142" customFormat="false" ht="15" hidden="false" customHeight="false" outlineLevel="0" collapsed="false">
      <c r="A3142" s="4" t="s">
        <v>539</v>
      </c>
      <c r="B3142" s="36" t="s">
        <v>125</v>
      </c>
      <c r="C3142" s="54" t="n">
        <f aca="false">0*Assumptions!$E$63^(1/4)+C3133*$C$3082</f>
        <v>0</v>
      </c>
      <c r="D3142" s="54" t="n">
        <f aca="false">C3142*Assumptions!$E$63^(1/4)+D3133*$C$3082</f>
        <v>3809.74936767065</v>
      </c>
      <c r="E3142" s="54" t="n">
        <f aca="false">D3142*Assumptions!$E$63^(1/4)+E3133*$C$3082</f>
        <v>10332.6191544592</v>
      </c>
      <c r="F3142" s="54" t="n">
        <f aca="false">E3142*Assumptions!$E$63^(1/4)+F3133*$C$3082</f>
        <v>17758.2136518979</v>
      </c>
      <c r="G3142" s="54" t="n">
        <f aca="false">F3142*Assumptions!$E$63^(1/4)+G3133*$C$3082</f>
        <v>26111.3371940191</v>
      </c>
      <c r="H3142" s="54" t="n">
        <f aca="false">G3142*Assumptions!$E$63^(1/4)+H3133*$C$3082</f>
        <v>36636.8434439132</v>
      </c>
      <c r="I3142" s="54" t="n">
        <f aca="false">H3142*Assumptions!$E$63^(1/4)+I3133*$C$3082</f>
        <v>49259.3578014954</v>
      </c>
      <c r="J3142" s="54" t="n">
        <f aca="false">I3142*Assumptions!$E$63^(1/4)+J3133*$C$3082</f>
        <v>66424.7546344018</v>
      </c>
      <c r="K3142" s="54" t="n">
        <f aca="false">J3142*Assumptions!$E$63^(1/4)+K3133*$C$3082</f>
        <v>87924.7435877479</v>
      </c>
      <c r="L3142" s="54" t="n">
        <f aca="false">K3142*Assumptions!$E$63^(1/4)+L3133*$C$3082</f>
        <v>110090.978176858</v>
      </c>
      <c r="M3142" s="54" t="n">
        <f aca="false">L3142*Assumptions!$E$63^(1/4)+M3133*$C$3082</f>
        <v>132063.52824011</v>
      </c>
      <c r="N3142" s="54" t="n">
        <f aca="false">M3142*Assumptions!$E$63^(1/4)+N3133*$C$3082</f>
        <v>153875.564180841</v>
      </c>
      <c r="P3142" s="55" t="n">
        <f aca="false">F3142</f>
        <v>17758.2136518979</v>
      </c>
      <c r="Q3142" s="55" t="n">
        <f aca="false">J3142</f>
        <v>66424.7546344018</v>
      </c>
      <c r="R3142" s="55" t="n">
        <f aca="false">N3142</f>
        <v>153875.564180841</v>
      </c>
      <c r="S3142" s="56" t="n">
        <f aca="false">R3142</f>
        <v>153875.564180841</v>
      </c>
    </row>
    <row r="3143" customFormat="false" ht="15" hidden="false" customHeight="false" outlineLevel="0" collapsed="false">
      <c r="A3143" s="4" t="s">
        <v>540</v>
      </c>
      <c r="B3143" s="36" t="s">
        <v>125</v>
      </c>
      <c r="C3143" s="54" t="n">
        <f aca="false">0*Assumptions!$E$64^(1/4)+C3134*$C$3083</f>
        <v>0</v>
      </c>
      <c r="D3143" s="54" t="n">
        <f aca="false">C3143*Assumptions!$E$64^(1/4)+D3134*$C$3083</f>
        <v>0</v>
      </c>
      <c r="E3143" s="54" t="n">
        <f aca="false">D3143*Assumptions!$E$64^(1/4)+E3134*$C$3083</f>
        <v>3956.8531289098</v>
      </c>
      <c r="F3143" s="54" t="n">
        <f aca="false">E3143*Assumptions!$E$64^(1/4)+F3134*$C$3083</f>
        <v>10814.2227380085</v>
      </c>
      <c r="G3143" s="54" t="n">
        <f aca="false">F3143*Assumptions!$E$64^(1/4)+G3134*$C$3083</f>
        <v>18753.5969422992</v>
      </c>
      <c r="H3143" s="54" t="n">
        <f aca="false">G3143*Assumptions!$E$64^(1/4)+H3134*$C$3083</f>
        <v>27825.4539127574</v>
      </c>
      <c r="I3143" s="54" t="n">
        <f aca="false">H3143*Assumptions!$E$64^(1/4)+I3134*$C$3083</f>
        <v>38667.6663816546</v>
      </c>
      <c r="J3143" s="54" t="n">
        <f aca="false">I3143*Assumptions!$E$64^(1/4)+J3134*$C$3083</f>
        <v>51297.3152246045</v>
      </c>
      <c r="K3143" s="54" t="n">
        <f aca="false">J3143*Assumptions!$E$64^(1/4)+K3134*$C$3083</f>
        <v>67754.6007291272</v>
      </c>
      <c r="L3143" s="54" t="n">
        <f aca="false">K3143*Assumptions!$E$64^(1/4)+L3134*$C$3083</f>
        <v>88047.0629984046</v>
      </c>
      <c r="M3143" s="54" t="n">
        <f aca="false">L3143*Assumptions!$E$64^(1/4)+M3134*$C$3083</f>
        <v>109366.694216942</v>
      </c>
      <c r="N3143" s="54" t="n">
        <f aca="false">M3143*Assumptions!$E$64^(1/4)+N3134*$C$3083</f>
        <v>130992.261843716</v>
      </c>
      <c r="P3143" s="55" t="n">
        <f aca="false">F3143</f>
        <v>10814.2227380085</v>
      </c>
      <c r="Q3143" s="55" t="n">
        <f aca="false">J3143</f>
        <v>51297.3152246045</v>
      </c>
      <c r="R3143" s="55" t="n">
        <f aca="false">N3143</f>
        <v>130992.261843716</v>
      </c>
      <c r="S3143" s="56" t="n">
        <f aca="false">R3143</f>
        <v>130992.261843716</v>
      </c>
    </row>
    <row r="3144" customFormat="false" ht="15" hidden="false" customHeight="false" outlineLevel="0" collapsed="false">
      <c r="A3144" s="9" t="s">
        <v>541</v>
      </c>
      <c r="B3144" s="36" t="s">
        <v>125</v>
      </c>
      <c r="C3144" s="55" t="n">
        <f aca="false">C3141+C3142+C3143</f>
        <v>0</v>
      </c>
      <c r="D3144" s="55" t="n">
        <f aca="false">D3141+D3142+D3143</f>
        <v>7976.4821609606</v>
      </c>
      <c r="E3144" s="55" t="n">
        <f aca="false">E3141+E3142+E3143</f>
        <v>25529.1427336356</v>
      </c>
      <c r="F3144" s="55" t="n">
        <f aca="false">F3141+F3142+F3143</f>
        <v>47767.6724739599</v>
      </c>
      <c r="G3144" s="55" t="n">
        <f aca="false">G3141+G3142+G3143</f>
        <v>72911.0047258681</v>
      </c>
      <c r="H3144" s="55" t="n">
        <f aca="false">H3141+H3142+H3143</f>
        <v>103824.321166463</v>
      </c>
      <c r="I3144" s="55" t="n">
        <f aca="false">I3141+I3142+I3143</f>
        <v>140931.345044051</v>
      </c>
      <c r="J3144" s="55" t="n">
        <f aca="false">J3141+J3142+J3143</f>
        <v>190460.424334073</v>
      </c>
      <c r="K3144" s="55" t="n">
        <f aca="false">K3141+K3142+K3143</f>
        <v>253713.158443469</v>
      </c>
      <c r="L3144" s="55" t="n">
        <f aca="false">L3141+L3142+L3143</f>
        <v>321899.590980538</v>
      </c>
      <c r="M3144" s="55" t="n">
        <f aca="false">M3141+M3142+M3143</f>
        <v>390279.953308878</v>
      </c>
      <c r="N3144" s="55" t="n">
        <f aca="false">N3141+N3142+N3143</f>
        <v>458210.565274611</v>
      </c>
      <c r="P3144" s="55" t="n">
        <f aca="false">F3144</f>
        <v>47767.6724739599</v>
      </c>
      <c r="Q3144" s="55" t="n">
        <f aca="false">J3144</f>
        <v>190460.424334073</v>
      </c>
      <c r="R3144" s="55" t="n">
        <f aca="false">N3144</f>
        <v>458210.565274611</v>
      </c>
      <c r="S3144" s="56" t="n">
        <f aca="false">R3144</f>
        <v>458210.565274611</v>
      </c>
    </row>
    <row r="3145" customFormat="false" ht="15" hidden="false" customHeight="false" outlineLevel="0" collapsed="false">
      <c r="A3145" s="4" t="s">
        <v>542</v>
      </c>
      <c r="B3145" s="36" t="s">
        <v>125</v>
      </c>
      <c r="C3145" s="54" t="n">
        <f aca="false">C3132*$C$3081+C3133*$C$3082+C3134*$C$3083</f>
        <v>0</v>
      </c>
      <c r="D3145" s="54" t="n">
        <f aca="false">D3132*$C$3081+D3133*$C$3082+D3134*$C$3083</f>
        <v>7976.4821609606</v>
      </c>
      <c r="E3145" s="54" t="n">
        <f aca="false">E3132*$C$3081+E3133*$C$3082+E3134*$C$3083</f>
        <v>17496.7568965127</v>
      </c>
      <c r="F3145" s="54" t="n">
        <f aca="false">F3132*$C$3081+F3133*$C$3082+F3134*$C$3083</f>
        <v>21946.212390702</v>
      </c>
      <c r="G3145" s="54" t="n">
        <f aca="false">G3132*$C$3081+G3133*$C$3082+G3134*$C$3083</f>
        <v>24498.2179988567</v>
      </c>
      <c r="H3145" s="54" t="n">
        <f aca="false">H3132*$C$3081+H3133*$C$3082+H3134*$C$3083</f>
        <v>29863.3208635978</v>
      </c>
      <c r="I3145" s="54" t="n">
        <f aca="false">I3132*$C$3081+I3133*$C$3082+I3134*$C$3083</f>
        <v>35580.0008583168</v>
      </c>
      <c r="J3145" s="54" t="n">
        <f aca="false">J3132*$C$3081+J3133*$C$3082+J3134*$C$3083</f>
        <v>47431.3072181241</v>
      </c>
      <c r="K3145" s="54" t="n">
        <f aca="false">K3132*$C$3081+K3133*$C$3082+K3134*$C$3083</f>
        <v>60453.9936272228</v>
      </c>
      <c r="L3145" s="54" t="n">
        <f aca="false">L3132*$C$3081+L3133*$C$3082+L3134*$C$3083</f>
        <v>64487.0151100212</v>
      </c>
      <c r="M3145" s="54" t="n">
        <f aca="false">M3132*$C$3081+M3133*$C$3082+M3134*$C$3083</f>
        <v>63634.1200622626</v>
      </c>
      <c r="N3145" s="54" t="n">
        <f aca="false">N3132*$C$3081+N3133*$C$3082+N3134*$C$3083</f>
        <v>62103.8628056506</v>
      </c>
      <c r="P3145" s="55" t="n">
        <f aca="false">SUM(C3145:F3145)</f>
        <v>47419.4514481753</v>
      </c>
      <c r="Q3145" s="55" t="n">
        <f aca="false">SUM(G3145:J3145)</f>
        <v>137372.846938895</v>
      </c>
      <c r="R3145" s="55" t="n">
        <f aca="false">SUM(K3145:N3145)</f>
        <v>250678.991605157</v>
      </c>
      <c r="S3145" s="56" t="n">
        <f aca="false">SUM(P3145:R3145)</f>
        <v>435471.289992228</v>
      </c>
    </row>
    <row r="3146" customFormat="false" ht="15" hidden="false" customHeight="false" outlineLevel="0" collapsed="false">
      <c r="A3146" s="9" t="s">
        <v>543</v>
      </c>
      <c r="B3146" s="36" t="s">
        <v>125</v>
      </c>
      <c r="C3146" s="55" t="n">
        <f aca="false">(0+C3144)/8</f>
        <v>0</v>
      </c>
      <c r="D3146" s="55" t="n">
        <f aca="false">(C3144+D3144)/8</f>
        <v>997.060270120075</v>
      </c>
      <c r="E3146" s="55" t="n">
        <f aca="false">(D3144+E3144)/8</f>
        <v>4188.20311182453</v>
      </c>
      <c r="F3146" s="55" t="n">
        <f aca="false">(E3144+F3144)/8</f>
        <v>9162.10190094944</v>
      </c>
      <c r="G3146" s="55" t="n">
        <f aca="false">(F3144+G3144)/8</f>
        <v>15084.8346499785</v>
      </c>
      <c r="H3146" s="55" t="n">
        <f aca="false">(G3144+H3144)/8</f>
        <v>22091.9157365414</v>
      </c>
      <c r="I3146" s="55" t="n">
        <f aca="false">(H3144+I3144)/8</f>
        <v>30594.4582763143</v>
      </c>
      <c r="J3146" s="55" t="n">
        <f aca="false">(I3144+J3144)/8</f>
        <v>41423.9711722655</v>
      </c>
      <c r="K3146" s="55" t="n">
        <f aca="false">(J3144+K3144)/8</f>
        <v>55521.6978471927</v>
      </c>
      <c r="L3146" s="55" t="n">
        <f aca="false">(K3144+L3144)/8</f>
        <v>71951.5936780008</v>
      </c>
      <c r="M3146" s="55" t="n">
        <f aca="false">(L3144+M3144)/8</f>
        <v>89022.4430361769</v>
      </c>
      <c r="N3146" s="55" t="n">
        <f aca="false">(M3144+N3144)/8</f>
        <v>106061.314822936</v>
      </c>
      <c r="P3146" s="55" t="n">
        <f aca="false">SUM(C3146:F3146)</f>
        <v>14347.365282894</v>
      </c>
      <c r="Q3146" s="55" t="n">
        <f aca="false">SUM(G3146:J3146)</f>
        <v>109195.1798351</v>
      </c>
      <c r="R3146" s="55" t="n">
        <f aca="false">SUM(K3146:N3146)</f>
        <v>322557.049384306</v>
      </c>
      <c r="S3146" s="56" t="n">
        <f aca="false">SUM(P3146:R3146)</f>
        <v>446099.5945023</v>
      </c>
    </row>
    <row r="3147" customFormat="false" ht="15" hidden="false" customHeight="false" outlineLevel="0" collapsed="false">
      <c r="A3147" s="4" t="s">
        <v>544</v>
      </c>
      <c r="B3147" s="36" t="s">
        <v>125</v>
      </c>
      <c r="C3147" s="54" t="n">
        <f aca="false">C3146*Assumptions!$E$76</f>
        <v>0</v>
      </c>
      <c r="D3147" s="54" t="n">
        <f aca="false">D3146*Assumptions!$E$76</f>
        <v>648.089175578049</v>
      </c>
      <c r="E3147" s="54" t="n">
        <f aca="false">E3146*Assumptions!$E$76</f>
        <v>2722.33202268595</v>
      </c>
      <c r="F3147" s="54" t="n">
        <f aca="false">F3146*Assumptions!$E$76</f>
        <v>5955.36623561713</v>
      </c>
      <c r="G3147" s="54" t="n">
        <f aca="false">G3146*Assumptions!$E$76</f>
        <v>9805.14252248602</v>
      </c>
      <c r="H3147" s="54" t="n">
        <f aca="false">H3146*Assumptions!$E$76</f>
        <v>14359.7452287519</v>
      </c>
      <c r="I3147" s="54" t="n">
        <f aca="false">I3146*Assumptions!$E$76</f>
        <v>19886.3978796043</v>
      </c>
      <c r="J3147" s="54" t="n">
        <f aca="false">J3146*Assumptions!$E$76</f>
        <v>26925.5812619726</v>
      </c>
      <c r="K3147" s="54" t="n">
        <f aca="false">K3146*Assumptions!$E$76</f>
        <v>36089.1036006752</v>
      </c>
      <c r="L3147" s="54" t="n">
        <f aca="false">L3146*Assumptions!$E$76</f>
        <v>46768.5358907005</v>
      </c>
      <c r="M3147" s="54" t="n">
        <f aca="false">M3146*Assumptions!$E$76</f>
        <v>57864.587973515</v>
      </c>
      <c r="N3147" s="54" t="n">
        <f aca="false">N3146*Assumptions!$E$76</f>
        <v>68939.8546349084</v>
      </c>
      <c r="P3147" s="55" t="n">
        <f aca="false">SUM(C3147:F3147)</f>
        <v>9325.78743388113</v>
      </c>
      <c r="Q3147" s="55" t="n">
        <f aca="false">SUM(G3147:J3147)</f>
        <v>70976.8668928149</v>
      </c>
      <c r="R3147" s="55" t="n">
        <f aca="false">SUM(K3147:N3147)</f>
        <v>209662.082099799</v>
      </c>
      <c r="S3147" s="56" t="n">
        <f aca="false">SUM(P3147:R3147)</f>
        <v>289964.736426495</v>
      </c>
    </row>
    <row r="3148" customFormat="false" ht="15" hidden="false" customHeight="false" outlineLevel="0" collapsed="false">
      <c r="A3148" s="35" t="s">
        <v>547</v>
      </c>
      <c r="B3148" s="35" t="s">
        <v>444</v>
      </c>
      <c r="C3148" s="6" t="s">
        <v>354</v>
      </c>
      <c r="D3148" s="6" t="s">
        <v>355</v>
      </c>
      <c r="E3148" s="6" t="s">
        <v>356</v>
      </c>
      <c r="F3148" s="6" t="s">
        <v>357</v>
      </c>
      <c r="G3148" s="6" t="s">
        <v>358</v>
      </c>
      <c r="H3148" s="6" t="s">
        <v>359</v>
      </c>
      <c r="I3148" s="6" t="s">
        <v>360</v>
      </c>
      <c r="J3148" s="6" t="s">
        <v>361</v>
      </c>
      <c r="K3148" s="6" t="s">
        <v>362</v>
      </c>
      <c r="L3148" s="6" t="s">
        <v>363</v>
      </c>
      <c r="M3148" s="6" t="s">
        <v>364</v>
      </c>
      <c r="N3148" s="6" t="s">
        <v>365</v>
      </c>
      <c r="P3148" s="6" t="s">
        <v>445</v>
      </c>
      <c r="Q3148" s="6" t="s">
        <v>446</v>
      </c>
      <c r="R3148" s="6" t="s">
        <v>447</v>
      </c>
      <c r="S3148" s="6" t="s">
        <v>448</v>
      </c>
    </row>
    <row r="3149" customFormat="false" ht="15" hidden="false" customHeight="false" outlineLevel="0" collapsed="false">
      <c r="A3149" s="4" t="s">
        <v>548</v>
      </c>
      <c r="B3149" s="36" t="s">
        <v>321</v>
      </c>
      <c r="C3149" s="48" t="n">
        <f aca="false">Assumptions!$D$97*C3091</f>
        <v>1</v>
      </c>
      <c r="D3149" s="48" t="n">
        <f aca="false">Assumptions!$D$97*D3091</f>
        <v>1</v>
      </c>
      <c r="E3149" s="48" t="n">
        <f aca="false">Assumptions!$D$97*E3091</f>
        <v>1</v>
      </c>
      <c r="F3149" s="48" t="n">
        <f aca="false">Assumptions!$D$97*F3091</f>
        <v>1</v>
      </c>
      <c r="G3149" s="48" t="n">
        <f aca="false">Assumptions!$D$97*G3091</f>
        <v>1</v>
      </c>
      <c r="H3149" s="48" t="n">
        <f aca="false">Assumptions!$D$97*H3091</f>
        <v>1</v>
      </c>
      <c r="I3149" s="48" t="n">
        <f aca="false">Assumptions!$D$97*I3091</f>
        <v>1</v>
      </c>
      <c r="J3149" s="48" t="n">
        <f aca="false">Assumptions!$D$97*J3091</f>
        <v>1</v>
      </c>
      <c r="K3149" s="48" t="n">
        <f aca="false">Assumptions!$D$97*K3091</f>
        <v>1</v>
      </c>
      <c r="L3149" s="48" t="n">
        <f aca="false">Assumptions!$D$97*L3091</f>
        <v>1</v>
      </c>
      <c r="M3149" s="48" t="n">
        <f aca="false">Assumptions!$D$97*M3091</f>
        <v>1</v>
      </c>
      <c r="N3149" s="48" t="n">
        <f aca="false">Assumptions!$D$97*N3091</f>
        <v>1</v>
      </c>
      <c r="P3149" s="49" t="n">
        <f aca="false">AVERAGE(C3149:F3149)</f>
        <v>1</v>
      </c>
      <c r="Q3149" s="49" t="n">
        <f aca="false">AVERAGE(G3149:J3149)</f>
        <v>1</v>
      </c>
      <c r="R3149" s="49" t="n">
        <f aca="false">AVERAGE(K3149:N3149)</f>
        <v>1</v>
      </c>
      <c r="S3149" s="50"/>
    </row>
    <row r="3150" customFormat="false" ht="15" hidden="false" customHeight="false" outlineLevel="0" collapsed="false">
      <c r="A3150" s="4" t="s">
        <v>549</v>
      </c>
      <c r="B3150" s="36" t="s">
        <v>321</v>
      </c>
      <c r="C3150" s="48" t="n">
        <f aca="false">C3104*C3091</f>
        <v>0</v>
      </c>
      <c r="D3150" s="48" t="n">
        <f aca="false">D3104*D3091</f>
        <v>0</v>
      </c>
      <c r="E3150" s="48" t="n">
        <f aca="false">E3104*E3091</f>
        <v>0</v>
      </c>
      <c r="F3150" s="48" t="n">
        <f aca="false">F3104*F3091</f>
        <v>0</v>
      </c>
      <c r="G3150" s="48" t="n">
        <f aca="false">G3104*G3091</f>
        <v>0</v>
      </c>
      <c r="H3150" s="48" t="n">
        <f aca="false">H3104*H3091</f>
        <v>0</v>
      </c>
      <c r="I3150" s="48" t="n">
        <f aca="false">I3104*I3091</f>
        <v>0</v>
      </c>
      <c r="J3150" s="48" t="n">
        <f aca="false">J3104*J3091</f>
        <v>0</v>
      </c>
      <c r="K3150" s="48" t="n">
        <f aca="false">K3104*K3091</f>
        <v>0</v>
      </c>
      <c r="L3150" s="48" t="n">
        <f aca="false">L3104*L3091</f>
        <v>0</v>
      </c>
      <c r="M3150" s="48" t="n">
        <f aca="false">M3104*M3091</f>
        <v>0</v>
      </c>
      <c r="N3150" s="48" t="n">
        <f aca="false">N3104*N3091</f>
        <v>0</v>
      </c>
      <c r="P3150" s="49" t="n">
        <f aca="false">AVERAGE(C3150:F3150)</f>
        <v>0</v>
      </c>
      <c r="Q3150" s="49" t="n">
        <f aca="false">AVERAGE(G3150:J3150)</f>
        <v>0</v>
      </c>
      <c r="R3150" s="49" t="n">
        <f aca="false">AVERAGE(K3150:N3150)</f>
        <v>0</v>
      </c>
      <c r="S3150" s="50"/>
    </row>
    <row r="3151" customFormat="false" ht="15" hidden="false" customHeight="false" outlineLevel="0" collapsed="false">
      <c r="A3151" s="4" t="s">
        <v>550</v>
      </c>
      <c r="B3151" s="36" t="s">
        <v>321</v>
      </c>
      <c r="C3151" s="48" t="n">
        <f aca="false">IF(C3090&lt;=4,Assumptions!$D$98,Assumptions!$D$99)*C3091</f>
        <v>0</v>
      </c>
      <c r="D3151" s="48" t="n">
        <f aca="false">IF(D3090&lt;=4,Assumptions!$D$98,Assumptions!$D$99)*D3091</f>
        <v>0</v>
      </c>
      <c r="E3151" s="48" t="n">
        <f aca="false">IF(E3090&lt;=4,Assumptions!$D$98,Assumptions!$D$99)*E3091</f>
        <v>0</v>
      </c>
      <c r="F3151" s="48" t="n">
        <f aca="false">IF(F3090&lt;=4,Assumptions!$D$98,Assumptions!$D$99)*F3091</f>
        <v>0</v>
      </c>
      <c r="G3151" s="48" t="n">
        <f aca="false">IF(G3090&lt;=4,Assumptions!$D$98,Assumptions!$D$99)*G3091</f>
        <v>0.5</v>
      </c>
      <c r="H3151" s="48" t="n">
        <f aca="false">IF(H3090&lt;=4,Assumptions!$D$98,Assumptions!$D$99)*H3091</f>
        <v>0.5</v>
      </c>
      <c r="I3151" s="48" t="n">
        <f aca="false">IF(I3090&lt;=4,Assumptions!$D$98,Assumptions!$D$99)*I3091</f>
        <v>0.5</v>
      </c>
      <c r="J3151" s="48" t="n">
        <f aca="false">IF(J3090&lt;=4,Assumptions!$D$98,Assumptions!$D$99)*J3091</f>
        <v>0.5</v>
      </c>
      <c r="K3151" s="48" t="n">
        <f aca="false">IF(K3090&lt;=4,Assumptions!$D$98,Assumptions!$D$99)*K3091</f>
        <v>0.5</v>
      </c>
      <c r="L3151" s="48" t="n">
        <f aca="false">IF(L3090&lt;=4,Assumptions!$D$98,Assumptions!$D$99)*L3091</f>
        <v>0.5</v>
      </c>
      <c r="M3151" s="48" t="n">
        <f aca="false">IF(M3090&lt;=4,Assumptions!$D$98,Assumptions!$D$99)*M3091</f>
        <v>0.5</v>
      </c>
      <c r="N3151" s="48" t="n">
        <f aca="false">IF(N3090&lt;=4,Assumptions!$D$98,Assumptions!$D$99)*N3091</f>
        <v>0.5</v>
      </c>
      <c r="P3151" s="49" t="n">
        <f aca="false">AVERAGE(C3151:F3151)</f>
        <v>0</v>
      </c>
      <c r="Q3151" s="49" t="n">
        <f aca="false">AVERAGE(G3151:J3151)</f>
        <v>0.5</v>
      </c>
      <c r="R3151" s="49" t="n">
        <f aca="false">AVERAGE(K3151:N3151)</f>
        <v>0.5</v>
      </c>
      <c r="S3151" s="50"/>
    </row>
    <row r="3152" customFormat="false" ht="15" hidden="false" customHeight="false" outlineLevel="0" collapsed="false">
      <c r="A3152" s="4" t="s">
        <v>551</v>
      </c>
      <c r="B3152" s="36" t="s">
        <v>321</v>
      </c>
      <c r="C3152" s="48" t="n">
        <f aca="false">IF(C3090&lt;=4,Assumptions!$D$100,Assumptions!$D$101)*C3091</f>
        <v>1</v>
      </c>
      <c r="D3152" s="48" t="n">
        <f aca="false">IF(D3090&lt;=4,Assumptions!$D$100,Assumptions!$D$101)*D3091</f>
        <v>1</v>
      </c>
      <c r="E3152" s="48" t="n">
        <f aca="false">IF(E3090&lt;=4,Assumptions!$D$100,Assumptions!$D$101)*E3091</f>
        <v>1</v>
      </c>
      <c r="F3152" s="48" t="n">
        <f aca="false">IF(F3090&lt;=4,Assumptions!$D$100,Assumptions!$D$101)*F3091</f>
        <v>1</v>
      </c>
      <c r="G3152" s="48" t="n">
        <f aca="false">IF(G3090&lt;=4,Assumptions!$D$100,Assumptions!$D$101)*G3091</f>
        <v>0.5</v>
      </c>
      <c r="H3152" s="48" t="n">
        <f aca="false">IF(H3090&lt;=4,Assumptions!$D$100,Assumptions!$D$101)*H3091</f>
        <v>0.5</v>
      </c>
      <c r="I3152" s="48" t="n">
        <f aca="false">IF(I3090&lt;=4,Assumptions!$D$100,Assumptions!$D$101)*I3091</f>
        <v>0.5</v>
      </c>
      <c r="J3152" s="48" t="n">
        <f aca="false">IF(J3090&lt;=4,Assumptions!$D$100,Assumptions!$D$101)*J3091</f>
        <v>0.5</v>
      </c>
      <c r="K3152" s="48" t="n">
        <f aca="false">IF(K3090&lt;=4,Assumptions!$D$100,Assumptions!$D$101)*K3091</f>
        <v>0.5</v>
      </c>
      <c r="L3152" s="48" t="n">
        <f aca="false">IF(L3090&lt;=4,Assumptions!$D$100,Assumptions!$D$101)*L3091</f>
        <v>0.5</v>
      </c>
      <c r="M3152" s="48" t="n">
        <f aca="false">IF(M3090&lt;=4,Assumptions!$D$100,Assumptions!$D$101)*M3091</f>
        <v>0.5</v>
      </c>
      <c r="N3152" s="48" t="n">
        <f aca="false">IF(N3090&lt;=4,Assumptions!$D$100,Assumptions!$D$101)*N3091</f>
        <v>0.5</v>
      </c>
      <c r="P3152" s="49" t="n">
        <f aca="false">AVERAGE(C3152:F3152)</f>
        <v>1</v>
      </c>
      <c r="Q3152" s="49" t="n">
        <f aca="false">AVERAGE(G3152:J3152)</f>
        <v>0.5</v>
      </c>
      <c r="R3152" s="49" t="n">
        <f aca="false">AVERAGE(K3152:N3152)</f>
        <v>0.5</v>
      </c>
      <c r="S3152" s="50"/>
    </row>
    <row r="3153" customFormat="false" ht="15" hidden="false" customHeight="false" outlineLevel="0" collapsed="false">
      <c r="A3153" s="4" t="s">
        <v>552</v>
      </c>
      <c r="B3153" s="36" t="s">
        <v>321</v>
      </c>
      <c r="C3153" s="48" t="n">
        <f aca="false">Assumptions!$D$102*C3091</f>
        <v>0.25</v>
      </c>
      <c r="D3153" s="48" t="n">
        <f aca="false">Assumptions!$D$102*D3091</f>
        <v>0.25</v>
      </c>
      <c r="E3153" s="48" t="n">
        <f aca="false">Assumptions!$D$102*E3091</f>
        <v>0.25</v>
      </c>
      <c r="F3153" s="48" t="n">
        <f aca="false">Assumptions!$D$102*F3091</f>
        <v>0.25</v>
      </c>
      <c r="G3153" s="48" t="n">
        <f aca="false">Assumptions!$D$102*G3091</f>
        <v>0.25</v>
      </c>
      <c r="H3153" s="48" t="n">
        <f aca="false">Assumptions!$D$102*H3091</f>
        <v>0.25</v>
      </c>
      <c r="I3153" s="48" t="n">
        <f aca="false">Assumptions!$D$102*I3091</f>
        <v>0.25</v>
      </c>
      <c r="J3153" s="48" t="n">
        <f aca="false">Assumptions!$D$102*J3091</f>
        <v>0.25</v>
      </c>
      <c r="K3153" s="48" t="n">
        <f aca="false">Assumptions!$D$102*K3091</f>
        <v>0.25</v>
      </c>
      <c r="L3153" s="48" t="n">
        <f aca="false">Assumptions!$D$102*L3091</f>
        <v>0.25</v>
      </c>
      <c r="M3153" s="48" t="n">
        <f aca="false">Assumptions!$D$102*M3091</f>
        <v>0.25</v>
      </c>
      <c r="N3153" s="48" t="n">
        <f aca="false">Assumptions!$D$102*N3091</f>
        <v>0.25</v>
      </c>
      <c r="P3153" s="49" t="n">
        <f aca="false">AVERAGE(C3153:F3153)</f>
        <v>0.25</v>
      </c>
      <c r="Q3153" s="49" t="n">
        <f aca="false">AVERAGE(G3153:J3153)</f>
        <v>0.25</v>
      </c>
      <c r="R3153" s="49" t="n">
        <f aca="false">AVERAGE(K3153:N3153)</f>
        <v>0.25</v>
      </c>
      <c r="S3153" s="50"/>
    </row>
    <row r="3154" customFormat="false" ht="15" hidden="false" customHeight="false" outlineLevel="0" collapsed="false">
      <c r="A3154" s="4" t="s">
        <v>553</v>
      </c>
      <c r="B3154" s="36" t="s">
        <v>321</v>
      </c>
      <c r="C3154" s="48" t="n">
        <f aca="false">(C3138+C3139)/Assumptions!$E$74+C3137/Assumptions!$E$75</f>
        <v>0</v>
      </c>
      <c r="D3154" s="48" t="n">
        <f aca="false">(D3138+D3139)/Assumptions!$E$74+D3137/Assumptions!$E$75</f>
        <v>0.0128660148652938</v>
      </c>
      <c r="E3154" s="48" t="n">
        <f aca="false">(E3138+E3139)/Assumptions!$E$74+E3137/Assumptions!$E$75</f>
        <v>0.035955563892836</v>
      </c>
      <c r="F3154" s="48" t="n">
        <f aca="false">(F3138+F3139)/Assumptions!$E$74+F3137/Assumptions!$E$75</f>
        <v>0.0622673511990615</v>
      </c>
      <c r="G3154" s="48" t="n">
        <f aca="false">(G3138+G3139)/Assumptions!$E$74+G3137/Assumptions!$E$75</f>
        <v>0.0909821106880492</v>
      </c>
      <c r="H3154" s="48" t="n">
        <f aca="false">(H3138+H3139)/Assumptions!$E$74+H3137/Assumptions!$E$75</f>
        <v>0.126365989519833</v>
      </c>
      <c r="I3154" s="48" t="n">
        <f aca="false">(I3138+I3139)/Assumptions!$E$74+I3137/Assumptions!$E$75</f>
        <v>0.168101721702898</v>
      </c>
      <c r="J3154" s="48" t="n">
        <f aca="false">(J3138+J3139)/Assumptions!$E$74+J3137/Assumptions!$E$75</f>
        <v>0.224996425746178</v>
      </c>
      <c r="K3154" s="48" t="n">
        <f aca="false">(K3138+K3139)/Assumptions!$E$74+K3137/Assumptions!$E$75</f>
        <v>0.296335157476342</v>
      </c>
      <c r="L3154" s="48" t="n">
        <f aca="false">(L3138+L3139)/Assumptions!$E$74+L3137/Assumptions!$E$75</f>
        <v>0.368290744145173</v>
      </c>
      <c r="M3154" s="48" t="n">
        <f aca="false">(M3138+M3139)/Assumptions!$E$74+M3137/Assumptions!$E$75</f>
        <v>0.436636022291882</v>
      </c>
      <c r="N3154" s="48" t="n">
        <f aca="false">(N3138+N3139)/Assumptions!$E$74+N3137/Assumptions!$E$75</f>
        <v>0.501289012685894</v>
      </c>
      <c r="P3154" s="49" t="n">
        <f aca="false">AVERAGE(C3154:F3154)</f>
        <v>0.0277722324892978</v>
      </c>
      <c r="Q3154" s="49" t="n">
        <f aca="false">AVERAGE(G3154:J3154)</f>
        <v>0.15261156191424</v>
      </c>
      <c r="R3154" s="49" t="n">
        <f aca="false">AVERAGE(K3154:N3154)</f>
        <v>0.400637734149823</v>
      </c>
      <c r="S3154" s="50"/>
    </row>
    <row r="3155" customFormat="false" ht="15" hidden="false" customHeight="false" outlineLevel="0" collapsed="false">
      <c r="A3155" s="4" t="s">
        <v>554</v>
      </c>
      <c r="B3155" s="36" t="s">
        <v>125</v>
      </c>
      <c r="C3155" s="54" t="n">
        <f aca="false">(C3149+C3151)*Assumptions!$E$70/Assumptions!$E$69/4</f>
        <v>66753.5714285714</v>
      </c>
      <c r="D3155" s="54" t="n">
        <f aca="false">(D3149+D3151)*Assumptions!$E$70/Assumptions!$E$69/4</f>
        <v>66753.5714285714</v>
      </c>
      <c r="E3155" s="54" t="n">
        <f aca="false">(E3149+E3151)*Assumptions!$E$70/Assumptions!$E$69/4</f>
        <v>66753.5714285714</v>
      </c>
      <c r="F3155" s="54" t="n">
        <f aca="false">(F3149+F3151)*Assumptions!$E$70/Assumptions!$E$69/4</f>
        <v>66753.5714285714</v>
      </c>
      <c r="G3155" s="54" t="n">
        <f aca="false">(G3149+G3151)*Assumptions!$E$70/Assumptions!$E$69/4</f>
        <v>100130.357142857</v>
      </c>
      <c r="H3155" s="54" t="n">
        <f aca="false">(H3149+H3151)*Assumptions!$E$70/Assumptions!$E$69/4</f>
        <v>100130.357142857</v>
      </c>
      <c r="I3155" s="54" t="n">
        <f aca="false">(I3149+I3151)*Assumptions!$E$70/Assumptions!$E$69/4</f>
        <v>100130.357142857</v>
      </c>
      <c r="J3155" s="54" t="n">
        <f aca="false">(J3149+J3151)*Assumptions!$E$70/Assumptions!$E$69/4</f>
        <v>100130.357142857</v>
      </c>
      <c r="K3155" s="54" t="n">
        <f aca="false">(K3149+K3151)*Assumptions!$E$70/Assumptions!$E$69/4</f>
        <v>100130.357142857</v>
      </c>
      <c r="L3155" s="54" t="n">
        <f aca="false">(L3149+L3151)*Assumptions!$E$70/Assumptions!$E$69/4</f>
        <v>100130.357142857</v>
      </c>
      <c r="M3155" s="54" t="n">
        <f aca="false">(M3149+M3151)*Assumptions!$E$70/Assumptions!$E$69/4</f>
        <v>100130.357142857</v>
      </c>
      <c r="N3155" s="54" t="n">
        <f aca="false">(N3149+N3151)*Assumptions!$E$70/Assumptions!$E$69/4</f>
        <v>100130.357142857</v>
      </c>
      <c r="P3155" s="55" t="n">
        <f aca="false">SUM(C3155:F3155)</f>
        <v>267014.285714286</v>
      </c>
      <c r="Q3155" s="55" t="n">
        <f aca="false">SUM(G3155:J3155)</f>
        <v>400521.428571429</v>
      </c>
      <c r="R3155" s="55" t="n">
        <f aca="false">SUM(K3155:N3155)</f>
        <v>400521.428571429</v>
      </c>
      <c r="S3155" s="56" t="n">
        <f aca="false">SUM(P3155:R3155)</f>
        <v>1068057.14285714</v>
      </c>
    </row>
    <row r="3156" customFormat="false" ht="15" hidden="false" customHeight="false" outlineLevel="0" collapsed="false">
      <c r="A3156" s="4" t="s">
        <v>555</v>
      </c>
      <c r="B3156" s="36" t="s">
        <v>125</v>
      </c>
      <c r="C3156" s="54" t="n">
        <f aca="false">C3150*$C$3085/4</f>
        <v>0</v>
      </c>
      <c r="D3156" s="54" t="n">
        <f aca="false">D3150*$C$3085/4</f>
        <v>0</v>
      </c>
      <c r="E3156" s="54" t="n">
        <f aca="false">E3150*$C$3085/4</f>
        <v>0</v>
      </c>
      <c r="F3156" s="54" t="n">
        <f aca="false">F3150*$C$3085/4</f>
        <v>0</v>
      </c>
      <c r="G3156" s="54" t="n">
        <f aca="false">G3150*$C$3085/4</f>
        <v>0</v>
      </c>
      <c r="H3156" s="54" t="n">
        <f aca="false">H3150*$C$3085/4</f>
        <v>0</v>
      </c>
      <c r="I3156" s="54" t="n">
        <f aca="false">I3150*$C$3085/4</f>
        <v>0</v>
      </c>
      <c r="J3156" s="54" t="n">
        <f aca="false">J3150*$C$3085/4</f>
        <v>0</v>
      </c>
      <c r="K3156" s="54" t="n">
        <f aca="false">K3150*$C$3085/4</f>
        <v>0</v>
      </c>
      <c r="L3156" s="54" t="n">
        <f aca="false">L3150*$C$3085/4</f>
        <v>0</v>
      </c>
      <c r="M3156" s="54" t="n">
        <f aca="false">M3150*$C$3085/4</f>
        <v>0</v>
      </c>
      <c r="N3156" s="54" t="n">
        <f aca="false">N3150*$C$3085/4</f>
        <v>0</v>
      </c>
      <c r="P3156" s="55" t="n">
        <f aca="false">SUM(C3156:F3156)</f>
        <v>0</v>
      </c>
      <c r="Q3156" s="55" t="n">
        <f aca="false">SUM(G3156:J3156)</f>
        <v>0</v>
      </c>
      <c r="R3156" s="55" t="n">
        <f aca="false">SUM(K3156:N3156)</f>
        <v>0</v>
      </c>
      <c r="S3156" s="56" t="n">
        <f aca="false">SUM(P3156:R3156)</f>
        <v>0</v>
      </c>
    </row>
    <row r="3157" customFormat="false" ht="15" hidden="false" customHeight="false" outlineLevel="0" collapsed="false">
      <c r="A3157" s="4" t="s">
        <v>556</v>
      </c>
      <c r="B3157" s="36" t="s">
        <v>125</v>
      </c>
      <c r="C3157" s="54" t="n">
        <f aca="false">MAX(0,(C3145-C3126*$C$3081)-C3105*$C$3086)*$C$3087*Assumptions!$D$105</f>
        <v>0</v>
      </c>
      <c r="D3157" s="54" t="n">
        <f aca="false">MAX(0,(D3145-D3126*$C$3081)-D3105*$C$3086)*$C$3087*Assumptions!$D$105</f>
        <v>3137.70837223259</v>
      </c>
      <c r="E3157" s="54" t="n">
        <f aca="false">MAX(0,(E3145-E3126*$C$3081)-E3105*$C$3086)*$C$3087*Assumptions!$D$105</f>
        <v>7171.95363238236</v>
      </c>
      <c r="F3157" s="54" t="n">
        <f aca="false">MAX(0,(F3145-F3126*$C$3081)-F3105*$C$3086)*$C$3087*Assumptions!$D$105</f>
        <v>9123.9849332086</v>
      </c>
      <c r="G3157" s="54" t="n">
        <f aca="false">MAX(0,(G3145-G3126*$C$3081)-G3105*$C$3086)*$C$3087*Assumptions!$D$105</f>
        <v>10189.139427269</v>
      </c>
      <c r="H3157" s="54" t="n">
        <f aca="false">MAX(0,(H3145-H3126*$C$3081)-H3105*$C$3086)*$C$3087*Assumptions!$D$105</f>
        <v>12346.8384361632</v>
      </c>
      <c r="I3157" s="54" t="n">
        <f aca="false">MAX(0,(I3145-I3126*$C$3081)-I3105*$C$3086)*$C$3087*Assumptions!$D$105</f>
        <v>14687.9588305466</v>
      </c>
      <c r="J3157" s="54" t="n">
        <f aca="false">MAX(0,(J3145-J3126*$C$3081)-J3105*$C$3086)*$C$3087*Assumptions!$D$105</f>
        <v>19363.7770886879</v>
      </c>
      <c r="K3157" s="54" t="n">
        <f aca="false">MAX(0,(K3145-K3126*$C$3081)-K3105*$C$3086)*$C$3087*Assumptions!$D$105</f>
        <v>24660.2242480535</v>
      </c>
      <c r="L3157" s="54" t="n">
        <f aca="false">MAX(0,(L3145-L3126*$C$3081)-L3105*$C$3086)*$C$3087*Assumptions!$D$105</f>
        <v>26481.0236298154</v>
      </c>
      <c r="M3157" s="54" t="n">
        <f aca="false">MAX(0,(M3145-M3126*$C$3081)-M3105*$C$3086)*$C$3087*Assumptions!$D$105</f>
        <v>26172.6720691767</v>
      </c>
      <c r="N3157" s="54" t="n">
        <f aca="false">MAX(0,(N3145-N3126*$C$3081)-N3105*$C$3086)*$C$3087*Assumptions!$D$105</f>
        <v>25542.1389090064</v>
      </c>
      <c r="P3157" s="55" t="n">
        <f aca="false">SUM(C3157:F3157)</f>
        <v>19433.6469378236</v>
      </c>
      <c r="Q3157" s="55" t="n">
        <f aca="false">SUM(G3157:J3157)</f>
        <v>56587.7137826666</v>
      </c>
      <c r="R3157" s="55" t="n">
        <f aca="false">SUM(K3157:N3157)</f>
        <v>102856.058856052</v>
      </c>
      <c r="S3157" s="56" t="n">
        <f aca="false">SUM(P3157:R3157)</f>
        <v>178877.419576542</v>
      </c>
    </row>
    <row r="3158" customFormat="false" ht="15" hidden="false" customHeight="false" outlineLevel="0" collapsed="false">
      <c r="A3158" s="4" t="s">
        <v>557</v>
      </c>
      <c r="B3158" s="36" t="s">
        <v>125</v>
      </c>
      <c r="C3158" s="54" t="n">
        <f aca="false">C3153*Assumptions!$E$71/Assumptions!$E$69/4</f>
        <v>18475.8928571429</v>
      </c>
      <c r="D3158" s="54" t="n">
        <f aca="false">D3153*Assumptions!$E$71/Assumptions!$E$69/4</f>
        <v>18475.8928571429</v>
      </c>
      <c r="E3158" s="54" t="n">
        <f aca="false">E3153*Assumptions!$E$71/Assumptions!$E$69/4</f>
        <v>18475.8928571429</v>
      </c>
      <c r="F3158" s="54" t="n">
        <f aca="false">F3153*Assumptions!$E$71/Assumptions!$E$69/4</f>
        <v>18475.8928571429</v>
      </c>
      <c r="G3158" s="54" t="n">
        <f aca="false">G3153*Assumptions!$E$71/Assumptions!$E$69/4</f>
        <v>18475.8928571429</v>
      </c>
      <c r="H3158" s="54" t="n">
        <f aca="false">H3153*Assumptions!$E$71/Assumptions!$E$69/4</f>
        <v>18475.8928571429</v>
      </c>
      <c r="I3158" s="54" t="n">
        <f aca="false">I3153*Assumptions!$E$71/Assumptions!$E$69/4</f>
        <v>18475.8928571429</v>
      </c>
      <c r="J3158" s="54" t="n">
        <f aca="false">J3153*Assumptions!$E$71/Assumptions!$E$69/4</f>
        <v>18475.8928571429</v>
      </c>
      <c r="K3158" s="54" t="n">
        <f aca="false">K3153*Assumptions!$E$71/Assumptions!$E$69/4</f>
        <v>18475.8928571429</v>
      </c>
      <c r="L3158" s="54" t="n">
        <f aca="false">L3153*Assumptions!$E$71/Assumptions!$E$69/4</f>
        <v>18475.8928571429</v>
      </c>
      <c r="M3158" s="54" t="n">
        <f aca="false">M3153*Assumptions!$E$71/Assumptions!$E$69/4</f>
        <v>18475.8928571429</v>
      </c>
      <c r="N3158" s="54" t="n">
        <f aca="false">N3153*Assumptions!$E$71/Assumptions!$E$69/4</f>
        <v>18475.8928571429</v>
      </c>
      <c r="P3158" s="55" t="n">
        <f aca="false">SUM(C3158:F3158)</f>
        <v>73903.5714285714</v>
      </c>
      <c r="Q3158" s="55" t="n">
        <f aca="false">SUM(G3158:J3158)</f>
        <v>73903.5714285714</v>
      </c>
      <c r="R3158" s="55" t="n">
        <f aca="false">SUM(K3158:N3158)</f>
        <v>73903.5714285714</v>
      </c>
      <c r="S3158" s="56" t="n">
        <f aca="false">SUM(P3158:R3158)</f>
        <v>221710.714285714</v>
      </c>
    </row>
    <row r="3159" customFormat="false" ht="15" hidden="false" customHeight="false" outlineLevel="0" collapsed="false">
      <c r="A3159" s="4" t="s">
        <v>558</v>
      </c>
      <c r="B3159" s="36" t="s">
        <v>125</v>
      </c>
      <c r="C3159" s="54" t="n">
        <f aca="false">(Assumptions!$D$103+Assumptions!$E$77*((C3090=Assumptions!$E$13)+(C3090=Assumptions!$E$14)+(C3090=Assumptions!$E$15)))*C3091</f>
        <v>65000</v>
      </c>
      <c r="D3159" s="54" t="n">
        <f aca="false">(Assumptions!$D$103+Assumptions!$E$77*((D3090=Assumptions!$E$13)+(D3090=Assumptions!$E$14)+(D3090=Assumptions!$E$15)))*D3091</f>
        <v>25000</v>
      </c>
      <c r="E3159" s="54" t="n">
        <f aca="false">(Assumptions!$D$103+Assumptions!$E$77*((E3090=Assumptions!$E$13)+(E3090=Assumptions!$E$14)+(E3090=Assumptions!$E$15)))*E3091</f>
        <v>25000</v>
      </c>
      <c r="F3159" s="54" t="n">
        <f aca="false">(Assumptions!$D$103+Assumptions!$E$77*((F3090=Assumptions!$E$13)+(F3090=Assumptions!$E$14)+(F3090=Assumptions!$E$15)))*F3091</f>
        <v>25000</v>
      </c>
      <c r="G3159" s="54" t="n">
        <f aca="false">(Assumptions!$D$103+Assumptions!$E$77*((G3090=Assumptions!$E$13)+(G3090=Assumptions!$E$14)+(G3090=Assumptions!$E$15)))*G3091</f>
        <v>65000</v>
      </c>
      <c r="H3159" s="54" t="n">
        <f aca="false">(Assumptions!$D$103+Assumptions!$E$77*((H3090=Assumptions!$E$13)+(H3090=Assumptions!$E$14)+(H3090=Assumptions!$E$15)))*H3091</f>
        <v>25000</v>
      </c>
      <c r="I3159" s="54" t="n">
        <f aca="false">(Assumptions!$D$103+Assumptions!$E$77*((I3090=Assumptions!$E$13)+(I3090=Assumptions!$E$14)+(I3090=Assumptions!$E$15)))*I3091</f>
        <v>65000</v>
      </c>
      <c r="J3159" s="54" t="n">
        <f aca="false">(Assumptions!$D$103+Assumptions!$E$77*((J3090=Assumptions!$E$13)+(J3090=Assumptions!$E$14)+(J3090=Assumptions!$E$15)))*J3091</f>
        <v>25000</v>
      </c>
      <c r="K3159" s="54" t="n">
        <f aca="false">(Assumptions!$D$103+Assumptions!$E$77*((K3090=Assumptions!$E$13)+(K3090=Assumptions!$E$14)+(K3090=Assumptions!$E$15)))*K3091</f>
        <v>25000</v>
      </c>
      <c r="L3159" s="54" t="n">
        <f aca="false">(Assumptions!$D$103+Assumptions!$E$77*((L3090=Assumptions!$E$13)+(L3090=Assumptions!$E$14)+(L3090=Assumptions!$E$15)))*L3091</f>
        <v>25000</v>
      </c>
      <c r="M3159" s="54" t="n">
        <f aca="false">(Assumptions!$D$103+Assumptions!$E$77*((M3090=Assumptions!$E$13)+(M3090=Assumptions!$E$14)+(M3090=Assumptions!$E$15)))*M3091</f>
        <v>25000</v>
      </c>
      <c r="N3159" s="54" t="n">
        <f aca="false">(Assumptions!$D$103+Assumptions!$E$77*((N3090=Assumptions!$E$13)+(N3090=Assumptions!$E$14)+(N3090=Assumptions!$E$15)))*N3091</f>
        <v>25000</v>
      </c>
      <c r="P3159" s="55" t="n">
        <f aca="false">SUM(C3159:F3159)</f>
        <v>140000</v>
      </c>
      <c r="Q3159" s="55" t="n">
        <f aca="false">SUM(G3159:J3159)</f>
        <v>180000</v>
      </c>
      <c r="R3159" s="55" t="n">
        <f aca="false">SUM(K3159:N3159)</f>
        <v>100000</v>
      </c>
      <c r="S3159" s="56" t="n">
        <f aca="false">SUM(P3159:R3159)</f>
        <v>420000</v>
      </c>
    </row>
    <row r="3160" customFormat="false" ht="15" hidden="false" customHeight="false" outlineLevel="0" collapsed="false">
      <c r="A3160" s="4" t="s">
        <v>559</v>
      </c>
      <c r="B3160" s="36" t="s">
        <v>125</v>
      </c>
      <c r="C3160" s="54" t="n">
        <f aca="false">C3145*C3125*Assumptions!$E$79</f>
        <v>0</v>
      </c>
      <c r="D3160" s="54" t="n">
        <f aca="false">D3145*D3125*Assumptions!$E$79</f>
        <v>815.338873355417</v>
      </c>
      <c r="E3160" s="54" t="n">
        <f aca="false">E3145*E3125*Assumptions!$E$79</f>
        <v>1580.41589145303</v>
      </c>
      <c r="F3160" s="54" t="n">
        <f aca="false">F3145*F3125*Assumptions!$E$79</f>
        <v>2349.85417368053</v>
      </c>
      <c r="G3160" s="54" t="n">
        <f aca="false">G3145*G3125*Assumptions!$E$79</f>
        <v>2947.22087492679</v>
      </c>
      <c r="H3160" s="54" t="n">
        <f aca="false">H3145*H3125*Assumptions!$E$79</f>
        <v>3408.01755143385</v>
      </c>
      <c r="I3160" s="54" t="n">
        <f aca="false">I3145*I3125*Assumptions!$E$79</f>
        <v>3953.78739290525</v>
      </c>
      <c r="J3160" s="54" t="n">
        <f aca="false">J3145*J3125*Assumptions!$E$79</f>
        <v>4263.01386140818</v>
      </c>
      <c r="K3160" s="54" t="n">
        <f aca="false">K3145*K3125*Assumptions!$E$79</f>
        <v>4816.0128528519</v>
      </c>
      <c r="L3160" s="54" t="n">
        <f aca="false">L3145*L3125*Assumptions!$E$79</f>
        <v>5612.2035942695</v>
      </c>
      <c r="M3160" s="54" t="n">
        <f aca="false">M3145*M3125*Assumptions!$E$79</f>
        <v>5679.15308390136</v>
      </c>
      <c r="N3160" s="54" t="n">
        <f aca="false">N3145*N3125*Assumptions!$E$79</f>
        <v>5677.26530543281</v>
      </c>
      <c r="P3160" s="55" t="n">
        <f aca="false">SUM(C3160:F3160)</f>
        <v>4745.60893848899</v>
      </c>
      <c r="Q3160" s="55" t="n">
        <f aca="false">SUM(G3160:J3160)</f>
        <v>14572.0396806741</v>
      </c>
      <c r="R3160" s="55" t="n">
        <f aca="false">SUM(K3160:N3160)</f>
        <v>21784.6348364556</v>
      </c>
      <c r="S3160" s="56" t="n">
        <f aca="false">SUM(P3160:R3160)</f>
        <v>41102.2834556186</v>
      </c>
    </row>
    <row r="3161" customFormat="false" ht="15" hidden="false" customHeight="false" outlineLevel="0" collapsed="false">
      <c r="A3161" s="4" t="s">
        <v>560</v>
      </c>
      <c r="B3161" s="36" t="s">
        <v>125</v>
      </c>
      <c r="C3161" s="54" t="n">
        <f aca="false">C3110*Assumptions!$E$80</f>
        <v>4000</v>
      </c>
      <c r="D3161" s="54" t="n">
        <f aca="false">D3110*Assumptions!$E$80</f>
        <v>6000</v>
      </c>
      <c r="E3161" s="54" t="n">
        <f aca="false">E3110*Assumptions!$E$80</f>
        <v>8000</v>
      </c>
      <c r="F3161" s="54" t="n">
        <f aca="false">F3110*Assumptions!$E$80</f>
        <v>10000</v>
      </c>
      <c r="G3161" s="54" t="n">
        <f aca="false">G3110*Assumptions!$E$80</f>
        <v>12000</v>
      </c>
      <c r="H3161" s="54" t="n">
        <f aca="false">H3110*Assumptions!$E$80</f>
        <v>14000</v>
      </c>
      <c r="I3161" s="54" t="n">
        <f aca="false">I3110*Assumptions!$E$80</f>
        <v>16000</v>
      </c>
      <c r="J3161" s="54" t="n">
        <f aca="false">J3110*Assumptions!$E$80</f>
        <v>18000</v>
      </c>
      <c r="K3161" s="54" t="n">
        <f aca="false">K3110*Assumptions!$E$80</f>
        <v>20000</v>
      </c>
      <c r="L3161" s="54" t="n">
        <f aca="false">L3110*Assumptions!$E$80</f>
        <v>20000</v>
      </c>
      <c r="M3161" s="54" t="n">
        <f aca="false">M3110*Assumptions!$E$80</f>
        <v>20000</v>
      </c>
      <c r="N3161" s="54" t="n">
        <f aca="false">N3110*Assumptions!$E$80</f>
        <v>20000</v>
      </c>
      <c r="P3161" s="55" t="n">
        <f aca="false">SUM(C3161:F3161)</f>
        <v>28000</v>
      </c>
      <c r="Q3161" s="55" t="n">
        <f aca="false">SUM(G3161:J3161)</f>
        <v>60000</v>
      </c>
      <c r="R3161" s="55" t="n">
        <f aca="false">SUM(K3161:N3161)</f>
        <v>80000</v>
      </c>
      <c r="S3161" s="56" t="n">
        <f aca="false">SUM(P3161:R3161)</f>
        <v>168000</v>
      </c>
    </row>
    <row r="3162" customFormat="false" ht="15" hidden="false" customHeight="false" outlineLevel="0" collapsed="false">
      <c r="A3162" s="4" t="s">
        <v>561</v>
      </c>
      <c r="B3162" s="36" t="s">
        <v>125</v>
      </c>
      <c r="C3162" s="54" t="n">
        <f aca="false">(C3133*$C$3082+C3134*$C$3083)*Assumptions!$E$81</f>
        <v>0</v>
      </c>
      <c r="D3162" s="54" t="n">
        <f aca="false">(D3133*$C$3082+D3134*$C$3083)*Assumptions!$E$81</f>
        <v>571.462405150597</v>
      </c>
      <c r="E3162" s="54" t="n">
        <f aca="false">(E3133*$C$3082+E3134*$C$3083)*Assumptions!$E$81</f>
        <v>1563.5728859304</v>
      </c>
      <c r="F3162" s="54" t="n">
        <f aca="false">(F3133*$C$3082+F3134*$C$3083)*Assumptions!$E$81</f>
        <v>2098.59701353727</v>
      </c>
      <c r="G3162" s="54" t="n">
        <f aca="false">(G3133*$C$3082+G3134*$C$3083)*Assumptions!$E$81</f>
        <v>2347.10752400406</v>
      </c>
      <c r="H3162" s="54" t="n">
        <f aca="false">(H3133*$C$3082+H3134*$C$3083)*Assumptions!$E$81</f>
        <v>2782.10514650324</v>
      </c>
      <c r="I3162" s="54" t="n">
        <f aca="false">(I3133*$C$3082+I3134*$C$3083)*Assumptions!$E$81</f>
        <v>3290.65557108121</v>
      </c>
      <c r="J3162" s="54" t="n">
        <f aca="false">(J3133*$C$3082+J3134*$C$3083)*Assumptions!$E$81</f>
        <v>4154.59104059386</v>
      </c>
      <c r="K3162" s="54" t="n">
        <f aca="false">(K3133*$C$3082+K3134*$C$3083)*Assumptions!$E$81</f>
        <v>5273.78009635438</v>
      </c>
      <c r="L3162" s="54" t="n">
        <f aca="false">(L3133*$C$3082+L3134*$C$3083)*Assumptions!$E$81</f>
        <v>5813.89191470093</v>
      </c>
      <c r="M3162" s="54" t="n">
        <f aca="false">(M3133*$C$3082+M3134*$C$3083)*Assumptions!$E$81</f>
        <v>5781.89085235684</v>
      </c>
      <c r="N3162" s="54" t="n">
        <f aca="false">(N3133*$C$3082+N3134*$C$3083)*Assumptions!$E$81</f>
        <v>5641.62816111346</v>
      </c>
      <c r="P3162" s="55" t="n">
        <f aca="false">SUM(C3162:F3162)</f>
        <v>4233.63230461827</v>
      </c>
      <c r="Q3162" s="55" t="n">
        <f aca="false">SUM(G3162:J3162)</f>
        <v>12574.4592821824</v>
      </c>
      <c r="R3162" s="55" t="n">
        <f aca="false">SUM(K3162:N3162)</f>
        <v>22511.1910245256</v>
      </c>
      <c r="S3162" s="56" t="n">
        <f aca="false">SUM(P3162:R3162)</f>
        <v>39319.2826113262</v>
      </c>
    </row>
    <row r="3163" customFormat="false" ht="15" hidden="false" customHeight="false" outlineLevel="0" collapsed="false">
      <c r="A3163" s="9" t="s">
        <v>562</v>
      </c>
      <c r="B3163" s="36" t="s">
        <v>125</v>
      </c>
      <c r="C3163" s="55" t="n">
        <f aca="false">C3155+C3156+C3157+C3158+C3159+C3160+C3161+C3162</f>
        <v>154229.464285714</v>
      </c>
      <c r="D3163" s="55" t="n">
        <f aca="false">D3155+D3156+D3157+D3158+D3159+D3160+D3161+D3162</f>
        <v>120753.973936453</v>
      </c>
      <c r="E3163" s="55" t="n">
        <f aca="false">E3155+E3156+E3157+E3158+E3159+E3160+E3161+E3162</f>
        <v>128545.40669548</v>
      </c>
      <c r="F3163" s="55" t="n">
        <f aca="false">F3155+F3156+F3157+F3158+F3159+F3160+F3161+F3162</f>
        <v>133801.900406141</v>
      </c>
      <c r="G3163" s="55" t="n">
        <f aca="false">G3155+G3156+G3157+G3158+G3159+G3160+G3161+G3162</f>
        <v>211089.7178262</v>
      </c>
      <c r="H3163" s="55" t="n">
        <f aca="false">H3155+H3156+H3157+H3158+H3159+H3160+H3161+H3162</f>
        <v>176143.2111341</v>
      </c>
      <c r="I3163" s="55" t="n">
        <f aca="false">I3155+I3156+I3157+I3158+I3159+I3160+I3161+I3162</f>
        <v>221538.651794533</v>
      </c>
      <c r="J3163" s="55" t="n">
        <f aca="false">J3155+J3156+J3157+J3158+J3159+J3160+J3161+J3162</f>
        <v>189387.63199069</v>
      </c>
      <c r="K3163" s="55" t="n">
        <f aca="false">K3155+K3156+K3157+K3158+K3159+K3160+K3161+K3162</f>
        <v>198356.26719726</v>
      </c>
      <c r="L3163" s="55" t="n">
        <f aca="false">L3155+L3156+L3157+L3158+L3159+L3160+L3161+L3162</f>
        <v>201513.369138786</v>
      </c>
      <c r="M3163" s="55" t="n">
        <f aca="false">M3155+M3156+M3157+M3158+M3159+M3160+M3161+M3162</f>
        <v>201239.966005435</v>
      </c>
      <c r="N3163" s="55" t="n">
        <f aca="false">N3155+N3156+N3157+N3158+N3159+N3160+N3161+N3162</f>
        <v>200467.282375553</v>
      </c>
      <c r="P3163" s="55" t="n">
        <f aca="false">SUM(C3163:F3163)</f>
        <v>537330.745323788</v>
      </c>
      <c r="Q3163" s="55" t="n">
        <f aca="false">SUM(G3163:J3163)</f>
        <v>798159.212745523</v>
      </c>
      <c r="R3163" s="55" t="n">
        <f aca="false">SUM(K3163:N3163)</f>
        <v>801576.884717033</v>
      </c>
      <c r="S3163" s="56" t="n">
        <f aca="false">SUM(P3163:R3163)</f>
        <v>2137066.84278634</v>
      </c>
    </row>
    <row r="3164" customFormat="false" ht="15" hidden="false" customHeight="false" outlineLevel="0" collapsed="false">
      <c r="A3164" s="4" t="s">
        <v>563</v>
      </c>
      <c r="B3164" s="36" t="s">
        <v>125</v>
      </c>
      <c r="C3164" s="54" t="n">
        <f aca="false">C3152*Assumptions!$E$72/Assumptions!$E$69/4</f>
        <v>56535.7142857143</v>
      </c>
      <c r="D3164" s="54" t="n">
        <f aca="false">D3152*Assumptions!$E$72/Assumptions!$E$69/4</f>
        <v>56535.7142857143</v>
      </c>
      <c r="E3164" s="54" t="n">
        <f aca="false">E3152*Assumptions!$E$72/Assumptions!$E$69/4</f>
        <v>56535.7142857143</v>
      </c>
      <c r="F3164" s="54" t="n">
        <f aca="false">F3152*Assumptions!$E$72/Assumptions!$E$69/4</f>
        <v>56535.7142857143</v>
      </c>
      <c r="G3164" s="54" t="n">
        <f aca="false">G3152*Assumptions!$E$72/Assumptions!$E$69/4</f>
        <v>28267.8571428571</v>
      </c>
      <c r="H3164" s="54" t="n">
        <f aca="false">H3152*Assumptions!$E$72/Assumptions!$E$69/4</f>
        <v>28267.8571428571</v>
      </c>
      <c r="I3164" s="54" t="n">
        <f aca="false">I3152*Assumptions!$E$72/Assumptions!$E$69/4</f>
        <v>28267.8571428571</v>
      </c>
      <c r="J3164" s="54" t="n">
        <f aca="false">J3152*Assumptions!$E$72/Assumptions!$E$69/4</f>
        <v>28267.8571428571</v>
      </c>
      <c r="K3164" s="54" t="n">
        <f aca="false">K3152*Assumptions!$E$72/Assumptions!$E$69/4</f>
        <v>28267.8571428571</v>
      </c>
      <c r="L3164" s="54" t="n">
        <f aca="false">L3152*Assumptions!$E$72/Assumptions!$E$69/4</f>
        <v>28267.8571428571</v>
      </c>
      <c r="M3164" s="54" t="n">
        <f aca="false">M3152*Assumptions!$E$72/Assumptions!$E$69/4</f>
        <v>28267.8571428571</v>
      </c>
      <c r="N3164" s="54" t="n">
        <f aca="false">N3152*Assumptions!$E$72/Assumptions!$E$69/4</f>
        <v>28267.8571428571</v>
      </c>
      <c r="P3164" s="55" t="n">
        <f aca="false">SUM(C3164:F3164)</f>
        <v>226142.857142857</v>
      </c>
      <c r="Q3164" s="55" t="n">
        <f aca="false">SUM(G3164:J3164)</f>
        <v>113071.428571429</v>
      </c>
      <c r="R3164" s="55" t="n">
        <f aca="false">SUM(K3164:N3164)</f>
        <v>113071.428571429</v>
      </c>
      <c r="S3164" s="56" t="n">
        <f aca="false">SUM(P3164:R3164)</f>
        <v>452285.714285714</v>
      </c>
    </row>
    <row r="3165" customFormat="false" ht="15" hidden="false" customHeight="false" outlineLevel="0" collapsed="false">
      <c r="A3165" s="4" t="s">
        <v>564</v>
      </c>
      <c r="B3165" s="36" t="s">
        <v>125</v>
      </c>
      <c r="C3165" s="54" t="n">
        <f aca="false">IF(C3090&lt;=Assumptions!$E$83,Assumptions!$E$82*Assumptions!$D$108/Assumptions!$E$83,0)</f>
        <v>62500</v>
      </c>
      <c r="D3165" s="54" t="n">
        <f aca="false">IF(D3090&lt;=Assumptions!$E$83,Assumptions!$E$82*Assumptions!$D$108/Assumptions!$E$83,0)</f>
        <v>62500</v>
      </c>
      <c r="E3165" s="54" t="n">
        <f aca="false">IF(E3090&lt;=Assumptions!$E$83,Assumptions!$E$82*Assumptions!$D$108/Assumptions!$E$83,0)</f>
        <v>62500</v>
      </c>
      <c r="F3165" s="54" t="n">
        <f aca="false">IF(F3090&lt;=Assumptions!$E$83,Assumptions!$E$82*Assumptions!$D$108/Assumptions!$E$83,0)</f>
        <v>62500</v>
      </c>
      <c r="G3165" s="54" t="n">
        <f aca="false">IF(G3090&lt;=Assumptions!$E$83,Assumptions!$E$82*Assumptions!$D$108/Assumptions!$E$83,0)</f>
        <v>0</v>
      </c>
      <c r="H3165" s="54" t="n">
        <f aca="false">IF(H3090&lt;=Assumptions!$E$83,Assumptions!$E$82*Assumptions!$D$108/Assumptions!$E$83,0)</f>
        <v>0</v>
      </c>
      <c r="I3165" s="54" t="n">
        <f aca="false">IF(I3090&lt;=Assumptions!$E$83,Assumptions!$E$82*Assumptions!$D$108/Assumptions!$E$83,0)</f>
        <v>0</v>
      </c>
      <c r="J3165" s="54" t="n">
        <f aca="false">IF(J3090&lt;=Assumptions!$E$83,Assumptions!$E$82*Assumptions!$D$108/Assumptions!$E$83,0)</f>
        <v>0</v>
      </c>
      <c r="K3165" s="54" t="n">
        <f aca="false">IF(K3090&lt;=Assumptions!$E$83,Assumptions!$E$82*Assumptions!$D$108/Assumptions!$E$83,0)</f>
        <v>0</v>
      </c>
      <c r="L3165" s="54" t="n">
        <f aca="false">IF(L3090&lt;=Assumptions!$E$83,Assumptions!$E$82*Assumptions!$D$108/Assumptions!$E$83,0)</f>
        <v>0</v>
      </c>
      <c r="M3165" s="54" t="n">
        <f aca="false">IF(M3090&lt;=Assumptions!$E$83,Assumptions!$E$82*Assumptions!$D$108/Assumptions!$E$83,0)</f>
        <v>0</v>
      </c>
      <c r="N3165" s="54" t="n">
        <f aca="false">IF(N3090&lt;=Assumptions!$E$83,Assumptions!$E$82*Assumptions!$D$108/Assumptions!$E$83,0)</f>
        <v>0</v>
      </c>
      <c r="P3165" s="55" t="n">
        <f aca="false">SUM(C3165:F3165)</f>
        <v>250000</v>
      </c>
      <c r="Q3165" s="55" t="n">
        <f aca="false">SUM(G3165:J3165)</f>
        <v>0</v>
      </c>
      <c r="R3165" s="55" t="n">
        <f aca="false">SUM(K3165:N3165)</f>
        <v>0</v>
      </c>
      <c r="S3165" s="56" t="n">
        <f aca="false">SUM(P3165:R3165)</f>
        <v>250000</v>
      </c>
    </row>
    <row r="3166" customFormat="false" ht="15" hidden="false" customHeight="false" outlineLevel="0" collapsed="false">
      <c r="A3166" s="4" t="s">
        <v>565</v>
      </c>
      <c r="B3166" s="36" t="s">
        <v>125</v>
      </c>
      <c r="C3166" s="54" t="n">
        <f aca="false">C3154*Assumptions!$E$73/Assumptions!$E$69/4</f>
        <v>0</v>
      </c>
      <c r="D3166" s="54" t="n">
        <f aca="false">D3154*Assumptions!$E$73/Assumptions!$E$69/4</f>
        <v>516.984047319361</v>
      </c>
      <c r="E3166" s="54" t="n">
        <f aca="false">E3154*Assumptions!$E$73/Assumptions!$E$69/4</f>
        <v>1444.77160485107</v>
      </c>
      <c r="F3166" s="54" t="n">
        <f aca="false">F3154*Assumptions!$E$73/Assumptions!$E$69/4</f>
        <v>2502.03560121657</v>
      </c>
      <c r="G3166" s="54" t="n">
        <f aca="false">G3154*Assumptions!$E$73/Assumptions!$E$69/4</f>
        <v>3655.85616911158</v>
      </c>
      <c r="H3166" s="54" t="n">
        <f aca="false">H3154*Assumptions!$E$73/Assumptions!$E$69/4</f>
        <v>5077.65624317016</v>
      </c>
      <c r="I3166" s="54" t="n">
        <f aca="false">I3154*Assumptions!$E$73/Assumptions!$E$69/4</f>
        <v>6754.68739599754</v>
      </c>
      <c r="J3166" s="54" t="n">
        <f aca="false">J3154*Assumptions!$E$73/Assumptions!$E$69/4</f>
        <v>9040.83852167945</v>
      </c>
      <c r="K3166" s="54" t="n">
        <f aca="false">K3154*Assumptions!$E$73/Assumptions!$E$69/4</f>
        <v>11907.3816313083</v>
      </c>
      <c r="L3166" s="54" t="n">
        <f aca="false">L3154*Assumptions!$E$73/Assumptions!$E$69/4</f>
        <v>14798.7112942048</v>
      </c>
      <c r="M3166" s="54" t="n">
        <f aca="false">M3154*Assumptions!$E$73/Assumptions!$E$69/4</f>
        <v>17544.971024307</v>
      </c>
      <c r="N3166" s="54" t="n">
        <f aca="false">N3154*Assumptions!$E$73/Assumptions!$E$69/4</f>
        <v>20142.8667204607</v>
      </c>
      <c r="P3166" s="55" t="n">
        <f aca="false">SUM(C3166:F3166)</f>
        <v>4463.791253387</v>
      </c>
      <c r="Q3166" s="55" t="n">
        <f aca="false">SUM(G3166:J3166)</f>
        <v>24529.0383299587</v>
      </c>
      <c r="R3166" s="55" t="n">
        <f aca="false">SUM(K3166:N3166)</f>
        <v>64393.9306702808</v>
      </c>
      <c r="S3166" s="56" t="n">
        <f aca="false">SUM(P3166:R3166)</f>
        <v>93386.7602536265</v>
      </c>
    </row>
    <row r="3167" customFormat="false" ht="15" hidden="false" customHeight="false" outlineLevel="0" collapsed="false">
      <c r="A3167" s="9" t="s">
        <v>566</v>
      </c>
      <c r="B3167" s="36" t="s">
        <v>125</v>
      </c>
      <c r="C3167" s="55" t="n">
        <f aca="false">C3163+C3164+C3165+C3166</f>
        <v>273265.178571429</v>
      </c>
      <c r="D3167" s="55" t="n">
        <f aca="false">D3163+D3164+D3165+D3166</f>
        <v>240306.672269487</v>
      </c>
      <c r="E3167" s="55" t="n">
        <f aca="false">E3163+E3164+E3165+E3166</f>
        <v>249025.892586045</v>
      </c>
      <c r="F3167" s="55" t="n">
        <f aca="false">F3163+F3164+F3165+F3166</f>
        <v>255339.650293072</v>
      </c>
      <c r="G3167" s="55" t="n">
        <f aca="false">G3163+G3164+G3165+G3166</f>
        <v>243013.431138169</v>
      </c>
      <c r="H3167" s="55" t="n">
        <f aca="false">H3163+H3164+H3165+H3166</f>
        <v>209488.724520128</v>
      </c>
      <c r="I3167" s="55" t="n">
        <f aca="false">I3163+I3164+I3165+I3166</f>
        <v>256561.196333388</v>
      </c>
      <c r="J3167" s="55" t="n">
        <f aca="false">J3163+J3164+J3165+J3166</f>
        <v>226696.327655227</v>
      </c>
      <c r="K3167" s="55" t="n">
        <f aca="false">K3163+K3164+K3165+K3166</f>
        <v>238531.505971425</v>
      </c>
      <c r="L3167" s="55" t="n">
        <f aca="false">L3163+L3164+L3165+L3166</f>
        <v>244579.937575848</v>
      </c>
      <c r="M3167" s="55" t="n">
        <f aca="false">M3163+M3164+M3165+M3166</f>
        <v>247052.794172599</v>
      </c>
      <c r="N3167" s="55" t="n">
        <f aca="false">N3163+N3164+N3165+N3166</f>
        <v>248878.00623887</v>
      </c>
      <c r="P3167" s="55" t="n">
        <f aca="false">SUM(C3167:F3167)</f>
        <v>1017937.39372003</v>
      </c>
      <c r="Q3167" s="55" t="n">
        <f aca="false">SUM(G3167:J3167)</f>
        <v>935759.67964691</v>
      </c>
      <c r="R3167" s="55" t="n">
        <f aca="false">SUM(K3167:N3167)</f>
        <v>979042.243958743</v>
      </c>
      <c r="S3167" s="56" t="n">
        <f aca="false">SUM(P3167:R3167)</f>
        <v>2932739.31732568</v>
      </c>
    </row>
    <row r="3168" customFormat="false" ht="15" hidden="false" customHeight="false" outlineLevel="0" collapsed="false">
      <c r="A3168" s="35" t="s">
        <v>567</v>
      </c>
      <c r="B3168" s="35" t="s">
        <v>444</v>
      </c>
      <c r="C3168" s="6" t="s">
        <v>354</v>
      </c>
      <c r="D3168" s="6" t="s">
        <v>355</v>
      </c>
      <c r="E3168" s="6" t="s">
        <v>356</v>
      </c>
      <c r="F3168" s="6" t="s">
        <v>357</v>
      </c>
      <c r="G3168" s="6" t="s">
        <v>358</v>
      </c>
      <c r="H3168" s="6" t="s">
        <v>359</v>
      </c>
      <c r="I3168" s="6" t="s">
        <v>360</v>
      </c>
      <c r="J3168" s="6" t="s">
        <v>361</v>
      </c>
      <c r="K3168" s="6" t="s">
        <v>362</v>
      </c>
      <c r="L3168" s="6" t="s">
        <v>363</v>
      </c>
      <c r="M3168" s="6" t="s">
        <v>364</v>
      </c>
      <c r="N3168" s="6" t="s">
        <v>365</v>
      </c>
      <c r="P3168" s="6" t="s">
        <v>445</v>
      </c>
      <c r="Q3168" s="6" t="s">
        <v>446</v>
      </c>
      <c r="R3168" s="6" t="s">
        <v>447</v>
      </c>
      <c r="S3168" s="6" t="s">
        <v>448</v>
      </c>
    </row>
    <row r="3169" customFormat="false" ht="15" hidden="false" customHeight="false" outlineLevel="0" collapsed="false">
      <c r="A3169" s="9" t="s">
        <v>568</v>
      </c>
      <c r="B3169" s="36" t="s">
        <v>125</v>
      </c>
      <c r="C3169" s="55" t="n">
        <f aca="false">C3147-C3167</f>
        <v>-273265.178571429</v>
      </c>
      <c r="D3169" s="55" t="n">
        <f aca="false">D3147-D3167</f>
        <v>-239658.583093909</v>
      </c>
      <c r="E3169" s="55" t="n">
        <f aca="false">E3147-E3167</f>
        <v>-246303.56056336</v>
      </c>
      <c r="F3169" s="55" t="n">
        <f aca="false">F3147-F3167</f>
        <v>-249384.284057454</v>
      </c>
      <c r="G3169" s="55" t="n">
        <f aca="false">G3147-G3167</f>
        <v>-233208.288615683</v>
      </c>
      <c r="H3169" s="55" t="n">
        <f aca="false">H3147-H3167</f>
        <v>-195128.979291376</v>
      </c>
      <c r="I3169" s="55" t="n">
        <f aca="false">I3147-I3167</f>
        <v>-236674.798453783</v>
      </c>
      <c r="J3169" s="55" t="n">
        <f aca="false">J3147-J3167</f>
        <v>-199770.746393254</v>
      </c>
      <c r="K3169" s="55" t="n">
        <f aca="false">K3147-K3167</f>
        <v>-202442.40237075</v>
      </c>
      <c r="L3169" s="55" t="n">
        <f aca="false">L3147-L3167</f>
        <v>-197811.401685147</v>
      </c>
      <c r="M3169" s="55" t="n">
        <f aca="false">M3147-M3167</f>
        <v>-189188.206199084</v>
      </c>
      <c r="N3169" s="55" t="n">
        <f aca="false">N3147-N3167</f>
        <v>-179938.151603962</v>
      </c>
      <c r="P3169" s="55" t="n">
        <f aca="false">SUM(C3169:F3169)</f>
        <v>-1008611.60628615</v>
      </c>
      <c r="Q3169" s="55" t="n">
        <f aca="false">SUM(G3169:J3169)</f>
        <v>-864782.812754096</v>
      </c>
      <c r="R3169" s="55" t="n">
        <f aca="false">SUM(K3169:N3169)</f>
        <v>-769380.161858943</v>
      </c>
      <c r="S3169" s="56" t="n">
        <f aca="false">SUM(P3169:R3169)</f>
        <v>-2642774.58089919</v>
      </c>
    </row>
    <row r="3170" customFormat="false" ht="15" hidden="false" customHeight="false" outlineLevel="0" collapsed="false">
      <c r="A3170" s="9" t="s">
        <v>569</v>
      </c>
      <c r="B3170" s="36" t="s">
        <v>125</v>
      </c>
      <c r="C3170" s="55" t="n">
        <f aca="false">0+C3169</f>
        <v>-273265.178571429</v>
      </c>
      <c r="D3170" s="55" t="n">
        <f aca="false">C3170+D3169</f>
        <v>-512923.761665337</v>
      </c>
      <c r="E3170" s="55" t="n">
        <f aca="false">D3170+E3169</f>
        <v>-759227.322228697</v>
      </c>
      <c r="F3170" s="55" t="n">
        <f aca="false">E3170+F3169</f>
        <v>-1008611.60628615</v>
      </c>
      <c r="G3170" s="55" t="n">
        <f aca="false">F3170+G3169</f>
        <v>-1241819.89490183</v>
      </c>
      <c r="H3170" s="55" t="n">
        <f aca="false">G3170+H3169</f>
        <v>-1436948.87419321</v>
      </c>
      <c r="I3170" s="55" t="n">
        <f aca="false">H3170+I3169</f>
        <v>-1673623.67264699</v>
      </c>
      <c r="J3170" s="55" t="n">
        <f aca="false">I3170+J3169</f>
        <v>-1873394.41904025</v>
      </c>
      <c r="K3170" s="55" t="n">
        <f aca="false">J3170+K3169</f>
        <v>-2075836.821411</v>
      </c>
      <c r="L3170" s="55" t="n">
        <f aca="false">K3170+L3169</f>
        <v>-2273648.22309614</v>
      </c>
      <c r="M3170" s="55" t="n">
        <f aca="false">L3170+M3169</f>
        <v>-2462836.42929523</v>
      </c>
      <c r="N3170" s="55" t="n">
        <f aca="false">M3170+N3169</f>
        <v>-2642774.58089919</v>
      </c>
      <c r="P3170" s="55" t="n">
        <f aca="false">F3170</f>
        <v>-1008611.60628615</v>
      </c>
      <c r="Q3170" s="55" t="n">
        <f aca="false">J3170</f>
        <v>-1873394.41904025</v>
      </c>
      <c r="R3170" s="55" t="n">
        <f aca="false">N3170</f>
        <v>-2642774.58089919</v>
      </c>
      <c r="S3170" s="56" t="n">
        <f aca="false">R3170</f>
        <v>-2642774.58089919</v>
      </c>
    </row>
    <row r="3171" customFormat="false" ht="15" hidden="false" customHeight="false" outlineLevel="0" collapsed="false">
      <c r="A3171" s="4" t="s">
        <v>570</v>
      </c>
      <c r="B3171" s="36" t="s">
        <v>107</v>
      </c>
      <c r="C3171" s="57" t="n">
        <f aca="false">1/(1+Assumptions!$E$87)^(C3090/4)</f>
        <v>0.972065420906982</v>
      </c>
      <c r="D3171" s="57" t="n">
        <f aca="false">1/(1+Assumptions!$E$87)^(D3090/4)</f>
        <v>0.944911182523068</v>
      </c>
      <c r="E3171" s="57" t="n">
        <f aca="false">1/(1+Assumptions!$E$87)^(E3090/4)</f>
        <v>0.918515486359</v>
      </c>
      <c r="F3171" s="57" t="n">
        <f aca="false">1/(1+Assumptions!$E$87)^(F3090/4)</f>
        <v>0.892857142857143</v>
      </c>
      <c r="G3171" s="57" t="n">
        <f aca="false">1/(1+Assumptions!$E$87)^(G3090/4)</f>
        <v>0.867915554381234</v>
      </c>
      <c r="H3171" s="57" t="n">
        <f aca="false">1/(1+Assumptions!$E$87)^(H3090/4)</f>
        <v>0.843670698681311</v>
      </c>
      <c r="I3171" s="57" t="n">
        <f aca="false">1/(1+Assumptions!$E$87)^(I3090/4)</f>
        <v>0.820103112820536</v>
      </c>
      <c r="J3171" s="57" t="n">
        <f aca="false">1/(1+Assumptions!$E$87)^(J3090/4)</f>
        <v>0.79719387755102</v>
      </c>
      <c r="K3171" s="57" t="n">
        <f aca="false">1/(1+Assumptions!$E$87)^(K3090/4)</f>
        <v>0.774924602126102</v>
      </c>
      <c r="L3171" s="57" t="n">
        <f aca="false">1/(1+Assumptions!$E$87)^(L3090/4)</f>
        <v>0.753277409536885</v>
      </c>
      <c r="M3171" s="57" t="n">
        <f aca="false">1/(1+Assumptions!$E$87)^(M3090/4)</f>
        <v>0.732234922161193</v>
      </c>
      <c r="N3171" s="57" t="n">
        <f aca="false">1/(1+Assumptions!$E$87)^(N3090/4)</f>
        <v>0.711780247813411</v>
      </c>
      <c r="P3171" s="58"/>
      <c r="Q3171" s="58"/>
      <c r="R3171" s="58"/>
      <c r="S3171" s="59"/>
    </row>
    <row r="3172" customFormat="false" ht="15" hidden="false" customHeight="false" outlineLevel="0" collapsed="false">
      <c r="A3172" s="4" t="s">
        <v>571</v>
      </c>
      <c r="B3172" s="36" t="s">
        <v>125</v>
      </c>
      <c r="C3172" s="54" t="n">
        <f aca="false">(C3147*(1-Assumptions!$E$88)-C3167)*C3171</f>
        <v>-265631.630827257</v>
      </c>
      <c r="D3172" s="54" t="n">
        <f aca="false">(D3147*(1-Assumptions!$E$88)-D3167)*D3171</f>
        <v>-226578.552494923</v>
      </c>
      <c r="E3172" s="54" t="n">
        <f aca="false">(E3147*(1-Assumptions!$E$88)-E3167)*E3171</f>
        <v>-226733.735547177</v>
      </c>
      <c r="F3172" s="54" t="n">
        <f aca="false">(F3147*(1-Assumptions!$E$88)-F3167)*F3171</f>
        <v>-223727.997593373</v>
      </c>
      <c r="G3172" s="54" t="n">
        <f aca="false">(G3147*(1-Assumptions!$E$88)-G3167)*G3171</f>
        <v>-204107.108241817</v>
      </c>
      <c r="H3172" s="54" t="n">
        <f aca="false">(H3147*(1-Assumptions!$E$88)-H3167)*H3171</f>
        <v>-167047.581549731</v>
      </c>
      <c r="I3172" s="54" t="n">
        <f aca="false">(I3147*(1-Assumptions!$E$88)-I3167)*I3171</f>
        <v>-197359.518298891</v>
      </c>
      <c r="J3172" s="54" t="n">
        <f aca="false">(J3147*(1-Assumptions!$E$88)-J3167)*J3171</f>
        <v>-163548.997644809</v>
      </c>
      <c r="K3172" s="54" t="n">
        <f aca="false">(K3147*(1-Assumptions!$E$88)-K3167)*K3171</f>
        <v>-162470.864960374</v>
      </c>
      <c r="L3172" s="54" t="n">
        <f aca="false">(L3147*(1-Assumptions!$E$88)-L3167)*L3171</f>
        <v>-156052.796550964</v>
      </c>
      <c r="M3172" s="54" t="n">
        <f aca="false">(M3147*(1-Assumptions!$E$88)-M3167)*M3171</f>
        <v>-147004.305854137</v>
      </c>
      <c r="N3172" s="54" t="n">
        <f aca="false">(N3147*(1-Assumptions!$E$88)-N3167)*N3171</f>
        <v>-137890.427503006</v>
      </c>
      <c r="P3172" s="55" t="n">
        <f aca="false">SUM(C3172:F3172)</f>
        <v>-942671.916462731</v>
      </c>
      <c r="Q3172" s="55" t="n">
        <f aca="false">SUM(G3172:J3172)</f>
        <v>-732063.205735248</v>
      </c>
      <c r="R3172" s="55" t="n">
        <f aca="false">SUM(K3172:N3172)</f>
        <v>-603418.394868481</v>
      </c>
      <c r="S3172" s="56" t="n">
        <f aca="false">SUM(P3172:R3172)</f>
        <v>-2278153.51706646</v>
      </c>
    </row>
    <row r="3173" customFormat="false" ht="15" hidden="false" customHeight="false" outlineLevel="0" collapsed="false">
      <c r="A3173" s="4" t="s">
        <v>572</v>
      </c>
      <c r="B3173" s="36" t="s">
        <v>125</v>
      </c>
      <c r="C3173" s="54" t="n">
        <f aca="false">(C3167-C3166)*12/(Assumptions!$E$89*Assumptions!$E$76)*Assumptions!$E$90</f>
        <v>189183.585164835</v>
      </c>
      <c r="D3173" s="54" t="n">
        <f aca="false">(D3167-D3166)*12/(Assumptions!$E$89*Assumptions!$E$76)*Assumptions!$E$90</f>
        <v>166008.24569227</v>
      </c>
      <c r="E3173" s="54" t="n">
        <f aca="false">(E3167-E3166)*12/(Assumptions!$E$89*Assumptions!$E$76)*Assumptions!$E$90</f>
        <v>171402.314525442</v>
      </c>
      <c r="F3173" s="54" t="n">
        <f aca="false">(F3167-F3166)*12/(Assumptions!$E$89*Assumptions!$E$76)*Assumptions!$E$90</f>
        <v>175041.4255559</v>
      </c>
      <c r="G3173" s="54" t="n">
        <f aca="false">(G3167-G3166)*12/(Assumptions!$E$89*Assumptions!$E$76)*Assumptions!$E$90</f>
        <v>165709.090363193</v>
      </c>
      <c r="H3173" s="54" t="n">
        <f aca="false">(H3167-H3166)*12/(Assumptions!$E$89*Assumptions!$E$76)*Assumptions!$E$90</f>
        <v>141515.354960971</v>
      </c>
      <c r="I3173" s="54" t="n">
        <f aca="false">(I3167-I3166)*12/(Assumptions!$E$89*Assumptions!$E$76)*Assumptions!$E$90</f>
        <v>172942.967725885</v>
      </c>
      <c r="J3173" s="54" t="n">
        <f aca="false">(J3167-J3166)*12/(Assumptions!$E$89*Assumptions!$E$76)*Assumptions!$E$90</f>
        <v>150684.569400148</v>
      </c>
      <c r="K3173" s="54" t="n">
        <f aca="false">(K3167-K3166)*12/(Assumptions!$E$89*Assumptions!$E$76)*Assumptions!$E$90</f>
        <v>156893.624543158</v>
      </c>
      <c r="L3173" s="54" t="n">
        <f aca="false">(L3167-L3166)*12/(Assumptions!$E$89*Assumptions!$E$76)*Assumptions!$E$90</f>
        <v>159079.310502676</v>
      </c>
      <c r="M3173" s="54" t="n">
        <f aca="false">(M3167-M3166)*12/(Assumptions!$E$89*Assumptions!$E$76)*Assumptions!$E$90</f>
        <v>158890.031410356</v>
      </c>
      <c r="N3173" s="54" t="n">
        <f aca="false">(N3167-N3166)*12/(Assumptions!$E$89*Assumptions!$E$76)*Assumptions!$E$90</f>
        <v>158355.096589668</v>
      </c>
      <c r="P3173" s="55" t="n">
        <f aca="false">SUM(C3173:F3173)</f>
        <v>701635.570938447</v>
      </c>
      <c r="Q3173" s="55" t="n">
        <f aca="false">SUM(G3173:J3173)</f>
        <v>630851.982450197</v>
      </c>
      <c r="R3173" s="55" t="n">
        <f aca="false">SUM(K3173:N3173)</f>
        <v>633218.063045858</v>
      </c>
      <c r="S3173" s="56" t="n">
        <f aca="false">SUM(P3173:R3173)</f>
        <v>1965705.6164345</v>
      </c>
    </row>
    <row r="3174" customFormat="false" ht="15" hidden="false" customHeight="false" outlineLevel="0" collapsed="false">
      <c r="A3174" s="4" t="s">
        <v>573</v>
      </c>
      <c r="B3174" s="36" t="s">
        <v>125</v>
      </c>
      <c r="C3174" s="54" t="n">
        <f aca="false">0*Assumptions!$E$92^(1/4)+C3173</f>
        <v>189183.585164835</v>
      </c>
      <c r="D3174" s="54" t="n">
        <f aca="false">C3174*Assumptions!$E$92^(1/4)+D3173</f>
        <v>355663.026499284</v>
      </c>
      <c r="E3174" s="54" t="n">
        <f aca="false">D3174*Assumptions!$E$92^(1/4)+E3173</f>
        <v>527951.183567697</v>
      </c>
      <c r="F3174" s="54" t="n">
        <f aca="false">E3174*Assumptions!$E$92^(1/4)+F3173</f>
        <v>704307.56621548</v>
      </c>
      <c r="G3174" s="54" t="n">
        <f aca="false">F3174*Assumptions!$E$92^(1/4)+G3173</f>
        <v>871770.860864766</v>
      </c>
      <c r="H3174" s="54" t="n">
        <f aca="false">G3174*Assumptions!$E$92^(1/4)+H3173</f>
        <v>1015457.51747572</v>
      </c>
      <c r="I3174" s="54" t="n">
        <f aca="false">H3174*Assumptions!$E$92^(1/4)+I3173</f>
        <v>1190929.66423495</v>
      </c>
      <c r="J3174" s="54" t="n">
        <f aca="false">I3174*Assumptions!$E$92^(1/4)+J3173</f>
        <v>1344580.45751462</v>
      </c>
      <c r="K3174" s="54" t="n">
        <f aca="false">J3174*Assumptions!$E$92^(1/4)+K3173</f>
        <v>1504823.00078975</v>
      </c>
      <c r="L3174" s="54" t="n">
        <f aca="false">K3174*Assumptions!$E$92^(1/4)+L3173</f>
        <v>1667650.34281221</v>
      </c>
      <c r="M3174" s="54" t="n">
        <f aca="false">L3174*Assumptions!$E$92^(1/4)+M3173</f>
        <v>1830693.95643493</v>
      </c>
      <c r="N3174" s="54" t="n">
        <f aca="false">M3174*Assumptions!$E$92^(1/4)+N3173</f>
        <v>1993608.72459274</v>
      </c>
      <c r="P3174" s="55" t="n">
        <f aca="false">F3174</f>
        <v>704307.56621548</v>
      </c>
      <c r="Q3174" s="55" t="n">
        <f aca="false">J3174</f>
        <v>1344580.45751462</v>
      </c>
      <c r="R3174" s="55" t="n">
        <f aca="false">N3174</f>
        <v>1993608.72459274</v>
      </c>
      <c r="S3174" s="56" t="n">
        <f aca="false">R3174</f>
        <v>1993608.72459274</v>
      </c>
    </row>
    <row r="3175" customFormat="false" ht="15" hidden="false" customHeight="false" outlineLevel="0" collapsed="false">
      <c r="A3175" s="4" t="s">
        <v>574</v>
      </c>
      <c r="B3175" s="36" t="s">
        <v>125</v>
      </c>
      <c r="C3175" s="54" t="n">
        <f aca="false">(0+C3174)/8*Assumptions!$E$76-(C3167-C3166)-C3174*Assumptions!$E$93/4</f>
        <v>-260258.807091346</v>
      </c>
      <c r="D3175" s="54" t="n">
        <f aca="false">(C3174+D3174)/8*Assumptions!$E$76-(D3167-D3166)-D3174*Assumptions!$E$93/4</f>
        <v>-199966.688855699</v>
      </c>
      <c r="E3175" s="54" t="n">
        <f aca="false">(D3174+E3174)/8*Assumptions!$E$76-(E3167-E3166)-E3174*Assumptions!$E$93/4</f>
        <v>-182386.856207848</v>
      </c>
      <c r="F3175" s="54" t="n">
        <f aca="false">(E3174+F3174)/8*Assumptions!$E$76-(F3167-F3166)-F3174*Assumptions!$E$93/4</f>
        <v>-161520.435849665</v>
      </c>
      <c r="G3175" s="54" t="n">
        <f aca="false">(F3174+G3174)/8*Assumptions!$E$76-(G3167-G3166)-G3174*Assumptions!$E$93/4</f>
        <v>-122198.338529597</v>
      </c>
      <c r="H3175" s="54" t="n">
        <f aca="false">(G3174+H3174)/8*Assumptions!$E$76-(H3167-H3166)-H3174*Assumptions!$E$93/4</f>
        <v>-63766.9815052395</v>
      </c>
      <c r="I3175" s="54" t="n">
        <f aca="false">(H3174+I3174)/8*Assumptions!$E$76-(I3167-I3166)-I3174*Assumptions!$E$93/4</f>
        <v>-85424.1712263348</v>
      </c>
      <c r="J3175" s="54" t="n">
        <f aca="false">(I3174+J3174)/8*Assumptions!$E$76-(J3167-J3166)-J3174*Assumptions!$E$93/4</f>
        <v>-28452.5474603266</v>
      </c>
      <c r="K3175" s="54" t="n">
        <f aca="false">(J3174+K3174)/8*Assumptions!$E$76-(K3167-K3166)-K3174*Assumptions!$E$93/4</f>
        <v>-13920.3808627582</v>
      </c>
      <c r="L3175" s="54" t="n">
        <f aca="false">(K3174+L3174)/8*Assumptions!$E$76-(L3167-L3166)-L3174*Assumptions!$E$93/4</f>
        <v>7136.60360086402</v>
      </c>
      <c r="M3175" s="54" t="n">
        <f aca="false">(L3174+M3174)/8*Assumptions!$E$76-(M3167-M3166)-M3174*Assumptions!$E$93/4</f>
        <v>31848.9767101016</v>
      </c>
      <c r="N3175" s="54" t="n">
        <f aca="false">(M3174+N3174)/8*Assumptions!$E$76-(N3167-N3166)-N3174*Assumptions!$E$93/4</f>
        <v>57069.3442576794</v>
      </c>
      <c r="P3175" s="55" t="n">
        <f aca="false">SUM(C3175:F3175)</f>
        <v>-804132.788004559</v>
      </c>
      <c r="Q3175" s="55" t="n">
        <f aca="false">SUM(G3175:J3175)</f>
        <v>-299842.038721497</v>
      </c>
      <c r="R3175" s="55" t="n">
        <f aca="false">SUM(K3175:N3175)</f>
        <v>82134.5437058868</v>
      </c>
      <c r="S3175" s="56" t="n">
        <f aca="false">SUM(P3175:R3175)</f>
        <v>-1021840.28302017</v>
      </c>
    </row>
    <row r="3176" customFormat="false" ht="15" hidden="false" customHeight="false" outlineLevel="0" collapsed="false">
      <c r="A3176" s="4" t="s">
        <v>575</v>
      </c>
      <c r="B3176" s="36" t="s">
        <v>125</v>
      </c>
      <c r="C3176" s="54" t="n">
        <f aca="false">C3175*C3171</f>
        <v>-252988.586859998</v>
      </c>
      <c r="D3176" s="54" t="n">
        <f aca="false">D3175*D3171</f>
        <v>-188950.760431861</v>
      </c>
      <c r="E3176" s="54" t="n">
        <f aca="false">E3175*E3171</f>
        <v>-167525.151935241</v>
      </c>
      <c r="F3176" s="54" t="n">
        <f aca="false">F3175*F3171</f>
        <v>-144214.674865773</v>
      </c>
      <c r="G3176" s="54" t="n">
        <f aca="false">G3175*G3171</f>
        <v>-106057.83872938</v>
      </c>
      <c r="H3176" s="54" t="n">
        <f aca="false">H3175*H3171</f>
        <v>-53798.3338393236</v>
      </c>
      <c r="I3176" s="54" t="n">
        <f aca="false">I3175*I3171</f>
        <v>-70056.6287328316</v>
      </c>
      <c r="J3176" s="54" t="n">
        <f aca="false">J3175*J3171</f>
        <v>-22682.1966361022</v>
      </c>
      <c r="K3176" s="54" t="n">
        <f aca="false">K3175*K3171</f>
        <v>-10787.2456015167</v>
      </c>
      <c r="L3176" s="54" t="n">
        <f aca="false">L3175*L3171</f>
        <v>5375.84227335045</v>
      </c>
      <c r="M3176" s="54" t="n">
        <f aca="false">M3175*M3171</f>
        <v>23320.9329822348</v>
      </c>
      <c r="N3176" s="54" t="n">
        <f aca="false">N3175*N3171</f>
        <v>40620.8319982799</v>
      </c>
      <c r="P3176" s="55" t="n">
        <f aca="false">SUM(C3176:F3176)</f>
        <v>-753679.174092873</v>
      </c>
      <c r="Q3176" s="55" t="n">
        <f aca="false">SUM(G3176:J3176)</f>
        <v>-252594.997937638</v>
      </c>
      <c r="R3176" s="55" t="n">
        <f aca="false">SUM(K3176:N3176)</f>
        <v>58530.3616523485</v>
      </c>
      <c r="S3176" s="56" t="n">
        <f aca="false">SUM(P3176:R3176)</f>
        <v>-947743.810378162</v>
      </c>
    </row>
    <row r="3177" customFormat="false" ht="15" hidden="false" customHeight="false" outlineLevel="0" collapsed="false">
      <c r="A3177" s="4" t="s">
        <v>576</v>
      </c>
      <c r="B3177" s="36"/>
      <c r="C3177" s="37" t="n">
        <f aca="false">IFERROR((S3132*$C$3081*Assumptions!$E$59+S3133*$C$3082*Assumptions!$E$60+S3134*$C$3083*Assumptions!$E$61)/(S3132*$C$3081+S3133*$C$3082+S3134*$C$3083),0.9)</f>
        <v>0.897374806118856</v>
      </c>
    </row>
    <row r="3178" customFormat="false" ht="15" hidden="false" customHeight="false" outlineLevel="0" collapsed="false">
      <c r="A3178" s="4" t="s">
        <v>577</v>
      </c>
      <c r="B3178" s="36"/>
      <c r="C3178" s="37" t="n">
        <f aca="false">IFERROR(N3166*4/N3144,0)</f>
        <v>0.175839391292856</v>
      </c>
    </row>
    <row r="3179" customFormat="false" ht="15" hidden="false" customHeight="false" outlineLevel="0" collapsed="false">
      <c r="A3179" s="4" t="s">
        <v>578</v>
      </c>
      <c r="B3179" s="36"/>
      <c r="C3179" s="60" t="n">
        <f aca="false">$C$3177/(1+Assumptions!$E$87)</f>
        <v>0.801227505463264</v>
      </c>
    </row>
    <row r="3180" customFormat="false" ht="15" hidden="false" customHeight="false" outlineLevel="0" collapsed="false">
      <c r="A3180" s="4" t="s">
        <v>579</v>
      </c>
      <c r="B3180" s="36"/>
      <c r="C3180" s="60" t="n">
        <f aca="false">Assumptions!$E$91/(1+Assumptions!$E$87)</f>
        <v>0.803571428571429</v>
      </c>
    </row>
    <row r="3181" customFormat="false" ht="15" hidden="false" customHeight="false" outlineLevel="0" collapsed="false">
      <c r="A3181" s="35" t="s">
        <v>580</v>
      </c>
      <c r="B3181" s="35" t="s">
        <v>444</v>
      </c>
      <c r="C3181" s="6" t="s">
        <v>354</v>
      </c>
      <c r="D3181" s="6" t="s">
        <v>355</v>
      </c>
      <c r="E3181" s="6" t="s">
        <v>356</v>
      </c>
      <c r="F3181" s="6" t="s">
        <v>357</v>
      </c>
      <c r="G3181" s="6" t="s">
        <v>358</v>
      </c>
      <c r="H3181" s="6" t="s">
        <v>359</v>
      </c>
      <c r="I3181" s="6" t="s">
        <v>360</v>
      </c>
      <c r="J3181" s="6" t="s">
        <v>361</v>
      </c>
      <c r="K3181" s="6" t="s">
        <v>362</v>
      </c>
      <c r="L3181" s="6" t="s">
        <v>363</v>
      </c>
      <c r="M3181" s="6" t="s">
        <v>364</v>
      </c>
      <c r="N3181" s="6" t="s">
        <v>365</v>
      </c>
      <c r="P3181" s="6" t="s">
        <v>445</v>
      </c>
      <c r="Q3181" s="6" t="s">
        <v>446</v>
      </c>
      <c r="R3181" s="6" t="s">
        <v>447</v>
      </c>
      <c r="S3181" s="6" t="s">
        <v>448</v>
      </c>
    </row>
    <row r="3182" customFormat="false" ht="15" hidden="false" customHeight="false" outlineLevel="0" collapsed="false">
      <c r="A3182" s="9" t="s">
        <v>581</v>
      </c>
      <c r="C3182" s="61" t="n">
        <f aca="false">N3144</f>
        <v>458210.565274611</v>
      </c>
      <c r="D3182" s="61"/>
    </row>
    <row r="3183" customFormat="false" ht="15" hidden="false" customHeight="false" outlineLevel="0" collapsed="false">
      <c r="A3183" s="9" t="s">
        <v>582</v>
      </c>
      <c r="C3183" s="62" t="n">
        <f aca="false">N3140</f>
        <v>44.5066983824089</v>
      </c>
      <c r="D3183" s="62"/>
    </row>
    <row r="3184" customFormat="false" ht="15" hidden="false" customHeight="false" outlineLevel="0" collapsed="false">
      <c r="A3184" s="9" t="s">
        <v>583</v>
      </c>
      <c r="C3184" s="63" t="n">
        <f aca="false">S3135</f>
        <v>49.2122060313118</v>
      </c>
      <c r="D3184" s="63"/>
    </row>
    <row r="3185" customFormat="false" ht="15" hidden="false" customHeight="false" outlineLevel="0" collapsed="false">
      <c r="A3185" s="9" t="s">
        <v>584</v>
      </c>
      <c r="C3185" s="61" t="n">
        <f aca="false">S3146</f>
        <v>446099.5945023</v>
      </c>
      <c r="D3185" s="61"/>
    </row>
    <row r="3186" customFormat="false" ht="15" hidden="false" customHeight="false" outlineLevel="0" collapsed="false">
      <c r="A3186" s="9" t="s">
        <v>22</v>
      </c>
      <c r="C3186" s="61" t="n">
        <f aca="false">IFERROR(S3145/S3135,0)</f>
        <v>8848.84716842717</v>
      </c>
      <c r="D3186" s="61"/>
    </row>
    <row r="3187" customFormat="false" ht="15" hidden="false" customHeight="false" outlineLevel="0" collapsed="false">
      <c r="A3187" s="9" t="s">
        <v>585</v>
      </c>
      <c r="C3187" s="61" t="n">
        <f aca="false">IFERROR(S3163/S3135,0)</f>
        <v>43425.5444965546</v>
      </c>
      <c r="D3187" s="61"/>
    </row>
    <row r="3188" customFormat="false" ht="23.85" hidden="false" customHeight="false" outlineLevel="0" collapsed="false">
      <c r="A3188" s="9" t="s">
        <v>586</v>
      </c>
      <c r="C3188" s="61" t="n">
        <f aca="false">IFERROR((S3157+S3159+S3160+S3161+S3162)/S3135,0)</f>
        <v>17217.2526690712</v>
      </c>
      <c r="D3188" s="61"/>
    </row>
    <row r="3189" customFormat="false" ht="15" hidden="false" customHeight="false" outlineLevel="0" collapsed="false">
      <c r="A3189" s="9" t="s">
        <v>587</v>
      </c>
      <c r="C3189" s="64" t="n">
        <f aca="false">IFERROR('Engine Runs'!$C$3187/('Engine Runs'!$C$3186*Assumptions!$E$76/12),0)</f>
        <v>90.5996391029195</v>
      </c>
      <c r="D3189" s="64"/>
    </row>
    <row r="3190" customFormat="false" ht="15" hidden="false" customHeight="false" outlineLevel="0" collapsed="false">
      <c r="A3190" s="9" t="s">
        <v>588</v>
      </c>
      <c r="C3190" s="64" t="n">
        <f aca="false">IFERROR((R3163/R3135)/((R3145/R3135)*Assumptions!$E$76/12),0)</f>
        <v>59.0330381988789</v>
      </c>
      <c r="D3190" s="64"/>
    </row>
    <row r="3191" customFormat="false" ht="15" hidden="false" customHeight="false" outlineLevel="0" collapsed="false">
      <c r="A3191" s="9" t="s">
        <v>589</v>
      </c>
      <c r="C3191" s="61" t="n">
        <f aca="false">S3167</f>
        <v>2932739.31732568</v>
      </c>
      <c r="D3191" s="61"/>
    </row>
    <row r="3192" customFormat="false" ht="15" hidden="false" customHeight="false" outlineLevel="0" collapsed="false">
      <c r="A3192" s="9" t="s">
        <v>590</v>
      </c>
      <c r="C3192" s="61" t="n">
        <f aca="false">N3170</f>
        <v>-2642774.58089919</v>
      </c>
      <c r="D3192" s="61"/>
    </row>
    <row r="3193" customFormat="false" ht="15" hidden="false" customHeight="false" outlineLevel="0" collapsed="false">
      <c r="A3193" s="9" t="s">
        <v>591</v>
      </c>
      <c r="C3193" s="61" t="n">
        <f aca="false">MIN($C$3170:$N$3170)</f>
        <v>-2642774.58089919</v>
      </c>
      <c r="D3193" s="61"/>
    </row>
    <row r="3194" customFormat="false" ht="15" hidden="false" customHeight="false" outlineLevel="0" collapsed="false">
      <c r="A3194" s="9" t="s">
        <v>592</v>
      </c>
      <c r="C3194" s="61" t="n">
        <f aca="false">N3144*(Assumptions!$E$76-$C$3178)*$C$3177*(1-$C$3177^Assumptions!$E$85)/(1-$C$3177)</f>
        <v>794257.608226784</v>
      </c>
      <c r="D3194" s="61"/>
    </row>
    <row r="3195" customFormat="false" ht="15" hidden="false" customHeight="false" outlineLevel="0" collapsed="false">
      <c r="A3195" s="9" t="s">
        <v>593</v>
      </c>
      <c r="C3195" s="61" t="n">
        <f aca="false">N3144*(Assumptions!$E$76-$C$3178)*(1-Assumptions!$E$88)/(1+Assumptions!$E$87)^2.5*$C$3179*(1-$C$3179^Assumptions!$E$85)/(1-$C$3179)</f>
        <v>353491.626786059</v>
      </c>
      <c r="D3195" s="61"/>
    </row>
    <row r="3196" customFormat="false" ht="15" hidden="false" customHeight="false" outlineLevel="0" collapsed="false">
      <c r="A3196" s="9" t="s">
        <v>594</v>
      </c>
      <c r="C3196" s="61" t="n">
        <f aca="false">SUM($C$3172:$N$3172)+'Engine Runs'!$C$3195</f>
        <v>-1924661.8902804</v>
      </c>
      <c r="D3196" s="61"/>
    </row>
    <row r="3197" customFormat="false" ht="15" hidden="false" customHeight="false" outlineLevel="0" collapsed="false">
      <c r="A3197" s="9" t="s">
        <v>595</v>
      </c>
      <c r="C3197" s="61" t="n">
        <f aca="false">SUM($C$3176:$N$3176)+N3174*(Assumptions!$E$76-Assumptions!$E$93)/(1+Assumptions!$E$87)^2.5*$C$3180*(1-$C$3180^Assumptions!$E$85)/(1-$C$3180)</f>
        <v>1503285.37565516</v>
      </c>
      <c r="D3197" s="61"/>
    </row>
    <row r="3198" customFormat="false" ht="15" hidden="false" customHeight="false" outlineLevel="0" collapsed="false">
      <c r="A3198" s="9" t="s">
        <v>596</v>
      </c>
      <c r="C3198" s="61" t="n">
        <f aca="false">'Engine Runs'!$C$3196-'Engine Runs'!$C$3197</f>
        <v>-3427947.26593557</v>
      </c>
      <c r="D3198" s="61"/>
    </row>
    <row r="3199" customFormat="false" ht="15" hidden="false" customHeight="false" outlineLevel="0" collapsed="false">
      <c r="A3199" s="9" t="s">
        <v>597</v>
      </c>
      <c r="C3199" s="61" t="n">
        <f aca="false">S3131</f>
        <v>0</v>
      </c>
      <c r="D3199" s="61"/>
    </row>
    <row r="3200" customFormat="false" ht="15" hidden="false" customHeight="false" outlineLevel="0" collapsed="false">
      <c r="A3200" s="9" t="s">
        <v>598</v>
      </c>
      <c r="C3200" s="63" t="n">
        <f aca="false">P3115</f>
        <v>39.509439794356</v>
      </c>
      <c r="D3200" s="63"/>
    </row>
    <row r="3201" customFormat="false" ht="15" hidden="false" customHeight="false" outlineLevel="0" collapsed="false">
      <c r="A3201" s="9" t="s">
        <v>599</v>
      </c>
      <c r="C3201" s="63" t="n">
        <f aca="false">P3135</f>
        <v>5.55631458277273</v>
      </c>
      <c r="D3201" s="63"/>
    </row>
    <row r="3202" customFormat="false" ht="15" hidden="false" customHeight="false" outlineLevel="0" collapsed="false">
      <c r="A3202" s="9" t="s">
        <v>600</v>
      </c>
      <c r="C3202" s="63" t="n">
        <f aca="false">P3111</f>
        <v>42</v>
      </c>
      <c r="D3202" s="63"/>
    </row>
    <row r="3203" customFormat="false" ht="15" hidden="false" customHeight="false" outlineLevel="0" collapsed="false">
      <c r="A3203" s="9" t="s">
        <v>601</v>
      </c>
      <c r="C3203" s="61" t="n">
        <f aca="false">IFERROR(P3145/P3135,0)</f>
        <v>8534.33525797811</v>
      </c>
      <c r="D3203" s="61"/>
    </row>
    <row r="3206" customFormat="false" ht="15" hidden="false" customHeight="true" outlineLevel="0" collapsed="false">
      <c r="A3206" s="78" t="s">
        <v>810</v>
      </c>
      <c r="B3206" s="78"/>
      <c r="C3206" s="78"/>
      <c r="D3206" s="78"/>
      <c r="E3206" s="78"/>
      <c r="F3206" s="78"/>
      <c r="G3206" s="78"/>
      <c r="H3206" s="78"/>
      <c r="I3206" s="78"/>
      <c r="J3206" s="78"/>
      <c r="K3206" s="78"/>
      <c r="L3206" s="78"/>
      <c r="M3206" s="78"/>
      <c r="N3206" s="78"/>
    </row>
    <row r="3207" customFormat="false" ht="15" hidden="false" customHeight="true" outlineLevel="0" collapsed="false">
      <c r="A3207" s="79" t="s">
        <v>811</v>
      </c>
      <c r="B3207" s="79"/>
      <c r="C3207" s="79"/>
      <c r="D3207" s="79"/>
      <c r="E3207" s="79"/>
      <c r="F3207" s="79"/>
      <c r="G3207" s="79"/>
      <c r="H3207" s="79"/>
      <c r="I3207" s="79"/>
      <c r="J3207" s="79"/>
      <c r="K3207" s="79"/>
      <c r="L3207" s="79"/>
      <c r="M3207" s="79"/>
      <c r="N3207" s="79"/>
    </row>
    <row r="3208" customFormat="false" ht="23.85" hidden="false" customHeight="false" outlineLevel="0" collapsed="false">
      <c r="A3208" s="35" t="s">
        <v>812</v>
      </c>
      <c r="B3208" s="35" t="s">
        <v>444</v>
      </c>
      <c r="C3208" s="6" t="s">
        <v>354</v>
      </c>
      <c r="D3208" s="6" t="s">
        <v>355</v>
      </c>
      <c r="E3208" s="6" t="s">
        <v>356</v>
      </c>
      <c r="F3208" s="6" t="s">
        <v>357</v>
      </c>
      <c r="G3208" s="6" t="s">
        <v>358</v>
      </c>
      <c r="H3208" s="6" t="s">
        <v>359</v>
      </c>
      <c r="I3208" s="6" t="s">
        <v>360</v>
      </c>
      <c r="J3208" s="6" t="s">
        <v>361</v>
      </c>
      <c r="K3208" s="6" t="s">
        <v>362</v>
      </c>
      <c r="L3208" s="6" t="s">
        <v>363</v>
      </c>
      <c r="M3208" s="6" t="s">
        <v>364</v>
      </c>
      <c r="N3208" s="6" t="s">
        <v>365</v>
      </c>
      <c r="P3208" s="6" t="s">
        <v>445</v>
      </c>
      <c r="Q3208" s="6" t="s">
        <v>446</v>
      </c>
      <c r="R3208" s="6" t="s">
        <v>447</v>
      </c>
      <c r="S3208" s="6" t="s">
        <v>448</v>
      </c>
    </row>
    <row r="3209" customFormat="false" ht="15" hidden="false" customHeight="false" outlineLevel="0" collapsed="false">
      <c r="A3209" s="4" t="s">
        <v>449</v>
      </c>
      <c r="B3209" s="36" t="s">
        <v>450</v>
      </c>
      <c r="C3209" s="34" t="n">
        <f aca="false">'Market Sizing'!$C$17*Assumptions!$E$10*Assumptions!$E$11*(1-Assumptions!$E$12)</f>
        <v>843.03944704</v>
      </c>
    </row>
    <row r="3210" customFormat="false" ht="15" hidden="false" customHeight="false" outlineLevel="0" collapsed="false">
      <c r="A3210" s="4" t="s">
        <v>451</v>
      </c>
      <c r="B3210" s="36" t="s">
        <v>450</v>
      </c>
      <c r="C3210" s="34" t="n">
        <f aca="false">'Market Sizing'!$D$17*Assumptions!$E$10*Assumptions!$E$11*(1-Assumptions!$E$12)</f>
        <v>211.19616</v>
      </c>
    </row>
    <row r="3211" customFormat="false" ht="15" hidden="false" customHeight="false" outlineLevel="0" collapsed="false">
      <c r="A3211" s="4" t="s">
        <v>452</v>
      </c>
      <c r="B3211" s="36" t="s">
        <v>450</v>
      </c>
      <c r="C3211" s="34" t="n">
        <f aca="false">'Market Sizing'!$E$17*Assumptions!$E$10*Assumptions!$E$11*(1-Assumptions!$E$12)</f>
        <v>49.53984</v>
      </c>
    </row>
    <row r="3212" customFormat="false" ht="15" hidden="false" customHeight="false" outlineLevel="0" collapsed="false">
      <c r="A3212" s="4" t="s">
        <v>453</v>
      </c>
      <c r="B3212" s="36"/>
      <c r="C3212" s="34" t="n">
        <f aca="false">$C$3209+$C$3210+$C$3211</f>
        <v>1103.77544704</v>
      </c>
    </row>
    <row r="3213" customFormat="false" ht="15" hidden="false" customHeight="false" outlineLevel="0" collapsed="false">
      <c r="A3213" s="4" t="s">
        <v>454</v>
      </c>
      <c r="B3213" s="36" t="s">
        <v>450</v>
      </c>
      <c r="C3213" s="34" t="n">
        <f aca="false">'Market Sizing'!$C$18*Assumptions!$E$10*Assumptions!$E$11*(1-Assumptions!$E$12)</f>
        <v>612.57706944</v>
      </c>
    </row>
    <row r="3214" customFormat="false" ht="15" hidden="false" customHeight="false" outlineLevel="0" collapsed="false">
      <c r="A3214" s="4" t="s">
        <v>455</v>
      </c>
      <c r="B3214" s="36" t="s">
        <v>450</v>
      </c>
      <c r="C3214" s="34" t="n">
        <f aca="false">'Market Sizing'!$D$18*Assumptions!$E$10*Assumptions!$E$11*(1-Assumptions!$E$12)</f>
        <v>142.10112</v>
      </c>
    </row>
    <row r="3215" customFormat="false" ht="15" hidden="false" customHeight="false" outlineLevel="0" collapsed="false">
      <c r="A3215" s="4" t="s">
        <v>456</v>
      </c>
      <c r="B3215" s="36" t="s">
        <v>450</v>
      </c>
      <c r="C3215" s="34" t="n">
        <f aca="false">'Market Sizing'!$E$18*Assumptions!$E$10*Assumptions!$E$11*(1-Assumptions!$E$12)</f>
        <v>24.76992</v>
      </c>
    </row>
    <row r="3216" customFormat="false" ht="15" hidden="false" customHeight="false" outlineLevel="0" collapsed="false">
      <c r="A3216" s="4" t="s">
        <v>457</v>
      </c>
      <c r="B3216" s="36"/>
      <c r="C3216" s="34" t="n">
        <f aca="false">$C$3213+$C$3214+$C$3215</f>
        <v>779.44810944</v>
      </c>
    </row>
    <row r="3217" customFormat="false" ht="15" hidden="false" customHeight="false" outlineLevel="0" collapsed="false">
      <c r="A3217" s="4" t="s">
        <v>458</v>
      </c>
      <c r="B3217" s="36" t="s">
        <v>450</v>
      </c>
      <c r="C3217" s="34" t="n">
        <f aca="false">'Market Sizing'!$C$19*Assumptions!$E$10*Assumptions!$E$11*(1-Assumptions!$E$12)</f>
        <v>2060.77303936</v>
      </c>
    </row>
    <row r="3218" customFormat="false" ht="15" hidden="false" customHeight="false" outlineLevel="0" collapsed="false">
      <c r="A3218" s="4" t="s">
        <v>459</v>
      </c>
      <c r="B3218" s="36" t="s">
        <v>450</v>
      </c>
      <c r="C3218" s="34" t="n">
        <f aca="false">'Market Sizing'!$D$19*Assumptions!$E$10*Assumptions!$E$11*(1-Assumptions!$E$12)</f>
        <v>428.47616</v>
      </c>
    </row>
    <row r="3219" customFormat="false" ht="15" hidden="false" customHeight="false" outlineLevel="0" collapsed="false">
      <c r="A3219" s="4" t="s">
        <v>460</v>
      </c>
      <c r="B3219" s="36" t="s">
        <v>450</v>
      </c>
      <c r="C3219" s="34" t="n">
        <f aca="false">'Market Sizing'!$E$19*Assumptions!$E$10*Assumptions!$E$11*(1-Assumptions!$E$12)</f>
        <v>79.52448</v>
      </c>
    </row>
    <row r="3220" customFormat="false" ht="15" hidden="false" customHeight="false" outlineLevel="0" collapsed="false">
      <c r="A3220" s="4" t="s">
        <v>461</v>
      </c>
      <c r="B3220" s="36"/>
      <c r="C3220" s="34" t="n">
        <f aca="false">$C$3217+$C$3218+$C$3219</f>
        <v>2568.77367936</v>
      </c>
    </row>
    <row r="3221" customFormat="false" ht="15" hidden="false" customHeight="false" outlineLevel="0" collapsed="false">
      <c r="A3221" s="4" t="s">
        <v>462</v>
      </c>
      <c r="B3221" s="36" t="s">
        <v>463</v>
      </c>
      <c r="C3221" s="33" t="n">
        <f aca="false">MAX((Assumptions!$E$51+Assumptions!$E$53)*12,(((('Market Sizing'!$E$25*Assumptions!$E$41*Assumptions!$E$42*Assumptions!$E$43)*Assumptions!$E$44)*Assumptions!$E$45*Assumptions!$E$46+('Market Sizing'!$E$25*Assumptions!$E$41*Assumptions!$E$42*Assumptions!$E$43)*Assumptions!$E$47+('Market Sizing'!$E$25*Assumptions!$E$41*Assumptions!$E$42*Assumptions!$E$43)*Assumptions!$E$48*Assumptions!$E$49)*(Assumptions!$E$51*12/Assumptions!$E$52)+((('Market Sizing'!$E$25*Assumptions!$E$41*Assumptions!$E$42*Assumptions!$E$43)*Assumptions!$E$44)*Assumptions!$E$45+('Market Sizing'!$E$25*Assumptions!$E$41*Assumptions!$E$42*Assumptions!$E$43)+('Market Sizing'!$E$25*Assumptions!$E$41*Assumptions!$E$42*Assumptions!$E$43)*Assumptions!$E$48)*Assumptions!$E$50*(Assumptions!$E$53*12/Assumptions!$E$54)))</f>
        <v>5352</v>
      </c>
    </row>
    <row r="3222" customFormat="false" ht="15" hidden="false" customHeight="false" outlineLevel="0" collapsed="false">
      <c r="A3222" s="4" t="s">
        <v>464</v>
      </c>
      <c r="B3222" s="36" t="s">
        <v>463</v>
      </c>
      <c r="C3222" s="33" t="n">
        <f aca="false">MAX((Assumptions!$E$51+Assumptions!$E$53)*12,(((('Market Sizing'!$E$26*Assumptions!$E$41*Assumptions!$E$42*Assumptions!$E$43)*Assumptions!$E$44)*Assumptions!$E$45*Assumptions!$E$46+('Market Sizing'!$E$26*Assumptions!$E$41*Assumptions!$E$42*Assumptions!$E$43)*Assumptions!$E$47+('Market Sizing'!$E$26*Assumptions!$E$41*Assumptions!$E$42*Assumptions!$E$43)*Assumptions!$E$48*Assumptions!$E$49)*(Assumptions!$E$51*12/Assumptions!$E$52)+((('Market Sizing'!$E$26*Assumptions!$E$41*Assumptions!$E$42*Assumptions!$E$43)*Assumptions!$E$44)*Assumptions!$E$45+('Market Sizing'!$E$26*Assumptions!$E$41*Assumptions!$E$42*Assumptions!$E$43)+('Market Sizing'!$E$26*Assumptions!$E$41*Assumptions!$E$42*Assumptions!$E$43)*Assumptions!$E$48)*Assumptions!$E$50*(Assumptions!$E$53*12/Assumptions!$E$54)))</f>
        <v>9766.72012875208</v>
      </c>
    </row>
    <row r="3223" customFormat="false" ht="15" hidden="false" customHeight="false" outlineLevel="0" collapsed="false">
      <c r="A3223" s="4" t="s">
        <v>465</v>
      </c>
      <c r="B3223" s="36" t="s">
        <v>463</v>
      </c>
      <c r="C3223" s="33" t="n">
        <f aca="false">MAX(Assumptions!$E$55*(Assumptions!$E$51*12/Assumptions!$E$52)+Assumptions!$E$56*(Assumptions!$E$53*12/Assumptions!$E$54),(((('Market Sizing'!$E$27*Assumptions!$E$41*Assumptions!$E$42*Assumptions!$E$43)*Assumptions!$E$44)*Assumptions!$E$45*Assumptions!$E$46+('Market Sizing'!$E$27*Assumptions!$E$41*Assumptions!$E$42*Assumptions!$E$43)*Assumptions!$E$47+('Market Sizing'!$E$27*Assumptions!$E$41*Assumptions!$E$42*Assumptions!$E$43)*Assumptions!$E$48*Assumptions!$E$49)*(Assumptions!$E$51*12/Assumptions!$E$52)+((('Market Sizing'!$E$27*Assumptions!$E$41*Assumptions!$E$42*Assumptions!$E$43)*Assumptions!$E$44)*Assumptions!$E$45+('Market Sizing'!$E$27*Assumptions!$E$41*Assumptions!$E$42*Assumptions!$E$43)+('Market Sizing'!$E$27*Assumptions!$E$41*Assumptions!$E$42*Assumptions!$E$43)*Assumptions!$E$48)*Assumptions!$E$50*(Assumptions!$E$53*12/Assumptions!$E$54)))*(1-Assumptions!$E$57)</f>
        <v>61778.2562194386</v>
      </c>
    </row>
    <row r="3224" customFormat="false" ht="23.85" hidden="false" customHeight="false" outlineLevel="0" collapsed="false">
      <c r="A3224" s="4" t="s">
        <v>466</v>
      </c>
      <c r="B3224" s="36" t="s">
        <v>467</v>
      </c>
      <c r="C3224" s="37" t="n">
        <f aca="false">Assumptions!$F$17*Assumptions!$D$106</f>
        <v>0.5</v>
      </c>
    </row>
    <row r="3225" customFormat="false" ht="23.85" hidden="false" customHeight="false" outlineLevel="0" collapsed="false">
      <c r="A3225" s="4" t="s">
        <v>468</v>
      </c>
      <c r="B3225" s="36" t="s">
        <v>469</v>
      </c>
      <c r="C3225" s="33" t="n">
        <f aca="false">Assumptions!$E$68/Assumptions!$E$69</f>
        <v>285714.285714286</v>
      </c>
    </row>
    <row r="3226" customFormat="false" ht="23.85" hidden="false" customHeight="false" outlineLevel="0" collapsed="false">
      <c r="A3226" s="4" t="s">
        <v>470</v>
      </c>
      <c r="B3226" s="36" t="s">
        <v>471</v>
      </c>
      <c r="C3226" s="33" t="n">
        <f aca="false">Assumptions!$E$66*Assumptions!$E$67/4</f>
        <v>153125</v>
      </c>
    </row>
    <row r="3227" customFormat="false" ht="15" hidden="false" customHeight="false" outlineLevel="0" collapsed="false">
      <c r="A3227" s="4" t="s">
        <v>472</v>
      </c>
      <c r="B3227" s="36"/>
      <c r="C3227" s="38" t="n">
        <f aca="false">$C$3225/Assumptions!$E$66/Assumptions!$E$67</f>
        <v>0.466472303206997</v>
      </c>
    </row>
    <row r="3228" customFormat="false" ht="15" hidden="false" customHeight="false" outlineLevel="0" collapsed="false">
      <c r="A3228" s="4" t="s">
        <v>473</v>
      </c>
      <c r="B3228" s="36"/>
      <c r="C3228" s="33" t="n">
        <f aca="false">MAX(0,Assumptions!$D$103-Assumptions!$E$78)</f>
        <v>0</v>
      </c>
    </row>
    <row r="3229" customFormat="false" ht="15" hidden="false" customHeight="false" outlineLevel="0" collapsed="false">
      <c r="A3229" s="35" t="s">
        <v>474</v>
      </c>
      <c r="B3229" s="35" t="s">
        <v>444</v>
      </c>
      <c r="C3229" s="6" t="s">
        <v>354</v>
      </c>
      <c r="D3229" s="6" t="s">
        <v>355</v>
      </c>
      <c r="E3229" s="6" t="s">
        <v>356</v>
      </c>
      <c r="F3229" s="6" t="s">
        <v>357</v>
      </c>
      <c r="G3229" s="6" t="s">
        <v>358</v>
      </c>
      <c r="H3229" s="6" t="s">
        <v>359</v>
      </c>
      <c r="I3229" s="6" t="s">
        <v>360</v>
      </c>
      <c r="J3229" s="6" t="s">
        <v>361</v>
      </c>
      <c r="K3229" s="6" t="s">
        <v>362</v>
      </c>
      <c r="L3229" s="6" t="s">
        <v>363</v>
      </c>
      <c r="M3229" s="6" t="s">
        <v>364</v>
      </c>
      <c r="N3229" s="6" t="s">
        <v>365</v>
      </c>
      <c r="P3229" s="6" t="s">
        <v>445</v>
      </c>
      <c r="Q3229" s="6" t="s">
        <v>446</v>
      </c>
      <c r="R3229" s="6" t="s">
        <v>447</v>
      </c>
      <c r="S3229" s="6" t="s">
        <v>448</v>
      </c>
    </row>
    <row r="3230" customFormat="false" ht="15" hidden="false" customHeight="false" outlineLevel="0" collapsed="false">
      <c r="A3230" s="4" t="s">
        <v>475</v>
      </c>
      <c r="B3230" s="36" t="s">
        <v>133</v>
      </c>
      <c r="C3230" s="39" t="n">
        <v>1</v>
      </c>
      <c r="D3230" s="39" t="n">
        <v>2</v>
      </c>
      <c r="E3230" s="39" t="n">
        <v>3</v>
      </c>
      <c r="F3230" s="39" t="n">
        <v>4</v>
      </c>
      <c r="G3230" s="39" t="n">
        <v>5</v>
      </c>
      <c r="H3230" s="39" t="n">
        <v>6</v>
      </c>
      <c r="I3230" s="39" t="n">
        <v>7</v>
      </c>
      <c r="J3230" s="39" t="n">
        <v>8</v>
      </c>
      <c r="K3230" s="39" t="n">
        <v>9</v>
      </c>
      <c r="L3230" s="39" t="n">
        <v>10</v>
      </c>
      <c r="M3230" s="39" t="n">
        <v>11</v>
      </c>
      <c r="N3230" s="39" t="n">
        <v>12</v>
      </c>
      <c r="P3230" s="40"/>
      <c r="Q3230" s="40"/>
      <c r="R3230" s="40"/>
      <c r="S3230" s="41"/>
    </row>
    <row r="3231" customFormat="false" ht="15" hidden="false" customHeight="false" outlineLevel="0" collapsed="false">
      <c r="A3231" s="4" t="s">
        <v>476</v>
      </c>
      <c r="B3231" s="36" t="s">
        <v>343</v>
      </c>
      <c r="C3231" s="39" t="n">
        <f aca="false">IF(C3230&lt;=Assumptions!$E$84,1,0)</f>
        <v>1</v>
      </c>
      <c r="D3231" s="39" t="n">
        <f aca="false">IF(D3230&lt;=Assumptions!$E$84,1,0)</f>
        <v>1</v>
      </c>
      <c r="E3231" s="39" t="n">
        <f aca="false">IF(E3230&lt;=Assumptions!$E$84,1,0)</f>
        <v>1</v>
      </c>
      <c r="F3231" s="39" t="n">
        <f aca="false">IF(F3230&lt;=Assumptions!$E$84,1,0)</f>
        <v>1</v>
      </c>
      <c r="G3231" s="39" t="n">
        <f aca="false">IF(G3230&lt;=Assumptions!$E$84,1,0)</f>
        <v>1</v>
      </c>
      <c r="H3231" s="39" t="n">
        <f aca="false">IF(H3230&lt;=Assumptions!$E$84,1,0)</f>
        <v>1</v>
      </c>
      <c r="I3231" s="39" t="n">
        <f aca="false">IF(I3230&lt;=Assumptions!$E$84,1,0)</f>
        <v>1</v>
      </c>
      <c r="J3231" s="39" t="n">
        <f aca="false">IF(J3230&lt;=Assumptions!$E$84,1,0)</f>
        <v>1</v>
      </c>
      <c r="K3231" s="39" t="n">
        <f aca="false">IF(K3230&lt;=Assumptions!$E$84,1,0)</f>
        <v>1</v>
      </c>
      <c r="L3231" s="39" t="n">
        <f aca="false">IF(L3230&lt;=Assumptions!$E$84,1,0)</f>
        <v>1</v>
      </c>
      <c r="M3231" s="39" t="n">
        <f aca="false">IF(M3230&lt;=Assumptions!$E$84,1,0)</f>
        <v>1</v>
      </c>
      <c r="N3231" s="39" t="n">
        <f aca="false">IF(N3230&lt;=Assumptions!$E$84,1,0)</f>
        <v>1</v>
      </c>
      <c r="P3231" s="40"/>
      <c r="Q3231" s="40"/>
      <c r="R3231" s="40"/>
      <c r="S3231" s="41"/>
    </row>
    <row r="3232" customFormat="false" ht="15" hidden="false" customHeight="false" outlineLevel="0" collapsed="false">
      <c r="A3232" s="4" t="s">
        <v>477</v>
      </c>
      <c r="B3232" s="36" t="s">
        <v>478</v>
      </c>
      <c r="C3232" s="42" t="n">
        <f aca="false">IF(C3230=Assumptions!$E$13,0.5,IF(C3230&gt;Assumptions!$E$13,1,0))</f>
        <v>0.5</v>
      </c>
      <c r="D3232" s="42" t="n">
        <f aca="false">IF(D3230=Assumptions!$E$13,0.5,IF(D3230&gt;Assumptions!$E$13,1,0))</f>
        <v>1</v>
      </c>
      <c r="E3232" s="42" t="n">
        <f aca="false">IF(E3230=Assumptions!$E$13,0.5,IF(E3230&gt;Assumptions!$E$13,1,0))</f>
        <v>1</v>
      </c>
      <c r="F3232" s="42" t="n">
        <f aca="false">IF(F3230=Assumptions!$E$13,0.5,IF(F3230&gt;Assumptions!$E$13,1,0))</f>
        <v>1</v>
      </c>
      <c r="G3232" s="42" t="n">
        <f aca="false">IF(G3230=Assumptions!$E$13,0.5,IF(G3230&gt;Assumptions!$E$13,1,0))</f>
        <v>1</v>
      </c>
      <c r="H3232" s="42" t="n">
        <f aca="false">IF(H3230=Assumptions!$E$13,0.5,IF(H3230&gt;Assumptions!$E$13,1,0))</f>
        <v>1</v>
      </c>
      <c r="I3232" s="42" t="n">
        <f aca="false">IF(I3230=Assumptions!$E$13,0.5,IF(I3230&gt;Assumptions!$E$13,1,0))</f>
        <v>1</v>
      </c>
      <c r="J3232" s="42" t="n">
        <f aca="false">IF(J3230=Assumptions!$E$13,0.5,IF(J3230&gt;Assumptions!$E$13,1,0))</f>
        <v>1</v>
      </c>
      <c r="K3232" s="42" t="n">
        <f aca="false">IF(K3230=Assumptions!$E$13,0.5,IF(K3230&gt;Assumptions!$E$13,1,0))</f>
        <v>1</v>
      </c>
      <c r="L3232" s="42" t="n">
        <f aca="false">IF(L3230=Assumptions!$E$13,0.5,IF(L3230&gt;Assumptions!$E$13,1,0))</f>
        <v>1</v>
      </c>
      <c r="M3232" s="42" t="n">
        <f aca="false">IF(M3230=Assumptions!$E$13,0.5,IF(M3230&gt;Assumptions!$E$13,1,0))</f>
        <v>1</v>
      </c>
      <c r="N3232" s="42" t="n">
        <f aca="false">IF(N3230=Assumptions!$E$13,0.5,IF(N3230&gt;Assumptions!$E$13,1,0))</f>
        <v>1</v>
      </c>
      <c r="P3232" s="43"/>
      <c r="Q3232" s="43"/>
      <c r="R3232" s="43"/>
      <c r="S3232" s="44"/>
    </row>
    <row r="3233" customFormat="false" ht="15" hidden="false" customHeight="false" outlineLevel="0" collapsed="false">
      <c r="A3233" s="4" t="s">
        <v>479</v>
      </c>
      <c r="B3233" s="36" t="s">
        <v>478</v>
      </c>
      <c r="C3233" s="42" t="n">
        <f aca="false">IF(C3230=Assumptions!$E$14,0.5,IF(C3230&gt;Assumptions!$E$14,1,0))</f>
        <v>0</v>
      </c>
      <c r="D3233" s="42" t="n">
        <f aca="false">IF(D3230=Assumptions!$E$14,0.5,IF(D3230&gt;Assumptions!$E$14,1,0))</f>
        <v>0</v>
      </c>
      <c r="E3233" s="42" t="n">
        <f aca="false">IF(E3230=Assumptions!$E$14,0.5,IF(E3230&gt;Assumptions!$E$14,1,0))</f>
        <v>0</v>
      </c>
      <c r="F3233" s="42" t="n">
        <f aca="false">IF(F3230=Assumptions!$E$14,0.5,IF(F3230&gt;Assumptions!$E$14,1,0))</f>
        <v>0</v>
      </c>
      <c r="G3233" s="42" t="n">
        <f aca="false">IF(G3230=Assumptions!$E$14,0.5,IF(G3230&gt;Assumptions!$E$14,1,0))</f>
        <v>0.5</v>
      </c>
      <c r="H3233" s="42" t="n">
        <f aca="false">IF(H3230=Assumptions!$E$14,0.5,IF(H3230&gt;Assumptions!$E$14,1,0))</f>
        <v>1</v>
      </c>
      <c r="I3233" s="42" t="n">
        <f aca="false">IF(I3230=Assumptions!$E$14,0.5,IF(I3230&gt;Assumptions!$E$14,1,0))</f>
        <v>1</v>
      </c>
      <c r="J3233" s="42" t="n">
        <f aca="false">IF(J3230=Assumptions!$E$14,0.5,IF(J3230&gt;Assumptions!$E$14,1,0))</f>
        <v>1</v>
      </c>
      <c r="K3233" s="42" t="n">
        <f aca="false">IF(K3230=Assumptions!$E$14,0.5,IF(K3230&gt;Assumptions!$E$14,1,0))</f>
        <v>1</v>
      </c>
      <c r="L3233" s="42" t="n">
        <f aca="false">IF(L3230=Assumptions!$E$14,0.5,IF(L3230&gt;Assumptions!$E$14,1,0))</f>
        <v>1</v>
      </c>
      <c r="M3233" s="42" t="n">
        <f aca="false">IF(M3230=Assumptions!$E$14,0.5,IF(M3230&gt;Assumptions!$E$14,1,0))</f>
        <v>1</v>
      </c>
      <c r="N3233" s="42" t="n">
        <f aca="false">IF(N3230=Assumptions!$E$14,0.5,IF(N3230&gt;Assumptions!$E$14,1,0))</f>
        <v>1</v>
      </c>
      <c r="P3233" s="43"/>
      <c r="Q3233" s="43"/>
      <c r="R3233" s="43"/>
      <c r="S3233" s="44"/>
    </row>
    <row r="3234" customFormat="false" ht="15" hidden="false" customHeight="false" outlineLevel="0" collapsed="false">
      <c r="A3234" s="4" t="s">
        <v>480</v>
      </c>
      <c r="B3234" s="36" t="s">
        <v>478</v>
      </c>
      <c r="C3234" s="42" t="n">
        <f aca="false">IF(C3230=Assumptions!$E$15,0.5,IF(C3230&gt;Assumptions!$E$15,1,0))</f>
        <v>0</v>
      </c>
      <c r="D3234" s="42" t="n">
        <f aca="false">IF(D3230=Assumptions!$E$15,0.5,IF(D3230&gt;Assumptions!$E$15,1,0))</f>
        <v>0</v>
      </c>
      <c r="E3234" s="42" t="n">
        <f aca="false">IF(E3230=Assumptions!$E$15,0.5,IF(E3230&gt;Assumptions!$E$15,1,0))</f>
        <v>0</v>
      </c>
      <c r="F3234" s="42" t="n">
        <f aca="false">IF(F3230=Assumptions!$E$15,0.5,IF(F3230&gt;Assumptions!$E$15,1,0))</f>
        <v>0</v>
      </c>
      <c r="G3234" s="42" t="n">
        <f aca="false">IF(G3230=Assumptions!$E$15,0.5,IF(G3230&gt;Assumptions!$E$15,1,0))</f>
        <v>0</v>
      </c>
      <c r="H3234" s="42" t="n">
        <f aca="false">IF(H3230=Assumptions!$E$15,0.5,IF(H3230&gt;Assumptions!$E$15,1,0))</f>
        <v>0</v>
      </c>
      <c r="I3234" s="42" t="n">
        <f aca="false">IF(I3230=Assumptions!$E$15,0.5,IF(I3230&gt;Assumptions!$E$15,1,0))</f>
        <v>0.5</v>
      </c>
      <c r="J3234" s="42" t="n">
        <f aca="false">IF(J3230=Assumptions!$E$15,0.5,IF(J3230&gt;Assumptions!$E$15,1,0))</f>
        <v>1</v>
      </c>
      <c r="K3234" s="42" t="n">
        <f aca="false">IF(K3230=Assumptions!$E$15,0.5,IF(K3230&gt;Assumptions!$E$15,1,0))</f>
        <v>1</v>
      </c>
      <c r="L3234" s="42" t="n">
        <f aca="false">IF(L3230=Assumptions!$E$15,0.5,IF(L3230&gt;Assumptions!$E$15,1,0))</f>
        <v>1</v>
      </c>
      <c r="M3234" s="42" t="n">
        <f aca="false">IF(M3230=Assumptions!$E$15,0.5,IF(M3230&gt;Assumptions!$E$15,1,0))</f>
        <v>1</v>
      </c>
      <c r="N3234" s="42" t="n">
        <f aca="false">IF(N3230=Assumptions!$E$15,0.5,IF(N3230&gt;Assumptions!$E$15,1,0))</f>
        <v>1</v>
      </c>
      <c r="P3234" s="43"/>
      <c r="Q3234" s="43"/>
      <c r="R3234" s="43"/>
      <c r="S3234" s="44"/>
    </row>
    <row r="3235" customFormat="false" ht="15" hidden="false" customHeight="false" outlineLevel="0" collapsed="false">
      <c r="A3235" s="4" t="s">
        <v>481</v>
      </c>
      <c r="B3235" s="36" t="s">
        <v>478</v>
      </c>
      <c r="C3235" s="45" t="n">
        <f aca="false">Assumptions!$E$21^(MAX(0,C3230-Assumptions!$E$13)/4)</f>
        <v>1</v>
      </c>
      <c r="D3235" s="45" t="n">
        <f aca="false">Assumptions!$E$21^(MAX(0,D3230-Assumptions!$E$13)/4)</f>
        <v>0.9306048591021</v>
      </c>
      <c r="E3235" s="45" t="n">
        <f aca="false">Assumptions!$E$21^(MAX(0,E3230-Assumptions!$E$13)/4)</f>
        <v>0.866025403784439</v>
      </c>
      <c r="F3235" s="45" t="n">
        <f aca="false">Assumptions!$E$21^(MAX(0,F3230-Assumptions!$E$13)/4)</f>
        <v>0.805927448867656</v>
      </c>
      <c r="G3235" s="45" t="n">
        <f aca="false">Assumptions!$E$21^(MAX(0,G3230-Assumptions!$E$13)/4)</f>
        <v>0.75</v>
      </c>
      <c r="H3235" s="45" t="n">
        <f aca="false">Assumptions!$E$21^(MAX(0,H3230-Assumptions!$E$13)/4)</f>
        <v>0.697953644326575</v>
      </c>
      <c r="I3235" s="45" t="n">
        <f aca="false">Assumptions!$E$21^(MAX(0,I3230-Assumptions!$E$13)/4)</f>
        <v>0.649519052838329</v>
      </c>
      <c r="J3235" s="45" t="n">
        <f aca="false">Assumptions!$E$21^(MAX(0,J3230-Assumptions!$E$13)/4)</f>
        <v>0.604445586650742</v>
      </c>
      <c r="K3235" s="45" t="n">
        <f aca="false">Assumptions!$E$21^(MAX(0,K3230-Assumptions!$E$13)/4)</f>
        <v>0.5625</v>
      </c>
      <c r="L3235" s="45" t="n">
        <f aca="false">Assumptions!$E$21^(MAX(0,L3230-Assumptions!$E$13)/4)</f>
        <v>0.523465233244931</v>
      </c>
      <c r="M3235" s="45" t="n">
        <f aca="false">Assumptions!$E$21^(MAX(0,M3230-Assumptions!$E$13)/4)</f>
        <v>0.487139289628747</v>
      </c>
      <c r="N3235" s="45" t="n">
        <f aca="false">Assumptions!$E$21^(MAX(0,N3230-Assumptions!$E$13)/4)</f>
        <v>0.453334189988057</v>
      </c>
      <c r="P3235" s="46"/>
      <c r="Q3235" s="46"/>
      <c r="R3235" s="46"/>
      <c r="S3235" s="47"/>
    </row>
    <row r="3236" customFormat="false" ht="15" hidden="false" customHeight="false" outlineLevel="0" collapsed="false">
      <c r="A3236" s="4" t="s">
        <v>482</v>
      </c>
      <c r="B3236" s="36" t="s">
        <v>478</v>
      </c>
      <c r="C3236" s="45" t="n">
        <f aca="false">Assumptions!$E$21^(MAX(0,C3230-Assumptions!$E$14)/4)</f>
        <v>1</v>
      </c>
      <c r="D3236" s="45" t="n">
        <f aca="false">Assumptions!$E$21^(MAX(0,D3230-Assumptions!$E$14)/4)</f>
        <v>1</v>
      </c>
      <c r="E3236" s="45" t="n">
        <f aca="false">Assumptions!$E$21^(MAX(0,E3230-Assumptions!$E$14)/4)</f>
        <v>1</v>
      </c>
      <c r="F3236" s="45" t="n">
        <f aca="false">Assumptions!$E$21^(MAX(0,F3230-Assumptions!$E$14)/4)</f>
        <v>1</v>
      </c>
      <c r="G3236" s="45" t="n">
        <f aca="false">Assumptions!$E$21^(MAX(0,G3230-Assumptions!$E$14)/4)</f>
        <v>1</v>
      </c>
      <c r="H3236" s="45" t="n">
        <f aca="false">Assumptions!$E$21^(MAX(0,H3230-Assumptions!$E$14)/4)</f>
        <v>0.9306048591021</v>
      </c>
      <c r="I3236" s="45" t="n">
        <f aca="false">Assumptions!$E$21^(MAX(0,I3230-Assumptions!$E$14)/4)</f>
        <v>0.866025403784439</v>
      </c>
      <c r="J3236" s="45" t="n">
        <f aca="false">Assumptions!$E$21^(MAX(0,J3230-Assumptions!$E$14)/4)</f>
        <v>0.805927448867656</v>
      </c>
      <c r="K3236" s="45" t="n">
        <f aca="false">Assumptions!$E$21^(MAX(0,K3230-Assumptions!$E$14)/4)</f>
        <v>0.75</v>
      </c>
      <c r="L3236" s="45" t="n">
        <f aca="false">Assumptions!$E$21^(MAX(0,L3230-Assumptions!$E$14)/4)</f>
        <v>0.697953644326575</v>
      </c>
      <c r="M3236" s="45" t="n">
        <f aca="false">Assumptions!$E$21^(MAX(0,M3230-Assumptions!$E$14)/4)</f>
        <v>0.649519052838329</v>
      </c>
      <c r="N3236" s="45" t="n">
        <f aca="false">Assumptions!$E$21^(MAX(0,N3230-Assumptions!$E$14)/4)</f>
        <v>0.604445586650742</v>
      </c>
      <c r="P3236" s="46"/>
      <c r="Q3236" s="46"/>
      <c r="R3236" s="46"/>
      <c r="S3236" s="47"/>
    </row>
    <row r="3237" customFormat="false" ht="15" hidden="false" customHeight="false" outlineLevel="0" collapsed="false">
      <c r="A3237" s="4" t="s">
        <v>483</v>
      </c>
      <c r="B3237" s="36" t="s">
        <v>478</v>
      </c>
      <c r="C3237" s="45" t="n">
        <f aca="false">Assumptions!$E$21^(MAX(0,C3230-Assumptions!$E$15)/4)</f>
        <v>1</v>
      </c>
      <c r="D3237" s="45" t="n">
        <f aca="false">Assumptions!$E$21^(MAX(0,D3230-Assumptions!$E$15)/4)</f>
        <v>1</v>
      </c>
      <c r="E3237" s="45" t="n">
        <f aca="false">Assumptions!$E$21^(MAX(0,E3230-Assumptions!$E$15)/4)</f>
        <v>1</v>
      </c>
      <c r="F3237" s="45" t="n">
        <f aca="false">Assumptions!$E$21^(MAX(0,F3230-Assumptions!$E$15)/4)</f>
        <v>1</v>
      </c>
      <c r="G3237" s="45" t="n">
        <f aca="false">Assumptions!$E$21^(MAX(0,G3230-Assumptions!$E$15)/4)</f>
        <v>1</v>
      </c>
      <c r="H3237" s="45" t="n">
        <f aca="false">Assumptions!$E$21^(MAX(0,H3230-Assumptions!$E$15)/4)</f>
        <v>1</v>
      </c>
      <c r="I3237" s="45" t="n">
        <f aca="false">Assumptions!$E$21^(MAX(0,I3230-Assumptions!$E$15)/4)</f>
        <v>1</v>
      </c>
      <c r="J3237" s="45" t="n">
        <f aca="false">Assumptions!$E$21^(MAX(0,J3230-Assumptions!$E$15)/4)</f>
        <v>0.9306048591021</v>
      </c>
      <c r="K3237" s="45" t="n">
        <f aca="false">Assumptions!$E$21^(MAX(0,K3230-Assumptions!$E$15)/4)</f>
        <v>0.866025403784439</v>
      </c>
      <c r="L3237" s="45" t="n">
        <f aca="false">Assumptions!$E$21^(MAX(0,L3230-Assumptions!$E$15)/4)</f>
        <v>0.805927448867656</v>
      </c>
      <c r="M3237" s="45" t="n">
        <f aca="false">Assumptions!$E$21^(MAX(0,M3230-Assumptions!$E$15)/4)</f>
        <v>0.75</v>
      </c>
      <c r="N3237" s="45" t="n">
        <f aca="false">Assumptions!$E$21^(MAX(0,N3230-Assumptions!$E$15)/4)</f>
        <v>0.697953644326575</v>
      </c>
      <c r="P3237" s="46"/>
      <c r="Q3237" s="46"/>
      <c r="R3237" s="46"/>
      <c r="S3237" s="47"/>
    </row>
    <row r="3238" customFormat="false" ht="15" hidden="false" customHeight="false" outlineLevel="0" collapsed="false">
      <c r="A3238" s="4" t="s">
        <v>484</v>
      </c>
      <c r="B3238" s="36" t="s">
        <v>485</v>
      </c>
      <c r="C3238" s="39" t="n">
        <f aca="false">$C$3209*C3232+$C$3213*C3233+$C$3217*C3234</f>
        <v>421.51972352</v>
      </c>
      <c r="D3238" s="39" t="n">
        <f aca="false">$C$3209*D3232+$C$3213*D3233+$C$3217*D3234</f>
        <v>843.03944704</v>
      </c>
      <c r="E3238" s="39" t="n">
        <f aca="false">$C$3209*E3232+$C$3213*E3233+$C$3217*E3234</f>
        <v>843.03944704</v>
      </c>
      <c r="F3238" s="39" t="n">
        <f aca="false">$C$3209*F3232+$C$3213*F3233+$C$3217*F3234</f>
        <v>843.03944704</v>
      </c>
      <c r="G3238" s="39" t="n">
        <f aca="false">$C$3209*G3232+$C$3213*G3233+$C$3217*G3234</f>
        <v>1149.32798176</v>
      </c>
      <c r="H3238" s="39" t="n">
        <f aca="false">$C$3209*H3232+$C$3213*H3233+$C$3217*H3234</f>
        <v>1455.61651648</v>
      </c>
      <c r="I3238" s="39" t="n">
        <f aca="false">$C$3209*I3232+$C$3213*I3233+$C$3217*I3234</f>
        <v>2486.00303616</v>
      </c>
      <c r="J3238" s="39" t="n">
        <f aca="false">$C$3209*J3232+$C$3213*J3233+$C$3217*J3234</f>
        <v>3516.38955584</v>
      </c>
      <c r="K3238" s="39" t="n">
        <f aca="false">$C$3209*K3232+$C$3213*K3233+$C$3217*K3234</f>
        <v>3516.38955584</v>
      </c>
      <c r="L3238" s="39" t="n">
        <f aca="false">$C$3209*L3232+$C$3213*L3233+$C$3217*L3234</f>
        <v>3516.38955584</v>
      </c>
      <c r="M3238" s="39" t="n">
        <f aca="false">$C$3209*M3232+$C$3213*M3233+$C$3217*M3234</f>
        <v>3516.38955584</v>
      </c>
      <c r="N3238" s="39" t="n">
        <f aca="false">$C$3209*N3232+$C$3213*N3233+$C$3217*N3234</f>
        <v>3516.38955584</v>
      </c>
      <c r="P3238" s="40" t="n">
        <f aca="false">F3238</f>
        <v>843.03944704</v>
      </c>
      <c r="Q3238" s="40" t="n">
        <f aca="false">J3238</f>
        <v>3516.38955584</v>
      </c>
      <c r="R3238" s="40" t="n">
        <f aca="false">N3238</f>
        <v>3516.38955584</v>
      </c>
      <c r="S3238" s="41" t="n">
        <f aca="false">R3238</f>
        <v>3516.38955584</v>
      </c>
    </row>
    <row r="3239" customFormat="false" ht="15" hidden="false" customHeight="false" outlineLevel="0" collapsed="false">
      <c r="A3239" s="4" t="s">
        <v>486</v>
      </c>
      <c r="B3239" s="36" t="s">
        <v>485</v>
      </c>
      <c r="C3239" s="39" t="n">
        <f aca="false">$C$3210*C3232+$C$3214*C3233+$C$3218*C3234</f>
        <v>105.59808</v>
      </c>
      <c r="D3239" s="39" t="n">
        <f aca="false">$C$3210*D3232+$C$3214*D3233+$C$3218*D3234</f>
        <v>211.19616</v>
      </c>
      <c r="E3239" s="39" t="n">
        <f aca="false">$C$3210*E3232+$C$3214*E3233+$C$3218*E3234</f>
        <v>211.19616</v>
      </c>
      <c r="F3239" s="39" t="n">
        <f aca="false">$C$3210*F3232+$C$3214*F3233+$C$3218*F3234</f>
        <v>211.19616</v>
      </c>
      <c r="G3239" s="39" t="n">
        <f aca="false">$C$3210*G3232+$C$3214*G3233+$C$3218*G3234</f>
        <v>282.24672</v>
      </c>
      <c r="H3239" s="39" t="n">
        <f aca="false">$C$3210*H3232+$C$3214*H3233+$C$3218*H3234</f>
        <v>353.29728</v>
      </c>
      <c r="I3239" s="39" t="n">
        <f aca="false">$C$3210*I3232+$C$3214*I3233+$C$3218*I3234</f>
        <v>567.53536</v>
      </c>
      <c r="J3239" s="39" t="n">
        <f aca="false">$C$3210*J3232+$C$3214*J3233+$C$3218*J3234</f>
        <v>781.77344</v>
      </c>
      <c r="K3239" s="39" t="n">
        <f aca="false">$C$3210*K3232+$C$3214*K3233+$C$3218*K3234</f>
        <v>781.77344</v>
      </c>
      <c r="L3239" s="39" t="n">
        <f aca="false">$C$3210*L3232+$C$3214*L3233+$C$3218*L3234</f>
        <v>781.77344</v>
      </c>
      <c r="M3239" s="39" t="n">
        <f aca="false">$C$3210*M3232+$C$3214*M3233+$C$3218*M3234</f>
        <v>781.77344</v>
      </c>
      <c r="N3239" s="39" t="n">
        <f aca="false">$C$3210*N3232+$C$3214*N3233+$C$3218*N3234</f>
        <v>781.77344</v>
      </c>
      <c r="P3239" s="40" t="n">
        <f aca="false">F3239</f>
        <v>211.19616</v>
      </c>
      <c r="Q3239" s="40" t="n">
        <f aca="false">J3239</f>
        <v>781.77344</v>
      </c>
      <c r="R3239" s="40" t="n">
        <f aca="false">N3239</f>
        <v>781.77344</v>
      </c>
      <c r="S3239" s="41" t="n">
        <f aca="false">R3239</f>
        <v>781.77344</v>
      </c>
    </row>
    <row r="3240" customFormat="false" ht="15" hidden="false" customHeight="false" outlineLevel="0" collapsed="false">
      <c r="A3240" s="4" t="s">
        <v>487</v>
      </c>
      <c r="B3240" s="36" t="s">
        <v>485</v>
      </c>
      <c r="C3240" s="39" t="n">
        <f aca="false">$C$3211*C3232+$C$3215*C3233+$C$3219*C3234</f>
        <v>24.76992</v>
      </c>
      <c r="D3240" s="39" t="n">
        <f aca="false">$C$3211*D3232+$C$3215*D3233+$C$3219*D3234</f>
        <v>49.53984</v>
      </c>
      <c r="E3240" s="39" t="n">
        <f aca="false">$C$3211*E3232+$C$3215*E3233+$C$3219*E3234</f>
        <v>49.53984</v>
      </c>
      <c r="F3240" s="39" t="n">
        <f aca="false">$C$3211*F3232+$C$3215*F3233+$C$3219*F3234</f>
        <v>49.53984</v>
      </c>
      <c r="G3240" s="39" t="n">
        <f aca="false">$C$3211*G3232+$C$3215*G3233+$C$3219*G3234</f>
        <v>61.9248</v>
      </c>
      <c r="H3240" s="39" t="n">
        <f aca="false">$C$3211*H3232+$C$3215*H3233+$C$3219*H3234</f>
        <v>74.30976</v>
      </c>
      <c r="I3240" s="39" t="n">
        <f aca="false">$C$3211*I3232+$C$3215*I3233+$C$3219*I3234</f>
        <v>114.072</v>
      </c>
      <c r="J3240" s="39" t="n">
        <f aca="false">$C$3211*J3232+$C$3215*J3233+$C$3219*J3234</f>
        <v>153.83424</v>
      </c>
      <c r="K3240" s="39" t="n">
        <f aca="false">$C$3211*K3232+$C$3215*K3233+$C$3219*K3234</f>
        <v>153.83424</v>
      </c>
      <c r="L3240" s="39" t="n">
        <f aca="false">$C$3211*L3232+$C$3215*L3233+$C$3219*L3234</f>
        <v>153.83424</v>
      </c>
      <c r="M3240" s="39" t="n">
        <f aca="false">$C$3211*M3232+$C$3215*M3233+$C$3219*M3234</f>
        <v>153.83424</v>
      </c>
      <c r="N3240" s="39" t="n">
        <f aca="false">$C$3211*N3232+$C$3215*N3233+$C$3219*N3234</f>
        <v>153.83424</v>
      </c>
      <c r="P3240" s="40" t="n">
        <f aca="false">F3240</f>
        <v>49.53984</v>
      </c>
      <c r="Q3240" s="40" t="n">
        <f aca="false">J3240</f>
        <v>153.83424</v>
      </c>
      <c r="R3240" s="40" t="n">
        <f aca="false">N3240</f>
        <v>153.83424</v>
      </c>
      <c r="S3240" s="41" t="n">
        <f aca="false">R3240</f>
        <v>153.83424</v>
      </c>
    </row>
    <row r="3241" customFormat="false" ht="15" hidden="false" customHeight="false" outlineLevel="0" collapsed="false">
      <c r="A3241" s="4" t="s">
        <v>488</v>
      </c>
      <c r="B3241" s="36" t="s">
        <v>485</v>
      </c>
      <c r="C3241" s="39" t="n">
        <f aca="false">C3238+C3239+C3240</f>
        <v>551.88772352</v>
      </c>
      <c r="D3241" s="39" t="n">
        <f aca="false">D3238+D3239+D3240</f>
        <v>1103.77544704</v>
      </c>
      <c r="E3241" s="39" t="n">
        <f aca="false">E3238+E3239+E3240</f>
        <v>1103.77544704</v>
      </c>
      <c r="F3241" s="39" t="n">
        <f aca="false">F3238+F3239+F3240</f>
        <v>1103.77544704</v>
      </c>
      <c r="G3241" s="39" t="n">
        <f aca="false">G3238+G3239+G3240</f>
        <v>1493.49950176</v>
      </c>
      <c r="H3241" s="39" t="n">
        <f aca="false">H3238+H3239+H3240</f>
        <v>1883.22355648</v>
      </c>
      <c r="I3241" s="39" t="n">
        <f aca="false">I3238+I3239+I3240</f>
        <v>3167.61039616</v>
      </c>
      <c r="J3241" s="39" t="n">
        <f aca="false">J3238+J3239+J3240</f>
        <v>4451.99723584</v>
      </c>
      <c r="K3241" s="39" t="n">
        <f aca="false">K3238+K3239+K3240</f>
        <v>4451.99723584</v>
      </c>
      <c r="L3241" s="39" t="n">
        <f aca="false">L3238+L3239+L3240</f>
        <v>4451.99723584</v>
      </c>
      <c r="M3241" s="39" t="n">
        <f aca="false">M3238+M3239+M3240</f>
        <v>4451.99723584</v>
      </c>
      <c r="N3241" s="39" t="n">
        <f aca="false">N3238+N3239+N3240</f>
        <v>4451.99723584</v>
      </c>
      <c r="P3241" s="40" t="n">
        <f aca="false">F3241</f>
        <v>1103.77544704</v>
      </c>
      <c r="Q3241" s="40" t="n">
        <f aca="false">J3241</f>
        <v>4451.99723584</v>
      </c>
      <c r="R3241" s="40" t="n">
        <f aca="false">N3241</f>
        <v>4451.99723584</v>
      </c>
      <c r="S3241" s="41" t="n">
        <f aca="false">R3241</f>
        <v>4451.99723584</v>
      </c>
    </row>
    <row r="3242" customFormat="false" ht="15" hidden="false" customHeight="false" outlineLevel="0" collapsed="false">
      <c r="A3242" s="4" t="s">
        <v>489</v>
      </c>
      <c r="B3242" s="36" t="s">
        <v>485</v>
      </c>
      <c r="C3242" s="39" t="n">
        <f aca="false">$C$3212*C3232*C3235+$C$3216*C3233*C3236+$C$3220*C3234*C3237</f>
        <v>551.88772352</v>
      </c>
      <c r="D3242" s="39" t="n">
        <f aca="false">$C$3212*D3232*D3235+$C$3216*D3233*D3236+$C$3220*D3234*D3237</f>
        <v>1027.17879437302</v>
      </c>
      <c r="E3242" s="39" t="n">
        <f aca="false">$C$3212*E3232*E3235+$C$3216*E3233*E3236+$C$3220*E3234*E3237</f>
        <v>955.897577210165</v>
      </c>
      <c r="F3242" s="39" t="n">
        <f aca="false">$C$3212*F3232*F3235+$C$3216*F3233*F3236+$C$3220*F3234*F3237</f>
        <v>889.562930155704</v>
      </c>
      <c r="G3242" s="39" t="n">
        <f aca="false">$C$3212*G3232*G3235+$C$3216*G3233*G3236+$C$3220*G3234*G3237</f>
        <v>1217.55564</v>
      </c>
      <c r="H3242" s="39" t="n">
        <f aca="false">$C$3212*H3232*H3235+$C$3216*H3233*H3236+$C$3220*H3234*H3237</f>
        <v>1495.74229384257</v>
      </c>
      <c r="I3242" s="39" t="n">
        <f aca="false">$C$3212*I3232*I3235+$C$3216*I3233*I3236+$C$3220*I3234*I3237</f>
        <v>2676.33188629442</v>
      </c>
      <c r="J3242" s="39" t="n">
        <f aca="false">$C$3212*J3232*J3235+$C$3216*J3233*J3236+$C$3220*J3234*J3237</f>
        <v>3685.86409192847</v>
      </c>
      <c r="K3242" s="39" t="n">
        <f aca="false">$C$3212*K3232*K3235+$C$3216*K3233*K3236+$C$3220*K3234*K3237</f>
        <v>3430.08303393858</v>
      </c>
      <c r="L3242" s="39" t="n">
        <f aca="false">$C$3212*L3232*L3235+$C$3216*L3233*L3236+$C$3220*L3234*L3237</f>
        <v>3192.05193850692</v>
      </c>
      <c r="M3242" s="39" t="n">
        <f aca="false">$C$3212*M3232*M3235+$C$3216*M3233*M3236+$C$3220*M3234*M3237</f>
        <v>2970.53904448081</v>
      </c>
      <c r="N3242" s="39" t="n">
        <f aca="false">$C$3212*N3232*N3235+$C$3216*N3233*N3236+$C$3220*N3234*N3237</f>
        <v>2764.39806894635</v>
      </c>
      <c r="P3242" s="40"/>
      <c r="Q3242" s="40"/>
      <c r="R3242" s="40"/>
      <c r="S3242" s="41"/>
    </row>
    <row r="3243" customFormat="false" ht="15" hidden="false" customHeight="false" outlineLevel="0" collapsed="false">
      <c r="A3243" s="4" t="s">
        <v>490</v>
      </c>
      <c r="B3243" s="36" t="s">
        <v>491</v>
      </c>
      <c r="C3243" s="48" t="n">
        <f aca="false">$C$3224*Assumptions!$E$20*C3231*C3242</f>
        <v>8.2783158528</v>
      </c>
      <c r="D3243" s="48" t="n">
        <f aca="false">$C$3224*Assumptions!$E$20*D3231*D3242</f>
        <v>15.4076819155952</v>
      </c>
      <c r="E3243" s="48" t="n">
        <f aca="false">$C$3224*Assumptions!$E$20*E3231*E3242</f>
        <v>14.3384636581525</v>
      </c>
      <c r="F3243" s="48" t="n">
        <f aca="false">$C$3224*Assumptions!$E$20*F3231*F3242</f>
        <v>13.3434439523356</v>
      </c>
      <c r="G3243" s="48" t="n">
        <f aca="false">$C$3224*Assumptions!$E$20*G3231*G3242</f>
        <v>18.2633346</v>
      </c>
      <c r="H3243" s="48" t="n">
        <f aca="false">$C$3224*Assumptions!$E$20*H3231*H3242</f>
        <v>22.4361344076386</v>
      </c>
      <c r="I3243" s="48" t="n">
        <f aca="false">$C$3224*Assumptions!$E$20*I3231*I3242</f>
        <v>40.1449782944163</v>
      </c>
      <c r="J3243" s="48" t="n">
        <f aca="false">$C$3224*Assumptions!$E$20*J3231*J3242</f>
        <v>55.2879613789271</v>
      </c>
      <c r="K3243" s="48" t="n">
        <f aca="false">$C$3224*Assumptions!$E$20*K3231*K3242</f>
        <v>51.4512455090787</v>
      </c>
      <c r="L3243" s="48" t="n">
        <f aca="false">$C$3224*Assumptions!$E$20*L3231*L3242</f>
        <v>47.8807790776038</v>
      </c>
      <c r="M3243" s="48" t="n">
        <f aca="false">$C$3224*Assumptions!$E$20*M3231*M3242</f>
        <v>44.5580856672122</v>
      </c>
      <c r="N3243" s="48" t="n">
        <f aca="false">$C$3224*Assumptions!$E$20*N3231*N3242</f>
        <v>41.4659710341953</v>
      </c>
      <c r="P3243" s="49" t="n">
        <f aca="false">SUM(C3243:F3243)</f>
        <v>51.3679053788833</v>
      </c>
      <c r="Q3243" s="49" t="n">
        <f aca="false">SUM(G3243:J3243)</f>
        <v>136.132408680982</v>
      </c>
      <c r="R3243" s="49" t="n">
        <f aca="false">SUM(K3243:N3243)</f>
        <v>185.35608128809</v>
      </c>
      <c r="S3243" s="50" t="n">
        <f aca="false">SUM(P3243:R3243)</f>
        <v>372.856395347955</v>
      </c>
    </row>
    <row r="3244" customFormat="false" ht="15" hidden="false" customHeight="false" outlineLevel="0" collapsed="false">
      <c r="A3244" s="4" t="s">
        <v>492</v>
      </c>
      <c r="B3244" s="36" t="s">
        <v>321</v>
      </c>
      <c r="C3244" s="48" t="n">
        <f aca="false">Assumptions!$D$111</f>
        <v>0</v>
      </c>
      <c r="D3244" s="48" t="n">
        <f aca="false">Assumptions!$E$111</f>
        <v>0</v>
      </c>
      <c r="E3244" s="48" t="n">
        <f aca="false">Assumptions!$F$111</f>
        <v>0</v>
      </c>
      <c r="F3244" s="48" t="n">
        <f aca="false">Assumptions!$G$111</f>
        <v>0</v>
      </c>
      <c r="G3244" s="48" t="n">
        <f aca="false">Assumptions!$H$111</f>
        <v>0</v>
      </c>
      <c r="H3244" s="48" t="n">
        <f aca="false">Assumptions!$I$111</f>
        <v>0</v>
      </c>
      <c r="I3244" s="48" t="n">
        <f aca="false">Assumptions!$J$111</f>
        <v>0</v>
      </c>
      <c r="J3244" s="48" t="n">
        <f aca="false">Assumptions!$K$111</f>
        <v>0</v>
      </c>
      <c r="K3244" s="48" t="n">
        <f aca="false">Assumptions!$L$111</f>
        <v>0</v>
      </c>
      <c r="L3244" s="48" t="n">
        <f aca="false">Assumptions!$M$111</f>
        <v>0</v>
      </c>
      <c r="M3244" s="48" t="n">
        <f aca="false">Assumptions!$N$111</f>
        <v>0</v>
      </c>
      <c r="N3244" s="48" t="n">
        <f aca="false">Assumptions!$O$111</f>
        <v>0</v>
      </c>
      <c r="P3244" s="49" t="n">
        <f aca="false">F3244</f>
        <v>0</v>
      </c>
      <c r="Q3244" s="49" t="n">
        <f aca="false">J3244</f>
        <v>0</v>
      </c>
      <c r="R3244" s="49" t="n">
        <f aca="false">N3244</f>
        <v>0</v>
      </c>
      <c r="S3244" s="50" t="n">
        <f aca="false">R3244</f>
        <v>0</v>
      </c>
    </row>
    <row r="3245" customFormat="false" ht="15" hidden="false" customHeight="false" outlineLevel="0" collapsed="false">
      <c r="A3245" s="4" t="s">
        <v>493</v>
      </c>
      <c r="B3245" s="36" t="s">
        <v>321</v>
      </c>
      <c r="C3245" s="48" t="n">
        <f aca="false">0</f>
        <v>0</v>
      </c>
      <c r="D3245" s="48" t="n">
        <f aca="false">0.5*C3244</f>
        <v>0</v>
      </c>
      <c r="E3245" s="48" t="n">
        <f aca="false">C3244+0.5*(D3244-C3244)</f>
        <v>0</v>
      </c>
      <c r="F3245" s="48" t="n">
        <f aca="false">D3244+0.5*(E3244-D3244)</f>
        <v>0</v>
      </c>
      <c r="G3245" s="48" t="n">
        <f aca="false">E3244+0.5*(F3244-E3244)</f>
        <v>0</v>
      </c>
      <c r="H3245" s="48" t="n">
        <f aca="false">F3244+0.5*(G3244-F3244)</f>
        <v>0</v>
      </c>
      <c r="I3245" s="48" t="n">
        <f aca="false">G3244+0.5*(H3244-G3244)</f>
        <v>0</v>
      </c>
      <c r="J3245" s="48" t="n">
        <f aca="false">H3244+0.5*(I3244-H3244)</f>
        <v>0</v>
      </c>
      <c r="K3245" s="48" t="n">
        <f aca="false">I3244+0.5*(J3244-I3244)</f>
        <v>0</v>
      </c>
      <c r="L3245" s="48" t="n">
        <f aca="false">J3244+0.5*(K3244-J3244)</f>
        <v>0</v>
      </c>
      <c r="M3245" s="48" t="n">
        <f aca="false">K3244+0.5*(L3244-K3244)</f>
        <v>0</v>
      </c>
      <c r="N3245" s="48" t="n">
        <f aca="false">L3244+0.5*(M3244-L3244)</f>
        <v>0</v>
      </c>
      <c r="P3245" s="49" t="n">
        <f aca="false">F3245</f>
        <v>0</v>
      </c>
      <c r="Q3245" s="49" t="n">
        <f aca="false">J3245</f>
        <v>0</v>
      </c>
      <c r="R3245" s="49" t="n">
        <f aca="false">N3245</f>
        <v>0</v>
      </c>
      <c r="S3245" s="50" t="n">
        <f aca="false">R3245</f>
        <v>0</v>
      </c>
    </row>
    <row r="3246" customFormat="false" ht="15" hidden="false" customHeight="false" outlineLevel="0" collapsed="false">
      <c r="A3246" s="4" t="s">
        <v>494</v>
      </c>
      <c r="B3246" s="36" t="s">
        <v>485</v>
      </c>
      <c r="C3246" s="39" t="n">
        <f aca="false">MIN(C3245*Assumptions!$E$38,C3241*(1-$C$3224))</f>
        <v>0</v>
      </c>
      <c r="D3246" s="39" t="n">
        <f aca="false">MIN(D3245*Assumptions!$E$38,D3241*(1-$C$3224))</f>
        <v>0</v>
      </c>
      <c r="E3246" s="39" t="n">
        <f aca="false">MIN(E3245*Assumptions!$E$38,E3241*(1-$C$3224))</f>
        <v>0</v>
      </c>
      <c r="F3246" s="39" t="n">
        <f aca="false">MIN(F3245*Assumptions!$E$38,F3241*(1-$C$3224))</f>
        <v>0</v>
      </c>
      <c r="G3246" s="39" t="n">
        <f aca="false">MIN(G3245*Assumptions!$E$38,G3241*(1-$C$3224))</f>
        <v>0</v>
      </c>
      <c r="H3246" s="39" t="n">
        <f aca="false">MIN(H3245*Assumptions!$E$38,H3241*(1-$C$3224))</f>
        <v>0</v>
      </c>
      <c r="I3246" s="39" t="n">
        <f aca="false">MIN(I3245*Assumptions!$E$38,I3241*(1-$C$3224))</f>
        <v>0</v>
      </c>
      <c r="J3246" s="39" t="n">
        <f aca="false">MIN(J3245*Assumptions!$E$38,J3241*(1-$C$3224))</f>
        <v>0</v>
      </c>
      <c r="K3246" s="39" t="n">
        <f aca="false">MIN(K3245*Assumptions!$E$38,K3241*(1-$C$3224))</f>
        <v>0</v>
      </c>
      <c r="L3246" s="39" t="n">
        <f aca="false">MIN(L3245*Assumptions!$E$38,L3241*(1-$C$3224))</f>
        <v>0</v>
      </c>
      <c r="M3246" s="39" t="n">
        <f aca="false">MIN(M3245*Assumptions!$E$38,M3241*(1-$C$3224))</f>
        <v>0</v>
      </c>
      <c r="N3246" s="39" t="n">
        <f aca="false">MIN(N3245*Assumptions!$E$38,N3241*(1-$C$3224))</f>
        <v>0</v>
      </c>
      <c r="P3246" s="40" t="n">
        <f aca="false">SUM(C3246:F3246)</f>
        <v>0</v>
      </c>
      <c r="Q3246" s="40" t="n">
        <f aca="false">SUM(G3246:J3246)</f>
        <v>0</v>
      </c>
      <c r="R3246" s="40" t="n">
        <f aca="false">SUM(K3246:N3246)</f>
        <v>0</v>
      </c>
      <c r="S3246" s="41" t="n">
        <f aca="false">SUM(P3246:R3246)</f>
        <v>0</v>
      </c>
    </row>
    <row r="3247" customFormat="false" ht="15" hidden="false" customHeight="false" outlineLevel="0" collapsed="false">
      <c r="A3247" s="4" t="s">
        <v>495</v>
      </c>
      <c r="B3247" s="36" t="s">
        <v>491</v>
      </c>
      <c r="C3247" s="48" t="n">
        <f aca="false">C3246*Assumptions!$E$20*Assumptions!$E$39*IF(C3241&gt;0,C3242/C3241,0)*C3231</f>
        <v>0</v>
      </c>
      <c r="D3247" s="48" t="n">
        <f aca="false">D3246*Assumptions!$E$20*Assumptions!$E$39*IF(D3241&gt;0,D3242/D3241,0)*D3231</f>
        <v>0</v>
      </c>
      <c r="E3247" s="48" t="n">
        <f aca="false">E3246*Assumptions!$E$20*Assumptions!$E$39*IF(E3241&gt;0,E3242/E3241,0)*E3231</f>
        <v>0</v>
      </c>
      <c r="F3247" s="48" t="n">
        <f aca="false">F3246*Assumptions!$E$20*Assumptions!$E$39*IF(F3241&gt;0,F3242/F3241,0)*F3231</f>
        <v>0</v>
      </c>
      <c r="G3247" s="48" t="n">
        <f aca="false">G3246*Assumptions!$E$20*Assumptions!$E$39*IF(G3241&gt;0,G3242/G3241,0)*G3231</f>
        <v>0</v>
      </c>
      <c r="H3247" s="48" t="n">
        <f aca="false">H3246*Assumptions!$E$20*Assumptions!$E$39*IF(H3241&gt;0,H3242/H3241,0)*H3231</f>
        <v>0</v>
      </c>
      <c r="I3247" s="48" t="n">
        <f aca="false">I3246*Assumptions!$E$20*Assumptions!$E$39*IF(I3241&gt;0,I3242/I3241,0)*I3231</f>
        <v>0</v>
      </c>
      <c r="J3247" s="48" t="n">
        <f aca="false">J3246*Assumptions!$E$20*Assumptions!$E$39*IF(J3241&gt;0,J3242/J3241,0)*J3231</f>
        <v>0</v>
      </c>
      <c r="K3247" s="48" t="n">
        <f aca="false">K3246*Assumptions!$E$20*Assumptions!$E$39*IF(K3241&gt;0,K3242/K3241,0)*K3231</f>
        <v>0</v>
      </c>
      <c r="L3247" s="48" t="n">
        <f aca="false">L3246*Assumptions!$E$20*Assumptions!$E$39*IF(L3241&gt;0,L3242/L3241,0)*L3231</f>
        <v>0</v>
      </c>
      <c r="M3247" s="48" t="n">
        <f aca="false">M3246*Assumptions!$E$20*Assumptions!$E$39*IF(M3241&gt;0,M3242/M3241,0)*M3231</f>
        <v>0</v>
      </c>
      <c r="N3247" s="48" t="n">
        <f aca="false">N3246*Assumptions!$E$20*Assumptions!$E$39*IF(N3241&gt;0,N3242/N3241,0)*N3231</f>
        <v>0</v>
      </c>
      <c r="P3247" s="49" t="n">
        <f aca="false">SUM(C3247:F3247)</f>
        <v>0</v>
      </c>
      <c r="Q3247" s="49" t="n">
        <f aca="false">SUM(G3247:J3247)</f>
        <v>0</v>
      </c>
      <c r="R3247" s="49" t="n">
        <f aca="false">SUM(K3247:N3247)</f>
        <v>0</v>
      </c>
      <c r="S3247" s="50" t="n">
        <f aca="false">SUM(P3247:R3247)</f>
        <v>0</v>
      </c>
    </row>
    <row r="3248" customFormat="false" ht="15" hidden="false" customHeight="false" outlineLevel="0" collapsed="false">
      <c r="A3248" s="4" t="s">
        <v>496</v>
      </c>
      <c r="B3248" s="36" t="s">
        <v>497</v>
      </c>
      <c r="C3248" s="48" t="n">
        <f aca="false">IF(AND(C3241&gt;0,$C$3228&gt;0),C3241*Assumptions!$E$24*(1-EXP(-$C$3228/(Assumptions!$E$23*C3241*Assumptions!$E$24))),0)</f>
        <v>0</v>
      </c>
      <c r="D3248" s="48" t="n">
        <f aca="false">IF(AND(D3241&gt;0,$C$3228&gt;0),D3241*Assumptions!$E$24*(1-EXP(-$C$3228/(Assumptions!$E$23*D3241*Assumptions!$E$24))),0)</f>
        <v>0</v>
      </c>
      <c r="E3248" s="48" t="n">
        <f aca="false">IF(AND(E3241&gt;0,$C$3228&gt;0),E3241*Assumptions!$E$24*(1-EXP(-$C$3228/(Assumptions!$E$23*E3241*Assumptions!$E$24))),0)</f>
        <v>0</v>
      </c>
      <c r="F3248" s="48" t="n">
        <f aca="false">IF(AND(F3241&gt;0,$C$3228&gt;0),F3241*Assumptions!$E$24*(1-EXP(-$C$3228/(Assumptions!$E$23*F3241*Assumptions!$E$24))),0)</f>
        <v>0</v>
      </c>
      <c r="G3248" s="48" t="n">
        <f aca="false">IF(AND(G3241&gt;0,$C$3228&gt;0),G3241*Assumptions!$E$24*(1-EXP(-$C$3228/(Assumptions!$E$23*G3241*Assumptions!$E$24))),0)</f>
        <v>0</v>
      </c>
      <c r="H3248" s="48" t="n">
        <f aca="false">IF(AND(H3241&gt;0,$C$3228&gt;0),H3241*Assumptions!$E$24*(1-EXP(-$C$3228/(Assumptions!$E$23*H3241*Assumptions!$E$24))),0)</f>
        <v>0</v>
      </c>
      <c r="I3248" s="48" t="n">
        <f aca="false">IF(AND(I3241&gt;0,$C$3228&gt;0),I3241*Assumptions!$E$24*(1-EXP(-$C$3228/(Assumptions!$E$23*I3241*Assumptions!$E$24))),0)</f>
        <v>0</v>
      </c>
      <c r="J3248" s="48" t="n">
        <f aca="false">IF(AND(J3241&gt;0,$C$3228&gt;0),J3241*Assumptions!$E$24*(1-EXP(-$C$3228/(Assumptions!$E$23*J3241*Assumptions!$E$24))),0)</f>
        <v>0</v>
      </c>
      <c r="K3248" s="48" t="n">
        <f aca="false">IF(AND(K3241&gt;0,$C$3228&gt;0),K3241*Assumptions!$E$24*(1-EXP(-$C$3228/(Assumptions!$E$23*K3241*Assumptions!$E$24))),0)</f>
        <v>0</v>
      </c>
      <c r="L3248" s="48" t="n">
        <f aca="false">IF(AND(L3241&gt;0,$C$3228&gt;0),L3241*Assumptions!$E$24*(1-EXP(-$C$3228/(Assumptions!$E$23*L3241*Assumptions!$E$24))),0)</f>
        <v>0</v>
      </c>
      <c r="M3248" s="48" t="n">
        <f aca="false">IF(AND(M3241&gt;0,$C$3228&gt;0),M3241*Assumptions!$E$24*(1-EXP(-$C$3228/(Assumptions!$E$23*M3241*Assumptions!$E$24))),0)</f>
        <v>0</v>
      </c>
      <c r="N3248" s="48" t="n">
        <f aca="false">IF(AND(N3241&gt;0,$C$3228&gt;0),N3241*Assumptions!$E$24*(1-EXP(-$C$3228/(Assumptions!$E$23*N3241*Assumptions!$E$24))),0)</f>
        <v>0</v>
      </c>
      <c r="P3248" s="49" t="n">
        <f aca="false">SUM(C3248:F3248)</f>
        <v>0</v>
      </c>
      <c r="Q3248" s="49" t="n">
        <f aca="false">SUM(G3248:J3248)</f>
        <v>0</v>
      </c>
      <c r="R3248" s="49" t="n">
        <f aca="false">SUM(K3248:N3248)</f>
        <v>0</v>
      </c>
      <c r="S3248" s="50" t="n">
        <f aca="false">SUM(P3248:R3248)</f>
        <v>0</v>
      </c>
    </row>
    <row r="3249" customFormat="false" ht="15" hidden="false" customHeight="false" outlineLevel="0" collapsed="false">
      <c r="A3249" s="4" t="s">
        <v>498</v>
      </c>
      <c r="B3249" s="36" t="s">
        <v>497</v>
      </c>
      <c r="C3249" s="48" t="n">
        <f aca="false">(C3241*Assumptions!$E$22*MIN(1,Assumptions!$D$103/Assumptions!$E$78)+C3248)*C3231</f>
        <v>5.5188772352</v>
      </c>
      <c r="D3249" s="48" t="n">
        <f aca="false">(D3241*Assumptions!$E$22*MIN(1,Assumptions!$D$103/Assumptions!$E$78)+D3248)*D3231</f>
        <v>11.0377544704</v>
      </c>
      <c r="E3249" s="48" t="n">
        <f aca="false">(E3241*Assumptions!$E$22*MIN(1,Assumptions!$D$103/Assumptions!$E$78)+E3248)*E3231</f>
        <v>11.0377544704</v>
      </c>
      <c r="F3249" s="48" t="n">
        <f aca="false">(F3241*Assumptions!$E$22*MIN(1,Assumptions!$D$103/Assumptions!$E$78)+F3248)*F3231</f>
        <v>11.0377544704</v>
      </c>
      <c r="G3249" s="48" t="n">
        <f aca="false">(G3241*Assumptions!$E$22*MIN(1,Assumptions!$D$103/Assumptions!$E$78)+G3248)*G3231</f>
        <v>14.9349950176</v>
      </c>
      <c r="H3249" s="48" t="n">
        <f aca="false">(H3241*Assumptions!$E$22*MIN(1,Assumptions!$D$103/Assumptions!$E$78)+H3248)*H3231</f>
        <v>18.8322355648</v>
      </c>
      <c r="I3249" s="48" t="n">
        <f aca="false">(I3241*Assumptions!$E$22*MIN(1,Assumptions!$D$103/Assumptions!$E$78)+I3248)*I3231</f>
        <v>31.6761039616</v>
      </c>
      <c r="J3249" s="48" t="n">
        <f aca="false">(J3241*Assumptions!$E$22*MIN(1,Assumptions!$D$103/Assumptions!$E$78)+J3248)*J3231</f>
        <v>44.5199723584</v>
      </c>
      <c r="K3249" s="48" t="n">
        <f aca="false">(K3241*Assumptions!$E$22*MIN(1,Assumptions!$D$103/Assumptions!$E$78)+K3248)*K3231</f>
        <v>44.5199723584</v>
      </c>
      <c r="L3249" s="48" t="n">
        <f aca="false">(L3241*Assumptions!$E$22*MIN(1,Assumptions!$D$103/Assumptions!$E$78)+L3248)*L3231</f>
        <v>44.5199723584</v>
      </c>
      <c r="M3249" s="48" t="n">
        <f aca="false">(M3241*Assumptions!$E$22*MIN(1,Assumptions!$D$103/Assumptions!$E$78)+M3248)*M3231</f>
        <v>44.5199723584</v>
      </c>
      <c r="N3249" s="48" t="n">
        <f aca="false">(N3241*Assumptions!$E$22*MIN(1,Assumptions!$D$103/Assumptions!$E$78)+N3248)*N3231</f>
        <v>44.5199723584</v>
      </c>
      <c r="P3249" s="49" t="n">
        <f aca="false">SUM(C3249:F3249)</f>
        <v>38.6321406464</v>
      </c>
      <c r="Q3249" s="49" t="n">
        <f aca="false">SUM(G3249:J3249)</f>
        <v>109.9633069024</v>
      </c>
      <c r="R3249" s="49" t="n">
        <f aca="false">SUM(K3249:N3249)</f>
        <v>178.0798894336</v>
      </c>
      <c r="S3249" s="50" t="n">
        <f aca="false">SUM(P3249:R3249)</f>
        <v>326.6753369824</v>
      </c>
    </row>
    <row r="3250" customFormat="false" ht="15" hidden="false" customHeight="false" outlineLevel="0" collapsed="false">
      <c r="A3250" s="4" t="s">
        <v>499</v>
      </c>
      <c r="B3250" s="36" t="s">
        <v>500</v>
      </c>
      <c r="C3250" s="48" t="n">
        <f aca="false">C3231*MIN(Assumptions!$E$27,Assumptions!$E$25+Assumptions!$E$26*(C3230-1))*Assumptions!$D$107</f>
        <v>2</v>
      </c>
      <c r="D3250" s="48" t="n">
        <f aca="false">D3231*MIN(Assumptions!$E$27,Assumptions!$E$25+Assumptions!$E$26*(D3230-1))*Assumptions!$D$107</f>
        <v>3</v>
      </c>
      <c r="E3250" s="48" t="n">
        <f aca="false">E3231*MIN(Assumptions!$E$27,Assumptions!$E$25+Assumptions!$E$26*(E3230-1))*Assumptions!$D$107</f>
        <v>4</v>
      </c>
      <c r="F3250" s="48" t="n">
        <f aca="false">F3231*MIN(Assumptions!$E$27,Assumptions!$E$25+Assumptions!$E$26*(F3230-1))*Assumptions!$D$107</f>
        <v>5</v>
      </c>
      <c r="G3250" s="48" t="n">
        <f aca="false">G3231*MIN(Assumptions!$E$27,Assumptions!$E$25+Assumptions!$E$26*(G3230-1))*Assumptions!$D$107</f>
        <v>6</v>
      </c>
      <c r="H3250" s="48" t="n">
        <f aca="false">H3231*MIN(Assumptions!$E$27,Assumptions!$E$25+Assumptions!$E$26*(H3230-1))*Assumptions!$D$107</f>
        <v>7</v>
      </c>
      <c r="I3250" s="48" t="n">
        <f aca="false">I3231*MIN(Assumptions!$E$27,Assumptions!$E$25+Assumptions!$E$26*(I3230-1))*Assumptions!$D$107</f>
        <v>8</v>
      </c>
      <c r="J3250" s="48" t="n">
        <f aca="false">J3231*MIN(Assumptions!$E$27,Assumptions!$E$25+Assumptions!$E$26*(J3230-1))*Assumptions!$D$107</f>
        <v>9</v>
      </c>
      <c r="K3250" s="48" t="n">
        <f aca="false">K3231*MIN(Assumptions!$E$27,Assumptions!$E$25+Assumptions!$E$26*(K3230-1))*Assumptions!$D$107</f>
        <v>10</v>
      </c>
      <c r="L3250" s="48" t="n">
        <f aca="false">L3231*MIN(Assumptions!$E$27,Assumptions!$E$25+Assumptions!$E$26*(L3230-1))*Assumptions!$D$107</f>
        <v>10</v>
      </c>
      <c r="M3250" s="48" t="n">
        <f aca="false">M3231*MIN(Assumptions!$E$27,Assumptions!$E$25+Assumptions!$E$26*(M3230-1))*Assumptions!$D$107</f>
        <v>10</v>
      </c>
      <c r="N3250" s="48" t="n">
        <f aca="false">N3231*MIN(Assumptions!$E$27,Assumptions!$E$25+Assumptions!$E$26*(N3230-1))*Assumptions!$D$107</f>
        <v>10</v>
      </c>
      <c r="P3250" s="49" t="n">
        <f aca="false">F3250</f>
        <v>5</v>
      </c>
      <c r="Q3250" s="49" t="n">
        <f aca="false">J3250</f>
        <v>9</v>
      </c>
      <c r="R3250" s="49" t="n">
        <f aca="false">N3250</f>
        <v>10</v>
      </c>
      <c r="S3250" s="50" t="n">
        <f aca="false">R3250</f>
        <v>10</v>
      </c>
    </row>
    <row r="3251" customFormat="false" ht="15" hidden="false" customHeight="false" outlineLevel="0" collapsed="false">
      <c r="A3251" s="4" t="s">
        <v>501</v>
      </c>
      <c r="B3251" s="36" t="s">
        <v>502</v>
      </c>
      <c r="C3251" s="48" t="n">
        <f aca="false">C3250*Assumptions!$E$28</f>
        <v>6</v>
      </c>
      <c r="D3251" s="48" t="n">
        <f aca="false">D3250*Assumptions!$E$28</f>
        <v>9</v>
      </c>
      <c r="E3251" s="48" t="n">
        <f aca="false">E3250*Assumptions!$E$28</f>
        <v>12</v>
      </c>
      <c r="F3251" s="48" t="n">
        <f aca="false">F3250*Assumptions!$E$28</f>
        <v>15</v>
      </c>
      <c r="G3251" s="48" t="n">
        <f aca="false">G3250*Assumptions!$E$28</f>
        <v>18</v>
      </c>
      <c r="H3251" s="48" t="n">
        <f aca="false">H3250*Assumptions!$E$28</f>
        <v>21</v>
      </c>
      <c r="I3251" s="48" t="n">
        <f aca="false">I3250*Assumptions!$E$28</f>
        <v>24</v>
      </c>
      <c r="J3251" s="48" t="n">
        <f aca="false">J3250*Assumptions!$E$28</f>
        <v>27</v>
      </c>
      <c r="K3251" s="48" t="n">
        <f aca="false">K3250*Assumptions!$E$28</f>
        <v>30</v>
      </c>
      <c r="L3251" s="48" t="n">
        <f aca="false">L3250*Assumptions!$E$28</f>
        <v>30</v>
      </c>
      <c r="M3251" s="48" t="n">
        <f aca="false">M3250*Assumptions!$E$28</f>
        <v>30</v>
      </c>
      <c r="N3251" s="48" t="n">
        <f aca="false">N3250*Assumptions!$E$28</f>
        <v>30</v>
      </c>
      <c r="P3251" s="49" t="n">
        <f aca="false">SUM(C3251:F3251)</f>
        <v>42</v>
      </c>
      <c r="Q3251" s="49" t="n">
        <f aca="false">SUM(G3251:J3251)</f>
        <v>90</v>
      </c>
      <c r="R3251" s="49" t="n">
        <f aca="false">SUM(K3251:N3251)</f>
        <v>120</v>
      </c>
      <c r="S3251" s="50" t="n">
        <f aca="false">SUM(P3251:R3251)</f>
        <v>252</v>
      </c>
    </row>
    <row r="3252" customFormat="false" ht="15" hidden="false" customHeight="false" outlineLevel="0" collapsed="false">
      <c r="A3252" s="4" t="s">
        <v>503</v>
      </c>
      <c r="B3252" s="36" t="s">
        <v>504</v>
      </c>
      <c r="C3252" s="48" t="n">
        <f aca="false">(C3243+C3247)*Assumptions!$E$29</f>
        <v>3.31132634112</v>
      </c>
      <c r="D3252" s="48" t="n">
        <f aca="false">(D3243+D3247)*Assumptions!$E$29</f>
        <v>6.1630727662381</v>
      </c>
      <c r="E3252" s="48" t="n">
        <f aca="false">(E3243+E3247)*Assumptions!$E$29</f>
        <v>5.73538546326099</v>
      </c>
      <c r="F3252" s="48" t="n">
        <f aca="false">(F3243+F3247)*Assumptions!$E$29</f>
        <v>5.33737758093423</v>
      </c>
      <c r="G3252" s="48" t="n">
        <f aca="false">(G3243+G3247)*Assumptions!$E$29</f>
        <v>7.30533384</v>
      </c>
      <c r="H3252" s="48" t="n">
        <f aca="false">(H3243+H3247)*Assumptions!$E$29</f>
        <v>8.97445376305543</v>
      </c>
      <c r="I3252" s="48" t="n">
        <f aca="false">(I3243+I3247)*Assumptions!$E$29</f>
        <v>16.0579913177665</v>
      </c>
      <c r="J3252" s="48" t="n">
        <f aca="false">(J3243+J3247)*Assumptions!$E$29</f>
        <v>22.1151845515708</v>
      </c>
      <c r="K3252" s="48" t="n">
        <f aca="false">(K3243+K3247)*Assumptions!$E$29</f>
        <v>20.5804982036315</v>
      </c>
      <c r="L3252" s="48" t="n">
        <f aca="false">(L3243+L3247)*Assumptions!$E$29</f>
        <v>19.1523116310415</v>
      </c>
      <c r="M3252" s="48" t="n">
        <f aca="false">(M3243+M3247)*Assumptions!$E$29</f>
        <v>17.8232342668849</v>
      </c>
      <c r="N3252" s="48" t="n">
        <f aca="false">(N3243+N3247)*Assumptions!$E$29</f>
        <v>16.5863884136781</v>
      </c>
      <c r="P3252" s="49" t="n">
        <f aca="false">SUM(C3252:F3252)</f>
        <v>20.5471621515533</v>
      </c>
      <c r="Q3252" s="49" t="n">
        <f aca="false">SUM(G3252:J3252)</f>
        <v>54.4529634723928</v>
      </c>
      <c r="R3252" s="49" t="n">
        <f aca="false">SUM(K3252:N3252)</f>
        <v>74.142432515236</v>
      </c>
      <c r="S3252" s="50" t="n">
        <f aca="false">SUM(P3252:R3252)</f>
        <v>149.142558139182</v>
      </c>
    </row>
    <row r="3253" customFormat="false" ht="15" hidden="false" customHeight="false" outlineLevel="0" collapsed="false">
      <c r="A3253" s="4" t="s">
        <v>505</v>
      </c>
      <c r="B3253" s="36" t="s">
        <v>504</v>
      </c>
      <c r="C3253" s="48" t="n">
        <f aca="false">C3249*Assumptions!$E$31</f>
        <v>0.883020357632</v>
      </c>
      <c r="D3253" s="48" t="n">
        <f aca="false">D3249*Assumptions!$E$31</f>
        <v>1.766040715264</v>
      </c>
      <c r="E3253" s="48" t="n">
        <f aca="false">E3249*Assumptions!$E$31</f>
        <v>1.766040715264</v>
      </c>
      <c r="F3253" s="48" t="n">
        <f aca="false">F3249*Assumptions!$E$31</f>
        <v>1.766040715264</v>
      </c>
      <c r="G3253" s="48" t="n">
        <f aca="false">G3249*Assumptions!$E$31</f>
        <v>2.389599202816</v>
      </c>
      <c r="H3253" s="48" t="n">
        <f aca="false">H3249*Assumptions!$E$31</f>
        <v>3.013157690368</v>
      </c>
      <c r="I3253" s="48" t="n">
        <f aca="false">I3249*Assumptions!$E$31</f>
        <v>5.068176633856</v>
      </c>
      <c r="J3253" s="48" t="n">
        <f aca="false">J3249*Assumptions!$E$31</f>
        <v>7.123195577344</v>
      </c>
      <c r="K3253" s="48" t="n">
        <f aca="false">K3249*Assumptions!$E$31</f>
        <v>7.123195577344</v>
      </c>
      <c r="L3253" s="48" t="n">
        <f aca="false">L3249*Assumptions!$E$31</f>
        <v>7.123195577344</v>
      </c>
      <c r="M3253" s="48" t="n">
        <f aca="false">M3249*Assumptions!$E$31</f>
        <v>7.123195577344</v>
      </c>
      <c r="N3253" s="48" t="n">
        <f aca="false">N3249*Assumptions!$E$31</f>
        <v>7.123195577344</v>
      </c>
      <c r="P3253" s="49" t="n">
        <f aca="false">SUM(C3253:F3253)</f>
        <v>6.181142503424</v>
      </c>
      <c r="Q3253" s="49" t="n">
        <f aca="false">SUM(G3253:J3253)</f>
        <v>17.594129104384</v>
      </c>
      <c r="R3253" s="49" t="n">
        <f aca="false">SUM(K3253:N3253)</f>
        <v>28.492782309376</v>
      </c>
      <c r="S3253" s="50" t="n">
        <f aca="false">SUM(P3253:R3253)</f>
        <v>52.268053917184</v>
      </c>
    </row>
    <row r="3254" customFormat="false" ht="15" hidden="false" customHeight="false" outlineLevel="0" collapsed="false">
      <c r="A3254" s="4" t="s">
        <v>506</v>
      </c>
      <c r="B3254" s="36" t="s">
        <v>504</v>
      </c>
      <c r="C3254" s="48" t="n">
        <f aca="false">C3251*Assumptions!$E$30</f>
        <v>3</v>
      </c>
      <c r="D3254" s="48" t="n">
        <f aca="false">D3251*Assumptions!$E$30</f>
        <v>4.5</v>
      </c>
      <c r="E3254" s="48" t="n">
        <f aca="false">E3251*Assumptions!$E$30</f>
        <v>6</v>
      </c>
      <c r="F3254" s="48" t="n">
        <f aca="false">F3251*Assumptions!$E$30</f>
        <v>7.5</v>
      </c>
      <c r="G3254" s="48" t="n">
        <f aca="false">G3251*Assumptions!$E$30</f>
        <v>9</v>
      </c>
      <c r="H3254" s="48" t="n">
        <f aca="false">H3251*Assumptions!$E$30</f>
        <v>10.5</v>
      </c>
      <c r="I3254" s="48" t="n">
        <f aca="false">I3251*Assumptions!$E$30</f>
        <v>12</v>
      </c>
      <c r="J3254" s="48" t="n">
        <f aca="false">J3251*Assumptions!$E$30</f>
        <v>13.5</v>
      </c>
      <c r="K3254" s="48" t="n">
        <f aca="false">K3251*Assumptions!$E$30</f>
        <v>15</v>
      </c>
      <c r="L3254" s="48" t="n">
        <f aca="false">L3251*Assumptions!$E$30</f>
        <v>15</v>
      </c>
      <c r="M3254" s="48" t="n">
        <f aca="false">M3251*Assumptions!$E$30</f>
        <v>15</v>
      </c>
      <c r="N3254" s="48" t="n">
        <f aca="false">N3251*Assumptions!$E$30</f>
        <v>15</v>
      </c>
      <c r="P3254" s="49" t="n">
        <f aca="false">SUM(C3254:F3254)</f>
        <v>21</v>
      </c>
      <c r="Q3254" s="49" t="n">
        <f aca="false">SUM(G3254:J3254)</f>
        <v>45</v>
      </c>
      <c r="R3254" s="49" t="n">
        <f aca="false">SUM(K3254:N3254)</f>
        <v>60</v>
      </c>
      <c r="S3254" s="50" t="n">
        <f aca="false">SUM(P3254:R3254)</f>
        <v>126</v>
      </c>
    </row>
    <row r="3255" customFormat="false" ht="15" hidden="false" customHeight="false" outlineLevel="0" collapsed="false">
      <c r="A3255" s="9" t="s">
        <v>507</v>
      </c>
      <c r="B3255" s="36" t="s">
        <v>504</v>
      </c>
      <c r="C3255" s="49" t="n">
        <f aca="false">C3252+C3253+C3254</f>
        <v>7.194346698752</v>
      </c>
      <c r="D3255" s="49" t="n">
        <f aca="false">D3252+D3253+D3254</f>
        <v>12.4291134815021</v>
      </c>
      <c r="E3255" s="49" t="n">
        <f aca="false">E3252+E3253+E3254</f>
        <v>13.501426178525</v>
      </c>
      <c r="F3255" s="49" t="n">
        <f aca="false">F3252+F3253+F3254</f>
        <v>14.6034182961982</v>
      </c>
      <c r="G3255" s="49" t="n">
        <f aca="false">G3252+G3253+G3254</f>
        <v>18.694933042816</v>
      </c>
      <c r="H3255" s="49" t="n">
        <f aca="false">H3252+H3253+H3254</f>
        <v>22.4876114534234</v>
      </c>
      <c r="I3255" s="49" t="n">
        <f aca="false">I3252+I3253+I3254</f>
        <v>33.1261679516225</v>
      </c>
      <c r="J3255" s="49" t="n">
        <f aca="false">J3252+J3253+J3254</f>
        <v>42.7383801289148</v>
      </c>
      <c r="K3255" s="49" t="n">
        <f aca="false">K3252+K3253+K3254</f>
        <v>42.7036937809755</v>
      </c>
      <c r="L3255" s="49" t="n">
        <f aca="false">L3252+L3253+L3254</f>
        <v>41.2755072083855</v>
      </c>
      <c r="M3255" s="49" t="n">
        <f aca="false">M3252+M3253+M3254</f>
        <v>39.9464298442289</v>
      </c>
      <c r="N3255" s="49" t="n">
        <f aca="false">N3252+N3253+N3254</f>
        <v>38.7095839910221</v>
      </c>
      <c r="P3255" s="49" t="n">
        <f aca="false">SUM(C3255:F3255)</f>
        <v>47.7283046549773</v>
      </c>
      <c r="Q3255" s="49" t="n">
        <f aca="false">SUM(G3255:J3255)</f>
        <v>117.047092576777</v>
      </c>
      <c r="R3255" s="49" t="n">
        <f aca="false">SUM(K3255:N3255)</f>
        <v>162.635214824612</v>
      </c>
      <c r="S3255" s="50" t="n">
        <f aca="false">SUM(P3255:R3255)</f>
        <v>327.410612056366</v>
      </c>
    </row>
    <row r="3256" customFormat="false" ht="15" hidden="false" customHeight="false" outlineLevel="0" collapsed="false">
      <c r="A3256" s="4" t="s">
        <v>508</v>
      </c>
      <c r="B3256" s="36" t="s">
        <v>509</v>
      </c>
      <c r="C3256" s="48" t="n">
        <f aca="false">C3238</f>
        <v>421.51972352</v>
      </c>
      <c r="D3256" s="48" t="n">
        <f aca="false">D3238</f>
        <v>843.03944704</v>
      </c>
      <c r="E3256" s="48" t="n">
        <f aca="false">E3238</f>
        <v>843.03944704</v>
      </c>
      <c r="F3256" s="48" t="n">
        <f aca="false">F3238</f>
        <v>843.03944704</v>
      </c>
      <c r="G3256" s="48" t="n">
        <f aca="false">G3238</f>
        <v>1149.32798176</v>
      </c>
      <c r="H3256" s="48" t="n">
        <f aca="false">H3238</f>
        <v>1455.61651648</v>
      </c>
      <c r="I3256" s="48" t="n">
        <f aca="false">I3238</f>
        <v>2486.00303616</v>
      </c>
      <c r="J3256" s="48" t="n">
        <f aca="false">J3238</f>
        <v>3516.38955584</v>
      </c>
      <c r="K3256" s="48" t="n">
        <f aca="false">K3238</f>
        <v>3516.38955584</v>
      </c>
      <c r="L3256" s="48" t="n">
        <f aca="false">L3238</f>
        <v>3516.38955584</v>
      </c>
      <c r="M3256" s="48" t="n">
        <f aca="false">M3238</f>
        <v>3516.38955584</v>
      </c>
      <c r="N3256" s="48" t="n">
        <f aca="false">N3238</f>
        <v>3516.38955584</v>
      </c>
      <c r="P3256" s="49"/>
      <c r="Q3256" s="49"/>
      <c r="R3256" s="49"/>
      <c r="S3256" s="50"/>
    </row>
    <row r="3257" customFormat="false" ht="15" hidden="false" customHeight="false" outlineLevel="0" collapsed="false">
      <c r="A3257" s="4" t="s">
        <v>510</v>
      </c>
      <c r="B3257" s="36" t="s">
        <v>509</v>
      </c>
      <c r="C3257" s="48" t="n">
        <f aca="false">C3239*Assumptions!$E$18*Assumptions!$E$33</f>
        <v>211.19616</v>
      </c>
      <c r="D3257" s="48" t="n">
        <f aca="false">D3239*Assumptions!$E$18*Assumptions!$E$33</f>
        <v>422.39232</v>
      </c>
      <c r="E3257" s="48" t="n">
        <f aca="false">E3239*Assumptions!$E$18*Assumptions!$E$33</f>
        <v>422.39232</v>
      </c>
      <c r="F3257" s="48" t="n">
        <f aca="false">F3239*Assumptions!$E$18*Assumptions!$E$33</f>
        <v>422.39232</v>
      </c>
      <c r="G3257" s="48" t="n">
        <f aca="false">G3239*Assumptions!$E$18*Assumptions!$E$33</f>
        <v>564.49344</v>
      </c>
      <c r="H3257" s="48" t="n">
        <f aca="false">H3239*Assumptions!$E$18*Assumptions!$E$33</f>
        <v>706.59456</v>
      </c>
      <c r="I3257" s="48" t="n">
        <f aca="false">I3239*Assumptions!$E$18*Assumptions!$E$33</f>
        <v>1135.07072</v>
      </c>
      <c r="J3257" s="48" t="n">
        <f aca="false">J3239*Assumptions!$E$18*Assumptions!$E$33</f>
        <v>1563.54688</v>
      </c>
      <c r="K3257" s="48" t="n">
        <f aca="false">K3239*Assumptions!$E$18*Assumptions!$E$33</f>
        <v>1563.54688</v>
      </c>
      <c r="L3257" s="48" t="n">
        <f aca="false">L3239*Assumptions!$E$18*Assumptions!$E$33</f>
        <v>1563.54688</v>
      </c>
      <c r="M3257" s="48" t="n">
        <f aca="false">M3239*Assumptions!$E$18*Assumptions!$E$33</f>
        <v>1563.54688</v>
      </c>
      <c r="N3257" s="48" t="n">
        <f aca="false">N3239*Assumptions!$E$18*Assumptions!$E$33</f>
        <v>1563.54688</v>
      </c>
      <c r="P3257" s="49"/>
      <c r="Q3257" s="49"/>
      <c r="R3257" s="49"/>
      <c r="S3257" s="50"/>
    </row>
    <row r="3258" customFormat="false" ht="15" hidden="false" customHeight="false" outlineLevel="0" collapsed="false">
      <c r="A3258" s="4" t="s">
        <v>511</v>
      </c>
      <c r="B3258" s="36" t="s">
        <v>509</v>
      </c>
      <c r="C3258" s="48" t="n">
        <f aca="false">C3240*Assumptions!$E$19*Assumptions!$E$34</f>
        <v>34.677888</v>
      </c>
      <c r="D3258" s="48" t="n">
        <f aca="false">D3240*Assumptions!$E$19*Assumptions!$E$34</f>
        <v>69.355776</v>
      </c>
      <c r="E3258" s="48" t="n">
        <f aca="false">E3240*Assumptions!$E$19*Assumptions!$E$34</f>
        <v>69.355776</v>
      </c>
      <c r="F3258" s="48" t="n">
        <f aca="false">F3240*Assumptions!$E$19*Assumptions!$E$34</f>
        <v>69.355776</v>
      </c>
      <c r="G3258" s="48" t="n">
        <f aca="false">G3240*Assumptions!$E$19*Assumptions!$E$34</f>
        <v>86.69472</v>
      </c>
      <c r="H3258" s="48" t="n">
        <f aca="false">H3240*Assumptions!$E$19*Assumptions!$E$34</f>
        <v>104.033664</v>
      </c>
      <c r="I3258" s="48" t="n">
        <f aca="false">I3240*Assumptions!$E$19*Assumptions!$E$34</f>
        <v>159.7008</v>
      </c>
      <c r="J3258" s="48" t="n">
        <f aca="false">J3240*Assumptions!$E$19*Assumptions!$E$34</f>
        <v>215.367936</v>
      </c>
      <c r="K3258" s="48" t="n">
        <f aca="false">K3240*Assumptions!$E$19*Assumptions!$E$34</f>
        <v>215.367936</v>
      </c>
      <c r="L3258" s="48" t="n">
        <f aca="false">L3240*Assumptions!$E$19*Assumptions!$E$34</f>
        <v>215.367936</v>
      </c>
      <c r="M3258" s="48" t="n">
        <f aca="false">M3240*Assumptions!$E$19*Assumptions!$E$34</f>
        <v>215.367936</v>
      </c>
      <c r="N3258" s="48" t="n">
        <f aca="false">N3240*Assumptions!$E$19*Assumptions!$E$34</f>
        <v>215.367936</v>
      </c>
      <c r="P3258" s="49"/>
      <c r="Q3258" s="49"/>
      <c r="R3258" s="49"/>
      <c r="S3258" s="50"/>
    </row>
    <row r="3259" customFormat="false" ht="15" hidden="false" customHeight="false" outlineLevel="0" collapsed="false">
      <c r="A3259" s="4" t="s">
        <v>512</v>
      </c>
      <c r="B3259" s="36" t="s">
        <v>77</v>
      </c>
      <c r="C3259" s="51" t="n">
        <f aca="false">IFERROR(C3256/(C3256+C3257+C3258),0)</f>
        <v>0.631590736245533</v>
      </c>
      <c r="D3259" s="51" t="n">
        <f aca="false">IFERROR(D3256/(D3256+D3257+D3258),0)</f>
        <v>0.631590736245533</v>
      </c>
      <c r="E3259" s="51" t="n">
        <f aca="false">IFERROR(E3256/(E3256+E3257+E3258),0)</f>
        <v>0.631590736245533</v>
      </c>
      <c r="F3259" s="51" t="n">
        <f aca="false">IFERROR(F3256/(F3256+F3257+F3258),0)</f>
        <v>0.631590736245533</v>
      </c>
      <c r="G3259" s="51" t="n">
        <f aca="false">IFERROR(G3256/(G3256+G3257+G3258),0)</f>
        <v>0.638332506498128</v>
      </c>
      <c r="H3259" s="51" t="n">
        <f aca="false">IFERROR(H3256/(H3256+H3257+H3258),0)</f>
        <v>0.642303318118984</v>
      </c>
      <c r="I3259" s="51" t="n">
        <f aca="false">IFERROR(I3256/(I3256+I3257+I3258),0)</f>
        <v>0.657538025405288</v>
      </c>
      <c r="J3259" s="51" t="n">
        <f aca="false">IFERROR(J3256/(J3256+J3257+J3258),0)</f>
        <v>0.664058061428891</v>
      </c>
      <c r="K3259" s="51" t="n">
        <f aca="false">IFERROR(K3256/(K3256+K3257+K3258),0)</f>
        <v>0.664058061428891</v>
      </c>
      <c r="L3259" s="51" t="n">
        <f aca="false">IFERROR(L3256/(L3256+L3257+L3258),0)</f>
        <v>0.664058061428891</v>
      </c>
      <c r="M3259" s="51" t="n">
        <f aca="false">IFERROR(M3256/(M3256+M3257+M3258),0)</f>
        <v>0.664058061428891</v>
      </c>
      <c r="N3259" s="51" t="n">
        <f aca="false">IFERROR(N3256/(N3256+N3257+N3258),0)</f>
        <v>0.664058061428891</v>
      </c>
      <c r="P3259" s="52"/>
      <c r="Q3259" s="52"/>
      <c r="R3259" s="52"/>
      <c r="S3259" s="53"/>
    </row>
    <row r="3260" customFormat="false" ht="15" hidden="false" customHeight="false" outlineLevel="0" collapsed="false">
      <c r="A3260" s="4" t="s">
        <v>513</v>
      </c>
      <c r="B3260" s="36" t="s">
        <v>77</v>
      </c>
      <c r="C3260" s="51" t="n">
        <f aca="false">IFERROR(C3257/(C3256+C3257+C3258),0)</f>
        <v>0.316449102482628</v>
      </c>
      <c r="D3260" s="51" t="n">
        <f aca="false">IFERROR(D3257/(D3256+D3257+D3258),0)</f>
        <v>0.316449102482628</v>
      </c>
      <c r="E3260" s="51" t="n">
        <f aca="false">IFERROR(E3257/(E3256+E3257+E3258),0)</f>
        <v>0.316449102482628</v>
      </c>
      <c r="F3260" s="51" t="n">
        <f aca="false">IFERROR(F3257/(F3256+F3257+F3258),0)</f>
        <v>0.316449102482628</v>
      </c>
      <c r="G3260" s="51" t="n">
        <f aca="false">IFERROR(G3257/(G3256+G3257+G3258),0)</f>
        <v>0.313517566939561</v>
      </c>
      <c r="H3260" s="51" t="n">
        <f aca="false">IFERROR(H3257/(H3256+H3257+H3258),0)</f>
        <v>0.311790932099567</v>
      </c>
      <c r="I3260" s="51" t="n">
        <f aca="false">IFERROR(I3257/(I3256+I3257+I3258),0)</f>
        <v>0.300221741111391</v>
      </c>
      <c r="J3260" s="51" t="n">
        <f aca="false">IFERROR(J3257/(J3256+J3257+J3258),0)</f>
        <v>0.295270445324128</v>
      </c>
      <c r="K3260" s="51" t="n">
        <f aca="false">IFERROR(K3257/(K3256+K3257+K3258),0)</f>
        <v>0.295270445324128</v>
      </c>
      <c r="L3260" s="51" t="n">
        <f aca="false">IFERROR(L3257/(L3256+L3257+L3258),0)</f>
        <v>0.295270445324128</v>
      </c>
      <c r="M3260" s="51" t="n">
        <f aca="false">IFERROR(M3257/(M3256+M3257+M3258),0)</f>
        <v>0.295270445324128</v>
      </c>
      <c r="N3260" s="51" t="n">
        <f aca="false">IFERROR(N3257/(N3256+N3257+N3258),0)</f>
        <v>0.295270445324128</v>
      </c>
      <c r="P3260" s="52"/>
      <c r="Q3260" s="52"/>
      <c r="R3260" s="52"/>
      <c r="S3260" s="53"/>
    </row>
    <row r="3261" customFormat="false" ht="15" hidden="false" customHeight="false" outlineLevel="0" collapsed="false">
      <c r="A3261" s="4" t="s">
        <v>514</v>
      </c>
      <c r="B3261" s="36" t="s">
        <v>77</v>
      </c>
      <c r="C3261" s="51" t="n">
        <f aca="false">IFERROR(C3258/(C3256+C3257+C3258),0)</f>
        <v>0.0519601612718389</v>
      </c>
      <c r="D3261" s="51" t="n">
        <f aca="false">IFERROR(D3258/(D3256+D3257+D3258),0)</f>
        <v>0.0519601612718389</v>
      </c>
      <c r="E3261" s="51" t="n">
        <f aca="false">IFERROR(E3258/(E3256+E3257+E3258),0)</f>
        <v>0.0519601612718389</v>
      </c>
      <c r="F3261" s="51" t="n">
        <f aca="false">IFERROR(F3258/(F3256+F3257+F3258),0)</f>
        <v>0.0519601612718389</v>
      </c>
      <c r="G3261" s="51" t="n">
        <f aca="false">IFERROR(G3258/(G3256+G3257+G3258),0)</f>
        <v>0.0481499265623113</v>
      </c>
      <c r="H3261" s="51" t="n">
        <f aca="false">IFERROR(H3258/(H3256+H3257+H3258),0)</f>
        <v>0.0459057497814491</v>
      </c>
      <c r="I3261" s="51" t="n">
        <f aca="false">IFERROR(I3258/(I3256+I3257+I3258),0)</f>
        <v>0.0422402334833216</v>
      </c>
      <c r="J3261" s="51" t="n">
        <f aca="false">IFERROR(J3258/(J3256+J3257+J3258),0)</f>
        <v>0.0406714932469811</v>
      </c>
      <c r="K3261" s="51" t="n">
        <f aca="false">IFERROR(K3258/(K3256+K3257+K3258),0)</f>
        <v>0.0406714932469811</v>
      </c>
      <c r="L3261" s="51" t="n">
        <f aca="false">IFERROR(L3258/(L3256+L3257+L3258),0)</f>
        <v>0.0406714932469811</v>
      </c>
      <c r="M3261" s="51" t="n">
        <f aca="false">IFERROR(M3258/(M3256+M3257+M3258),0)</f>
        <v>0.0406714932469811</v>
      </c>
      <c r="N3261" s="51" t="n">
        <f aca="false">IFERROR(N3258/(N3256+N3257+N3258),0)</f>
        <v>0.0406714932469811</v>
      </c>
      <c r="P3261" s="52"/>
      <c r="Q3261" s="52"/>
      <c r="R3261" s="52"/>
      <c r="S3261" s="53"/>
    </row>
    <row r="3262" customFormat="false" ht="15" hidden="false" customHeight="false" outlineLevel="0" collapsed="false">
      <c r="A3262" s="4" t="s">
        <v>515</v>
      </c>
      <c r="B3262" s="36" t="s">
        <v>516</v>
      </c>
      <c r="C3262" s="48" t="n">
        <f aca="false">IF(C3230-Assumptions!$E$35&lt;1,0,INDEX($C$3255:$N$3255,1,C3230-Assumptions!$E$35)*INDEX($C$3259:$N$3259,1,C3230-Assumptions!$E$35)*Assumptions!$E$32)</f>
        <v>0</v>
      </c>
      <c r="D3262" s="48" t="n">
        <f aca="false">IF(D3230-Assumptions!$E$35&lt;1,0,INDEX($C$3255:$N$3255,1,D3230-Assumptions!$E$35)*INDEX($C$3259:$N$3259,1,D3230-Assumptions!$E$35)*Assumptions!$E$32)</f>
        <v>0.954215372936784</v>
      </c>
      <c r="E3262" s="48" t="n">
        <f aca="false">IF(E3230-Assumptions!$E$35&lt;1,0,INDEX($C$3255:$N$3255,1,E3230-Assumptions!$E$35)*INDEX($C$3259:$N$3259,1,E3230-Assumptions!$E$35)*Assumptions!$E$32)</f>
        <v>1.64852371627885</v>
      </c>
      <c r="F3262" s="48" t="n">
        <f aca="false">IF(F3230-Assumptions!$E$35&lt;1,0,INDEX($C$3255:$N$3255,1,F3230-Assumptions!$E$35)*INDEX($C$3259:$N$3259,1,F3230-Assumptions!$E$35)*Assumptions!$E$32)</f>
        <v>1.79074889709646</v>
      </c>
      <c r="G3262" s="48" t="n">
        <f aca="false">IF(G3230-Assumptions!$E$35&lt;1,0,INDEX($C$3255:$N$3255,1,G3230-Assumptions!$E$35)*INDEX($C$3259:$N$3259,1,G3230-Assumptions!$E$35)*Assumptions!$E$32)</f>
        <v>1.93691057981344</v>
      </c>
      <c r="H3262" s="48" t="n">
        <f aca="false">IF(H3230-Assumptions!$E$35&lt;1,0,INDEX($C$3255:$N$3255,1,H3230-Assumptions!$E$35)*INDEX($C$3259:$N$3259,1,H3230-Assumptions!$E$35)*Assumptions!$E$32)</f>
        <v>2.50605252828744</v>
      </c>
      <c r="I3262" s="48" t="n">
        <f aca="false">IF(I3230-Assumptions!$E$35&lt;1,0,INDEX($C$3255:$N$3255,1,I3230-Assumptions!$E$35)*INDEX($C$3259:$N$3259,1,I3230-Assumptions!$E$35)*Assumptions!$E$32)</f>
        <v>3.03321216515191</v>
      </c>
      <c r="J3262" s="48" t="n">
        <f aca="false">IF(J3230-Assumptions!$E$35&lt;1,0,INDEX($C$3255:$N$3255,1,J3230-Assumptions!$E$35)*INDEX($C$3259:$N$3259,1,J3230-Assumptions!$E$35)*Assumptions!$E$32)</f>
        <v>4.5741601634723</v>
      </c>
      <c r="K3262" s="48" t="n">
        <f aca="false">IF(K3230-Assumptions!$E$35&lt;1,0,INDEX($C$3255:$N$3255,1,K3230-Assumptions!$E$35)*INDEX($C$3259:$N$3259,1,K3230-Assumptions!$E$35)*Assumptions!$E$32)</f>
        <v>5.95996082997382</v>
      </c>
      <c r="L3262" s="48" t="n">
        <f aca="false">IF(L3230-Assumptions!$E$35&lt;1,0,INDEX($C$3255:$N$3255,1,L3230-Assumptions!$E$35)*INDEX($C$3259:$N$3259,1,L3230-Assumptions!$E$35)*Assumptions!$E$32)</f>
        <v>5.95512374268999</v>
      </c>
      <c r="M3262" s="48" t="n">
        <f aca="false">IF(M3230-Assumptions!$E$35&lt;1,0,INDEX($C$3255:$N$3255,1,M3230-Assumptions!$E$35)*INDEX($C$3259:$N$3259,1,M3230-Assumptions!$E$35)*Assumptions!$E$32)</f>
        <v>5.75595999327188</v>
      </c>
      <c r="N3262" s="48" t="n">
        <f aca="false">IF(N3230-Assumptions!$E$35&lt;1,0,INDEX($C$3255:$N$3255,1,N3230-Assumptions!$E$35)*INDEX($C$3259:$N$3259,1,N3230-Assumptions!$E$35)*Assumptions!$E$32)</f>
        <v>5.5706172403064</v>
      </c>
      <c r="P3262" s="49" t="n">
        <f aca="false">SUM(C3262:F3262)</f>
        <v>4.39348798631209</v>
      </c>
      <c r="Q3262" s="49" t="n">
        <f aca="false">SUM(G3262:J3262)</f>
        <v>12.0503354367251</v>
      </c>
      <c r="R3262" s="49" t="n">
        <f aca="false">SUM(K3262:N3262)</f>
        <v>23.2416618062421</v>
      </c>
      <c r="S3262" s="50" t="n">
        <f aca="false">SUM(P3262:R3262)</f>
        <v>39.6854852292793</v>
      </c>
    </row>
    <row r="3263" customFormat="false" ht="15" hidden="false" customHeight="false" outlineLevel="0" collapsed="false">
      <c r="A3263" s="4" t="s">
        <v>517</v>
      </c>
      <c r="B3263" s="36" t="s">
        <v>516</v>
      </c>
      <c r="C3263" s="48" t="n">
        <f aca="false">IF(C3230-Assumptions!$E$35&lt;1,0,INDEX($C$3255:$N$3255,1,C3230-Assumptions!$E$35)*INDEX($C$3260:$N$3260,1,C3230-Assumptions!$E$35)*Assumptions!$E$32)</f>
        <v>0</v>
      </c>
      <c r="D3263" s="48" t="n">
        <f aca="false">IF(D3230-Assumptions!$E$35&lt;1,0,INDEX($C$3255:$N$3255,1,D3230-Assumptions!$E$35)*INDEX($C$3260:$N$3260,1,D3230-Assumptions!$E$35)*Assumptions!$E$32)</f>
        <v>0.478095356711475</v>
      </c>
      <c r="E3263" s="48" t="n">
        <f aca="false">IF(E3230-Assumptions!$E$35&lt;1,0,INDEX($C$3255:$N$3255,1,E3230-Assumptions!$E$35)*INDEX($C$3260:$N$3260,1,E3230-Assumptions!$E$35)*Assumptions!$E$32)</f>
        <v>0.825968179233974</v>
      </c>
      <c r="F3263" s="48" t="n">
        <f aca="false">IF(F3230-Assumptions!$E$35&lt;1,0,INDEX($C$3255:$N$3255,1,F3230-Assumptions!$E$35)*INDEX($C$3260:$N$3260,1,F3230-Assumptions!$E$35)*Assumptions!$E$32)</f>
        <v>0.897227981250235</v>
      </c>
      <c r="G3263" s="48" t="n">
        <f aca="false">IF(G3230-Assumptions!$E$35&lt;1,0,INDEX($C$3255:$N$3255,1,G3230-Assumptions!$E$35)*INDEX($C$3260:$N$3260,1,G3230-Assumptions!$E$35)*Assumptions!$E$32)</f>
        <v>0.970460108732166</v>
      </c>
      <c r="H3263" s="48" t="n">
        <f aca="false">IF(H3230-Assumptions!$E$35&lt;1,0,INDEX($C$3255:$N$3255,1,H3230-Assumptions!$E$35)*INDEX($C$3260:$N$3260,1,H3230-Assumptions!$E$35)*Assumptions!$E$32)</f>
        <v>1.23084988355315</v>
      </c>
      <c r="I3263" s="48" t="n">
        <f aca="false">IF(I3230-Assumptions!$E$35&lt;1,0,INDEX($C$3255:$N$3255,1,I3230-Assumptions!$E$35)*INDEX($C$3260:$N$3260,1,I3230-Assumptions!$E$35)*Assumptions!$E$32)</f>
        <v>1.47240100050871</v>
      </c>
      <c r="J3263" s="48" t="n">
        <f aca="false">IF(J3230-Assumptions!$E$35&lt;1,0,INDEX($C$3255:$N$3255,1,J3230-Assumptions!$E$35)*INDEX($C$3260:$N$3260,1,J3230-Assumptions!$E$35)*Assumptions!$E$32)</f>
        <v>2.08849112194474</v>
      </c>
      <c r="K3263" s="48" t="n">
        <f aca="false">IF(K3230-Assumptions!$E$35&lt;1,0,INDEX($C$3255:$N$3255,1,K3230-Assumptions!$E$35)*INDEX($C$3260:$N$3260,1,K3230-Assumptions!$E$35)*Assumptions!$E$32)</f>
        <v>2.65006991195028</v>
      </c>
      <c r="L3263" s="48" t="n">
        <f aca="false">IF(L3230-Assumptions!$E$35&lt;1,0,INDEX($C$3255:$N$3255,1,L3230-Assumptions!$E$35)*INDEX($C$3260:$N$3260,1,L3230-Assumptions!$E$35)*Assumptions!$E$32)</f>
        <v>2.64791912273571</v>
      </c>
      <c r="M3263" s="48" t="n">
        <f aca="false">IF(M3230-Assumptions!$E$35&lt;1,0,INDEX($C$3255:$N$3255,1,M3230-Assumptions!$E$35)*INDEX($C$3260:$N$3260,1,M3230-Assumptions!$E$35)*Assumptions!$E$32)</f>
        <v>2.55936185282384</v>
      </c>
      <c r="N3263" s="48" t="n">
        <f aca="false">IF(N3230-Assumptions!$E$35&lt;1,0,INDEX($C$3255:$N$3255,1,N3230-Assumptions!$E$35)*INDEX($C$3260:$N$3260,1,N3230-Assumptions!$E$35)*Assumptions!$E$32)</f>
        <v>2.47695002713505</v>
      </c>
      <c r="P3263" s="49" t="n">
        <f aca="false">SUM(C3263:F3263)</f>
        <v>2.20129151719568</v>
      </c>
      <c r="Q3263" s="49" t="n">
        <f aca="false">SUM(G3263:J3263)</f>
        <v>5.76220211473877</v>
      </c>
      <c r="R3263" s="49" t="n">
        <f aca="false">SUM(K3263:N3263)</f>
        <v>10.3343009146449</v>
      </c>
      <c r="S3263" s="50" t="n">
        <f aca="false">SUM(P3263:R3263)</f>
        <v>18.2977945465793</v>
      </c>
    </row>
    <row r="3264" customFormat="false" ht="15" hidden="false" customHeight="false" outlineLevel="0" collapsed="false">
      <c r="A3264" s="4" t="s">
        <v>518</v>
      </c>
      <c r="B3264" s="36" t="s">
        <v>516</v>
      </c>
      <c r="C3264" s="48" t="n">
        <f aca="false">IF(C3230-Assumptions!$E$36&lt;1,0,INDEX($C$3255:$N$3255,1,C3230-Assumptions!$E$36)*INDEX($C$3261:$N$3261,1,C3230-Assumptions!$E$36)*Assumptions!$E$32)</f>
        <v>0</v>
      </c>
      <c r="D3264" s="48" t="n">
        <f aca="false">IF(D3230-Assumptions!$E$36&lt;1,0,INDEX($C$3255:$N$3255,1,D3230-Assumptions!$E$36)*INDEX($C$3261:$N$3261,1,D3230-Assumptions!$E$36)*Assumptions!$E$32)</f>
        <v>0</v>
      </c>
      <c r="E3264" s="48" t="n">
        <f aca="false">IF(E3230-Assumptions!$E$36&lt;1,0,INDEX($C$3255:$N$3255,1,E3230-Assumptions!$E$36)*INDEX($C$3261:$N$3261,1,E3230-Assumptions!$E$36)*Assumptions!$E$32)</f>
        <v>0.0785020770896619</v>
      </c>
      <c r="F3264" s="48" t="n">
        <f aca="false">IF(F3230-Assumptions!$E$36&lt;1,0,INDEX($C$3255:$N$3255,1,F3230-Assumptions!$E$36)*INDEX($C$3261:$N$3261,1,F3230-Assumptions!$E$36)*Assumptions!$E$32)</f>
        <v>0.135621935602616</v>
      </c>
      <c r="G3264" s="48" t="n">
        <f aca="false">IF(G3230-Assumptions!$E$36&lt;1,0,INDEX($C$3255:$N$3255,1,G3230-Assumptions!$E$36)*INDEX($C$3261:$N$3261,1,G3230-Assumptions!$E$36)*Assumptions!$E$32)</f>
        <v>0.147322619143557</v>
      </c>
      <c r="H3264" s="48" t="n">
        <f aca="false">IF(H3230-Assumptions!$E$36&lt;1,0,INDEX($C$3255:$N$3255,1,H3230-Assumptions!$E$36)*INDEX($C$3261:$N$3261,1,H3230-Assumptions!$E$36)*Assumptions!$E$32)</f>
        <v>0.159347153656022</v>
      </c>
      <c r="I3264" s="48" t="n">
        <f aca="false">IF(I3230-Assumptions!$E$36&lt;1,0,INDEX($C$3255:$N$3255,1,I3230-Assumptions!$E$36)*INDEX($C$3261:$N$3261,1,I3230-Assumptions!$E$36)*Assumptions!$E$32)</f>
        <v>0.189033527150772</v>
      </c>
      <c r="J3264" s="48" t="n">
        <f aca="false">IF(J3230-Assumptions!$E$36&lt;1,0,INDEX($C$3255:$N$3255,1,J3230-Assumptions!$E$36)*INDEX($C$3261:$N$3261,1,J3230-Assumptions!$E$36)*Assumptions!$E$32)</f>
        <v>0.216785239558294</v>
      </c>
      <c r="K3264" s="48" t="n">
        <f aca="false">IF(K3230-Assumptions!$E$36&lt;1,0,INDEX($C$3255:$N$3255,1,K3230-Assumptions!$E$36)*INDEX($C$3261:$N$3261,1,K3230-Assumptions!$E$36)*Assumptions!$E$32)</f>
        <v>0.293843984423695</v>
      </c>
      <c r="L3264" s="48" t="n">
        <f aca="false">IF(L3230-Assumptions!$E$36&lt;1,0,INDEX($C$3255:$N$3255,1,L3230-Assumptions!$E$36)*INDEX($C$3261:$N$3261,1,L3230-Assumptions!$E$36)*Assumptions!$E$32)</f>
        <v>0.365029085148015</v>
      </c>
      <c r="M3264" s="48" t="n">
        <f aca="false">IF(M3230-Assumptions!$E$36&lt;1,0,INDEX($C$3255:$N$3255,1,M3230-Assumptions!$E$36)*INDEX($C$3261:$N$3261,1,M3230-Assumptions!$E$36)*Assumptions!$E$32)</f>
        <v>0.36473282857916</v>
      </c>
      <c r="N3264" s="48" t="n">
        <f aca="false">IF(N3230-Assumptions!$E$36&lt;1,0,INDEX($C$3255:$N$3255,1,N3230-Assumptions!$E$36)*INDEX($C$3261:$N$3261,1,N3230-Assumptions!$E$36)*Assumptions!$E$32)</f>
        <v>0.35253466766523</v>
      </c>
      <c r="P3264" s="49" t="n">
        <f aca="false">SUM(C3264:F3264)</f>
        <v>0.214124012692277</v>
      </c>
      <c r="Q3264" s="49" t="n">
        <f aca="false">SUM(G3264:J3264)</f>
        <v>0.712488539508646</v>
      </c>
      <c r="R3264" s="49" t="n">
        <f aca="false">SUM(K3264:N3264)</f>
        <v>1.3761405658161</v>
      </c>
      <c r="S3264" s="50" t="n">
        <f aca="false">SUM(P3264:R3264)</f>
        <v>2.30275311801702</v>
      </c>
    </row>
    <row r="3265" customFormat="false" ht="15" hidden="false" customHeight="false" outlineLevel="0" collapsed="false">
      <c r="A3265" s="4" t="s">
        <v>519</v>
      </c>
      <c r="B3265" s="36" t="s">
        <v>77</v>
      </c>
      <c r="C3265" s="51" t="n">
        <f aca="false">IF(C3230-Assumptions!$E$35&lt;1,0,IFERROR(INDEX($C$3254:$N$3254,1,C3230-Assumptions!$E$35)/INDEX($C$3255:$N$3255,1,C3230-Assumptions!$E$35),0))</f>
        <v>0</v>
      </c>
      <c r="D3265" s="51" t="n">
        <f aca="false">IF(D3230-Assumptions!$E$35&lt;1,0,IFERROR(INDEX($C$3254:$N$3254,1,D3230-Assumptions!$E$35)/INDEX($C$3255:$N$3255,1,D3230-Assumptions!$E$35),0))</f>
        <v>0.416994082384215</v>
      </c>
      <c r="E3265" s="51" t="n">
        <f aca="false">IF(E3230-Assumptions!$E$35&lt;1,0,IFERROR(INDEX($C$3254:$N$3254,1,E3230-Assumptions!$E$35)/INDEX($C$3255:$N$3255,1,E3230-Assumptions!$E$35),0))</f>
        <v>0.362053175127673</v>
      </c>
      <c r="F3265" s="51" t="n">
        <f aca="false">IF(F3230-Assumptions!$E$35&lt;1,0,IFERROR(INDEX($C$3254:$N$3254,1,F3230-Assumptions!$E$35)/INDEX($C$3255:$N$3255,1,F3230-Assumptions!$E$35),0))</f>
        <v>0.44439749702468</v>
      </c>
      <c r="G3265" s="51" t="n">
        <f aca="false">IF(G3230-Assumptions!$E$35&lt;1,0,IFERROR(INDEX($C$3254:$N$3254,1,G3230-Assumptions!$E$35)/INDEX($C$3255:$N$3255,1,G3230-Assumptions!$E$35),0))</f>
        <v>0.513578386092831</v>
      </c>
      <c r="H3265" s="51" t="n">
        <f aca="false">IF(H3230-Assumptions!$E$35&lt;1,0,IFERROR(INDEX($C$3254:$N$3254,1,H3230-Assumptions!$E$35)/INDEX($C$3255:$N$3255,1,H3230-Assumptions!$E$35),0))</f>
        <v>0.481413866494616</v>
      </c>
      <c r="I3265" s="51" t="n">
        <f aca="false">IF(I3230-Assumptions!$E$35&lt;1,0,IFERROR(INDEX($C$3254:$N$3254,1,I3230-Assumptions!$E$35)/INDEX($C$3255:$N$3255,1,I3230-Assumptions!$E$35),0))</f>
        <v>0.466923755853204</v>
      </c>
      <c r="J3265" s="51" t="n">
        <f aca="false">IF(J3230-Assumptions!$E$35&lt;1,0,IFERROR(INDEX($C$3254:$N$3254,1,J3230-Assumptions!$E$35)/INDEX($C$3255:$N$3255,1,J3230-Assumptions!$E$35),0))</f>
        <v>0.362251378352148</v>
      </c>
      <c r="K3265" s="51" t="n">
        <f aca="false">IF(K3230-Assumptions!$E$35&lt;1,0,IFERROR(INDEX($C$3254:$N$3254,1,K3230-Assumptions!$E$35)/INDEX($C$3255:$N$3255,1,K3230-Assumptions!$E$35),0))</f>
        <v>0.315875331710724</v>
      </c>
      <c r="L3265" s="51" t="n">
        <f aca="false">IF(L3230-Assumptions!$E$35&lt;1,0,IFERROR(INDEX($C$3254:$N$3254,1,L3230-Assumptions!$E$35)/INDEX($C$3255:$N$3255,1,L3230-Assumptions!$E$35),0))</f>
        <v>0.351257670517544</v>
      </c>
      <c r="M3265" s="51" t="n">
        <f aca="false">IF(M3230-Assumptions!$E$35&lt;1,0,IFERROR(INDEX($C$3254:$N$3254,1,M3230-Assumptions!$E$35)/INDEX($C$3255:$N$3255,1,M3230-Assumptions!$E$35),0))</f>
        <v>0.363411645658775</v>
      </c>
      <c r="N3265" s="51" t="n">
        <f aca="false">IF(N3230-Assumptions!$E$35&lt;1,0,IFERROR(INDEX($C$3254:$N$3254,1,N3230-Assumptions!$E$35)/INDEX($C$3255:$N$3255,1,N3230-Assumptions!$E$35),0))</f>
        <v>0.375502893712717</v>
      </c>
      <c r="P3265" s="52"/>
      <c r="Q3265" s="52"/>
      <c r="R3265" s="52"/>
      <c r="S3265" s="53"/>
    </row>
    <row r="3266" customFormat="false" ht="15" hidden="false" customHeight="false" outlineLevel="0" collapsed="false">
      <c r="A3266" s="4" t="s">
        <v>520</v>
      </c>
      <c r="B3266" s="36" t="s">
        <v>516</v>
      </c>
      <c r="C3266" s="48" t="n">
        <f aca="false">C3262*Assumptions!$E$37</f>
        <v>0</v>
      </c>
      <c r="D3266" s="48" t="n">
        <f aca="false">D3262*Assumptions!$E$37</f>
        <v>0.286264611881035</v>
      </c>
      <c r="E3266" s="48" t="n">
        <f aca="false">E3262*Assumptions!$E$37</f>
        <v>0.494557114883655</v>
      </c>
      <c r="F3266" s="48" t="n">
        <f aca="false">F3262*Assumptions!$E$37</f>
        <v>0.537224669128937</v>
      </c>
      <c r="G3266" s="48" t="n">
        <f aca="false">G3262*Assumptions!$E$37</f>
        <v>0.581073173944032</v>
      </c>
      <c r="H3266" s="48" t="n">
        <f aca="false">H3262*Assumptions!$E$37</f>
        <v>0.751815758486231</v>
      </c>
      <c r="I3266" s="48" t="n">
        <f aca="false">I3262*Assumptions!$E$37</f>
        <v>0.909963649545573</v>
      </c>
      <c r="J3266" s="48" t="n">
        <f aca="false">J3262*Assumptions!$E$37</f>
        <v>1.37224804904169</v>
      </c>
      <c r="K3266" s="48" t="n">
        <f aca="false">K3262*Assumptions!$E$37</f>
        <v>1.78798824899215</v>
      </c>
      <c r="L3266" s="48" t="n">
        <f aca="false">L3262*Assumptions!$E$37</f>
        <v>1.786537122807</v>
      </c>
      <c r="M3266" s="48" t="n">
        <f aca="false">M3262*Assumptions!$E$37</f>
        <v>1.72678799798157</v>
      </c>
      <c r="N3266" s="48" t="n">
        <f aca="false">N3262*Assumptions!$E$37</f>
        <v>1.67118517209192</v>
      </c>
      <c r="P3266" s="49" t="n">
        <f aca="false">SUM(C3266:F3266)</f>
        <v>1.31804639589363</v>
      </c>
      <c r="Q3266" s="49" t="n">
        <f aca="false">SUM(G3266:J3266)</f>
        <v>3.61510063101752</v>
      </c>
      <c r="R3266" s="49" t="n">
        <f aca="false">SUM(K3266:N3266)</f>
        <v>6.97249854187263</v>
      </c>
      <c r="S3266" s="50" t="n">
        <f aca="false">SUM(P3266:R3266)</f>
        <v>11.9056455687838</v>
      </c>
    </row>
    <row r="3267" customFormat="false" ht="15" hidden="false" customHeight="false" outlineLevel="0" collapsed="false">
      <c r="A3267" s="4" t="s">
        <v>521</v>
      </c>
      <c r="B3267" s="36" t="s">
        <v>516</v>
      </c>
      <c r="C3267" s="48" t="n">
        <f aca="false">C3262*(1-Assumptions!$E$37)</f>
        <v>0</v>
      </c>
      <c r="D3267" s="48" t="n">
        <f aca="false">D3262*(1-Assumptions!$E$37)</f>
        <v>0.667950761055748</v>
      </c>
      <c r="E3267" s="48" t="n">
        <f aca="false">E3262*(1-Assumptions!$E$37)</f>
        <v>1.1539666013952</v>
      </c>
      <c r="F3267" s="48" t="n">
        <f aca="false">F3262*(1-Assumptions!$E$37)</f>
        <v>1.25352422796752</v>
      </c>
      <c r="G3267" s="48" t="n">
        <f aca="false">G3262*(1-Assumptions!$E$37)</f>
        <v>1.35583740586941</v>
      </c>
      <c r="H3267" s="48" t="n">
        <f aca="false">H3262*(1-Assumptions!$E$37)</f>
        <v>1.75423676980121</v>
      </c>
      <c r="I3267" s="48" t="n">
        <f aca="false">I3262*(1-Assumptions!$E$37)</f>
        <v>2.12324851560634</v>
      </c>
      <c r="J3267" s="48" t="n">
        <f aca="false">J3262*(1-Assumptions!$E$37)</f>
        <v>3.20191211443061</v>
      </c>
      <c r="K3267" s="48" t="n">
        <f aca="false">K3262*(1-Assumptions!$E$37)</f>
        <v>4.17197258098168</v>
      </c>
      <c r="L3267" s="48" t="n">
        <f aca="false">L3262*(1-Assumptions!$E$37)</f>
        <v>4.16858661988299</v>
      </c>
      <c r="M3267" s="48" t="n">
        <f aca="false">M3262*(1-Assumptions!$E$37)</f>
        <v>4.02917199529032</v>
      </c>
      <c r="N3267" s="48" t="n">
        <f aca="false">N3262*(1-Assumptions!$E$37)</f>
        <v>3.89943206821448</v>
      </c>
      <c r="P3267" s="49" t="n">
        <f aca="false">SUM(C3267:F3267)</f>
        <v>3.07544159041846</v>
      </c>
      <c r="Q3267" s="49" t="n">
        <f aca="false">SUM(G3267:J3267)</f>
        <v>8.43523480570756</v>
      </c>
      <c r="R3267" s="49" t="n">
        <f aca="false">SUM(K3267:N3267)</f>
        <v>16.2691632643695</v>
      </c>
      <c r="S3267" s="50" t="n">
        <f aca="false">SUM(P3267:R3267)</f>
        <v>27.7798396604955</v>
      </c>
    </row>
    <row r="3268" customFormat="false" ht="15" hidden="false" customHeight="false" outlineLevel="0" collapsed="false">
      <c r="A3268" s="4" t="s">
        <v>522</v>
      </c>
      <c r="B3268" s="36" t="s">
        <v>125</v>
      </c>
      <c r="C3268" s="54" t="n">
        <f aca="false">C3267*$C$3221+C3263*$C$3222+C3264*$C$3223</f>
        <v>0</v>
      </c>
      <c r="D3268" s="54" t="n">
        <f aca="false">D3267*$C$3221+D3263*$C$3222+D3264*$C$3223</f>
        <v>8244.29601702723</v>
      </c>
      <c r="E3268" s="54" t="n">
        <f aca="false">E3267*$C$3221+E3263*$C$3222+E3264*$C$3223</f>
        <v>19092.7507247035</v>
      </c>
      <c r="F3268" s="54" t="n">
        <f aca="false">F3267*$C$3221+F3263*$C$3222+F3264*$C$3223</f>
        <v>23850.322939273</v>
      </c>
      <c r="G3268" s="54" t="n">
        <f aca="false">G3267*$C$3221+G3263*$C$3222+G3264*$C$3223</f>
        <v>25835.9885866879</v>
      </c>
      <c r="H3268" s="54" t="n">
        <f aca="false">H3267*$C$3221+H3263*$C$3222+H3264*$C$3223</f>
        <v>31254.2308115468</v>
      </c>
      <c r="I3268" s="54" t="n">
        <f aca="false">I3267*$C$3221+I3263*$C$3222+I3264*$C$3223</f>
        <v>37422.3162191729</v>
      </c>
      <c r="J3268" s="54" t="n">
        <f aca="false">J3267*$C$3221+J3263*$C$3222+J3264*$C$3223</f>
        <v>50926.9559898749</v>
      </c>
      <c r="K3268" s="54" t="n">
        <f aca="false">K3267*$C$3221+K3263*$C$3222+K3264*$C$3223</f>
        <v>66364.0573633267</v>
      </c>
      <c r="L3268" s="54" t="n">
        <f aca="false">L3267*$C$3221+L3263*$C$3222+L3264*$C$3223</f>
        <v>70722.6209347655</v>
      </c>
      <c r="M3268" s="54" t="n">
        <f aca="false">M3267*$C$3221+M3263*$C$3222+M3264*$C$3223</f>
        <v>69093.2575791325</v>
      </c>
      <c r="N3268" s="54" t="n">
        <f aca="false">N3267*$C$3221+N3263*$C$3222+N3264*$C$3223</f>
        <v>66840.415142274</v>
      </c>
      <c r="P3268" s="55" t="n">
        <f aca="false">SUM(C3268:F3268)</f>
        <v>51187.3696810037</v>
      </c>
      <c r="Q3268" s="55" t="n">
        <f aca="false">SUM(G3268:J3268)</f>
        <v>145439.491607282</v>
      </c>
      <c r="R3268" s="55" t="n">
        <f aca="false">SUM(K3268:N3268)</f>
        <v>273020.351019499</v>
      </c>
      <c r="S3268" s="56" t="n">
        <f aca="false">SUM(P3268:R3268)</f>
        <v>469647.212307785</v>
      </c>
    </row>
    <row r="3269" customFormat="false" ht="15" hidden="false" customHeight="false" outlineLevel="0" collapsed="false">
      <c r="A3269" s="4" t="s">
        <v>523</v>
      </c>
      <c r="B3269" s="36" t="s">
        <v>125</v>
      </c>
      <c r="C3269" s="54" t="n">
        <f aca="false">(C3245+Assumptions!$D$104*C3231)*$C$3226</f>
        <v>306250</v>
      </c>
      <c r="D3269" s="54" t="n">
        <f aca="false">(D3245+Assumptions!$D$104*D3231)*$C$3226</f>
        <v>306250</v>
      </c>
      <c r="E3269" s="54" t="n">
        <f aca="false">(E3245+Assumptions!$D$104*E3231)*$C$3226</f>
        <v>306250</v>
      </c>
      <c r="F3269" s="54" t="n">
        <f aca="false">(F3245+Assumptions!$D$104*F3231)*$C$3226</f>
        <v>306250</v>
      </c>
      <c r="G3269" s="54" t="n">
        <f aca="false">(G3245+Assumptions!$D$104*G3231)*$C$3226</f>
        <v>306250</v>
      </c>
      <c r="H3269" s="54" t="n">
        <f aca="false">(H3245+Assumptions!$D$104*H3231)*$C$3226</f>
        <v>306250</v>
      </c>
      <c r="I3269" s="54" t="n">
        <f aca="false">(I3245+Assumptions!$D$104*I3231)*$C$3226</f>
        <v>306250</v>
      </c>
      <c r="J3269" s="54" t="n">
        <f aca="false">(J3245+Assumptions!$D$104*J3231)*$C$3226</f>
        <v>306250</v>
      </c>
      <c r="K3269" s="54" t="n">
        <f aca="false">(K3245+Assumptions!$D$104*K3231)*$C$3226</f>
        <v>306250</v>
      </c>
      <c r="L3269" s="54" t="n">
        <f aca="false">(L3245+Assumptions!$D$104*L3231)*$C$3226</f>
        <v>306250</v>
      </c>
      <c r="M3269" s="54" t="n">
        <f aca="false">(M3245+Assumptions!$D$104*M3231)*$C$3226</f>
        <v>306250</v>
      </c>
      <c r="N3269" s="54" t="n">
        <f aca="false">(N3245+Assumptions!$D$104*N3231)*$C$3226</f>
        <v>306250</v>
      </c>
      <c r="P3269" s="55" t="n">
        <f aca="false">SUM(C3269:F3269)</f>
        <v>1225000</v>
      </c>
      <c r="Q3269" s="55" t="n">
        <f aca="false">SUM(G3269:J3269)</f>
        <v>1225000</v>
      </c>
      <c r="R3269" s="55" t="n">
        <f aca="false">SUM(K3269:N3269)</f>
        <v>1225000</v>
      </c>
      <c r="S3269" s="56" t="n">
        <f aca="false">SUM(P3269:R3269)</f>
        <v>3675000</v>
      </c>
    </row>
    <row r="3270" customFormat="false" ht="15" hidden="false" customHeight="false" outlineLevel="0" collapsed="false">
      <c r="A3270" s="4" t="s">
        <v>524</v>
      </c>
      <c r="B3270" s="36" t="s">
        <v>77</v>
      </c>
      <c r="C3270" s="51" t="n">
        <f aca="false">IF(C3268&gt;0,MIN(1,C3269/C3268),1)</f>
        <v>1</v>
      </c>
      <c r="D3270" s="51" t="n">
        <f aca="false">IF(D3268&gt;0,MIN(1,D3269/D3268),1)</f>
        <v>1</v>
      </c>
      <c r="E3270" s="51" t="n">
        <f aca="false">IF(E3268&gt;0,MIN(1,E3269/E3268),1)</f>
        <v>1</v>
      </c>
      <c r="F3270" s="51" t="n">
        <f aca="false">IF(F3268&gt;0,MIN(1,F3269/F3268),1)</f>
        <v>1</v>
      </c>
      <c r="G3270" s="51" t="n">
        <f aca="false">IF(G3268&gt;0,MIN(1,G3269/G3268),1)</f>
        <v>1</v>
      </c>
      <c r="H3270" s="51" t="n">
        <f aca="false">IF(H3268&gt;0,MIN(1,H3269/H3268),1)</f>
        <v>1</v>
      </c>
      <c r="I3270" s="51" t="n">
        <f aca="false">IF(I3268&gt;0,MIN(1,I3269/I3268),1)</f>
        <v>1</v>
      </c>
      <c r="J3270" s="51" t="n">
        <f aca="false">IF(J3268&gt;0,MIN(1,J3269/J3268),1)</f>
        <v>1</v>
      </c>
      <c r="K3270" s="51" t="n">
        <f aca="false">IF(K3268&gt;0,MIN(1,K3269/K3268),1)</f>
        <v>1</v>
      </c>
      <c r="L3270" s="51" t="n">
        <f aca="false">IF(L3268&gt;0,MIN(1,L3269/L3268),1)</f>
        <v>1</v>
      </c>
      <c r="M3270" s="51" t="n">
        <f aca="false">IF(M3268&gt;0,MIN(1,M3269/M3268),1)</f>
        <v>1</v>
      </c>
      <c r="N3270" s="51" t="n">
        <f aca="false">IF(N3268&gt;0,MIN(1,N3269/N3268),1)</f>
        <v>1</v>
      </c>
      <c r="P3270" s="52"/>
      <c r="Q3270" s="52"/>
      <c r="R3270" s="52"/>
      <c r="S3270" s="53"/>
    </row>
    <row r="3271" customFormat="false" ht="15" hidden="false" customHeight="false" outlineLevel="0" collapsed="false">
      <c r="A3271" s="4" t="s">
        <v>525</v>
      </c>
      <c r="B3271" s="36" t="s">
        <v>125</v>
      </c>
      <c r="C3271" s="54" t="n">
        <f aca="false">C3268*(1-C3270)</f>
        <v>0</v>
      </c>
      <c r="D3271" s="54" t="n">
        <f aca="false">D3268*(1-D3270)</f>
        <v>0</v>
      </c>
      <c r="E3271" s="54" t="n">
        <f aca="false">E3268*(1-E3270)</f>
        <v>0</v>
      </c>
      <c r="F3271" s="54" t="n">
        <f aca="false">F3268*(1-F3270)</f>
        <v>0</v>
      </c>
      <c r="G3271" s="54" t="n">
        <f aca="false">G3268*(1-G3270)</f>
        <v>0</v>
      </c>
      <c r="H3271" s="54" t="n">
        <f aca="false">H3268*(1-H3270)</f>
        <v>0</v>
      </c>
      <c r="I3271" s="54" t="n">
        <f aca="false">I3268*(1-I3270)</f>
        <v>0</v>
      </c>
      <c r="J3271" s="54" t="n">
        <f aca="false">J3268*(1-J3270)</f>
        <v>0</v>
      </c>
      <c r="K3271" s="54" t="n">
        <f aca="false">K3268*(1-K3270)</f>
        <v>0</v>
      </c>
      <c r="L3271" s="54" t="n">
        <f aca="false">L3268*(1-L3270)</f>
        <v>0</v>
      </c>
      <c r="M3271" s="54" t="n">
        <f aca="false">M3268*(1-M3270)</f>
        <v>0</v>
      </c>
      <c r="N3271" s="54" t="n">
        <f aca="false">N3268*(1-N3270)</f>
        <v>0</v>
      </c>
      <c r="P3271" s="55" t="n">
        <f aca="false">SUM(C3271:F3271)</f>
        <v>0</v>
      </c>
      <c r="Q3271" s="55" t="n">
        <f aca="false">SUM(G3271:J3271)</f>
        <v>0</v>
      </c>
      <c r="R3271" s="55" t="n">
        <f aca="false">SUM(K3271:N3271)</f>
        <v>0</v>
      </c>
      <c r="S3271" s="56" t="n">
        <f aca="false">SUM(P3271:R3271)</f>
        <v>0</v>
      </c>
    </row>
    <row r="3272" customFormat="false" ht="15" hidden="false" customHeight="false" outlineLevel="0" collapsed="false">
      <c r="A3272" s="4" t="s">
        <v>526</v>
      </c>
      <c r="B3272" s="36" t="s">
        <v>527</v>
      </c>
      <c r="C3272" s="48" t="n">
        <f aca="false">C3266+C3267*C3270</f>
        <v>0</v>
      </c>
      <c r="D3272" s="48" t="n">
        <f aca="false">D3266+D3267*D3270</f>
        <v>0.954215372936783</v>
      </c>
      <c r="E3272" s="48" t="n">
        <f aca="false">E3266+E3267*E3270</f>
        <v>1.64852371627885</v>
      </c>
      <c r="F3272" s="48" t="n">
        <f aca="false">F3266+F3267*F3270</f>
        <v>1.79074889709646</v>
      </c>
      <c r="G3272" s="48" t="n">
        <f aca="false">G3266+G3267*G3270</f>
        <v>1.93691057981344</v>
      </c>
      <c r="H3272" s="48" t="n">
        <f aca="false">H3266+H3267*H3270</f>
        <v>2.50605252828744</v>
      </c>
      <c r="I3272" s="48" t="n">
        <f aca="false">I3266+I3267*I3270</f>
        <v>3.03321216515191</v>
      </c>
      <c r="J3272" s="48" t="n">
        <f aca="false">J3266+J3267*J3270</f>
        <v>4.5741601634723</v>
      </c>
      <c r="K3272" s="48" t="n">
        <f aca="false">K3266+K3267*K3270</f>
        <v>5.95996082997382</v>
      </c>
      <c r="L3272" s="48" t="n">
        <f aca="false">L3266+L3267*L3270</f>
        <v>5.95512374268999</v>
      </c>
      <c r="M3272" s="48" t="n">
        <f aca="false">M3266+M3267*M3270</f>
        <v>5.75595999327188</v>
      </c>
      <c r="N3272" s="48" t="n">
        <f aca="false">N3266+N3267*N3270</f>
        <v>5.5706172403064</v>
      </c>
      <c r="P3272" s="49" t="n">
        <f aca="false">SUM(C3272:F3272)</f>
        <v>4.39348798631209</v>
      </c>
      <c r="Q3272" s="49" t="n">
        <f aca="false">SUM(G3272:J3272)</f>
        <v>12.0503354367251</v>
      </c>
      <c r="R3272" s="49" t="n">
        <f aca="false">SUM(K3272:N3272)</f>
        <v>23.2416618062421</v>
      </c>
      <c r="S3272" s="50" t="n">
        <f aca="false">SUM(P3272:R3272)</f>
        <v>39.6854852292793</v>
      </c>
    </row>
    <row r="3273" customFormat="false" ht="15" hidden="false" customHeight="false" outlineLevel="0" collapsed="false">
      <c r="A3273" s="4" t="s">
        <v>528</v>
      </c>
      <c r="B3273" s="36" t="s">
        <v>527</v>
      </c>
      <c r="C3273" s="48" t="n">
        <f aca="false">C3263*C3270</f>
        <v>0</v>
      </c>
      <c r="D3273" s="48" t="n">
        <f aca="false">D3263*D3270</f>
        <v>0.478095356711475</v>
      </c>
      <c r="E3273" s="48" t="n">
        <f aca="false">E3263*E3270</f>
        <v>0.825968179233974</v>
      </c>
      <c r="F3273" s="48" t="n">
        <f aca="false">F3263*F3270</f>
        <v>0.897227981250235</v>
      </c>
      <c r="G3273" s="48" t="n">
        <f aca="false">G3263*G3270</f>
        <v>0.970460108732166</v>
      </c>
      <c r="H3273" s="48" t="n">
        <f aca="false">H3263*H3270</f>
        <v>1.23084988355315</v>
      </c>
      <c r="I3273" s="48" t="n">
        <f aca="false">I3263*I3270</f>
        <v>1.47240100050871</v>
      </c>
      <c r="J3273" s="48" t="n">
        <f aca="false">J3263*J3270</f>
        <v>2.08849112194474</v>
      </c>
      <c r="K3273" s="48" t="n">
        <f aca="false">K3263*K3270</f>
        <v>2.65006991195028</v>
      </c>
      <c r="L3273" s="48" t="n">
        <f aca="false">L3263*L3270</f>
        <v>2.64791912273571</v>
      </c>
      <c r="M3273" s="48" t="n">
        <f aca="false">M3263*M3270</f>
        <v>2.55936185282384</v>
      </c>
      <c r="N3273" s="48" t="n">
        <f aca="false">N3263*N3270</f>
        <v>2.47695002713505</v>
      </c>
      <c r="P3273" s="49" t="n">
        <f aca="false">SUM(C3273:F3273)</f>
        <v>2.20129151719568</v>
      </c>
      <c r="Q3273" s="49" t="n">
        <f aca="false">SUM(G3273:J3273)</f>
        <v>5.76220211473877</v>
      </c>
      <c r="R3273" s="49" t="n">
        <f aca="false">SUM(K3273:N3273)</f>
        <v>10.3343009146449</v>
      </c>
      <c r="S3273" s="50" t="n">
        <f aca="false">SUM(P3273:R3273)</f>
        <v>18.2977945465793</v>
      </c>
    </row>
    <row r="3274" customFormat="false" ht="15" hidden="false" customHeight="false" outlineLevel="0" collapsed="false">
      <c r="A3274" s="4" t="s">
        <v>529</v>
      </c>
      <c r="B3274" s="36" t="s">
        <v>527</v>
      </c>
      <c r="C3274" s="48" t="n">
        <f aca="false">C3264*C3270</f>
        <v>0</v>
      </c>
      <c r="D3274" s="48" t="n">
        <f aca="false">D3264*D3270</f>
        <v>0</v>
      </c>
      <c r="E3274" s="48" t="n">
        <f aca="false">E3264*E3270</f>
        <v>0.0785020770896619</v>
      </c>
      <c r="F3274" s="48" t="n">
        <f aca="false">F3264*F3270</f>
        <v>0.135621935602616</v>
      </c>
      <c r="G3274" s="48" t="n">
        <f aca="false">G3264*G3270</f>
        <v>0.147322619143557</v>
      </c>
      <c r="H3274" s="48" t="n">
        <f aca="false">H3264*H3270</f>
        <v>0.159347153656022</v>
      </c>
      <c r="I3274" s="48" t="n">
        <f aca="false">I3264*I3270</f>
        <v>0.189033527150772</v>
      </c>
      <c r="J3274" s="48" t="n">
        <f aca="false">J3264*J3270</f>
        <v>0.216785239558294</v>
      </c>
      <c r="K3274" s="48" t="n">
        <f aca="false">K3264*K3270</f>
        <v>0.293843984423695</v>
      </c>
      <c r="L3274" s="48" t="n">
        <f aca="false">L3264*L3270</f>
        <v>0.365029085148015</v>
      </c>
      <c r="M3274" s="48" t="n">
        <f aca="false">M3264*M3270</f>
        <v>0.36473282857916</v>
      </c>
      <c r="N3274" s="48" t="n">
        <f aca="false">N3264*N3270</f>
        <v>0.35253466766523</v>
      </c>
      <c r="P3274" s="49" t="n">
        <f aca="false">SUM(C3274:F3274)</f>
        <v>0.214124012692277</v>
      </c>
      <c r="Q3274" s="49" t="n">
        <f aca="false">SUM(G3274:J3274)</f>
        <v>0.712488539508646</v>
      </c>
      <c r="R3274" s="49" t="n">
        <f aca="false">SUM(K3274:N3274)</f>
        <v>1.3761405658161</v>
      </c>
      <c r="S3274" s="50" t="n">
        <f aca="false">SUM(P3274:R3274)</f>
        <v>2.30275311801702</v>
      </c>
    </row>
    <row r="3275" customFormat="false" ht="15" hidden="false" customHeight="false" outlineLevel="0" collapsed="false">
      <c r="A3275" s="9" t="s">
        <v>530</v>
      </c>
      <c r="B3275" s="36" t="s">
        <v>527</v>
      </c>
      <c r="C3275" s="49" t="n">
        <f aca="false">C3272+C3273+C3274</f>
        <v>0</v>
      </c>
      <c r="D3275" s="49" t="n">
        <f aca="false">D3272+D3273+D3274</f>
        <v>1.43231072964826</v>
      </c>
      <c r="E3275" s="49" t="n">
        <f aca="false">E3272+E3273+E3274</f>
        <v>2.55299397260249</v>
      </c>
      <c r="F3275" s="49" t="n">
        <f aca="false">F3272+F3273+F3274</f>
        <v>2.82359881394931</v>
      </c>
      <c r="G3275" s="49" t="n">
        <f aca="false">G3272+G3273+G3274</f>
        <v>3.05469330768916</v>
      </c>
      <c r="H3275" s="49" t="n">
        <f aca="false">H3272+H3273+H3274</f>
        <v>3.89624956549661</v>
      </c>
      <c r="I3275" s="49" t="n">
        <f aca="false">I3272+I3273+I3274</f>
        <v>4.6946466928114</v>
      </c>
      <c r="J3275" s="49" t="n">
        <f aca="false">J3272+J3273+J3274</f>
        <v>6.87943652497533</v>
      </c>
      <c r="K3275" s="49" t="n">
        <f aca="false">K3272+K3273+K3274</f>
        <v>8.90387472634779</v>
      </c>
      <c r="L3275" s="49" t="n">
        <f aca="false">L3272+L3273+L3274</f>
        <v>8.96807195057371</v>
      </c>
      <c r="M3275" s="49" t="n">
        <f aca="false">M3272+M3273+M3274</f>
        <v>8.68005467467489</v>
      </c>
      <c r="N3275" s="49" t="n">
        <f aca="false">N3272+N3273+N3274</f>
        <v>8.40010193510668</v>
      </c>
      <c r="P3275" s="49" t="n">
        <f aca="false">SUM(C3275:F3275)</f>
        <v>6.80890351620005</v>
      </c>
      <c r="Q3275" s="49" t="n">
        <f aca="false">SUM(G3275:J3275)</f>
        <v>18.5250260909725</v>
      </c>
      <c r="R3275" s="49" t="n">
        <f aca="false">SUM(K3275:N3275)</f>
        <v>34.9521032867031</v>
      </c>
      <c r="S3275" s="50" t="n">
        <f aca="false">SUM(P3275:R3275)</f>
        <v>60.2860328938756</v>
      </c>
    </row>
    <row r="3276" customFormat="false" ht="15" hidden="false" customHeight="false" outlineLevel="0" collapsed="false">
      <c r="A3276" s="35" t="s">
        <v>533</v>
      </c>
      <c r="B3276" s="35" t="s">
        <v>444</v>
      </c>
      <c r="C3276" s="6" t="s">
        <v>354</v>
      </c>
      <c r="D3276" s="6" t="s">
        <v>355</v>
      </c>
      <c r="E3276" s="6" t="s">
        <v>356</v>
      </c>
      <c r="F3276" s="6" t="s">
        <v>357</v>
      </c>
      <c r="G3276" s="6" t="s">
        <v>358</v>
      </c>
      <c r="H3276" s="6" t="s">
        <v>359</v>
      </c>
      <c r="I3276" s="6" t="s">
        <v>360</v>
      </c>
      <c r="J3276" s="6" t="s">
        <v>361</v>
      </c>
      <c r="K3276" s="6" t="s">
        <v>362</v>
      </c>
      <c r="L3276" s="6" t="s">
        <v>363</v>
      </c>
      <c r="M3276" s="6" t="s">
        <v>364</v>
      </c>
      <c r="N3276" s="6" t="s">
        <v>365</v>
      </c>
      <c r="P3276" s="6" t="s">
        <v>445</v>
      </c>
      <c r="Q3276" s="6" t="s">
        <v>446</v>
      </c>
      <c r="R3276" s="6" t="s">
        <v>447</v>
      </c>
      <c r="S3276" s="6" t="s">
        <v>448</v>
      </c>
    </row>
    <row r="3277" customFormat="false" ht="15" hidden="false" customHeight="false" outlineLevel="0" collapsed="false">
      <c r="A3277" s="4" t="s">
        <v>534</v>
      </c>
      <c r="B3277" s="36" t="s">
        <v>527</v>
      </c>
      <c r="C3277" s="48" t="n">
        <f aca="false">0*Assumptions!$E$59^(1/4)+C3272</f>
        <v>0</v>
      </c>
      <c r="D3277" s="48" t="n">
        <f aca="false">C3277*Assumptions!$E$59^(1/4)+D3272</f>
        <v>0.954215372936783</v>
      </c>
      <c r="E3277" s="48" t="n">
        <f aca="false">D3277*Assumptions!$E$59^(1/4)+E3272</f>
        <v>2.5727260844987</v>
      </c>
      <c r="F3277" s="48" t="n">
        <f aca="false">E3277*Assumptions!$E$59^(1/4)+F3272</f>
        <v>4.28255484312389</v>
      </c>
      <c r="G3277" s="48" t="n">
        <f aca="false">F3277*Assumptions!$E$59^(1/4)+G3272</f>
        <v>6.08476591761324</v>
      </c>
      <c r="H3277" s="48" t="n">
        <f aca="false">G3277*Assumptions!$E$59^(1/4)+H3272</f>
        <v>8.39943386610216</v>
      </c>
      <c r="I3277" s="48" t="n">
        <f aca="false">H3277*Assumptions!$E$59^(1/4)+I3272</f>
        <v>11.1684580340862</v>
      </c>
      <c r="J3277" s="48" t="n">
        <f aca="false">I3277*Assumptions!$E$59^(1/4)+J3272</f>
        <v>15.391335884189</v>
      </c>
      <c r="K3277" s="48" t="n">
        <f aca="false">J3277*Assumptions!$E$59^(1/4)+K3272</f>
        <v>20.8671919202205</v>
      </c>
      <c r="L3277" s="48" t="n">
        <f aca="false">K3277*Assumptions!$E$59^(1/4)+L3272</f>
        <v>26.1659783754454</v>
      </c>
      <c r="M3277" s="48" t="n">
        <f aca="false">L3277*Assumptions!$E$59^(1/4)+M3272</f>
        <v>31.0989379699828</v>
      </c>
      <c r="N3277" s="48" t="n">
        <f aca="false">M3277*Assumptions!$E$59^(1/4)+N3272</f>
        <v>35.6913980788313</v>
      </c>
      <c r="P3277" s="49" t="n">
        <f aca="false">F3277</f>
        <v>4.28255484312389</v>
      </c>
      <c r="Q3277" s="49" t="n">
        <f aca="false">J3277</f>
        <v>15.391335884189</v>
      </c>
      <c r="R3277" s="49" t="n">
        <f aca="false">N3277</f>
        <v>35.6913980788313</v>
      </c>
      <c r="S3277" s="50" t="n">
        <f aca="false">R3277</f>
        <v>35.6913980788313</v>
      </c>
    </row>
    <row r="3278" customFormat="false" ht="15" hidden="false" customHeight="false" outlineLevel="0" collapsed="false">
      <c r="A3278" s="4" t="s">
        <v>535</v>
      </c>
      <c r="B3278" s="36" t="s">
        <v>527</v>
      </c>
      <c r="C3278" s="48" t="n">
        <f aca="false">0*Assumptions!$E$60^(1/4)+C3273</f>
        <v>0</v>
      </c>
      <c r="D3278" s="48" t="n">
        <f aca="false">C3278*Assumptions!$E$60^(1/4)+D3273</f>
        <v>0.478095356711475</v>
      </c>
      <c r="E3278" s="48" t="n">
        <f aca="false">D3278*Assumptions!$E$60^(1/4)+E3273</f>
        <v>1.29163484781949</v>
      </c>
      <c r="F3278" s="48" t="n">
        <f aca="false">E3278*Assumptions!$E$60^(1/4)+F3273</f>
        <v>2.15528516203989</v>
      </c>
      <c r="G3278" s="48" t="n">
        <f aca="false">F3278*Assumptions!$E$60^(1/4)+G3273</f>
        <v>3.06971593117387</v>
      </c>
      <c r="H3278" s="48" t="n">
        <f aca="false">G3278*Assumptions!$E$60^(1/4)+H3273</f>
        <v>4.22076470097792</v>
      </c>
      <c r="I3278" s="48" t="n">
        <f aca="false">H3278*Assumptions!$E$60^(1/4)+I3273</f>
        <v>5.58344163204085</v>
      </c>
      <c r="J3278" s="48" t="n">
        <f aca="false">I3278*Assumptions!$E$60^(1/4)+J3273</f>
        <v>7.5267841894995</v>
      </c>
      <c r="K3278" s="48" t="n">
        <f aca="false">J3278*Assumptions!$E$60^(1/4)+K3273</f>
        <v>9.98118591105748</v>
      </c>
      <c r="L3278" s="48" t="n">
        <f aca="false">K3278*Assumptions!$E$60^(1/4)+L3273</f>
        <v>12.3696315938731</v>
      </c>
      <c r="M3278" s="48" t="n">
        <f aca="false">L3278*Assumptions!$E$60^(1/4)+M3273</f>
        <v>14.6074293671569</v>
      </c>
      <c r="N3278" s="48" t="n">
        <f aca="false">M3278*Assumptions!$E$60^(1/4)+N3273</f>
        <v>16.7046409563888</v>
      </c>
      <c r="P3278" s="49" t="n">
        <f aca="false">F3278</f>
        <v>2.15528516203989</v>
      </c>
      <c r="Q3278" s="49" t="n">
        <f aca="false">J3278</f>
        <v>7.5267841894995</v>
      </c>
      <c r="R3278" s="49" t="n">
        <f aca="false">N3278</f>
        <v>16.7046409563888</v>
      </c>
      <c r="S3278" s="50" t="n">
        <f aca="false">R3278</f>
        <v>16.7046409563888</v>
      </c>
    </row>
    <row r="3279" customFormat="false" ht="15" hidden="false" customHeight="false" outlineLevel="0" collapsed="false">
      <c r="A3279" s="4" t="s">
        <v>536</v>
      </c>
      <c r="B3279" s="36" t="s">
        <v>527</v>
      </c>
      <c r="C3279" s="48" t="n">
        <f aca="false">0*Assumptions!$E$61^(1/4)+C3274</f>
        <v>0</v>
      </c>
      <c r="D3279" s="48" t="n">
        <f aca="false">C3279*Assumptions!$E$61^(1/4)+D3274</f>
        <v>0</v>
      </c>
      <c r="E3279" s="48" t="n">
        <f aca="false">D3279*Assumptions!$E$61^(1/4)+E3274</f>
        <v>0.0785020770896619</v>
      </c>
      <c r="F3279" s="48" t="n">
        <f aca="false">E3279*Assumptions!$E$61^(1/4)+F3274</f>
        <v>0.21250454320751</v>
      </c>
      <c r="G3279" s="48" t="n">
        <f aca="false">F3279*Assumptions!$E$61^(1/4)+G3274</f>
        <v>0.355443270410144</v>
      </c>
      <c r="H3279" s="48" t="n">
        <f aca="false">G3279*Assumptions!$E$61^(1/4)+H3274</f>
        <v>0.507457757831898</v>
      </c>
      <c r="I3279" s="48" t="n">
        <f aca="false">H3279*Assumptions!$E$61^(1/4)+I3274</f>
        <v>0.686022614801131</v>
      </c>
      <c r="J3279" s="48" t="n">
        <f aca="false">I3279*Assumptions!$E$61^(1/4)+J3274</f>
        <v>0.888655455700443</v>
      </c>
      <c r="K3279" s="48" t="n">
        <f aca="false">J3279*Assumptions!$E$61^(1/4)+K3274</f>
        <v>1.16416679917585</v>
      </c>
      <c r="L3279" s="48" t="n">
        <f aca="false">K3279*Assumptions!$E$61^(1/4)+L3274</f>
        <v>1.50517954391173</v>
      </c>
      <c r="M3279" s="48" t="n">
        <f aca="false">L3279*Assumptions!$E$61^(1/4)+M3274</f>
        <v>1.83886106237488</v>
      </c>
      <c r="N3279" s="48" t="n">
        <f aca="false">M3279*Assumptions!$E$61^(1/4)+N3274</f>
        <v>2.15346069076921</v>
      </c>
      <c r="P3279" s="49" t="n">
        <f aca="false">F3279</f>
        <v>0.21250454320751</v>
      </c>
      <c r="Q3279" s="49" t="n">
        <f aca="false">J3279</f>
        <v>0.888655455700443</v>
      </c>
      <c r="R3279" s="49" t="n">
        <f aca="false">N3279</f>
        <v>2.15346069076921</v>
      </c>
      <c r="S3279" s="50" t="n">
        <f aca="false">R3279</f>
        <v>2.15346069076921</v>
      </c>
    </row>
    <row r="3280" customFormat="false" ht="15" hidden="false" customHeight="false" outlineLevel="0" collapsed="false">
      <c r="A3280" s="9" t="s">
        <v>537</v>
      </c>
      <c r="B3280" s="36" t="s">
        <v>527</v>
      </c>
      <c r="C3280" s="49" t="n">
        <f aca="false">C3277+C3278+C3279</f>
        <v>0</v>
      </c>
      <c r="D3280" s="49" t="n">
        <f aca="false">D3277+D3278+D3279</f>
        <v>1.43231072964826</v>
      </c>
      <c r="E3280" s="49" t="n">
        <f aca="false">E3277+E3278+E3279</f>
        <v>3.94286300940785</v>
      </c>
      <c r="F3280" s="49" t="n">
        <f aca="false">F3277+F3278+F3279</f>
        <v>6.65034454837129</v>
      </c>
      <c r="G3280" s="49" t="n">
        <f aca="false">G3277+G3278+G3279</f>
        <v>9.50992511919725</v>
      </c>
      <c r="H3280" s="49" t="n">
        <f aca="false">H3277+H3278+H3279</f>
        <v>13.127656324912</v>
      </c>
      <c r="I3280" s="49" t="n">
        <f aca="false">I3277+I3278+I3279</f>
        <v>17.4379222809282</v>
      </c>
      <c r="J3280" s="49" t="n">
        <f aca="false">J3277+J3278+J3279</f>
        <v>23.806775529389</v>
      </c>
      <c r="K3280" s="49" t="n">
        <f aca="false">K3277+K3278+K3279</f>
        <v>32.0125446304539</v>
      </c>
      <c r="L3280" s="49" t="n">
        <f aca="false">L3277+L3278+L3279</f>
        <v>40.0407895132302</v>
      </c>
      <c r="M3280" s="49" t="n">
        <f aca="false">M3277+M3278+M3279</f>
        <v>47.5452283995146</v>
      </c>
      <c r="N3280" s="49" t="n">
        <f aca="false">N3277+N3278+N3279</f>
        <v>54.5494997259893</v>
      </c>
      <c r="P3280" s="49" t="n">
        <f aca="false">F3280</f>
        <v>6.65034454837129</v>
      </c>
      <c r="Q3280" s="49" t="n">
        <f aca="false">J3280</f>
        <v>23.806775529389</v>
      </c>
      <c r="R3280" s="49" t="n">
        <f aca="false">N3280</f>
        <v>54.5494997259893</v>
      </c>
      <c r="S3280" s="50" t="n">
        <f aca="false">R3280</f>
        <v>54.5494997259893</v>
      </c>
    </row>
    <row r="3281" customFormat="false" ht="15" hidden="false" customHeight="false" outlineLevel="0" collapsed="false">
      <c r="A3281" s="4" t="s">
        <v>538</v>
      </c>
      <c r="B3281" s="36" t="s">
        <v>125</v>
      </c>
      <c r="C3281" s="54" t="n">
        <f aca="false">0*Assumptions!$E$62^(1/4)+C3272*$C$3221</f>
        <v>0</v>
      </c>
      <c r="D3281" s="54" t="n">
        <f aca="false">C3281*Assumptions!$E$62^(1/4)+D3272*$C$3221</f>
        <v>5106.96067595766</v>
      </c>
      <c r="E3281" s="54" t="n">
        <f aca="false">D3281*Assumptions!$E$62^(1/4)+E3272*$C$3221</f>
        <v>13929.8596054821</v>
      </c>
      <c r="F3281" s="54" t="n">
        <f aca="false">E3281*Assumptions!$E$62^(1/4)+F3272*$C$3221</f>
        <v>23513.9477027423</v>
      </c>
      <c r="G3281" s="54" t="n">
        <f aca="false">F3281*Assumptions!$E$62^(1/4)+G3272*$C$3221</f>
        <v>33880.2931259038</v>
      </c>
      <c r="H3281" s="54" t="n">
        <f aca="false">G3281*Assumptions!$E$62^(1/4)+H3272*$C$3221</f>
        <v>47292.6862572982</v>
      </c>
      <c r="I3281" s="54" t="n">
        <f aca="false">H3281*Assumptions!$E$62^(1/4)+I3272*$C$3221</f>
        <v>63526.4377651912</v>
      </c>
      <c r="J3281" s="54" t="n">
        <f aca="false">I3281*Assumptions!$E$62^(1/4)+J3272*$C$3221</f>
        <v>88007.342960095</v>
      </c>
      <c r="K3281" s="54" t="n">
        <f aca="false">J3281*Assumptions!$E$62^(1/4)+K3272*$C$3221</f>
        <v>119905.053322115</v>
      </c>
      <c r="L3281" s="54" t="n">
        <f aca="false">K3281*Assumptions!$E$62^(1/4)+L3272*$C$3221</f>
        <v>151776.875592992</v>
      </c>
      <c r="M3281" s="54" t="n">
        <f aca="false">L3281*Assumptions!$E$62^(1/4)+M3272*$C$3221</f>
        <v>182582.773476983</v>
      </c>
      <c r="N3281" s="54" t="n">
        <f aca="false">M3281*Assumptions!$E$62^(1/4)+N3272*$C$3221</f>
        <v>212396.716947103</v>
      </c>
      <c r="P3281" s="55" t="n">
        <f aca="false">F3281</f>
        <v>23513.9477027423</v>
      </c>
      <c r="Q3281" s="55" t="n">
        <f aca="false">J3281</f>
        <v>88007.342960095</v>
      </c>
      <c r="R3281" s="55" t="n">
        <f aca="false">N3281</f>
        <v>212396.716947103</v>
      </c>
      <c r="S3281" s="56" t="n">
        <f aca="false">R3281</f>
        <v>212396.716947103</v>
      </c>
    </row>
    <row r="3282" customFormat="false" ht="15" hidden="false" customHeight="false" outlineLevel="0" collapsed="false">
      <c r="A3282" s="4" t="s">
        <v>539</v>
      </c>
      <c r="B3282" s="36" t="s">
        <v>125</v>
      </c>
      <c r="C3282" s="54" t="n">
        <f aca="false">0*Assumptions!$E$63^(1/4)+C3273*$C$3222</f>
        <v>0</v>
      </c>
      <c r="D3282" s="54" t="n">
        <f aca="false">C3282*Assumptions!$E$63^(1/4)+D3273*$C$3222</f>
        <v>4669.42354385687</v>
      </c>
      <c r="E3282" s="54" t="n">
        <f aca="false">D3282*Assumptions!$E$63^(1/4)+E3273*$C$3222</f>
        <v>12804.9419884689</v>
      </c>
      <c r="F3282" s="54" t="n">
        <f aca="false">E3282*Assumptions!$E$63^(1/4)+F3273*$C$3222</f>
        <v>21755.8143219626</v>
      </c>
      <c r="G3282" s="54" t="n">
        <f aca="false">F3282*Assumptions!$E$63^(1/4)+G3273*$C$3222</f>
        <v>31553.2680727023</v>
      </c>
      <c r="H3282" s="54" t="n">
        <f aca="false">G3282*Assumptions!$E$63^(1/4)+H3273*$C$3222</f>
        <v>44037.6422076904</v>
      </c>
      <c r="I3282" s="54" t="n">
        <f aca="false">H3282*Assumptions!$E$63^(1/4)+I3273*$C$3222</f>
        <v>59064.3722843396</v>
      </c>
      <c r="J3282" s="54" t="n">
        <f aca="false">I3282*Assumptions!$E$63^(1/4)+J3273*$C$3222</f>
        <v>80328.7820767061</v>
      </c>
      <c r="K3282" s="54" t="n">
        <f aca="false">J3282*Assumptions!$E$63^(1/4)+K3273*$C$3222</f>
        <v>107390.00541946</v>
      </c>
      <c r="L3282" s="54" t="n">
        <f aca="false">K3282*Assumptions!$E$63^(1/4)+L3273*$C$3222</f>
        <v>134827.314834368</v>
      </c>
      <c r="M3282" s="54" t="n">
        <f aca="false">L3282*Assumptions!$E$63^(1/4)+M3273*$C$3222</f>
        <v>161802.321036315</v>
      </c>
      <c r="N3282" s="54" t="n">
        <f aca="false">M3282*Assumptions!$E$63^(1/4)+N3273*$C$3222</f>
        <v>188368.261092867</v>
      </c>
      <c r="P3282" s="55" t="n">
        <f aca="false">F3282</f>
        <v>21755.8143219626</v>
      </c>
      <c r="Q3282" s="55" t="n">
        <f aca="false">J3282</f>
        <v>80328.7820767061</v>
      </c>
      <c r="R3282" s="55" t="n">
        <f aca="false">N3282</f>
        <v>188368.261092867</v>
      </c>
      <c r="S3282" s="56" t="n">
        <f aca="false">R3282</f>
        <v>188368.261092867</v>
      </c>
    </row>
    <row r="3283" customFormat="false" ht="15" hidden="false" customHeight="false" outlineLevel="0" collapsed="false">
      <c r="A3283" s="4" t="s">
        <v>540</v>
      </c>
      <c r="B3283" s="36" t="s">
        <v>125</v>
      </c>
      <c r="C3283" s="54" t="n">
        <f aca="false">0*Assumptions!$E$64^(1/4)+C3274*$C$3223</f>
        <v>0</v>
      </c>
      <c r="D3283" s="54" t="n">
        <f aca="false">C3283*Assumptions!$E$64^(1/4)+D3274*$C$3223</f>
        <v>0</v>
      </c>
      <c r="E3283" s="54" t="n">
        <f aca="false">D3283*Assumptions!$E$64^(1/4)+E3274*$C$3223</f>
        <v>4849.72143220325</v>
      </c>
      <c r="F3283" s="54" t="n">
        <f aca="false">E3283*Assumptions!$E$64^(1/4)+F3274*$C$3223</f>
        <v>13400.6548837597</v>
      </c>
      <c r="G3283" s="54" t="n">
        <f aca="false">F3283*Assumptions!$E$64^(1/4)+G3274*$C$3223</f>
        <v>22978.4909055136</v>
      </c>
      <c r="H3283" s="54" t="n">
        <f aca="false">G3283*Assumptions!$E$64^(1/4)+H3274*$C$3223</f>
        <v>33639.7511257471</v>
      </c>
      <c r="I3283" s="54" t="n">
        <f aca="false">H3283*Assumptions!$E$64^(1/4)+I3274*$C$3223</f>
        <v>46514.0776387742</v>
      </c>
      <c r="J3283" s="54" t="n">
        <f aca="false">I3283*Assumptions!$E$64^(1/4)+J3274*$C$3223</f>
        <v>61560.6428364386</v>
      </c>
      <c r="K3283" s="54" t="n">
        <f aca="false">J3283*Assumptions!$E$64^(1/4)+K3274*$C$3223</f>
        <v>81902.7898323237</v>
      </c>
      <c r="L3283" s="54" t="n">
        <f aca="false">K3283*Assumptions!$E$64^(1/4)+L3274*$C$3223</f>
        <v>107365.955835595</v>
      </c>
      <c r="M3283" s="54" t="n">
        <f aca="false">L3283*Assumptions!$E$64^(1/4)+M3274*$C$3223</f>
        <v>133716.240825292</v>
      </c>
      <c r="N3283" s="54" t="n">
        <f aca="false">M3283*Assumptions!$E$64^(1/4)+N3274*$C$3223</f>
        <v>160249.910149929</v>
      </c>
      <c r="P3283" s="55" t="n">
        <f aca="false">F3283</f>
        <v>13400.6548837597</v>
      </c>
      <c r="Q3283" s="55" t="n">
        <f aca="false">J3283</f>
        <v>61560.6428364386</v>
      </c>
      <c r="R3283" s="55" t="n">
        <f aca="false">N3283</f>
        <v>160249.910149929</v>
      </c>
      <c r="S3283" s="56" t="n">
        <f aca="false">R3283</f>
        <v>160249.910149929</v>
      </c>
    </row>
    <row r="3284" customFormat="false" ht="15" hidden="false" customHeight="false" outlineLevel="0" collapsed="false">
      <c r="A3284" s="9" t="s">
        <v>541</v>
      </c>
      <c r="B3284" s="36" t="s">
        <v>125</v>
      </c>
      <c r="C3284" s="55" t="n">
        <f aca="false">C3281+C3282+C3283</f>
        <v>0</v>
      </c>
      <c r="D3284" s="55" t="n">
        <f aca="false">D3281+D3282+D3283</f>
        <v>9776.38421981453</v>
      </c>
      <c r="E3284" s="55" t="n">
        <f aca="false">E3281+E3282+E3283</f>
        <v>31584.5230261542</v>
      </c>
      <c r="F3284" s="55" t="n">
        <f aca="false">F3281+F3282+F3283</f>
        <v>58670.4169084646</v>
      </c>
      <c r="G3284" s="55" t="n">
        <f aca="false">G3281+G3282+G3283</f>
        <v>88412.0521041198</v>
      </c>
      <c r="H3284" s="55" t="n">
        <f aca="false">H3281+H3282+H3283</f>
        <v>124970.079590736</v>
      </c>
      <c r="I3284" s="55" t="n">
        <f aca="false">I3281+I3282+I3283</f>
        <v>169104.887688305</v>
      </c>
      <c r="J3284" s="55" t="n">
        <f aca="false">J3281+J3282+J3283</f>
        <v>229896.76787324</v>
      </c>
      <c r="K3284" s="55" t="n">
        <f aca="false">K3281+K3282+K3283</f>
        <v>309197.848573899</v>
      </c>
      <c r="L3284" s="55" t="n">
        <f aca="false">L3281+L3282+L3283</f>
        <v>393970.146262954</v>
      </c>
      <c r="M3284" s="55" t="n">
        <f aca="false">M3281+M3282+M3283</f>
        <v>478101.33533859</v>
      </c>
      <c r="N3284" s="55" t="n">
        <f aca="false">N3281+N3282+N3283</f>
        <v>561014.888189899</v>
      </c>
      <c r="P3284" s="55" t="n">
        <f aca="false">F3284</f>
        <v>58670.4169084646</v>
      </c>
      <c r="Q3284" s="55" t="n">
        <f aca="false">J3284</f>
        <v>229896.76787324</v>
      </c>
      <c r="R3284" s="55" t="n">
        <f aca="false">N3284</f>
        <v>561014.888189899</v>
      </c>
      <c r="S3284" s="56" t="n">
        <f aca="false">R3284</f>
        <v>561014.888189899</v>
      </c>
    </row>
    <row r="3285" customFormat="false" ht="15" hidden="false" customHeight="false" outlineLevel="0" collapsed="false">
      <c r="A3285" s="4" t="s">
        <v>542</v>
      </c>
      <c r="B3285" s="36" t="s">
        <v>125</v>
      </c>
      <c r="C3285" s="54" t="n">
        <f aca="false">C3272*$C$3221+C3273*$C$3222+C3274*$C$3223</f>
        <v>0</v>
      </c>
      <c r="D3285" s="54" t="n">
        <f aca="false">D3272*$C$3221+D3273*$C$3222+D3274*$C$3223</f>
        <v>9776.38421981453</v>
      </c>
      <c r="E3285" s="54" t="n">
        <f aca="false">E3272*$C$3221+E3273*$C$3222+E3274*$C$3223</f>
        <v>21739.6204035608</v>
      </c>
      <c r="F3285" s="54" t="n">
        <f aca="false">F3272*$C$3221+F3273*$C$3222+F3274*$C$3223</f>
        <v>26725.5493684511</v>
      </c>
      <c r="G3285" s="54" t="n">
        <f aca="false">G3272*$C$3221+G3273*$C$3222+G3274*$C$3223</f>
        <v>28945.8922136363</v>
      </c>
      <c r="H3285" s="54" t="n">
        <f aca="false">H3272*$C$3221+H3273*$C$3222+H3274*$C$3223</f>
        <v>35277.9487509651</v>
      </c>
      <c r="I3285" s="54" t="n">
        <f aca="false">I3272*$C$3221+I3273*$C$3222+I3274*$C$3223</f>
        <v>42292.4416715408</v>
      </c>
      <c r="J3285" s="54" t="n">
        <f aca="false">J3272*$C$3221+J3273*$C$3222+J3274*$C$3223</f>
        <v>58271.2275483461</v>
      </c>
      <c r="K3285" s="54" t="n">
        <f aca="false">K3272*$C$3221+K3273*$C$3222+K3274*$C$3223</f>
        <v>75933.3704719326</v>
      </c>
      <c r="L3285" s="54" t="n">
        <f aca="false">L3272*$C$3221+L3273*$C$3222+L3274*$C$3223</f>
        <v>80284.1676160285</v>
      </c>
      <c r="M3285" s="54" t="n">
        <f aca="false">M3272*$C$3221+M3273*$C$3222+M3274*$C$3223</f>
        <v>78335.0269443299</v>
      </c>
      <c r="N3285" s="54" t="n">
        <f aca="false">N3272*$C$3221+N3273*$C$3222+N3274*$C$3223</f>
        <v>75784.5981833099</v>
      </c>
      <c r="P3285" s="55" t="n">
        <f aca="false">SUM(C3285:F3285)</f>
        <v>58241.5539918264</v>
      </c>
      <c r="Q3285" s="55" t="n">
        <f aca="false">SUM(G3285:J3285)</f>
        <v>164787.510184488</v>
      </c>
      <c r="R3285" s="55" t="n">
        <f aca="false">SUM(K3285:N3285)</f>
        <v>310337.163215601</v>
      </c>
      <c r="S3285" s="56" t="n">
        <f aca="false">SUM(P3285:R3285)</f>
        <v>533366.227391916</v>
      </c>
    </row>
    <row r="3286" customFormat="false" ht="15" hidden="false" customHeight="false" outlineLevel="0" collapsed="false">
      <c r="A3286" s="9" t="s">
        <v>543</v>
      </c>
      <c r="B3286" s="36" t="s">
        <v>125</v>
      </c>
      <c r="C3286" s="55" t="n">
        <f aca="false">(0+C3284)/8</f>
        <v>0</v>
      </c>
      <c r="D3286" s="55" t="n">
        <f aca="false">(C3284+D3284)/8</f>
        <v>1222.04802747682</v>
      </c>
      <c r="E3286" s="55" t="n">
        <f aca="false">(D3284+E3284)/8</f>
        <v>5170.1134057461</v>
      </c>
      <c r="F3286" s="55" t="n">
        <f aca="false">(E3284+F3284)/8</f>
        <v>11281.8674918274</v>
      </c>
      <c r="G3286" s="55" t="n">
        <f aca="false">(F3284+G3284)/8</f>
        <v>18385.308626573</v>
      </c>
      <c r="H3286" s="55" t="n">
        <f aca="false">(G3284+H3284)/8</f>
        <v>26672.7664618569</v>
      </c>
      <c r="I3286" s="55" t="n">
        <f aca="false">(H3284+I3284)/8</f>
        <v>36759.3709098801</v>
      </c>
      <c r="J3286" s="55" t="n">
        <f aca="false">(I3284+J3284)/8</f>
        <v>49875.2069451931</v>
      </c>
      <c r="K3286" s="55" t="n">
        <f aca="false">(J3284+K3284)/8</f>
        <v>67386.8270558923</v>
      </c>
      <c r="L3286" s="55" t="n">
        <f aca="false">(K3284+L3284)/8</f>
        <v>87895.9993546066</v>
      </c>
      <c r="M3286" s="55" t="n">
        <f aca="false">(L3284+M3284)/8</f>
        <v>109008.935200193</v>
      </c>
      <c r="N3286" s="55" t="n">
        <f aca="false">(M3284+N3284)/8</f>
        <v>129889.527941061</v>
      </c>
      <c r="P3286" s="55" t="n">
        <f aca="false">SUM(C3286:F3286)</f>
        <v>17674.0289250503</v>
      </c>
      <c r="Q3286" s="55" t="n">
        <f aca="false">SUM(G3286:J3286)</f>
        <v>131692.652943503</v>
      </c>
      <c r="R3286" s="55" t="n">
        <f aca="false">SUM(K3286:N3286)</f>
        <v>394181.289551753</v>
      </c>
      <c r="S3286" s="56" t="n">
        <f aca="false">SUM(P3286:R3286)</f>
        <v>543547.971420306</v>
      </c>
    </row>
    <row r="3287" customFormat="false" ht="15" hidden="false" customHeight="false" outlineLevel="0" collapsed="false">
      <c r="A3287" s="4" t="s">
        <v>544</v>
      </c>
      <c r="B3287" s="36" t="s">
        <v>125</v>
      </c>
      <c r="C3287" s="54" t="n">
        <f aca="false">C3286*Assumptions!$E$76</f>
        <v>0</v>
      </c>
      <c r="D3287" s="54" t="n">
        <f aca="false">D3286*Assumptions!$E$76</f>
        <v>794.331217859931</v>
      </c>
      <c r="E3287" s="54" t="n">
        <f aca="false">E3286*Assumptions!$E$76</f>
        <v>3360.57371373496</v>
      </c>
      <c r="F3287" s="54" t="n">
        <f aca="false">F3286*Assumptions!$E$76</f>
        <v>7333.21386968778</v>
      </c>
      <c r="G3287" s="54" t="n">
        <f aca="false">G3286*Assumptions!$E$76</f>
        <v>11950.4506072725</v>
      </c>
      <c r="H3287" s="54" t="n">
        <f aca="false">H3286*Assumptions!$E$76</f>
        <v>17337.298200207</v>
      </c>
      <c r="I3287" s="54" t="n">
        <f aca="false">I3286*Assumptions!$E$76</f>
        <v>23893.5910914221</v>
      </c>
      <c r="J3287" s="54" t="n">
        <f aca="false">J3286*Assumptions!$E$76</f>
        <v>32418.8845143755</v>
      </c>
      <c r="K3287" s="54" t="n">
        <f aca="false">K3286*Assumptions!$E$76</f>
        <v>43801.43758633</v>
      </c>
      <c r="L3287" s="54" t="n">
        <f aca="false">L3286*Assumptions!$E$76</f>
        <v>57132.3995804943</v>
      </c>
      <c r="M3287" s="54" t="n">
        <f aca="false">M3286*Assumptions!$E$76</f>
        <v>70855.8078801254</v>
      </c>
      <c r="N3287" s="54" t="n">
        <f aca="false">N3286*Assumptions!$E$76</f>
        <v>84428.1931616897</v>
      </c>
      <c r="P3287" s="55" t="n">
        <f aca="false">SUM(C3287:F3287)</f>
        <v>11488.1188012827</v>
      </c>
      <c r="Q3287" s="55" t="n">
        <f aca="false">SUM(G3287:J3287)</f>
        <v>85600.2244132771</v>
      </c>
      <c r="R3287" s="55" t="n">
        <f aca="false">SUM(K3287:N3287)</f>
        <v>256217.838208639</v>
      </c>
      <c r="S3287" s="56" t="n">
        <f aca="false">SUM(P3287:R3287)</f>
        <v>353306.181423199</v>
      </c>
    </row>
    <row r="3288" customFormat="false" ht="15" hidden="false" customHeight="false" outlineLevel="0" collapsed="false">
      <c r="A3288" s="35" t="s">
        <v>547</v>
      </c>
      <c r="B3288" s="35" t="s">
        <v>444</v>
      </c>
      <c r="C3288" s="6" t="s">
        <v>354</v>
      </c>
      <c r="D3288" s="6" t="s">
        <v>355</v>
      </c>
      <c r="E3288" s="6" t="s">
        <v>356</v>
      </c>
      <c r="F3288" s="6" t="s">
        <v>357</v>
      </c>
      <c r="G3288" s="6" t="s">
        <v>358</v>
      </c>
      <c r="H3288" s="6" t="s">
        <v>359</v>
      </c>
      <c r="I3288" s="6" t="s">
        <v>360</v>
      </c>
      <c r="J3288" s="6" t="s">
        <v>361</v>
      </c>
      <c r="K3288" s="6" t="s">
        <v>362</v>
      </c>
      <c r="L3288" s="6" t="s">
        <v>363</v>
      </c>
      <c r="M3288" s="6" t="s">
        <v>364</v>
      </c>
      <c r="N3288" s="6" t="s">
        <v>365</v>
      </c>
      <c r="P3288" s="6" t="s">
        <v>445</v>
      </c>
      <c r="Q3288" s="6" t="s">
        <v>446</v>
      </c>
      <c r="R3288" s="6" t="s">
        <v>447</v>
      </c>
      <c r="S3288" s="6" t="s">
        <v>448</v>
      </c>
    </row>
    <row r="3289" customFormat="false" ht="15" hidden="false" customHeight="false" outlineLevel="0" collapsed="false">
      <c r="A3289" s="4" t="s">
        <v>548</v>
      </c>
      <c r="B3289" s="36" t="s">
        <v>321</v>
      </c>
      <c r="C3289" s="48" t="n">
        <f aca="false">Assumptions!$D$97*C3231</f>
        <v>1</v>
      </c>
      <c r="D3289" s="48" t="n">
        <f aca="false">Assumptions!$D$97*D3231</f>
        <v>1</v>
      </c>
      <c r="E3289" s="48" t="n">
        <f aca="false">Assumptions!$D$97*E3231</f>
        <v>1</v>
      </c>
      <c r="F3289" s="48" t="n">
        <f aca="false">Assumptions!$D$97*F3231</f>
        <v>1</v>
      </c>
      <c r="G3289" s="48" t="n">
        <f aca="false">Assumptions!$D$97*G3231</f>
        <v>1</v>
      </c>
      <c r="H3289" s="48" t="n">
        <f aca="false">Assumptions!$D$97*H3231</f>
        <v>1</v>
      </c>
      <c r="I3289" s="48" t="n">
        <f aca="false">Assumptions!$D$97*I3231</f>
        <v>1</v>
      </c>
      <c r="J3289" s="48" t="n">
        <f aca="false">Assumptions!$D$97*J3231</f>
        <v>1</v>
      </c>
      <c r="K3289" s="48" t="n">
        <f aca="false">Assumptions!$D$97*K3231</f>
        <v>1</v>
      </c>
      <c r="L3289" s="48" t="n">
        <f aca="false">Assumptions!$D$97*L3231</f>
        <v>1</v>
      </c>
      <c r="M3289" s="48" t="n">
        <f aca="false">Assumptions!$D$97*M3231</f>
        <v>1</v>
      </c>
      <c r="N3289" s="48" t="n">
        <f aca="false">Assumptions!$D$97*N3231</f>
        <v>1</v>
      </c>
      <c r="P3289" s="49" t="n">
        <f aca="false">AVERAGE(C3289:F3289)</f>
        <v>1</v>
      </c>
      <c r="Q3289" s="49" t="n">
        <f aca="false">AVERAGE(G3289:J3289)</f>
        <v>1</v>
      </c>
      <c r="R3289" s="49" t="n">
        <f aca="false">AVERAGE(K3289:N3289)</f>
        <v>1</v>
      </c>
      <c r="S3289" s="50"/>
    </row>
    <row r="3290" customFormat="false" ht="15" hidden="false" customHeight="false" outlineLevel="0" collapsed="false">
      <c r="A3290" s="4" t="s">
        <v>549</v>
      </c>
      <c r="B3290" s="36" t="s">
        <v>321</v>
      </c>
      <c r="C3290" s="48" t="n">
        <f aca="false">C3244*C3231</f>
        <v>0</v>
      </c>
      <c r="D3290" s="48" t="n">
        <f aca="false">D3244*D3231</f>
        <v>0</v>
      </c>
      <c r="E3290" s="48" t="n">
        <f aca="false">E3244*E3231</f>
        <v>0</v>
      </c>
      <c r="F3290" s="48" t="n">
        <f aca="false">F3244*F3231</f>
        <v>0</v>
      </c>
      <c r="G3290" s="48" t="n">
        <f aca="false">G3244*G3231</f>
        <v>0</v>
      </c>
      <c r="H3290" s="48" t="n">
        <f aca="false">H3244*H3231</f>
        <v>0</v>
      </c>
      <c r="I3290" s="48" t="n">
        <f aca="false">I3244*I3231</f>
        <v>0</v>
      </c>
      <c r="J3290" s="48" t="n">
        <f aca="false">J3244*J3231</f>
        <v>0</v>
      </c>
      <c r="K3290" s="48" t="n">
        <f aca="false">K3244*K3231</f>
        <v>0</v>
      </c>
      <c r="L3290" s="48" t="n">
        <f aca="false">L3244*L3231</f>
        <v>0</v>
      </c>
      <c r="M3290" s="48" t="n">
        <f aca="false">M3244*M3231</f>
        <v>0</v>
      </c>
      <c r="N3290" s="48" t="n">
        <f aca="false">N3244*N3231</f>
        <v>0</v>
      </c>
      <c r="P3290" s="49" t="n">
        <f aca="false">AVERAGE(C3290:F3290)</f>
        <v>0</v>
      </c>
      <c r="Q3290" s="49" t="n">
        <f aca="false">AVERAGE(G3290:J3290)</f>
        <v>0</v>
      </c>
      <c r="R3290" s="49" t="n">
        <f aca="false">AVERAGE(K3290:N3290)</f>
        <v>0</v>
      </c>
      <c r="S3290" s="50"/>
    </row>
    <row r="3291" customFormat="false" ht="15" hidden="false" customHeight="false" outlineLevel="0" collapsed="false">
      <c r="A3291" s="4" t="s">
        <v>550</v>
      </c>
      <c r="B3291" s="36" t="s">
        <v>321</v>
      </c>
      <c r="C3291" s="48" t="n">
        <f aca="false">IF(C3230&lt;=4,Assumptions!$D$98,Assumptions!$D$99)*C3231</f>
        <v>0</v>
      </c>
      <c r="D3291" s="48" t="n">
        <f aca="false">IF(D3230&lt;=4,Assumptions!$D$98,Assumptions!$D$99)*D3231</f>
        <v>0</v>
      </c>
      <c r="E3291" s="48" t="n">
        <f aca="false">IF(E3230&lt;=4,Assumptions!$D$98,Assumptions!$D$99)*E3231</f>
        <v>0</v>
      </c>
      <c r="F3291" s="48" t="n">
        <f aca="false">IF(F3230&lt;=4,Assumptions!$D$98,Assumptions!$D$99)*F3231</f>
        <v>0</v>
      </c>
      <c r="G3291" s="48" t="n">
        <f aca="false">IF(G3230&lt;=4,Assumptions!$D$98,Assumptions!$D$99)*G3231</f>
        <v>0.5</v>
      </c>
      <c r="H3291" s="48" t="n">
        <f aca="false">IF(H3230&lt;=4,Assumptions!$D$98,Assumptions!$D$99)*H3231</f>
        <v>0.5</v>
      </c>
      <c r="I3291" s="48" t="n">
        <f aca="false">IF(I3230&lt;=4,Assumptions!$D$98,Assumptions!$D$99)*I3231</f>
        <v>0.5</v>
      </c>
      <c r="J3291" s="48" t="n">
        <f aca="false">IF(J3230&lt;=4,Assumptions!$D$98,Assumptions!$D$99)*J3231</f>
        <v>0.5</v>
      </c>
      <c r="K3291" s="48" t="n">
        <f aca="false">IF(K3230&lt;=4,Assumptions!$D$98,Assumptions!$D$99)*K3231</f>
        <v>0.5</v>
      </c>
      <c r="L3291" s="48" t="n">
        <f aca="false">IF(L3230&lt;=4,Assumptions!$D$98,Assumptions!$D$99)*L3231</f>
        <v>0.5</v>
      </c>
      <c r="M3291" s="48" t="n">
        <f aca="false">IF(M3230&lt;=4,Assumptions!$D$98,Assumptions!$D$99)*M3231</f>
        <v>0.5</v>
      </c>
      <c r="N3291" s="48" t="n">
        <f aca="false">IF(N3230&lt;=4,Assumptions!$D$98,Assumptions!$D$99)*N3231</f>
        <v>0.5</v>
      </c>
      <c r="P3291" s="49" t="n">
        <f aca="false">AVERAGE(C3291:F3291)</f>
        <v>0</v>
      </c>
      <c r="Q3291" s="49" t="n">
        <f aca="false">AVERAGE(G3291:J3291)</f>
        <v>0.5</v>
      </c>
      <c r="R3291" s="49" t="n">
        <f aca="false">AVERAGE(K3291:N3291)</f>
        <v>0.5</v>
      </c>
      <c r="S3291" s="50"/>
    </row>
    <row r="3292" customFormat="false" ht="15" hidden="false" customHeight="false" outlineLevel="0" collapsed="false">
      <c r="A3292" s="4" t="s">
        <v>551</v>
      </c>
      <c r="B3292" s="36" t="s">
        <v>321</v>
      </c>
      <c r="C3292" s="48" t="n">
        <f aca="false">IF(C3230&lt;=4,Assumptions!$D$100,Assumptions!$D$101)*C3231</f>
        <v>1</v>
      </c>
      <c r="D3292" s="48" t="n">
        <f aca="false">IF(D3230&lt;=4,Assumptions!$D$100,Assumptions!$D$101)*D3231</f>
        <v>1</v>
      </c>
      <c r="E3292" s="48" t="n">
        <f aca="false">IF(E3230&lt;=4,Assumptions!$D$100,Assumptions!$D$101)*E3231</f>
        <v>1</v>
      </c>
      <c r="F3292" s="48" t="n">
        <f aca="false">IF(F3230&lt;=4,Assumptions!$D$100,Assumptions!$D$101)*F3231</f>
        <v>1</v>
      </c>
      <c r="G3292" s="48" t="n">
        <f aca="false">IF(G3230&lt;=4,Assumptions!$D$100,Assumptions!$D$101)*G3231</f>
        <v>0.5</v>
      </c>
      <c r="H3292" s="48" t="n">
        <f aca="false">IF(H3230&lt;=4,Assumptions!$D$100,Assumptions!$D$101)*H3231</f>
        <v>0.5</v>
      </c>
      <c r="I3292" s="48" t="n">
        <f aca="false">IF(I3230&lt;=4,Assumptions!$D$100,Assumptions!$D$101)*I3231</f>
        <v>0.5</v>
      </c>
      <c r="J3292" s="48" t="n">
        <f aca="false">IF(J3230&lt;=4,Assumptions!$D$100,Assumptions!$D$101)*J3231</f>
        <v>0.5</v>
      </c>
      <c r="K3292" s="48" t="n">
        <f aca="false">IF(K3230&lt;=4,Assumptions!$D$100,Assumptions!$D$101)*K3231</f>
        <v>0.5</v>
      </c>
      <c r="L3292" s="48" t="n">
        <f aca="false">IF(L3230&lt;=4,Assumptions!$D$100,Assumptions!$D$101)*L3231</f>
        <v>0.5</v>
      </c>
      <c r="M3292" s="48" t="n">
        <f aca="false">IF(M3230&lt;=4,Assumptions!$D$100,Assumptions!$D$101)*M3231</f>
        <v>0.5</v>
      </c>
      <c r="N3292" s="48" t="n">
        <f aca="false">IF(N3230&lt;=4,Assumptions!$D$100,Assumptions!$D$101)*N3231</f>
        <v>0.5</v>
      </c>
      <c r="P3292" s="49" t="n">
        <f aca="false">AVERAGE(C3292:F3292)</f>
        <v>1</v>
      </c>
      <c r="Q3292" s="49" t="n">
        <f aca="false">AVERAGE(G3292:J3292)</f>
        <v>0.5</v>
      </c>
      <c r="R3292" s="49" t="n">
        <f aca="false">AVERAGE(K3292:N3292)</f>
        <v>0.5</v>
      </c>
      <c r="S3292" s="50"/>
    </row>
    <row r="3293" customFormat="false" ht="15" hidden="false" customHeight="false" outlineLevel="0" collapsed="false">
      <c r="A3293" s="4" t="s">
        <v>552</v>
      </c>
      <c r="B3293" s="36" t="s">
        <v>321</v>
      </c>
      <c r="C3293" s="48" t="n">
        <f aca="false">Assumptions!$D$102*C3231</f>
        <v>0.25</v>
      </c>
      <c r="D3293" s="48" t="n">
        <f aca="false">Assumptions!$D$102*D3231</f>
        <v>0.25</v>
      </c>
      <c r="E3293" s="48" t="n">
        <f aca="false">Assumptions!$D$102*E3231</f>
        <v>0.25</v>
      </c>
      <c r="F3293" s="48" t="n">
        <f aca="false">Assumptions!$D$102*F3231</f>
        <v>0.25</v>
      </c>
      <c r="G3293" s="48" t="n">
        <f aca="false">Assumptions!$D$102*G3231</f>
        <v>0.25</v>
      </c>
      <c r="H3293" s="48" t="n">
        <f aca="false">Assumptions!$D$102*H3231</f>
        <v>0.25</v>
      </c>
      <c r="I3293" s="48" t="n">
        <f aca="false">Assumptions!$D$102*I3231</f>
        <v>0.25</v>
      </c>
      <c r="J3293" s="48" t="n">
        <f aca="false">Assumptions!$D$102*J3231</f>
        <v>0.25</v>
      </c>
      <c r="K3293" s="48" t="n">
        <f aca="false">Assumptions!$D$102*K3231</f>
        <v>0.25</v>
      </c>
      <c r="L3293" s="48" t="n">
        <f aca="false">Assumptions!$D$102*L3231</f>
        <v>0.25</v>
      </c>
      <c r="M3293" s="48" t="n">
        <f aca="false">Assumptions!$D$102*M3231</f>
        <v>0.25</v>
      </c>
      <c r="N3293" s="48" t="n">
        <f aca="false">Assumptions!$D$102*N3231</f>
        <v>0.25</v>
      </c>
      <c r="P3293" s="49" t="n">
        <f aca="false">AVERAGE(C3293:F3293)</f>
        <v>0.25</v>
      </c>
      <c r="Q3293" s="49" t="n">
        <f aca="false">AVERAGE(G3293:J3293)</f>
        <v>0.25</v>
      </c>
      <c r="R3293" s="49" t="n">
        <f aca="false">AVERAGE(K3293:N3293)</f>
        <v>0.25</v>
      </c>
      <c r="S3293" s="50"/>
    </row>
    <row r="3294" customFormat="false" ht="15" hidden="false" customHeight="false" outlineLevel="0" collapsed="false">
      <c r="A3294" s="4" t="s">
        <v>553</v>
      </c>
      <c r="B3294" s="36" t="s">
        <v>321</v>
      </c>
      <c r="C3294" s="48" t="n">
        <f aca="false">(C3278+C3279)/Assumptions!$E$74+C3277/Assumptions!$E$75</f>
        <v>0</v>
      </c>
      <c r="D3294" s="48" t="n">
        <f aca="false">(D3278+D3279)/Assumptions!$E$74+D3277/Assumptions!$E$75</f>
        <v>0.015769245409534</v>
      </c>
      <c r="E3294" s="48" t="n">
        <f aca="false">(E3278+E3279)/Assumptions!$E$74+E3277/Assumptions!$E$75</f>
        <v>0.0445443274607236</v>
      </c>
      <c r="F3294" s="48" t="n">
        <f aca="false">(F3278+F3279)/Assumptions!$E$74+F3277/Assumptions!$E$75</f>
        <v>0.0763249620036805</v>
      </c>
      <c r="G3294" s="48" t="n">
        <f aca="false">(G3278+G3279)/Assumptions!$E$74+G3277/Assumptions!$E$75</f>
        <v>0.109968043710053</v>
      </c>
      <c r="H3294" s="48" t="n">
        <f aca="false">(H3278+H3279)/Assumptions!$E$74+H3277/Assumptions!$E$75</f>
        <v>0.151803296934654</v>
      </c>
      <c r="I3294" s="48" t="n">
        <f aca="false">(I3278+I3279)/Assumptions!$E$74+I3277/Assumptions!$E$75</f>
        <v>0.201410438307394</v>
      </c>
      <c r="J3294" s="48" t="n">
        <f aca="false">(J3278+J3279)/Assumptions!$E$74+J3277/Assumptions!$E$75</f>
        <v>0.271951334666755</v>
      </c>
      <c r="K3294" s="48" t="n">
        <f aca="false">(K3278+K3279)/Assumptions!$E$74+K3277/Assumptions!$E$75</f>
        <v>0.362102585436715</v>
      </c>
      <c r="L3294" s="48" t="n">
        <f aca="false">(L3278+L3279)/Assumptions!$E$74+L3277/Assumptions!$E$75</f>
        <v>0.451534191946402</v>
      </c>
      <c r="M3294" s="48" t="n">
        <f aca="false">(M3278+M3279)/Assumptions!$E$74+M3277/Assumptions!$E$75</f>
        <v>0.535553012618227</v>
      </c>
      <c r="N3294" s="48" t="n">
        <f aca="false">(N3278+N3279)/Assumptions!$E$74+N3277/Assumptions!$E$75</f>
        <v>0.614218133494276</v>
      </c>
      <c r="P3294" s="49" t="n">
        <f aca="false">AVERAGE(C3294:F3294)</f>
        <v>0.0341596337184845</v>
      </c>
      <c r="Q3294" s="49" t="n">
        <f aca="false">AVERAGE(G3294:J3294)</f>
        <v>0.183783278404714</v>
      </c>
      <c r="R3294" s="49" t="n">
        <f aca="false">AVERAGE(K3294:N3294)</f>
        <v>0.490851980873905</v>
      </c>
      <c r="S3294" s="50"/>
    </row>
    <row r="3295" customFormat="false" ht="15" hidden="false" customHeight="false" outlineLevel="0" collapsed="false">
      <c r="A3295" s="4" t="s">
        <v>554</v>
      </c>
      <c r="B3295" s="36" t="s">
        <v>125</v>
      </c>
      <c r="C3295" s="54" t="n">
        <f aca="false">(C3289+C3291)*Assumptions!$E$70/Assumptions!$E$69/4</f>
        <v>66753.5714285714</v>
      </c>
      <c r="D3295" s="54" t="n">
        <f aca="false">(D3289+D3291)*Assumptions!$E$70/Assumptions!$E$69/4</f>
        <v>66753.5714285714</v>
      </c>
      <c r="E3295" s="54" t="n">
        <f aca="false">(E3289+E3291)*Assumptions!$E$70/Assumptions!$E$69/4</f>
        <v>66753.5714285714</v>
      </c>
      <c r="F3295" s="54" t="n">
        <f aca="false">(F3289+F3291)*Assumptions!$E$70/Assumptions!$E$69/4</f>
        <v>66753.5714285714</v>
      </c>
      <c r="G3295" s="54" t="n">
        <f aca="false">(G3289+G3291)*Assumptions!$E$70/Assumptions!$E$69/4</f>
        <v>100130.357142857</v>
      </c>
      <c r="H3295" s="54" t="n">
        <f aca="false">(H3289+H3291)*Assumptions!$E$70/Assumptions!$E$69/4</f>
        <v>100130.357142857</v>
      </c>
      <c r="I3295" s="54" t="n">
        <f aca="false">(I3289+I3291)*Assumptions!$E$70/Assumptions!$E$69/4</f>
        <v>100130.357142857</v>
      </c>
      <c r="J3295" s="54" t="n">
        <f aca="false">(J3289+J3291)*Assumptions!$E$70/Assumptions!$E$69/4</f>
        <v>100130.357142857</v>
      </c>
      <c r="K3295" s="54" t="n">
        <f aca="false">(K3289+K3291)*Assumptions!$E$70/Assumptions!$E$69/4</f>
        <v>100130.357142857</v>
      </c>
      <c r="L3295" s="54" t="n">
        <f aca="false">(L3289+L3291)*Assumptions!$E$70/Assumptions!$E$69/4</f>
        <v>100130.357142857</v>
      </c>
      <c r="M3295" s="54" t="n">
        <f aca="false">(M3289+M3291)*Assumptions!$E$70/Assumptions!$E$69/4</f>
        <v>100130.357142857</v>
      </c>
      <c r="N3295" s="54" t="n">
        <f aca="false">(N3289+N3291)*Assumptions!$E$70/Assumptions!$E$69/4</f>
        <v>100130.357142857</v>
      </c>
      <c r="P3295" s="55" t="n">
        <f aca="false">SUM(C3295:F3295)</f>
        <v>267014.285714286</v>
      </c>
      <c r="Q3295" s="55" t="n">
        <f aca="false">SUM(G3295:J3295)</f>
        <v>400521.428571429</v>
      </c>
      <c r="R3295" s="55" t="n">
        <f aca="false">SUM(K3295:N3295)</f>
        <v>400521.428571429</v>
      </c>
      <c r="S3295" s="56" t="n">
        <f aca="false">SUM(P3295:R3295)</f>
        <v>1068057.14285714</v>
      </c>
    </row>
    <row r="3296" customFormat="false" ht="15" hidden="false" customHeight="false" outlineLevel="0" collapsed="false">
      <c r="A3296" s="4" t="s">
        <v>555</v>
      </c>
      <c r="B3296" s="36" t="s">
        <v>125</v>
      </c>
      <c r="C3296" s="54" t="n">
        <f aca="false">C3290*$C$3225/4</f>
        <v>0</v>
      </c>
      <c r="D3296" s="54" t="n">
        <f aca="false">D3290*$C$3225/4</f>
        <v>0</v>
      </c>
      <c r="E3296" s="54" t="n">
        <f aca="false">E3290*$C$3225/4</f>
        <v>0</v>
      </c>
      <c r="F3296" s="54" t="n">
        <f aca="false">F3290*$C$3225/4</f>
        <v>0</v>
      </c>
      <c r="G3296" s="54" t="n">
        <f aca="false">G3290*$C$3225/4</f>
        <v>0</v>
      </c>
      <c r="H3296" s="54" t="n">
        <f aca="false">H3290*$C$3225/4</f>
        <v>0</v>
      </c>
      <c r="I3296" s="54" t="n">
        <f aca="false">I3290*$C$3225/4</f>
        <v>0</v>
      </c>
      <c r="J3296" s="54" t="n">
        <f aca="false">J3290*$C$3225/4</f>
        <v>0</v>
      </c>
      <c r="K3296" s="54" t="n">
        <f aca="false">K3290*$C$3225/4</f>
        <v>0</v>
      </c>
      <c r="L3296" s="54" t="n">
        <f aca="false">L3290*$C$3225/4</f>
        <v>0</v>
      </c>
      <c r="M3296" s="54" t="n">
        <f aca="false">M3290*$C$3225/4</f>
        <v>0</v>
      </c>
      <c r="N3296" s="54" t="n">
        <f aca="false">N3290*$C$3225/4</f>
        <v>0</v>
      </c>
      <c r="P3296" s="55" t="n">
        <f aca="false">SUM(C3296:F3296)</f>
        <v>0</v>
      </c>
      <c r="Q3296" s="55" t="n">
        <f aca="false">SUM(G3296:J3296)</f>
        <v>0</v>
      </c>
      <c r="R3296" s="55" t="n">
        <f aca="false">SUM(K3296:N3296)</f>
        <v>0</v>
      </c>
      <c r="S3296" s="56" t="n">
        <f aca="false">SUM(P3296:R3296)</f>
        <v>0</v>
      </c>
    </row>
    <row r="3297" customFormat="false" ht="15" hidden="false" customHeight="false" outlineLevel="0" collapsed="false">
      <c r="A3297" s="4" t="s">
        <v>556</v>
      </c>
      <c r="B3297" s="36" t="s">
        <v>125</v>
      </c>
      <c r="C3297" s="54" t="n">
        <f aca="false">MAX(0,(C3285-C3266*$C$3221)-C3245*$C$3226)*$C$3227*Assumptions!$D$105</f>
        <v>0</v>
      </c>
      <c r="D3297" s="54" t="n">
        <f aca="false">MAX(0,(D3285-D3266*$C$3221)-D3245*$C$3226)*$C$3227*Assumptions!$D$105</f>
        <v>3845.73575138297</v>
      </c>
      <c r="E3297" s="54" t="n">
        <f aca="false">MAX(0,(E3285-E3266*$C$3221)-E3245*$C$3226)*$C$3227*Assumptions!$D$105</f>
        <v>8906.23940510951</v>
      </c>
      <c r="F3297" s="54" t="n">
        <f aca="false">MAX(0,(F3285-F3266*$C$3221)-F3245*$C$3226)*$C$3227*Assumptions!$D$105</f>
        <v>11125.5150737134</v>
      </c>
      <c r="G3297" s="54" t="n">
        <f aca="false">MAX(0,(G3285-G3266*$C$3221)-G3245*$C$3226)*$C$3227*Assumptions!$D$105</f>
        <v>12051.773101662</v>
      </c>
      <c r="H3297" s="54" t="n">
        <f aca="false">MAX(0,(H3285-H3266*$C$3221)-H3245*$C$3226)*$C$3227*Assumptions!$D$105</f>
        <v>14579.2330316253</v>
      </c>
      <c r="I3297" s="54" t="n">
        <f aca="false">MAX(0,(I3285-I3266*$C$3221)-I3245*$C$3226)*$C$3227*Assumptions!$D$105</f>
        <v>17456.4740380981</v>
      </c>
      <c r="J3297" s="54" t="n">
        <f aca="false">MAX(0,(J3285-J3266*$C$3221)-J3245*$C$3226)*$C$3227*Assumptions!$D$105</f>
        <v>23756.0144559183</v>
      </c>
      <c r="K3297" s="54" t="n">
        <f aca="false">MAX(0,(K3285-K3266*$C$3221)-K3245*$C$3226)*$C$3227*Assumptions!$D$105</f>
        <v>30956.9946884323</v>
      </c>
      <c r="L3297" s="54" t="n">
        <f aca="false">MAX(0,(L3285-L3266*$C$3221)-L3245*$C$3226)*$C$3227*Assumptions!$D$105</f>
        <v>32990.1438762754</v>
      </c>
      <c r="M3297" s="54" t="n">
        <f aca="false">MAX(0,(M3285-M3266*$C$3221)-M3245*$C$3226)*$C$3227*Assumptions!$D$105</f>
        <v>32230.0909990123</v>
      </c>
      <c r="N3297" s="54" t="n">
        <f aca="false">MAX(0,(N3285-N3266*$C$3221)-N3245*$C$3226)*$C$3227*Assumptions!$D$105</f>
        <v>31179.2023987284</v>
      </c>
      <c r="P3297" s="55" t="n">
        <f aca="false">SUM(C3297:F3297)</f>
        <v>23877.4902302058</v>
      </c>
      <c r="Q3297" s="55" t="n">
        <f aca="false">SUM(G3297:J3297)</f>
        <v>67843.4946273038</v>
      </c>
      <c r="R3297" s="55" t="n">
        <f aca="false">SUM(K3297:N3297)</f>
        <v>127356.431962448</v>
      </c>
      <c r="S3297" s="56" t="n">
        <f aca="false">SUM(P3297:R3297)</f>
        <v>219077.416819958</v>
      </c>
    </row>
    <row r="3298" customFormat="false" ht="15" hidden="false" customHeight="false" outlineLevel="0" collapsed="false">
      <c r="A3298" s="4" t="s">
        <v>557</v>
      </c>
      <c r="B3298" s="36" t="s">
        <v>125</v>
      </c>
      <c r="C3298" s="54" t="n">
        <f aca="false">C3293*Assumptions!$E$71/Assumptions!$E$69/4</f>
        <v>18475.8928571429</v>
      </c>
      <c r="D3298" s="54" t="n">
        <f aca="false">D3293*Assumptions!$E$71/Assumptions!$E$69/4</f>
        <v>18475.8928571429</v>
      </c>
      <c r="E3298" s="54" t="n">
        <f aca="false">E3293*Assumptions!$E$71/Assumptions!$E$69/4</f>
        <v>18475.8928571429</v>
      </c>
      <c r="F3298" s="54" t="n">
        <f aca="false">F3293*Assumptions!$E$71/Assumptions!$E$69/4</f>
        <v>18475.8928571429</v>
      </c>
      <c r="G3298" s="54" t="n">
        <f aca="false">G3293*Assumptions!$E$71/Assumptions!$E$69/4</f>
        <v>18475.8928571429</v>
      </c>
      <c r="H3298" s="54" t="n">
        <f aca="false">H3293*Assumptions!$E$71/Assumptions!$E$69/4</f>
        <v>18475.8928571429</v>
      </c>
      <c r="I3298" s="54" t="n">
        <f aca="false">I3293*Assumptions!$E$71/Assumptions!$E$69/4</f>
        <v>18475.8928571429</v>
      </c>
      <c r="J3298" s="54" t="n">
        <f aca="false">J3293*Assumptions!$E$71/Assumptions!$E$69/4</f>
        <v>18475.8928571429</v>
      </c>
      <c r="K3298" s="54" t="n">
        <f aca="false">K3293*Assumptions!$E$71/Assumptions!$E$69/4</f>
        <v>18475.8928571429</v>
      </c>
      <c r="L3298" s="54" t="n">
        <f aca="false">L3293*Assumptions!$E$71/Assumptions!$E$69/4</f>
        <v>18475.8928571429</v>
      </c>
      <c r="M3298" s="54" t="n">
        <f aca="false">M3293*Assumptions!$E$71/Assumptions!$E$69/4</f>
        <v>18475.8928571429</v>
      </c>
      <c r="N3298" s="54" t="n">
        <f aca="false">N3293*Assumptions!$E$71/Assumptions!$E$69/4</f>
        <v>18475.8928571429</v>
      </c>
      <c r="P3298" s="55" t="n">
        <f aca="false">SUM(C3298:F3298)</f>
        <v>73903.5714285714</v>
      </c>
      <c r="Q3298" s="55" t="n">
        <f aca="false">SUM(G3298:J3298)</f>
        <v>73903.5714285714</v>
      </c>
      <c r="R3298" s="55" t="n">
        <f aca="false">SUM(K3298:N3298)</f>
        <v>73903.5714285714</v>
      </c>
      <c r="S3298" s="56" t="n">
        <f aca="false">SUM(P3298:R3298)</f>
        <v>221710.714285714</v>
      </c>
    </row>
    <row r="3299" customFormat="false" ht="15" hidden="false" customHeight="false" outlineLevel="0" collapsed="false">
      <c r="A3299" s="4" t="s">
        <v>558</v>
      </c>
      <c r="B3299" s="36" t="s">
        <v>125</v>
      </c>
      <c r="C3299" s="54" t="n">
        <f aca="false">(Assumptions!$D$103+Assumptions!$E$77*((C3230=Assumptions!$E$13)+(C3230=Assumptions!$E$14)+(C3230=Assumptions!$E$15)))*C3231</f>
        <v>65000</v>
      </c>
      <c r="D3299" s="54" t="n">
        <f aca="false">(Assumptions!$D$103+Assumptions!$E$77*((D3230=Assumptions!$E$13)+(D3230=Assumptions!$E$14)+(D3230=Assumptions!$E$15)))*D3231</f>
        <v>25000</v>
      </c>
      <c r="E3299" s="54" t="n">
        <f aca="false">(Assumptions!$D$103+Assumptions!$E$77*((E3230=Assumptions!$E$13)+(E3230=Assumptions!$E$14)+(E3230=Assumptions!$E$15)))*E3231</f>
        <v>25000</v>
      </c>
      <c r="F3299" s="54" t="n">
        <f aca="false">(Assumptions!$D$103+Assumptions!$E$77*((F3230=Assumptions!$E$13)+(F3230=Assumptions!$E$14)+(F3230=Assumptions!$E$15)))*F3231</f>
        <v>25000</v>
      </c>
      <c r="G3299" s="54" t="n">
        <f aca="false">(Assumptions!$D$103+Assumptions!$E$77*((G3230=Assumptions!$E$13)+(G3230=Assumptions!$E$14)+(G3230=Assumptions!$E$15)))*G3231</f>
        <v>65000</v>
      </c>
      <c r="H3299" s="54" t="n">
        <f aca="false">(Assumptions!$D$103+Assumptions!$E$77*((H3230=Assumptions!$E$13)+(H3230=Assumptions!$E$14)+(H3230=Assumptions!$E$15)))*H3231</f>
        <v>25000</v>
      </c>
      <c r="I3299" s="54" t="n">
        <f aca="false">(Assumptions!$D$103+Assumptions!$E$77*((I3230=Assumptions!$E$13)+(I3230=Assumptions!$E$14)+(I3230=Assumptions!$E$15)))*I3231</f>
        <v>65000</v>
      </c>
      <c r="J3299" s="54" t="n">
        <f aca="false">(Assumptions!$D$103+Assumptions!$E$77*((J3230=Assumptions!$E$13)+(J3230=Assumptions!$E$14)+(J3230=Assumptions!$E$15)))*J3231</f>
        <v>25000</v>
      </c>
      <c r="K3299" s="54" t="n">
        <f aca="false">(Assumptions!$D$103+Assumptions!$E$77*((K3230=Assumptions!$E$13)+(K3230=Assumptions!$E$14)+(K3230=Assumptions!$E$15)))*K3231</f>
        <v>25000</v>
      </c>
      <c r="L3299" s="54" t="n">
        <f aca="false">(Assumptions!$D$103+Assumptions!$E$77*((L3230=Assumptions!$E$13)+(L3230=Assumptions!$E$14)+(L3230=Assumptions!$E$15)))*L3231</f>
        <v>25000</v>
      </c>
      <c r="M3299" s="54" t="n">
        <f aca="false">(Assumptions!$D$103+Assumptions!$E$77*((M3230=Assumptions!$E$13)+(M3230=Assumptions!$E$14)+(M3230=Assumptions!$E$15)))*M3231</f>
        <v>25000</v>
      </c>
      <c r="N3299" s="54" t="n">
        <f aca="false">(Assumptions!$D$103+Assumptions!$E$77*((N3230=Assumptions!$E$13)+(N3230=Assumptions!$E$14)+(N3230=Assumptions!$E$15)))*N3231</f>
        <v>25000</v>
      </c>
      <c r="P3299" s="55" t="n">
        <f aca="false">SUM(C3299:F3299)</f>
        <v>140000</v>
      </c>
      <c r="Q3299" s="55" t="n">
        <f aca="false">SUM(G3299:J3299)</f>
        <v>180000</v>
      </c>
      <c r="R3299" s="55" t="n">
        <f aca="false">SUM(K3299:N3299)</f>
        <v>100000</v>
      </c>
      <c r="S3299" s="56" t="n">
        <f aca="false">SUM(P3299:R3299)</f>
        <v>420000</v>
      </c>
    </row>
    <row r="3300" customFormat="false" ht="15" hidden="false" customHeight="false" outlineLevel="0" collapsed="false">
      <c r="A3300" s="4" t="s">
        <v>559</v>
      </c>
      <c r="B3300" s="36" t="s">
        <v>125</v>
      </c>
      <c r="C3300" s="54" t="n">
        <f aca="false">C3285*C3265*Assumptions!$E$79</f>
        <v>0</v>
      </c>
      <c r="D3300" s="54" t="n">
        <f aca="false">D3285*D3265*Assumptions!$E$79</f>
        <v>815.338873355417</v>
      </c>
      <c r="E3300" s="54" t="n">
        <f aca="false">E3285*E3265*Assumptions!$E$79</f>
        <v>1574.17971863591</v>
      </c>
      <c r="F3300" s="54" t="n">
        <f aca="false">F3285*F3265*Assumptions!$E$79</f>
        <v>2375.35344918984</v>
      </c>
      <c r="G3300" s="54" t="n">
        <f aca="false">G3285*G3265*Assumptions!$E$79</f>
        <v>2973.19692141928</v>
      </c>
      <c r="H3300" s="54" t="n">
        <f aca="false">H3285*H3265*Assumptions!$E$79</f>
        <v>3396.6587420402</v>
      </c>
      <c r="I3300" s="54" t="n">
        <f aca="false">I3285*I3265*Assumptions!$E$79</f>
        <v>3949.46914189568</v>
      </c>
      <c r="J3300" s="54" t="n">
        <f aca="false">J3285*J3265*Assumptions!$E$79</f>
        <v>4221.766499532</v>
      </c>
      <c r="K3300" s="54" t="n">
        <f aca="false">K3285*K3265*Assumptions!$E$79</f>
        <v>4797.09571714701</v>
      </c>
      <c r="L3300" s="54" t="n">
        <f aca="false">L3285*L3265*Assumptions!$E$79</f>
        <v>5640.08593924925</v>
      </c>
      <c r="M3300" s="54" t="n">
        <f aca="false">M3285*M3265*Assumptions!$E$79</f>
        <v>5693.57221091268</v>
      </c>
      <c r="N3300" s="54" t="n">
        <f aca="false">N3285*N3265*Assumptions!$E$79</f>
        <v>5691.46718333768</v>
      </c>
      <c r="P3300" s="55" t="n">
        <f aca="false">SUM(C3300:F3300)</f>
        <v>4764.87204118116</v>
      </c>
      <c r="Q3300" s="55" t="n">
        <f aca="false">SUM(G3300:J3300)</f>
        <v>14541.0913048872</v>
      </c>
      <c r="R3300" s="55" t="n">
        <f aca="false">SUM(K3300:N3300)</f>
        <v>21822.2210506466</v>
      </c>
      <c r="S3300" s="56" t="n">
        <f aca="false">SUM(P3300:R3300)</f>
        <v>41128.1843967149</v>
      </c>
    </row>
    <row r="3301" customFormat="false" ht="15" hidden="false" customHeight="false" outlineLevel="0" collapsed="false">
      <c r="A3301" s="4" t="s">
        <v>560</v>
      </c>
      <c r="B3301" s="36" t="s">
        <v>125</v>
      </c>
      <c r="C3301" s="54" t="n">
        <f aca="false">C3250*Assumptions!$E$80</f>
        <v>4000</v>
      </c>
      <c r="D3301" s="54" t="n">
        <f aca="false">D3250*Assumptions!$E$80</f>
        <v>6000</v>
      </c>
      <c r="E3301" s="54" t="n">
        <f aca="false">E3250*Assumptions!$E$80</f>
        <v>8000</v>
      </c>
      <c r="F3301" s="54" t="n">
        <f aca="false">F3250*Assumptions!$E$80</f>
        <v>10000</v>
      </c>
      <c r="G3301" s="54" t="n">
        <f aca="false">G3250*Assumptions!$E$80</f>
        <v>12000</v>
      </c>
      <c r="H3301" s="54" t="n">
        <f aca="false">H3250*Assumptions!$E$80</f>
        <v>14000</v>
      </c>
      <c r="I3301" s="54" t="n">
        <f aca="false">I3250*Assumptions!$E$80</f>
        <v>16000</v>
      </c>
      <c r="J3301" s="54" t="n">
        <f aca="false">J3250*Assumptions!$E$80</f>
        <v>18000</v>
      </c>
      <c r="K3301" s="54" t="n">
        <f aca="false">K3250*Assumptions!$E$80</f>
        <v>20000</v>
      </c>
      <c r="L3301" s="54" t="n">
        <f aca="false">L3250*Assumptions!$E$80</f>
        <v>20000</v>
      </c>
      <c r="M3301" s="54" t="n">
        <f aca="false">M3250*Assumptions!$E$80</f>
        <v>20000</v>
      </c>
      <c r="N3301" s="54" t="n">
        <f aca="false">N3250*Assumptions!$E$80</f>
        <v>20000</v>
      </c>
      <c r="P3301" s="55" t="n">
        <f aca="false">SUM(C3301:F3301)</f>
        <v>28000</v>
      </c>
      <c r="Q3301" s="55" t="n">
        <f aca="false">SUM(G3301:J3301)</f>
        <v>60000</v>
      </c>
      <c r="R3301" s="55" t="n">
        <f aca="false">SUM(K3301:N3301)</f>
        <v>80000</v>
      </c>
      <c r="S3301" s="56" t="n">
        <f aca="false">SUM(P3301:R3301)</f>
        <v>168000</v>
      </c>
    </row>
    <row r="3302" customFormat="false" ht="15" hidden="false" customHeight="false" outlineLevel="0" collapsed="false">
      <c r="A3302" s="4" t="s">
        <v>561</v>
      </c>
      <c r="B3302" s="36" t="s">
        <v>125</v>
      </c>
      <c r="C3302" s="54" t="n">
        <f aca="false">(C3273*$C$3222+C3274*$C$3223)*Assumptions!$E$81</f>
        <v>0</v>
      </c>
      <c r="D3302" s="54" t="n">
        <f aca="false">(D3273*$C$3222+D3274*$C$3223)*Assumptions!$E$81</f>
        <v>700.41353157853</v>
      </c>
      <c r="E3302" s="54" t="n">
        <f aca="false">(E3273*$C$3222+E3274*$C$3223)*Assumptions!$E$81</f>
        <v>1937.50822110546</v>
      </c>
      <c r="F3302" s="54" t="n">
        <f aca="false">(F3273*$C$3222+F3274*$C$3223)*Assumptions!$E$81</f>
        <v>2571.21919067863</v>
      </c>
      <c r="G3302" s="54" t="n">
        <f aca="false">(G3273*$C$3222+G3274*$C$3223)*Assumptions!$E$81</f>
        <v>2786.93201857122</v>
      </c>
      <c r="H3302" s="54" t="n">
        <f aca="false">(H3273*$C$3222+H3274*$C$3223)*Assumptions!$E$81</f>
        <v>3279.83334293561</v>
      </c>
      <c r="I3302" s="54" t="n">
        <f aca="false">(I3273*$C$3222+I3274*$C$3223)*Assumptions!$E$81</f>
        <v>3908.80352454717</v>
      </c>
      <c r="J3302" s="54" t="n">
        <f aca="false">(J3273*$C$3222+J3274*$C$3223)*Assumptions!$E$81</f>
        <v>5068.54835301635</v>
      </c>
      <c r="K3302" s="54" t="n">
        <f aca="false">(K3273*$C$3222+K3274*$C$3223)*Assumptions!$E$81</f>
        <v>6605.34901648691</v>
      </c>
      <c r="L3302" s="54" t="n">
        <f aca="false">(L3273*$C$3222+L3274*$C$3223)*Assumptions!$E$81</f>
        <v>7261.85180177275</v>
      </c>
      <c r="M3302" s="54" t="n">
        <f aca="false">(M3273*$C$3222+M3274*$C$3223)*Assumptions!$E$81</f>
        <v>7129.36935905081</v>
      </c>
      <c r="N3302" s="54" t="n">
        <f aca="false">(N3273*$C$3222+N3274*$C$3223)*Assumptions!$E$81</f>
        <v>6895.59820697851</v>
      </c>
      <c r="P3302" s="55" t="n">
        <f aca="false">SUM(C3302:F3302)</f>
        <v>5209.14094336262</v>
      </c>
      <c r="Q3302" s="55" t="n">
        <f aca="false">SUM(G3302:J3302)</f>
        <v>15044.1172390703</v>
      </c>
      <c r="R3302" s="55" t="n">
        <f aca="false">SUM(K3302:N3302)</f>
        <v>27892.168384289</v>
      </c>
      <c r="S3302" s="56" t="n">
        <f aca="false">SUM(P3302:R3302)</f>
        <v>48145.4265667219</v>
      </c>
    </row>
    <row r="3303" customFormat="false" ht="15" hidden="false" customHeight="false" outlineLevel="0" collapsed="false">
      <c r="A3303" s="9" t="s">
        <v>562</v>
      </c>
      <c r="B3303" s="36" t="s">
        <v>125</v>
      </c>
      <c r="C3303" s="55" t="n">
        <f aca="false">C3295+C3296+C3297+C3298+C3299+C3300+C3301+C3302</f>
        <v>154229.464285714</v>
      </c>
      <c r="D3303" s="55" t="n">
        <f aca="false">D3295+D3296+D3297+D3298+D3299+D3300+D3301+D3302</f>
        <v>121590.952442031</v>
      </c>
      <c r="E3303" s="55" t="n">
        <f aca="false">E3295+E3296+E3297+E3298+E3299+E3300+E3301+E3302</f>
        <v>130647.391630565</v>
      </c>
      <c r="F3303" s="55" t="n">
        <f aca="false">F3295+F3296+F3297+F3298+F3299+F3300+F3301+F3302</f>
        <v>136301.551999296</v>
      </c>
      <c r="G3303" s="55" t="n">
        <f aca="false">G3295+G3296+G3297+G3298+G3299+G3300+G3301+G3302</f>
        <v>213418.152041652</v>
      </c>
      <c r="H3303" s="55" t="n">
        <f aca="false">H3295+H3296+H3297+H3298+H3299+H3300+H3301+H3302</f>
        <v>178861.975116601</v>
      </c>
      <c r="I3303" s="55" t="n">
        <f aca="false">I3295+I3296+I3297+I3298+I3299+I3300+I3301+I3302</f>
        <v>224920.996704541</v>
      </c>
      <c r="J3303" s="55" t="n">
        <f aca="false">J3295+J3296+J3297+J3298+J3299+J3300+J3301+J3302</f>
        <v>194652.579308467</v>
      </c>
      <c r="K3303" s="55" t="n">
        <f aca="false">K3295+K3296+K3297+K3298+K3299+K3300+K3301+K3302</f>
        <v>205965.689422066</v>
      </c>
      <c r="L3303" s="55" t="n">
        <f aca="false">L3295+L3296+L3297+L3298+L3299+L3300+L3301+L3302</f>
        <v>209498.331617297</v>
      </c>
      <c r="M3303" s="55" t="n">
        <f aca="false">M3295+M3296+M3297+M3298+M3299+M3300+M3301+M3302</f>
        <v>208659.282568976</v>
      </c>
      <c r="N3303" s="55" t="n">
        <f aca="false">N3295+N3296+N3297+N3298+N3299+N3300+N3301+N3302</f>
        <v>207372.517789045</v>
      </c>
      <c r="P3303" s="55" t="n">
        <f aca="false">SUM(C3303:F3303)</f>
        <v>542769.360357607</v>
      </c>
      <c r="Q3303" s="55" t="n">
        <f aca="false">SUM(G3303:J3303)</f>
        <v>811853.703171261</v>
      </c>
      <c r="R3303" s="55" t="n">
        <f aca="false">SUM(K3303:N3303)</f>
        <v>831495.821397384</v>
      </c>
      <c r="S3303" s="56" t="n">
        <f aca="false">SUM(P3303:R3303)</f>
        <v>2186118.88492625</v>
      </c>
    </row>
    <row r="3304" customFormat="false" ht="15" hidden="false" customHeight="false" outlineLevel="0" collapsed="false">
      <c r="A3304" s="4" t="s">
        <v>563</v>
      </c>
      <c r="B3304" s="36" t="s">
        <v>125</v>
      </c>
      <c r="C3304" s="54" t="n">
        <f aca="false">C3292*Assumptions!$E$72/Assumptions!$E$69/4</f>
        <v>56535.7142857143</v>
      </c>
      <c r="D3304" s="54" t="n">
        <f aca="false">D3292*Assumptions!$E$72/Assumptions!$E$69/4</f>
        <v>56535.7142857143</v>
      </c>
      <c r="E3304" s="54" t="n">
        <f aca="false">E3292*Assumptions!$E$72/Assumptions!$E$69/4</f>
        <v>56535.7142857143</v>
      </c>
      <c r="F3304" s="54" t="n">
        <f aca="false">F3292*Assumptions!$E$72/Assumptions!$E$69/4</f>
        <v>56535.7142857143</v>
      </c>
      <c r="G3304" s="54" t="n">
        <f aca="false">G3292*Assumptions!$E$72/Assumptions!$E$69/4</f>
        <v>28267.8571428571</v>
      </c>
      <c r="H3304" s="54" t="n">
        <f aca="false">H3292*Assumptions!$E$72/Assumptions!$E$69/4</f>
        <v>28267.8571428571</v>
      </c>
      <c r="I3304" s="54" t="n">
        <f aca="false">I3292*Assumptions!$E$72/Assumptions!$E$69/4</f>
        <v>28267.8571428571</v>
      </c>
      <c r="J3304" s="54" t="n">
        <f aca="false">J3292*Assumptions!$E$72/Assumptions!$E$69/4</f>
        <v>28267.8571428571</v>
      </c>
      <c r="K3304" s="54" t="n">
        <f aca="false">K3292*Assumptions!$E$72/Assumptions!$E$69/4</f>
        <v>28267.8571428571</v>
      </c>
      <c r="L3304" s="54" t="n">
        <f aca="false">L3292*Assumptions!$E$72/Assumptions!$E$69/4</f>
        <v>28267.8571428571</v>
      </c>
      <c r="M3304" s="54" t="n">
        <f aca="false">M3292*Assumptions!$E$72/Assumptions!$E$69/4</f>
        <v>28267.8571428571</v>
      </c>
      <c r="N3304" s="54" t="n">
        <f aca="false">N3292*Assumptions!$E$72/Assumptions!$E$69/4</f>
        <v>28267.8571428571</v>
      </c>
      <c r="P3304" s="55" t="n">
        <f aca="false">SUM(C3304:F3304)</f>
        <v>226142.857142857</v>
      </c>
      <c r="Q3304" s="55" t="n">
        <f aca="false">SUM(G3304:J3304)</f>
        <v>113071.428571429</v>
      </c>
      <c r="R3304" s="55" t="n">
        <f aca="false">SUM(K3304:N3304)</f>
        <v>113071.428571429</v>
      </c>
      <c r="S3304" s="56" t="n">
        <f aca="false">SUM(P3304:R3304)</f>
        <v>452285.714285714</v>
      </c>
    </row>
    <row r="3305" customFormat="false" ht="15" hidden="false" customHeight="false" outlineLevel="0" collapsed="false">
      <c r="A3305" s="4" t="s">
        <v>564</v>
      </c>
      <c r="B3305" s="36" t="s">
        <v>125</v>
      </c>
      <c r="C3305" s="54" t="n">
        <f aca="false">IF(C3230&lt;=Assumptions!$E$83,Assumptions!$E$82*Assumptions!$D$108/Assumptions!$E$83,0)</f>
        <v>62500</v>
      </c>
      <c r="D3305" s="54" t="n">
        <f aca="false">IF(D3230&lt;=Assumptions!$E$83,Assumptions!$E$82*Assumptions!$D$108/Assumptions!$E$83,0)</f>
        <v>62500</v>
      </c>
      <c r="E3305" s="54" t="n">
        <f aca="false">IF(E3230&lt;=Assumptions!$E$83,Assumptions!$E$82*Assumptions!$D$108/Assumptions!$E$83,0)</f>
        <v>62500</v>
      </c>
      <c r="F3305" s="54" t="n">
        <f aca="false">IF(F3230&lt;=Assumptions!$E$83,Assumptions!$E$82*Assumptions!$D$108/Assumptions!$E$83,0)</f>
        <v>62500</v>
      </c>
      <c r="G3305" s="54" t="n">
        <f aca="false">IF(G3230&lt;=Assumptions!$E$83,Assumptions!$E$82*Assumptions!$D$108/Assumptions!$E$83,0)</f>
        <v>0</v>
      </c>
      <c r="H3305" s="54" t="n">
        <f aca="false">IF(H3230&lt;=Assumptions!$E$83,Assumptions!$E$82*Assumptions!$D$108/Assumptions!$E$83,0)</f>
        <v>0</v>
      </c>
      <c r="I3305" s="54" t="n">
        <f aca="false">IF(I3230&lt;=Assumptions!$E$83,Assumptions!$E$82*Assumptions!$D$108/Assumptions!$E$83,0)</f>
        <v>0</v>
      </c>
      <c r="J3305" s="54" t="n">
        <f aca="false">IF(J3230&lt;=Assumptions!$E$83,Assumptions!$E$82*Assumptions!$D$108/Assumptions!$E$83,0)</f>
        <v>0</v>
      </c>
      <c r="K3305" s="54" t="n">
        <f aca="false">IF(K3230&lt;=Assumptions!$E$83,Assumptions!$E$82*Assumptions!$D$108/Assumptions!$E$83,0)</f>
        <v>0</v>
      </c>
      <c r="L3305" s="54" t="n">
        <f aca="false">IF(L3230&lt;=Assumptions!$E$83,Assumptions!$E$82*Assumptions!$D$108/Assumptions!$E$83,0)</f>
        <v>0</v>
      </c>
      <c r="M3305" s="54" t="n">
        <f aca="false">IF(M3230&lt;=Assumptions!$E$83,Assumptions!$E$82*Assumptions!$D$108/Assumptions!$E$83,0)</f>
        <v>0</v>
      </c>
      <c r="N3305" s="54" t="n">
        <f aca="false">IF(N3230&lt;=Assumptions!$E$83,Assumptions!$E$82*Assumptions!$D$108/Assumptions!$E$83,0)</f>
        <v>0</v>
      </c>
      <c r="P3305" s="55" t="n">
        <f aca="false">SUM(C3305:F3305)</f>
        <v>250000</v>
      </c>
      <c r="Q3305" s="55" t="n">
        <f aca="false">SUM(G3305:J3305)</f>
        <v>0</v>
      </c>
      <c r="R3305" s="55" t="n">
        <f aca="false">SUM(K3305:N3305)</f>
        <v>0</v>
      </c>
      <c r="S3305" s="56" t="n">
        <f aca="false">SUM(P3305:R3305)</f>
        <v>250000</v>
      </c>
    </row>
    <row r="3306" customFormat="false" ht="15" hidden="false" customHeight="false" outlineLevel="0" collapsed="false">
      <c r="A3306" s="4" t="s">
        <v>565</v>
      </c>
      <c r="B3306" s="36" t="s">
        <v>125</v>
      </c>
      <c r="C3306" s="54" t="n">
        <f aca="false">C3294*Assumptions!$E$73/Assumptions!$E$69/4</f>
        <v>0</v>
      </c>
      <c r="D3306" s="54" t="n">
        <f aca="false">D3294*Assumptions!$E$73/Assumptions!$E$69/4</f>
        <v>633.64207179524</v>
      </c>
      <c r="E3306" s="54" t="n">
        <f aca="false">E3294*Assumptions!$E$73/Assumptions!$E$69/4</f>
        <v>1789.88652950215</v>
      </c>
      <c r="F3306" s="54" t="n">
        <f aca="false">F3294*Assumptions!$E$73/Assumptions!$E$69/4</f>
        <v>3066.90052679789</v>
      </c>
      <c r="G3306" s="54" t="n">
        <f aca="false">G3294*Assumptions!$E$73/Assumptions!$E$69/4</f>
        <v>4418.75164207789</v>
      </c>
      <c r="H3306" s="54" t="n">
        <f aca="false">H3294*Assumptions!$E$73/Assumptions!$E$69/4</f>
        <v>6099.78176361354</v>
      </c>
      <c r="I3306" s="54" t="n">
        <f aca="false">I3294*Assumptions!$E$73/Assumptions!$E$69/4</f>
        <v>8093.10300498748</v>
      </c>
      <c r="J3306" s="54" t="n">
        <f aca="false">J3294*Assumptions!$E$73/Assumptions!$E$69/4</f>
        <v>10927.5873797702</v>
      </c>
      <c r="K3306" s="54" t="n">
        <f aca="false">K3294*Assumptions!$E$73/Assumptions!$E$69/4</f>
        <v>14550.0578169589</v>
      </c>
      <c r="L3306" s="54" t="n">
        <f aca="false">L3294*Assumptions!$E$73/Assumptions!$E$69/4</f>
        <v>18143.6114056749</v>
      </c>
      <c r="M3306" s="54" t="n">
        <f aca="false">M3294*Assumptions!$E$73/Assumptions!$E$69/4</f>
        <v>21519.6676605988</v>
      </c>
      <c r="N3306" s="54" t="n">
        <f aca="false">N3294*Assumptions!$E$73/Assumptions!$E$69/4</f>
        <v>24680.6007855146</v>
      </c>
      <c r="P3306" s="55" t="n">
        <f aca="false">SUM(C3306:F3306)</f>
        <v>5490.42912809528</v>
      </c>
      <c r="Q3306" s="55" t="n">
        <f aca="false">SUM(G3306:J3306)</f>
        <v>29539.2237904491</v>
      </c>
      <c r="R3306" s="55" t="n">
        <f aca="false">SUM(K3306:N3306)</f>
        <v>78893.9376687472</v>
      </c>
      <c r="S3306" s="56" t="n">
        <f aca="false">SUM(P3306:R3306)</f>
        <v>113923.590587292</v>
      </c>
    </row>
    <row r="3307" customFormat="false" ht="15" hidden="false" customHeight="false" outlineLevel="0" collapsed="false">
      <c r="A3307" s="9" t="s">
        <v>566</v>
      </c>
      <c r="B3307" s="36" t="s">
        <v>125</v>
      </c>
      <c r="C3307" s="55" t="n">
        <f aca="false">C3303+C3304+C3305+C3306</f>
        <v>273265.178571429</v>
      </c>
      <c r="D3307" s="55" t="n">
        <f aca="false">D3303+D3304+D3305+D3306</f>
        <v>241260.308799541</v>
      </c>
      <c r="E3307" s="55" t="n">
        <f aca="false">E3303+E3304+E3305+E3306</f>
        <v>251472.992445782</v>
      </c>
      <c r="F3307" s="55" t="n">
        <f aca="false">F3303+F3304+F3305+F3306</f>
        <v>258404.166811808</v>
      </c>
      <c r="G3307" s="55" t="n">
        <f aca="false">G3303+G3304+G3305+G3306</f>
        <v>246104.760826588</v>
      </c>
      <c r="H3307" s="55" t="n">
        <f aca="false">H3303+H3304+H3305+H3306</f>
        <v>213229.614023072</v>
      </c>
      <c r="I3307" s="55" t="n">
        <f aca="false">I3303+I3304+I3305+I3306</f>
        <v>261281.956852386</v>
      </c>
      <c r="J3307" s="55" t="n">
        <f aca="false">J3303+J3304+J3305+J3306</f>
        <v>233848.023831094</v>
      </c>
      <c r="K3307" s="55" t="n">
        <f aca="false">K3303+K3304+K3305+K3306</f>
        <v>248783.604381882</v>
      </c>
      <c r="L3307" s="55" t="n">
        <f aca="false">L3303+L3304+L3305+L3306</f>
        <v>255909.800165829</v>
      </c>
      <c r="M3307" s="55" t="n">
        <f aca="false">M3303+M3304+M3305+M3306</f>
        <v>258446.807372432</v>
      </c>
      <c r="N3307" s="55" t="n">
        <f aca="false">N3303+N3304+N3305+N3306</f>
        <v>260320.975717416</v>
      </c>
      <c r="P3307" s="55" t="n">
        <f aca="false">SUM(C3307:F3307)</f>
        <v>1024402.64662856</v>
      </c>
      <c r="Q3307" s="55" t="n">
        <f aca="false">SUM(G3307:J3307)</f>
        <v>954464.355533139</v>
      </c>
      <c r="R3307" s="55" t="n">
        <f aca="false">SUM(K3307:N3307)</f>
        <v>1023461.18763756</v>
      </c>
      <c r="S3307" s="56" t="n">
        <f aca="false">SUM(P3307:R3307)</f>
        <v>3002328.18979926</v>
      </c>
    </row>
    <row r="3308" customFormat="false" ht="15" hidden="false" customHeight="false" outlineLevel="0" collapsed="false">
      <c r="A3308" s="35" t="s">
        <v>567</v>
      </c>
      <c r="B3308" s="35" t="s">
        <v>444</v>
      </c>
      <c r="C3308" s="6" t="s">
        <v>354</v>
      </c>
      <c r="D3308" s="6" t="s">
        <v>355</v>
      </c>
      <c r="E3308" s="6" t="s">
        <v>356</v>
      </c>
      <c r="F3308" s="6" t="s">
        <v>357</v>
      </c>
      <c r="G3308" s="6" t="s">
        <v>358</v>
      </c>
      <c r="H3308" s="6" t="s">
        <v>359</v>
      </c>
      <c r="I3308" s="6" t="s">
        <v>360</v>
      </c>
      <c r="J3308" s="6" t="s">
        <v>361</v>
      </c>
      <c r="K3308" s="6" t="s">
        <v>362</v>
      </c>
      <c r="L3308" s="6" t="s">
        <v>363</v>
      </c>
      <c r="M3308" s="6" t="s">
        <v>364</v>
      </c>
      <c r="N3308" s="6" t="s">
        <v>365</v>
      </c>
      <c r="P3308" s="6" t="s">
        <v>445</v>
      </c>
      <c r="Q3308" s="6" t="s">
        <v>446</v>
      </c>
      <c r="R3308" s="6" t="s">
        <v>447</v>
      </c>
      <c r="S3308" s="6" t="s">
        <v>448</v>
      </c>
    </row>
    <row r="3309" customFormat="false" ht="15" hidden="false" customHeight="false" outlineLevel="0" collapsed="false">
      <c r="A3309" s="9" t="s">
        <v>568</v>
      </c>
      <c r="B3309" s="36" t="s">
        <v>125</v>
      </c>
      <c r="C3309" s="55" t="n">
        <f aca="false">C3287-C3307</f>
        <v>-273265.178571429</v>
      </c>
      <c r="D3309" s="55" t="n">
        <f aca="false">D3287-D3307</f>
        <v>-240465.977581681</v>
      </c>
      <c r="E3309" s="55" t="n">
        <f aca="false">E3287-E3307</f>
        <v>-248112.418732047</v>
      </c>
      <c r="F3309" s="55" t="n">
        <f aca="false">F3287-F3307</f>
        <v>-251070.952942121</v>
      </c>
      <c r="G3309" s="55" t="n">
        <f aca="false">G3287-G3307</f>
        <v>-234154.310219315</v>
      </c>
      <c r="H3309" s="55" t="n">
        <f aca="false">H3287-H3307</f>
        <v>-195892.315822865</v>
      </c>
      <c r="I3309" s="55" t="n">
        <f aca="false">I3287-I3307</f>
        <v>-237388.365760964</v>
      </c>
      <c r="J3309" s="55" t="n">
        <f aca="false">J3287-J3307</f>
        <v>-201429.139316719</v>
      </c>
      <c r="K3309" s="55" t="n">
        <f aca="false">K3287-K3307</f>
        <v>-204982.166795552</v>
      </c>
      <c r="L3309" s="55" t="n">
        <f aca="false">L3287-L3307</f>
        <v>-198777.400585335</v>
      </c>
      <c r="M3309" s="55" t="n">
        <f aca="false">M3287-M3307</f>
        <v>-187590.999492306</v>
      </c>
      <c r="N3309" s="55" t="n">
        <f aca="false">N3287-N3307</f>
        <v>-175892.782555727</v>
      </c>
      <c r="P3309" s="55" t="n">
        <f aca="false">SUM(C3309:F3309)</f>
        <v>-1012914.52782728</v>
      </c>
      <c r="Q3309" s="55" t="n">
        <f aca="false">SUM(G3309:J3309)</f>
        <v>-868864.131119862</v>
      </c>
      <c r="R3309" s="55" t="n">
        <f aca="false">SUM(K3309:N3309)</f>
        <v>-767243.34942892</v>
      </c>
      <c r="S3309" s="56" t="n">
        <f aca="false">SUM(P3309:R3309)</f>
        <v>-2649022.00837606</v>
      </c>
    </row>
    <row r="3310" customFormat="false" ht="15" hidden="false" customHeight="false" outlineLevel="0" collapsed="false">
      <c r="A3310" s="9" t="s">
        <v>569</v>
      </c>
      <c r="B3310" s="36" t="s">
        <v>125</v>
      </c>
      <c r="C3310" s="55" t="n">
        <f aca="false">0+C3309</f>
        <v>-273265.178571429</v>
      </c>
      <c r="D3310" s="55" t="n">
        <f aca="false">C3310+D3309</f>
        <v>-513731.156153109</v>
      </c>
      <c r="E3310" s="55" t="n">
        <f aca="false">D3310+E3309</f>
        <v>-761843.574885156</v>
      </c>
      <c r="F3310" s="55" t="n">
        <f aca="false">E3310+F3309</f>
        <v>-1012914.52782728</v>
      </c>
      <c r="G3310" s="55" t="n">
        <f aca="false">F3310+G3309</f>
        <v>-1247068.83804659</v>
      </c>
      <c r="H3310" s="55" t="n">
        <f aca="false">G3310+H3309</f>
        <v>-1442961.15386946</v>
      </c>
      <c r="I3310" s="55" t="n">
        <f aca="false">H3310+I3309</f>
        <v>-1680349.51963042</v>
      </c>
      <c r="J3310" s="55" t="n">
        <f aca="false">I3310+J3309</f>
        <v>-1881778.65894714</v>
      </c>
      <c r="K3310" s="55" t="n">
        <f aca="false">J3310+K3309</f>
        <v>-2086760.82574269</v>
      </c>
      <c r="L3310" s="55" t="n">
        <f aca="false">K3310+L3309</f>
        <v>-2285538.22632803</v>
      </c>
      <c r="M3310" s="55" t="n">
        <f aca="false">L3310+M3309</f>
        <v>-2473129.22582033</v>
      </c>
      <c r="N3310" s="55" t="n">
        <f aca="false">M3310+N3309</f>
        <v>-2649022.00837606</v>
      </c>
      <c r="P3310" s="55" t="n">
        <f aca="false">F3310</f>
        <v>-1012914.52782728</v>
      </c>
      <c r="Q3310" s="55" t="n">
        <f aca="false">J3310</f>
        <v>-1881778.65894714</v>
      </c>
      <c r="R3310" s="55" t="n">
        <f aca="false">N3310</f>
        <v>-2649022.00837606</v>
      </c>
      <c r="S3310" s="56" t="n">
        <f aca="false">R3310</f>
        <v>-2649022.00837606</v>
      </c>
    </row>
    <row r="3311" customFormat="false" ht="15" hidden="false" customHeight="false" outlineLevel="0" collapsed="false">
      <c r="A3311" s="4" t="s">
        <v>570</v>
      </c>
      <c r="B3311" s="36" t="s">
        <v>107</v>
      </c>
      <c r="C3311" s="57" t="n">
        <f aca="false">1/(1+Assumptions!$E$87)^(C3230/4)</f>
        <v>0.972065420906982</v>
      </c>
      <c r="D3311" s="57" t="n">
        <f aca="false">1/(1+Assumptions!$E$87)^(D3230/4)</f>
        <v>0.944911182523068</v>
      </c>
      <c r="E3311" s="57" t="n">
        <f aca="false">1/(1+Assumptions!$E$87)^(E3230/4)</f>
        <v>0.918515486359</v>
      </c>
      <c r="F3311" s="57" t="n">
        <f aca="false">1/(1+Assumptions!$E$87)^(F3230/4)</f>
        <v>0.892857142857143</v>
      </c>
      <c r="G3311" s="57" t="n">
        <f aca="false">1/(1+Assumptions!$E$87)^(G3230/4)</f>
        <v>0.867915554381234</v>
      </c>
      <c r="H3311" s="57" t="n">
        <f aca="false">1/(1+Assumptions!$E$87)^(H3230/4)</f>
        <v>0.843670698681311</v>
      </c>
      <c r="I3311" s="57" t="n">
        <f aca="false">1/(1+Assumptions!$E$87)^(I3230/4)</f>
        <v>0.820103112820536</v>
      </c>
      <c r="J3311" s="57" t="n">
        <f aca="false">1/(1+Assumptions!$E$87)^(J3230/4)</f>
        <v>0.79719387755102</v>
      </c>
      <c r="K3311" s="57" t="n">
        <f aca="false">1/(1+Assumptions!$E$87)^(K3230/4)</f>
        <v>0.774924602126102</v>
      </c>
      <c r="L3311" s="57" t="n">
        <f aca="false">1/(1+Assumptions!$E$87)^(L3230/4)</f>
        <v>0.753277409536885</v>
      </c>
      <c r="M3311" s="57" t="n">
        <f aca="false">1/(1+Assumptions!$E$87)^(M3230/4)</f>
        <v>0.732234922161193</v>
      </c>
      <c r="N3311" s="57" t="n">
        <f aca="false">1/(1+Assumptions!$E$87)^(N3230/4)</f>
        <v>0.711780247813411</v>
      </c>
      <c r="P3311" s="58"/>
      <c r="Q3311" s="58"/>
      <c r="R3311" s="58"/>
      <c r="S3311" s="59"/>
    </row>
    <row r="3312" customFormat="false" ht="15" hidden="false" customHeight="false" outlineLevel="0" collapsed="false">
      <c r="A3312" s="4" t="s">
        <v>571</v>
      </c>
      <c r="B3312" s="36" t="s">
        <v>125</v>
      </c>
      <c r="C3312" s="54" t="n">
        <f aca="false">(C3287*(1-Assumptions!$E$88)-C3307)*C3311</f>
        <v>-265631.630827257</v>
      </c>
      <c r="D3312" s="54" t="n">
        <f aca="false">(D3287*(1-Assumptions!$E$88)-D3307)*D3311</f>
        <v>-227369.105723348</v>
      </c>
      <c r="E3312" s="54" t="n">
        <f aca="false">(E3287*(1-Assumptions!$E$88)-E3307)*E3311</f>
        <v>-228512.446763197</v>
      </c>
      <c r="F3312" s="54" t="n">
        <f aca="false">(F3287*(1-Assumptions!$E$88)-F3307)*F3311</f>
        <v>-225479.996175052</v>
      </c>
      <c r="G3312" s="54" t="n">
        <f aca="false">(G3287*(1-Assumptions!$E$88)-G3307)*G3311</f>
        <v>-205300.564357536</v>
      </c>
      <c r="H3312" s="54" t="n">
        <f aca="false">(H3287*(1-Assumptions!$E$88)-H3307)*H3311</f>
        <v>-168194.001053739</v>
      </c>
      <c r="I3312" s="54" t="n">
        <f aca="false">(I3287*(1-Assumptions!$E$88)-I3307)*I3311</f>
        <v>-198601.979394053</v>
      </c>
      <c r="J3312" s="54" t="n">
        <f aca="false">(J3287*(1-Assumptions!$E$88)-J3307)*J3311</f>
        <v>-165746.903874038</v>
      </c>
      <c r="K3312" s="54" t="n">
        <f aca="false">(K3287*(1-Assumptions!$E$88)-K3307)*K3311</f>
        <v>-165634.286365817</v>
      </c>
      <c r="L3312" s="54" t="n">
        <f aca="false">(L3287*(1-Assumptions!$E$88)-L3307)*L3311</f>
        <v>-158341.834578721</v>
      </c>
      <c r="M3312" s="54" t="n">
        <f aca="false">(M3287*(1-Assumptions!$E$88)-M3307)*M3311</f>
        <v>-147737.300304944</v>
      </c>
      <c r="N3312" s="54" t="n">
        <f aca="false">(N3287*(1-Assumptions!$E$88)-N3307)*N3311</f>
        <v>-137215.872406319</v>
      </c>
      <c r="P3312" s="55" t="n">
        <f aca="false">SUM(C3312:F3312)</f>
        <v>-946993.179488854</v>
      </c>
      <c r="Q3312" s="55" t="n">
        <f aca="false">SUM(G3312:J3312)</f>
        <v>-737843.448679366</v>
      </c>
      <c r="R3312" s="55" t="n">
        <f aca="false">SUM(K3312:N3312)</f>
        <v>-608929.293655801</v>
      </c>
      <c r="S3312" s="56" t="n">
        <f aca="false">SUM(P3312:R3312)</f>
        <v>-2293765.92182402</v>
      </c>
    </row>
    <row r="3313" customFormat="false" ht="15" hidden="false" customHeight="false" outlineLevel="0" collapsed="false">
      <c r="A3313" s="4" t="s">
        <v>572</v>
      </c>
      <c r="B3313" s="36" t="s">
        <v>125</v>
      </c>
      <c r="C3313" s="54" t="n">
        <f aca="false">(C3307-C3306)*12/(Assumptions!$E$89*Assumptions!$E$76)*Assumptions!$E$90</f>
        <v>189183.585164835</v>
      </c>
      <c r="D3313" s="54" t="n">
        <f aca="false">(D3307-D3306)*12/(Assumptions!$E$89*Assumptions!$E$76)*Assumptions!$E$90</f>
        <v>166587.692349978</v>
      </c>
      <c r="E3313" s="54" t="n">
        <f aca="false">(E3307-E3306)*12/(Assumptions!$E$89*Assumptions!$E$76)*Assumptions!$E$90</f>
        <v>172857.534865117</v>
      </c>
      <c r="F3313" s="54" t="n">
        <f aca="false">(F3307-F3306)*12/(Assumptions!$E$89*Assumptions!$E$76)*Assumptions!$E$90</f>
        <v>176771.95358193</v>
      </c>
      <c r="G3313" s="54" t="n">
        <f aca="false">(G3307-G3306)*12/(Assumptions!$E$89*Assumptions!$E$76)*Assumptions!$E$90</f>
        <v>167321.083281584</v>
      </c>
      <c r="H3313" s="54" t="n">
        <f aca="false">(H3307-H3306)*12/(Assumptions!$E$89*Assumptions!$E$76)*Assumptions!$E$90</f>
        <v>143397.576179625</v>
      </c>
      <c r="I3313" s="54" t="n">
        <f aca="false">(I3307-I3306)*12/(Assumptions!$E$89*Assumptions!$E$76)*Assumptions!$E$90</f>
        <v>175284.591125122</v>
      </c>
      <c r="J3313" s="54" t="n">
        <f aca="false">(J3307-J3306)*12/(Assumptions!$E$89*Assumptions!$E$76)*Assumptions!$E$90</f>
        <v>154329.53292784</v>
      </c>
      <c r="K3313" s="54" t="n">
        <f aca="false">(K3307-K3306)*12/(Assumptions!$E$89*Assumptions!$E$76)*Assumptions!$E$90</f>
        <v>162161.686083408</v>
      </c>
      <c r="L3313" s="54" t="n">
        <f aca="false">(L3307-L3306)*12/(Assumptions!$E$89*Assumptions!$E$76)*Assumptions!$E$90</f>
        <v>164607.361449338</v>
      </c>
      <c r="M3313" s="54" t="n">
        <f aca="false">(M3307-M3306)*12/(Assumptions!$E$89*Assumptions!$E$76)*Assumptions!$E$90</f>
        <v>164026.481338961</v>
      </c>
      <c r="N3313" s="54" t="n">
        <f aca="false">(N3307-N3306)*12/(Assumptions!$E$89*Assumptions!$E$76)*Assumptions!$E$90</f>
        <v>163135.644183624</v>
      </c>
      <c r="P3313" s="55" t="n">
        <f aca="false">SUM(C3313:F3313)</f>
        <v>705400.76596186</v>
      </c>
      <c r="Q3313" s="55" t="n">
        <f aca="false">SUM(G3313:J3313)</f>
        <v>640332.78351417</v>
      </c>
      <c r="R3313" s="55" t="n">
        <f aca="false">SUM(K3313:N3313)</f>
        <v>653931.173055332</v>
      </c>
      <c r="S3313" s="56" t="n">
        <f aca="false">SUM(P3313:R3313)</f>
        <v>1999664.72253136</v>
      </c>
    </row>
    <row r="3314" customFormat="false" ht="15" hidden="false" customHeight="false" outlineLevel="0" collapsed="false">
      <c r="A3314" s="4" t="s">
        <v>573</v>
      </c>
      <c r="B3314" s="36" t="s">
        <v>125</v>
      </c>
      <c r="C3314" s="54" t="n">
        <f aca="false">0*Assumptions!$E$92^(1/4)+C3313</f>
        <v>189183.585164835</v>
      </c>
      <c r="D3314" s="54" t="n">
        <f aca="false">C3314*Assumptions!$E$92^(1/4)+D3313</f>
        <v>356242.473156992</v>
      </c>
      <c r="E3314" s="54" t="n">
        <f aca="false">D3314*Assumptions!$E$92^(1/4)+E3313</f>
        <v>529987.293780883</v>
      </c>
      <c r="F3314" s="54" t="n">
        <f aca="false">E3314*Assumptions!$E$92^(1/4)+F3313</f>
        <v>708079.275752287</v>
      </c>
      <c r="G3314" s="54" t="n">
        <f aca="false">F3314*Assumptions!$E$92^(1/4)+G3313</f>
        <v>877163.957438886</v>
      </c>
      <c r="H3314" s="54" t="n">
        <f aca="false">G3314*Assumptions!$E$92^(1/4)+H3313</f>
        <v>1022746.26774257</v>
      </c>
      <c r="I3314" s="54" t="n">
        <f aca="false">H3314*Assumptions!$E$92^(1/4)+I3313</f>
        <v>1200578.19184056</v>
      </c>
      <c r="J3314" s="54" t="n">
        <f aca="false">I3314*Assumptions!$E$92^(1/4)+J3313</f>
        <v>1357897.98003604</v>
      </c>
      <c r="K3314" s="54" t="n">
        <f aca="false">J3314*Assumptions!$E$92^(1/4)+K3313</f>
        <v>1523441.75452928</v>
      </c>
      <c r="L3314" s="54" t="n">
        <f aca="false">K3314*Assumptions!$E$92^(1/4)+L3313</f>
        <v>1691843.5208432</v>
      </c>
      <c r="M3314" s="54" t="n">
        <f aca="false">L3314*Assumptions!$E$92^(1/4)+M3313</f>
        <v>1860083.84184259</v>
      </c>
      <c r="N3314" s="54" t="n">
        <f aca="false">M3314*Assumptions!$E$92^(1/4)+N3313</f>
        <v>2027852.358374</v>
      </c>
      <c r="P3314" s="55" t="n">
        <f aca="false">F3314</f>
        <v>708079.275752287</v>
      </c>
      <c r="Q3314" s="55" t="n">
        <f aca="false">J3314</f>
        <v>1357897.98003604</v>
      </c>
      <c r="R3314" s="55" t="n">
        <f aca="false">N3314</f>
        <v>2027852.358374</v>
      </c>
      <c r="S3314" s="56" t="n">
        <f aca="false">R3314</f>
        <v>2027852.358374</v>
      </c>
    </row>
    <row r="3315" customFormat="false" ht="15" hidden="false" customHeight="false" outlineLevel="0" collapsed="false">
      <c r="A3315" s="4" t="s">
        <v>574</v>
      </c>
      <c r="B3315" s="36" t="s">
        <v>125</v>
      </c>
      <c r="C3315" s="54" t="n">
        <f aca="false">(0+C3314)/8*Assumptions!$E$76-(C3307-C3306)-C3314*Assumptions!$E$93/4</f>
        <v>-260258.807091346</v>
      </c>
      <c r="D3315" s="54" t="n">
        <f aca="false">(C3314+D3314)/8*Assumptions!$E$76-(D3307-D3306)-D3314*Assumptions!$E$93/4</f>
        <v>-200763.830403559</v>
      </c>
      <c r="E3315" s="54" t="n">
        <f aca="false">(D3314+E3314)/8*Assumptions!$E$76-(E3307-E3306)-E3314*Assumptions!$E$93/4</f>
        <v>-184301.778524838</v>
      </c>
      <c r="F3315" s="54" t="n">
        <f aca="false">(E3314+F3314)/8*Assumptions!$E$76-(F3307-F3306)-F3314*Assumptions!$E$93/4</f>
        <v>-163595.348457344</v>
      </c>
      <c r="G3315" s="54" t="n">
        <f aca="false">(F3314+G3314)/8*Assumptions!$E$76-(G3307-G3306)-G3314*Assumptions!$E$93/4</f>
        <v>-123849.545955713</v>
      </c>
      <c r="H3315" s="54" t="n">
        <f aca="false">(G3314+H3314)/8*Assumptions!$E$76-(H3307-H3306)-H3314*Assumptions!$E$93/4</f>
        <v>-65546.454810247</v>
      </c>
      <c r="I3315" s="54" t="n">
        <f aca="false">(H3314+I3314)/8*Assumptions!$E$76-(I3307-I3306)-I3314*Assumptions!$E$93/4</f>
        <v>-87550.9689042757</v>
      </c>
      <c r="J3315" s="54" t="n">
        <f aca="false">(I3314+J3314)/8*Assumptions!$E$76-(J3307-J3306)-J3314*Assumptions!$E$93/4</f>
        <v>-32017.9722368006</v>
      </c>
      <c r="K3315" s="54" t="n">
        <f aca="false">(J3314+K3314)/8*Assumptions!$E$76-(K3307-K3306)-K3314*Assumptions!$E$93/4</f>
        <v>-19167.7150631068</v>
      </c>
      <c r="L3315" s="54" t="n">
        <f aca="false">(K3314+L3314)/8*Assumptions!$E$76-(L3307-L3306)-L3314*Assumptions!$E$93/4</f>
        <v>2327.69585331982</v>
      </c>
      <c r="M3315" s="54" t="n">
        <f aca="false">(L3314+M3314)/8*Assumptions!$E$76-(M3307-M3306)-M3314*Assumptions!$E$93/4</f>
        <v>28415.9104833556</v>
      </c>
      <c r="N3315" s="54" t="n">
        <f aca="false">(M3314+N3314)/8*Assumptions!$E$76-(N3307-N3306)-N3314*Assumptions!$E$93/4</f>
        <v>54906.2868560216</v>
      </c>
      <c r="P3315" s="55" t="n">
        <f aca="false">SUM(C3315:F3315)</f>
        <v>-808919.764477088</v>
      </c>
      <c r="Q3315" s="55" t="n">
        <f aca="false">SUM(G3315:J3315)</f>
        <v>-308964.941907036</v>
      </c>
      <c r="R3315" s="55" t="n">
        <f aca="false">SUM(K3315:N3315)</f>
        <v>66482.1781295902</v>
      </c>
      <c r="S3315" s="56" t="n">
        <f aca="false">SUM(P3315:R3315)</f>
        <v>-1051402.52825453</v>
      </c>
    </row>
    <row r="3316" customFormat="false" ht="15" hidden="false" customHeight="false" outlineLevel="0" collapsed="false">
      <c r="A3316" s="4" t="s">
        <v>575</v>
      </c>
      <c r="B3316" s="36" t="s">
        <v>125</v>
      </c>
      <c r="C3316" s="54" t="n">
        <f aca="false">C3315*C3311</f>
        <v>-252988.586859998</v>
      </c>
      <c r="D3316" s="54" t="n">
        <f aca="false">D3315*D3311</f>
        <v>-189703.988394488</v>
      </c>
      <c r="E3316" s="54" t="n">
        <f aca="false">E3315*E3311</f>
        <v>-169284.03773857</v>
      </c>
      <c r="F3316" s="54" t="n">
        <f aca="false">F3315*F3311</f>
        <v>-146067.275408343</v>
      </c>
      <c r="G3316" s="54" t="n">
        <f aca="false">G3315*G3311</f>
        <v>-107490.947338017</v>
      </c>
      <c r="H3316" s="54" t="n">
        <f aca="false">H3315*H3311</f>
        <v>-55299.623325844</v>
      </c>
      <c r="I3316" s="54" t="n">
        <f aca="false">I3315*I3311</f>
        <v>-71800.8221288504</v>
      </c>
      <c r="J3316" s="54" t="n">
        <f aca="false">J3315*J3311</f>
        <v>-25524.531438776</v>
      </c>
      <c r="K3316" s="54" t="n">
        <f aca="false">K3315*K3311</f>
        <v>-14853.5339689445</v>
      </c>
      <c r="L3316" s="54" t="n">
        <f aca="false">L3315*L3311</f>
        <v>1753.4007025785</v>
      </c>
      <c r="M3316" s="54" t="n">
        <f aca="false">M3315*M3311</f>
        <v>20807.1220009193</v>
      </c>
      <c r="N3316" s="54" t="n">
        <f aca="false">N3315*N3311</f>
        <v>39081.2104648933</v>
      </c>
      <c r="P3316" s="55" t="n">
        <f aca="false">SUM(C3316:F3316)</f>
        <v>-758043.8884014</v>
      </c>
      <c r="Q3316" s="55" t="n">
        <f aca="false">SUM(G3316:J3316)</f>
        <v>-260115.924231487</v>
      </c>
      <c r="R3316" s="55" t="n">
        <f aca="false">SUM(K3316:N3316)</f>
        <v>46788.1991994466</v>
      </c>
      <c r="S3316" s="56" t="n">
        <f aca="false">SUM(P3316:R3316)</f>
        <v>-971371.61343344</v>
      </c>
    </row>
    <row r="3317" customFormat="false" ht="15" hidden="false" customHeight="false" outlineLevel="0" collapsed="false">
      <c r="A3317" s="4" t="s">
        <v>576</v>
      </c>
      <c r="B3317" s="36"/>
      <c r="C3317" s="37" t="n">
        <f aca="false">IFERROR((S3272*$C$3221*Assumptions!$E$59+S3273*$C$3222*Assumptions!$E$60+S3274*$C$3223*Assumptions!$E$61)/(S3272*$C$3221+S3273*$C$3222+S3274*$C$3223),0.9)</f>
        <v>0.897370038026026</v>
      </c>
    </row>
    <row r="3318" customFormat="false" ht="15" hidden="false" customHeight="false" outlineLevel="0" collapsed="false">
      <c r="A3318" s="4" t="s">
        <v>577</v>
      </c>
      <c r="B3318" s="36"/>
      <c r="C3318" s="37" t="n">
        <f aca="false">IFERROR(N3306*4/N3284,0)</f>
        <v>0.17597109313905</v>
      </c>
    </row>
    <row r="3319" customFormat="false" ht="15" hidden="false" customHeight="false" outlineLevel="0" collapsed="false">
      <c r="A3319" s="4" t="s">
        <v>578</v>
      </c>
      <c r="B3319" s="36"/>
      <c r="C3319" s="60" t="n">
        <f aca="false">$C$3317/(1+Assumptions!$E$87)</f>
        <v>0.801223248237523</v>
      </c>
    </row>
    <row r="3320" customFormat="false" ht="15" hidden="false" customHeight="false" outlineLevel="0" collapsed="false">
      <c r="A3320" s="4" t="s">
        <v>579</v>
      </c>
      <c r="B3320" s="36"/>
      <c r="C3320" s="60" t="n">
        <f aca="false">Assumptions!$E$91/(1+Assumptions!$E$87)</f>
        <v>0.803571428571429</v>
      </c>
    </row>
    <row r="3321" customFormat="false" ht="15" hidden="false" customHeight="false" outlineLevel="0" collapsed="false">
      <c r="A3321" s="35" t="s">
        <v>580</v>
      </c>
      <c r="B3321" s="35" t="s">
        <v>444</v>
      </c>
      <c r="C3321" s="6" t="s">
        <v>354</v>
      </c>
      <c r="D3321" s="6" t="s">
        <v>355</v>
      </c>
      <c r="E3321" s="6" t="s">
        <v>356</v>
      </c>
      <c r="F3321" s="6" t="s">
        <v>357</v>
      </c>
      <c r="G3321" s="6" t="s">
        <v>358</v>
      </c>
      <c r="H3321" s="6" t="s">
        <v>359</v>
      </c>
      <c r="I3321" s="6" t="s">
        <v>360</v>
      </c>
      <c r="J3321" s="6" t="s">
        <v>361</v>
      </c>
      <c r="K3321" s="6" t="s">
        <v>362</v>
      </c>
      <c r="L3321" s="6" t="s">
        <v>363</v>
      </c>
      <c r="M3321" s="6" t="s">
        <v>364</v>
      </c>
      <c r="N3321" s="6" t="s">
        <v>365</v>
      </c>
      <c r="P3321" s="6" t="s">
        <v>445</v>
      </c>
      <c r="Q3321" s="6" t="s">
        <v>446</v>
      </c>
      <c r="R3321" s="6" t="s">
        <v>447</v>
      </c>
      <c r="S3321" s="6" t="s">
        <v>448</v>
      </c>
    </row>
    <row r="3322" customFormat="false" ht="15" hidden="false" customHeight="false" outlineLevel="0" collapsed="false">
      <c r="A3322" s="9" t="s">
        <v>581</v>
      </c>
      <c r="C3322" s="61" t="n">
        <f aca="false">N3284</f>
        <v>561014.888189899</v>
      </c>
      <c r="D3322" s="61"/>
    </row>
    <row r="3323" customFormat="false" ht="15" hidden="false" customHeight="false" outlineLevel="0" collapsed="false">
      <c r="A3323" s="9" t="s">
        <v>582</v>
      </c>
      <c r="C3323" s="62" t="n">
        <f aca="false">N3280</f>
        <v>54.5494997259893</v>
      </c>
      <c r="D3323" s="62"/>
    </row>
    <row r="3324" customFormat="false" ht="15" hidden="false" customHeight="false" outlineLevel="0" collapsed="false">
      <c r="A3324" s="9" t="s">
        <v>583</v>
      </c>
      <c r="C3324" s="63" t="n">
        <f aca="false">S3275</f>
        <v>60.2860328938756</v>
      </c>
      <c r="D3324" s="63"/>
    </row>
    <row r="3325" customFormat="false" ht="15" hidden="false" customHeight="false" outlineLevel="0" collapsed="false">
      <c r="A3325" s="9" t="s">
        <v>584</v>
      </c>
      <c r="C3325" s="61" t="n">
        <f aca="false">S3286</f>
        <v>543547.971420306</v>
      </c>
      <c r="D3325" s="61"/>
    </row>
    <row r="3326" customFormat="false" ht="15" hidden="false" customHeight="false" outlineLevel="0" collapsed="false">
      <c r="A3326" s="9" t="s">
        <v>22</v>
      </c>
      <c r="C3326" s="61" t="n">
        <f aca="false">IFERROR(S3285/S3275,0)</f>
        <v>8847.26033193834</v>
      </c>
      <c r="D3326" s="61"/>
    </row>
    <row r="3327" customFormat="false" ht="15" hidden="false" customHeight="false" outlineLevel="0" collapsed="false">
      <c r="A3327" s="9" t="s">
        <v>585</v>
      </c>
      <c r="C3327" s="61" t="n">
        <f aca="false">IFERROR(S3303/S3275,0)</f>
        <v>36262.4438860421</v>
      </c>
      <c r="D3327" s="61"/>
    </row>
    <row r="3328" customFormat="false" ht="23.85" hidden="false" customHeight="false" outlineLevel="0" collapsed="false">
      <c r="A3328" s="9" t="s">
        <v>586</v>
      </c>
      <c r="C3328" s="61" t="n">
        <f aca="false">IFERROR((S3297+S3299+S3300+S3301+S3302)/S3275,0)</f>
        <v>14868.3033989197</v>
      </c>
      <c r="D3328" s="61"/>
    </row>
    <row r="3329" customFormat="false" ht="15" hidden="false" customHeight="false" outlineLevel="0" collapsed="false">
      <c r="A3329" s="9" t="s">
        <v>587</v>
      </c>
      <c r="C3329" s="64" t="n">
        <f aca="false">IFERROR('Engine Runs'!$C$3327/('Engine Runs'!$C$3326*Assumptions!$E$76/12),0)</f>
        <v>75.6686790480002</v>
      </c>
      <c r="D3329" s="64"/>
    </row>
    <row r="3330" customFormat="false" ht="15" hidden="false" customHeight="false" outlineLevel="0" collapsed="false">
      <c r="A3330" s="9" t="s">
        <v>588</v>
      </c>
      <c r="C3330" s="64" t="n">
        <f aca="false">IFERROR((R3303/R3275)/((R3285/R3275)*Assumptions!$E$76/12),0)</f>
        <v>49.4645627622487</v>
      </c>
      <c r="D3330" s="64"/>
    </row>
    <row r="3331" customFormat="false" ht="15" hidden="false" customHeight="false" outlineLevel="0" collapsed="false">
      <c r="A3331" s="9" t="s">
        <v>589</v>
      </c>
      <c r="C3331" s="61" t="n">
        <f aca="false">S3307</f>
        <v>3002328.18979926</v>
      </c>
      <c r="D3331" s="61"/>
    </row>
    <row r="3332" customFormat="false" ht="15" hidden="false" customHeight="false" outlineLevel="0" collapsed="false">
      <c r="A3332" s="9" t="s">
        <v>590</v>
      </c>
      <c r="C3332" s="61" t="n">
        <f aca="false">N3310</f>
        <v>-2649022.00837606</v>
      </c>
      <c r="D3332" s="61"/>
    </row>
    <row r="3333" customFormat="false" ht="15" hidden="false" customHeight="false" outlineLevel="0" collapsed="false">
      <c r="A3333" s="9" t="s">
        <v>591</v>
      </c>
      <c r="C3333" s="61" t="n">
        <f aca="false">MIN($C$3310:$N$3310)</f>
        <v>-2649022.00837606</v>
      </c>
      <c r="D3333" s="61"/>
    </row>
    <row r="3334" customFormat="false" ht="15" hidden="false" customHeight="false" outlineLevel="0" collapsed="false">
      <c r="A3334" s="9" t="s">
        <v>592</v>
      </c>
      <c r="C3334" s="61" t="n">
        <f aca="false">N3284*(Assumptions!$E$76-$C$3318)*$C$3317*(1-$C$3317^Assumptions!$E$85)/(1-$C$3317)</f>
        <v>972173.101303163</v>
      </c>
      <c r="D3334" s="61"/>
    </row>
    <row r="3335" customFormat="false" ht="15" hidden="false" customHeight="false" outlineLevel="0" collapsed="false">
      <c r="A3335" s="9" t="s">
        <v>593</v>
      </c>
      <c r="C3335" s="61" t="n">
        <f aca="false">N3284*(Assumptions!$E$76-$C$3318)*(1-Assumptions!$E$88)/(1+Assumptions!$E$87)^2.5*$C$3319*(1-$C$3319^Assumptions!$E$85)/(1-$C$3319)</f>
        <v>432675.049844386</v>
      </c>
      <c r="D3335" s="61"/>
    </row>
    <row r="3336" customFormat="false" ht="15" hidden="false" customHeight="false" outlineLevel="0" collapsed="false">
      <c r="A3336" s="9" t="s">
        <v>594</v>
      </c>
      <c r="C3336" s="61" t="n">
        <f aca="false">SUM($C$3312:$N$3312)+'Engine Runs'!$C$3335</f>
        <v>-1861090.87197964</v>
      </c>
      <c r="D3336" s="61"/>
    </row>
    <row r="3337" customFormat="false" ht="15" hidden="false" customHeight="false" outlineLevel="0" collapsed="false">
      <c r="A3337" s="9" t="s">
        <v>595</v>
      </c>
      <c r="C3337" s="61" t="n">
        <f aca="false">SUM($C$3316:$N$3316)+N3314*(Assumptions!$E$76-Assumptions!$E$93)/(1+Assumptions!$E$87)^2.5*$C$3320*(1-$C$3320^Assumptions!$E$85)/(1-$C$3320)</f>
        <v>1521758.18381728</v>
      </c>
      <c r="D3337" s="61"/>
    </row>
    <row r="3338" customFormat="false" ht="15" hidden="false" customHeight="false" outlineLevel="0" collapsed="false">
      <c r="A3338" s="9" t="s">
        <v>596</v>
      </c>
      <c r="C3338" s="61" t="n">
        <f aca="false">'Engine Runs'!$C$3336-'Engine Runs'!$C$3337</f>
        <v>-3382849.05579692</v>
      </c>
      <c r="D3338" s="61"/>
    </row>
    <row r="3339" customFormat="false" ht="15" hidden="false" customHeight="false" outlineLevel="0" collapsed="false">
      <c r="A3339" s="9" t="s">
        <v>597</v>
      </c>
      <c r="C3339" s="61" t="n">
        <f aca="false">S3271</f>
        <v>0</v>
      </c>
      <c r="D3339" s="61"/>
    </row>
    <row r="3340" customFormat="false" ht="15" hidden="false" customHeight="false" outlineLevel="0" collapsed="false">
      <c r="A3340" s="9" t="s">
        <v>598</v>
      </c>
      <c r="C3340" s="63" t="n">
        <f aca="false">P3255</f>
        <v>47.7283046549773</v>
      </c>
      <c r="D3340" s="63"/>
    </row>
    <row r="3341" customFormat="false" ht="15" hidden="false" customHeight="false" outlineLevel="0" collapsed="false">
      <c r="A3341" s="9" t="s">
        <v>599</v>
      </c>
      <c r="C3341" s="63" t="n">
        <f aca="false">P3275</f>
        <v>6.80890351620005</v>
      </c>
      <c r="D3341" s="63"/>
    </row>
    <row r="3342" customFormat="false" ht="15" hidden="false" customHeight="false" outlineLevel="0" collapsed="false">
      <c r="A3342" s="9" t="s">
        <v>600</v>
      </c>
      <c r="C3342" s="63" t="n">
        <f aca="false">P3251</f>
        <v>42</v>
      </c>
      <c r="D3342" s="63"/>
    </row>
    <row r="3343" customFormat="false" ht="15" hidden="false" customHeight="false" outlineLevel="0" collapsed="false">
      <c r="A3343" s="9" t="s">
        <v>601</v>
      </c>
      <c r="C3343" s="61" t="n">
        <f aca="false">IFERROR(P3285/P3275,0)</f>
        <v>8553.7346583419</v>
      </c>
      <c r="D3343" s="61"/>
    </row>
    <row r="3346" customFormat="false" ht="15" hidden="false" customHeight="true" outlineLevel="0" collapsed="false">
      <c r="A3346" s="78" t="s">
        <v>813</v>
      </c>
      <c r="B3346" s="78"/>
      <c r="C3346" s="78"/>
      <c r="D3346" s="78"/>
      <c r="E3346" s="78"/>
      <c r="F3346" s="78"/>
      <c r="G3346" s="78"/>
      <c r="H3346" s="78"/>
      <c r="I3346" s="78"/>
      <c r="J3346" s="78"/>
      <c r="K3346" s="78"/>
      <c r="L3346" s="78"/>
      <c r="M3346" s="78"/>
      <c r="N3346" s="78"/>
    </row>
    <row r="3347" customFormat="false" ht="15" hidden="false" customHeight="true" outlineLevel="0" collapsed="false">
      <c r="A3347" s="79" t="s">
        <v>814</v>
      </c>
      <c r="B3347" s="79"/>
      <c r="C3347" s="79"/>
      <c r="D3347" s="79"/>
      <c r="E3347" s="79"/>
      <c r="F3347" s="79"/>
      <c r="G3347" s="79"/>
      <c r="H3347" s="79"/>
      <c r="I3347" s="79"/>
      <c r="J3347" s="79"/>
      <c r="K3347" s="79"/>
      <c r="L3347" s="79"/>
      <c r="M3347" s="79"/>
      <c r="N3347" s="79"/>
    </row>
    <row r="3348" customFormat="false" ht="15" hidden="false" customHeight="false" outlineLevel="0" collapsed="false">
      <c r="A3348" s="35" t="s">
        <v>815</v>
      </c>
      <c r="B3348" s="35" t="s">
        <v>444</v>
      </c>
      <c r="C3348" s="6" t="s">
        <v>354</v>
      </c>
      <c r="D3348" s="6" t="s">
        <v>355</v>
      </c>
      <c r="E3348" s="6" t="s">
        <v>356</v>
      </c>
      <c r="F3348" s="6" t="s">
        <v>357</v>
      </c>
      <c r="G3348" s="6" t="s">
        <v>358</v>
      </c>
      <c r="H3348" s="6" t="s">
        <v>359</v>
      </c>
      <c r="I3348" s="6" t="s">
        <v>360</v>
      </c>
      <c r="J3348" s="6" t="s">
        <v>361</v>
      </c>
      <c r="K3348" s="6" t="s">
        <v>362</v>
      </c>
      <c r="L3348" s="6" t="s">
        <v>363</v>
      </c>
      <c r="M3348" s="6" t="s">
        <v>364</v>
      </c>
      <c r="N3348" s="6" t="s">
        <v>365</v>
      </c>
      <c r="P3348" s="6" t="s">
        <v>445</v>
      </c>
      <c r="Q3348" s="6" t="s">
        <v>446</v>
      </c>
      <c r="R3348" s="6" t="s">
        <v>447</v>
      </c>
      <c r="S3348" s="6" t="s">
        <v>448</v>
      </c>
    </row>
    <row r="3349" customFormat="false" ht="15" hidden="false" customHeight="false" outlineLevel="0" collapsed="false">
      <c r="A3349" s="4" t="s">
        <v>449</v>
      </c>
      <c r="B3349" s="36" t="s">
        <v>450</v>
      </c>
      <c r="C3349" s="34" t="n">
        <f aca="false">'Market Sizing'!$C$17*Assumptions!$E$10*Assumptions!$E$11*(1-Assumptions!$E$12)</f>
        <v>843.03944704</v>
      </c>
    </row>
    <row r="3350" customFormat="false" ht="15" hidden="false" customHeight="false" outlineLevel="0" collapsed="false">
      <c r="A3350" s="4" t="s">
        <v>451</v>
      </c>
      <c r="B3350" s="36" t="s">
        <v>450</v>
      </c>
      <c r="C3350" s="34" t="n">
        <f aca="false">'Market Sizing'!$D$17*Assumptions!$E$10*Assumptions!$E$11*(1-Assumptions!$E$12)</f>
        <v>211.19616</v>
      </c>
    </row>
    <row r="3351" customFormat="false" ht="15" hidden="false" customHeight="false" outlineLevel="0" collapsed="false">
      <c r="A3351" s="4" t="s">
        <v>452</v>
      </c>
      <c r="B3351" s="36" t="s">
        <v>450</v>
      </c>
      <c r="C3351" s="34" t="n">
        <f aca="false">'Market Sizing'!$E$17*Assumptions!$E$10*Assumptions!$E$11*(1-Assumptions!$E$12)</f>
        <v>49.53984</v>
      </c>
    </row>
    <row r="3352" customFormat="false" ht="15" hidden="false" customHeight="false" outlineLevel="0" collapsed="false">
      <c r="A3352" s="4" t="s">
        <v>453</v>
      </c>
      <c r="B3352" s="36"/>
      <c r="C3352" s="34" t="n">
        <f aca="false">$C$3349+$C$3350+$C$3351</f>
        <v>1103.77544704</v>
      </c>
    </row>
    <row r="3353" customFormat="false" ht="15" hidden="false" customHeight="false" outlineLevel="0" collapsed="false">
      <c r="A3353" s="4" t="s">
        <v>454</v>
      </c>
      <c r="B3353" s="36" t="s">
        <v>450</v>
      </c>
      <c r="C3353" s="34" t="n">
        <f aca="false">'Market Sizing'!$C$18*Assumptions!$E$10*Assumptions!$E$11*(1-Assumptions!$E$12)</f>
        <v>612.57706944</v>
      </c>
    </row>
    <row r="3354" customFormat="false" ht="15" hidden="false" customHeight="false" outlineLevel="0" collapsed="false">
      <c r="A3354" s="4" t="s">
        <v>455</v>
      </c>
      <c r="B3354" s="36" t="s">
        <v>450</v>
      </c>
      <c r="C3354" s="34" t="n">
        <f aca="false">'Market Sizing'!$D$18*Assumptions!$E$10*Assumptions!$E$11*(1-Assumptions!$E$12)</f>
        <v>142.10112</v>
      </c>
    </row>
    <row r="3355" customFormat="false" ht="15" hidden="false" customHeight="false" outlineLevel="0" collapsed="false">
      <c r="A3355" s="4" t="s">
        <v>456</v>
      </c>
      <c r="B3355" s="36" t="s">
        <v>450</v>
      </c>
      <c r="C3355" s="34" t="n">
        <f aca="false">'Market Sizing'!$E$18*Assumptions!$E$10*Assumptions!$E$11*(1-Assumptions!$E$12)</f>
        <v>24.76992</v>
      </c>
    </row>
    <row r="3356" customFormat="false" ht="15" hidden="false" customHeight="false" outlineLevel="0" collapsed="false">
      <c r="A3356" s="4" t="s">
        <v>457</v>
      </c>
      <c r="B3356" s="36"/>
      <c r="C3356" s="34" t="n">
        <f aca="false">$C$3353+$C$3354+$C$3355</f>
        <v>779.44810944</v>
      </c>
    </row>
    <row r="3357" customFormat="false" ht="15" hidden="false" customHeight="false" outlineLevel="0" collapsed="false">
      <c r="A3357" s="4" t="s">
        <v>458</v>
      </c>
      <c r="B3357" s="36" t="s">
        <v>450</v>
      </c>
      <c r="C3357" s="34" t="n">
        <f aca="false">'Market Sizing'!$C$19*Assumptions!$E$10*Assumptions!$E$11*(1-Assumptions!$E$12)</f>
        <v>2060.77303936</v>
      </c>
    </row>
    <row r="3358" customFormat="false" ht="15" hidden="false" customHeight="false" outlineLevel="0" collapsed="false">
      <c r="A3358" s="4" t="s">
        <v>459</v>
      </c>
      <c r="B3358" s="36" t="s">
        <v>450</v>
      </c>
      <c r="C3358" s="34" t="n">
        <f aca="false">'Market Sizing'!$D$19*Assumptions!$E$10*Assumptions!$E$11*(1-Assumptions!$E$12)</f>
        <v>428.47616</v>
      </c>
    </row>
    <row r="3359" customFormat="false" ht="15" hidden="false" customHeight="false" outlineLevel="0" collapsed="false">
      <c r="A3359" s="4" t="s">
        <v>460</v>
      </c>
      <c r="B3359" s="36" t="s">
        <v>450</v>
      </c>
      <c r="C3359" s="34" t="n">
        <f aca="false">'Market Sizing'!$E$19*Assumptions!$E$10*Assumptions!$E$11*(1-Assumptions!$E$12)</f>
        <v>79.52448</v>
      </c>
    </row>
    <row r="3360" customFormat="false" ht="15" hidden="false" customHeight="false" outlineLevel="0" collapsed="false">
      <c r="A3360" s="4" t="s">
        <v>461</v>
      </c>
      <c r="B3360" s="36"/>
      <c r="C3360" s="34" t="n">
        <f aca="false">$C$3357+$C$3358+$C$3359</f>
        <v>2568.77367936</v>
      </c>
    </row>
    <row r="3361" customFormat="false" ht="15" hidden="false" customHeight="false" outlineLevel="0" collapsed="false">
      <c r="A3361" s="4" t="s">
        <v>462</v>
      </c>
      <c r="B3361" s="36" t="s">
        <v>463</v>
      </c>
      <c r="C3361" s="33" t="n">
        <f aca="false">MAX((Assumptions!$E$51+Assumptions!$E$53)*12,(((('Market Sizing'!$E$25*Assumptions!$E$41*Assumptions!$E$42*Assumptions!$E$43)*Assumptions!$E$44)*Assumptions!$E$45*Assumptions!$E$46+('Market Sizing'!$E$25*Assumptions!$E$41*Assumptions!$E$42*Assumptions!$E$43)*Assumptions!$E$47+('Market Sizing'!$E$25*Assumptions!$E$41*Assumptions!$E$42*Assumptions!$E$43)*Assumptions!$E$48*Assumptions!$E$49)*(Assumptions!$E$51*12/Assumptions!$E$52)+((('Market Sizing'!$E$25*Assumptions!$E$41*Assumptions!$E$42*Assumptions!$E$43)*Assumptions!$E$44)*Assumptions!$E$45+('Market Sizing'!$E$25*Assumptions!$E$41*Assumptions!$E$42*Assumptions!$E$43)+('Market Sizing'!$E$25*Assumptions!$E$41*Assumptions!$E$42*Assumptions!$E$43)*Assumptions!$E$48)*Assumptions!$E$50*(Assumptions!$E$53*12/Assumptions!$E$54)))</f>
        <v>5352</v>
      </c>
    </row>
    <row r="3362" customFormat="false" ht="15" hidden="false" customHeight="false" outlineLevel="0" collapsed="false">
      <c r="A3362" s="4" t="s">
        <v>464</v>
      </c>
      <c r="B3362" s="36" t="s">
        <v>463</v>
      </c>
      <c r="C3362" s="33" t="n">
        <f aca="false">MAX((Assumptions!$E$51+Assumptions!$E$53)*12,(((('Market Sizing'!$E$26*Assumptions!$E$41*Assumptions!$E$42*Assumptions!$E$43)*Assumptions!$E$44)*Assumptions!$E$45*Assumptions!$E$46+('Market Sizing'!$E$26*Assumptions!$E$41*Assumptions!$E$42*Assumptions!$E$43)*Assumptions!$E$47+('Market Sizing'!$E$26*Assumptions!$E$41*Assumptions!$E$42*Assumptions!$E$43)*Assumptions!$E$48*Assumptions!$E$49)*(Assumptions!$E$51*12/Assumptions!$E$52)+((('Market Sizing'!$E$26*Assumptions!$E$41*Assumptions!$E$42*Assumptions!$E$43)*Assumptions!$E$44)*Assumptions!$E$45+('Market Sizing'!$E$26*Assumptions!$E$41*Assumptions!$E$42*Assumptions!$E$43)+('Market Sizing'!$E$26*Assumptions!$E$41*Assumptions!$E$42*Assumptions!$E$43)*Assumptions!$E$48)*Assumptions!$E$50*(Assumptions!$E$53*12/Assumptions!$E$54)))</f>
        <v>9766.72012875208</v>
      </c>
    </row>
    <row r="3363" customFormat="false" ht="15" hidden="false" customHeight="false" outlineLevel="0" collapsed="false">
      <c r="A3363" s="4" t="s">
        <v>465</v>
      </c>
      <c r="B3363" s="36" t="s">
        <v>463</v>
      </c>
      <c r="C3363" s="33" t="n">
        <f aca="false">MAX(Assumptions!$E$55*(Assumptions!$E$51*12/Assumptions!$E$52)+Assumptions!$E$56*(Assumptions!$E$53*12/Assumptions!$E$54),(((('Market Sizing'!$E$27*Assumptions!$E$41*Assumptions!$E$42*Assumptions!$E$43)*Assumptions!$E$44)*Assumptions!$E$45*Assumptions!$E$46+('Market Sizing'!$E$27*Assumptions!$E$41*Assumptions!$E$42*Assumptions!$E$43)*Assumptions!$E$47+('Market Sizing'!$E$27*Assumptions!$E$41*Assumptions!$E$42*Assumptions!$E$43)*Assumptions!$E$48*Assumptions!$E$49)*(Assumptions!$E$51*12/Assumptions!$E$52)+((('Market Sizing'!$E$27*Assumptions!$E$41*Assumptions!$E$42*Assumptions!$E$43)*Assumptions!$E$44)*Assumptions!$E$45+('Market Sizing'!$E$27*Assumptions!$E$41*Assumptions!$E$42*Assumptions!$E$43)+('Market Sizing'!$E$27*Assumptions!$E$41*Assumptions!$E$42*Assumptions!$E$43)*Assumptions!$E$48)*Assumptions!$E$50*(Assumptions!$E$53*12/Assumptions!$E$54)))*(1-Assumptions!$E$57)</f>
        <v>61778.2562194386</v>
      </c>
    </row>
    <row r="3364" customFormat="false" ht="23.85" hidden="false" customHeight="false" outlineLevel="0" collapsed="false">
      <c r="A3364" s="4" t="s">
        <v>466</v>
      </c>
      <c r="B3364" s="36" t="s">
        <v>467</v>
      </c>
      <c r="C3364" s="37" t="n">
        <f aca="false">Assumptions!$E$17*Assumptions!$D$106</f>
        <v>0.4</v>
      </c>
    </row>
    <row r="3365" customFormat="false" ht="23.85" hidden="false" customHeight="false" outlineLevel="0" collapsed="false">
      <c r="A3365" s="4" t="s">
        <v>468</v>
      </c>
      <c r="B3365" s="36" t="s">
        <v>469</v>
      </c>
      <c r="C3365" s="33" t="n">
        <f aca="false">Assumptions!$E$68/Assumptions!$E$69</f>
        <v>285714.285714286</v>
      </c>
    </row>
    <row r="3366" customFormat="false" ht="23.85" hidden="false" customHeight="false" outlineLevel="0" collapsed="false">
      <c r="A3366" s="4" t="s">
        <v>470</v>
      </c>
      <c r="B3366" s="36" t="s">
        <v>471</v>
      </c>
      <c r="C3366" s="33" t="n">
        <f aca="false">Assumptions!$E$66*Assumptions!$E$67/4</f>
        <v>153125</v>
      </c>
    </row>
    <row r="3367" customFormat="false" ht="15" hidden="false" customHeight="false" outlineLevel="0" collapsed="false">
      <c r="A3367" s="4" t="s">
        <v>472</v>
      </c>
      <c r="B3367" s="36"/>
      <c r="C3367" s="38" t="n">
        <f aca="false">$C$3365/Assumptions!$E$66/Assumptions!$E$67</f>
        <v>0.466472303206997</v>
      </c>
    </row>
    <row r="3368" customFormat="false" ht="15" hidden="false" customHeight="false" outlineLevel="0" collapsed="false">
      <c r="A3368" s="4" t="s">
        <v>473</v>
      </c>
      <c r="B3368" s="36"/>
      <c r="C3368" s="33" t="n">
        <f aca="false">MAX(0,Assumptions!$D$103-Assumptions!$E$78)</f>
        <v>0</v>
      </c>
    </row>
    <row r="3369" customFormat="false" ht="15" hidden="false" customHeight="false" outlineLevel="0" collapsed="false">
      <c r="A3369" s="35" t="s">
        <v>474</v>
      </c>
      <c r="B3369" s="35" t="s">
        <v>444</v>
      </c>
      <c r="C3369" s="6" t="s">
        <v>354</v>
      </c>
      <c r="D3369" s="6" t="s">
        <v>355</v>
      </c>
      <c r="E3369" s="6" t="s">
        <v>356</v>
      </c>
      <c r="F3369" s="6" t="s">
        <v>357</v>
      </c>
      <c r="G3369" s="6" t="s">
        <v>358</v>
      </c>
      <c r="H3369" s="6" t="s">
        <v>359</v>
      </c>
      <c r="I3369" s="6" t="s">
        <v>360</v>
      </c>
      <c r="J3369" s="6" t="s">
        <v>361</v>
      </c>
      <c r="K3369" s="6" t="s">
        <v>362</v>
      </c>
      <c r="L3369" s="6" t="s">
        <v>363</v>
      </c>
      <c r="M3369" s="6" t="s">
        <v>364</v>
      </c>
      <c r="N3369" s="6" t="s">
        <v>365</v>
      </c>
      <c r="P3369" s="6" t="s">
        <v>445</v>
      </c>
      <c r="Q3369" s="6" t="s">
        <v>446</v>
      </c>
      <c r="R3369" s="6" t="s">
        <v>447</v>
      </c>
      <c r="S3369" s="6" t="s">
        <v>448</v>
      </c>
    </row>
    <row r="3370" customFormat="false" ht="15" hidden="false" customHeight="false" outlineLevel="0" collapsed="false">
      <c r="A3370" s="4" t="s">
        <v>475</v>
      </c>
      <c r="B3370" s="36" t="s">
        <v>133</v>
      </c>
      <c r="C3370" s="39" t="n">
        <v>1</v>
      </c>
      <c r="D3370" s="39" t="n">
        <v>2</v>
      </c>
      <c r="E3370" s="39" t="n">
        <v>3</v>
      </c>
      <c r="F3370" s="39" t="n">
        <v>4</v>
      </c>
      <c r="G3370" s="39" t="n">
        <v>5</v>
      </c>
      <c r="H3370" s="39" t="n">
        <v>6</v>
      </c>
      <c r="I3370" s="39" t="n">
        <v>7</v>
      </c>
      <c r="J3370" s="39" t="n">
        <v>8</v>
      </c>
      <c r="K3370" s="39" t="n">
        <v>9</v>
      </c>
      <c r="L3370" s="39" t="n">
        <v>10</v>
      </c>
      <c r="M3370" s="39" t="n">
        <v>11</v>
      </c>
      <c r="N3370" s="39" t="n">
        <v>12</v>
      </c>
      <c r="P3370" s="40"/>
      <c r="Q3370" s="40"/>
      <c r="R3370" s="40"/>
      <c r="S3370" s="41"/>
    </row>
    <row r="3371" customFormat="false" ht="15" hidden="false" customHeight="false" outlineLevel="0" collapsed="false">
      <c r="A3371" s="4" t="s">
        <v>476</v>
      </c>
      <c r="B3371" s="36" t="s">
        <v>343</v>
      </c>
      <c r="C3371" s="39" t="n">
        <f aca="false">IF(C3370&lt;=Assumptions!$E$84,1,0)</f>
        <v>1</v>
      </c>
      <c r="D3371" s="39" t="n">
        <f aca="false">IF(D3370&lt;=Assumptions!$E$84,1,0)</f>
        <v>1</v>
      </c>
      <c r="E3371" s="39" t="n">
        <f aca="false">IF(E3370&lt;=Assumptions!$E$84,1,0)</f>
        <v>1</v>
      </c>
      <c r="F3371" s="39" t="n">
        <f aca="false">IF(F3370&lt;=Assumptions!$E$84,1,0)</f>
        <v>1</v>
      </c>
      <c r="G3371" s="39" t="n">
        <f aca="false">IF(G3370&lt;=Assumptions!$E$84,1,0)</f>
        <v>1</v>
      </c>
      <c r="H3371" s="39" t="n">
        <f aca="false">IF(H3370&lt;=Assumptions!$E$84,1,0)</f>
        <v>1</v>
      </c>
      <c r="I3371" s="39" t="n">
        <f aca="false">IF(I3370&lt;=Assumptions!$E$84,1,0)</f>
        <v>1</v>
      </c>
      <c r="J3371" s="39" t="n">
        <f aca="false">IF(J3370&lt;=Assumptions!$E$84,1,0)</f>
        <v>1</v>
      </c>
      <c r="K3371" s="39" t="n">
        <f aca="false">IF(K3370&lt;=Assumptions!$E$84,1,0)</f>
        <v>1</v>
      </c>
      <c r="L3371" s="39" t="n">
        <f aca="false">IF(L3370&lt;=Assumptions!$E$84,1,0)</f>
        <v>1</v>
      </c>
      <c r="M3371" s="39" t="n">
        <f aca="false">IF(M3370&lt;=Assumptions!$E$84,1,0)</f>
        <v>1</v>
      </c>
      <c r="N3371" s="39" t="n">
        <f aca="false">IF(N3370&lt;=Assumptions!$E$84,1,0)</f>
        <v>1</v>
      </c>
      <c r="P3371" s="40"/>
      <c r="Q3371" s="40"/>
      <c r="R3371" s="40"/>
      <c r="S3371" s="41"/>
    </row>
    <row r="3372" customFormat="false" ht="15" hidden="false" customHeight="false" outlineLevel="0" collapsed="false">
      <c r="A3372" s="4" t="s">
        <v>477</v>
      </c>
      <c r="B3372" s="36" t="s">
        <v>478</v>
      </c>
      <c r="C3372" s="42" t="n">
        <f aca="false">IF(C3370=Assumptions!$E$13,0.5,IF(C3370&gt;Assumptions!$E$13,1,0))</f>
        <v>0.5</v>
      </c>
      <c r="D3372" s="42" t="n">
        <f aca="false">IF(D3370=Assumptions!$E$13,0.5,IF(D3370&gt;Assumptions!$E$13,1,0))</f>
        <v>1</v>
      </c>
      <c r="E3372" s="42" t="n">
        <f aca="false">IF(E3370=Assumptions!$E$13,0.5,IF(E3370&gt;Assumptions!$E$13,1,0))</f>
        <v>1</v>
      </c>
      <c r="F3372" s="42" t="n">
        <f aca="false">IF(F3370=Assumptions!$E$13,0.5,IF(F3370&gt;Assumptions!$E$13,1,0))</f>
        <v>1</v>
      </c>
      <c r="G3372" s="42" t="n">
        <f aca="false">IF(G3370=Assumptions!$E$13,0.5,IF(G3370&gt;Assumptions!$E$13,1,0))</f>
        <v>1</v>
      </c>
      <c r="H3372" s="42" t="n">
        <f aca="false">IF(H3370=Assumptions!$E$13,0.5,IF(H3370&gt;Assumptions!$E$13,1,0))</f>
        <v>1</v>
      </c>
      <c r="I3372" s="42" t="n">
        <f aca="false">IF(I3370=Assumptions!$E$13,0.5,IF(I3370&gt;Assumptions!$E$13,1,0))</f>
        <v>1</v>
      </c>
      <c r="J3372" s="42" t="n">
        <f aca="false">IF(J3370=Assumptions!$E$13,0.5,IF(J3370&gt;Assumptions!$E$13,1,0))</f>
        <v>1</v>
      </c>
      <c r="K3372" s="42" t="n">
        <f aca="false">IF(K3370=Assumptions!$E$13,0.5,IF(K3370&gt;Assumptions!$E$13,1,0))</f>
        <v>1</v>
      </c>
      <c r="L3372" s="42" t="n">
        <f aca="false">IF(L3370=Assumptions!$E$13,0.5,IF(L3370&gt;Assumptions!$E$13,1,0))</f>
        <v>1</v>
      </c>
      <c r="M3372" s="42" t="n">
        <f aca="false">IF(M3370=Assumptions!$E$13,0.5,IF(M3370&gt;Assumptions!$E$13,1,0))</f>
        <v>1</v>
      </c>
      <c r="N3372" s="42" t="n">
        <f aca="false">IF(N3370=Assumptions!$E$13,0.5,IF(N3370&gt;Assumptions!$E$13,1,0))</f>
        <v>1</v>
      </c>
      <c r="P3372" s="43"/>
      <c r="Q3372" s="43"/>
      <c r="R3372" s="43"/>
      <c r="S3372" s="44"/>
    </row>
    <row r="3373" customFormat="false" ht="15" hidden="false" customHeight="false" outlineLevel="0" collapsed="false">
      <c r="A3373" s="4" t="s">
        <v>479</v>
      </c>
      <c r="B3373" s="36" t="s">
        <v>478</v>
      </c>
      <c r="C3373" s="42" t="n">
        <f aca="false">IF(C3370=Assumptions!$E$14,0.5,IF(C3370&gt;Assumptions!$E$14,1,0))</f>
        <v>0</v>
      </c>
      <c r="D3373" s="42" t="n">
        <f aca="false">IF(D3370=Assumptions!$E$14,0.5,IF(D3370&gt;Assumptions!$E$14,1,0))</f>
        <v>0</v>
      </c>
      <c r="E3373" s="42" t="n">
        <f aca="false">IF(E3370=Assumptions!$E$14,0.5,IF(E3370&gt;Assumptions!$E$14,1,0))</f>
        <v>0</v>
      </c>
      <c r="F3373" s="42" t="n">
        <f aca="false">IF(F3370=Assumptions!$E$14,0.5,IF(F3370&gt;Assumptions!$E$14,1,0))</f>
        <v>0</v>
      </c>
      <c r="G3373" s="42" t="n">
        <f aca="false">IF(G3370=Assumptions!$E$14,0.5,IF(G3370&gt;Assumptions!$E$14,1,0))</f>
        <v>0.5</v>
      </c>
      <c r="H3373" s="42" t="n">
        <f aca="false">IF(H3370=Assumptions!$E$14,0.5,IF(H3370&gt;Assumptions!$E$14,1,0))</f>
        <v>1</v>
      </c>
      <c r="I3373" s="42" t="n">
        <f aca="false">IF(I3370=Assumptions!$E$14,0.5,IF(I3370&gt;Assumptions!$E$14,1,0))</f>
        <v>1</v>
      </c>
      <c r="J3373" s="42" t="n">
        <f aca="false">IF(J3370=Assumptions!$E$14,0.5,IF(J3370&gt;Assumptions!$E$14,1,0))</f>
        <v>1</v>
      </c>
      <c r="K3373" s="42" t="n">
        <f aca="false">IF(K3370=Assumptions!$E$14,0.5,IF(K3370&gt;Assumptions!$E$14,1,0))</f>
        <v>1</v>
      </c>
      <c r="L3373" s="42" t="n">
        <f aca="false">IF(L3370=Assumptions!$E$14,0.5,IF(L3370&gt;Assumptions!$E$14,1,0))</f>
        <v>1</v>
      </c>
      <c r="M3373" s="42" t="n">
        <f aca="false">IF(M3370=Assumptions!$E$14,0.5,IF(M3370&gt;Assumptions!$E$14,1,0))</f>
        <v>1</v>
      </c>
      <c r="N3373" s="42" t="n">
        <f aca="false">IF(N3370=Assumptions!$E$14,0.5,IF(N3370&gt;Assumptions!$E$14,1,0))</f>
        <v>1</v>
      </c>
      <c r="P3373" s="43"/>
      <c r="Q3373" s="43"/>
      <c r="R3373" s="43"/>
      <c r="S3373" s="44"/>
    </row>
    <row r="3374" customFormat="false" ht="15" hidden="false" customHeight="false" outlineLevel="0" collapsed="false">
      <c r="A3374" s="4" t="s">
        <v>480</v>
      </c>
      <c r="B3374" s="36" t="s">
        <v>478</v>
      </c>
      <c r="C3374" s="42" t="n">
        <f aca="false">IF(C3370=Assumptions!$E$15,0.5,IF(C3370&gt;Assumptions!$E$15,1,0))</f>
        <v>0</v>
      </c>
      <c r="D3374" s="42" t="n">
        <f aca="false">IF(D3370=Assumptions!$E$15,0.5,IF(D3370&gt;Assumptions!$E$15,1,0))</f>
        <v>0</v>
      </c>
      <c r="E3374" s="42" t="n">
        <f aca="false">IF(E3370=Assumptions!$E$15,0.5,IF(E3370&gt;Assumptions!$E$15,1,0))</f>
        <v>0</v>
      </c>
      <c r="F3374" s="42" t="n">
        <f aca="false">IF(F3370=Assumptions!$E$15,0.5,IF(F3370&gt;Assumptions!$E$15,1,0))</f>
        <v>0</v>
      </c>
      <c r="G3374" s="42" t="n">
        <f aca="false">IF(G3370=Assumptions!$E$15,0.5,IF(G3370&gt;Assumptions!$E$15,1,0))</f>
        <v>0</v>
      </c>
      <c r="H3374" s="42" t="n">
        <f aca="false">IF(H3370=Assumptions!$E$15,0.5,IF(H3370&gt;Assumptions!$E$15,1,0))</f>
        <v>0</v>
      </c>
      <c r="I3374" s="42" t="n">
        <f aca="false">IF(I3370=Assumptions!$E$15,0.5,IF(I3370&gt;Assumptions!$E$15,1,0))</f>
        <v>0.5</v>
      </c>
      <c r="J3374" s="42" t="n">
        <f aca="false">IF(J3370=Assumptions!$E$15,0.5,IF(J3370&gt;Assumptions!$E$15,1,0))</f>
        <v>1</v>
      </c>
      <c r="K3374" s="42" t="n">
        <f aca="false">IF(K3370=Assumptions!$E$15,0.5,IF(K3370&gt;Assumptions!$E$15,1,0))</f>
        <v>1</v>
      </c>
      <c r="L3374" s="42" t="n">
        <f aca="false">IF(L3370=Assumptions!$E$15,0.5,IF(L3370&gt;Assumptions!$E$15,1,0))</f>
        <v>1</v>
      </c>
      <c r="M3374" s="42" t="n">
        <f aca="false">IF(M3370=Assumptions!$E$15,0.5,IF(M3370&gt;Assumptions!$E$15,1,0))</f>
        <v>1</v>
      </c>
      <c r="N3374" s="42" t="n">
        <f aca="false">IF(N3370=Assumptions!$E$15,0.5,IF(N3370&gt;Assumptions!$E$15,1,0))</f>
        <v>1</v>
      </c>
      <c r="P3374" s="43"/>
      <c r="Q3374" s="43"/>
      <c r="R3374" s="43"/>
      <c r="S3374" s="44"/>
    </row>
    <row r="3375" customFormat="false" ht="15" hidden="false" customHeight="false" outlineLevel="0" collapsed="false">
      <c r="A3375" s="4" t="s">
        <v>481</v>
      </c>
      <c r="B3375" s="36" t="s">
        <v>478</v>
      </c>
      <c r="C3375" s="45" t="n">
        <f aca="false">Assumptions!$E$21^(MAX(0,C3370-Assumptions!$E$13)/4)</f>
        <v>1</v>
      </c>
      <c r="D3375" s="45" t="n">
        <f aca="false">Assumptions!$E$21^(MAX(0,D3370-Assumptions!$E$13)/4)</f>
        <v>0.9306048591021</v>
      </c>
      <c r="E3375" s="45" t="n">
        <f aca="false">Assumptions!$E$21^(MAX(0,E3370-Assumptions!$E$13)/4)</f>
        <v>0.866025403784439</v>
      </c>
      <c r="F3375" s="45" t="n">
        <f aca="false">Assumptions!$E$21^(MAX(0,F3370-Assumptions!$E$13)/4)</f>
        <v>0.805927448867656</v>
      </c>
      <c r="G3375" s="45" t="n">
        <f aca="false">Assumptions!$E$21^(MAX(0,G3370-Assumptions!$E$13)/4)</f>
        <v>0.75</v>
      </c>
      <c r="H3375" s="45" t="n">
        <f aca="false">Assumptions!$E$21^(MAX(0,H3370-Assumptions!$E$13)/4)</f>
        <v>0.697953644326575</v>
      </c>
      <c r="I3375" s="45" t="n">
        <f aca="false">Assumptions!$E$21^(MAX(0,I3370-Assumptions!$E$13)/4)</f>
        <v>0.649519052838329</v>
      </c>
      <c r="J3375" s="45" t="n">
        <f aca="false">Assumptions!$E$21^(MAX(0,J3370-Assumptions!$E$13)/4)</f>
        <v>0.604445586650742</v>
      </c>
      <c r="K3375" s="45" t="n">
        <f aca="false">Assumptions!$E$21^(MAX(0,K3370-Assumptions!$E$13)/4)</f>
        <v>0.5625</v>
      </c>
      <c r="L3375" s="45" t="n">
        <f aca="false">Assumptions!$E$21^(MAX(0,L3370-Assumptions!$E$13)/4)</f>
        <v>0.523465233244931</v>
      </c>
      <c r="M3375" s="45" t="n">
        <f aca="false">Assumptions!$E$21^(MAX(0,M3370-Assumptions!$E$13)/4)</f>
        <v>0.487139289628747</v>
      </c>
      <c r="N3375" s="45" t="n">
        <f aca="false">Assumptions!$E$21^(MAX(0,N3370-Assumptions!$E$13)/4)</f>
        <v>0.453334189988057</v>
      </c>
      <c r="P3375" s="46"/>
      <c r="Q3375" s="46"/>
      <c r="R3375" s="46"/>
      <c r="S3375" s="47"/>
    </row>
    <row r="3376" customFormat="false" ht="15" hidden="false" customHeight="false" outlineLevel="0" collapsed="false">
      <c r="A3376" s="4" t="s">
        <v>482</v>
      </c>
      <c r="B3376" s="36" t="s">
        <v>478</v>
      </c>
      <c r="C3376" s="45" t="n">
        <f aca="false">Assumptions!$E$21^(MAX(0,C3370-Assumptions!$E$14)/4)</f>
        <v>1</v>
      </c>
      <c r="D3376" s="45" t="n">
        <f aca="false">Assumptions!$E$21^(MAX(0,D3370-Assumptions!$E$14)/4)</f>
        <v>1</v>
      </c>
      <c r="E3376" s="45" t="n">
        <f aca="false">Assumptions!$E$21^(MAX(0,E3370-Assumptions!$E$14)/4)</f>
        <v>1</v>
      </c>
      <c r="F3376" s="45" t="n">
        <f aca="false">Assumptions!$E$21^(MAX(0,F3370-Assumptions!$E$14)/4)</f>
        <v>1</v>
      </c>
      <c r="G3376" s="45" t="n">
        <f aca="false">Assumptions!$E$21^(MAX(0,G3370-Assumptions!$E$14)/4)</f>
        <v>1</v>
      </c>
      <c r="H3376" s="45" t="n">
        <f aca="false">Assumptions!$E$21^(MAX(0,H3370-Assumptions!$E$14)/4)</f>
        <v>0.9306048591021</v>
      </c>
      <c r="I3376" s="45" t="n">
        <f aca="false">Assumptions!$E$21^(MAX(0,I3370-Assumptions!$E$14)/4)</f>
        <v>0.866025403784439</v>
      </c>
      <c r="J3376" s="45" t="n">
        <f aca="false">Assumptions!$E$21^(MAX(0,J3370-Assumptions!$E$14)/4)</f>
        <v>0.805927448867656</v>
      </c>
      <c r="K3376" s="45" t="n">
        <f aca="false">Assumptions!$E$21^(MAX(0,K3370-Assumptions!$E$14)/4)</f>
        <v>0.75</v>
      </c>
      <c r="L3376" s="45" t="n">
        <f aca="false">Assumptions!$E$21^(MAX(0,L3370-Assumptions!$E$14)/4)</f>
        <v>0.697953644326575</v>
      </c>
      <c r="M3376" s="45" t="n">
        <f aca="false">Assumptions!$E$21^(MAX(0,M3370-Assumptions!$E$14)/4)</f>
        <v>0.649519052838329</v>
      </c>
      <c r="N3376" s="45" t="n">
        <f aca="false">Assumptions!$E$21^(MAX(0,N3370-Assumptions!$E$14)/4)</f>
        <v>0.604445586650742</v>
      </c>
      <c r="P3376" s="46"/>
      <c r="Q3376" s="46"/>
      <c r="R3376" s="46"/>
      <c r="S3376" s="47"/>
    </row>
    <row r="3377" customFormat="false" ht="15" hidden="false" customHeight="false" outlineLevel="0" collapsed="false">
      <c r="A3377" s="4" t="s">
        <v>483</v>
      </c>
      <c r="B3377" s="36" t="s">
        <v>478</v>
      </c>
      <c r="C3377" s="45" t="n">
        <f aca="false">Assumptions!$E$21^(MAX(0,C3370-Assumptions!$E$15)/4)</f>
        <v>1</v>
      </c>
      <c r="D3377" s="45" t="n">
        <f aca="false">Assumptions!$E$21^(MAX(0,D3370-Assumptions!$E$15)/4)</f>
        <v>1</v>
      </c>
      <c r="E3377" s="45" t="n">
        <f aca="false">Assumptions!$E$21^(MAX(0,E3370-Assumptions!$E$15)/4)</f>
        <v>1</v>
      </c>
      <c r="F3377" s="45" t="n">
        <f aca="false">Assumptions!$E$21^(MAX(0,F3370-Assumptions!$E$15)/4)</f>
        <v>1</v>
      </c>
      <c r="G3377" s="45" t="n">
        <f aca="false">Assumptions!$E$21^(MAX(0,G3370-Assumptions!$E$15)/4)</f>
        <v>1</v>
      </c>
      <c r="H3377" s="45" t="n">
        <f aca="false">Assumptions!$E$21^(MAX(0,H3370-Assumptions!$E$15)/4)</f>
        <v>1</v>
      </c>
      <c r="I3377" s="45" t="n">
        <f aca="false">Assumptions!$E$21^(MAX(0,I3370-Assumptions!$E$15)/4)</f>
        <v>1</v>
      </c>
      <c r="J3377" s="45" t="n">
        <f aca="false">Assumptions!$E$21^(MAX(0,J3370-Assumptions!$E$15)/4)</f>
        <v>0.9306048591021</v>
      </c>
      <c r="K3377" s="45" t="n">
        <f aca="false">Assumptions!$E$21^(MAX(0,K3370-Assumptions!$E$15)/4)</f>
        <v>0.866025403784439</v>
      </c>
      <c r="L3377" s="45" t="n">
        <f aca="false">Assumptions!$E$21^(MAX(0,L3370-Assumptions!$E$15)/4)</f>
        <v>0.805927448867656</v>
      </c>
      <c r="M3377" s="45" t="n">
        <f aca="false">Assumptions!$E$21^(MAX(0,M3370-Assumptions!$E$15)/4)</f>
        <v>0.75</v>
      </c>
      <c r="N3377" s="45" t="n">
        <f aca="false">Assumptions!$E$21^(MAX(0,N3370-Assumptions!$E$15)/4)</f>
        <v>0.697953644326575</v>
      </c>
      <c r="P3377" s="46"/>
      <c r="Q3377" s="46"/>
      <c r="R3377" s="46"/>
      <c r="S3377" s="47"/>
    </row>
    <row r="3378" customFormat="false" ht="15" hidden="false" customHeight="false" outlineLevel="0" collapsed="false">
      <c r="A3378" s="4" t="s">
        <v>484</v>
      </c>
      <c r="B3378" s="36" t="s">
        <v>485</v>
      </c>
      <c r="C3378" s="39" t="n">
        <f aca="false">$C$3349*C3372+$C$3353*C3373+$C$3357*C3374</f>
        <v>421.51972352</v>
      </c>
      <c r="D3378" s="39" t="n">
        <f aca="false">$C$3349*D3372+$C$3353*D3373+$C$3357*D3374</f>
        <v>843.03944704</v>
      </c>
      <c r="E3378" s="39" t="n">
        <f aca="false">$C$3349*E3372+$C$3353*E3373+$C$3357*E3374</f>
        <v>843.03944704</v>
      </c>
      <c r="F3378" s="39" t="n">
        <f aca="false">$C$3349*F3372+$C$3353*F3373+$C$3357*F3374</f>
        <v>843.03944704</v>
      </c>
      <c r="G3378" s="39" t="n">
        <f aca="false">$C$3349*G3372+$C$3353*G3373+$C$3357*G3374</f>
        <v>1149.32798176</v>
      </c>
      <c r="H3378" s="39" t="n">
        <f aca="false">$C$3349*H3372+$C$3353*H3373+$C$3357*H3374</f>
        <v>1455.61651648</v>
      </c>
      <c r="I3378" s="39" t="n">
        <f aca="false">$C$3349*I3372+$C$3353*I3373+$C$3357*I3374</f>
        <v>2486.00303616</v>
      </c>
      <c r="J3378" s="39" t="n">
        <f aca="false">$C$3349*J3372+$C$3353*J3373+$C$3357*J3374</f>
        <v>3516.38955584</v>
      </c>
      <c r="K3378" s="39" t="n">
        <f aca="false">$C$3349*K3372+$C$3353*K3373+$C$3357*K3374</f>
        <v>3516.38955584</v>
      </c>
      <c r="L3378" s="39" t="n">
        <f aca="false">$C$3349*L3372+$C$3353*L3373+$C$3357*L3374</f>
        <v>3516.38955584</v>
      </c>
      <c r="M3378" s="39" t="n">
        <f aca="false">$C$3349*M3372+$C$3353*M3373+$C$3357*M3374</f>
        <v>3516.38955584</v>
      </c>
      <c r="N3378" s="39" t="n">
        <f aca="false">$C$3349*N3372+$C$3353*N3373+$C$3357*N3374</f>
        <v>3516.38955584</v>
      </c>
      <c r="P3378" s="40" t="n">
        <f aca="false">F3378</f>
        <v>843.03944704</v>
      </c>
      <c r="Q3378" s="40" t="n">
        <f aca="false">J3378</f>
        <v>3516.38955584</v>
      </c>
      <c r="R3378" s="40" t="n">
        <f aca="false">N3378</f>
        <v>3516.38955584</v>
      </c>
      <c r="S3378" s="41" t="n">
        <f aca="false">R3378</f>
        <v>3516.38955584</v>
      </c>
    </row>
    <row r="3379" customFormat="false" ht="15" hidden="false" customHeight="false" outlineLevel="0" collapsed="false">
      <c r="A3379" s="4" t="s">
        <v>486</v>
      </c>
      <c r="B3379" s="36" t="s">
        <v>485</v>
      </c>
      <c r="C3379" s="39" t="n">
        <f aca="false">$C$3350*C3372+$C$3354*C3373+$C$3358*C3374</f>
        <v>105.59808</v>
      </c>
      <c r="D3379" s="39" t="n">
        <f aca="false">$C$3350*D3372+$C$3354*D3373+$C$3358*D3374</f>
        <v>211.19616</v>
      </c>
      <c r="E3379" s="39" t="n">
        <f aca="false">$C$3350*E3372+$C$3354*E3373+$C$3358*E3374</f>
        <v>211.19616</v>
      </c>
      <c r="F3379" s="39" t="n">
        <f aca="false">$C$3350*F3372+$C$3354*F3373+$C$3358*F3374</f>
        <v>211.19616</v>
      </c>
      <c r="G3379" s="39" t="n">
        <f aca="false">$C$3350*G3372+$C$3354*G3373+$C$3358*G3374</f>
        <v>282.24672</v>
      </c>
      <c r="H3379" s="39" t="n">
        <f aca="false">$C$3350*H3372+$C$3354*H3373+$C$3358*H3374</f>
        <v>353.29728</v>
      </c>
      <c r="I3379" s="39" t="n">
        <f aca="false">$C$3350*I3372+$C$3354*I3373+$C$3358*I3374</f>
        <v>567.53536</v>
      </c>
      <c r="J3379" s="39" t="n">
        <f aca="false">$C$3350*J3372+$C$3354*J3373+$C$3358*J3374</f>
        <v>781.77344</v>
      </c>
      <c r="K3379" s="39" t="n">
        <f aca="false">$C$3350*K3372+$C$3354*K3373+$C$3358*K3374</f>
        <v>781.77344</v>
      </c>
      <c r="L3379" s="39" t="n">
        <f aca="false">$C$3350*L3372+$C$3354*L3373+$C$3358*L3374</f>
        <v>781.77344</v>
      </c>
      <c r="M3379" s="39" t="n">
        <f aca="false">$C$3350*M3372+$C$3354*M3373+$C$3358*M3374</f>
        <v>781.77344</v>
      </c>
      <c r="N3379" s="39" t="n">
        <f aca="false">$C$3350*N3372+$C$3354*N3373+$C$3358*N3374</f>
        <v>781.77344</v>
      </c>
      <c r="P3379" s="40" t="n">
        <f aca="false">F3379</f>
        <v>211.19616</v>
      </c>
      <c r="Q3379" s="40" t="n">
        <f aca="false">J3379</f>
        <v>781.77344</v>
      </c>
      <c r="R3379" s="40" t="n">
        <f aca="false">N3379</f>
        <v>781.77344</v>
      </c>
      <c r="S3379" s="41" t="n">
        <f aca="false">R3379</f>
        <v>781.77344</v>
      </c>
    </row>
    <row r="3380" customFormat="false" ht="15" hidden="false" customHeight="false" outlineLevel="0" collapsed="false">
      <c r="A3380" s="4" t="s">
        <v>487</v>
      </c>
      <c r="B3380" s="36" t="s">
        <v>485</v>
      </c>
      <c r="C3380" s="39" t="n">
        <f aca="false">$C$3351*C3372+$C$3355*C3373+$C$3359*C3374</f>
        <v>24.76992</v>
      </c>
      <c r="D3380" s="39" t="n">
        <f aca="false">$C$3351*D3372+$C$3355*D3373+$C$3359*D3374</f>
        <v>49.53984</v>
      </c>
      <c r="E3380" s="39" t="n">
        <f aca="false">$C$3351*E3372+$C$3355*E3373+$C$3359*E3374</f>
        <v>49.53984</v>
      </c>
      <c r="F3380" s="39" t="n">
        <f aca="false">$C$3351*F3372+$C$3355*F3373+$C$3359*F3374</f>
        <v>49.53984</v>
      </c>
      <c r="G3380" s="39" t="n">
        <f aca="false">$C$3351*G3372+$C$3355*G3373+$C$3359*G3374</f>
        <v>61.9248</v>
      </c>
      <c r="H3380" s="39" t="n">
        <f aca="false">$C$3351*H3372+$C$3355*H3373+$C$3359*H3374</f>
        <v>74.30976</v>
      </c>
      <c r="I3380" s="39" t="n">
        <f aca="false">$C$3351*I3372+$C$3355*I3373+$C$3359*I3374</f>
        <v>114.072</v>
      </c>
      <c r="J3380" s="39" t="n">
        <f aca="false">$C$3351*J3372+$C$3355*J3373+$C$3359*J3374</f>
        <v>153.83424</v>
      </c>
      <c r="K3380" s="39" t="n">
        <f aca="false">$C$3351*K3372+$C$3355*K3373+$C$3359*K3374</f>
        <v>153.83424</v>
      </c>
      <c r="L3380" s="39" t="n">
        <f aca="false">$C$3351*L3372+$C$3355*L3373+$C$3359*L3374</f>
        <v>153.83424</v>
      </c>
      <c r="M3380" s="39" t="n">
        <f aca="false">$C$3351*M3372+$C$3355*M3373+$C$3359*M3374</f>
        <v>153.83424</v>
      </c>
      <c r="N3380" s="39" t="n">
        <f aca="false">$C$3351*N3372+$C$3355*N3373+$C$3359*N3374</f>
        <v>153.83424</v>
      </c>
      <c r="P3380" s="40" t="n">
        <f aca="false">F3380</f>
        <v>49.53984</v>
      </c>
      <c r="Q3380" s="40" t="n">
        <f aca="false">J3380</f>
        <v>153.83424</v>
      </c>
      <c r="R3380" s="40" t="n">
        <f aca="false">N3380</f>
        <v>153.83424</v>
      </c>
      <c r="S3380" s="41" t="n">
        <f aca="false">R3380</f>
        <v>153.83424</v>
      </c>
    </row>
    <row r="3381" customFormat="false" ht="15" hidden="false" customHeight="false" outlineLevel="0" collapsed="false">
      <c r="A3381" s="4" t="s">
        <v>488</v>
      </c>
      <c r="B3381" s="36" t="s">
        <v>485</v>
      </c>
      <c r="C3381" s="39" t="n">
        <f aca="false">C3378+C3379+C3380</f>
        <v>551.88772352</v>
      </c>
      <c r="D3381" s="39" t="n">
        <f aca="false">D3378+D3379+D3380</f>
        <v>1103.77544704</v>
      </c>
      <c r="E3381" s="39" t="n">
        <f aca="false">E3378+E3379+E3380</f>
        <v>1103.77544704</v>
      </c>
      <c r="F3381" s="39" t="n">
        <f aca="false">F3378+F3379+F3380</f>
        <v>1103.77544704</v>
      </c>
      <c r="G3381" s="39" t="n">
        <f aca="false">G3378+G3379+G3380</f>
        <v>1493.49950176</v>
      </c>
      <c r="H3381" s="39" t="n">
        <f aca="false">H3378+H3379+H3380</f>
        <v>1883.22355648</v>
      </c>
      <c r="I3381" s="39" t="n">
        <f aca="false">I3378+I3379+I3380</f>
        <v>3167.61039616</v>
      </c>
      <c r="J3381" s="39" t="n">
        <f aca="false">J3378+J3379+J3380</f>
        <v>4451.99723584</v>
      </c>
      <c r="K3381" s="39" t="n">
        <f aca="false">K3378+K3379+K3380</f>
        <v>4451.99723584</v>
      </c>
      <c r="L3381" s="39" t="n">
        <f aca="false">L3378+L3379+L3380</f>
        <v>4451.99723584</v>
      </c>
      <c r="M3381" s="39" t="n">
        <f aca="false">M3378+M3379+M3380</f>
        <v>4451.99723584</v>
      </c>
      <c r="N3381" s="39" t="n">
        <f aca="false">N3378+N3379+N3380</f>
        <v>4451.99723584</v>
      </c>
      <c r="P3381" s="40" t="n">
        <f aca="false">F3381</f>
        <v>1103.77544704</v>
      </c>
      <c r="Q3381" s="40" t="n">
        <f aca="false">J3381</f>
        <v>4451.99723584</v>
      </c>
      <c r="R3381" s="40" t="n">
        <f aca="false">N3381</f>
        <v>4451.99723584</v>
      </c>
      <c r="S3381" s="41" t="n">
        <f aca="false">R3381</f>
        <v>4451.99723584</v>
      </c>
    </row>
    <row r="3382" customFormat="false" ht="15" hidden="false" customHeight="false" outlineLevel="0" collapsed="false">
      <c r="A3382" s="4" t="s">
        <v>489</v>
      </c>
      <c r="B3382" s="36" t="s">
        <v>485</v>
      </c>
      <c r="C3382" s="39" t="n">
        <f aca="false">$C$3352*C3372*C3375+$C$3356*C3373*C3376+$C$3360*C3374*C3377</f>
        <v>551.88772352</v>
      </c>
      <c r="D3382" s="39" t="n">
        <f aca="false">$C$3352*D3372*D3375+$C$3356*D3373*D3376+$C$3360*D3374*D3377</f>
        <v>1027.17879437302</v>
      </c>
      <c r="E3382" s="39" t="n">
        <f aca="false">$C$3352*E3372*E3375+$C$3356*E3373*E3376+$C$3360*E3374*E3377</f>
        <v>955.897577210165</v>
      </c>
      <c r="F3382" s="39" t="n">
        <f aca="false">$C$3352*F3372*F3375+$C$3356*F3373*F3376+$C$3360*F3374*F3377</f>
        <v>889.562930155704</v>
      </c>
      <c r="G3382" s="39" t="n">
        <f aca="false">$C$3352*G3372*G3375+$C$3356*G3373*G3376+$C$3360*G3374*G3377</f>
        <v>1217.55564</v>
      </c>
      <c r="H3382" s="39" t="n">
        <f aca="false">$C$3352*H3372*H3375+$C$3356*H3373*H3376+$C$3360*H3374*H3377</f>
        <v>1495.74229384257</v>
      </c>
      <c r="I3382" s="39" t="n">
        <f aca="false">$C$3352*I3372*I3375+$C$3356*I3373*I3376+$C$3360*I3374*I3377</f>
        <v>2676.33188629442</v>
      </c>
      <c r="J3382" s="39" t="n">
        <f aca="false">$C$3352*J3372*J3375+$C$3356*J3373*J3376+$C$3360*J3374*J3377</f>
        <v>3685.86409192847</v>
      </c>
      <c r="K3382" s="39" t="n">
        <f aca="false">$C$3352*K3372*K3375+$C$3356*K3373*K3376+$C$3360*K3374*K3377</f>
        <v>3430.08303393858</v>
      </c>
      <c r="L3382" s="39" t="n">
        <f aca="false">$C$3352*L3372*L3375+$C$3356*L3373*L3376+$C$3360*L3374*L3377</f>
        <v>3192.05193850692</v>
      </c>
      <c r="M3382" s="39" t="n">
        <f aca="false">$C$3352*M3372*M3375+$C$3356*M3373*M3376+$C$3360*M3374*M3377</f>
        <v>2970.53904448081</v>
      </c>
      <c r="N3382" s="39" t="n">
        <f aca="false">$C$3352*N3372*N3375+$C$3356*N3373*N3376+$C$3360*N3374*N3377</f>
        <v>2764.39806894635</v>
      </c>
      <c r="P3382" s="40"/>
      <c r="Q3382" s="40"/>
      <c r="R3382" s="40"/>
      <c r="S3382" s="41"/>
    </row>
    <row r="3383" customFormat="false" ht="15" hidden="false" customHeight="false" outlineLevel="0" collapsed="false">
      <c r="A3383" s="4" t="s">
        <v>490</v>
      </c>
      <c r="B3383" s="36" t="s">
        <v>491</v>
      </c>
      <c r="C3383" s="48" t="n">
        <f aca="false">$C$3364*Assumptions!$D$20*C3371*C3382</f>
        <v>4.41510178816</v>
      </c>
      <c r="D3383" s="48" t="n">
        <f aca="false">$C$3364*Assumptions!$D$20*D3371*D3382</f>
        <v>8.21743035498413</v>
      </c>
      <c r="E3383" s="48" t="n">
        <f aca="false">$C$3364*Assumptions!$D$20*E3371*E3382</f>
        <v>7.64718061768132</v>
      </c>
      <c r="F3383" s="48" t="n">
        <f aca="false">$C$3364*Assumptions!$D$20*F3371*F3382</f>
        <v>7.11650344124563</v>
      </c>
      <c r="G3383" s="48" t="n">
        <f aca="false">$C$3364*Assumptions!$D$20*G3371*G3382</f>
        <v>9.74044512</v>
      </c>
      <c r="H3383" s="48" t="n">
        <f aca="false">$C$3364*Assumptions!$D$20*H3371*H3382</f>
        <v>11.9659383507406</v>
      </c>
      <c r="I3383" s="48" t="n">
        <f aca="false">$C$3364*Assumptions!$D$20*I3371*I3382</f>
        <v>21.4106550903553</v>
      </c>
      <c r="J3383" s="48" t="n">
        <f aca="false">$C$3364*Assumptions!$D$20*J3371*J3382</f>
        <v>29.4869127354278</v>
      </c>
      <c r="K3383" s="48" t="n">
        <f aca="false">$C$3364*Assumptions!$D$20*K3371*K3382</f>
        <v>27.4406642715087</v>
      </c>
      <c r="L3383" s="48" t="n">
        <f aca="false">$C$3364*Assumptions!$D$20*L3371*L3382</f>
        <v>25.5364155080553</v>
      </c>
      <c r="M3383" s="48" t="n">
        <f aca="false">$C$3364*Assumptions!$D$20*M3371*M3382</f>
        <v>23.7643123558465</v>
      </c>
      <c r="N3383" s="48" t="n">
        <f aca="false">$C$3364*Assumptions!$D$20*N3371*N3382</f>
        <v>22.1151845515708</v>
      </c>
      <c r="P3383" s="49" t="n">
        <f aca="false">SUM(C3383:F3383)</f>
        <v>27.3962162020711</v>
      </c>
      <c r="Q3383" s="49" t="n">
        <f aca="false">SUM(G3383:J3383)</f>
        <v>72.6039512965237</v>
      </c>
      <c r="R3383" s="49" t="n">
        <f aca="false">SUM(K3383:N3383)</f>
        <v>98.8565766869813</v>
      </c>
      <c r="S3383" s="50" t="n">
        <f aca="false">SUM(P3383:R3383)</f>
        <v>198.856744185576</v>
      </c>
    </row>
    <row r="3384" customFormat="false" ht="15" hidden="false" customHeight="false" outlineLevel="0" collapsed="false">
      <c r="A3384" s="4" t="s">
        <v>492</v>
      </c>
      <c r="B3384" s="36" t="s">
        <v>321</v>
      </c>
      <c r="C3384" s="48" t="n">
        <f aca="false">Assumptions!$D$111</f>
        <v>0</v>
      </c>
      <c r="D3384" s="48" t="n">
        <f aca="false">Assumptions!$E$111</f>
        <v>0</v>
      </c>
      <c r="E3384" s="48" t="n">
        <f aca="false">Assumptions!$F$111</f>
        <v>0</v>
      </c>
      <c r="F3384" s="48" t="n">
        <f aca="false">Assumptions!$G$111</f>
        <v>0</v>
      </c>
      <c r="G3384" s="48" t="n">
        <f aca="false">Assumptions!$H$111</f>
        <v>0</v>
      </c>
      <c r="H3384" s="48" t="n">
        <f aca="false">Assumptions!$I$111</f>
        <v>0</v>
      </c>
      <c r="I3384" s="48" t="n">
        <f aca="false">Assumptions!$J$111</f>
        <v>0</v>
      </c>
      <c r="J3384" s="48" t="n">
        <f aca="false">Assumptions!$K$111</f>
        <v>0</v>
      </c>
      <c r="K3384" s="48" t="n">
        <f aca="false">Assumptions!$L$111</f>
        <v>0</v>
      </c>
      <c r="L3384" s="48" t="n">
        <f aca="false">Assumptions!$M$111</f>
        <v>0</v>
      </c>
      <c r="M3384" s="48" t="n">
        <f aca="false">Assumptions!$N$111</f>
        <v>0</v>
      </c>
      <c r="N3384" s="48" t="n">
        <f aca="false">Assumptions!$O$111</f>
        <v>0</v>
      </c>
      <c r="P3384" s="49" t="n">
        <f aca="false">F3384</f>
        <v>0</v>
      </c>
      <c r="Q3384" s="49" t="n">
        <f aca="false">J3384</f>
        <v>0</v>
      </c>
      <c r="R3384" s="49" t="n">
        <f aca="false">N3384</f>
        <v>0</v>
      </c>
      <c r="S3384" s="50" t="n">
        <f aca="false">R3384</f>
        <v>0</v>
      </c>
    </row>
    <row r="3385" customFormat="false" ht="15" hidden="false" customHeight="false" outlineLevel="0" collapsed="false">
      <c r="A3385" s="4" t="s">
        <v>493</v>
      </c>
      <c r="B3385" s="36" t="s">
        <v>321</v>
      </c>
      <c r="C3385" s="48" t="n">
        <f aca="false">0</f>
        <v>0</v>
      </c>
      <c r="D3385" s="48" t="n">
        <f aca="false">0.5*C3384</f>
        <v>0</v>
      </c>
      <c r="E3385" s="48" t="n">
        <f aca="false">C3384+0.5*(D3384-C3384)</f>
        <v>0</v>
      </c>
      <c r="F3385" s="48" t="n">
        <f aca="false">D3384+0.5*(E3384-D3384)</f>
        <v>0</v>
      </c>
      <c r="G3385" s="48" t="n">
        <f aca="false">E3384+0.5*(F3384-E3384)</f>
        <v>0</v>
      </c>
      <c r="H3385" s="48" t="n">
        <f aca="false">F3384+0.5*(G3384-F3384)</f>
        <v>0</v>
      </c>
      <c r="I3385" s="48" t="n">
        <f aca="false">G3384+0.5*(H3384-G3384)</f>
        <v>0</v>
      </c>
      <c r="J3385" s="48" t="n">
        <f aca="false">H3384+0.5*(I3384-H3384)</f>
        <v>0</v>
      </c>
      <c r="K3385" s="48" t="n">
        <f aca="false">I3384+0.5*(J3384-I3384)</f>
        <v>0</v>
      </c>
      <c r="L3385" s="48" t="n">
        <f aca="false">J3384+0.5*(K3384-J3384)</f>
        <v>0</v>
      </c>
      <c r="M3385" s="48" t="n">
        <f aca="false">K3384+0.5*(L3384-K3384)</f>
        <v>0</v>
      </c>
      <c r="N3385" s="48" t="n">
        <f aca="false">L3384+0.5*(M3384-L3384)</f>
        <v>0</v>
      </c>
      <c r="P3385" s="49" t="n">
        <f aca="false">F3385</f>
        <v>0</v>
      </c>
      <c r="Q3385" s="49" t="n">
        <f aca="false">J3385</f>
        <v>0</v>
      </c>
      <c r="R3385" s="49" t="n">
        <f aca="false">N3385</f>
        <v>0</v>
      </c>
      <c r="S3385" s="50" t="n">
        <f aca="false">R3385</f>
        <v>0</v>
      </c>
    </row>
    <row r="3386" customFormat="false" ht="15" hidden="false" customHeight="false" outlineLevel="0" collapsed="false">
      <c r="A3386" s="4" t="s">
        <v>494</v>
      </c>
      <c r="B3386" s="36" t="s">
        <v>485</v>
      </c>
      <c r="C3386" s="39" t="n">
        <f aca="false">MIN(C3385*Assumptions!$E$38,C3381*(1-$C$3364))</f>
        <v>0</v>
      </c>
      <c r="D3386" s="39" t="n">
        <f aca="false">MIN(D3385*Assumptions!$E$38,D3381*(1-$C$3364))</f>
        <v>0</v>
      </c>
      <c r="E3386" s="39" t="n">
        <f aca="false">MIN(E3385*Assumptions!$E$38,E3381*(1-$C$3364))</f>
        <v>0</v>
      </c>
      <c r="F3386" s="39" t="n">
        <f aca="false">MIN(F3385*Assumptions!$E$38,F3381*(1-$C$3364))</f>
        <v>0</v>
      </c>
      <c r="G3386" s="39" t="n">
        <f aca="false">MIN(G3385*Assumptions!$E$38,G3381*(1-$C$3364))</f>
        <v>0</v>
      </c>
      <c r="H3386" s="39" t="n">
        <f aca="false">MIN(H3385*Assumptions!$E$38,H3381*(1-$C$3364))</f>
        <v>0</v>
      </c>
      <c r="I3386" s="39" t="n">
        <f aca="false">MIN(I3385*Assumptions!$E$38,I3381*(1-$C$3364))</f>
        <v>0</v>
      </c>
      <c r="J3386" s="39" t="n">
        <f aca="false">MIN(J3385*Assumptions!$E$38,J3381*(1-$C$3364))</f>
        <v>0</v>
      </c>
      <c r="K3386" s="39" t="n">
        <f aca="false">MIN(K3385*Assumptions!$E$38,K3381*(1-$C$3364))</f>
        <v>0</v>
      </c>
      <c r="L3386" s="39" t="n">
        <f aca="false">MIN(L3385*Assumptions!$E$38,L3381*(1-$C$3364))</f>
        <v>0</v>
      </c>
      <c r="M3386" s="39" t="n">
        <f aca="false">MIN(M3385*Assumptions!$E$38,M3381*(1-$C$3364))</f>
        <v>0</v>
      </c>
      <c r="N3386" s="39" t="n">
        <f aca="false">MIN(N3385*Assumptions!$E$38,N3381*(1-$C$3364))</f>
        <v>0</v>
      </c>
      <c r="P3386" s="40" t="n">
        <f aca="false">SUM(C3386:F3386)</f>
        <v>0</v>
      </c>
      <c r="Q3386" s="40" t="n">
        <f aca="false">SUM(G3386:J3386)</f>
        <v>0</v>
      </c>
      <c r="R3386" s="40" t="n">
        <f aca="false">SUM(K3386:N3386)</f>
        <v>0</v>
      </c>
      <c r="S3386" s="41" t="n">
        <f aca="false">SUM(P3386:R3386)</f>
        <v>0</v>
      </c>
    </row>
    <row r="3387" customFormat="false" ht="15" hidden="false" customHeight="false" outlineLevel="0" collapsed="false">
      <c r="A3387" s="4" t="s">
        <v>495</v>
      </c>
      <c r="B3387" s="36" t="s">
        <v>491</v>
      </c>
      <c r="C3387" s="48" t="n">
        <f aca="false">C3386*Assumptions!$D$20*Assumptions!$E$39*IF(C3381&gt;0,C3382/C3381,0)*C3371</f>
        <v>0</v>
      </c>
      <c r="D3387" s="48" t="n">
        <f aca="false">D3386*Assumptions!$D$20*Assumptions!$E$39*IF(D3381&gt;0,D3382/D3381,0)*D3371</f>
        <v>0</v>
      </c>
      <c r="E3387" s="48" t="n">
        <f aca="false">E3386*Assumptions!$D$20*Assumptions!$E$39*IF(E3381&gt;0,E3382/E3381,0)*E3371</f>
        <v>0</v>
      </c>
      <c r="F3387" s="48" t="n">
        <f aca="false">F3386*Assumptions!$D$20*Assumptions!$E$39*IF(F3381&gt;0,F3382/F3381,0)*F3371</f>
        <v>0</v>
      </c>
      <c r="G3387" s="48" t="n">
        <f aca="false">G3386*Assumptions!$D$20*Assumptions!$E$39*IF(G3381&gt;0,G3382/G3381,0)*G3371</f>
        <v>0</v>
      </c>
      <c r="H3387" s="48" t="n">
        <f aca="false">H3386*Assumptions!$D$20*Assumptions!$E$39*IF(H3381&gt;0,H3382/H3381,0)*H3371</f>
        <v>0</v>
      </c>
      <c r="I3387" s="48" t="n">
        <f aca="false">I3386*Assumptions!$D$20*Assumptions!$E$39*IF(I3381&gt;0,I3382/I3381,0)*I3371</f>
        <v>0</v>
      </c>
      <c r="J3387" s="48" t="n">
        <f aca="false">J3386*Assumptions!$D$20*Assumptions!$E$39*IF(J3381&gt;0,J3382/J3381,0)*J3371</f>
        <v>0</v>
      </c>
      <c r="K3387" s="48" t="n">
        <f aca="false">K3386*Assumptions!$D$20*Assumptions!$E$39*IF(K3381&gt;0,K3382/K3381,0)*K3371</f>
        <v>0</v>
      </c>
      <c r="L3387" s="48" t="n">
        <f aca="false">L3386*Assumptions!$D$20*Assumptions!$E$39*IF(L3381&gt;0,L3382/L3381,0)*L3371</f>
        <v>0</v>
      </c>
      <c r="M3387" s="48" t="n">
        <f aca="false">M3386*Assumptions!$D$20*Assumptions!$E$39*IF(M3381&gt;0,M3382/M3381,0)*M3371</f>
        <v>0</v>
      </c>
      <c r="N3387" s="48" t="n">
        <f aca="false">N3386*Assumptions!$D$20*Assumptions!$E$39*IF(N3381&gt;0,N3382/N3381,0)*N3371</f>
        <v>0</v>
      </c>
      <c r="P3387" s="49" t="n">
        <f aca="false">SUM(C3387:F3387)</f>
        <v>0</v>
      </c>
      <c r="Q3387" s="49" t="n">
        <f aca="false">SUM(G3387:J3387)</f>
        <v>0</v>
      </c>
      <c r="R3387" s="49" t="n">
        <f aca="false">SUM(K3387:N3387)</f>
        <v>0</v>
      </c>
      <c r="S3387" s="50" t="n">
        <f aca="false">SUM(P3387:R3387)</f>
        <v>0</v>
      </c>
    </row>
    <row r="3388" customFormat="false" ht="15" hidden="false" customHeight="false" outlineLevel="0" collapsed="false">
      <c r="A3388" s="4" t="s">
        <v>496</v>
      </c>
      <c r="B3388" s="36" t="s">
        <v>497</v>
      </c>
      <c r="C3388" s="48" t="n">
        <f aca="false">IF(AND(C3381&gt;0,$C$3368&gt;0),C3381*Assumptions!$E$24*(1-EXP(-$C$3368/(Assumptions!$E$23*C3381*Assumptions!$E$24))),0)</f>
        <v>0</v>
      </c>
      <c r="D3388" s="48" t="n">
        <f aca="false">IF(AND(D3381&gt;0,$C$3368&gt;0),D3381*Assumptions!$E$24*(1-EXP(-$C$3368/(Assumptions!$E$23*D3381*Assumptions!$E$24))),0)</f>
        <v>0</v>
      </c>
      <c r="E3388" s="48" t="n">
        <f aca="false">IF(AND(E3381&gt;0,$C$3368&gt;0),E3381*Assumptions!$E$24*(1-EXP(-$C$3368/(Assumptions!$E$23*E3381*Assumptions!$E$24))),0)</f>
        <v>0</v>
      </c>
      <c r="F3388" s="48" t="n">
        <f aca="false">IF(AND(F3381&gt;0,$C$3368&gt;0),F3381*Assumptions!$E$24*(1-EXP(-$C$3368/(Assumptions!$E$23*F3381*Assumptions!$E$24))),0)</f>
        <v>0</v>
      </c>
      <c r="G3388" s="48" t="n">
        <f aca="false">IF(AND(G3381&gt;0,$C$3368&gt;0),G3381*Assumptions!$E$24*(1-EXP(-$C$3368/(Assumptions!$E$23*G3381*Assumptions!$E$24))),0)</f>
        <v>0</v>
      </c>
      <c r="H3388" s="48" t="n">
        <f aca="false">IF(AND(H3381&gt;0,$C$3368&gt;0),H3381*Assumptions!$E$24*(1-EXP(-$C$3368/(Assumptions!$E$23*H3381*Assumptions!$E$24))),0)</f>
        <v>0</v>
      </c>
      <c r="I3388" s="48" t="n">
        <f aca="false">IF(AND(I3381&gt;0,$C$3368&gt;0),I3381*Assumptions!$E$24*(1-EXP(-$C$3368/(Assumptions!$E$23*I3381*Assumptions!$E$24))),0)</f>
        <v>0</v>
      </c>
      <c r="J3388" s="48" t="n">
        <f aca="false">IF(AND(J3381&gt;0,$C$3368&gt;0),J3381*Assumptions!$E$24*(1-EXP(-$C$3368/(Assumptions!$E$23*J3381*Assumptions!$E$24))),0)</f>
        <v>0</v>
      </c>
      <c r="K3388" s="48" t="n">
        <f aca="false">IF(AND(K3381&gt;0,$C$3368&gt;0),K3381*Assumptions!$E$24*(1-EXP(-$C$3368/(Assumptions!$E$23*K3381*Assumptions!$E$24))),0)</f>
        <v>0</v>
      </c>
      <c r="L3388" s="48" t="n">
        <f aca="false">IF(AND(L3381&gt;0,$C$3368&gt;0),L3381*Assumptions!$E$24*(1-EXP(-$C$3368/(Assumptions!$E$23*L3381*Assumptions!$E$24))),0)</f>
        <v>0</v>
      </c>
      <c r="M3388" s="48" t="n">
        <f aca="false">IF(AND(M3381&gt;0,$C$3368&gt;0),M3381*Assumptions!$E$24*(1-EXP(-$C$3368/(Assumptions!$E$23*M3381*Assumptions!$E$24))),0)</f>
        <v>0</v>
      </c>
      <c r="N3388" s="48" t="n">
        <f aca="false">IF(AND(N3381&gt;0,$C$3368&gt;0),N3381*Assumptions!$E$24*(1-EXP(-$C$3368/(Assumptions!$E$23*N3381*Assumptions!$E$24))),0)</f>
        <v>0</v>
      </c>
      <c r="P3388" s="49" t="n">
        <f aca="false">SUM(C3388:F3388)</f>
        <v>0</v>
      </c>
      <c r="Q3388" s="49" t="n">
        <f aca="false">SUM(G3388:J3388)</f>
        <v>0</v>
      </c>
      <c r="R3388" s="49" t="n">
        <f aca="false">SUM(K3388:N3388)</f>
        <v>0</v>
      </c>
      <c r="S3388" s="50" t="n">
        <f aca="false">SUM(P3388:R3388)</f>
        <v>0</v>
      </c>
    </row>
    <row r="3389" customFormat="false" ht="15" hidden="false" customHeight="false" outlineLevel="0" collapsed="false">
      <c r="A3389" s="4" t="s">
        <v>498</v>
      </c>
      <c r="B3389" s="36" t="s">
        <v>497</v>
      </c>
      <c r="C3389" s="48" t="n">
        <f aca="false">(C3381*Assumptions!$E$22*MIN(1,Assumptions!$D$103/Assumptions!$E$78)+C3388)*C3371</f>
        <v>5.5188772352</v>
      </c>
      <c r="D3389" s="48" t="n">
        <f aca="false">(D3381*Assumptions!$E$22*MIN(1,Assumptions!$D$103/Assumptions!$E$78)+D3388)*D3371</f>
        <v>11.0377544704</v>
      </c>
      <c r="E3389" s="48" t="n">
        <f aca="false">(E3381*Assumptions!$E$22*MIN(1,Assumptions!$D$103/Assumptions!$E$78)+E3388)*E3371</f>
        <v>11.0377544704</v>
      </c>
      <c r="F3389" s="48" t="n">
        <f aca="false">(F3381*Assumptions!$E$22*MIN(1,Assumptions!$D$103/Assumptions!$E$78)+F3388)*F3371</f>
        <v>11.0377544704</v>
      </c>
      <c r="G3389" s="48" t="n">
        <f aca="false">(G3381*Assumptions!$E$22*MIN(1,Assumptions!$D$103/Assumptions!$E$78)+G3388)*G3371</f>
        <v>14.9349950176</v>
      </c>
      <c r="H3389" s="48" t="n">
        <f aca="false">(H3381*Assumptions!$E$22*MIN(1,Assumptions!$D$103/Assumptions!$E$78)+H3388)*H3371</f>
        <v>18.8322355648</v>
      </c>
      <c r="I3389" s="48" t="n">
        <f aca="false">(I3381*Assumptions!$E$22*MIN(1,Assumptions!$D$103/Assumptions!$E$78)+I3388)*I3371</f>
        <v>31.6761039616</v>
      </c>
      <c r="J3389" s="48" t="n">
        <f aca="false">(J3381*Assumptions!$E$22*MIN(1,Assumptions!$D$103/Assumptions!$E$78)+J3388)*J3371</f>
        <v>44.5199723584</v>
      </c>
      <c r="K3389" s="48" t="n">
        <f aca="false">(K3381*Assumptions!$E$22*MIN(1,Assumptions!$D$103/Assumptions!$E$78)+K3388)*K3371</f>
        <v>44.5199723584</v>
      </c>
      <c r="L3389" s="48" t="n">
        <f aca="false">(L3381*Assumptions!$E$22*MIN(1,Assumptions!$D$103/Assumptions!$E$78)+L3388)*L3371</f>
        <v>44.5199723584</v>
      </c>
      <c r="M3389" s="48" t="n">
        <f aca="false">(M3381*Assumptions!$E$22*MIN(1,Assumptions!$D$103/Assumptions!$E$78)+M3388)*M3371</f>
        <v>44.5199723584</v>
      </c>
      <c r="N3389" s="48" t="n">
        <f aca="false">(N3381*Assumptions!$E$22*MIN(1,Assumptions!$D$103/Assumptions!$E$78)+N3388)*N3371</f>
        <v>44.5199723584</v>
      </c>
      <c r="P3389" s="49" t="n">
        <f aca="false">SUM(C3389:F3389)</f>
        <v>38.6321406464</v>
      </c>
      <c r="Q3389" s="49" t="n">
        <f aca="false">SUM(G3389:J3389)</f>
        <v>109.9633069024</v>
      </c>
      <c r="R3389" s="49" t="n">
        <f aca="false">SUM(K3389:N3389)</f>
        <v>178.0798894336</v>
      </c>
      <c r="S3389" s="50" t="n">
        <f aca="false">SUM(P3389:R3389)</f>
        <v>326.6753369824</v>
      </c>
    </row>
    <row r="3390" customFormat="false" ht="15" hidden="false" customHeight="false" outlineLevel="0" collapsed="false">
      <c r="A3390" s="4" t="s">
        <v>499</v>
      </c>
      <c r="B3390" s="36" t="s">
        <v>500</v>
      </c>
      <c r="C3390" s="48" t="n">
        <f aca="false">C3371*MIN(Assumptions!$E$27,Assumptions!$E$25+Assumptions!$E$26*(C3370-1))*Assumptions!$D$107</f>
        <v>2</v>
      </c>
      <c r="D3390" s="48" t="n">
        <f aca="false">D3371*MIN(Assumptions!$E$27,Assumptions!$E$25+Assumptions!$E$26*(D3370-1))*Assumptions!$D$107</f>
        <v>3</v>
      </c>
      <c r="E3390" s="48" t="n">
        <f aca="false">E3371*MIN(Assumptions!$E$27,Assumptions!$E$25+Assumptions!$E$26*(E3370-1))*Assumptions!$D$107</f>
        <v>4</v>
      </c>
      <c r="F3390" s="48" t="n">
        <f aca="false">F3371*MIN(Assumptions!$E$27,Assumptions!$E$25+Assumptions!$E$26*(F3370-1))*Assumptions!$D$107</f>
        <v>5</v>
      </c>
      <c r="G3390" s="48" t="n">
        <f aca="false">G3371*MIN(Assumptions!$E$27,Assumptions!$E$25+Assumptions!$E$26*(G3370-1))*Assumptions!$D$107</f>
        <v>6</v>
      </c>
      <c r="H3390" s="48" t="n">
        <f aca="false">H3371*MIN(Assumptions!$E$27,Assumptions!$E$25+Assumptions!$E$26*(H3370-1))*Assumptions!$D$107</f>
        <v>7</v>
      </c>
      <c r="I3390" s="48" t="n">
        <f aca="false">I3371*MIN(Assumptions!$E$27,Assumptions!$E$25+Assumptions!$E$26*(I3370-1))*Assumptions!$D$107</f>
        <v>8</v>
      </c>
      <c r="J3390" s="48" t="n">
        <f aca="false">J3371*MIN(Assumptions!$E$27,Assumptions!$E$25+Assumptions!$E$26*(J3370-1))*Assumptions!$D$107</f>
        <v>9</v>
      </c>
      <c r="K3390" s="48" t="n">
        <f aca="false">K3371*MIN(Assumptions!$E$27,Assumptions!$E$25+Assumptions!$E$26*(K3370-1))*Assumptions!$D$107</f>
        <v>10</v>
      </c>
      <c r="L3390" s="48" t="n">
        <f aca="false">L3371*MIN(Assumptions!$E$27,Assumptions!$E$25+Assumptions!$E$26*(L3370-1))*Assumptions!$D$107</f>
        <v>10</v>
      </c>
      <c r="M3390" s="48" t="n">
        <f aca="false">M3371*MIN(Assumptions!$E$27,Assumptions!$E$25+Assumptions!$E$26*(M3370-1))*Assumptions!$D$107</f>
        <v>10</v>
      </c>
      <c r="N3390" s="48" t="n">
        <f aca="false">N3371*MIN(Assumptions!$E$27,Assumptions!$E$25+Assumptions!$E$26*(N3370-1))*Assumptions!$D$107</f>
        <v>10</v>
      </c>
      <c r="P3390" s="49" t="n">
        <f aca="false">F3390</f>
        <v>5</v>
      </c>
      <c r="Q3390" s="49" t="n">
        <f aca="false">J3390</f>
        <v>9</v>
      </c>
      <c r="R3390" s="49" t="n">
        <f aca="false">N3390</f>
        <v>10</v>
      </c>
      <c r="S3390" s="50" t="n">
        <f aca="false">R3390</f>
        <v>10</v>
      </c>
    </row>
    <row r="3391" customFormat="false" ht="15" hidden="false" customHeight="false" outlineLevel="0" collapsed="false">
      <c r="A3391" s="4" t="s">
        <v>501</v>
      </c>
      <c r="B3391" s="36" t="s">
        <v>502</v>
      </c>
      <c r="C3391" s="48" t="n">
        <f aca="false">C3390*Assumptions!$E$28</f>
        <v>6</v>
      </c>
      <c r="D3391" s="48" t="n">
        <f aca="false">D3390*Assumptions!$E$28</f>
        <v>9</v>
      </c>
      <c r="E3391" s="48" t="n">
        <f aca="false">E3390*Assumptions!$E$28</f>
        <v>12</v>
      </c>
      <c r="F3391" s="48" t="n">
        <f aca="false">F3390*Assumptions!$E$28</f>
        <v>15</v>
      </c>
      <c r="G3391" s="48" t="n">
        <f aca="false">G3390*Assumptions!$E$28</f>
        <v>18</v>
      </c>
      <c r="H3391" s="48" t="n">
        <f aca="false">H3390*Assumptions!$E$28</f>
        <v>21</v>
      </c>
      <c r="I3391" s="48" t="n">
        <f aca="false">I3390*Assumptions!$E$28</f>
        <v>24</v>
      </c>
      <c r="J3391" s="48" t="n">
        <f aca="false">J3390*Assumptions!$E$28</f>
        <v>27</v>
      </c>
      <c r="K3391" s="48" t="n">
        <f aca="false">K3390*Assumptions!$E$28</f>
        <v>30</v>
      </c>
      <c r="L3391" s="48" t="n">
        <f aca="false">L3390*Assumptions!$E$28</f>
        <v>30</v>
      </c>
      <c r="M3391" s="48" t="n">
        <f aca="false">M3390*Assumptions!$E$28</f>
        <v>30</v>
      </c>
      <c r="N3391" s="48" t="n">
        <f aca="false">N3390*Assumptions!$E$28</f>
        <v>30</v>
      </c>
      <c r="P3391" s="49" t="n">
        <f aca="false">SUM(C3391:F3391)</f>
        <v>42</v>
      </c>
      <c r="Q3391" s="49" t="n">
        <f aca="false">SUM(G3391:J3391)</f>
        <v>90</v>
      </c>
      <c r="R3391" s="49" t="n">
        <f aca="false">SUM(K3391:N3391)</f>
        <v>120</v>
      </c>
      <c r="S3391" s="50" t="n">
        <f aca="false">SUM(P3391:R3391)</f>
        <v>252</v>
      </c>
    </row>
    <row r="3392" customFormat="false" ht="15" hidden="false" customHeight="false" outlineLevel="0" collapsed="false">
      <c r="A3392" s="4" t="s">
        <v>503</v>
      </c>
      <c r="B3392" s="36" t="s">
        <v>504</v>
      </c>
      <c r="C3392" s="48" t="n">
        <f aca="false">(C3383+C3387)*Assumptions!$E$29</f>
        <v>1.766040715264</v>
      </c>
      <c r="D3392" s="48" t="n">
        <f aca="false">(D3383+D3387)*Assumptions!$E$29</f>
        <v>3.28697214199365</v>
      </c>
      <c r="E3392" s="48" t="n">
        <f aca="false">(E3383+E3387)*Assumptions!$E$29</f>
        <v>3.05887224707253</v>
      </c>
      <c r="F3392" s="48" t="n">
        <f aca="false">(F3383+F3387)*Assumptions!$E$29</f>
        <v>2.84660137649825</v>
      </c>
      <c r="G3392" s="48" t="n">
        <f aca="false">(G3383+G3387)*Assumptions!$E$29</f>
        <v>3.896178048</v>
      </c>
      <c r="H3392" s="48" t="n">
        <f aca="false">(H3383+H3387)*Assumptions!$E$29</f>
        <v>4.78637534029623</v>
      </c>
      <c r="I3392" s="48" t="n">
        <f aca="false">(I3383+I3387)*Assumptions!$E$29</f>
        <v>8.56426203614214</v>
      </c>
      <c r="J3392" s="48" t="n">
        <f aca="false">(J3383+J3387)*Assumptions!$E$29</f>
        <v>11.7947650941711</v>
      </c>
      <c r="K3392" s="48" t="n">
        <f aca="false">(K3383+K3387)*Assumptions!$E$29</f>
        <v>10.9762657086035</v>
      </c>
      <c r="L3392" s="48" t="n">
        <f aca="false">(L3383+L3387)*Assumptions!$E$29</f>
        <v>10.2145662032221</v>
      </c>
      <c r="M3392" s="48" t="n">
        <f aca="false">(M3383+M3387)*Assumptions!$E$29</f>
        <v>9.5057249423386</v>
      </c>
      <c r="N3392" s="48" t="n">
        <f aca="false">(N3383+N3387)*Assumptions!$E$29</f>
        <v>8.84607382062833</v>
      </c>
      <c r="P3392" s="49" t="n">
        <f aca="false">SUM(C3392:F3392)</f>
        <v>10.9584864808284</v>
      </c>
      <c r="Q3392" s="49" t="n">
        <f aca="false">SUM(G3392:J3392)</f>
        <v>29.0415805186095</v>
      </c>
      <c r="R3392" s="49" t="n">
        <f aca="false">SUM(K3392:N3392)</f>
        <v>39.5426306747925</v>
      </c>
      <c r="S3392" s="50" t="n">
        <f aca="false">SUM(P3392:R3392)</f>
        <v>79.5426976742305</v>
      </c>
    </row>
    <row r="3393" customFormat="false" ht="15" hidden="false" customHeight="false" outlineLevel="0" collapsed="false">
      <c r="A3393" s="4" t="s">
        <v>505</v>
      </c>
      <c r="B3393" s="36" t="s">
        <v>504</v>
      </c>
      <c r="C3393" s="48" t="n">
        <f aca="false">C3389*Assumptions!$E$31</f>
        <v>0.883020357632</v>
      </c>
      <c r="D3393" s="48" t="n">
        <f aca="false">D3389*Assumptions!$E$31</f>
        <v>1.766040715264</v>
      </c>
      <c r="E3393" s="48" t="n">
        <f aca="false">E3389*Assumptions!$E$31</f>
        <v>1.766040715264</v>
      </c>
      <c r="F3393" s="48" t="n">
        <f aca="false">F3389*Assumptions!$E$31</f>
        <v>1.766040715264</v>
      </c>
      <c r="G3393" s="48" t="n">
        <f aca="false">G3389*Assumptions!$E$31</f>
        <v>2.389599202816</v>
      </c>
      <c r="H3393" s="48" t="n">
        <f aca="false">H3389*Assumptions!$E$31</f>
        <v>3.013157690368</v>
      </c>
      <c r="I3393" s="48" t="n">
        <f aca="false">I3389*Assumptions!$E$31</f>
        <v>5.068176633856</v>
      </c>
      <c r="J3393" s="48" t="n">
        <f aca="false">J3389*Assumptions!$E$31</f>
        <v>7.123195577344</v>
      </c>
      <c r="K3393" s="48" t="n">
        <f aca="false">K3389*Assumptions!$E$31</f>
        <v>7.123195577344</v>
      </c>
      <c r="L3393" s="48" t="n">
        <f aca="false">L3389*Assumptions!$E$31</f>
        <v>7.123195577344</v>
      </c>
      <c r="M3393" s="48" t="n">
        <f aca="false">M3389*Assumptions!$E$31</f>
        <v>7.123195577344</v>
      </c>
      <c r="N3393" s="48" t="n">
        <f aca="false">N3389*Assumptions!$E$31</f>
        <v>7.123195577344</v>
      </c>
      <c r="P3393" s="49" t="n">
        <f aca="false">SUM(C3393:F3393)</f>
        <v>6.181142503424</v>
      </c>
      <c r="Q3393" s="49" t="n">
        <f aca="false">SUM(G3393:J3393)</f>
        <v>17.594129104384</v>
      </c>
      <c r="R3393" s="49" t="n">
        <f aca="false">SUM(K3393:N3393)</f>
        <v>28.492782309376</v>
      </c>
      <c r="S3393" s="50" t="n">
        <f aca="false">SUM(P3393:R3393)</f>
        <v>52.268053917184</v>
      </c>
    </row>
    <row r="3394" customFormat="false" ht="15" hidden="false" customHeight="false" outlineLevel="0" collapsed="false">
      <c r="A3394" s="4" t="s">
        <v>506</v>
      </c>
      <c r="B3394" s="36" t="s">
        <v>504</v>
      </c>
      <c r="C3394" s="48" t="n">
        <f aca="false">C3391*Assumptions!$E$30</f>
        <v>3</v>
      </c>
      <c r="D3394" s="48" t="n">
        <f aca="false">D3391*Assumptions!$E$30</f>
        <v>4.5</v>
      </c>
      <c r="E3394" s="48" t="n">
        <f aca="false">E3391*Assumptions!$E$30</f>
        <v>6</v>
      </c>
      <c r="F3394" s="48" t="n">
        <f aca="false">F3391*Assumptions!$E$30</f>
        <v>7.5</v>
      </c>
      <c r="G3394" s="48" t="n">
        <f aca="false">G3391*Assumptions!$E$30</f>
        <v>9</v>
      </c>
      <c r="H3394" s="48" t="n">
        <f aca="false">H3391*Assumptions!$E$30</f>
        <v>10.5</v>
      </c>
      <c r="I3394" s="48" t="n">
        <f aca="false">I3391*Assumptions!$E$30</f>
        <v>12</v>
      </c>
      <c r="J3394" s="48" t="n">
        <f aca="false">J3391*Assumptions!$E$30</f>
        <v>13.5</v>
      </c>
      <c r="K3394" s="48" t="n">
        <f aca="false">K3391*Assumptions!$E$30</f>
        <v>15</v>
      </c>
      <c r="L3394" s="48" t="n">
        <f aca="false">L3391*Assumptions!$E$30</f>
        <v>15</v>
      </c>
      <c r="M3394" s="48" t="n">
        <f aca="false">M3391*Assumptions!$E$30</f>
        <v>15</v>
      </c>
      <c r="N3394" s="48" t="n">
        <f aca="false">N3391*Assumptions!$E$30</f>
        <v>15</v>
      </c>
      <c r="P3394" s="49" t="n">
        <f aca="false">SUM(C3394:F3394)</f>
        <v>21</v>
      </c>
      <c r="Q3394" s="49" t="n">
        <f aca="false">SUM(G3394:J3394)</f>
        <v>45</v>
      </c>
      <c r="R3394" s="49" t="n">
        <f aca="false">SUM(K3394:N3394)</f>
        <v>60</v>
      </c>
      <c r="S3394" s="50" t="n">
        <f aca="false">SUM(P3394:R3394)</f>
        <v>126</v>
      </c>
    </row>
    <row r="3395" customFormat="false" ht="15" hidden="false" customHeight="false" outlineLevel="0" collapsed="false">
      <c r="A3395" s="9" t="s">
        <v>507</v>
      </c>
      <c r="B3395" s="36" t="s">
        <v>504</v>
      </c>
      <c r="C3395" s="49" t="n">
        <f aca="false">C3392+C3393+C3394</f>
        <v>5.649061072896</v>
      </c>
      <c r="D3395" s="49" t="n">
        <f aca="false">D3392+D3393+D3394</f>
        <v>9.55301285725765</v>
      </c>
      <c r="E3395" s="49" t="n">
        <f aca="false">E3392+E3393+E3394</f>
        <v>10.8249129623365</v>
      </c>
      <c r="F3395" s="49" t="n">
        <f aca="false">F3392+F3393+F3394</f>
        <v>12.1126420917623</v>
      </c>
      <c r="G3395" s="49" t="n">
        <f aca="false">G3392+G3393+G3394</f>
        <v>15.285777250816</v>
      </c>
      <c r="H3395" s="49" t="n">
        <f aca="false">H3392+H3393+H3394</f>
        <v>18.2995330306642</v>
      </c>
      <c r="I3395" s="49" t="n">
        <f aca="false">I3392+I3393+I3394</f>
        <v>25.6324386699981</v>
      </c>
      <c r="J3395" s="49" t="n">
        <f aca="false">J3392+J3393+J3394</f>
        <v>32.4179606715151</v>
      </c>
      <c r="K3395" s="49" t="n">
        <f aca="false">K3392+K3393+K3394</f>
        <v>33.0994612859475</v>
      </c>
      <c r="L3395" s="49" t="n">
        <f aca="false">L3392+L3393+L3394</f>
        <v>32.3377617805661</v>
      </c>
      <c r="M3395" s="49" t="n">
        <f aca="false">M3392+M3393+M3394</f>
        <v>31.6289205196826</v>
      </c>
      <c r="N3395" s="49" t="n">
        <f aca="false">N3392+N3393+N3394</f>
        <v>30.9692693979723</v>
      </c>
      <c r="P3395" s="49" t="n">
        <f aca="false">SUM(C3395:F3395)</f>
        <v>38.1396289842524</v>
      </c>
      <c r="Q3395" s="49" t="n">
        <f aca="false">SUM(G3395:J3395)</f>
        <v>91.6357096229935</v>
      </c>
      <c r="R3395" s="49" t="n">
        <f aca="false">SUM(K3395:N3395)</f>
        <v>128.035412984169</v>
      </c>
      <c r="S3395" s="50" t="n">
        <f aca="false">SUM(P3395:R3395)</f>
        <v>257.810751591415</v>
      </c>
    </row>
    <row r="3396" customFormat="false" ht="15" hidden="false" customHeight="false" outlineLevel="0" collapsed="false">
      <c r="A3396" s="4" t="s">
        <v>508</v>
      </c>
      <c r="B3396" s="36" t="s">
        <v>509</v>
      </c>
      <c r="C3396" s="48" t="n">
        <f aca="false">C3378</f>
        <v>421.51972352</v>
      </c>
      <c r="D3396" s="48" t="n">
        <f aca="false">D3378</f>
        <v>843.03944704</v>
      </c>
      <c r="E3396" s="48" t="n">
        <f aca="false">E3378</f>
        <v>843.03944704</v>
      </c>
      <c r="F3396" s="48" t="n">
        <f aca="false">F3378</f>
        <v>843.03944704</v>
      </c>
      <c r="G3396" s="48" t="n">
        <f aca="false">G3378</f>
        <v>1149.32798176</v>
      </c>
      <c r="H3396" s="48" t="n">
        <f aca="false">H3378</f>
        <v>1455.61651648</v>
      </c>
      <c r="I3396" s="48" t="n">
        <f aca="false">I3378</f>
        <v>2486.00303616</v>
      </c>
      <c r="J3396" s="48" t="n">
        <f aca="false">J3378</f>
        <v>3516.38955584</v>
      </c>
      <c r="K3396" s="48" t="n">
        <f aca="false">K3378</f>
        <v>3516.38955584</v>
      </c>
      <c r="L3396" s="48" t="n">
        <f aca="false">L3378</f>
        <v>3516.38955584</v>
      </c>
      <c r="M3396" s="48" t="n">
        <f aca="false">M3378</f>
        <v>3516.38955584</v>
      </c>
      <c r="N3396" s="48" t="n">
        <f aca="false">N3378</f>
        <v>3516.38955584</v>
      </c>
      <c r="P3396" s="49"/>
      <c r="Q3396" s="49"/>
      <c r="R3396" s="49"/>
      <c r="S3396" s="50"/>
    </row>
    <row r="3397" customFormat="false" ht="15" hidden="false" customHeight="false" outlineLevel="0" collapsed="false">
      <c r="A3397" s="4" t="s">
        <v>510</v>
      </c>
      <c r="B3397" s="36" t="s">
        <v>509</v>
      </c>
      <c r="C3397" s="48" t="n">
        <f aca="false">C3379*Assumptions!$E$18*Assumptions!$E$33</f>
        <v>211.19616</v>
      </c>
      <c r="D3397" s="48" t="n">
        <f aca="false">D3379*Assumptions!$E$18*Assumptions!$E$33</f>
        <v>422.39232</v>
      </c>
      <c r="E3397" s="48" t="n">
        <f aca="false">E3379*Assumptions!$E$18*Assumptions!$E$33</f>
        <v>422.39232</v>
      </c>
      <c r="F3397" s="48" t="n">
        <f aca="false">F3379*Assumptions!$E$18*Assumptions!$E$33</f>
        <v>422.39232</v>
      </c>
      <c r="G3397" s="48" t="n">
        <f aca="false">G3379*Assumptions!$E$18*Assumptions!$E$33</f>
        <v>564.49344</v>
      </c>
      <c r="H3397" s="48" t="n">
        <f aca="false">H3379*Assumptions!$E$18*Assumptions!$E$33</f>
        <v>706.59456</v>
      </c>
      <c r="I3397" s="48" t="n">
        <f aca="false">I3379*Assumptions!$E$18*Assumptions!$E$33</f>
        <v>1135.07072</v>
      </c>
      <c r="J3397" s="48" t="n">
        <f aca="false">J3379*Assumptions!$E$18*Assumptions!$E$33</f>
        <v>1563.54688</v>
      </c>
      <c r="K3397" s="48" t="n">
        <f aca="false">K3379*Assumptions!$E$18*Assumptions!$E$33</f>
        <v>1563.54688</v>
      </c>
      <c r="L3397" s="48" t="n">
        <f aca="false">L3379*Assumptions!$E$18*Assumptions!$E$33</f>
        <v>1563.54688</v>
      </c>
      <c r="M3397" s="48" t="n">
        <f aca="false">M3379*Assumptions!$E$18*Assumptions!$E$33</f>
        <v>1563.54688</v>
      </c>
      <c r="N3397" s="48" t="n">
        <f aca="false">N3379*Assumptions!$E$18*Assumptions!$E$33</f>
        <v>1563.54688</v>
      </c>
      <c r="P3397" s="49"/>
      <c r="Q3397" s="49"/>
      <c r="R3397" s="49"/>
      <c r="S3397" s="50"/>
    </row>
    <row r="3398" customFormat="false" ht="15" hidden="false" customHeight="false" outlineLevel="0" collapsed="false">
      <c r="A3398" s="4" t="s">
        <v>511</v>
      </c>
      <c r="B3398" s="36" t="s">
        <v>509</v>
      </c>
      <c r="C3398" s="48" t="n">
        <f aca="false">C3380*Assumptions!$E$19*Assumptions!$E$34</f>
        <v>34.677888</v>
      </c>
      <c r="D3398" s="48" t="n">
        <f aca="false">D3380*Assumptions!$E$19*Assumptions!$E$34</f>
        <v>69.355776</v>
      </c>
      <c r="E3398" s="48" t="n">
        <f aca="false">E3380*Assumptions!$E$19*Assumptions!$E$34</f>
        <v>69.355776</v>
      </c>
      <c r="F3398" s="48" t="n">
        <f aca="false">F3380*Assumptions!$E$19*Assumptions!$E$34</f>
        <v>69.355776</v>
      </c>
      <c r="G3398" s="48" t="n">
        <f aca="false">G3380*Assumptions!$E$19*Assumptions!$E$34</f>
        <v>86.69472</v>
      </c>
      <c r="H3398" s="48" t="n">
        <f aca="false">H3380*Assumptions!$E$19*Assumptions!$E$34</f>
        <v>104.033664</v>
      </c>
      <c r="I3398" s="48" t="n">
        <f aca="false">I3380*Assumptions!$E$19*Assumptions!$E$34</f>
        <v>159.7008</v>
      </c>
      <c r="J3398" s="48" t="n">
        <f aca="false">J3380*Assumptions!$E$19*Assumptions!$E$34</f>
        <v>215.367936</v>
      </c>
      <c r="K3398" s="48" t="n">
        <f aca="false">K3380*Assumptions!$E$19*Assumptions!$E$34</f>
        <v>215.367936</v>
      </c>
      <c r="L3398" s="48" t="n">
        <f aca="false">L3380*Assumptions!$E$19*Assumptions!$E$34</f>
        <v>215.367936</v>
      </c>
      <c r="M3398" s="48" t="n">
        <f aca="false">M3380*Assumptions!$E$19*Assumptions!$E$34</f>
        <v>215.367936</v>
      </c>
      <c r="N3398" s="48" t="n">
        <f aca="false">N3380*Assumptions!$E$19*Assumptions!$E$34</f>
        <v>215.367936</v>
      </c>
      <c r="P3398" s="49"/>
      <c r="Q3398" s="49"/>
      <c r="R3398" s="49"/>
      <c r="S3398" s="50"/>
    </row>
    <row r="3399" customFormat="false" ht="15" hidden="false" customHeight="false" outlineLevel="0" collapsed="false">
      <c r="A3399" s="4" t="s">
        <v>512</v>
      </c>
      <c r="B3399" s="36" t="s">
        <v>77</v>
      </c>
      <c r="C3399" s="51" t="n">
        <f aca="false">IFERROR(C3396/(C3396+C3397+C3398),0)</f>
        <v>0.631590736245533</v>
      </c>
      <c r="D3399" s="51" t="n">
        <f aca="false">IFERROR(D3396/(D3396+D3397+D3398),0)</f>
        <v>0.631590736245533</v>
      </c>
      <c r="E3399" s="51" t="n">
        <f aca="false">IFERROR(E3396/(E3396+E3397+E3398),0)</f>
        <v>0.631590736245533</v>
      </c>
      <c r="F3399" s="51" t="n">
        <f aca="false">IFERROR(F3396/(F3396+F3397+F3398),0)</f>
        <v>0.631590736245533</v>
      </c>
      <c r="G3399" s="51" t="n">
        <f aca="false">IFERROR(G3396/(G3396+G3397+G3398),0)</f>
        <v>0.638332506498128</v>
      </c>
      <c r="H3399" s="51" t="n">
        <f aca="false">IFERROR(H3396/(H3396+H3397+H3398),0)</f>
        <v>0.642303318118984</v>
      </c>
      <c r="I3399" s="51" t="n">
        <f aca="false">IFERROR(I3396/(I3396+I3397+I3398),0)</f>
        <v>0.657538025405288</v>
      </c>
      <c r="J3399" s="51" t="n">
        <f aca="false">IFERROR(J3396/(J3396+J3397+J3398),0)</f>
        <v>0.664058061428891</v>
      </c>
      <c r="K3399" s="51" t="n">
        <f aca="false">IFERROR(K3396/(K3396+K3397+K3398),0)</f>
        <v>0.664058061428891</v>
      </c>
      <c r="L3399" s="51" t="n">
        <f aca="false">IFERROR(L3396/(L3396+L3397+L3398),0)</f>
        <v>0.664058061428891</v>
      </c>
      <c r="M3399" s="51" t="n">
        <f aca="false">IFERROR(M3396/(M3396+M3397+M3398),0)</f>
        <v>0.664058061428891</v>
      </c>
      <c r="N3399" s="51" t="n">
        <f aca="false">IFERROR(N3396/(N3396+N3397+N3398),0)</f>
        <v>0.664058061428891</v>
      </c>
      <c r="P3399" s="52"/>
      <c r="Q3399" s="52"/>
      <c r="R3399" s="52"/>
      <c r="S3399" s="53"/>
    </row>
    <row r="3400" customFormat="false" ht="15" hidden="false" customHeight="false" outlineLevel="0" collapsed="false">
      <c r="A3400" s="4" t="s">
        <v>513</v>
      </c>
      <c r="B3400" s="36" t="s">
        <v>77</v>
      </c>
      <c r="C3400" s="51" t="n">
        <f aca="false">IFERROR(C3397/(C3396+C3397+C3398),0)</f>
        <v>0.316449102482628</v>
      </c>
      <c r="D3400" s="51" t="n">
        <f aca="false">IFERROR(D3397/(D3396+D3397+D3398),0)</f>
        <v>0.316449102482628</v>
      </c>
      <c r="E3400" s="51" t="n">
        <f aca="false">IFERROR(E3397/(E3396+E3397+E3398),0)</f>
        <v>0.316449102482628</v>
      </c>
      <c r="F3400" s="51" t="n">
        <f aca="false">IFERROR(F3397/(F3396+F3397+F3398),0)</f>
        <v>0.316449102482628</v>
      </c>
      <c r="G3400" s="51" t="n">
        <f aca="false">IFERROR(G3397/(G3396+G3397+G3398),0)</f>
        <v>0.313517566939561</v>
      </c>
      <c r="H3400" s="51" t="n">
        <f aca="false">IFERROR(H3397/(H3396+H3397+H3398),0)</f>
        <v>0.311790932099567</v>
      </c>
      <c r="I3400" s="51" t="n">
        <f aca="false">IFERROR(I3397/(I3396+I3397+I3398),0)</f>
        <v>0.300221741111391</v>
      </c>
      <c r="J3400" s="51" t="n">
        <f aca="false">IFERROR(J3397/(J3396+J3397+J3398),0)</f>
        <v>0.295270445324128</v>
      </c>
      <c r="K3400" s="51" t="n">
        <f aca="false">IFERROR(K3397/(K3396+K3397+K3398),0)</f>
        <v>0.295270445324128</v>
      </c>
      <c r="L3400" s="51" t="n">
        <f aca="false">IFERROR(L3397/(L3396+L3397+L3398),0)</f>
        <v>0.295270445324128</v>
      </c>
      <c r="M3400" s="51" t="n">
        <f aca="false">IFERROR(M3397/(M3396+M3397+M3398),0)</f>
        <v>0.295270445324128</v>
      </c>
      <c r="N3400" s="51" t="n">
        <f aca="false">IFERROR(N3397/(N3396+N3397+N3398),0)</f>
        <v>0.295270445324128</v>
      </c>
      <c r="P3400" s="52"/>
      <c r="Q3400" s="52"/>
      <c r="R3400" s="52"/>
      <c r="S3400" s="53"/>
    </row>
    <row r="3401" customFormat="false" ht="15" hidden="false" customHeight="false" outlineLevel="0" collapsed="false">
      <c r="A3401" s="4" t="s">
        <v>514</v>
      </c>
      <c r="B3401" s="36" t="s">
        <v>77</v>
      </c>
      <c r="C3401" s="51" t="n">
        <f aca="false">IFERROR(C3398/(C3396+C3397+C3398),0)</f>
        <v>0.0519601612718389</v>
      </c>
      <c r="D3401" s="51" t="n">
        <f aca="false">IFERROR(D3398/(D3396+D3397+D3398),0)</f>
        <v>0.0519601612718389</v>
      </c>
      <c r="E3401" s="51" t="n">
        <f aca="false">IFERROR(E3398/(E3396+E3397+E3398),0)</f>
        <v>0.0519601612718389</v>
      </c>
      <c r="F3401" s="51" t="n">
        <f aca="false">IFERROR(F3398/(F3396+F3397+F3398),0)</f>
        <v>0.0519601612718389</v>
      </c>
      <c r="G3401" s="51" t="n">
        <f aca="false">IFERROR(G3398/(G3396+G3397+G3398),0)</f>
        <v>0.0481499265623113</v>
      </c>
      <c r="H3401" s="51" t="n">
        <f aca="false">IFERROR(H3398/(H3396+H3397+H3398),0)</f>
        <v>0.0459057497814491</v>
      </c>
      <c r="I3401" s="51" t="n">
        <f aca="false">IFERROR(I3398/(I3396+I3397+I3398),0)</f>
        <v>0.0422402334833216</v>
      </c>
      <c r="J3401" s="51" t="n">
        <f aca="false">IFERROR(J3398/(J3396+J3397+J3398),0)</f>
        <v>0.0406714932469811</v>
      </c>
      <c r="K3401" s="51" t="n">
        <f aca="false">IFERROR(K3398/(K3396+K3397+K3398),0)</f>
        <v>0.0406714932469811</v>
      </c>
      <c r="L3401" s="51" t="n">
        <f aca="false">IFERROR(L3398/(L3396+L3397+L3398),0)</f>
        <v>0.0406714932469811</v>
      </c>
      <c r="M3401" s="51" t="n">
        <f aca="false">IFERROR(M3398/(M3396+M3397+M3398),0)</f>
        <v>0.0406714932469811</v>
      </c>
      <c r="N3401" s="51" t="n">
        <f aca="false">IFERROR(N3398/(N3396+N3397+N3398),0)</f>
        <v>0.0406714932469811</v>
      </c>
      <c r="P3401" s="52"/>
      <c r="Q3401" s="52"/>
      <c r="R3401" s="52"/>
      <c r="S3401" s="53"/>
    </row>
    <row r="3402" customFormat="false" ht="15" hidden="false" customHeight="false" outlineLevel="0" collapsed="false">
      <c r="A3402" s="4" t="s">
        <v>515</v>
      </c>
      <c r="B3402" s="36" t="s">
        <v>516</v>
      </c>
      <c r="C3402" s="48" t="n">
        <f aca="false">IF(C3370-Assumptions!$E$35&lt;1,0,INDEX($C$3395:$N$3395,1,C3370-Assumptions!$E$35)*INDEX($C$3399:$N$3399,1,C3370-Assumptions!$E$35)*Assumptions!$E$32)</f>
        <v>0</v>
      </c>
      <c r="D3402" s="48" t="n">
        <f aca="false">IF(D3370-Assumptions!$E$35&lt;1,0,INDEX($C$3395:$N$3395,1,D3370-Assumptions!$E$35)*INDEX($C$3399:$N$3399,1,D3370-Assumptions!$E$35)*Assumptions!$E$32)</f>
        <v>0.749257874846537</v>
      </c>
      <c r="E3402" s="48" t="n">
        <f aca="false">IF(E3370-Assumptions!$E$35&lt;1,0,INDEX($C$3395:$N$3395,1,E3370-Assumptions!$E$35)*INDEX($C$3399:$N$3399,1,E3370-Assumptions!$E$35)*Assumptions!$E$32)</f>
        <v>1.26705482901447</v>
      </c>
      <c r="F3402" s="48" t="n">
        <f aca="false">IF(F3370-Assumptions!$E$35&lt;1,0,INDEX($C$3395:$N$3395,1,F3370-Assumptions!$E$35)*INDEX($C$3399:$N$3399,1,F3370-Assumptions!$E$35)*Assumptions!$E$32)</f>
        <v>1.43575209701195</v>
      </c>
      <c r="G3402" s="48" t="n">
        <f aca="false">IF(G3370-Assumptions!$E$35&lt;1,0,INDEX($C$3395:$N$3395,1,G3370-Assumptions!$E$35)*INDEX($C$3399:$N$3399,1,G3370-Assumptions!$E$35)*Assumptions!$E$32)</f>
        <v>1.6065488326891</v>
      </c>
      <c r="H3402" s="48" t="n">
        <f aca="false">IF(H3370-Assumptions!$E$35&lt;1,0,INDEX($C$3395:$N$3395,1,H3370-Assumptions!$E$35)*INDEX($C$3399:$N$3399,1,H3370-Assumptions!$E$35)*Assumptions!$E$32)</f>
        <v>2.04905578631994</v>
      </c>
      <c r="I3402" s="48" t="n">
        <f aca="false">IF(I3370-Assumptions!$E$35&lt;1,0,INDEX($C$3395:$N$3395,1,I3370-Assumptions!$E$35)*INDEX($C$3399:$N$3399,1,I3370-Assumptions!$E$35)*Assumptions!$E$32)</f>
        <v>2.46830866498095</v>
      </c>
      <c r="J3402" s="48" t="n">
        <f aca="false">IF(J3370-Assumptions!$E$35&lt;1,0,INDEX($C$3395:$N$3395,1,J3370-Assumptions!$E$35)*INDEX($C$3399:$N$3399,1,J3370-Assumptions!$E$35)*Assumptions!$E$32)</f>
        <v>3.53940365297247</v>
      </c>
      <c r="K3402" s="48" t="n">
        <f aca="false">IF(K3370-Assumptions!$E$35&lt;1,0,INDEX($C$3395:$N$3395,1,K3370-Assumptions!$E$35)*INDEX($C$3399:$N$3399,1,K3370-Assumptions!$E$35)*Assumptions!$E$32)</f>
        <v>4.52075570499091</v>
      </c>
      <c r="L3402" s="48" t="n">
        <f aca="false">IF(L3370-Assumptions!$E$35&lt;1,0,INDEX($C$3395:$N$3395,1,L3370-Assumptions!$E$35)*INDEX($C$3399:$N$3399,1,L3370-Assumptions!$E$35)*Assumptions!$E$32)</f>
        <v>4.61579246013625</v>
      </c>
      <c r="M3402" s="48" t="n">
        <f aca="false">IF(M3370-Assumptions!$E$35&lt;1,0,INDEX($C$3395:$N$3395,1,M3370-Assumptions!$E$35)*INDEX($C$3399:$N$3399,1,M3370-Assumptions!$E$35)*Assumptions!$E$32)</f>
        <v>4.50957179377993</v>
      </c>
      <c r="N3402" s="48" t="n">
        <f aca="false">IF(N3370-Assumptions!$E$35&lt;1,0,INDEX($C$3395:$N$3395,1,N3370-Assumptions!$E$35)*INDEX($C$3399:$N$3399,1,N3370-Assumptions!$E$35)*Assumptions!$E$32)</f>
        <v>4.41072232553167</v>
      </c>
      <c r="P3402" s="49" t="n">
        <f aca="false">SUM(C3402:F3402)</f>
        <v>3.45206480087295</v>
      </c>
      <c r="Q3402" s="49" t="n">
        <f aca="false">SUM(G3402:J3402)</f>
        <v>9.66331693696247</v>
      </c>
      <c r="R3402" s="49" t="n">
        <f aca="false">SUM(K3402:N3402)</f>
        <v>18.0568422844388</v>
      </c>
      <c r="S3402" s="50" t="n">
        <f aca="false">SUM(P3402:R3402)</f>
        <v>31.1722240222742</v>
      </c>
    </row>
    <row r="3403" customFormat="false" ht="15" hidden="false" customHeight="false" outlineLevel="0" collapsed="false">
      <c r="A3403" s="4" t="s">
        <v>517</v>
      </c>
      <c r="B3403" s="36" t="s">
        <v>516</v>
      </c>
      <c r="C3403" s="48" t="n">
        <f aca="false">IF(C3370-Assumptions!$E$35&lt;1,0,INDEX($C$3395:$N$3395,1,C3370-Assumptions!$E$35)*INDEX($C$3400:$N$3400,1,C3370-Assumptions!$E$35)*Assumptions!$E$32)</f>
        <v>0</v>
      </c>
      <c r="D3403" s="48" t="n">
        <f aca="false">IF(D3370-Assumptions!$E$35&lt;1,0,INDEX($C$3395:$N$3395,1,D3370-Assumptions!$E$35)*INDEX($C$3400:$N$3400,1,D3370-Assumptions!$E$35)*Assumptions!$E$32)</f>
        <v>0.375404464341373</v>
      </c>
      <c r="E3403" s="48" t="n">
        <f aca="false">IF(E3370-Assumptions!$E$35&lt;1,0,INDEX($C$3395:$N$3395,1,E3370-Assumptions!$E$35)*INDEX($C$3400:$N$3400,1,E3370-Assumptions!$E$35)*Assumptions!$E$32)</f>
        <v>0.63483889238368</v>
      </c>
      <c r="F3403" s="48" t="n">
        <f aca="false">IF(F3370-Assumptions!$E$35&lt;1,0,INDEX($C$3395:$N$3395,1,F3370-Assumptions!$E$35)*INDEX($C$3400:$N$3400,1,F3370-Assumptions!$E$35)*Assumptions!$E$32)</f>
        <v>0.719362138190631</v>
      </c>
      <c r="G3403" s="48" t="n">
        <f aca="false">IF(G3370-Assumptions!$E$35&lt;1,0,INDEX($C$3395:$N$3395,1,G3370-Assumptions!$E$35)*INDEX($C$3400:$N$3400,1,G3370-Assumptions!$E$35)*Assumptions!$E$32)</f>
        <v>0.804937290912608</v>
      </c>
      <c r="H3403" s="48" t="n">
        <f aca="false">IF(H3370-Assumptions!$E$35&lt;1,0,INDEX($C$3395:$N$3395,1,H3370-Assumptions!$E$35)*INDEX($C$3400:$N$3400,1,H3370-Assumptions!$E$35)*Assumptions!$E$32)</f>
        <v>1.00639553541574</v>
      </c>
      <c r="I3403" s="48" t="n">
        <f aca="false">IF(I3370-Assumptions!$E$35&lt;1,0,INDEX($C$3395:$N$3395,1,I3370-Assumptions!$E$35)*INDEX($C$3400:$N$3400,1,I3370-Assumptions!$E$35)*Assumptions!$E$32)</f>
        <v>1.1981819767297</v>
      </c>
      <c r="J3403" s="48" t="n">
        <f aca="false">IF(J3370-Assumptions!$E$35&lt;1,0,INDEX($C$3395:$N$3395,1,J3370-Assumptions!$E$35)*INDEX($C$3400:$N$3400,1,J3370-Assumptions!$E$35)*Assumptions!$E$32)</f>
        <v>1.61603722695193</v>
      </c>
      <c r="K3403" s="48" t="n">
        <f aca="false">IF(K3370-Assumptions!$E$35&lt;1,0,INDEX($C$3395:$N$3395,1,K3370-Assumptions!$E$35)*INDEX($C$3400:$N$3400,1,K3370-Assumptions!$E$35)*Assumptions!$E$32)</f>
        <v>2.01013379363545</v>
      </c>
      <c r="L3403" s="48" t="n">
        <f aca="false">IF(L3370-Assumptions!$E$35&lt;1,0,INDEX($C$3395:$N$3395,1,L3370-Assumptions!$E$35)*INDEX($C$3400:$N$3400,1,L3370-Assumptions!$E$35)*Assumptions!$E$32)</f>
        <v>2.05239146151699</v>
      </c>
      <c r="M3403" s="48" t="n">
        <f aca="false">IF(M3370-Assumptions!$E$35&lt;1,0,INDEX($C$3395:$N$3395,1,M3370-Assumptions!$E$35)*INDEX($C$3400:$N$3400,1,M3370-Assumptions!$E$35)*Assumptions!$E$32)</f>
        <v>2.005160917564</v>
      </c>
      <c r="N3403" s="48" t="n">
        <f aca="false">IF(N3370-Assumptions!$E$35&lt;1,0,INDEX($C$3395:$N$3395,1,N3370-Assumptions!$E$35)*INDEX($C$3400:$N$3400,1,N3370-Assumptions!$E$35)*Assumptions!$E$32)</f>
        <v>1.96120794386331</v>
      </c>
      <c r="P3403" s="49" t="n">
        <f aca="false">SUM(C3403:F3403)</f>
        <v>1.72960549491568</v>
      </c>
      <c r="Q3403" s="49" t="n">
        <f aca="false">SUM(G3403:J3403)</f>
        <v>4.62555203000998</v>
      </c>
      <c r="R3403" s="49" t="n">
        <f aca="false">SUM(K3403:N3403)</f>
        <v>8.02889411657976</v>
      </c>
      <c r="S3403" s="50" t="n">
        <f aca="false">SUM(P3403:R3403)</f>
        <v>14.3840516415054</v>
      </c>
    </row>
    <row r="3404" customFormat="false" ht="15" hidden="false" customHeight="false" outlineLevel="0" collapsed="false">
      <c r="A3404" s="4" t="s">
        <v>518</v>
      </c>
      <c r="B3404" s="36" t="s">
        <v>516</v>
      </c>
      <c r="C3404" s="48" t="n">
        <f aca="false">IF(C3370-Assumptions!$E$36&lt;1,0,INDEX($C$3395:$N$3395,1,C3370-Assumptions!$E$36)*INDEX($C$3401:$N$3401,1,C3370-Assumptions!$E$36)*Assumptions!$E$32)</f>
        <v>0</v>
      </c>
      <c r="D3404" s="48" t="n">
        <f aca="false">IF(D3370-Assumptions!$E$36&lt;1,0,INDEX($C$3395:$N$3395,1,D3370-Assumptions!$E$36)*INDEX($C$3401:$N$3401,1,D3370-Assumptions!$E$36)*Assumptions!$E$32)</f>
        <v>0</v>
      </c>
      <c r="E3404" s="48" t="n">
        <f aca="false">IF(E3370-Assumptions!$E$36&lt;1,0,INDEX($C$3395:$N$3395,1,E3370-Assumptions!$E$36)*INDEX($C$3401:$N$3401,1,E3370-Assumptions!$E$36)*Assumptions!$E$32)</f>
        <v>0.0616404861202501</v>
      </c>
      <c r="F3404" s="48" t="n">
        <f aca="false">IF(F3370-Assumptions!$E$36&lt;1,0,INDEX($C$3395:$N$3395,1,F3370-Assumptions!$E$36)*INDEX($C$3401:$N$3401,1,F3370-Assumptions!$E$36)*Assumptions!$E$32)</f>
        <v>0.104238978625962</v>
      </c>
      <c r="G3404" s="48" t="n">
        <f aca="false">IF(G3370-Assumptions!$E$36&lt;1,0,INDEX($C$3395:$N$3395,1,G3370-Assumptions!$E$36)*INDEX($C$3401:$N$3401,1,G3370-Assumptions!$E$36)*Assumptions!$E$32)</f>
        <v>0.118117486888091</v>
      </c>
      <c r="H3404" s="48" t="n">
        <f aca="false">IF(H3370-Assumptions!$E$36&lt;1,0,INDEX($C$3395:$N$3395,1,H3370-Assumptions!$E$36)*INDEX($C$3401:$N$3401,1,H3370-Assumptions!$E$36)*Assumptions!$E$32)</f>
        <v>0.132168715668366</v>
      </c>
      <c r="I3404" s="48" t="n">
        <f aca="false">IF(I3370-Assumptions!$E$36&lt;1,0,INDEX($C$3395:$N$3395,1,I3370-Assumptions!$E$36)*INDEX($C$3401:$N$3401,1,I3370-Assumptions!$E$36)*Assumptions!$E$32)</f>
        <v>0.154561900935674</v>
      </c>
      <c r="J3404" s="48" t="n">
        <f aca="false">IF(J3370-Assumptions!$E$36&lt;1,0,INDEX($C$3395:$N$3395,1,J3370-Assumptions!$E$36)*INDEX($C$3401:$N$3401,1,J3370-Assumptions!$E$36)*Assumptions!$E$32)</f>
        <v>0.176411294728837</v>
      </c>
      <c r="K3404" s="48" t="n">
        <f aca="false">IF(K3370-Assumptions!$E$36&lt;1,0,INDEX($C$3395:$N$3395,1,K3370-Assumptions!$E$36)*INDEX($C$3401:$N$3401,1,K3370-Assumptions!$E$36)*Assumptions!$E$32)</f>
        <v>0.227371240775205</v>
      </c>
      <c r="L3404" s="48" t="n">
        <f aca="false">IF(L3370-Assumptions!$E$36&lt;1,0,INDEX($C$3395:$N$3395,1,L3370-Assumptions!$E$36)*INDEX($C$3401:$N$3401,1,L3370-Assumptions!$E$36)*Assumptions!$E$32)</f>
        <v>0.276882242391809</v>
      </c>
      <c r="M3404" s="48" t="n">
        <f aca="false">IF(M3370-Assumptions!$E$36&lt;1,0,INDEX($C$3395:$N$3395,1,M3370-Assumptions!$E$36)*INDEX($C$3401:$N$3401,1,M3370-Assumptions!$E$36)*Assumptions!$E$32)</f>
        <v>0.282702948395726</v>
      </c>
      <c r="N3404" s="48" t="n">
        <f aca="false">IF(N3370-Assumptions!$E$36&lt;1,0,INDEX($C$3395:$N$3395,1,N3370-Assumptions!$E$36)*INDEX($C$3401:$N$3401,1,N3370-Assumptions!$E$36)*Assumptions!$E$32)</f>
        <v>0.276197262574964</v>
      </c>
      <c r="P3404" s="49" t="n">
        <f aca="false">SUM(C3404:F3404)</f>
        <v>0.165879464746212</v>
      </c>
      <c r="Q3404" s="49" t="n">
        <f aca="false">SUM(G3404:J3404)</f>
        <v>0.581259398220969</v>
      </c>
      <c r="R3404" s="49" t="n">
        <f aca="false">SUM(K3404:N3404)</f>
        <v>1.0631536941377</v>
      </c>
      <c r="S3404" s="50" t="n">
        <f aca="false">SUM(P3404:R3404)</f>
        <v>1.81029255710489</v>
      </c>
    </row>
    <row r="3405" customFormat="false" ht="15" hidden="false" customHeight="false" outlineLevel="0" collapsed="false">
      <c r="A3405" s="4" t="s">
        <v>519</v>
      </c>
      <c r="B3405" s="36" t="s">
        <v>77</v>
      </c>
      <c r="C3405" s="51" t="n">
        <f aca="false">IF(C3370-Assumptions!$E$35&lt;1,0,IFERROR(INDEX($C$3394:$N$3394,1,C3370-Assumptions!$E$35)/INDEX($C$3395:$N$3395,1,C3370-Assumptions!$E$35),0))</f>
        <v>0</v>
      </c>
      <c r="D3405" s="51" t="n">
        <f aca="false">IF(D3370-Assumptions!$E$35&lt;1,0,IFERROR(INDEX($C$3394:$N$3394,1,D3370-Assumptions!$E$35)/INDEX($C$3395:$N$3395,1,D3370-Assumptions!$E$35),0))</f>
        <v>0.53106170411113</v>
      </c>
      <c r="E3405" s="51" t="n">
        <f aca="false">IF(E3370-Assumptions!$E$35&lt;1,0,IFERROR(INDEX($C$3394:$N$3394,1,E3370-Assumptions!$E$35)/INDEX($C$3395:$N$3395,1,E3370-Assumptions!$E$35),0))</f>
        <v>0.471055578720513</v>
      </c>
      <c r="F3405" s="51" t="n">
        <f aca="false">IF(F3370-Assumptions!$E$35&lt;1,0,IFERROR(INDEX($C$3394:$N$3394,1,F3370-Assumptions!$E$35)/INDEX($C$3395:$N$3395,1,F3370-Assumptions!$E$35),0))</f>
        <v>0.554276973946672</v>
      </c>
      <c r="G3405" s="51" t="n">
        <f aca="false">IF(G3370-Assumptions!$E$35&lt;1,0,IFERROR(INDEX($C$3394:$N$3394,1,G3370-Assumptions!$E$35)/INDEX($C$3395:$N$3395,1,G3370-Assumptions!$E$35),0))</f>
        <v>0.619187782746484</v>
      </c>
      <c r="H3405" s="51" t="n">
        <f aca="false">IF(H3370-Assumptions!$E$35&lt;1,0,IFERROR(INDEX($C$3394:$N$3394,1,H3370-Assumptions!$E$35)/INDEX($C$3395:$N$3395,1,H3370-Assumptions!$E$35),0))</f>
        <v>0.588782621408378</v>
      </c>
      <c r="I3405" s="51" t="n">
        <f aca="false">IF(I3370-Assumptions!$E$35&lt;1,0,IFERROR(INDEX($C$3394:$N$3394,1,I3370-Assumptions!$E$35)/INDEX($C$3395:$N$3395,1,I3370-Assumptions!$E$35),0))</f>
        <v>0.573785133336754</v>
      </c>
      <c r="J3405" s="51" t="n">
        <f aca="false">IF(J3370-Assumptions!$E$35&lt;1,0,IFERROR(INDEX($C$3394:$N$3394,1,J3370-Assumptions!$E$35)/INDEX($C$3395:$N$3395,1,J3370-Assumptions!$E$35),0))</f>
        <v>0.468156781900178</v>
      </c>
      <c r="K3405" s="51" t="n">
        <f aca="false">IF(K3370-Assumptions!$E$35&lt;1,0,IFERROR(INDEX($C$3394:$N$3394,1,K3370-Assumptions!$E$35)/INDEX($C$3395:$N$3395,1,K3370-Assumptions!$E$35),0))</f>
        <v>0.416435818921273</v>
      </c>
      <c r="L3405" s="51" t="n">
        <f aca="false">IF(L3370-Assumptions!$E$35&lt;1,0,IFERROR(INDEX($C$3394:$N$3394,1,L3370-Assumptions!$E$35)/INDEX($C$3395:$N$3395,1,L3370-Assumptions!$E$35),0))</f>
        <v>0.453179581093917</v>
      </c>
      <c r="M3405" s="51" t="n">
        <f aca="false">IF(M3370-Assumptions!$E$35&lt;1,0,IFERROR(INDEX($C$3394:$N$3394,1,M3370-Assumptions!$E$35)/INDEX($C$3395:$N$3395,1,M3370-Assumptions!$E$35),0))</f>
        <v>0.463853995269842</v>
      </c>
      <c r="N3405" s="51" t="n">
        <f aca="false">IF(N3370-Assumptions!$E$35&lt;1,0,IFERROR(INDEX($C$3394:$N$3394,1,N3370-Assumptions!$E$35)/INDEX($C$3395:$N$3395,1,N3370-Assumptions!$E$35),0))</f>
        <v>0.474249508157116</v>
      </c>
      <c r="P3405" s="52"/>
      <c r="Q3405" s="52"/>
      <c r="R3405" s="52"/>
      <c r="S3405" s="53"/>
    </row>
    <row r="3406" customFormat="false" ht="15" hidden="false" customHeight="false" outlineLevel="0" collapsed="false">
      <c r="A3406" s="4" t="s">
        <v>520</v>
      </c>
      <c r="B3406" s="36" t="s">
        <v>516</v>
      </c>
      <c r="C3406" s="48" t="n">
        <f aca="false">C3402*Assumptions!$E$37</f>
        <v>0</v>
      </c>
      <c r="D3406" s="48" t="n">
        <f aca="false">D3402*Assumptions!$E$37</f>
        <v>0.224777362453961</v>
      </c>
      <c r="E3406" s="48" t="n">
        <f aca="false">E3402*Assumptions!$E$37</f>
        <v>0.38011644870434</v>
      </c>
      <c r="F3406" s="48" t="n">
        <f aca="false">F3402*Assumptions!$E$37</f>
        <v>0.430725629103585</v>
      </c>
      <c r="G3406" s="48" t="n">
        <f aca="false">G3402*Assumptions!$E$37</f>
        <v>0.48196464980673</v>
      </c>
      <c r="H3406" s="48" t="n">
        <f aca="false">H3402*Assumptions!$E$37</f>
        <v>0.614716735895983</v>
      </c>
      <c r="I3406" s="48" t="n">
        <f aca="false">I3402*Assumptions!$E$37</f>
        <v>0.740492599494286</v>
      </c>
      <c r="J3406" s="48" t="n">
        <f aca="false">J3402*Assumptions!$E$37</f>
        <v>1.06182109589174</v>
      </c>
      <c r="K3406" s="48" t="n">
        <f aca="false">K3402*Assumptions!$E$37</f>
        <v>1.35622671149727</v>
      </c>
      <c r="L3406" s="48" t="n">
        <f aca="false">L3402*Assumptions!$E$37</f>
        <v>1.38473773804087</v>
      </c>
      <c r="M3406" s="48" t="n">
        <f aca="false">M3402*Assumptions!$E$37</f>
        <v>1.35287153813398</v>
      </c>
      <c r="N3406" s="48" t="n">
        <f aca="false">N3402*Assumptions!$E$37</f>
        <v>1.3232166976595</v>
      </c>
      <c r="P3406" s="49" t="n">
        <f aca="false">SUM(C3406:F3406)</f>
        <v>1.03561944026189</v>
      </c>
      <c r="Q3406" s="49" t="n">
        <f aca="false">SUM(G3406:J3406)</f>
        <v>2.89899508108874</v>
      </c>
      <c r="R3406" s="49" t="n">
        <f aca="false">SUM(K3406:N3406)</f>
        <v>5.41705268533163</v>
      </c>
      <c r="S3406" s="50" t="n">
        <f aca="false">SUM(P3406:R3406)</f>
        <v>9.35166720668225</v>
      </c>
    </row>
    <row r="3407" customFormat="false" ht="15" hidden="false" customHeight="false" outlineLevel="0" collapsed="false">
      <c r="A3407" s="4" t="s">
        <v>521</v>
      </c>
      <c r="B3407" s="36" t="s">
        <v>516</v>
      </c>
      <c r="C3407" s="48" t="n">
        <f aca="false">C3402*(1-Assumptions!$E$37)</f>
        <v>0</v>
      </c>
      <c r="D3407" s="48" t="n">
        <f aca="false">D3402*(1-Assumptions!$E$37)</f>
        <v>0.524480512392576</v>
      </c>
      <c r="E3407" s="48" t="n">
        <f aca="false">E3402*(1-Assumptions!$E$37)</f>
        <v>0.886938380310126</v>
      </c>
      <c r="F3407" s="48" t="n">
        <f aca="false">F3402*(1-Assumptions!$E$37)</f>
        <v>1.00502646790836</v>
      </c>
      <c r="G3407" s="48" t="n">
        <f aca="false">G3402*(1-Assumptions!$E$37)</f>
        <v>1.12458418288237</v>
      </c>
      <c r="H3407" s="48" t="n">
        <f aca="false">H3402*(1-Assumptions!$E$37)</f>
        <v>1.43433905042396</v>
      </c>
      <c r="I3407" s="48" t="n">
        <f aca="false">I3402*(1-Assumptions!$E$37)</f>
        <v>1.72781606548667</v>
      </c>
      <c r="J3407" s="48" t="n">
        <f aca="false">J3402*(1-Assumptions!$E$37)</f>
        <v>2.47758255708073</v>
      </c>
      <c r="K3407" s="48" t="n">
        <f aca="false">K3402*(1-Assumptions!$E$37)</f>
        <v>3.16452899349364</v>
      </c>
      <c r="L3407" s="48" t="n">
        <f aca="false">L3402*(1-Assumptions!$E$37)</f>
        <v>3.23105472209537</v>
      </c>
      <c r="M3407" s="48" t="n">
        <f aca="false">M3402*(1-Assumptions!$E$37)</f>
        <v>3.15670025564595</v>
      </c>
      <c r="N3407" s="48" t="n">
        <f aca="false">N3402*(1-Assumptions!$E$37)</f>
        <v>3.08750562787217</v>
      </c>
      <c r="P3407" s="49" t="n">
        <f aca="false">SUM(C3407:F3407)</f>
        <v>2.41644536061107</v>
      </c>
      <c r="Q3407" s="49" t="n">
        <f aca="false">SUM(G3407:J3407)</f>
        <v>6.76432185587373</v>
      </c>
      <c r="R3407" s="49" t="n">
        <f aca="false">SUM(K3407:N3407)</f>
        <v>12.6397895991071</v>
      </c>
      <c r="S3407" s="50" t="n">
        <f aca="false">SUM(P3407:R3407)</f>
        <v>21.8205568155919</v>
      </c>
    </row>
    <row r="3408" customFormat="false" ht="15" hidden="false" customHeight="false" outlineLevel="0" collapsed="false">
      <c r="A3408" s="4" t="s">
        <v>522</v>
      </c>
      <c r="B3408" s="36" t="s">
        <v>125</v>
      </c>
      <c r="C3408" s="54" t="n">
        <f aca="false">C3407*$C$3361+C3403*$C$3362+C3404*$C$3363</f>
        <v>0</v>
      </c>
      <c r="D3408" s="54" t="n">
        <f aca="false">D3407*$C$3361+D3403*$C$3362+D3404*$C$3363</f>
        <v>6473.49004063135</v>
      </c>
      <c r="E3408" s="54" t="n">
        <f aca="false">E3407*$C$3361+E3403*$C$3362+E3404*$C$3363</f>
        <v>14755.2297452057</v>
      </c>
      <c r="F3408" s="54" t="n">
        <f aca="false">F3407*$C$3361+F3403*$C$3362+F3404*$C$3363</f>
        <v>18844.4126607814</v>
      </c>
      <c r="G3408" s="54" t="n">
        <f aca="false">G3407*$C$3361+G3403*$C$3362+G3404*$C$3363</f>
        <v>21177.4641572945</v>
      </c>
      <c r="H3408" s="54" t="n">
        <f aca="false">H3407*$C$3361+H3403*$C$3362+H3404*$C$3363</f>
        <v>25670.9189118547</v>
      </c>
      <c r="I3408" s="54" t="n">
        <f aca="false">I3407*$C$3361+I3403*$C$3362+I3404*$C$3363</f>
        <v>30498.1443302861</v>
      </c>
      <c r="J3408" s="54" t="n">
        <f aca="false">J3407*$C$3361+J3403*$C$3362+J3404*$C$3363</f>
        <v>39941.7873245412</v>
      </c>
      <c r="K3408" s="54" t="n">
        <f aca="false">K3407*$C$3361+K3403*$C$3362+K3404*$C$3363</f>
        <v>50615.5721265044</v>
      </c>
      <c r="L3408" s="54" t="n">
        <f aca="false">L3407*$C$3361+L3403*$C$3362+L3404*$C$3363</f>
        <v>54443.0399850253</v>
      </c>
      <c r="M3408" s="54" t="n">
        <f aca="false">M3407*$C$3361+M3403*$C$3362+M3404*$C$3363</f>
        <v>53943.4004431583</v>
      </c>
      <c r="N3408" s="54" t="n">
        <f aca="false">N3407*$C$3361+N3403*$C$3362+N3404*$C$3363</f>
        <v>52741.8844768338</v>
      </c>
      <c r="P3408" s="55" t="n">
        <f aca="false">SUM(C3408:F3408)</f>
        <v>40073.1324466185</v>
      </c>
      <c r="Q3408" s="55" t="n">
        <f aca="false">SUM(G3408:J3408)</f>
        <v>117288.314723976</v>
      </c>
      <c r="R3408" s="55" t="n">
        <f aca="false">SUM(K3408:N3408)</f>
        <v>211743.897031522</v>
      </c>
      <c r="S3408" s="56" t="n">
        <f aca="false">SUM(P3408:R3408)</f>
        <v>369105.344202117</v>
      </c>
    </row>
    <row r="3409" customFormat="false" ht="15" hidden="false" customHeight="false" outlineLevel="0" collapsed="false">
      <c r="A3409" s="4" t="s">
        <v>523</v>
      </c>
      <c r="B3409" s="36" t="s">
        <v>125</v>
      </c>
      <c r="C3409" s="54" t="n">
        <f aca="false">(C3385+Assumptions!$D$104*C3371)*$C$3366</f>
        <v>306250</v>
      </c>
      <c r="D3409" s="54" t="n">
        <f aca="false">(D3385+Assumptions!$D$104*D3371)*$C$3366</f>
        <v>306250</v>
      </c>
      <c r="E3409" s="54" t="n">
        <f aca="false">(E3385+Assumptions!$D$104*E3371)*$C$3366</f>
        <v>306250</v>
      </c>
      <c r="F3409" s="54" t="n">
        <f aca="false">(F3385+Assumptions!$D$104*F3371)*$C$3366</f>
        <v>306250</v>
      </c>
      <c r="G3409" s="54" t="n">
        <f aca="false">(G3385+Assumptions!$D$104*G3371)*$C$3366</f>
        <v>306250</v>
      </c>
      <c r="H3409" s="54" t="n">
        <f aca="false">(H3385+Assumptions!$D$104*H3371)*$C$3366</f>
        <v>306250</v>
      </c>
      <c r="I3409" s="54" t="n">
        <f aca="false">(I3385+Assumptions!$D$104*I3371)*$C$3366</f>
        <v>306250</v>
      </c>
      <c r="J3409" s="54" t="n">
        <f aca="false">(J3385+Assumptions!$D$104*J3371)*$C$3366</f>
        <v>306250</v>
      </c>
      <c r="K3409" s="54" t="n">
        <f aca="false">(K3385+Assumptions!$D$104*K3371)*$C$3366</f>
        <v>306250</v>
      </c>
      <c r="L3409" s="54" t="n">
        <f aca="false">(L3385+Assumptions!$D$104*L3371)*$C$3366</f>
        <v>306250</v>
      </c>
      <c r="M3409" s="54" t="n">
        <f aca="false">(M3385+Assumptions!$D$104*M3371)*$C$3366</f>
        <v>306250</v>
      </c>
      <c r="N3409" s="54" t="n">
        <f aca="false">(N3385+Assumptions!$D$104*N3371)*$C$3366</f>
        <v>306250</v>
      </c>
      <c r="P3409" s="55" t="n">
        <f aca="false">SUM(C3409:F3409)</f>
        <v>1225000</v>
      </c>
      <c r="Q3409" s="55" t="n">
        <f aca="false">SUM(G3409:J3409)</f>
        <v>1225000</v>
      </c>
      <c r="R3409" s="55" t="n">
        <f aca="false">SUM(K3409:N3409)</f>
        <v>1225000</v>
      </c>
      <c r="S3409" s="56" t="n">
        <f aca="false">SUM(P3409:R3409)</f>
        <v>3675000</v>
      </c>
    </row>
    <row r="3410" customFormat="false" ht="15" hidden="false" customHeight="false" outlineLevel="0" collapsed="false">
      <c r="A3410" s="4" t="s">
        <v>524</v>
      </c>
      <c r="B3410" s="36" t="s">
        <v>77</v>
      </c>
      <c r="C3410" s="51" t="n">
        <f aca="false">IF(C3408&gt;0,MIN(1,C3409/C3408),1)</f>
        <v>1</v>
      </c>
      <c r="D3410" s="51" t="n">
        <f aca="false">IF(D3408&gt;0,MIN(1,D3409/D3408),1)</f>
        <v>1</v>
      </c>
      <c r="E3410" s="51" t="n">
        <f aca="false">IF(E3408&gt;0,MIN(1,E3409/E3408),1)</f>
        <v>1</v>
      </c>
      <c r="F3410" s="51" t="n">
        <f aca="false">IF(F3408&gt;0,MIN(1,F3409/F3408),1)</f>
        <v>1</v>
      </c>
      <c r="G3410" s="51" t="n">
        <f aca="false">IF(G3408&gt;0,MIN(1,G3409/G3408),1)</f>
        <v>1</v>
      </c>
      <c r="H3410" s="51" t="n">
        <f aca="false">IF(H3408&gt;0,MIN(1,H3409/H3408),1)</f>
        <v>1</v>
      </c>
      <c r="I3410" s="51" t="n">
        <f aca="false">IF(I3408&gt;0,MIN(1,I3409/I3408),1)</f>
        <v>1</v>
      </c>
      <c r="J3410" s="51" t="n">
        <f aca="false">IF(J3408&gt;0,MIN(1,J3409/J3408),1)</f>
        <v>1</v>
      </c>
      <c r="K3410" s="51" t="n">
        <f aca="false">IF(K3408&gt;0,MIN(1,K3409/K3408),1)</f>
        <v>1</v>
      </c>
      <c r="L3410" s="51" t="n">
        <f aca="false">IF(L3408&gt;0,MIN(1,L3409/L3408),1)</f>
        <v>1</v>
      </c>
      <c r="M3410" s="51" t="n">
        <f aca="false">IF(M3408&gt;0,MIN(1,M3409/M3408),1)</f>
        <v>1</v>
      </c>
      <c r="N3410" s="51" t="n">
        <f aca="false">IF(N3408&gt;0,MIN(1,N3409/N3408),1)</f>
        <v>1</v>
      </c>
      <c r="P3410" s="52"/>
      <c r="Q3410" s="52"/>
      <c r="R3410" s="52"/>
      <c r="S3410" s="53"/>
    </row>
    <row r="3411" customFormat="false" ht="15" hidden="false" customHeight="false" outlineLevel="0" collapsed="false">
      <c r="A3411" s="4" t="s">
        <v>525</v>
      </c>
      <c r="B3411" s="36" t="s">
        <v>125</v>
      </c>
      <c r="C3411" s="54" t="n">
        <f aca="false">C3408*(1-C3410)</f>
        <v>0</v>
      </c>
      <c r="D3411" s="54" t="n">
        <f aca="false">D3408*(1-D3410)</f>
        <v>0</v>
      </c>
      <c r="E3411" s="54" t="n">
        <f aca="false">E3408*(1-E3410)</f>
        <v>0</v>
      </c>
      <c r="F3411" s="54" t="n">
        <f aca="false">F3408*(1-F3410)</f>
        <v>0</v>
      </c>
      <c r="G3411" s="54" t="n">
        <f aca="false">G3408*(1-G3410)</f>
        <v>0</v>
      </c>
      <c r="H3411" s="54" t="n">
        <f aca="false">H3408*(1-H3410)</f>
        <v>0</v>
      </c>
      <c r="I3411" s="54" t="n">
        <f aca="false">I3408*(1-I3410)</f>
        <v>0</v>
      </c>
      <c r="J3411" s="54" t="n">
        <f aca="false">J3408*(1-J3410)</f>
        <v>0</v>
      </c>
      <c r="K3411" s="54" t="n">
        <f aca="false">K3408*(1-K3410)</f>
        <v>0</v>
      </c>
      <c r="L3411" s="54" t="n">
        <f aca="false">L3408*(1-L3410)</f>
        <v>0</v>
      </c>
      <c r="M3411" s="54" t="n">
        <f aca="false">M3408*(1-M3410)</f>
        <v>0</v>
      </c>
      <c r="N3411" s="54" t="n">
        <f aca="false">N3408*(1-N3410)</f>
        <v>0</v>
      </c>
      <c r="P3411" s="55" t="n">
        <f aca="false">SUM(C3411:F3411)</f>
        <v>0</v>
      </c>
      <c r="Q3411" s="55" t="n">
        <f aca="false">SUM(G3411:J3411)</f>
        <v>0</v>
      </c>
      <c r="R3411" s="55" t="n">
        <f aca="false">SUM(K3411:N3411)</f>
        <v>0</v>
      </c>
      <c r="S3411" s="56" t="n">
        <f aca="false">SUM(P3411:R3411)</f>
        <v>0</v>
      </c>
    </row>
    <row r="3412" customFormat="false" ht="15" hidden="false" customHeight="false" outlineLevel="0" collapsed="false">
      <c r="A3412" s="4" t="s">
        <v>526</v>
      </c>
      <c r="B3412" s="36" t="s">
        <v>527</v>
      </c>
      <c r="C3412" s="48" t="n">
        <f aca="false">C3406+C3407*C3410</f>
        <v>0</v>
      </c>
      <c r="D3412" s="48" t="n">
        <f aca="false">D3406+D3407*D3410</f>
        <v>0.749257874846537</v>
      </c>
      <c r="E3412" s="48" t="n">
        <f aca="false">E3406+E3407*E3410</f>
        <v>1.26705482901447</v>
      </c>
      <c r="F3412" s="48" t="n">
        <f aca="false">F3406+F3407*F3410</f>
        <v>1.43575209701195</v>
      </c>
      <c r="G3412" s="48" t="n">
        <f aca="false">G3406+G3407*G3410</f>
        <v>1.6065488326891</v>
      </c>
      <c r="H3412" s="48" t="n">
        <f aca="false">H3406+H3407*H3410</f>
        <v>2.04905578631994</v>
      </c>
      <c r="I3412" s="48" t="n">
        <f aca="false">I3406+I3407*I3410</f>
        <v>2.46830866498095</v>
      </c>
      <c r="J3412" s="48" t="n">
        <f aca="false">J3406+J3407*J3410</f>
        <v>3.53940365297247</v>
      </c>
      <c r="K3412" s="48" t="n">
        <f aca="false">K3406+K3407*K3410</f>
        <v>4.52075570499091</v>
      </c>
      <c r="L3412" s="48" t="n">
        <f aca="false">L3406+L3407*L3410</f>
        <v>4.61579246013625</v>
      </c>
      <c r="M3412" s="48" t="n">
        <f aca="false">M3406+M3407*M3410</f>
        <v>4.50957179377993</v>
      </c>
      <c r="N3412" s="48" t="n">
        <f aca="false">N3406+N3407*N3410</f>
        <v>4.41072232553167</v>
      </c>
      <c r="P3412" s="49" t="n">
        <f aca="false">SUM(C3412:F3412)</f>
        <v>3.45206480087295</v>
      </c>
      <c r="Q3412" s="49" t="n">
        <f aca="false">SUM(G3412:J3412)</f>
        <v>9.66331693696247</v>
      </c>
      <c r="R3412" s="49" t="n">
        <f aca="false">SUM(K3412:N3412)</f>
        <v>18.0568422844388</v>
      </c>
      <c r="S3412" s="50" t="n">
        <f aca="false">SUM(P3412:R3412)</f>
        <v>31.1722240222742</v>
      </c>
    </row>
    <row r="3413" customFormat="false" ht="15" hidden="false" customHeight="false" outlineLevel="0" collapsed="false">
      <c r="A3413" s="4" t="s">
        <v>528</v>
      </c>
      <c r="B3413" s="36" t="s">
        <v>527</v>
      </c>
      <c r="C3413" s="48" t="n">
        <f aca="false">C3403*C3410</f>
        <v>0</v>
      </c>
      <c r="D3413" s="48" t="n">
        <f aca="false">D3403*D3410</f>
        <v>0.375404464341373</v>
      </c>
      <c r="E3413" s="48" t="n">
        <f aca="false">E3403*E3410</f>
        <v>0.63483889238368</v>
      </c>
      <c r="F3413" s="48" t="n">
        <f aca="false">F3403*F3410</f>
        <v>0.719362138190631</v>
      </c>
      <c r="G3413" s="48" t="n">
        <f aca="false">G3403*G3410</f>
        <v>0.804937290912608</v>
      </c>
      <c r="H3413" s="48" t="n">
        <f aca="false">H3403*H3410</f>
        <v>1.00639553541574</v>
      </c>
      <c r="I3413" s="48" t="n">
        <f aca="false">I3403*I3410</f>
        <v>1.1981819767297</v>
      </c>
      <c r="J3413" s="48" t="n">
        <f aca="false">J3403*J3410</f>
        <v>1.61603722695193</v>
      </c>
      <c r="K3413" s="48" t="n">
        <f aca="false">K3403*K3410</f>
        <v>2.01013379363545</v>
      </c>
      <c r="L3413" s="48" t="n">
        <f aca="false">L3403*L3410</f>
        <v>2.05239146151699</v>
      </c>
      <c r="M3413" s="48" t="n">
        <f aca="false">M3403*M3410</f>
        <v>2.005160917564</v>
      </c>
      <c r="N3413" s="48" t="n">
        <f aca="false">N3403*N3410</f>
        <v>1.96120794386331</v>
      </c>
      <c r="P3413" s="49" t="n">
        <f aca="false">SUM(C3413:F3413)</f>
        <v>1.72960549491568</v>
      </c>
      <c r="Q3413" s="49" t="n">
        <f aca="false">SUM(G3413:J3413)</f>
        <v>4.62555203000998</v>
      </c>
      <c r="R3413" s="49" t="n">
        <f aca="false">SUM(K3413:N3413)</f>
        <v>8.02889411657976</v>
      </c>
      <c r="S3413" s="50" t="n">
        <f aca="false">SUM(P3413:R3413)</f>
        <v>14.3840516415054</v>
      </c>
    </row>
    <row r="3414" customFormat="false" ht="15" hidden="false" customHeight="false" outlineLevel="0" collapsed="false">
      <c r="A3414" s="4" t="s">
        <v>529</v>
      </c>
      <c r="B3414" s="36" t="s">
        <v>527</v>
      </c>
      <c r="C3414" s="48" t="n">
        <f aca="false">C3404*C3410</f>
        <v>0</v>
      </c>
      <c r="D3414" s="48" t="n">
        <f aca="false">D3404*D3410</f>
        <v>0</v>
      </c>
      <c r="E3414" s="48" t="n">
        <f aca="false">E3404*E3410</f>
        <v>0.0616404861202501</v>
      </c>
      <c r="F3414" s="48" t="n">
        <f aca="false">F3404*F3410</f>
        <v>0.104238978625962</v>
      </c>
      <c r="G3414" s="48" t="n">
        <f aca="false">G3404*G3410</f>
        <v>0.118117486888091</v>
      </c>
      <c r="H3414" s="48" t="n">
        <f aca="false">H3404*H3410</f>
        <v>0.132168715668366</v>
      </c>
      <c r="I3414" s="48" t="n">
        <f aca="false">I3404*I3410</f>
        <v>0.154561900935674</v>
      </c>
      <c r="J3414" s="48" t="n">
        <f aca="false">J3404*J3410</f>
        <v>0.176411294728837</v>
      </c>
      <c r="K3414" s="48" t="n">
        <f aca="false">K3404*K3410</f>
        <v>0.227371240775205</v>
      </c>
      <c r="L3414" s="48" t="n">
        <f aca="false">L3404*L3410</f>
        <v>0.276882242391809</v>
      </c>
      <c r="M3414" s="48" t="n">
        <f aca="false">M3404*M3410</f>
        <v>0.282702948395726</v>
      </c>
      <c r="N3414" s="48" t="n">
        <f aca="false">N3404*N3410</f>
        <v>0.276197262574964</v>
      </c>
      <c r="P3414" s="49" t="n">
        <f aca="false">SUM(C3414:F3414)</f>
        <v>0.165879464746212</v>
      </c>
      <c r="Q3414" s="49" t="n">
        <f aca="false">SUM(G3414:J3414)</f>
        <v>0.581259398220969</v>
      </c>
      <c r="R3414" s="49" t="n">
        <f aca="false">SUM(K3414:N3414)</f>
        <v>1.0631536941377</v>
      </c>
      <c r="S3414" s="50" t="n">
        <f aca="false">SUM(P3414:R3414)</f>
        <v>1.81029255710489</v>
      </c>
    </row>
    <row r="3415" customFormat="false" ht="15" hidden="false" customHeight="false" outlineLevel="0" collapsed="false">
      <c r="A3415" s="9" t="s">
        <v>530</v>
      </c>
      <c r="B3415" s="36" t="s">
        <v>527</v>
      </c>
      <c r="C3415" s="49" t="n">
        <f aca="false">C3412+C3413+C3414</f>
        <v>0</v>
      </c>
      <c r="D3415" s="49" t="n">
        <f aca="false">D3412+D3413+D3414</f>
        <v>1.12466233918791</v>
      </c>
      <c r="E3415" s="49" t="n">
        <f aca="false">E3412+E3413+E3414</f>
        <v>1.96353420751839</v>
      </c>
      <c r="F3415" s="49" t="n">
        <f aca="false">F3412+F3413+F3414</f>
        <v>2.25935321382854</v>
      </c>
      <c r="G3415" s="49" t="n">
        <f aca="false">G3412+G3413+G3414</f>
        <v>2.5296036104898</v>
      </c>
      <c r="H3415" s="49" t="n">
        <f aca="false">H3412+H3413+H3414</f>
        <v>3.18762003740405</v>
      </c>
      <c r="I3415" s="49" t="n">
        <f aca="false">I3412+I3413+I3414</f>
        <v>3.82105254264632</v>
      </c>
      <c r="J3415" s="49" t="n">
        <f aca="false">J3412+J3413+J3414</f>
        <v>5.33185217465324</v>
      </c>
      <c r="K3415" s="49" t="n">
        <f aca="false">K3412+K3413+K3414</f>
        <v>6.75826073940157</v>
      </c>
      <c r="L3415" s="49" t="n">
        <f aca="false">L3412+L3413+L3414</f>
        <v>6.94506616404505</v>
      </c>
      <c r="M3415" s="49" t="n">
        <f aca="false">M3412+M3413+M3414</f>
        <v>6.79743565973965</v>
      </c>
      <c r="N3415" s="49" t="n">
        <f aca="false">N3412+N3413+N3414</f>
        <v>6.64812753196994</v>
      </c>
      <c r="P3415" s="49" t="n">
        <f aca="false">SUM(C3415:F3415)</f>
        <v>5.34754976053485</v>
      </c>
      <c r="Q3415" s="49" t="n">
        <f aca="false">SUM(G3415:J3415)</f>
        <v>14.8701283651934</v>
      </c>
      <c r="R3415" s="49" t="n">
        <f aca="false">SUM(K3415:N3415)</f>
        <v>27.1488900951562</v>
      </c>
      <c r="S3415" s="50" t="n">
        <f aca="false">SUM(P3415:R3415)</f>
        <v>47.3665682208845</v>
      </c>
    </row>
    <row r="3416" customFormat="false" ht="15" hidden="false" customHeight="false" outlineLevel="0" collapsed="false">
      <c r="A3416" s="35" t="s">
        <v>533</v>
      </c>
      <c r="B3416" s="35" t="s">
        <v>444</v>
      </c>
      <c r="C3416" s="6" t="s">
        <v>354</v>
      </c>
      <c r="D3416" s="6" t="s">
        <v>355</v>
      </c>
      <c r="E3416" s="6" t="s">
        <v>356</v>
      </c>
      <c r="F3416" s="6" t="s">
        <v>357</v>
      </c>
      <c r="G3416" s="6" t="s">
        <v>358</v>
      </c>
      <c r="H3416" s="6" t="s">
        <v>359</v>
      </c>
      <c r="I3416" s="6" t="s">
        <v>360</v>
      </c>
      <c r="J3416" s="6" t="s">
        <v>361</v>
      </c>
      <c r="K3416" s="6" t="s">
        <v>362</v>
      </c>
      <c r="L3416" s="6" t="s">
        <v>363</v>
      </c>
      <c r="M3416" s="6" t="s">
        <v>364</v>
      </c>
      <c r="N3416" s="6" t="s">
        <v>365</v>
      </c>
      <c r="P3416" s="6" t="s">
        <v>445</v>
      </c>
      <c r="Q3416" s="6" t="s">
        <v>446</v>
      </c>
      <c r="R3416" s="6" t="s">
        <v>447</v>
      </c>
      <c r="S3416" s="6" t="s">
        <v>448</v>
      </c>
    </row>
    <row r="3417" customFormat="false" ht="15" hidden="false" customHeight="false" outlineLevel="0" collapsed="false">
      <c r="A3417" s="4" t="s">
        <v>534</v>
      </c>
      <c r="B3417" s="36" t="s">
        <v>527</v>
      </c>
      <c r="C3417" s="48" t="n">
        <f aca="false">0*Assumptions!$E$59^(1/4)+C3412</f>
        <v>0</v>
      </c>
      <c r="D3417" s="48" t="n">
        <f aca="false">C3417*Assumptions!$E$59^(1/4)+D3412</f>
        <v>0.749257874846537</v>
      </c>
      <c r="E3417" s="48" t="n">
        <f aca="false">D3417*Assumptions!$E$59^(1/4)+E3412</f>
        <v>1.99274624206448</v>
      </c>
      <c r="F3417" s="48" t="n">
        <f aca="false">E3417*Assumptions!$E$59^(1/4)+F3412</f>
        <v>3.36582034828</v>
      </c>
      <c r="G3417" s="48" t="n">
        <f aca="false">F3417*Assumptions!$E$59^(1/4)+G3412</f>
        <v>4.86650379160905</v>
      </c>
      <c r="H3417" s="48" t="n">
        <f aca="false">G3417*Assumptions!$E$59^(1/4)+H3412</f>
        <v>6.76249308435214</v>
      </c>
      <c r="I3417" s="48" t="n">
        <f aca="false">H3417*Assumptions!$E$59^(1/4)+I3412</f>
        <v>9.01810056824201</v>
      </c>
      <c r="J3417" s="48" t="n">
        <f aca="false">I3417*Assumptions!$E$59^(1/4)+J3412</f>
        <v>12.2738572557925</v>
      </c>
      <c r="K3417" s="48" t="n">
        <f aca="false">J3417*Assumptions!$E$59^(1/4)+K3412</f>
        <v>16.4085624462341</v>
      </c>
      <c r="L3417" s="48" t="n">
        <f aca="false">K3417*Assumptions!$E$59^(1/4)+L3412</f>
        <v>20.5082552122507</v>
      </c>
      <c r="M3417" s="48" t="n">
        <f aca="false">L3417*Assumptions!$E$59^(1/4)+M3412</f>
        <v>24.3727793806427</v>
      </c>
      <c r="N3417" s="48" t="n">
        <f aca="false">M3417*Assumptions!$E$59^(1/4)+N3412</f>
        <v>28.0169029243241</v>
      </c>
      <c r="P3417" s="49" t="n">
        <f aca="false">F3417</f>
        <v>3.36582034828</v>
      </c>
      <c r="Q3417" s="49" t="n">
        <f aca="false">J3417</f>
        <v>12.2738572557925</v>
      </c>
      <c r="R3417" s="49" t="n">
        <f aca="false">N3417</f>
        <v>28.0169029243241</v>
      </c>
      <c r="S3417" s="50" t="n">
        <f aca="false">R3417</f>
        <v>28.0169029243241</v>
      </c>
    </row>
    <row r="3418" customFormat="false" ht="15" hidden="false" customHeight="false" outlineLevel="0" collapsed="false">
      <c r="A3418" s="4" t="s">
        <v>535</v>
      </c>
      <c r="B3418" s="36" t="s">
        <v>527</v>
      </c>
      <c r="C3418" s="48" t="n">
        <f aca="false">0*Assumptions!$E$60^(1/4)+C3413</f>
        <v>0</v>
      </c>
      <c r="D3418" s="48" t="n">
        <f aca="false">C3418*Assumptions!$E$60^(1/4)+D3413</f>
        <v>0.375404464341373</v>
      </c>
      <c r="E3418" s="48" t="n">
        <f aca="false">D3418*Assumptions!$E$60^(1/4)+E3413</f>
        <v>1.00048424707696</v>
      </c>
      <c r="F3418" s="48" t="n">
        <f aca="false">E3418*Assumptions!$E$60^(1/4)+F3413</f>
        <v>1.69383754308308</v>
      </c>
      <c r="G3418" s="48" t="n">
        <f aca="false">F3418*Assumptions!$E$60^(1/4)+G3413</f>
        <v>2.45474140371135</v>
      </c>
      <c r="H3418" s="48" t="n">
        <f aca="false">G3418*Assumptions!$E$60^(1/4)+H3413</f>
        <v>3.39732285913589</v>
      </c>
      <c r="I3418" s="48" t="n">
        <f aca="false">H3418*Assumptions!$E$60^(1/4)+I3413</f>
        <v>4.50718716934435</v>
      </c>
      <c r="J3418" s="48" t="n">
        <f aca="false">I3418*Assumptions!$E$60^(1/4)+J3413</f>
        <v>6.00605441573336</v>
      </c>
      <c r="K3418" s="48" t="n">
        <f aca="false">J3418*Assumptions!$E$60^(1/4)+K3413</f>
        <v>7.86005329579394</v>
      </c>
      <c r="L3418" s="48" t="n">
        <f aca="false">K3418*Assumptions!$E$60^(1/4)+L3413</f>
        <v>9.7081128187228</v>
      </c>
      <c r="M3418" s="48" t="n">
        <f aca="false">L3418*Assumptions!$E$60^(1/4)+M3413</f>
        <v>11.4608991737195</v>
      </c>
      <c r="N3418" s="48" t="n">
        <f aca="false">M3418*Assumptions!$E$60^(1/4)+N3413</f>
        <v>13.1241666764686</v>
      </c>
      <c r="P3418" s="49" t="n">
        <f aca="false">F3418</f>
        <v>1.69383754308308</v>
      </c>
      <c r="Q3418" s="49" t="n">
        <f aca="false">J3418</f>
        <v>6.00605441573336</v>
      </c>
      <c r="R3418" s="49" t="n">
        <f aca="false">N3418</f>
        <v>13.1241666764686</v>
      </c>
      <c r="S3418" s="50" t="n">
        <f aca="false">R3418</f>
        <v>13.1241666764686</v>
      </c>
    </row>
    <row r="3419" customFormat="false" ht="15" hidden="false" customHeight="false" outlineLevel="0" collapsed="false">
      <c r="A3419" s="4" t="s">
        <v>536</v>
      </c>
      <c r="B3419" s="36" t="s">
        <v>527</v>
      </c>
      <c r="C3419" s="48" t="n">
        <f aca="false">0*Assumptions!$E$61^(1/4)+C3414</f>
        <v>0</v>
      </c>
      <c r="D3419" s="48" t="n">
        <f aca="false">C3419*Assumptions!$E$61^(1/4)+D3414</f>
        <v>0</v>
      </c>
      <c r="E3419" s="48" t="n">
        <f aca="false">D3419*Assumptions!$E$61^(1/4)+E3414</f>
        <v>0.0616404861202501</v>
      </c>
      <c r="F3419" s="48" t="n">
        <f aca="false">E3419*Assumptions!$E$61^(1/4)+F3414</f>
        <v>0.164607843790451</v>
      </c>
      <c r="G3419" s="48" t="n">
        <f aca="false">F3419*Assumptions!$E$61^(1/4)+G3414</f>
        <v>0.279329530339813</v>
      </c>
      <c r="H3419" s="48" t="n">
        <f aca="false">G3419*Assumptions!$E$61^(1/4)+H3414</f>
        <v>0.405735778728961</v>
      </c>
      <c r="I3419" s="48" t="n">
        <f aca="false">H3419*Assumptions!$E$61^(1/4)+I3414</f>
        <v>0.551927497156221</v>
      </c>
      <c r="J3419" s="48" t="n">
        <f aca="false">I3419*Assumptions!$E$61^(1/4)+J3414</f>
        <v>0.716952727049757</v>
      </c>
      <c r="K3419" s="48" t="n">
        <f aca="false">J3419*Assumptions!$E$61^(1/4)+K3414</f>
        <v>0.92953349212644</v>
      </c>
      <c r="L3419" s="48" t="n">
        <f aca="false">K3419*Assumptions!$E$61^(1/4)+L3414</f>
        <v>1.18723979444918</v>
      </c>
      <c r="M3419" s="48" t="n">
        <f aca="false">L3419*Assumptions!$E$61^(1/4)+M3414</f>
        <v>1.44545041487738</v>
      </c>
      <c r="N3419" s="48" t="n">
        <f aca="false">M3419*Assumptions!$E$61^(1/4)+N3414</f>
        <v>1.69182855768606</v>
      </c>
      <c r="P3419" s="49" t="n">
        <f aca="false">F3419</f>
        <v>0.164607843790451</v>
      </c>
      <c r="Q3419" s="49" t="n">
        <f aca="false">J3419</f>
        <v>0.716952727049757</v>
      </c>
      <c r="R3419" s="49" t="n">
        <f aca="false">N3419</f>
        <v>1.69182855768606</v>
      </c>
      <c r="S3419" s="50" t="n">
        <f aca="false">R3419</f>
        <v>1.69182855768606</v>
      </c>
    </row>
    <row r="3420" customFormat="false" ht="15" hidden="false" customHeight="false" outlineLevel="0" collapsed="false">
      <c r="A3420" s="9" t="s">
        <v>537</v>
      </c>
      <c r="B3420" s="36" t="s">
        <v>527</v>
      </c>
      <c r="C3420" s="49" t="n">
        <f aca="false">C3417+C3418+C3419</f>
        <v>0</v>
      </c>
      <c r="D3420" s="49" t="n">
        <f aca="false">D3417+D3418+D3419</f>
        <v>1.12466233918791</v>
      </c>
      <c r="E3420" s="49" t="n">
        <f aca="false">E3417+E3418+E3419</f>
        <v>3.05487097526168</v>
      </c>
      <c r="F3420" s="49" t="n">
        <f aca="false">F3417+F3418+F3419</f>
        <v>5.22426573515353</v>
      </c>
      <c r="G3420" s="49" t="n">
        <f aca="false">G3417+G3418+G3419</f>
        <v>7.60057472566021</v>
      </c>
      <c r="H3420" s="49" t="n">
        <f aca="false">H3417+H3418+H3419</f>
        <v>10.565551722217</v>
      </c>
      <c r="I3420" s="49" t="n">
        <f aca="false">I3417+I3418+I3419</f>
        <v>14.0772152347426</v>
      </c>
      <c r="J3420" s="49" t="n">
        <f aca="false">J3417+J3418+J3419</f>
        <v>18.9968643985757</v>
      </c>
      <c r="K3420" s="49" t="n">
        <f aca="false">K3417+K3418+K3419</f>
        <v>25.1981492341545</v>
      </c>
      <c r="L3420" s="49" t="n">
        <f aca="false">L3417+L3418+L3419</f>
        <v>31.4036078254226</v>
      </c>
      <c r="M3420" s="49" t="n">
        <f aca="false">M3417+M3418+M3419</f>
        <v>37.2791289692396</v>
      </c>
      <c r="N3420" s="49" t="n">
        <f aca="false">N3417+N3418+N3419</f>
        <v>42.8328981584788</v>
      </c>
      <c r="P3420" s="49" t="n">
        <f aca="false">F3420</f>
        <v>5.22426573515353</v>
      </c>
      <c r="Q3420" s="49" t="n">
        <f aca="false">J3420</f>
        <v>18.9968643985757</v>
      </c>
      <c r="R3420" s="49" t="n">
        <f aca="false">N3420</f>
        <v>42.8328981584788</v>
      </c>
      <c r="S3420" s="50" t="n">
        <f aca="false">R3420</f>
        <v>42.8328981584788</v>
      </c>
    </row>
    <row r="3421" customFormat="false" ht="15" hidden="false" customHeight="false" outlineLevel="0" collapsed="false">
      <c r="A3421" s="4" t="s">
        <v>538</v>
      </c>
      <c r="B3421" s="36" t="s">
        <v>125</v>
      </c>
      <c r="C3421" s="54" t="n">
        <f aca="false">0*Assumptions!$E$62^(1/4)+C3412*$C$3361</f>
        <v>0</v>
      </c>
      <c r="D3421" s="54" t="n">
        <f aca="false">C3421*Assumptions!$E$62^(1/4)+D3412*$C$3361</f>
        <v>4010.02814617867</v>
      </c>
      <c r="E3421" s="54" t="n">
        <f aca="false">D3421*Assumptions!$E$62^(1/4)+E3412*$C$3361</f>
        <v>10791.3055910641</v>
      </c>
      <c r="F3421" s="54" t="n">
        <f aca="false">E3421*Assumptions!$E$62^(1/4)+F3412*$C$3361</f>
        <v>18475.450814272</v>
      </c>
      <c r="G3421" s="54" t="n">
        <f aca="false">F3421*Assumptions!$E$62^(1/4)+G3412*$C$3361</f>
        <v>27073.7001668241</v>
      </c>
      <c r="H3421" s="54" t="n">
        <f aca="false">G3421*Assumptions!$E$62^(1/4)+H3412*$C$3361</f>
        <v>38040.2467352084</v>
      </c>
      <c r="I3421" s="54" t="n">
        <f aca="false">H3421*Assumptions!$E$62^(1/4)+I3412*$C$3361</f>
        <v>51250.6347101865</v>
      </c>
      <c r="J3421" s="54" t="n">
        <f aca="false">I3421*Assumptions!$E$62^(1/4)+J3412*$C$3361</f>
        <v>70193.5230608951</v>
      </c>
      <c r="K3421" s="54" t="n">
        <f aca="false">J3421*Assumptions!$E$62^(1/4)+K3412*$C$3361</f>
        <v>94388.6075940065</v>
      </c>
      <c r="L3421" s="54" t="n">
        <f aca="false">K3421*Assumptions!$E$62^(1/4)+L3412*$C$3361</f>
        <v>119092.328840656</v>
      </c>
      <c r="M3421" s="54" t="n">
        <f aca="false">L3421*Assumptions!$E$62^(1/4)+M3412*$C$3361</f>
        <v>143227.557080966</v>
      </c>
      <c r="N3421" s="54" t="n">
        <f aca="false">M3421*Assumptions!$E$62^(1/4)+N3412*$C$3361</f>
        <v>166833.742967211</v>
      </c>
      <c r="P3421" s="55" t="n">
        <f aca="false">F3421</f>
        <v>18475.450814272</v>
      </c>
      <c r="Q3421" s="55" t="n">
        <f aca="false">J3421</f>
        <v>70193.5230608951</v>
      </c>
      <c r="R3421" s="55" t="n">
        <f aca="false">N3421</f>
        <v>166833.742967211</v>
      </c>
      <c r="S3421" s="56" t="n">
        <f aca="false">R3421</f>
        <v>166833.742967211</v>
      </c>
    </row>
    <row r="3422" customFormat="false" ht="15" hidden="false" customHeight="false" outlineLevel="0" collapsed="false">
      <c r="A3422" s="4" t="s">
        <v>539</v>
      </c>
      <c r="B3422" s="36" t="s">
        <v>125</v>
      </c>
      <c r="C3422" s="54" t="n">
        <f aca="false">0*Assumptions!$E$63^(1/4)+C3413*$C$3362</f>
        <v>0</v>
      </c>
      <c r="D3422" s="54" t="n">
        <f aca="false">C3422*Assumptions!$E$63^(1/4)+D3413*$C$3362</f>
        <v>3666.47033830628</v>
      </c>
      <c r="E3422" s="54" t="n">
        <f aca="false">D3422*Assumptions!$E$63^(1/4)+E3413*$C$3362</f>
        <v>9920.5653487909</v>
      </c>
      <c r="F3422" s="54" t="n">
        <f aca="false">E3422*Assumptions!$E$63^(1/4)+F3413*$C$3362</f>
        <v>17091.9468735538</v>
      </c>
      <c r="G3422" s="54" t="n">
        <f aca="false">F3422*Assumptions!$E$63^(1/4)+G3413*$C$3362</f>
        <v>25204.3487142385</v>
      </c>
      <c r="H3422" s="54" t="n">
        <f aca="false">G3422*Assumptions!$E$63^(1/4)+H3413*$C$3362</f>
        <v>35403.3769832837</v>
      </c>
      <c r="I3422" s="54" t="n">
        <f aca="false">H3422*Assumptions!$E$63^(1/4)+I3413*$C$3362</f>
        <v>47625.1887210213</v>
      </c>
      <c r="J3422" s="54" t="n">
        <f aca="false">I3422*Assumptions!$E$63^(1/4)+J3413*$C$3362</f>
        <v>64107.4167273511</v>
      </c>
      <c r="K3422" s="54" t="n">
        <f aca="false">J3422*Assumptions!$E$63^(1/4)+K3413*$C$3362</f>
        <v>84680.5332824625</v>
      </c>
      <c r="L3422" s="54" t="n">
        <f aca="false">K3422*Assumptions!$E$63^(1/4)+L3413*$C$3362</f>
        <v>105968.255400606</v>
      </c>
      <c r="M3422" s="54" t="n">
        <f aca="false">L3422*Assumptions!$E$63^(1/4)+M3413*$C$3362</f>
        <v>127107.062774075</v>
      </c>
      <c r="N3422" s="54" t="n">
        <f aca="false">M3422*Assumptions!$E$63^(1/4)+N3413*$C$3362</f>
        <v>148126.781362171</v>
      </c>
      <c r="P3422" s="55" t="n">
        <f aca="false">F3422</f>
        <v>17091.9468735538</v>
      </c>
      <c r="Q3422" s="55" t="n">
        <f aca="false">J3422</f>
        <v>64107.4167273511</v>
      </c>
      <c r="R3422" s="55" t="n">
        <f aca="false">N3422</f>
        <v>148126.781362171</v>
      </c>
      <c r="S3422" s="56" t="n">
        <f aca="false">R3422</f>
        <v>148126.781362171</v>
      </c>
    </row>
    <row r="3423" customFormat="false" ht="15" hidden="false" customHeight="false" outlineLevel="0" collapsed="false">
      <c r="A3423" s="4" t="s">
        <v>540</v>
      </c>
      <c r="B3423" s="36" t="s">
        <v>125</v>
      </c>
      <c r="C3423" s="54" t="n">
        <f aca="false">0*Assumptions!$E$64^(1/4)+C3414*$C$3363</f>
        <v>0</v>
      </c>
      <c r="D3423" s="54" t="n">
        <f aca="false">C3423*Assumptions!$E$64^(1/4)+D3414*$C$3363</f>
        <v>0</v>
      </c>
      <c r="E3423" s="54" t="n">
        <f aca="false">D3423*Assumptions!$E$64^(1/4)+E3414*$C$3363</f>
        <v>3808.04174502756</v>
      </c>
      <c r="F3423" s="54" t="n">
        <f aca="false">E3423*Assumptions!$E$64^(1/4)+F3414*$C$3363</f>
        <v>10383.1507137166</v>
      </c>
      <c r="G3423" s="54" t="n">
        <f aca="false">F3423*Assumptions!$E$64^(1/4)+G3414*$C$3363</f>
        <v>18049.4479484302</v>
      </c>
      <c r="H3423" s="54" t="n">
        <f aca="false">G3423*Assumptions!$E$64^(1/4)+H3414*$C$3363</f>
        <v>26856.4043772591</v>
      </c>
      <c r="I3423" s="54" t="n">
        <f aca="false">H3423*Assumptions!$E$64^(1/4)+I3414*$C$3363</f>
        <v>37359.9311721347</v>
      </c>
      <c r="J3423" s="54" t="n">
        <f aca="false">I3423*Assumptions!$E$64^(1/4)+J3414*$C$3363</f>
        <v>49586.7606226322</v>
      </c>
      <c r="K3423" s="54" t="n">
        <f aca="false">J3423*Assumptions!$E$64^(1/4)+K3414*$C$3363</f>
        <v>65396.5692119278</v>
      </c>
      <c r="L3423" s="54" t="n">
        <f aca="false">K3423*Assumptions!$E$64^(1/4)+L3414*$C$3363</f>
        <v>84827.2475255396</v>
      </c>
      <c r="M3423" s="54" t="n">
        <f aca="false">L3423*Assumptions!$E$64^(1/4)+M3414*$C$3363</f>
        <v>105308.436448884</v>
      </c>
      <c r="N3423" s="54" t="n">
        <f aca="false">M3423*Assumptions!$E$64^(1/4)+N3414*$C$3363</f>
        <v>126115.987126014</v>
      </c>
      <c r="P3423" s="55" t="n">
        <f aca="false">F3423</f>
        <v>10383.1507137166</v>
      </c>
      <c r="Q3423" s="55" t="n">
        <f aca="false">J3423</f>
        <v>49586.7606226322</v>
      </c>
      <c r="R3423" s="55" t="n">
        <f aca="false">N3423</f>
        <v>126115.987126014</v>
      </c>
      <c r="S3423" s="56" t="n">
        <f aca="false">R3423</f>
        <v>126115.987126014</v>
      </c>
    </row>
    <row r="3424" customFormat="false" ht="15" hidden="false" customHeight="false" outlineLevel="0" collapsed="false">
      <c r="A3424" s="9" t="s">
        <v>541</v>
      </c>
      <c r="B3424" s="36" t="s">
        <v>125</v>
      </c>
      <c r="C3424" s="55" t="n">
        <f aca="false">C3421+C3422+C3423</f>
        <v>0</v>
      </c>
      <c r="D3424" s="55" t="n">
        <f aca="false">D3421+D3422+D3423</f>
        <v>7676.49848448495</v>
      </c>
      <c r="E3424" s="55" t="n">
        <f aca="false">E3421+E3422+E3423</f>
        <v>24519.9126848825</v>
      </c>
      <c r="F3424" s="55" t="n">
        <f aca="false">F3421+F3422+F3423</f>
        <v>45950.5484015424</v>
      </c>
      <c r="G3424" s="55" t="n">
        <f aca="false">G3421+G3422+G3423</f>
        <v>70327.4968294928</v>
      </c>
      <c r="H3424" s="55" t="n">
        <f aca="false">H3421+H3422+H3423</f>
        <v>100300.028095751</v>
      </c>
      <c r="I3424" s="55" t="n">
        <f aca="false">I3421+I3422+I3423</f>
        <v>136235.754603342</v>
      </c>
      <c r="J3424" s="55" t="n">
        <f aca="false">J3421+J3422+J3423</f>
        <v>183887.700410878</v>
      </c>
      <c r="K3424" s="55" t="n">
        <f aca="false">K3421+K3422+K3423</f>
        <v>244465.710088397</v>
      </c>
      <c r="L3424" s="55" t="n">
        <f aca="false">L3421+L3422+L3423</f>
        <v>309887.831766802</v>
      </c>
      <c r="M3424" s="55" t="n">
        <f aca="false">M3421+M3422+M3423</f>
        <v>375643.056303925</v>
      </c>
      <c r="N3424" s="55" t="n">
        <f aca="false">N3421+N3422+N3423</f>
        <v>441076.511455396</v>
      </c>
      <c r="P3424" s="55" t="n">
        <f aca="false">F3424</f>
        <v>45950.5484015424</v>
      </c>
      <c r="Q3424" s="55" t="n">
        <f aca="false">J3424</f>
        <v>183887.700410878</v>
      </c>
      <c r="R3424" s="55" t="n">
        <f aca="false">N3424</f>
        <v>441076.511455396</v>
      </c>
      <c r="S3424" s="56" t="n">
        <f aca="false">R3424</f>
        <v>441076.511455396</v>
      </c>
    </row>
    <row r="3425" customFormat="false" ht="15" hidden="false" customHeight="false" outlineLevel="0" collapsed="false">
      <c r="A3425" s="4" t="s">
        <v>542</v>
      </c>
      <c r="B3425" s="36" t="s">
        <v>125</v>
      </c>
      <c r="C3425" s="54" t="n">
        <f aca="false">C3412*$C$3361+C3413*$C$3362+C3414*$C$3363</f>
        <v>0</v>
      </c>
      <c r="D3425" s="54" t="n">
        <f aca="false">D3412*$C$3361+D3413*$C$3362+D3414*$C$3363</f>
        <v>7676.49848448495</v>
      </c>
      <c r="E3425" s="54" t="n">
        <f aca="false">E3412*$C$3361+E3413*$C$3362+E3414*$C$3363</f>
        <v>16789.6129786713</v>
      </c>
      <c r="F3425" s="54" t="n">
        <f aca="false">F3412*$C$3361+F3413*$C$3362+F3414*$C$3363</f>
        <v>21149.6562277438</v>
      </c>
      <c r="G3425" s="54" t="n">
        <f aca="false">G3412*$C$3361+G3413*$C$3362+G3414*$C$3363</f>
        <v>23756.9389630601</v>
      </c>
      <c r="H3425" s="54" t="n">
        <f aca="false">H3412*$C$3361+H3413*$C$3362+H3414*$C$3363</f>
        <v>28960.88288237</v>
      </c>
      <c r="I3425" s="54" t="n">
        <f aca="false">I3412*$C$3361+I3413*$C$3362+I3414*$C$3363</f>
        <v>34461.2607227795</v>
      </c>
      <c r="J3425" s="54" t="n">
        <f aca="false">J3412*$C$3361+J3413*$C$3362+J3414*$C$3363</f>
        <v>45624.6538297538</v>
      </c>
      <c r="K3425" s="54" t="n">
        <f aca="false">K3412*$C$3361+K3413*$C$3362+K3414*$C$3363</f>
        <v>57874.0974864378</v>
      </c>
      <c r="L3425" s="54" t="n">
        <f aca="false">L3412*$C$3361+L3413*$C$3362+L3414*$C$3363</f>
        <v>61854.15635902</v>
      </c>
      <c r="M3425" s="54" t="n">
        <f aca="false">M3412*$C$3361+M3413*$C$3362+M3414*$C$3363</f>
        <v>61183.9689152514</v>
      </c>
      <c r="N3425" s="54" t="n">
        <f aca="false">N3412*$C$3361+N3413*$C$3362+N3414*$C$3363</f>
        <v>59823.7402427074</v>
      </c>
      <c r="P3425" s="55" t="n">
        <f aca="false">SUM(C3425:F3425)</f>
        <v>45615.7676909001</v>
      </c>
      <c r="Q3425" s="55" t="n">
        <f aca="false">SUM(G3425:J3425)</f>
        <v>132803.736397963</v>
      </c>
      <c r="R3425" s="55" t="n">
        <f aca="false">SUM(K3425:N3425)</f>
        <v>240735.963003417</v>
      </c>
      <c r="S3425" s="56" t="n">
        <f aca="false">SUM(P3425:R3425)</f>
        <v>419155.46709228</v>
      </c>
    </row>
    <row r="3426" customFormat="false" ht="15" hidden="false" customHeight="false" outlineLevel="0" collapsed="false">
      <c r="A3426" s="9" t="s">
        <v>543</v>
      </c>
      <c r="B3426" s="36" t="s">
        <v>125</v>
      </c>
      <c r="C3426" s="55" t="n">
        <f aca="false">(0+C3424)/8</f>
        <v>0</v>
      </c>
      <c r="D3426" s="55" t="n">
        <f aca="false">(C3424+D3424)/8</f>
        <v>959.562310560618</v>
      </c>
      <c r="E3426" s="55" t="n">
        <f aca="false">(D3424+E3424)/8</f>
        <v>4024.55139617094</v>
      </c>
      <c r="F3426" s="55" t="n">
        <f aca="false">(E3424+F3424)/8</f>
        <v>8808.80763580312</v>
      </c>
      <c r="G3426" s="55" t="n">
        <f aca="false">(F3424+G3424)/8</f>
        <v>14534.7556538794</v>
      </c>
      <c r="H3426" s="55" t="n">
        <f aca="false">(G3424+H3424)/8</f>
        <v>21328.4406156555</v>
      </c>
      <c r="I3426" s="55" t="n">
        <f aca="false">(H3424+I3424)/8</f>
        <v>29566.9728373867</v>
      </c>
      <c r="J3426" s="55" t="n">
        <f aca="false">(I3424+J3424)/8</f>
        <v>40015.4318767776</v>
      </c>
      <c r="K3426" s="55" t="n">
        <f aca="false">(J3424+K3424)/8</f>
        <v>53544.1763124094</v>
      </c>
      <c r="L3426" s="55" t="n">
        <f aca="false">(K3424+L3424)/8</f>
        <v>69294.1927318998</v>
      </c>
      <c r="M3426" s="55" t="n">
        <f aca="false">(L3424+M3424)/8</f>
        <v>85691.3610088409</v>
      </c>
      <c r="N3426" s="55" t="n">
        <f aca="false">(M3424+N3424)/8</f>
        <v>102089.945969915</v>
      </c>
      <c r="P3426" s="55" t="n">
        <f aca="false">SUM(C3426:F3426)</f>
        <v>13792.9213425347</v>
      </c>
      <c r="Q3426" s="55" t="n">
        <f aca="false">SUM(G3426:J3426)</f>
        <v>105445.600983699</v>
      </c>
      <c r="R3426" s="55" t="n">
        <f aca="false">SUM(K3426:N3426)</f>
        <v>310619.676023065</v>
      </c>
      <c r="S3426" s="56" t="n">
        <f aca="false">SUM(P3426:R3426)</f>
        <v>429858.198349299</v>
      </c>
    </row>
    <row r="3427" customFormat="false" ht="15" hidden="false" customHeight="false" outlineLevel="0" collapsed="false">
      <c r="A3427" s="4" t="s">
        <v>544</v>
      </c>
      <c r="B3427" s="36" t="s">
        <v>125</v>
      </c>
      <c r="C3427" s="54" t="n">
        <f aca="false">C3426*Assumptions!$E$76</f>
        <v>0</v>
      </c>
      <c r="D3427" s="54" t="n">
        <f aca="false">D3426*Assumptions!$E$76</f>
        <v>623.715501864402</v>
      </c>
      <c r="E3427" s="54" t="n">
        <f aca="false">E3426*Assumptions!$E$76</f>
        <v>2615.95840751111</v>
      </c>
      <c r="F3427" s="54" t="n">
        <f aca="false">F3426*Assumptions!$E$76</f>
        <v>5725.72496327203</v>
      </c>
      <c r="G3427" s="54" t="n">
        <f aca="false">G3426*Assumptions!$E$76</f>
        <v>9447.59117502161</v>
      </c>
      <c r="H3427" s="54" t="n">
        <f aca="false">H3426*Assumptions!$E$76</f>
        <v>13863.4864001761</v>
      </c>
      <c r="I3427" s="54" t="n">
        <f aca="false">I3426*Assumptions!$E$76</f>
        <v>19218.5323443014</v>
      </c>
      <c r="J3427" s="54" t="n">
        <f aca="false">J3426*Assumptions!$E$76</f>
        <v>26010.0307199054</v>
      </c>
      <c r="K3427" s="54" t="n">
        <f aca="false">K3426*Assumptions!$E$76</f>
        <v>34803.7146030661</v>
      </c>
      <c r="L3427" s="54" t="n">
        <f aca="false">L3426*Assumptions!$E$76</f>
        <v>45041.2252757349</v>
      </c>
      <c r="M3427" s="54" t="n">
        <f aca="false">M3426*Assumptions!$E$76</f>
        <v>55699.3846557466</v>
      </c>
      <c r="N3427" s="54" t="n">
        <f aca="false">N3426*Assumptions!$E$76</f>
        <v>66358.4648804449</v>
      </c>
      <c r="P3427" s="55" t="n">
        <f aca="false">SUM(C3427:F3427)</f>
        <v>8965.39887264754</v>
      </c>
      <c r="Q3427" s="55" t="n">
        <f aca="false">SUM(G3427:J3427)</f>
        <v>68539.6406394045</v>
      </c>
      <c r="R3427" s="55" t="n">
        <f aca="false">SUM(K3427:N3427)</f>
        <v>201902.789414992</v>
      </c>
      <c r="S3427" s="56" t="n">
        <f aca="false">SUM(P3427:R3427)</f>
        <v>279407.828927044</v>
      </c>
    </row>
    <row r="3428" customFormat="false" ht="15" hidden="false" customHeight="false" outlineLevel="0" collapsed="false">
      <c r="A3428" s="35" t="s">
        <v>547</v>
      </c>
      <c r="B3428" s="35" t="s">
        <v>444</v>
      </c>
      <c r="C3428" s="6" t="s">
        <v>354</v>
      </c>
      <c r="D3428" s="6" t="s">
        <v>355</v>
      </c>
      <c r="E3428" s="6" t="s">
        <v>356</v>
      </c>
      <c r="F3428" s="6" t="s">
        <v>357</v>
      </c>
      <c r="G3428" s="6" t="s">
        <v>358</v>
      </c>
      <c r="H3428" s="6" t="s">
        <v>359</v>
      </c>
      <c r="I3428" s="6" t="s">
        <v>360</v>
      </c>
      <c r="J3428" s="6" t="s">
        <v>361</v>
      </c>
      <c r="K3428" s="6" t="s">
        <v>362</v>
      </c>
      <c r="L3428" s="6" t="s">
        <v>363</v>
      </c>
      <c r="M3428" s="6" t="s">
        <v>364</v>
      </c>
      <c r="N3428" s="6" t="s">
        <v>365</v>
      </c>
      <c r="P3428" s="6" t="s">
        <v>445</v>
      </c>
      <c r="Q3428" s="6" t="s">
        <v>446</v>
      </c>
      <c r="R3428" s="6" t="s">
        <v>447</v>
      </c>
      <c r="S3428" s="6" t="s">
        <v>448</v>
      </c>
    </row>
    <row r="3429" customFormat="false" ht="15" hidden="false" customHeight="false" outlineLevel="0" collapsed="false">
      <c r="A3429" s="4" t="s">
        <v>548</v>
      </c>
      <c r="B3429" s="36" t="s">
        <v>321</v>
      </c>
      <c r="C3429" s="48" t="n">
        <f aca="false">Assumptions!$D$97*C3371</f>
        <v>1</v>
      </c>
      <c r="D3429" s="48" t="n">
        <f aca="false">Assumptions!$D$97*D3371</f>
        <v>1</v>
      </c>
      <c r="E3429" s="48" t="n">
        <f aca="false">Assumptions!$D$97*E3371</f>
        <v>1</v>
      </c>
      <c r="F3429" s="48" t="n">
        <f aca="false">Assumptions!$D$97*F3371</f>
        <v>1</v>
      </c>
      <c r="G3429" s="48" t="n">
        <f aca="false">Assumptions!$D$97*G3371</f>
        <v>1</v>
      </c>
      <c r="H3429" s="48" t="n">
        <f aca="false">Assumptions!$D$97*H3371</f>
        <v>1</v>
      </c>
      <c r="I3429" s="48" t="n">
        <f aca="false">Assumptions!$D$97*I3371</f>
        <v>1</v>
      </c>
      <c r="J3429" s="48" t="n">
        <f aca="false">Assumptions!$D$97*J3371</f>
        <v>1</v>
      </c>
      <c r="K3429" s="48" t="n">
        <f aca="false">Assumptions!$D$97*K3371</f>
        <v>1</v>
      </c>
      <c r="L3429" s="48" t="n">
        <f aca="false">Assumptions!$D$97*L3371</f>
        <v>1</v>
      </c>
      <c r="M3429" s="48" t="n">
        <f aca="false">Assumptions!$D$97*M3371</f>
        <v>1</v>
      </c>
      <c r="N3429" s="48" t="n">
        <f aca="false">Assumptions!$D$97*N3371</f>
        <v>1</v>
      </c>
      <c r="P3429" s="49" t="n">
        <f aca="false">AVERAGE(C3429:F3429)</f>
        <v>1</v>
      </c>
      <c r="Q3429" s="49" t="n">
        <f aca="false">AVERAGE(G3429:J3429)</f>
        <v>1</v>
      </c>
      <c r="R3429" s="49" t="n">
        <f aca="false">AVERAGE(K3429:N3429)</f>
        <v>1</v>
      </c>
      <c r="S3429" s="50"/>
    </row>
    <row r="3430" customFormat="false" ht="15" hidden="false" customHeight="false" outlineLevel="0" collapsed="false">
      <c r="A3430" s="4" t="s">
        <v>549</v>
      </c>
      <c r="B3430" s="36" t="s">
        <v>321</v>
      </c>
      <c r="C3430" s="48" t="n">
        <f aca="false">C3384*C3371</f>
        <v>0</v>
      </c>
      <c r="D3430" s="48" t="n">
        <f aca="false">D3384*D3371</f>
        <v>0</v>
      </c>
      <c r="E3430" s="48" t="n">
        <f aca="false">E3384*E3371</f>
        <v>0</v>
      </c>
      <c r="F3430" s="48" t="n">
        <f aca="false">F3384*F3371</f>
        <v>0</v>
      </c>
      <c r="G3430" s="48" t="n">
        <f aca="false">G3384*G3371</f>
        <v>0</v>
      </c>
      <c r="H3430" s="48" t="n">
        <f aca="false">H3384*H3371</f>
        <v>0</v>
      </c>
      <c r="I3430" s="48" t="n">
        <f aca="false">I3384*I3371</f>
        <v>0</v>
      </c>
      <c r="J3430" s="48" t="n">
        <f aca="false">J3384*J3371</f>
        <v>0</v>
      </c>
      <c r="K3430" s="48" t="n">
        <f aca="false">K3384*K3371</f>
        <v>0</v>
      </c>
      <c r="L3430" s="48" t="n">
        <f aca="false">L3384*L3371</f>
        <v>0</v>
      </c>
      <c r="M3430" s="48" t="n">
        <f aca="false">M3384*M3371</f>
        <v>0</v>
      </c>
      <c r="N3430" s="48" t="n">
        <f aca="false">N3384*N3371</f>
        <v>0</v>
      </c>
      <c r="P3430" s="49" t="n">
        <f aca="false">AVERAGE(C3430:F3430)</f>
        <v>0</v>
      </c>
      <c r="Q3430" s="49" t="n">
        <f aca="false">AVERAGE(G3430:J3430)</f>
        <v>0</v>
      </c>
      <c r="R3430" s="49" t="n">
        <f aca="false">AVERAGE(K3430:N3430)</f>
        <v>0</v>
      </c>
      <c r="S3430" s="50"/>
    </row>
    <row r="3431" customFormat="false" ht="15" hidden="false" customHeight="false" outlineLevel="0" collapsed="false">
      <c r="A3431" s="4" t="s">
        <v>550</v>
      </c>
      <c r="B3431" s="36" t="s">
        <v>321</v>
      </c>
      <c r="C3431" s="48" t="n">
        <f aca="false">IF(C3370&lt;=4,Assumptions!$D$98,Assumptions!$D$99)*C3371</f>
        <v>0</v>
      </c>
      <c r="D3431" s="48" t="n">
        <f aca="false">IF(D3370&lt;=4,Assumptions!$D$98,Assumptions!$D$99)*D3371</f>
        <v>0</v>
      </c>
      <c r="E3431" s="48" t="n">
        <f aca="false">IF(E3370&lt;=4,Assumptions!$D$98,Assumptions!$D$99)*E3371</f>
        <v>0</v>
      </c>
      <c r="F3431" s="48" t="n">
        <f aca="false">IF(F3370&lt;=4,Assumptions!$D$98,Assumptions!$D$99)*F3371</f>
        <v>0</v>
      </c>
      <c r="G3431" s="48" t="n">
        <f aca="false">IF(G3370&lt;=4,Assumptions!$D$98,Assumptions!$D$99)*G3371</f>
        <v>0.5</v>
      </c>
      <c r="H3431" s="48" t="n">
        <f aca="false">IF(H3370&lt;=4,Assumptions!$D$98,Assumptions!$D$99)*H3371</f>
        <v>0.5</v>
      </c>
      <c r="I3431" s="48" t="n">
        <f aca="false">IF(I3370&lt;=4,Assumptions!$D$98,Assumptions!$D$99)*I3371</f>
        <v>0.5</v>
      </c>
      <c r="J3431" s="48" t="n">
        <f aca="false">IF(J3370&lt;=4,Assumptions!$D$98,Assumptions!$D$99)*J3371</f>
        <v>0.5</v>
      </c>
      <c r="K3431" s="48" t="n">
        <f aca="false">IF(K3370&lt;=4,Assumptions!$D$98,Assumptions!$D$99)*K3371</f>
        <v>0.5</v>
      </c>
      <c r="L3431" s="48" t="n">
        <f aca="false">IF(L3370&lt;=4,Assumptions!$D$98,Assumptions!$D$99)*L3371</f>
        <v>0.5</v>
      </c>
      <c r="M3431" s="48" t="n">
        <f aca="false">IF(M3370&lt;=4,Assumptions!$D$98,Assumptions!$D$99)*M3371</f>
        <v>0.5</v>
      </c>
      <c r="N3431" s="48" t="n">
        <f aca="false">IF(N3370&lt;=4,Assumptions!$D$98,Assumptions!$D$99)*N3371</f>
        <v>0.5</v>
      </c>
      <c r="P3431" s="49" t="n">
        <f aca="false">AVERAGE(C3431:F3431)</f>
        <v>0</v>
      </c>
      <c r="Q3431" s="49" t="n">
        <f aca="false">AVERAGE(G3431:J3431)</f>
        <v>0.5</v>
      </c>
      <c r="R3431" s="49" t="n">
        <f aca="false">AVERAGE(K3431:N3431)</f>
        <v>0.5</v>
      </c>
      <c r="S3431" s="50"/>
    </row>
    <row r="3432" customFormat="false" ht="15" hidden="false" customHeight="false" outlineLevel="0" collapsed="false">
      <c r="A3432" s="4" t="s">
        <v>551</v>
      </c>
      <c r="B3432" s="36" t="s">
        <v>321</v>
      </c>
      <c r="C3432" s="48" t="n">
        <f aca="false">IF(C3370&lt;=4,Assumptions!$D$100,Assumptions!$D$101)*C3371</f>
        <v>1</v>
      </c>
      <c r="D3432" s="48" t="n">
        <f aca="false">IF(D3370&lt;=4,Assumptions!$D$100,Assumptions!$D$101)*D3371</f>
        <v>1</v>
      </c>
      <c r="E3432" s="48" t="n">
        <f aca="false">IF(E3370&lt;=4,Assumptions!$D$100,Assumptions!$D$101)*E3371</f>
        <v>1</v>
      </c>
      <c r="F3432" s="48" t="n">
        <f aca="false">IF(F3370&lt;=4,Assumptions!$D$100,Assumptions!$D$101)*F3371</f>
        <v>1</v>
      </c>
      <c r="G3432" s="48" t="n">
        <f aca="false">IF(G3370&lt;=4,Assumptions!$D$100,Assumptions!$D$101)*G3371</f>
        <v>0.5</v>
      </c>
      <c r="H3432" s="48" t="n">
        <f aca="false">IF(H3370&lt;=4,Assumptions!$D$100,Assumptions!$D$101)*H3371</f>
        <v>0.5</v>
      </c>
      <c r="I3432" s="48" t="n">
        <f aca="false">IF(I3370&lt;=4,Assumptions!$D$100,Assumptions!$D$101)*I3371</f>
        <v>0.5</v>
      </c>
      <c r="J3432" s="48" t="n">
        <f aca="false">IF(J3370&lt;=4,Assumptions!$D$100,Assumptions!$D$101)*J3371</f>
        <v>0.5</v>
      </c>
      <c r="K3432" s="48" t="n">
        <f aca="false">IF(K3370&lt;=4,Assumptions!$D$100,Assumptions!$D$101)*K3371</f>
        <v>0.5</v>
      </c>
      <c r="L3432" s="48" t="n">
        <f aca="false">IF(L3370&lt;=4,Assumptions!$D$100,Assumptions!$D$101)*L3371</f>
        <v>0.5</v>
      </c>
      <c r="M3432" s="48" t="n">
        <f aca="false">IF(M3370&lt;=4,Assumptions!$D$100,Assumptions!$D$101)*M3371</f>
        <v>0.5</v>
      </c>
      <c r="N3432" s="48" t="n">
        <f aca="false">IF(N3370&lt;=4,Assumptions!$D$100,Assumptions!$D$101)*N3371</f>
        <v>0.5</v>
      </c>
      <c r="P3432" s="49" t="n">
        <f aca="false">AVERAGE(C3432:F3432)</f>
        <v>1</v>
      </c>
      <c r="Q3432" s="49" t="n">
        <f aca="false">AVERAGE(G3432:J3432)</f>
        <v>0.5</v>
      </c>
      <c r="R3432" s="49" t="n">
        <f aca="false">AVERAGE(K3432:N3432)</f>
        <v>0.5</v>
      </c>
      <c r="S3432" s="50"/>
    </row>
    <row r="3433" customFormat="false" ht="15" hidden="false" customHeight="false" outlineLevel="0" collapsed="false">
      <c r="A3433" s="4" t="s">
        <v>552</v>
      </c>
      <c r="B3433" s="36" t="s">
        <v>321</v>
      </c>
      <c r="C3433" s="48" t="n">
        <f aca="false">Assumptions!$D$102*C3371</f>
        <v>0.25</v>
      </c>
      <c r="D3433" s="48" t="n">
        <f aca="false">Assumptions!$D$102*D3371</f>
        <v>0.25</v>
      </c>
      <c r="E3433" s="48" t="n">
        <f aca="false">Assumptions!$D$102*E3371</f>
        <v>0.25</v>
      </c>
      <c r="F3433" s="48" t="n">
        <f aca="false">Assumptions!$D$102*F3371</f>
        <v>0.25</v>
      </c>
      <c r="G3433" s="48" t="n">
        <f aca="false">Assumptions!$D$102*G3371</f>
        <v>0.25</v>
      </c>
      <c r="H3433" s="48" t="n">
        <f aca="false">Assumptions!$D$102*H3371</f>
        <v>0.25</v>
      </c>
      <c r="I3433" s="48" t="n">
        <f aca="false">Assumptions!$D$102*I3371</f>
        <v>0.25</v>
      </c>
      <c r="J3433" s="48" t="n">
        <f aca="false">Assumptions!$D$102*J3371</f>
        <v>0.25</v>
      </c>
      <c r="K3433" s="48" t="n">
        <f aca="false">Assumptions!$D$102*K3371</f>
        <v>0.25</v>
      </c>
      <c r="L3433" s="48" t="n">
        <f aca="false">Assumptions!$D$102*L3371</f>
        <v>0.25</v>
      </c>
      <c r="M3433" s="48" t="n">
        <f aca="false">Assumptions!$D$102*M3371</f>
        <v>0.25</v>
      </c>
      <c r="N3433" s="48" t="n">
        <f aca="false">Assumptions!$D$102*N3371</f>
        <v>0.25</v>
      </c>
      <c r="P3433" s="49" t="n">
        <f aca="false">AVERAGE(C3433:F3433)</f>
        <v>0.25</v>
      </c>
      <c r="Q3433" s="49" t="n">
        <f aca="false">AVERAGE(G3433:J3433)</f>
        <v>0.25</v>
      </c>
      <c r="R3433" s="49" t="n">
        <f aca="false">AVERAGE(K3433:N3433)</f>
        <v>0.25</v>
      </c>
      <c r="S3433" s="50"/>
    </row>
    <row r="3434" customFormat="false" ht="15" hidden="false" customHeight="false" outlineLevel="0" collapsed="false">
      <c r="A3434" s="4" t="s">
        <v>553</v>
      </c>
      <c r="B3434" s="36" t="s">
        <v>321</v>
      </c>
      <c r="C3434" s="48" t="n">
        <f aca="false">(C3418+C3419)/Assumptions!$E$74+C3417/Assumptions!$E$75</f>
        <v>0</v>
      </c>
      <c r="D3434" s="48" t="n">
        <f aca="false">(D3418+D3419)/Assumptions!$E$74+D3417/Assumptions!$E$75</f>
        <v>0.0123821431079205</v>
      </c>
      <c r="E3434" s="48" t="n">
        <f aca="false">(E3418+E3419)/Assumptions!$E$74+E3417/Assumptions!$E$75</f>
        <v>0.0345241032981881</v>
      </c>
      <c r="F3434" s="48" t="n">
        <f aca="false">(F3418+F3419)/Assumptions!$E$74+F3417/Assumptions!$E$75</f>
        <v>0.0599244160649583</v>
      </c>
      <c r="G3434" s="48" t="n">
        <f aca="false">(G3418+G3419)/Assumptions!$E$74+G3417/Assumptions!$E$75</f>
        <v>0.0878177885177152</v>
      </c>
      <c r="H3434" s="48" t="n">
        <f aca="false">(H3418+H3419)/Assumptions!$E$74+H3417/Assumptions!$E$75</f>
        <v>0.12212643828403</v>
      </c>
      <c r="I3434" s="48" t="n">
        <f aca="false">(I3418+I3419)/Assumptions!$E$74+I3417/Assumptions!$E$75</f>
        <v>0.162550268935482</v>
      </c>
      <c r="J3434" s="48" t="n">
        <f aca="false">(J3418+J3419)/Assumptions!$E$74+J3417/Assumptions!$E$75</f>
        <v>0.217170607592748</v>
      </c>
      <c r="K3434" s="48" t="n">
        <f aca="false">(K3418+K3419)/Assumptions!$E$74+K3417/Assumptions!$E$75</f>
        <v>0.285373919482946</v>
      </c>
      <c r="L3434" s="48" t="n">
        <f aca="false">(L3418+L3419)/Assumptions!$E$74+L3417/Assumptions!$E$75</f>
        <v>0.354416836178302</v>
      </c>
      <c r="M3434" s="48" t="n">
        <f aca="false">(M3418+M3419)/Assumptions!$E$74+M3417/Assumptions!$E$75</f>
        <v>0.420149857237492</v>
      </c>
      <c r="N3434" s="48" t="n">
        <f aca="false">(N3418+N3419)/Assumptions!$E$74+N3417/Assumptions!$E$75</f>
        <v>0.482467492551164</v>
      </c>
      <c r="P3434" s="49" t="n">
        <f aca="false">AVERAGE(C3434:F3434)</f>
        <v>0.0267076656177667</v>
      </c>
      <c r="Q3434" s="49" t="n">
        <f aca="false">AVERAGE(G3434:J3434)</f>
        <v>0.147416275832494</v>
      </c>
      <c r="R3434" s="49" t="n">
        <f aca="false">AVERAGE(K3434:N3434)</f>
        <v>0.385602026362476</v>
      </c>
      <c r="S3434" s="50"/>
    </row>
    <row r="3435" customFormat="false" ht="15" hidden="false" customHeight="false" outlineLevel="0" collapsed="false">
      <c r="A3435" s="4" t="s">
        <v>554</v>
      </c>
      <c r="B3435" s="36" t="s">
        <v>125</v>
      </c>
      <c r="C3435" s="54" t="n">
        <f aca="false">(C3429+C3431)*Assumptions!$E$70/Assumptions!$E$69/4</f>
        <v>66753.5714285714</v>
      </c>
      <c r="D3435" s="54" t="n">
        <f aca="false">(D3429+D3431)*Assumptions!$E$70/Assumptions!$E$69/4</f>
        <v>66753.5714285714</v>
      </c>
      <c r="E3435" s="54" t="n">
        <f aca="false">(E3429+E3431)*Assumptions!$E$70/Assumptions!$E$69/4</f>
        <v>66753.5714285714</v>
      </c>
      <c r="F3435" s="54" t="n">
        <f aca="false">(F3429+F3431)*Assumptions!$E$70/Assumptions!$E$69/4</f>
        <v>66753.5714285714</v>
      </c>
      <c r="G3435" s="54" t="n">
        <f aca="false">(G3429+G3431)*Assumptions!$E$70/Assumptions!$E$69/4</f>
        <v>100130.357142857</v>
      </c>
      <c r="H3435" s="54" t="n">
        <f aca="false">(H3429+H3431)*Assumptions!$E$70/Assumptions!$E$69/4</f>
        <v>100130.357142857</v>
      </c>
      <c r="I3435" s="54" t="n">
        <f aca="false">(I3429+I3431)*Assumptions!$E$70/Assumptions!$E$69/4</f>
        <v>100130.357142857</v>
      </c>
      <c r="J3435" s="54" t="n">
        <f aca="false">(J3429+J3431)*Assumptions!$E$70/Assumptions!$E$69/4</f>
        <v>100130.357142857</v>
      </c>
      <c r="K3435" s="54" t="n">
        <f aca="false">(K3429+K3431)*Assumptions!$E$70/Assumptions!$E$69/4</f>
        <v>100130.357142857</v>
      </c>
      <c r="L3435" s="54" t="n">
        <f aca="false">(L3429+L3431)*Assumptions!$E$70/Assumptions!$E$69/4</f>
        <v>100130.357142857</v>
      </c>
      <c r="M3435" s="54" t="n">
        <f aca="false">(M3429+M3431)*Assumptions!$E$70/Assumptions!$E$69/4</f>
        <v>100130.357142857</v>
      </c>
      <c r="N3435" s="54" t="n">
        <f aca="false">(N3429+N3431)*Assumptions!$E$70/Assumptions!$E$69/4</f>
        <v>100130.357142857</v>
      </c>
      <c r="P3435" s="55" t="n">
        <f aca="false">SUM(C3435:F3435)</f>
        <v>267014.285714286</v>
      </c>
      <c r="Q3435" s="55" t="n">
        <f aca="false">SUM(G3435:J3435)</f>
        <v>400521.428571429</v>
      </c>
      <c r="R3435" s="55" t="n">
        <f aca="false">SUM(K3435:N3435)</f>
        <v>400521.428571429</v>
      </c>
      <c r="S3435" s="56" t="n">
        <f aca="false">SUM(P3435:R3435)</f>
        <v>1068057.14285714</v>
      </c>
    </row>
    <row r="3436" customFormat="false" ht="15" hidden="false" customHeight="false" outlineLevel="0" collapsed="false">
      <c r="A3436" s="4" t="s">
        <v>555</v>
      </c>
      <c r="B3436" s="36" t="s">
        <v>125</v>
      </c>
      <c r="C3436" s="54" t="n">
        <f aca="false">C3430*$C$3365/4</f>
        <v>0</v>
      </c>
      <c r="D3436" s="54" t="n">
        <f aca="false">D3430*$C$3365/4</f>
        <v>0</v>
      </c>
      <c r="E3436" s="54" t="n">
        <f aca="false">E3430*$C$3365/4</f>
        <v>0</v>
      </c>
      <c r="F3436" s="54" t="n">
        <f aca="false">F3430*$C$3365/4</f>
        <v>0</v>
      </c>
      <c r="G3436" s="54" t="n">
        <f aca="false">G3430*$C$3365/4</f>
        <v>0</v>
      </c>
      <c r="H3436" s="54" t="n">
        <f aca="false">H3430*$C$3365/4</f>
        <v>0</v>
      </c>
      <c r="I3436" s="54" t="n">
        <f aca="false">I3430*$C$3365/4</f>
        <v>0</v>
      </c>
      <c r="J3436" s="54" t="n">
        <f aca="false">J3430*$C$3365/4</f>
        <v>0</v>
      </c>
      <c r="K3436" s="54" t="n">
        <f aca="false">K3430*$C$3365/4</f>
        <v>0</v>
      </c>
      <c r="L3436" s="54" t="n">
        <f aca="false">L3430*$C$3365/4</f>
        <v>0</v>
      </c>
      <c r="M3436" s="54" t="n">
        <f aca="false">M3430*$C$3365/4</f>
        <v>0</v>
      </c>
      <c r="N3436" s="54" t="n">
        <f aca="false">N3430*$C$3365/4</f>
        <v>0</v>
      </c>
      <c r="P3436" s="55" t="n">
        <f aca="false">SUM(C3436:F3436)</f>
        <v>0</v>
      </c>
      <c r="Q3436" s="55" t="n">
        <f aca="false">SUM(G3436:J3436)</f>
        <v>0</v>
      </c>
      <c r="R3436" s="55" t="n">
        <f aca="false">SUM(K3436:N3436)</f>
        <v>0</v>
      </c>
      <c r="S3436" s="56" t="n">
        <f aca="false">SUM(P3436:R3436)</f>
        <v>0</v>
      </c>
    </row>
    <row r="3437" customFormat="false" ht="15" hidden="false" customHeight="false" outlineLevel="0" collapsed="false">
      <c r="A3437" s="4" t="s">
        <v>556</v>
      </c>
      <c r="B3437" s="36" t="s">
        <v>125</v>
      </c>
      <c r="C3437" s="54" t="n">
        <f aca="false">MAX(0,(C3425-C3406*$C$3361)-C3385*$C$3366)*$C$3367*Assumptions!$D$105</f>
        <v>0</v>
      </c>
      <c r="D3437" s="54" t="n">
        <f aca="false">MAX(0,(D3425-D3406*$C$3361)-D3385*$C$3366)*$C$3367*Assumptions!$D$105</f>
        <v>3019.70380904086</v>
      </c>
      <c r="E3437" s="54" t="n">
        <f aca="false">MAX(0,(E3425-E3406*$C$3361)-E3385*$C$3366)*$C$3367*Assumptions!$D$105</f>
        <v>6882.9060035945</v>
      </c>
      <c r="F3437" s="54" t="n">
        <f aca="false">MAX(0,(F3425-F3406*$C$3361)-F3385*$C$3366)*$C$3367*Assumptions!$D$105</f>
        <v>8790.3965764578</v>
      </c>
      <c r="G3437" s="54" t="n">
        <f aca="false">MAX(0,(G3425-G3406*$C$3361)-G3385*$C$3366)*$C$3367*Assumptions!$D$105</f>
        <v>9878.70048153678</v>
      </c>
      <c r="H3437" s="54" t="n">
        <f aca="false">MAX(0,(H3425-H3406*$C$3361)-H3385*$C$3366)*$C$3367*Assumptions!$D$105</f>
        <v>11974.7726702529</v>
      </c>
      <c r="I3437" s="54" t="n">
        <f aca="false">MAX(0,(I3425-I3406*$C$3361)-I3385*$C$3366)*$C$3367*Assumptions!$D$105</f>
        <v>14226.539629288</v>
      </c>
      <c r="J3437" s="54" t="n">
        <f aca="false">MAX(0,(J3425-J3406*$C$3361)-J3385*$C$3366)*$C$3367*Assumptions!$D$105</f>
        <v>18631.7375274828</v>
      </c>
      <c r="K3437" s="54" t="n">
        <f aca="false">MAX(0,(K3425-K3406*$C$3361)-K3385*$C$3366)*$C$3367*Assumptions!$D$105</f>
        <v>23610.7625079904</v>
      </c>
      <c r="L3437" s="54" t="n">
        <f aca="false">MAX(0,(L3425-L3406*$C$3361)-L3385*$C$3366)*$C$3367*Assumptions!$D$105</f>
        <v>25396.1702554054</v>
      </c>
      <c r="M3437" s="54" t="n">
        <f aca="false">MAX(0,(M3425-M3406*$C$3361)-M3385*$C$3366)*$C$3367*Assumptions!$D$105</f>
        <v>25163.1022475374</v>
      </c>
      <c r="N3437" s="54" t="n">
        <f aca="false">MAX(0,(N3425-N3406*$C$3361)-N3385*$C$3366)*$C$3367*Assumptions!$D$105</f>
        <v>24602.628327386</v>
      </c>
      <c r="P3437" s="55" t="n">
        <f aca="false">SUM(C3437:F3437)</f>
        <v>18693.0063890932</v>
      </c>
      <c r="Q3437" s="55" t="n">
        <f aca="false">SUM(G3437:J3437)</f>
        <v>54711.7503085604</v>
      </c>
      <c r="R3437" s="55" t="n">
        <f aca="false">SUM(K3437:N3437)</f>
        <v>98772.6633383192</v>
      </c>
      <c r="S3437" s="56" t="n">
        <f aca="false">SUM(P3437:R3437)</f>
        <v>172177.420035973</v>
      </c>
    </row>
    <row r="3438" customFormat="false" ht="15" hidden="false" customHeight="false" outlineLevel="0" collapsed="false">
      <c r="A3438" s="4" t="s">
        <v>557</v>
      </c>
      <c r="B3438" s="36" t="s">
        <v>125</v>
      </c>
      <c r="C3438" s="54" t="n">
        <f aca="false">C3433*Assumptions!$E$71/Assumptions!$E$69/4</f>
        <v>18475.8928571429</v>
      </c>
      <c r="D3438" s="54" t="n">
        <f aca="false">D3433*Assumptions!$E$71/Assumptions!$E$69/4</f>
        <v>18475.8928571429</v>
      </c>
      <c r="E3438" s="54" t="n">
        <f aca="false">E3433*Assumptions!$E$71/Assumptions!$E$69/4</f>
        <v>18475.8928571429</v>
      </c>
      <c r="F3438" s="54" t="n">
        <f aca="false">F3433*Assumptions!$E$71/Assumptions!$E$69/4</f>
        <v>18475.8928571429</v>
      </c>
      <c r="G3438" s="54" t="n">
        <f aca="false">G3433*Assumptions!$E$71/Assumptions!$E$69/4</f>
        <v>18475.8928571429</v>
      </c>
      <c r="H3438" s="54" t="n">
        <f aca="false">H3433*Assumptions!$E$71/Assumptions!$E$69/4</f>
        <v>18475.8928571429</v>
      </c>
      <c r="I3438" s="54" t="n">
        <f aca="false">I3433*Assumptions!$E$71/Assumptions!$E$69/4</f>
        <v>18475.8928571429</v>
      </c>
      <c r="J3438" s="54" t="n">
        <f aca="false">J3433*Assumptions!$E$71/Assumptions!$E$69/4</f>
        <v>18475.8928571429</v>
      </c>
      <c r="K3438" s="54" t="n">
        <f aca="false">K3433*Assumptions!$E$71/Assumptions!$E$69/4</f>
        <v>18475.8928571429</v>
      </c>
      <c r="L3438" s="54" t="n">
        <f aca="false">L3433*Assumptions!$E$71/Assumptions!$E$69/4</f>
        <v>18475.8928571429</v>
      </c>
      <c r="M3438" s="54" t="n">
        <f aca="false">M3433*Assumptions!$E$71/Assumptions!$E$69/4</f>
        <v>18475.8928571429</v>
      </c>
      <c r="N3438" s="54" t="n">
        <f aca="false">N3433*Assumptions!$E$71/Assumptions!$E$69/4</f>
        <v>18475.8928571429</v>
      </c>
      <c r="P3438" s="55" t="n">
        <f aca="false">SUM(C3438:F3438)</f>
        <v>73903.5714285714</v>
      </c>
      <c r="Q3438" s="55" t="n">
        <f aca="false">SUM(G3438:J3438)</f>
        <v>73903.5714285714</v>
      </c>
      <c r="R3438" s="55" t="n">
        <f aca="false">SUM(K3438:N3438)</f>
        <v>73903.5714285714</v>
      </c>
      <c r="S3438" s="56" t="n">
        <f aca="false">SUM(P3438:R3438)</f>
        <v>221710.714285714</v>
      </c>
    </row>
    <row r="3439" customFormat="false" ht="15" hidden="false" customHeight="false" outlineLevel="0" collapsed="false">
      <c r="A3439" s="4" t="s">
        <v>558</v>
      </c>
      <c r="B3439" s="36" t="s">
        <v>125</v>
      </c>
      <c r="C3439" s="54" t="n">
        <f aca="false">(Assumptions!$D$103+Assumptions!$E$77*((C3370=Assumptions!$E$13)+(C3370=Assumptions!$E$14)+(C3370=Assumptions!$E$15)))*C3371</f>
        <v>65000</v>
      </c>
      <c r="D3439" s="54" t="n">
        <f aca="false">(Assumptions!$D$103+Assumptions!$E$77*((D3370=Assumptions!$E$13)+(D3370=Assumptions!$E$14)+(D3370=Assumptions!$E$15)))*D3371</f>
        <v>25000</v>
      </c>
      <c r="E3439" s="54" t="n">
        <f aca="false">(Assumptions!$D$103+Assumptions!$E$77*((E3370=Assumptions!$E$13)+(E3370=Assumptions!$E$14)+(E3370=Assumptions!$E$15)))*E3371</f>
        <v>25000</v>
      </c>
      <c r="F3439" s="54" t="n">
        <f aca="false">(Assumptions!$D$103+Assumptions!$E$77*((F3370=Assumptions!$E$13)+(F3370=Assumptions!$E$14)+(F3370=Assumptions!$E$15)))*F3371</f>
        <v>25000</v>
      </c>
      <c r="G3439" s="54" t="n">
        <f aca="false">(Assumptions!$D$103+Assumptions!$E$77*((G3370=Assumptions!$E$13)+(G3370=Assumptions!$E$14)+(G3370=Assumptions!$E$15)))*G3371</f>
        <v>65000</v>
      </c>
      <c r="H3439" s="54" t="n">
        <f aca="false">(Assumptions!$D$103+Assumptions!$E$77*((H3370=Assumptions!$E$13)+(H3370=Assumptions!$E$14)+(H3370=Assumptions!$E$15)))*H3371</f>
        <v>25000</v>
      </c>
      <c r="I3439" s="54" t="n">
        <f aca="false">(Assumptions!$D$103+Assumptions!$E$77*((I3370=Assumptions!$E$13)+(I3370=Assumptions!$E$14)+(I3370=Assumptions!$E$15)))*I3371</f>
        <v>65000</v>
      </c>
      <c r="J3439" s="54" t="n">
        <f aca="false">(Assumptions!$D$103+Assumptions!$E$77*((J3370=Assumptions!$E$13)+(J3370=Assumptions!$E$14)+(J3370=Assumptions!$E$15)))*J3371</f>
        <v>25000</v>
      </c>
      <c r="K3439" s="54" t="n">
        <f aca="false">(Assumptions!$D$103+Assumptions!$E$77*((K3370=Assumptions!$E$13)+(K3370=Assumptions!$E$14)+(K3370=Assumptions!$E$15)))*K3371</f>
        <v>25000</v>
      </c>
      <c r="L3439" s="54" t="n">
        <f aca="false">(Assumptions!$D$103+Assumptions!$E$77*((L3370=Assumptions!$E$13)+(L3370=Assumptions!$E$14)+(L3370=Assumptions!$E$15)))*L3371</f>
        <v>25000</v>
      </c>
      <c r="M3439" s="54" t="n">
        <f aca="false">(Assumptions!$D$103+Assumptions!$E$77*((M3370=Assumptions!$E$13)+(M3370=Assumptions!$E$14)+(M3370=Assumptions!$E$15)))*M3371</f>
        <v>25000</v>
      </c>
      <c r="N3439" s="54" t="n">
        <f aca="false">(Assumptions!$D$103+Assumptions!$E$77*((N3370=Assumptions!$E$13)+(N3370=Assumptions!$E$14)+(N3370=Assumptions!$E$15)))*N3371</f>
        <v>25000</v>
      </c>
      <c r="P3439" s="55" t="n">
        <f aca="false">SUM(C3439:F3439)</f>
        <v>140000</v>
      </c>
      <c r="Q3439" s="55" t="n">
        <f aca="false">SUM(G3439:J3439)</f>
        <v>180000</v>
      </c>
      <c r="R3439" s="55" t="n">
        <f aca="false">SUM(K3439:N3439)</f>
        <v>100000</v>
      </c>
      <c r="S3439" s="56" t="n">
        <f aca="false">SUM(P3439:R3439)</f>
        <v>420000</v>
      </c>
    </row>
    <row r="3440" customFormat="false" ht="15" hidden="false" customHeight="false" outlineLevel="0" collapsed="false">
      <c r="A3440" s="4" t="s">
        <v>559</v>
      </c>
      <c r="B3440" s="36" t="s">
        <v>125</v>
      </c>
      <c r="C3440" s="54" t="n">
        <f aca="false">C3425*C3405*Assumptions!$E$79</f>
        <v>0</v>
      </c>
      <c r="D3440" s="54" t="n">
        <f aca="false">D3425*D3405*Assumptions!$E$79</f>
        <v>815.338873355417</v>
      </c>
      <c r="E3440" s="54" t="n">
        <f aca="false">E3425*E3405*Assumptions!$E$79</f>
        <v>1581.76817163229</v>
      </c>
      <c r="F3440" s="54" t="n">
        <f aca="false">F3425*F3405*Assumptions!$E$79</f>
        <v>2344.55349078525</v>
      </c>
      <c r="G3440" s="54" t="n">
        <f aca="false">G3425*G3405*Assumptions!$E$79</f>
        <v>2942.00127227614</v>
      </c>
      <c r="H3440" s="54" t="n">
        <f aca="false">H3425*H3405*Assumptions!$E$79</f>
        <v>3410.33290835656</v>
      </c>
      <c r="I3440" s="54" t="n">
        <f aca="false">I3425*I3405*Assumptions!$E$79</f>
        <v>3954.67181575453</v>
      </c>
      <c r="J3440" s="54" t="n">
        <f aca="false">J3425*J3405*Assumptions!$E$79</f>
        <v>4271.89822244943</v>
      </c>
      <c r="K3440" s="54" t="n">
        <f aca="false">K3425*K3405*Assumptions!$E$79</f>
        <v>4820.16943621886</v>
      </c>
      <c r="L3440" s="54" t="n">
        <f aca="false">L3425*L3405*Assumptions!$E$79</f>
        <v>5606.20813353967</v>
      </c>
      <c r="M3440" s="54" t="n">
        <f aca="false">M3425*M3405*Assumptions!$E$79</f>
        <v>5676.08568556103</v>
      </c>
      <c r="N3440" s="54" t="n">
        <f aca="false">N3425*N3405*Assumptions!$E$79</f>
        <v>5674.27587724462</v>
      </c>
      <c r="P3440" s="55" t="n">
        <f aca="false">SUM(C3440:F3440)</f>
        <v>4741.66053577295</v>
      </c>
      <c r="Q3440" s="55" t="n">
        <f aca="false">SUM(G3440:J3440)</f>
        <v>14578.9042188367</v>
      </c>
      <c r="R3440" s="55" t="n">
        <f aca="false">SUM(K3440:N3440)</f>
        <v>21776.7391325642</v>
      </c>
      <c r="S3440" s="56" t="n">
        <f aca="false">SUM(P3440:R3440)</f>
        <v>41097.3038871738</v>
      </c>
    </row>
    <row r="3441" customFormat="false" ht="15" hidden="false" customHeight="false" outlineLevel="0" collapsed="false">
      <c r="A3441" s="4" t="s">
        <v>560</v>
      </c>
      <c r="B3441" s="36" t="s">
        <v>125</v>
      </c>
      <c r="C3441" s="54" t="n">
        <f aca="false">C3390*Assumptions!$E$80</f>
        <v>4000</v>
      </c>
      <c r="D3441" s="54" t="n">
        <f aca="false">D3390*Assumptions!$E$80</f>
        <v>6000</v>
      </c>
      <c r="E3441" s="54" t="n">
        <f aca="false">E3390*Assumptions!$E$80</f>
        <v>8000</v>
      </c>
      <c r="F3441" s="54" t="n">
        <f aca="false">F3390*Assumptions!$E$80</f>
        <v>10000</v>
      </c>
      <c r="G3441" s="54" t="n">
        <f aca="false">G3390*Assumptions!$E$80</f>
        <v>12000</v>
      </c>
      <c r="H3441" s="54" t="n">
        <f aca="false">H3390*Assumptions!$E$80</f>
        <v>14000</v>
      </c>
      <c r="I3441" s="54" t="n">
        <f aca="false">I3390*Assumptions!$E$80</f>
        <v>16000</v>
      </c>
      <c r="J3441" s="54" t="n">
        <f aca="false">J3390*Assumptions!$E$80</f>
        <v>18000</v>
      </c>
      <c r="K3441" s="54" t="n">
        <f aca="false">K3390*Assumptions!$E$80</f>
        <v>20000</v>
      </c>
      <c r="L3441" s="54" t="n">
        <f aca="false">L3390*Assumptions!$E$80</f>
        <v>20000</v>
      </c>
      <c r="M3441" s="54" t="n">
        <f aca="false">M3390*Assumptions!$E$80</f>
        <v>20000</v>
      </c>
      <c r="N3441" s="54" t="n">
        <f aca="false">N3390*Assumptions!$E$80</f>
        <v>20000</v>
      </c>
      <c r="P3441" s="55" t="n">
        <f aca="false">SUM(C3441:F3441)</f>
        <v>28000</v>
      </c>
      <c r="Q3441" s="55" t="n">
        <f aca="false">SUM(G3441:J3441)</f>
        <v>60000</v>
      </c>
      <c r="R3441" s="55" t="n">
        <f aca="false">SUM(K3441:N3441)</f>
        <v>80000</v>
      </c>
      <c r="S3441" s="56" t="n">
        <f aca="false">SUM(P3441:R3441)</f>
        <v>168000</v>
      </c>
    </row>
    <row r="3442" customFormat="false" ht="15" hidden="false" customHeight="false" outlineLevel="0" collapsed="false">
      <c r="A3442" s="4" t="s">
        <v>561</v>
      </c>
      <c r="B3442" s="36" t="s">
        <v>125</v>
      </c>
      <c r="C3442" s="54" t="n">
        <f aca="false">(C3413*$C$3362+C3414*$C$3363)*Assumptions!$E$81</f>
        <v>0</v>
      </c>
      <c r="D3442" s="54" t="n">
        <f aca="false">(D3413*$C$3362+D3414*$C$3363)*Assumptions!$E$81</f>
        <v>549.970550745942</v>
      </c>
      <c r="E3442" s="54" t="n">
        <f aca="false">(E3413*$C$3362+E3414*$C$3363)*Assumptions!$E$81</f>
        <v>1501.25033006789</v>
      </c>
      <c r="F3442" s="54" t="n">
        <f aca="false">(F3413*$C$3362+F3414*$C$3363)*Assumptions!$E$81</f>
        <v>2019.82665068038</v>
      </c>
      <c r="G3442" s="54" t="n">
        <f aca="false">(G3413*$C$3362+G3414*$C$3363)*Assumptions!$E$81</f>
        <v>2273.8034415762</v>
      </c>
      <c r="H3442" s="54" t="n">
        <f aca="false">(H3413*$C$3362+H3414*$C$3363)*Assumptions!$E$81</f>
        <v>2699.15044709784</v>
      </c>
      <c r="I3442" s="54" t="n">
        <f aca="false">(I3413*$C$3362+I3414*$C$3363)*Assumptions!$E$81</f>
        <v>3187.63091217022</v>
      </c>
      <c r="J3442" s="54" t="n">
        <f aca="false">(J3413*$C$3362+J3414*$C$3363)*Assumptions!$E$81</f>
        <v>4002.26482185677</v>
      </c>
      <c r="K3442" s="54" t="n">
        <f aca="false">(K3413*$C$3362+K3414*$C$3363)*Assumptions!$E$81</f>
        <v>5051.85194299896</v>
      </c>
      <c r="L3442" s="54" t="n">
        <f aca="false">(L3413*$C$3362+L3414*$C$3363)*Assumptions!$E$81</f>
        <v>5572.56526685562</v>
      </c>
      <c r="M3442" s="54" t="n">
        <f aca="false">(M3413*$C$3362+M3414*$C$3363)*Assumptions!$E$81</f>
        <v>5557.31110124118</v>
      </c>
      <c r="N3442" s="54" t="n">
        <f aca="false">(N3413*$C$3362+N3414*$C$3363)*Assumptions!$E$81</f>
        <v>5432.63315346929</v>
      </c>
      <c r="P3442" s="55" t="n">
        <f aca="false">SUM(C3442:F3442)</f>
        <v>4071.04753149421</v>
      </c>
      <c r="Q3442" s="55" t="n">
        <f aca="false">SUM(G3442:J3442)</f>
        <v>12162.849622701</v>
      </c>
      <c r="R3442" s="55" t="n">
        <f aca="false">SUM(K3442:N3442)</f>
        <v>21614.3614645651</v>
      </c>
      <c r="S3442" s="56" t="n">
        <f aca="false">SUM(P3442:R3442)</f>
        <v>37848.2586187603</v>
      </c>
    </row>
    <row r="3443" customFormat="false" ht="15" hidden="false" customHeight="false" outlineLevel="0" collapsed="false">
      <c r="A3443" s="9" t="s">
        <v>562</v>
      </c>
      <c r="B3443" s="36" t="s">
        <v>125</v>
      </c>
      <c r="C3443" s="55" t="n">
        <f aca="false">C3435+C3436+C3437+C3438+C3439+C3440+C3441+C3442</f>
        <v>154229.464285714</v>
      </c>
      <c r="D3443" s="55" t="n">
        <f aca="false">D3435+D3436+D3437+D3438+D3439+D3440+D3441+D3442</f>
        <v>120614.477518857</v>
      </c>
      <c r="E3443" s="55" t="n">
        <f aca="false">E3435+E3436+E3437+E3438+E3439+E3440+E3441+E3442</f>
        <v>128195.388791009</v>
      </c>
      <c r="F3443" s="55" t="n">
        <f aca="false">F3435+F3436+F3437+F3438+F3439+F3440+F3441+F3442</f>
        <v>133384.241003638</v>
      </c>
      <c r="G3443" s="55" t="n">
        <f aca="false">G3435+G3436+G3437+G3438+G3439+G3440+G3441+G3442</f>
        <v>210700.755195389</v>
      </c>
      <c r="H3443" s="55" t="n">
        <f aca="false">H3435+H3436+H3437+H3438+H3439+H3440+H3441+H3442</f>
        <v>175690.506025707</v>
      </c>
      <c r="I3443" s="55" t="n">
        <f aca="false">I3435+I3436+I3437+I3438+I3439+I3440+I3441+I3442</f>
        <v>220975.092357213</v>
      </c>
      <c r="J3443" s="55" t="n">
        <f aca="false">J3435+J3436+J3437+J3438+J3439+J3440+J3441+J3442</f>
        <v>188512.150571789</v>
      </c>
      <c r="K3443" s="55" t="n">
        <f aca="false">K3435+K3436+K3437+K3438+K3439+K3440+K3441+K3442</f>
        <v>197089.033887208</v>
      </c>
      <c r="L3443" s="55" t="n">
        <f aca="false">L3435+L3436+L3437+L3438+L3439+L3440+L3441+L3442</f>
        <v>200181.193655801</v>
      </c>
      <c r="M3443" s="55" t="n">
        <f aca="false">M3435+M3436+M3437+M3438+M3439+M3440+M3441+M3442</f>
        <v>200002.74903434</v>
      </c>
      <c r="N3443" s="55" t="n">
        <f aca="false">N3435+N3436+N3437+N3438+N3439+N3440+N3441+N3442</f>
        <v>199315.7873581</v>
      </c>
      <c r="P3443" s="55" t="n">
        <f aca="false">SUM(C3443:F3443)</f>
        <v>536423.571599218</v>
      </c>
      <c r="Q3443" s="55" t="n">
        <f aca="false">SUM(G3443:J3443)</f>
        <v>795878.504150098</v>
      </c>
      <c r="R3443" s="55" t="n">
        <f aca="false">SUM(K3443:N3443)</f>
        <v>796588.763935449</v>
      </c>
      <c r="S3443" s="56" t="n">
        <f aca="false">SUM(P3443:R3443)</f>
        <v>2128890.83968476</v>
      </c>
    </row>
    <row r="3444" customFormat="false" ht="15" hidden="false" customHeight="false" outlineLevel="0" collapsed="false">
      <c r="A3444" s="4" t="s">
        <v>563</v>
      </c>
      <c r="B3444" s="36" t="s">
        <v>125</v>
      </c>
      <c r="C3444" s="54" t="n">
        <f aca="false">C3432*Assumptions!$E$72/Assumptions!$E$69/4</f>
        <v>56535.7142857143</v>
      </c>
      <c r="D3444" s="54" t="n">
        <f aca="false">D3432*Assumptions!$E$72/Assumptions!$E$69/4</f>
        <v>56535.7142857143</v>
      </c>
      <c r="E3444" s="54" t="n">
        <f aca="false">E3432*Assumptions!$E$72/Assumptions!$E$69/4</f>
        <v>56535.7142857143</v>
      </c>
      <c r="F3444" s="54" t="n">
        <f aca="false">F3432*Assumptions!$E$72/Assumptions!$E$69/4</f>
        <v>56535.7142857143</v>
      </c>
      <c r="G3444" s="54" t="n">
        <f aca="false">G3432*Assumptions!$E$72/Assumptions!$E$69/4</f>
        <v>28267.8571428571</v>
      </c>
      <c r="H3444" s="54" t="n">
        <f aca="false">H3432*Assumptions!$E$72/Assumptions!$E$69/4</f>
        <v>28267.8571428571</v>
      </c>
      <c r="I3444" s="54" t="n">
        <f aca="false">I3432*Assumptions!$E$72/Assumptions!$E$69/4</f>
        <v>28267.8571428571</v>
      </c>
      <c r="J3444" s="54" t="n">
        <f aca="false">J3432*Assumptions!$E$72/Assumptions!$E$69/4</f>
        <v>28267.8571428571</v>
      </c>
      <c r="K3444" s="54" t="n">
        <f aca="false">K3432*Assumptions!$E$72/Assumptions!$E$69/4</f>
        <v>28267.8571428571</v>
      </c>
      <c r="L3444" s="54" t="n">
        <f aca="false">L3432*Assumptions!$E$72/Assumptions!$E$69/4</f>
        <v>28267.8571428571</v>
      </c>
      <c r="M3444" s="54" t="n">
        <f aca="false">M3432*Assumptions!$E$72/Assumptions!$E$69/4</f>
        <v>28267.8571428571</v>
      </c>
      <c r="N3444" s="54" t="n">
        <f aca="false">N3432*Assumptions!$E$72/Assumptions!$E$69/4</f>
        <v>28267.8571428571</v>
      </c>
      <c r="P3444" s="55" t="n">
        <f aca="false">SUM(C3444:F3444)</f>
        <v>226142.857142857</v>
      </c>
      <c r="Q3444" s="55" t="n">
        <f aca="false">SUM(G3444:J3444)</f>
        <v>113071.428571429</v>
      </c>
      <c r="R3444" s="55" t="n">
        <f aca="false">SUM(K3444:N3444)</f>
        <v>113071.428571429</v>
      </c>
      <c r="S3444" s="56" t="n">
        <f aca="false">SUM(P3444:R3444)</f>
        <v>452285.714285714</v>
      </c>
    </row>
    <row r="3445" customFormat="false" ht="15" hidden="false" customHeight="false" outlineLevel="0" collapsed="false">
      <c r="A3445" s="4" t="s">
        <v>564</v>
      </c>
      <c r="B3445" s="36" t="s">
        <v>125</v>
      </c>
      <c r="C3445" s="54" t="n">
        <f aca="false">IF(C3370&lt;=Assumptions!$E$83,Assumptions!$E$82*Assumptions!$D$108/Assumptions!$E$83,0)</f>
        <v>62500</v>
      </c>
      <c r="D3445" s="54" t="n">
        <f aca="false">IF(D3370&lt;=Assumptions!$E$83,Assumptions!$E$82*Assumptions!$D$108/Assumptions!$E$83,0)</f>
        <v>62500</v>
      </c>
      <c r="E3445" s="54" t="n">
        <f aca="false">IF(E3370&lt;=Assumptions!$E$83,Assumptions!$E$82*Assumptions!$D$108/Assumptions!$E$83,0)</f>
        <v>62500</v>
      </c>
      <c r="F3445" s="54" t="n">
        <f aca="false">IF(F3370&lt;=Assumptions!$E$83,Assumptions!$E$82*Assumptions!$D$108/Assumptions!$E$83,0)</f>
        <v>62500</v>
      </c>
      <c r="G3445" s="54" t="n">
        <f aca="false">IF(G3370&lt;=Assumptions!$E$83,Assumptions!$E$82*Assumptions!$D$108/Assumptions!$E$83,0)</f>
        <v>0</v>
      </c>
      <c r="H3445" s="54" t="n">
        <f aca="false">IF(H3370&lt;=Assumptions!$E$83,Assumptions!$E$82*Assumptions!$D$108/Assumptions!$E$83,0)</f>
        <v>0</v>
      </c>
      <c r="I3445" s="54" t="n">
        <f aca="false">IF(I3370&lt;=Assumptions!$E$83,Assumptions!$E$82*Assumptions!$D$108/Assumptions!$E$83,0)</f>
        <v>0</v>
      </c>
      <c r="J3445" s="54" t="n">
        <f aca="false">IF(J3370&lt;=Assumptions!$E$83,Assumptions!$E$82*Assumptions!$D$108/Assumptions!$E$83,0)</f>
        <v>0</v>
      </c>
      <c r="K3445" s="54" t="n">
        <f aca="false">IF(K3370&lt;=Assumptions!$E$83,Assumptions!$E$82*Assumptions!$D$108/Assumptions!$E$83,0)</f>
        <v>0</v>
      </c>
      <c r="L3445" s="54" t="n">
        <f aca="false">IF(L3370&lt;=Assumptions!$E$83,Assumptions!$E$82*Assumptions!$D$108/Assumptions!$E$83,0)</f>
        <v>0</v>
      </c>
      <c r="M3445" s="54" t="n">
        <f aca="false">IF(M3370&lt;=Assumptions!$E$83,Assumptions!$E$82*Assumptions!$D$108/Assumptions!$E$83,0)</f>
        <v>0</v>
      </c>
      <c r="N3445" s="54" t="n">
        <f aca="false">IF(N3370&lt;=Assumptions!$E$83,Assumptions!$E$82*Assumptions!$D$108/Assumptions!$E$83,0)</f>
        <v>0</v>
      </c>
      <c r="P3445" s="55" t="n">
        <f aca="false">SUM(C3445:F3445)</f>
        <v>250000</v>
      </c>
      <c r="Q3445" s="55" t="n">
        <f aca="false">SUM(G3445:J3445)</f>
        <v>0</v>
      </c>
      <c r="R3445" s="55" t="n">
        <f aca="false">SUM(K3445:N3445)</f>
        <v>0</v>
      </c>
      <c r="S3445" s="56" t="n">
        <f aca="false">SUM(P3445:R3445)</f>
        <v>250000</v>
      </c>
    </row>
    <row r="3446" customFormat="false" ht="15" hidden="false" customHeight="false" outlineLevel="0" collapsed="false">
      <c r="A3446" s="4" t="s">
        <v>565</v>
      </c>
      <c r="B3446" s="36" t="s">
        <v>125</v>
      </c>
      <c r="C3446" s="54" t="n">
        <f aca="false">C3434*Assumptions!$E$73/Assumptions!$E$69/4</f>
        <v>0</v>
      </c>
      <c r="D3446" s="54" t="n">
        <f aca="false">D3434*Assumptions!$E$73/Assumptions!$E$69/4</f>
        <v>497.541043240047</v>
      </c>
      <c r="E3446" s="54" t="n">
        <f aca="false">E3434*Assumptions!$E$73/Assumptions!$E$69/4</f>
        <v>1387.25245074255</v>
      </c>
      <c r="F3446" s="54" t="n">
        <f aca="false">F3434*Assumptions!$E$73/Assumptions!$E$69/4</f>
        <v>2407.89144695302</v>
      </c>
      <c r="G3446" s="54" t="n">
        <f aca="false">G3434*Assumptions!$E$73/Assumptions!$E$69/4</f>
        <v>3528.70692361719</v>
      </c>
      <c r="H3446" s="54" t="n">
        <f aca="false">H3434*Assumptions!$E$73/Assumptions!$E$69/4</f>
        <v>4907.30198976293</v>
      </c>
      <c r="I3446" s="54" t="n">
        <f aca="false">I3434*Assumptions!$E$73/Assumptions!$E$69/4</f>
        <v>6531.61812783254</v>
      </c>
      <c r="J3446" s="54" t="n">
        <f aca="false">J3434*Assumptions!$E$73/Assumptions!$E$69/4</f>
        <v>8726.38037866432</v>
      </c>
      <c r="K3446" s="54" t="n">
        <f aca="false">K3434*Assumptions!$E$73/Assumptions!$E$69/4</f>
        <v>11466.9356003665</v>
      </c>
      <c r="L3446" s="54" t="n">
        <f aca="false">L3434*Assumptions!$E$73/Assumptions!$E$69/4</f>
        <v>14241.2279422931</v>
      </c>
      <c r="M3446" s="54" t="n">
        <f aca="false">M3434*Assumptions!$E$73/Assumptions!$E$69/4</f>
        <v>16882.5215849251</v>
      </c>
      <c r="N3446" s="54" t="n">
        <f aca="false">N3434*Assumptions!$E$73/Assumptions!$E$69/4</f>
        <v>19386.5777096184</v>
      </c>
      <c r="P3446" s="55" t="n">
        <f aca="false">SUM(C3446:F3446)</f>
        <v>4292.68494093562</v>
      </c>
      <c r="Q3446" s="55" t="n">
        <f aca="false">SUM(G3446:J3446)</f>
        <v>23694.007419877</v>
      </c>
      <c r="R3446" s="55" t="n">
        <f aca="false">SUM(K3446:N3446)</f>
        <v>61977.2628372031</v>
      </c>
      <c r="S3446" s="56" t="n">
        <f aca="false">SUM(P3446:R3446)</f>
        <v>89963.9551980157</v>
      </c>
    </row>
    <row r="3447" customFormat="false" ht="15" hidden="false" customHeight="false" outlineLevel="0" collapsed="false">
      <c r="A3447" s="9" t="s">
        <v>566</v>
      </c>
      <c r="B3447" s="36" t="s">
        <v>125</v>
      </c>
      <c r="C3447" s="55" t="n">
        <f aca="false">C3443+C3444+C3445+C3446</f>
        <v>273265.178571429</v>
      </c>
      <c r="D3447" s="55" t="n">
        <f aca="false">D3443+D3444+D3445+D3446</f>
        <v>240147.732847811</v>
      </c>
      <c r="E3447" s="55" t="n">
        <f aca="false">E3443+E3444+E3445+E3446</f>
        <v>248618.355527466</v>
      </c>
      <c r="F3447" s="55" t="n">
        <f aca="false">F3443+F3444+F3445+F3446</f>
        <v>254827.846736305</v>
      </c>
      <c r="G3447" s="55" t="n">
        <f aca="false">G3443+G3444+G3445+G3446</f>
        <v>242497.319261863</v>
      </c>
      <c r="H3447" s="55" t="n">
        <f aca="false">H3443+H3444+H3445+H3446</f>
        <v>208865.665158327</v>
      </c>
      <c r="I3447" s="55" t="n">
        <f aca="false">I3443+I3444+I3445+I3446</f>
        <v>255774.567627902</v>
      </c>
      <c r="J3447" s="55" t="n">
        <f aca="false">J3443+J3444+J3445+J3446</f>
        <v>225506.388093311</v>
      </c>
      <c r="K3447" s="55" t="n">
        <f aca="false">K3443+K3444+K3445+K3446</f>
        <v>236823.826630432</v>
      </c>
      <c r="L3447" s="55" t="n">
        <f aca="false">L3443+L3444+L3445+L3446</f>
        <v>242690.278740951</v>
      </c>
      <c r="M3447" s="55" t="n">
        <f aca="false">M3443+M3444+M3445+M3446</f>
        <v>245153.127762122</v>
      </c>
      <c r="N3447" s="55" t="n">
        <f aca="false">N3443+N3444+N3445+N3446</f>
        <v>246970.222210575</v>
      </c>
      <c r="P3447" s="55" t="n">
        <f aca="false">SUM(C3447:F3447)</f>
        <v>1016859.11368301</v>
      </c>
      <c r="Q3447" s="55" t="n">
        <f aca="false">SUM(G3447:J3447)</f>
        <v>932643.940141404</v>
      </c>
      <c r="R3447" s="55" t="n">
        <f aca="false">SUM(K3447:N3447)</f>
        <v>971637.45534408</v>
      </c>
      <c r="S3447" s="56" t="n">
        <f aca="false">SUM(P3447:R3447)</f>
        <v>2921140.50916849</v>
      </c>
    </row>
    <row r="3448" customFormat="false" ht="15" hidden="false" customHeight="false" outlineLevel="0" collapsed="false">
      <c r="A3448" s="35" t="s">
        <v>567</v>
      </c>
      <c r="B3448" s="35" t="s">
        <v>444</v>
      </c>
      <c r="C3448" s="6" t="s">
        <v>354</v>
      </c>
      <c r="D3448" s="6" t="s">
        <v>355</v>
      </c>
      <c r="E3448" s="6" t="s">
        <v>356</v>
      </c>
      <c r="F3448" s="6" t="s">
        <v>357</v>
      </c>
      <c r="G3448" s="6" t="s">
        <v>358</v>
      </c>
      <c r="H3448" s="6" t="s">
        <v>359</v>
      </c>
      <c r="I3448" s="6" t="s">
        <v>360</v>
      </c>
      <c r="J3448" s="6" t="s">
        <v>361</v>
      </c>
      <c r="K3448" s="6" t="s">
        <v>362</v>
      </c>
      <c r="L3448" s="6" t="s">
        <v>363</v>
      </c>
      <c r="M3448" s="6" t="s">
        <v>364</v>
      </c>
      <c r="N3448" s="6" t="s">
        <v>365</v>
      </c>
      <c r="P3448" s="6" t="s">
        <v>445</v>
      </c>
      <c r="Q3448" s="6" t="s">
        <v>446</v>
      </c>
      <c r="R3448" s="6" t="s">
        <v>447</v>
      </c>
      <c r="S3448" s="6" t="s">
        <v>448</v>
      </c>
    </row>
    <row r="3449" customFormat="false" ht="15" hidden="false" customHeight="false" outlineLevel="0" collapsed="false">
      <c r="A3449" s="9" t="s">
        <v>568</v>
      </c>
      <c r="B3449" s="36" t="s">
        <v>125</v>
      </c>
      <c r="C3449" s="55" t="n">
        <f aca="false">C3427-C3447</f>
        <v>-273265.178571429</v>
      </c>
      <c r="D3449" s="55" t="n">
        <f aca="false">D3427-D3447</f>
        <v>-239524.017345946</v>
      </c>
      <c r="E3449" s="55" t="n">
        <f aca="false">E3427-E3447</f>
        <v>-246002.397119955</v>
      </c>
      <c r="F3449" s="55" t="n">
        <f aca="false">F3427-F3447</f>
        <v>-249102.121773033</v>
      </c>
      <c r="G3449" s="55" t="n">
        <f aca="false">G3427-G3447</f>
        <v>-233049.728086842</v>
      </c>
      <c r="H3449" s="55" t="n">
        <f aca="false">H3427-H3447</f>
        <v>-195002.178758151</v>
      </c>
      <c r="I3449" s="55" t="n">
        <f aca="false">I3427-I3447</f>
        <v>-236556.035283601</v>
      </c>
      <c r="J3449" s="55" t="n">
        <f aca="false">J3427-J3447</f>
        <v>-199496.357373405</v>
      </c>
      <c r="K3449" s="55" t="n">
        <f aca="false">K3427-K3447</f>
        <v>-202020.112027366</v>
      </c>
      <c r="L3449" s="55" t="n">
        <f aca="false">L3427-L3447</f>
        <v>-197649.053465216</v>
      </c>
      <c r="M3449" s="55" t="n">
        <f aca="false">M3427-M3447</f>
        <v>-189453.743106375</v>
      </c>
      <c r="N3449" s="55" t="n">
        <f aca="false">N3427-N3447</f>
        <v>-180611.757330131</v>
      </c>
      <c r="P3449" s="55" t="n">
        <f aca="false">SUM(C3449:F3449)</f>
        <v>-1007893.71481036</v>
      </c>
      <c r="Q3449" s="55" t="n">
        <f aca="false">SUM(G3449:J3449)</f>
        <v>-864104.299501999</v>
      </c>
      <c r="R3449" s="55" t="n">
        <f aca="false">SUM(K3449:N3449)</f>
        <v>-769734.665929088</v>
      </c>
      <c r="S3449" s="56" t="n">
        <f aca="false">SUM(P3449:R3449)</f>
        <v>-2641732.68024145</v>
      </c>
    </row>
    <row r="3450" customFormat="false" ht="15" hidden="false" customHeight="false" outlineLevel="0" collapsed="false">
      <c r="A3450" s="9" t="s">
        <v>569</v>
      </c>
      <c r="B3450" s="36" t="s">
        <v>125</v>
      </c>
      <c r="C3450" s="55" t="n">
        <f aca="false">0+C3449</f>
        <v>-273265.178571429</v>
      </c>
      <c r="D3450" s="55" t="n">
        <f aca="false">C3450+D3449</f>
        <v>-512789.195917375</v>
      </c>
      <c r="E3450" s="55" t="n">
        <f aca="false">D3450+E3449</f>
        <v>-758791.59303733</v>
      </c>
      <c r="F3450" s="55" t="n">
        <f aca="false">E3450+F3449</f>
        <v>-1007893.71481036</v>
      </c>
      <c r="G3450" s="55" t="n">
        <f aca="false">F3450+G3449</f>
        <v>-1240943.4428972</v>
      </c>
      <c r="H3450" s="55" t="n">
        <f aca="false">G3450+H3449</f>
        <v>-1435945.62165536</v>
      </c>
      <c r="I3450" s="55" t="n">
        <f aca="false">H3450+I3449</f>
        <v>-1672501.65693896</v>
      </c>
      <c r="J3450" s="55" t="n">
        <f aca="false">I3450+J3449</f>
        <v>-1871998.01431236</v>
      </c>
      <c r="K3450" s="55" t="n">
        <f aca="false">J3450+K3449</f>
        <v>-2074018.12633973</v>
      </c>
      <c r="L3450" s="55" t="n">
        <f aca="false">K3450+L3449</f>
        <v>-2271667.17980494</v>
      </c>
      <c r="M3450" s="55" t="n">
        <f aca="false">L3450+M3449</f>
        <v>-2461120.92291132</v>
      </c>
      <c r="N3450" s="55" t="n">
        <f aca="false">M3450+N3449</f>
        <v>-2641732.68024145</v>
      </c>
      <c r="P3450" s="55" t="n">
        <f aca="false">F3450</f>
        <v>-1007893.71481036</v>
      </c>
      <c r="Q3450" s="55" t="n">
        <f aca="false">J3450</f>
        <v>-1871998.01431236</v>
      </c>
      <c r="R3450" s="55" t="n">
        <f aca="false">N3450</f>
        <v>-2641732.68024145</v>
      </c>
      <c r="S3450" s="56" t="n">
        <f aca="false">R3450</f>
        <v>-2641732.68024145</v>
      </c>
    </row>
    <row r="3451" customFormat="false" ht="15" hidden="false" customHeight="false" outlineLevel="0" collapsed="false">
      <c r="A3451" s="4" t="s">
        <v>570</v>
      </c>
      <c r="B3451" s="36" t="s">
        <v>107</v>
      </c>
      <c r="C3451" s="57" t="n">
        <f aca="false">1/(1+Assumptions!$E$87)^(C3370/4)</f>
        <v>0.972065420906982</v>
      </c>
      <c r="D3451" s="57" t="n">
        <f aca="false">1/(1+Assumptions!$E$87)^(D3370/4)</f>
        <v>0.944911182523068</v>
      </c>
      <c r="E3451" s="57" t="n">
        <f aca="false">1/(1+Assumptions!$E$87)^(E3370/4)</f>
        <v>0.918515486359</v>
      </c>
      <c r="F3451" s="57" t="n">
        <f aca="false">1/(1+Assumptions!$E$87)^(F3370/4)</f>
        <v>0.892857142857143</v>
      </c>
      <c r="G3451" s="57" t="n">
        <f aca="false">1/(1+Assumptions!$E$87)^(G3370/4)</f>
        <v>0.867915554381234</v>
      </c>
      <c r="H3451" s="57" t="n">
        <f aca="false">1/(1+Assumptions!$E$87)^(H3370/4)</f>
        <v>0.843670698681311</v>
      </c>
      <c r="I3451" s="57" t="n">
        <f aca="false">1/(1+Assumptions!$E$87)^(I3370/4)</f>
        <v>0.820103112820536</v>
      </c>
      <c r="J3451" s="57" t="n">
        <f aca="false">1/(1+Assumptions!$E$87)^(J3370/4)</f>
        <v>0.79719387755102</v>
      </c>
      <c r="K3451" s="57" t="n">
        <f aca="false">1/(1+Assumptions!$E$87)^(K3370/4)</f>
        <v>0.774924602126102</v>
      </c>
      <c r="L3451" s="57" t="n">
        <f aca="false">1/(1+Assumptions!$E$87)^(L3370/4)</f>
        <v>0.753277409536885</v>
      </c>
      <c r="M3451" s="57" t="n">
        <f aca="false">1/(1+Assumptions!$E$87)^(M3370/4)</f>
        <v>0.732234922161193</v>
      </c>
      <c r="N3451" s="57" t="n">
        <f aca="false">1/(1+Assumptions!$E$87)^(N3370/4)</f>
        <v>0.711780247813411</v>
      </c>
      <c r="P3451" s="58"/>
      <c r="Q3451" s="58"/>
      <c r="R3451" s="58"/>
      <c r="S3451" s="59"/>
    </row>
    <row r="3452" customFormat="false" ht="15" hidden="false" customHeight="false" outlineLevel="0" collapsed="false">
      <c r="A3452" s="4" t="s">
        <v>571</v>
      </c>
      <c r="B3452" s="36" t="s">
        <v>125</v>
      </c>
      <c r="C3452" s="54" t="n">
        <f aca="false">(C3427*(1-Assumptions!$E$88)-C3447)*C3451</f>
        <v>-265631.630827257</v>
      </c>
      <c r="D3452" s="54" t="n">
        <f aca="false">(D3427*(1-Assumptions!$E$88)-D3447)*D3451</f>
        <v>-226446.793623519</v>
      </c>
      <c r="E3452" s="54" t="n">
        <f aca="false">(E3427*(1-Assumptions!$E$88)-E3447)*E3451</f>
        <v>-226437.571097909</v>
      </c>
      <c r="F3452" s="54" t="n">
        <f aca="false">(F3427*(1-Assumptions!$E$88)-F3447)*F3451</f>
        <v>-223435.059612221</v>
      </c>
      <c r="G3452" s="54" t="n">
        <f aca="false">(G3427*(1-Assumptions!$E$88)-G3447)*G3451</f>
        <v>-203907.426217334</v>
      </c>
      <c r="H3452" s="54" t="n">
        <f aca="false">(H3427*(1-Assumptions!$E$88)-H3447)*H3451</f>
        <v>-166856.867848746</v>
      </c>
      <c r="I3452" s="54" t="n">
        <f aca="false">(I3427*(1-Assumptions!$E$88)-I3447)*I3451</f>
        <v>-197152.576532446</v>
      </c>
      <c r="J3452" s="54" t="n">
        <f aca="false">(J3427*(1-Assumptions!$E$88)-J3447)*J3451</f>
        <v>-163184.282140773</v>
      </c>
      <c r="K3452" s="54" t="n">
        <f aca="false">(K3427*(1-Assumptions!$E$88)-K3447)*K3451</f>
        <v>-161944.405872535</v>
      </c>
      <c r="L3452" s="54" t="n">
        <f aca="false">(L3427*(1-Assumptions!$E$88)-L3447)*L3451</f>
        <v>-155670.27449131</v>
      </c>
      <c r="M3452" s="54" t="n">
        <f aca="false">(M3427*(1-Assumptions!$E$88)-M3447)*M3451</f>
        <v>-146881.653754209</v>
      </c>
      <c r="N3452" s="54" t="n">
        <f aca="false">(N3427*(1-Assumptions!$E$88)-N3447)*N3451</f>
        <v>-138002.41030588</v>
      </c>
      <c r="P3452" s="55" t="n">
        <f aca="false">SUM(C3452:F3452)</f>
        <v>-941951.055160906</v>
      </c>
      <c r="Q3452" s="55" t="n">
        <f aca="false">SUM(G3452:J3452)</f>
        <v>-731101.152739301</v>
      </c>
      <c r="R3452" s="55" t="n">
        <f aca="false">SUM(K3452:N3452)</f>
        <v>-602498.744423934</v>
      </c>
      <c r="S3452" s="56" t="n">
        <f aca="false">SUM(P3452:R3452)</f>
        <v>-2275550.95232414</v>
      </c>
    </row>
    <row r="3453" customFormat="false" ht="15" hidden="false" customHeight="false" outlineLevel="0" collapsed="false">
      <c r="A3453" s="4" t="s">
        <v>572</v>
      </c>
      <c r="B3453" s="36" t="s">
        <v>125</v>
      </c>
      <c r="C3453" s="54" t="n">
        <f aca="false">(C3447-C3446)*12/(Assumptions!$E$89*Assumptions!$E$76)*Assumptions!$E$90</f>
        <v>189183.585164835</v>
      </c>
      <c r="D3453" s="54" t="n">
        <f aca="false">(D3447-D3446)*12/(Assumptions!$E$89*Assumptions!$E$76)*Assumptions!$E$90</f>
        <v>165911.671249318</v>
      </c>
      <c r="E3453" s="54" t="n">
        <f aca="false">(E3447-E3446)*12/(Assumptions!$E$89*Assumptions!$E$76)*Assumptions!$E$90</f>
        <v>171159.994437731</v>
      </c>
      <c r="F3453" s="54" t="n">
        <f aca="false">(F3447-F3446)*12/(Assumptions!$E$89*Assumptions!$E$76)*Assumptions!$E$90</f>
        <v>174752.276738782</v>
      </c>
      <c r="G3453" s="54" t="n">
        <f aca="false">(G3447-G3446)*12/(Assumptions!$E$89*Assumptions!$E$76)*Assumptions!$E$90</f>
        <v>165439.808541863</v>
      </c>
      <c r="H3453" s="54" t="n">
        <f aca="false">(H3447-H3446)*12/(Assumptions!$E$89*Assumptions!$E$76)*Assumptions!$E$90</f>
        <v>141201.943732083</v>
      </c>
      <c r="I3453" s="54" t="n">
        <f aca="false">(I3447-I3446)*12/(Assumptions!$E$89*Assumptions!$E$76)*Assumptions!$E$90</f>
        <v>172552.811192356</v>
      </c>
      <c r="J3453" s="54" t="n">
        <f aca="false">(J3447-J3446)*12/(Assumptions!$E$89*Assumptions!$E$76)*Assumptions!$E$90</f>
        <v>150078.46687937</v>
      </c>
      <c r="K3453" s="54" t="n">
        <f aca="false">(K3447-K3446)*12/(Assumptions!$E$89*Assumptions!$E$76)*Assumptions!$E$90</f>
        <v>156016.309174661</v>
      </c>
      <c r="L3453" s="54" t="n">
        <f aca="false">(L3447-L3446)*12/(Assumptions!$E$89*Assumptions!$E$76)*Assumptions!$E$90</f>
        <v>158157.035168302</v>
      </c>
      <c r="M3453" s="54" t="n">
        <f aca="false">(M3447-M3446)*12/(Assumptions!$E$89*Assumptions!$E$76)*Assumptions!$E$90</f>
        <v>158033.496584213</v>
      </c>
      <c r="N3453" s="54" t="n">
        <f aca="false">(N3447-N3446)*12/(Assumptions!$E$89*Assumptions!$E$76)*Assumptions!$E$90</f>
        <v>157557.907731432</v>
      </c>
      <c r="P3453" s="55" t="n">
        <f aca="false">SUM(C3453:F3453)</f>
        <v>701007.527590667</v>
      </c>
      <c r="Q3453" s="55" t="n">
        <f aca="false">SUM(G3453:J3453)</f>
        <v>629273.030345672</v>
      </c>
      <c r="R3453" s="55" t="n">
        <f aca="false">SUM(K3453:N3453)</f>
        <v>629764.748658607</v>
      </c>
      <c r="S3453" s="56" t="n">
        <f aca="false">SUM(P3453:R3453)</f>
        <v>1960045.30659495</v>
      </c>
    </row>
    <row r="3454" customFormat="false" ht="15" hidden="false" customHeight="false" outlineLevel="0" collapsed="false">
      <c r="A3454" s="4" t="s">
        <v>573</v>
      </c>
      <c r="B3454" s="36" t="s">
        <v>125</v>
      </c>
      <c r="C3454" s="54" t="n">
        <f aca="false">0*Assumptions!$E$92^(1/4)+C3453</f>
        <v>189183.585164835</v>
      </c>
      <c r="D3454" s="54" t="n">
        <f aca="false">C3454*Assumptions!$E$92^(1/4)+D3453</f>
        <v>355566.452056333</v>
      </c>
      <c r="E3454" s="54" t="n">
        <f aca="false">D3454*Assumptions!$E$92^(1/4)+E3453</f>
        <v>527612.048501067</v>
      </c>
      <c r="F3454" s="54" t="n">
        <f aca="false">E3454*Assumptions!$E$92^(1/4)+F3453</f>
        <v>703678.437655038</v>
      </c>
      <c r="G3454" s="54" t="n">
        <f aca="false">F3454*Assumptions!$E$92^(1/4)+G3453</f>
        <v>870870.883525502</v>
      </c>
      <c r="H3454" s="54" t="n">
        <f aca="false">G3454*Assumptions!$E$92^(1/4)+H3453</f>
        <v>1014241.88735263</v>
      </c>
      <c r="I3454" s="54" t="n">
        <f aca="false">H3454*Assumptions!$E$92^(1/4)+I3453</f>
        <v>1189320.84983353</v>
      </c>
      <c r="J3454" s="54" t="n">
        <f aca="false">I3454*Assumptions!$E$92^(1/4)+J3453</f>
        <v>1342361.53355167</v>
      </c>
      <c r="K3454" s="54" t="n">
        <f aca="false">J3454*Assumptions!$E$92^(1/4)+K3453</f>
        <v>1501721.23483029</v>
      </c>
      <c r="L3454" s="54" t="n">
        <f aca="false">K3454*Assumptions!$E$92^(1/4)+L3453</f>
        <v>1663618.57601406</v>
      </c>
      <c r="M3454" s="54" t="n">
        <f aca="false">L3454*Assumptions!$E$92^(1/4)+M3453</f>
        <v>1825795.61297247</v>
      </c>
      <c r="N3454" s="54" t="n">
        <f aca="false">M3454*Assumptions!$E$92^(1/4)+N3453</f>
        <v>1987900.99206931</v>
      </c>
      <c r="P3454" s="55" t="n">
        <f aca="false">F3454</f>
        <v>703678.437655038</v>
      </c>
      <c r="Q3454" s="55" t="n">
        <f aca="false">J3454</f>
        <v>1342361.53355167</v>
      </c>
      <c r="R3454" s="55" t="n">
        <f aca="false">N3454</f>
        <v>1987900.99206931</v>
      </c>
      <c r="S3454" s="56" t="n">
        <f aca="false">R3454</f>
        <v>1987900.99206931</v>
      </c>
    </row>
    <row r="3455" customFormat="false" ht="15" hidden="false" customHeight="false" outlineLevel="0" collapsed="false">
      <c r="A3455" s="4" t="s">
        <v>574</v>
      </c>
      <c r="B3455" s="36" t="s">
        <v>125</v>
      </c>
      <c r="C3455" s="54" t="n">
        <f aca="false">(0+C3454)/8*Assumptions!$E$76-(C3447-C3446)-C3454*Assumptions!$E$93/4</f>
        <v>-260258.807091346</v>
      </c>
      <c r="D3455" s="54" t="n">
        <f aca="false">(C3454+D3454)/8*Assumptions!$E$76-(D3447-D3446)-D3454*Assumptions!$E$93/4</f>
        <v>-199833.831931055</v>
      </c>
      <c r="E3455" s="54" t="n">
        <f aca="false">(D3454+E3454)/8*Assumptions!$E$76-(E3447-E3446)-E3454*Assumptions!$E$93/4</f>
        <v>-182068.000512698</v>
      </c>
      <c r="F3455" s="54" t="n">
        <f aca="false">(E3454+F3454)/8*Assumptions!$E$76-(F3447-F3446)-F3454*Assumptions!$E$93/4</f>
        <v>-161173.583759856</v>
      </c>
      <c r="G3455" s="54" t="n">
        <f aca="false">(F3454+G3454)/8*Assumptions!$E$76-(G3447-G3446)-G3454*Assumptions!$E$93/4</f>
        <v>-121922.366036396</v>
      </c>
      <c r="H3455" s="54" t="n">
        <f aca="false">(G3454+H3454)/8*Assumptions!$E$76-(H3447-H3446)-H3454*Assumptions!$E$93/4</f>
        <v>-63470.9741266244</v>
      </c>
      <c r="I3455" s="54" t="n">
        <f aca="false">(H3454+I3454)/8*Assumptions!$E$76-(I3447-I3446)-I3454*Assumptions!$E$93/4</f>
        <v>-85069.9877266139</v>
      </c>
      <c r="J3455" s="54" t="n">
        <f aca="false">(I3454+J3454)/8*Assumptions!$E$76-(J3447-J3446)-J3454*Assumptions!$E$93/4</f>
        <v>-27860.3332339945</v>
      </c>
      <c r="K3455" s="54" t="n">
        <f aca="false">(J3454+K3454)/8*Assumptions!$E$76-(K3447-K3446)-K3454*Assumptions!$E$93/4</f>
        <v>-13046.6815344097</v>
      </c>
      <c r="L3455" s="54" t="n">
        <f aca="false">(K3454+L3454)/8*Assumptions!$E$76-(L3447-L3446)-L3454*Assumptions!$E$93/4</f>
        <v>7939.57663226979</v>
      </c>
      <c r="M3455" s="54" t="n">
        <f aca="false">(L3454+M3454)/8*Assumptions!$E$76-(M3447-M3446)-M3454*Assumptions!$E$93/4</f>
        <v>32421.851515803</v>
      </c>
      <c r="N3455" s="54" t="n">
        <f aca="false">(M3454+N3454)/8*Assumptions!$E$76-(N3447-N3446)-N3454*Assumptions!$E$93/4</f>
        <v>57430.4422578213</v>
      </c>
      <c r="P3455" s="55" t="n">
        <f aca="false">SUM(C3455:F3455)</f>
        <v>-803334.223294956</v>
      </c>
      <c r="Q3455" s="55" t="n">
        <f aca="false">SUM(G3455:J3455)</f>
        <v>-298323.661123629</v>
      </c>
      <c r="R3455" s="55" t="n">
        <f aca="false">SUM(K3455:N3455)</f>
        <v>84745.1888714844</v>
      </c>
      <c r="S3455" s="56" t="n">
        <f aca="false">SUM(P3455:R3455)</f>
        <v>-1016912.6955471</v>
      </c>
    </row>
    <row r="3456" customFormat="false" ht="15" hidden="false" customHeight="false" outlineLevel="0" collapsed="false">
      <c r="A3456" s="4" t="s">
        <v>575</v>
      </c>
      <c r="B3456" s="36" t="s">
        <v>125</v>
      </c>
      <c r="C3456" s="54" t="n">
        <f aca="false">C3455*C3451</f>
        <v>-252988.586859998</v>
      </c>
      <c r="D3456" s="54" t="n">
        <f aca="false">D3455*D3451</f>
        <v>-188825.222438089</v>
      </c>
      <c r="E3456" s="54" t="n">
        <f aca="false">E3455*E3451</f>
        <v>-167232.278041331</v>
      </c>
      <c r="F3456" s="54" t="n">
        <f aca="false">F3455*F3451</f>
        <v>-143904.985499872</v>
      </c>
      <c r="G3456" s="54" t="n">
        <f aca="false">G3455*G3451</f>
        <v>-105818.317909951</v>
      </c>
      <c r="H3456" s="54" t="n">
        <f aca="false">H3455*H3451</f>
        <v>-53548.6010873926</v>
      </c>
      <c r="I3456" s="54" t="n">
        <f aca="false">I3455*I3451</f>
        <v>-69766.1617422008</v>
      </c>
      <c r="J3456" s="54" t="n">
        <f aca="false">J3455*J3451</f>
        <v>-22210.0870806716</v>
      </c>
      <c r="K3456" s="54" t="n">
        <f aca="false">K3455*K3451</f>
        <v>-10110.1944971184</v>
      </c>
      <c r="L3456" s="54" t="n">
        <f aca="false">L3455*L3451</f>
        <v>5980.70371837577</v>
      </c>
      <c r="M3456" s="54" t="n">
        <f aca="false">M3455*M3451</f>
        <v>23740.4119209957</v>
      </c>
      <c r="N3456" s="54" t="n">
        <f aca="false">N3455*N3451</f>
        <v>40877.8544223058</v>
      </c>
      <c r="P3456" s="55" t="n">
        <f aca="false">SUM(C3456:F3456)</f>
        <v>-752951.072839291</v>
      </c>
      <c r="Q3456" s="55" t="n">
        <f aca="false">SUM(G3456:J3456)</f>
        <v>-251343.167820216</v>
      </c>
      <c r="R3456" s="55" t="n">
        <f aca="false">SUM(K3456:N3456)</f>
        <v>60488.7755645589</v>
      </c>
      <c r="S3456" s="56" t="n">
        <f aca="false">SUM(P3456:R3456)</f>
        <v>-943805.465094948</v>
      </c>
    </row>
    <row r="3457" customFormat="false" ht="15" hidden="false" customHeight="false" outlineLevel="0" collapsed="false">
      <c r="A3457" s="4" t="s">
        <v>576</v>
      </c>
      <c r="B3457" s="36"/>
      <c r="C3457" s="37" t="n">
        <f aca="false">IFERROR((S3412*$C$3361*Assumptions!$E$59+S3413*$C$3362*Assumptions!$E$60+S3414*$C$3363*Assumptions!$E$61)/(S3412*$C$3361+S3413*$C$3362+S3414*$C$3363),0.9)</f>
        <v>0.897375817334615</v>
      </c>
    </row>
    <row r="3458" customFormat="false" ht="15" hidden="false" customHeight="false" outlineLevel="0" collapsed="false">
      <c r="A3458" s="4" t="s">
        <v>577</v>
      </c>
      <c r="B3458" s="36"/>
      <c r="C3458" s="37" t="n">
        <f aca="false">IFERROR(N3446*4/N3424,0)</f>
        <v>0.1758114722151</v>
      </c>
    </row>
    <row r="3459" customFormat="false" ht="15" hidden="false" customHeight="false" outlineLevel="0" collapsed="false">
      <c r="A3459" s="4" t="s">
        <v>578</v>
      </c>
      <c r="B3459" s="36"/>
      <c r="C3459" s="60" t="n">
        <f aca="false">$C$3457/(1+Assumptions!$E$87)</f>
        <v>0.801228408334478</v>
      </c>
    </row>
    <row r="3460" customFormat="false" ht="15" hidden="false" customHeight="false" outlineLevel="0" collapsed="false">
      <c r="A3460" s="4" t="s">
        <v>579</v>
      </c>
      <c r="B3460" s="36"/>
      <c r="C3460" s="60" t="n">
        <f aca="false">Assumptions!$E$91/(1+Assumptions!$E$87)</f>
        <v>0.803571428571429</v>
      </c>
    </row>
    <row r="3461" customFormat="false" ht="15" hidden="false" customHeight="false" outlineLevel="0" collapsed="false">
      <c r="A3461" s="35" t="s">
        <v>580</v>
      </c>
      <c r="B3461" s="35" t="s">
        <v>444</v>
      </c>
      <c r="C3461" s="6" t="s">
        <v>354</v>
      </c>
      <c r="D3461" s="6" t="s">
        <v>355</v>
      </c>
      <c r="E3461" s="6" t="s">
        <v>356</v>
      </c>
      <c r="F3461" s="6" t="s">
        <v>357</v>
      </c>
      <c r="G3461" s="6" t="s">
        <v>358</v>
      </c>
      <c r="H3461" s="6" t="s">
        <v>359</v>
      </c>
      <c r="I3461" s="6" t="s">
        <v>360</v>
      </c>
      <c r="J3461" s="6" t="s">
        <v>361</v>
      </c>
      <c r="K3461" s="6" t="s">
        <v>362</v>
      </c>
      <c r="L3461" s="6" t="s">
        <v>363</v>
      </c>
      <c r="M3461" s="6" t="s">
        <v>364</v>
      </c>
      <c r="N3461" s="6" t="s">
        <v>365</v>
      </c>
      <c r="P3461" s="6" t="s">
        <v>445</v>
      </c>
      <c r="Q3461" s="6" t="s">
        <v>446</v>
      </c>
      <c r="R3461" s="6" t="s">
        <v>447</v>
      </c>
      <c r="S3461" s="6" t="s">
        <v>448</v>
      </c>
    </row>
    <row r="3462" customFormat="false" ht="15" hidden="false" customHeight="false" outlineLevel="0" collapsed="false">
      <c r="A3462" s="9" t="s">
        <v>581</v>
      </c>
      <c r="C3462" s="61" t="n">
        <f aca="false">N3424</f>
        <v>441076.511455396</v>
      </c>
      <c r="D3462" s="61"/>
    </row>
    <row r="3463" customFormat="false" ht="15" hidden="false" customHeight="false" outlineLevel="0" collapsed="false">
      <c r="A3463" s="9" t="s">
        <v>582</v>
      </c>
      <c r="C3463" s="62" t="n">
        <f aca="false">N3420</f>
        <v>42.8328981584788</v>
      </c>
      <c r="D3463" s="62"/>
    </row>
    <row r="3464" customFormat="false" ht="15" hidden="false" customHeight="false" outlineLevel="0" collapsed="false">
      <c r="A3464" s="9" t="s">
        <v>583</v>
      </c>
      <c r="C3464" s="63" t="n">
        <f aca="false">S3415</f>
        <v>47.3665682208845</v>
      </c>
      <c r="D3464" s="63"/>
    </row>
    <row r="3465" customFormat="false" ht="15" hidden="false" customHeight="false" outlineLevel="0" collapsed="false">
      <c r="A3465" s="9" t="s">
        <v>584</v>
      </c>
      <c r="C3465" s="61" t="n">
        <f aca="false">S3426</f>
        <v>429858.198349299</v>
      </c>
      <c r="D3465" s="61"/>
    </row>
    <row r="3466" customFormat="false" ht="15" hidden="false" customHeight="false" outlineLevel="0" collapsed="false">
      <c r="A3466" s="9" t="s">
        <v>22</v>
      </c>
      <c r="C3466" s="61" t="n">
        <f aca="false">IFERROR(S3425/S3415,0)</f>
        <v>8849.1837774194</v>
      </c>
      <c r="D3466" s="61"/>
    </row>
    <row r="3467" customFormat="false" ht="15" hidden="false" customHeight="false" outlineLevel="0" collapsed="false">
      <c r="A3467" s="9" t="s">
        <v>585</v>
      </c>
      <c r="C3467" s="61" t="n">
        <f aca="false">IFERROR(S3443/S3415,0)</f>
        <v>44945.0090991838</v>
      </c>
      <c r="D3467" s="61"/>
    </row>
    <row r="3468" customFormat="false" ht="23.85" hidden="false" customHeight="false" outlineLevel="0" collapsed="false">
      <c r="A3468" s="9" t="s">
        <v>586</v>
      </c>
      <c r="C3468" s="61" t="n">
        <f aca="false">IFERROR((S3437+S3439+S3440+S3441+S3442)/S3415,0)</f>
        <v>17715.5114685283</v>
      </c>
      <c r="D3468" s="61"/>
    </row>
    <row r="3469" customFormat="false" ht="15" hidden="false" customHeight="false" outlineLevel="0" collapsed="false">
      <c r="A3469" s="9" t="s">
        <v>587</v>
      </c>
      <c r="C3469" s="64" t="n">
        <f aca="false">IFERROR('Engine Runs'!$C$3467/('Engine Runs'!$C$3466*Assumptions!$E$76/12),0)</f>
        <v>93.7661636382866</v>
      </c>
      <c r="D3469" s="64"/>
    </row>
    <row r="3470" customFormat="false" ht="15" hidden="false" customHeight="false" outlineLevel="0" collapsed="false">
      <c r="A3470" s="9" t="s">
        <v>588</v>
      </c>
      <c r="C3470" s="64" t="n">
        <f aca="false">IFERROR((R3443/R3415)/((R3425/R3415)*Assumptions!$E$76/12),0)</f>
        <v>61.0887294110475</v>
      </c>
      <c r="D3470" s="64"/>
    </row>
    <row r="3471" customFormat="false" ht="15" hidden="false" customHeight="false" outlineLevel="0" collapsed="false">
      <c r="A3471" s="9" t="s">
        <v>589</v>
      </c>
      <c r="C3471" s="61" t="n">
        <f aca="false">S3447</f>
        <v>2921140.50916849</v>
      </c>
      <c r="D3471" s="61"/>
    </row>
    <row r="3472" customFormat="false" ht="15" hidden="false" customHeight="false" outlineLevel="0" collapsed="false">
      <c r="A3472" s="9" t="s">
        <v>590</v>
      </c>
      <c r="C3472" s="61" t="n">
        <f aca="false">N3450</f>
        <v>-2641732.68024145</v>
      </c>
      <c r="D3472" s="61"/>
    </row>
    <row r="3473" customFormat="false" ht="15" hidden="false" customHeight="false" outlineLevel="0" collapsed="false">
      <c r="A3473" s="9" t="s">
        <v>591</v>
      </c>
      <c r="C3473" s="61" t="n">
        <f aca="false">MIN($C$3450:$N$3450)</f>
        <v>-2641732.68024145</v>
      </c>
      <c r="D3473" s="61"/>
    </row>
    <row r="3474" customFormat="false" ht="15" hidden="false" customHeight="false" outlineLevel="0" collapsed="false">
      <c r="A3474" s="9" t="s">
        <v>592</v>
      </c>
      <c r="C3474" s="61" t="n">
        <f aca="false">N3424*(Assumptions!$E$76-$C$3458)*$C$3457*(1-$C$3457^Assumptions!$E$85)/(1-$C$3457)</f>
        <v>764605.027922822</v>
      </c>
      <c r="D3474" s="61"/>
    </row>
    <row r="3475" customFormat="false" ht="15" hidden="false" customHeight="false" outlineLevel="0" collapsed="false">
      <c r="A3475" s="9" t="s">
        <v>593</v>
      </c>
      <c r="C3475" s="61" t="n">
        <f aca="false">N3424*(Assumptions!$E$76-$C$3458)*(1-Assumptions!$E$88)/(1+Assumptions!$E$87)^2.5*$C$3459*(1-$C$3459^Assumptions!$E$85)/(1-$C$3459)</f>
        <v>340294.390378213</v>
      </c>
      <c r="D3475" s="61"/>
    </row>
    <row r="3476" customFormat="false" ht="15" hidden="false" customHeight="false" outlineLevel="0" collapsed="false">
      <c r="A3476" s="9" t="s">
        <v>594</v>
      </c>
      <c r="C3476" s="61" t="n">
        <f aca="false">SUM($C$3452:$N$3452)+'Engine Runs'!$C$3475</f>
        <v>-1935256.56194593</v>
      </c>
      <c r="D3476" s="61"/>
    </row>
    <row r="3477" customFormat="false" ht="15" hidden="false" customHeight="false" outlineLevel="0" collapsed="false">
      <c r="A3477" s="9" t="s">
        <v>595</v>
      </c>
      <c r="C3477" s="61" t="n">
        <f aca="false">SUM($C$3456:$N$3456)+N3454*(Assumptions!$E$76-Assumptions!$E$93)/(1+Assumptions!$E$87)^2.5*$C$3460*(1-$C$3460^Assumptions!$E$85)/(1-$C$3460)</f>
        <v>1500206.38657962</v>
      </c>
      <c r="D3477" s="61"/>
    </row>
    <row r="3478" customFormat="false" ht="15" hidden="false" customHeight="false" outlineLevel="0" collapsed="false">
      <c r="A3478" s="9" t="s">
        <v>596</v>
      </c>
      <c r="C3478" s="61" t="n">
        <f aca="false">'Engine Runs'!$C$3476-'Engine Runs'!$C$3477</f>
        <v>-3435462.94852555</v>
      </c>
      <c r="D3478" s="61"/>
    </row>
    <row r="3479" customFormat="false" ht="15" hidden="false" customHeight="false" outlineLevel="0" collapsed="false">
      <c r="A3479" s="9" t="s">
        <v>597</v>
      </c>
      <c r="C3479" s="61" t="n">
        <f aca="false">S3411</f>
        <v>0</v>
      </c>
      <c r="D3479" s="61"/>
    </row>
    <row r="3480" customFormat="false" ht="15" hidden="false" customHeight="false" outlineLevel="0" collapsed="false">
      <c r="A3480" s="9" t="s">
        <v>598</v>
      </c>
      <c r="C3480" s="63" t="n">
        <f aca="false">P3395</f>
        <v>38.1396289842524</v>
      </c>
      <c r="D3480" s="63"/>
    </row>
    <row r="3481" customFormat="false" ht="15" hidden="false" customHeight="false" outlineLevel="0" collapsed="false">
      <c r="A3481" s="9" t="s">
        <v>599</v>
      </c>
      <c r="C3481" s="63" t="n">
        <f aca="false">P3415</f>
        <v>5.34754976053485</v>
      </c>
      <c r="D3481" s="63"/>
    </row>
    <row r="3482" customFormat="false" ht="15" hidden="false" customHeight="false" outlineLevel="0" collapsed="false">
      <c r="A3482" s="9" t="s">
        <v>600</v>
      </c>
      <c r="C3482" s="63" t="n">
        <f aca="false">P3391</f>
        <v>42</v>
      </c>
      <c r="D3482" s="63"/>
    </row>
    <row r="3483" customFormat="false" ht="15" hidden="false" customHeight="false" outlineLevel="0" collapsed="false">
      <c r="A3483" s="9" t="s">
        <v>601</v>
      </c>
      <c r="C3483" s="61" t="n">
        <f aca="false">IFERROR(P3425/P3415,0)</f>
        <v>8530.21846146182</v>
      </c>
      <c r="D3483" s="61"/>
    </row>
    <row r="3486" customFormat="false" ht="15" hidden="false" customHeight="true" outlineLevel="0" collapsed="false">
      <c r="A3486" s="78" t="s">
        <v>816</v>
      </c>
      <c r="B3486" s="78"/>
      <c r="C3486" s="78"/>
      <c r="D3486" s="78"/>
      <c r="E3486" s="78"/>
      <c r="F3486" s="78"/>
      <c r="G3486" s="78"/>
      <c r="H3486" s="78"/>
      <c r="I3486" s="78"/>
      <c r="J3486" s="78"/>
      <c r="K3486" s="78"/>
      <c r="L3486" s="78"/>
      <c r="M3486" s="78"/>
      <c r="N3486" s="78"/>
    </row>
    <row r="3487" customFormat="false" ht="15" hidden="false" customHeight="true" outlineLevel="0" collapsed="false">
      <c r="A3487" s="79" t="s">
        <v>817</v>
      </c>
      <c r="B3487" s="79"/>
      <c r="C3487" s="79"/>
      <c r="D3487" s="79"/>
      <c r="E3487" s="79"/>
      <c r="F3487" s="79"/>
      <c r="G3487" s="79"/>
      <c r="H3487" s="79"/>
      <c r="I3487" s="79"/>
      <c r="J3487" s="79"/>
      <c r="K3487" s="79"/>
      <c r="L3487" s="79"/>
      <c r="M3487" s="79"/>
      <c r="N3487" s="79"/>
    </row>
    <row r="3488" customFormat="false" ht="15" hidden="false" customHeight="false" outlineLevel="0" collapsed="false">
      <c r="A3488" s="35" t="s">
        <v>818</v>
      </c>
      <c r="B3488" s="35" t="s">
        <v>444</v>
      </c>
      <c r="C3488" s="6" t="s">
        <v>354</v>
      </c>
      <c r="D3488" s="6" t="s">
        <v>355</v>
      </c>
      <c r="E3488" s="6" t="s">
        <v>356</v>
      </c>
      <c r="F3488" s="6" t="s">
        <v>357</v>
      </c>
      <c r="G3488" s="6" t="s">
        <v>358</v>
      </c>
      <c r="H3488" s="6" t="s">
        <v>359</v>
      </c>
      <c r="I3488" s="6" t="s">
        <v>360</v>
      </c>
      <c r="J3488" s="6" t="s">
        <v>361</v>
      </c>
      <c r="K3488" s="6" t="s">
        <v>362</v>
      </c>
      <c r="L3488" s="6" t="s">
        <v>363</v>
      </c>
      <c r="M3488" s="6" t="s">
        <v>364</v>
      </c>
      <c r="N3488" s="6" t="s">
        <v>365</v>
      </c>
      <c r="P3488" s="6" t="s">
        <v>445</v>
      </c>
      <c r="Q3488" s="6" t="s">
        <v>446</v>
      </c>
      <c r="R3488" s="6" t="s">
        <v>447</v>
      </c>
      <c r="S3488" s="6" t="s">
        <v>448</v>
      </c>
    </row>
    <row r="3489" customFormat="false" ht="15" hidden="false" customHeight="false" outlineLevel="0" collapsed="false">
      <c r="A3489" s="4" t="s">
        <v>449</v>
      </c>
      <c r="B3489" s="36" t="s">
        <v>450</v>
      </c>
      <c r="C3489" s="34" t="n">
        <f aca="false">'Market Sizing'!$C$17*Assumptions!$E$10*Assumptions!$E$11*(1-Assumptions!$E$12)</f>
        <v>843.03944704</v>
      </c>
    </row>
    <row r="3490" customFormat="false" ht="15" hidden="false" customHeight="false" outlineLevel="0" collapsed="false">
      <c r="A3490" s="4" t="s">
        <v>451</v>
      </c>
      <c r="B3490" s="36" t="s">
        <v>450</v>
      </c>
      <c r="C3490" s="34" t="n">
        <f aca="false">'Market Sizing'!$D$17*Assumptions!$E$10*Assumptions!$E$11*(1-Assumptions!$E$12)</f>
        <v>211.19616</v>
      </c>
    </row>
    <row r="3491" customFormat="false" ht="15" hidden="false" customHeight="false" outlineLevel="0" collapsed="false">
      <c r="A3491" s="4" t="s">
        <v>452</v>
      </c>
      <c r="B3491" s="36" t="s">
        <v>450</v>
      </c>
      <c r="C3491" s="34" t="n">
        <f aca="false">'Market Sizing'!$E$17*Assumptions!$E$10*Assumptions!$E$11*(1-Assumptions!$E$12)</f>
        <v>49.53984</v>
      </c>
    </row>
    <row r="3492" customFormat="false" ht="15" hidden="false" customHeight="false" outlineLevel="0" collapsed="false">
      <c r="A3492" s="4" t="s">
        <v>453</v>
      </c>
      <c r="B3492" s="36"/>
      <c r="C3492" s="34" t="n">
        <f aca="false">$C$3489+$C$3490+$C$3491</f>
        <v>1103.77544704</v>
      </c>
    </row>
    <row r="3493" customFormat="false" ht="15" hidden="false" customHeight="false" outlineLevel="0" collapsed="false">
      <c r="A3493" s="4" t="s">
        <v>454</v>
      </c>
      <c r="B3493" s="36" t="s">
        <v>450</v>
      </c>
      <c r="C3493" s="34" t="n">
        <f aca="false">'Market Sizing'!$C$18*Assumptions!$E$10*Assumptions!$E$11*(1-Assumptions!$E$12)</f>
        <v>612.57706944</v>
      </c>
    </row>
    <row r="3494" customFormat="false" ht="15" hidden="false" customHeight="false" outlineLevel="0" collapsed="false">
      <c r="A3494" s="4" t="s">
        <v>455</v>
      </c>
      <c r="B3494" s="36" t="s">
        <v>450</v>
      </c>
      <c r="C3494" s="34" t="n">
        <f aca="false">'Market Sizing'!$D$18*Assumptions!$E$10*Assumptions!$E$11*(1-Assumptions!$E$12)</f>
        <v>142.10112</v>
      </c>
    </row>
    <row r="3495" customFormat="false" ht="15" hidden="false" customHeight="false" outlineLevel="0" collapsed="false">
      <c r="A3495" s="4" t="s">
        <v>456</v>
      </c>
      <c r="B3495" s="36" t="s">
        <v>450</v>
      </c>
      <c r="C3495" s="34" t="n">
        <f aca="false">'Market Sizing'!$E$18*Assumptions!$E$10*Assumptions!$E$11*(1-Assumptions!$E$12)</f>
        <v>24.76992</v>
      </c>
    </row>
    <row r="3496" customFormat="false" ht="15" hidden="false" customHeight="false" outlineLevel="0" collapsed="false">
      <c r="A3496" s="4" t="s">
        <v>457</v>
      </c>
      <c r="B3496" s="36"/>
      <c r="C3496" s="34" t="n">
        <f aca="false">$C$3493+$C$3494+$C$3495</f>
        <v>779.44810944</v>
      </c>
    </row>
    <row r="3497" customFormat="false" ht="15" hidden="false" customHeight="false" outlineLevel="0" collapsed="false">
      <c r="A3497" s="4" t="s">
        <v>458</v>
      </c>
      <c r="B3497" s="36" t="s">
        <v>450</v>
      </c>
      <c r="C3497" s="34" t="n">
        <f aca="false">'Market Sizing'!$C$19*Assumptions!$E$10*Assumptions!$E$11*(1-Assumptions!$E$12)</f>
        <v>2060.77303936</v>
      </c>
    </row>
    <row r="3498" customFormat="false" ht="15" hidden="false" customHeight="false" outlineLevel="0" collapsed="false">
      <c r="A3498" s="4" t="s">
        <v>459</v>
      </c>
      <c r="B3498" s="36" t="s">
        <v>450</v>
      </c>
      <c r="C3498" s="34" t="n">
        <f aca="false">'Market Sizing'!$D$19*Assumptions!$E$10*Assumptions!$E$11*(1-Assumptions!$E$12)</f>
        <v>428.47616</v>
      </c>
    </row>
    <row r="3499" customFormat="false" ht="15" hidden="false" customHeight="false" outlineLevel="0" collapsed="false">
      <c r="A3499" s="4" t="s">
        <v>460</v>
      </c>
      <c r="B3499" s="36" t="s">
        <v>450</v>
      </c>
      <c r="C3499" s="34" t="n">
        <f aca="false">'Market Sizing'!$E$19*Assumptions!$E$10*Assumptions!$E$11*(1-Assumptions!$E$12)</f>
        <v>79.52448</v>
      </c>
    </row>
    <row r="3500" customFormat="false" ht="15" hidden="false" customHeight="false" outlineLevel="0" collapsed="false">
      <c r="A3500" s="4" t="s">
        <v>461</v>
      </c>
      <c r="B3500" s="36"/>
      <c r="C3500" s="34" t="n">
        <f aca="false">$C$3497+$C$3498+$C$3499</f>
        <v>2568.77367936</v>
      </c>
    </row>
    <row r="3501" customFormat="false" ht="15" hidden="false" customHeight="false" outlineLevel="0" collapsed="false">
      <c r="A3501" s="4" t="s">
        <v>462</v>
      </c>
      <c r="B3501" s="36" t="s">
        <v>463</v>
      </c>
      <c r="C3501" s="33" t="n">
        <f aca="false">MAX((Assumptions!$E$51+Assumptions!$E$53)*12,(((('Market Sizing'!$E$25*Assumptions!$E$41*Assumptions!$E$42*Assumptions!$E$43)*Assumptions!$E$44)*Assumptions!$E$45*Assumptions!$E$46+('Market Sizing'!$E$25*Assumptions!$E$41*Assumptions!$E$42*Assumptions!$E$43)*Assumptions!$E$47+('Market Sizing'!$E$25*Assumptions!$E$41*Assumptions!$E$42*Assumptions!$E$43)*Assumptions!$E$48*Assumptions!$E$49)*(Assumptions!$E$51*12/Assumptions!$E$52)+((('Market Sizing'!$E$25*Assumptions!$E$41*Assumptions!$E$42*Assumptions!$E$43)*Assumptions!$E$44)*Assumptions!$E$45+('Market Sizing'!$E$25*Assumptions!$E$41*Assumptions!$E$42*Assumptions!$E$43)+('Market Sizing'!$E$25*Assumptions!$E$41*Assumptions!$E$42*Assumptions!$E$43)*Assumptions!$E$48)*Assumptions!$E$50*(Assumptions!$E$53*12/Assumptions!$E$54)))</f>
        <v>5352</v>
      </c>
    </row>
    <row r="3502" customFormat="false" ht="15" hidden="false" customHeight="false" outlineLevel="0" collapsed="false">
      <c r="A3502" s="4" t="s">
        <v>464</v>
      </c>
      <c r="B3502" s="36" t="s">
        <v>463</v>
      </c>
      <c r="C3502" s="33" t="n">
        <f aca="false">MAX((Assumptions!$E$51+Assumptions!$E$53)*12,(((('Market Sizing'!$E$26*Assumptions!$E$41*Assumptions!$E$42*Assumptions!$E$43)*Assumptions!$E$44)*Assumptions!$E$45*Assumptions!$E$46+('Market Sizing'!$E$26*Assumptions!$E$41*Assumptions!$E$42*Assumptions!$E$43)*Assumptions!$E$47+('Market Sizing'!$E$26*Assumptions!$E$41*Assumptions!$E$42*Assumptions!$E$43)*Assumptions!$E$48*Assumptions!$E$49)*(Assumptions!$E$51*12/Assumptions!$E$52)+((('Market Sizing'!$E$26*Assumptions!$E$41*Assumptions!$E$42*Assumptions!$E$43)*Assumptions!$E$44)*Assumptions!$E$45+('Market Sizing'!$E$26*Assumptions!$E$41*Assumptions!$E$42*Assumptions!$E$43)+('Market Sizing'!$E$26*Assumptions!$E$41*Assumptions!$E$42*Assumptions!$E$43)*Assumptions!$E$48)*Assumptions!$E$50*(Assumptions!$E$53*12/Assumptions!$E$54)))</f>
        <v>9766.72012875208</v>
      </c>
    </row>
    <row r="3503" customFormat="false" ht="15" hidden="false" customHeight="false" outlineLevel="0" collapsed="false">
      <c r="A3503" s="4" t="s">
        <v>465</v>
      </c>
      <c r="B3503" s="36" t="s">
        <v>463</v>
      </c>
      <c r="C3503" s="33" t="n">
        <f aca="false">MAX(Assumptions!$E$55*(Assumptions!$E$51*12/Assumptions!$E$52)+Assumptions!$E$56*(Assumptions!$E$53*12/Assumptions!$E$54),(((('Market Sizing'!$E$27*Assumptions!$E$41*Assumptions!$E$42*Assumptions!$E$43)*Assumptions!$E$44)*Assumptions!$E$45*Assumptions!$E$46+('Market Sizing'!$E$27*Assumptions!$E$41*Assumptions!$E$42*Assumptions!$E$43)*Assumptions!$E$47+('Market Sizing'!$E$27*Assumptions!$E$41*Assumptions!$E$42*Assumptions!$E$43)*Assumptions!$E$48*Assumptions!$E$49)*(Assumptions!$E$51*12/Assumptions!$E$52)+((('Market Sizing'!$E$27*Assumptions!$E$41*Assumptions!$E$42*Assumptions!$E$43)*Assumptions!$E$44)*Assumptions!$E$45+('Market Sizing'!$E$27*Assumptions!$E$41*Assumptions!$E$42*Assumptions!$E$43)+('Market Sizing'!$E$27*Assumptions!$E$41*Assumptions!$E$42*Assumptions!$E$43)*Assumptions!$E$48)*Assumptions!$E$50*(Assumptions!$E$53*12/Assumptions!$E$54)))*(1-Assumptions!$E$57)</f>
        <v>61778.2562194386</v>
      </c>
    </row>
    <row r="3504" customFormat="false" ht="23.85" hidden="false" customHeight="false" outlineLevel="0" collapsed="false">
      <c r="A3504" s="4" t="s">
        <v>466</v>
      </c>
      <c r="B3504" s="36" t="s">
        <v>467</v>
      </c>
      <c r="C3504" s="37" t="n">
        <f aca="false">Assumptions!$E$17*Assumptions!$D$106</f>
        <v>0.4</v>
      </c>
    </row>
    <row r="3505" customFormat="false" ht="23.85" hidden="false" customHeight="false" outlineLevel="0" collapsed="false">
      <c r="A3505" s="4" t="s">
        <v>468</v>
      </c>
      <c r="B3505" s="36" t="s">
        <v>469</v>
      </c>
      <c r="C3505" s="33" t="n">
        <f aca="false">Assumptions!$E$68/Assumptions!$E$69</f>
        <v>285714.285714286</v>
      </c>
    </row>
    <row r="3506" customFormat="false" ht="23.85" hidden="false" customHeight="false" outlineLevel="0" collapsed="false">
      <c r="A3506" s="4" t="s">
        <v>470</v>
      </c>
      <c r="B3506" s="36" t="s">
        <v>471</v>
      </c>
      <c r="C3506" s="33" t="n">
        <f aca="false">Assumptions!$E$66*Assumptions!$E$67/4</f>
        <v>153125</v>
      </c>
    </row>
    <row r="3507" customFormat="false" ht="15" hidden="false" customHeight="false" outlineLevel="0" collapsed="false">
      <c r="A3507" s="4" t="s">
        <v>472</v>
      </c>
      <c r="B3507" s="36"/>
      <c r="C3507" s="38" t="n">
        <f aca="false">$C$3505/Assumptions!$E$66/Assumptions!$E$67</f>
        <v>0.466472303206997</v>
      </c>
    </row>
    <row r="3508" customFormat="false" ht="15" hidden="false" customHeight="false" outlineLevel="0" collapsed="false">
      <c r="A3508" s="4" t="s">
        <v>473</v>
      </c>
      <c r="B3508" s="36"/>
      <c r="C3508" s="33" t="n">
        <f aca="false">MAX(0,Assumptions!$D$103-Assumptions!$E$78)</f>
        <v>0</v>
      </c>
    </row>
    <row r="3509" customFormat="false" ht="15" hidden="false" customHeight="false" outlineLevel="0" collapsed="false">
      <c r="A3509" s="35" t="s">
        <v>474</v>
      </c>
      <c r="B3509" s="35" t="s">
        <v>444</v>
      </c>
      <c r="C3509" s="6" t="s">
        <v>354</v>
      </c>
      <c r="D3509" s="6" t="s">
        <v>355</v>
      </c>
      <c r="E3509" s="6" t="s">
        <v>356</v>
      </c>
      <c r="F3509" s="6" t="s">
        <v>357</v>
      </c>
      <c r="G3509" s="6" t="s">
        <v>358</v>
      </c>
      <c r="H3509" s="6" t="s">
        <v>359</v>
      </c>
      <c r="I3509" s="6" t="s">
        <v>360</v>
      </c>
      <c r="J3509" s="6" t="s">
        <v>361</v>
      </c>
      <c r="K3509" s="6" t="s">
        <v>362</v>
      </c>
      <c r="L3509" s="6" t="s">
        <v>363</v>
      </c>
      <c r="M3509" s="6" t="s">
        <v>364</v>
      </c>
      <c r="N3509" s="6" t="s">
        <v>365</v>
      </c>
      <c r="P3509" s="6" t="s">
        <v>445</v>
      </c>
      <c r="Q3509" s="6" t="s">
        <v>446</v>
      </c>
      <c r="R3509" s="6" t="s">
        <v>447</v>
      </c>
      <c r="S3509" s="6" t="s">
        <v>448</v>
      </c>
    </row>
    <row r="3510" customFormat="false" ht="15" hidden="false" customHeight="false" outlineLevel="0" collapsed="false">
      <c r="A3510" s="4" t="s">
        <v>475</v>
      </c>
      <c r="B3510" s="36" t="s">
        <v>133</v>
      </c>
      <c r="C3510" s="39" t="n">
        <v>1</v>
      </c>
      <c r="D3510" s="39" t="n">
        <v>2</v>
      </c>
      <c r="E3510" s="39" t="n">
        <v>3</v>
      </c>
      <c r="F3510" s="39" t="n">
        <v>4</v>
      </c>
      <c r="G3510" s="39" t="n">
        <v>5</v>
      </c>
      <c r="H3510" s="39" t="n">
        <v>6</v>
      </c>
      <c r="I3510" s="39" t="n">
        <v>7</v>
      </c>
      <c r="J3510" s="39" t="n">
        <v>8</v>
      </c>
      <c r="K3510" s="39" t="n">
        <v>9</v>
      </c>
      <c r="L3510" s="39" t="n">
        <v>10</v>
      </c>
      <c r="M3510" s="39" t="n">
        <v>11</v>
      </c>
      <c r="N3510" s="39" t="n">
        <v>12</v>
      </c>
      <c r="P3510" s="40"/>
      <c r="Q3510" s="40"/>
      <c r="R3510" s="40"/>
      <c r="S3510" s="41"/>
    </row>
    <row r="3511" customFormat="false" ht="15" hidden="false" customHeight="false" outlineLevel="0" collapsed="false">
      <c r="A3511" s="4" t="s">
        <v>476</v>
      </c>
      <c r="B3511" s="36" t="s">
        <v>343</v>
      </c>
      <c r="C3511" s="39" t="n">
        <f aca="false">IF(C3510&lt;=Assumptions!$E$84,1,0)</f>
        <v>1</v>
      </c>
      <c r="D3511" s="39" t="n">
        <f aca="false">IF(D3510&lt;=Assumptions!$E$84,1,0)</f>
        <v>1</v>
      </c>
      <c r="E3511" s="39" t="n">
        <f aca="false">IF(E3510&lt;=Assumptions!$E$84,1,0)</f>
        <v>1</v>
      </c>
      <c r="F3511" s="39" t="n">
        <f aca="false">IF(F3510&lt;=Assumptions!$E$84,1,0)</f>
        <v>1</v>
      </c>
      <c r="G3511" s="39" t="n">
        <f aca="false">IF(G3510&lt;=Assumptions!$E$84,1,0)</f>
        <v>1</v>
      </c>
      <c r="H3511" s="39" t="n">
        <f aca="false">IF(H3510&lt;=Assumptions!$E$84,1,0)</f>
        <v>1</v>
      </c>
      <c r="I3511" s="39" t="n">
        <f aca="false">IF(I3510&lt;=Assumptions!$E$84,1,0)</f>
        <v>1</v>
      </c>
      <c r="J3511" s="39" t="n">
        <f aca="false">IF(J3510&lt;=Assumptions!$E$84,1,0)</f>
        <v>1</v>
      </c>
      <c r="K3511" s="39" t="n">
        <f aca="false">IF(K3510&lt;=Assumptions!$E$84,1,0)</f>
        <v>1</v>
      </c>
      <c r="L3511" s="39" t="n">
        <f aca="false">IF(L3510&lt;=Assumptions!$E$84,1,0)</f>
        <v>1</v>
      </c>
      <c r="M3511" s="39" t="n">
        <f aca="false">IF(M3510&lt;=Assumptions!$E$84,1,0)</f>
        <v>1</v>
      </c>
      <c r="N3511" s="39" t="n">
        <f aca="false">IF(N3510&lt;=Assumptions!$E$84,1,0)</f>
        <v>1</v>
      </c>
      <c r="P3511" s="40"/>
      <c r="Q3511" s="40"/>
      <c r="R3511" s="40"/>
      <c r="S3511" s="41"/>
    </row>
    <row r="3512" customFormat="false" ht="15" hidden="false" customHeight="false" outlineLevel="0" collapsed="false">
      <c r="A3512" s="4" t="s">
        <v>477</v>
      </c>
      <c r="B3512" s="36" t="s">
        <v>478</v>
      </c>
      <c r="C3512" s="42" t="n">
        <f aca="false">IF(C3510=Assumptions!$E$13,0.5,IF(C3510&gt;Assumptions!$E$13,1,0))</f>
        <v>0.5</v>
      </c>
      <c r="D3512" s="42" t="n">
        <f aca="false">IF(D3510=Assumptions!$E$13,0.5,IF(D3510&gt;Assumptions!$E$13,1,0))</f>
        <v>1</v>
      </c>
      <c r="E3512" s="42" t="n">
        <f aca="false">IF(E3510=Assumptions!$E$13,0.5,IF(E3510&gt;Assumptions!$E$13,1,0))</f>
        <v>1</v>
      </c>
      <c r="F3512" s="42" t="n">
        <f aca="false">IF(F3510=Assumptions!$E$13,0.5,IF(F3510&gt;Assumptions!$E$13,1,0))</f>
        <v>1</v>
      </c>
      <c r="G3512" s="42" t="n">
        <f aca="false">IF(G3510=Assumptions!$E$13,0.5,IF(G3510&gt;Assumptions!$E$13,1,0))</f>
        <v>1</v>
      </c>
      <c r="H3512" s="42" t="n">
        <f aca="false">IF(H3510=Assumptions!$E$13,0.5,IF(H3510&gt;Assumptions!$E$13,1,0))</f>
        <v>1</v>
      </c>
      <c r="I3512" s="42" t="n">
        <f aca="false">IF(I3510=Assumptions!$E$13,0.5,IF(I3510&gt;Assumptions!$E$13,1,0))</f>
        <v>1</v>
      </c>
      <c r="J3512" s="42" t="n">
        <f aca="false">IF(J3510=Assumptions!$E$13,0.5,IF(J3510&gt;Assumptions!$E$13,1,0))</f>
        <v>1</v>
      </c>
      <c r="K3512" s="42" t="n">
        <f aca="false">IF(K3510=Assumptions!$E$13,0.5,IF(K3510&gt;Assumptions!$E$13,1,0))</f>
        <v>1</v>
      </c>
      <c r="L3512" s="42" t="n">
        <f aca="false">IF(L3510=Assumptions!$E$13,0.5,IF(L3510&gt;Assumptions!$E$13,1,0))</f>
        <v>1</v>
      </c>
      <c r="M3512" s="42" t="n">
        <f aca="false">IF(M3510=Assumptions!$E$13,0.5,IF(M3510&gt;Assumptions!$E$13,1,0))</f>
        <v>1</v>
      </c>
      <c r="N3512" s="42" t="n">
        <f aca="false">IF(N3510=Assumptions!$E$13,0.5,IF(N3510&gt;Assumptions!$E$13,1,0))</f>
        <v>1</v>
      </c>
      <c r="P3512" s="43"/>
      <c r="Q3512" s="43"/>
      <c r="R3512" s="43"/>
      <c r="S3512" s="44"/>
    </row>
    <row r="3513" customFormat="false" ht="15" hidden="false" customHeight="false" outlineLevel="0" collapsed="false">
      <c r="A3513" s="4" t="s">
        <v>479</v>
      </c>
      <c r="B3513" s="36" t="s">
        <v>478</v>
      </c>
      <c r="C3513" s="42" t="n">
        <f aca="false">IF(C3510=Assumptions!$E$14,0.5,IF(C3510&gt;Assumptions!$E$14,1,0))</f>
        <v>0</v>
      </c>
      <c r="D3513" s="42" t="n">
        <f aca="false">IF(D3510=Assumptions!$E$14,0.5,IF(D3510&gt;Assumptions!$E$14,1,0))</f>
        <v>0</v>
      </c>
      <c r="E3513" s="42" t="n">
        <f aca="false">IF(E3510=Assumptions!$E$14,0.5,IF(E3510&gt;Assumptions!$E$14,1,0))</f>
        <v>0</v>
      </c>
      <c r="F3513" s="42" t="n">
        <f aca="false">IF(F3510=Assumptions!$E$14,0.5,IF(F3510&gt;Assumptions!$E$14,1,0))</f>
        <v>0</v>
      </c>
      <c r="G3513" s="42" t="n">
        <f aca="false">IF(G3510=Assumptions!$E$14,0.5,IF(G3510&gt;Assumptions!$E$14,1,0))</f>
        <v>0.5</v>
      </c>
      <c r="H3513" s="42" t="n">
        <f aca="false">IF(H3510=Assumptions!$E$14,0.5,IF(H3510&gt;Assumptions!$E$14,1,0))</f>
        <v>1</v>
      </c>
      <c r="I3513" s="42" t="n">
        <f aca="false">IF(I3510=Assumptions!$E$14,0.5,IF(I3510&gt;Assumptions!$E$14,1,0))</f>
        <v>1</v>
      </c>
      <c r="J3513" s="42" t="n">
        <f aca="false">IF(J3510=Assumptions!$E$14,0.5,IF(J3510&gt;Assumptions!$E$14,1,0))</f>
        <v>1</v>
      </c>
      <c r="K3513" s="42" t="n">
        <f aca="false">IF(K3510=Assumptions!$E$14,0.5,IF(K3510&gt;Assumptions!$E$14,1,0))</f>
        <v>1</v>
      </c>
      <c r="L3513" s="42" t="n">
        <f aca="false">IF(L3510=Assumptions!$E$14,0.5,IF(L3510&gt;Assumptions!$E$14,1,0))</f>
        <v>1</v>
      </c>
      <c r="M3513" s="42" t="n">
        <f aca="false">IF(M3510=Assumptions!$E$14,0.5,IF(M3510&gt;Assumptions!$E$14,1,0))</f>
        <v>1</v>
      </c>
      <c r="N3513" s="42" t="n">
        <f aca="false">IF(N3510=Assumptions!$E$14,0.5,IF(N3510&gt;Assumptions!$E$14,1,0))</f>
        <v>1</v>
      </c>
      <c r="P3513" s="43"/>
      <c r="Q3513" s="43"/>
      <c r="R3513" s="43"/>
      <c r="S3513" s="44"/>
    </row>
    <row r="3514" customFormat="false" ht="15" hidden="false" customHeight="false" outlineLevel="0" collapsed="false">
      <c r="A3514" s="4" t="s">
        <v>480</v>
      </c>
      <c r="B3514" s="36" t="s">
        <v>478</v>
      </c>
      <c r="C3514" s="42" t="n">
        <f aca="false">IF(C3510=Assumptions!$E$15,0.5,IF(C3510&gt;Assumptions!$E$15,1,0))</f>
        <v>0</v>
      </c>
      <c r="D3514" s="42" t="n">
        <f aca="false">IF(D3510=Assumptions!$E$15,0.5,IF(D3510&gt;Assumptions!$E$15,1,0))</f>
        <v>0</v>
      </c>
      <c r="E3514" s="42" t="n">
        <f aca="false">IF(E3510=Assumptions!$E$15,0.5,IF(E3510&gt;Assumptions!$E$15,1,0))</f>
        <v>0</v>
      </c>
      <c r="F3514" s="42" t="n">
        <f aca="false">IF(F3510=Assumptions!$E$15,0.5,IF(F3510&gt;Assumptions!$E$15,1,0))</f>
        <v>0</v>
      </c>
      <c r="G3514" s="42" t="n">
        <f aca="false">IF(G3510=Assumptions!$E$15,0.5,IF(G3510&gt;Assumptions!$E$15,1,0))</f>
        <v>0</v>
      </c>
      <c r="H3514" s="42" t="n">
        <f aca="false">IF(H3510=Assumptions!$E$15,0.5,IF(H3510&gt;Assumptions!$E$15,1,0))</f>
        <v>0</v>
      </c>
      <c r="I3514" s="42" t="n">
        <f aca="false">IF(I3510=Assumptions!$E$15,0.5,IF(I3510&gt;Assumptions!$E$15,1,0))</f>
        <v>0.5</v>
      </c>
      <c r="J3514" s="42" t="n">
        <f aca="false">IF(J3510=Assumptions!$E$15,0.5,IF(J3510&gt;Assumptions!$E$15,1,0))</f>
        <v>1</v>
      </c>
      <c r="K3514" s="42" t="n">
        <f aca="false">IF(K3510=Assumptions!$E$15,0.5,IF(K3510&gt;Assumptions!$E$15,1,0))</f>
        <v>1</v>
      </c>
      <c r="L3514" s="42" t="n">
        <f aca="false">IF(L3510=Assumptions!$E$15,0.5,IF(L3510&gt;Assumptions!$E$15,1,0))</f>
        <v>1</v>
      </c>
      <c r="M3514" s="42" t="n">
        <f aca="false">IF(M3510=Assumptions!$E$15,0.5,IF(M3510&gt;Assumptions!$E$15,1,0))</f>
        <v>1</v>
      </c>
      <c r="N3514" s="42" t="n">
        <f aca="false">IF(N3510=Assumptions!$E$15,0.5,IF(N3510&gt;Assumptions!$E$15,1,0))</f>
        <v>1</v>
      </c>
      <c r="P3514" s="43"/>
      <c r="Q3514" s="43"/>
      <c r="R3514" s="43"/>
      <c r="S3514" s="44"/>
    </row>
    <row r="3515" customFormat="false" ht="15" hidden="false" customHeight="false" outlineLevel="0" collapsed="false">
      <c r="A3515" s="4" t="s">
        <v>481</v>
      </c>
      <c r="B3515" s="36" t="s">
        <v>478</v>
      </c>
      <c r="C3515" s="45" t="n">
        <f aca="false">Assumptions!$E$21^(MAX(0,C3510-Assumptions!$E$13)/4)</f>
        <v>1</v>
      </c>
      <c r="D3515" s="45" t="n">
        <f aca="false">Assumptions!$E$21^(MAX(0,D3510-Assumptions!$E$13)/4)</f>
        <v>0.9306048591021</v>
      </c>
      <c r="E3515" s="45" t="n">
        <f aca="false">Assumptions!$E$21^(MAX(0,E3510-Assumptions!$E$13)/4)</f>
        <v>0.866025403784439</v>
      </c>
      <c r="F3515" s="45" t="n">
        <f aca="false">Assumptions!$E$21^(MAX(0,F3510-Assumptions!$E$13)/4)</f>
        <v>0.805927448867656</v>
      </c>
      <c r="G3515" s="45" t="n">
        <f aca="false">Assumptions!$E$21^(MAX(0,G3510-Assumptions!$E$13)/4)</f>
        <v>0.75</v>
      </c>
      <c r="H3515" s="45" t="n">
        <f aca="false">Assumptions!$E$21^(MAX(0,H3510-Assumptions!$E$13)/4)</f>
        <v>0.697953644326575</v>
      </c>
      <c r="I3515" s="45" t="n">
        <f aca="false">Assumptions!$E$21^(MAX(0,I3510-Assumptions!$E$13)/4)</f>
        <v>0.649519052838329</v>
      </c>
      <c r="J3515" s="45" t="n">
        <f aca="false">Assumptions!$E$21^(MAX(0,J3510-Assumptions!$E$13)/4)</f>
        <v>0.604445586650742</v>
      </c>
      <c r="K3515" s="45" t="n">
        <f aca="false">Assumptions!$E$21^(MAX(0,K3510-Assumptions!$E$13)/4)</f>
        <v>0.5625</v>
      </c>
      <c r="L3515" s="45" t="n">
        <f aca="false">Assumptions!$E$21^(MAX(0,L3510-Assumptions!$E$13)/4)</f>
        <v>0.523465233244931</v>
      </c>
      <c r="M3515" s="45" t="n">
        <f aca="false">Assumptions!$E$21^(MAX(0,M3510-Assumptions!$E$13)/4)</f>
        <v>0.487139289628747</v>
      </c>
      <c r="N3515" s="45" t="n">
        <f aca="false">Assumptions!$E$21^(MAX(0,N3510-Assumptions!$E$13)/4)</f>
        <v>0.453334189988057</v>
      </c>
      <c r="P3515" s="46"/>
      <c r="Q3515" s="46"/>
      <c r="R3515" s="46"/>
      <c r="S3515" s="47"/>
    </row>
    <row r="3516" customFormat="false" ht="15" hidden="false" customHeight="false" outlineLevel="0" collapsed="false">
      <c r="A3516" s="4" t="s">
        <v>482</v>
      </c>
      <c r="B3516" s="36" t="s">
        <v>478</v>
      </c>
      <c r="C3516" s="45" t="n">
        <f aca="false">Assumptions!$E$21^(MAX(0,C3510-Assumptions!$E$14)/4)</f>
        <v>1</v>
      </c>
      <c r="D3516" s="45" t="n">
        <f aca="false">Assumptions!$E$21^(MAX(0,D3510-Assumptions!$E$14)/4)</f>
        <v>1</v>
      </c>
      <c r="E3516" s="45" t="n">
        <f aca="false">Assumptions!$E$21^(MAX(0,E3510-Assumptions!$E$14)/4)</f>
        <v>1</v>
      </c>
      <c r="F3516" s="45" t="n">
        <f aca="false">Assumptions!$E$21^(MAX(0,F3510-Assumptions!$E$14)/4)</f>
        <v>1</v>
      </c>
      <c r="G3516" s="45" t="n">
        <f aca="false">Assumptions!$E$21^(MAX(0,G3510-Assumptions!$E$14)/4)</f>
        <v>1</v>
      </c>
      <c r="H3516" s="45" t="n">
        <f aca="false">Assumptions!$E$21^(MAX(0,H3510-Assumptions!$E$14)/4)</f>
        <v>0.9306048591021</v>
      </c>
      <c r="I3516" s="45" t="n">
        <f aca="false">Assumptions!$E$21^(MAX(0,I3510-Assumptions!$E$14)/4)</f>
        <v>0.866025403784439</v>
      </c>
      <c r="J3516" s="45" t="n">
        <f aca="false">Assumptions!$E$21^(MAX(0,J3510-Assumptions!$E$14)/4)</f>
        <v>0.805927448867656</v>
      </c>
      <c r="K3516" s="45" t="n">
        <f aca="false">Assumptions!$E$21^(MAX(0,K3510-Assumptions!$E$14)/4)</f>
        <v>0.75</v>
      </c>
      <c r="L3516" s="45" t="n">
        <f aca="false">Assumptions!$E$21^(MAX(0,L3510-Assumptions!$E$14)/4)</f>
        <v>0.697953644326575</v>
      </c>
      <c r="M3516" s="45" t="n">
        <f aca="false">Assumptions!$E$21^(MAX(0,M3510-Assumptions!$E$14)/4)</f>
        <v>0.649519052838329</v>
      </c>
      <c r="N3516" s="45" t="n">
        <f aca="false">Assumptions!$E$21^(MAX(0,N3510-Assumptions!$E$14)/4)</f>
        <v>0.604445586650742</v>
      </c>
      <c r="P3516" s="46"/>
      <c r="Q3516" s="46"/>
      <c r="R3516" s="46"/>
      <c r="S3516" s="47"/>
    </row>
    <row r="3517" customFormat="false" ht="15" hidden="false" customHeight="false" outlineLevel="0" collapsed="false">
      <c r="A3517" s="4" t="s">
        <v>483</v>
      </c>
      <c r="B3517" s="36" t="s">
        <v>478</v>
      </c>
      <c r="C3517" s="45" t="n">
        <f aca="false">Assumptions!$E$21^(MAX(0,C3510-Assumptions!$E$15)/4)</f>
        <v>1</v>
      </c>
      <c r="D3517" s="45" t="n">
        <f aca="false">Assumptions!$E$21^(MAX(0,D3510-Assumptions!$E$15)/4)</f>
        <v>1</v>
      </c>
      <c r="E3517" s="45" t="n">
        <f aca="false">Assumptions!$E$21^(MAX(0,E3510-Assumptions!$E$15)/4)</f>
        <v>1</v>
      </c>
      <c r="F3517" s="45" t="n">
        <f aca="false">Assumptions!$E$21^(MAX(0,F3510-Assumptions!$E$15)/4)</f>
        <v>1</v>
      </c>
      <c r="G3517" s="45" t="n">
        <f aca="false">Assumptions!$E$21^(MAX(0,G3510-Assumptions!$E$15)/4)</f>
        <v>1</v>
      </c>
      <c r="H3517" s="45" t="n">
        <f aca="false">Assumptions!$E$21^(MAX(0,H3510-Assumptions!$E$15)/4)</f>
        <v>1</v>
      </c>
      <c r="I3517" s="45" t="n">
        <f aca="false">Assumptions!$E$21^(MAX(0,I3510-Assumptions!$E$15)/4)</f>
        <v>1</v>
      </c>
      <c r="J3517" s="45" t="n">
        <f aca="false">Assumptions!$E$21^(MAX(0,J3510-Assumptions!$E$15)/4)</f>
        <v>0.9306048591021</v>
      </c>
      <c r="K3517" s="45" t="n">
        <f aca="false">Assumptions!$E$21^(MAX(0,K3510-Assumptions!$E$15)/4)</f>
        <v>0.866025403784439</v>
      </c>
      <c r="L3517" s="45" t="n">
        <f aca="false">Assumptions!$E$21^(MAX(0,L3510-Assumptions!$E$15)/4)</f>
        <v>0.805927448867656</v>
      </c>
      <c r="M3517" s="45" t="n">
        <f aca="false">Assumptions!$E$21^(MAX(0,M3510-Assumptions!$E$15)/4)</f>
        <v>0.75</v>
      </c>
      <c r="N3517" s="45" t="n">
        <f aca="false">Assumptions!$E$21^(MAX(0,N3510-Assumptions!$E$15)/4)</f>
        <v>0.697953644326575</v>
      </c>
      <c r="P3517" s="46"/>
      <c r="Q3517" s="46"/>
      <c r="R3517" s="46"/>
      <c r="S3517" s="47"/>
    </row>
    <row r="3518" customFormat="false" ht="15" hidden="false" customHeight="false" outlineLevel="0" collapsed="false">
      <c r="A3518" s="4" t="s">
        <v>484</v>
      </c>
      <c r="B3518" s="36" t="s">
        <v>485</v>
      </c>
      <c r="C3518" s="39" t="n">
        <f aca="false">$C$3489*C3512+$C$3493*C3513+$C$3497*C3514</f>
        <v>421.51972352</v>
      </c>
      <c r="D3518" s="39" t="n">
        <f aca="false">$C$3489*D3512+$C$3493*D3513+$C$3497*D3514</f>
        <v>843.03944704</v>
      </c>
      <c r="E3518" s="39" t="n">
        <f aca="false">$C$3489*E3512+$C$3493*E3513+$C$3497*E3514</f>
        <v>843.03944704</v>
      </c>
      <c r="F3518" s="39" t="n">
        <f aca="false">$C$3489*F3512+$C$3493*F3513+$C$3497*F3514</f>
        <v>843.03944704</v>
      </c>
      <c r="G3518" s="39" t="n">
        <f aca="false">$C$3489*G3512+$C$3493*G3513+$C$3497*G3514</f>
        <v>1149.32798176</v>
      </c>
      <c r="H3518" s="39" t="n">
        <f aca="false">$C$3489*H3512+$C$3493*H3513+$C$3497*H3514</f>
        <v>1455.61651648</v>
      </c>
      <c r="I3518" s="39" t="n">
        <f aca="false">$C$3489*I3512+$C$3493*I3513+$C$3497*I3514</f>
        <v>2486.00303616</v>
      </c>
      <c r="J3518" s="39" t="n">
        <f aca="false">$C$3489*J3512+$C$3493*J3513+$C$3497*J3514</f>
        <v>3516.38955584</v>
      </c>
      <c r="K3518" s="39" t="n">
        <f aca="false">$C$3489*K3512+$C$3493*K3513+$C$3497*K3514</f>
        <v>3516.38955584</v>
      </c>
      <c r="L3518" s="39" t="n">
        <f aca="false">$C$3489*L3512+$C$3493*L3513+$C$3497*L3514</f>
        <v>3516.38955584</v>
      </c>
      <c r="M3518" s="39" t="n">
        <f aca="false">$C$3489*M3512+$C$3493*M3513+$C$3497*M3514</f>
        <v>3516.38955584</v>
      </c>
      <c r="N3518" s="39" t="n">
        <f aca="false">$C$3489*N3512+$C$3493*N3513+$C$3497*N3514</f>
        <v>3516.38955584</v>
      </c>
      <c r="P3518" s="40" t="n">
        <f aca="false">F3518</f>
        <v>843.03944704</v>
      </c>
      <c r="Q3518" s="40" t="n">
        <f aca="false">J3518</f>
        <v>3516.38955584</v>
      </c>
      <c r="R3518" s="40" t="n">
        <f aca="false">N3518</f>
        <v>3516.38955584</v>
      </c>
      <c r="S3518" s="41" t="n">
        <f aca="false">R3518</f>
        <v>3516.38955584</v>
      </c>
    </row>
    <row r="3519" customFormat="false" ht="15" hidden="false" customHeight="false" outlineLevel="0" collapsed="false">
      <c r="A3519" s="4" t="s">
        <v>486</v>
      </c>
      <c r="B3519" s="36" t="s">
        <v>485</v>
      </c>
      <c r="C3519" s="39" t="n">
        <f aca="false">$C$3490*C3512+$C$3494*C3513+$C$3498*C3514</f>
        <v>105.59808</v>
      </c>
      <c r="D3519" s="39" t="n">
        <f aca="false">$C$3490*D3512+$C$3494*D3513+$C$3498*D3514</f>
        <v>211.19616</v>
      </c>
      <c r="E3519" s="39" t="n">
        <f aca="false">$C$3490*E3512+$C$3494*E3513+$C$3498*E3514</f>
        <v>211.19616</v>
      </c>
      <c r="F3519" s="39" t="n">
        <f aca="false">$C$3490*F3512+$C$3494*F3513+$C$3498*F3514</f>
        <v>211.19616</v>
      </c>
      <c r="G3519" s="39" t="n">
        <f aca="false">$C$3490*G3512+$C$3494*G3513+$C$3498*G3514</f>
        <v>282.24672</v>
      </c>
      <c r="H3519" s="39" t="n">
        <f aca="false">$C$3490*H3512+$C$3494*H3513+$C$3498*H3514</f>
        <v>353.29728</v>
      </c>
      <c r="I3519" s="39" t="n">
        <f aca="false">$C$3490*I3512+$C$3494*I3513+$C$3498*I3514</f>
        <v>567.53536</v>
      </c>
      <c r="J3519" s="39" t="n">
        <f aca="false">$C$3490*J3512+$C$3494*J3513+$C$3498*J3514</f>
        <v>781.77344</v>
      </c>
      <c r="K3519" s="39" t="n">
        <f aca="false">$C$3490*K3512+$C$3494*K3513+$C$3498*K3514</f>
        <v>781.77344</v>
      </c>
      <c r="L3519" s="39" t="n">
        <f aca="false">$C$3490*L3512+$C$3494*L3513+$C$3498*L3514</f>
        <v>781.77344</v>
      </c>
      <c r="M3519" s="39" t="n">
        <f aca="false">$C$3490*M3512+$C$3494*M3513+$C$3498*M3514</f>
        <v>781.77344</v>
      </c>
      <c r="N3519" s="39" t="n">
        <f aca="false">$C$3490*N3512+$C$3494*N3513+$C$3498*N3514</f>
        <v>781.77344</v>
      </c>
      <c r="P3519" s="40" t="n">
        <f aca="false">F3519</f>
        <v>211.19616</v>
      </c>
      <c r="Q3519" s="40" t="n">
        <f aca="false">J3519</f>
        <v>781.77344</v>
      </c>
      <c r="R3519" s="40" t="n">
        <f aca="false">N3519</f>
        <v>781.77344</v>
      </c>
      <c r="S3519" s="41" t="n">
        <f aca="false">R3519</f>
        <v>781.77344</v>
      </c>
    </row>
    <row r="3520" customFormat="false" ht="15" hidden="false" customHeight="false" outlineLevel="0" collapsed="false">
      <c r="A3520" s="4" t="s">
        <v>487</v>
      </c>
      <c r="B3520" s="36" t="s">
        <v>485</v>
      </c>
      <c r="C3520" s="39" t="n">
        <f aca="false">$C$3491*C3512+$C$3495*C3513+$C$3499*C3514</f>
        <v>24.76992</v>
      </c>
      <c r="D3520" s="39" t="n">
        <f aca="false">$C$3491*D3512+$C$3495*D3513+$C$3499*D3514</f>
        <v>49.53984</v>
      </c>
      <c r="E3520" s="39" t="n">
        <f aca="false">$C$3491*E3512+$C$3495*E3513+$C$3499*E3514</f>
        <v>49.53984</v>
      </c>
      <c r="F3520" s="39" t="n">
        <f aca="false">$C$3491*F3512+$C$3495*F3513+$C$3499*F3514</f>
        <v>49.53984</v>
      </c>
      <c r="G3520" s="39" t="n">
        <f aca="false">$C$3491*G3512+$C$3495*G3513+$C$3499*G3514</f>
        <v>61.9248</v>
      </c>
      <c r="H3520" s="39" t="n">
        <f aca="false">$C$3491*H3512+$C$3495*H3513+$C$3499*H3514</f>
        <v>74.30976</v>
      </c>
      <c r="I3520" s="39" t="n">
        <f aca="false">$C$3491*I3512+$C$3495*I3513+$C$3499*I3514</f>
        <v>114.072</v>
      </c>
      <c r="J3520" s="39" t="n">
        <f aca="false">$C$3491*J3512+$C$3495*J3513+$C$3499*J3514</f>
        <v>153.83424</v>
      </c>
      <c r="K3520" s="39" t="n">
        <f aca="false">$C$3491*K3512+$C$3495*K3513+$C$3499*K3514</f>
        <v>153.83424</v>
      </c>
      <c r="L3520" s="39" t="n">
        <f aca="false">$C$3491*L3512+$C$3495*L3513+$C$3499*L3514</f>
        <v>153.83424</v>
      </c>
      <c r="M3520" s="39" t="n">
        <f aca="false">$C$3491*M3512+$C$3495*M3513+$C$3499*M3514</f>
        <v>153.83424</v>
      </c>
      <c r="N3520" s="39" t="n">
        <f aca="false">$C$3491*N3512+$C$3495*N3513+$C$3499*N3514</f>
        <v>153.83424</v>
      </c>
      <c r="P3520" s="40" t="n">
        <f aca="false">F3520</f>
        <v>49.53984</v>
      </c>
      <c r="Q3520" s="40" t="n">
        <f aca="false">J3520</f>
        <v>153.83424</v>
      </c>
      <c r="R3520" s="40" t="n">
        <f aca="false">N3520</f>
        <v>153.83424</v>
      </c>
      <c r="S3520" s="41" t="n">
        <f aca="false">R3520</f>
        <v>153.83424</v>
      </c>
    </row>
    <row r="3521" customFormat="false" ht="15" hidden="false" customHeight="false" outlineLevel="0" collapsed="false">
      <c r="A3521" s="4" t="s">
        <v>488</v>
      </c>
      <c r="B3521" s="36" t="s">
        <v>485</v>
      </c>
      <c r="C3521" s="39" t="n">
        <f aca="false">C3518+C3519+C3520</f>
        <v>551.88772352</v>
      </c>
      <c r="D3521" s="39" t="n">
        <f aca="false">D3518+D3519+D3520</f>
        <v>1103.77544704</v>
      </c>
      <c r="E3521" s="39" t="n">
        <f aca="false">E3518+E3519+E3520</f>
        <v>1103.77544704</v>
      </c>
      <c r="F3521" s="39" t="n">
        <f aca="false">F3518+F3519+F3520</f>
        <v>1103.77544704</v>
      </c>
      <c r="G3521" s="39" t="n">
        <f aca="false">G3518+G3519+G3520</f>
        <v>1493.49950176</v>
      </c>
      <c r="H3521" s="39" t="n">
        <f aca="false">H3518+H3519+H3520</f>
        <v>1883.22355648</v>
      </c>
      <c r="I3521" s="39" t="n">
        <f aca="false">I3518+I3519+I3520</f>
        <v>3167.61039616</v>
      </c>
      <c r="J3521" s="39" t="n">
        <f aca="false">J3518+J3519+J3520</f>
        <v>4451.99723584</v>
      </c>
      <c r="K3521" s="39" t="n">
        <f aca="false">K3518+K3519+K3520</f>
        <v>4451.99723584</v>
      </c>
      <c r="L3521" s="39" t="n">
        <f aca="false">L3518+L3519+L3520</f>
        <v>4451.99723584</v>
      </c>
      <c r="M3521" s="39" t="n">
        <f aca="false">M3518+M3519+M3520</f>
        <v>4451.99723584</v>
      </c>
      <c r="N3521" s="39" t="n">
        <f aca="false">N3518+N3519+N3520</f>
        <v>4451.99723584</v>
      </c>
      <c r="P3521" s="40" t="n">
        <f aca="false">F3521</f>
        <v>1103.77544704</v>
      </c>
      <c r="Q3521" s="40" t="n">
        <f aca="false">J3521</f>
        <v>4451.99723584</v>
      </c>
      <c r="R3521" s="40" t="n">
        <f aca="false">N3521</f>
        <v>4451.99723584</v>
      </c>
      <c r="S3521" s="41" t="n">
        <f aca="false">R3521</f>
        <v>4451.99723584</v>
      </c>
    </row>
    <row r="3522" customFormat="false" ht="15" hidden="false" customHeight="false" outlineLevel="0" collapsed="false">
      <c r="A3522" s="4" t="s">
        <v>489</v>
      </c>
      <c r="B3522" s="36" t="s">
        <v>485</v>
      </c>
      <c r="C3522" s="39" t="n">
        <f aca="false">$C$3492*C3512*C3515+$C$3496*C3513*C3516+$C$3500*C3514*C3517</f>
        <v>551.88772352</v>
      </c>
      <c r="D3522" s="39" t="n">
        <f aca="false">$C$3492*D3512*D3515+$C$3496*D3513*D3516+$C$3500*D3514*D3517</f>
        <v>1027.17879437302</v>
      </c>
      <c r="E3522" s="39" t="n">
        <f aca="false">$C$3492*E3512*E3515+$C$3496*E3513*E3516+$C$3500*E3514*E3517</f>
        <v>955.897577210165</v>
      </c>
      <c r="F3522" s="39" t="n">
        <f aca="false">$C$3492*F3512*F3515+$C$3496*F3513*F3516+$C$3500*F3514*F3517</f>
        <v>889.562930155704</v>
      </c>
      <c r="G3522" s="39" t="n">
        <f aca="false">$C$3492*G3512*G3515+$C$3496*G3513*G3516+$C$3500*G3514*G3517</f>
        <v>1217.55564</v>
      </c>
      <c r="H3522" s="39" t="n">
        <f aca="false">$C$3492*H3512*H3515+$C$3496*H3513*H3516+$C$3500*H3514*H3517</f>
        <v>1495.74229384257</v>
      </c>
      <c r="I3522" s="39" t="n">
        <f aca="false">$C$3492*I3512*I3515+$C$3496*I3513*I3516+$C$3500*I3514*I3517</f>
        <v>2676.33188629442</v>
      </c>
      <c r="J3522" s="39" t="n">
        <f aca="false">$C$3492*J3512*J3515+$C$3496*J3513*J3516+$C$3500*J3514*J3517</f>
        <v>3685.86409192847</v>
      </c>
      <c r="K3522" s="39" t="n">
        <f aca="false">$C$3492*K3512*K3515+$C$3496*K3513*K3516+$C$3500*K3514*K3517</f>
        <v>3430.08303393858</v>
      </c>
      <c r="L3522" s="39" t="n">
        <f aca="false">$C$3492*L3512*L3515+$C$3496*L3513*L3516+$C$3500*L3514*L3517</f>
        <v>3192.05193850692</v>
      </c>
      <c r="M3522" s="39" t="n">
        <f aca="false">$C$3492*M3512*M3515+$C$3496*M3513*M3516+$C$3500*M3514*M3517</f>
        <v>2970.53904448081</v>
      </c>
      <c r="N3522" s="39" t="n">
        <f aca="false">$C$3492*N3512*N3515+$C$3496*N3513*N3516+$C$3500*N3514*N3517</f>
        <v>2764.39806894635</v>
      </c>
      <c r="P3522" s="40"/>
      <c r="Q3522" s="40"/>
      <c r="R3522" s="40"/>
      <c r="S3522" s="41"/>
    </row>
    <row r="3523" customFormat="false" ht="15" hidden="false" customHeight="false" outlineLevel="0" collapsed="false">
      <c r="A3523" s="4" t="s">
        <v>490</v>
      </c>
      <c r="B3523" s="36" t="s">
        <v>491</v>
      </c>
      <c r="C3523" s="48" t="n">
        <f aca="false">$C$3504*Assumptions!$F$20*C3511*C3522</f>
        <v>9.93397902336</v>
      </c>
      <c r="D3523" s="48" t="n">
        <f aca="false">$C$3504*Assumptions!$F$20*D3511*D3522</f>
        <v>18.4892182987143</v>
      </c>
      <c r="E3523" s="48" t="n">
        <f aca="false">$C$3504*Assumptions!$F$20*E3511*E3522</f>
        <v>17.206156389783</v>
      </c>
      <c r="F3523" s="48" t="n">
        <f aca="false">$C$3504*Assumptions!$F$20*F3511*F3522</f>
        <v>16.0121327428027</v>
      </c>
      <c r="G3523" s="48" t="n">
        <f aca="false">$C$3504*Assumptions!$F$20*G3511*G3522</f>
        <v>21.91600152</v>
      </c>
      <c r="H3523" s="48" t="n">
        <f aca="false">$C$3504*Assumptions!$F$20*H3511*H3522</f>
        <v>26.9233612891663</v>
      </c>
      <c r="I3523" s="48" t="n">
        <f aca="false">$C$3504*Assumptions!$F$20*I3511*I3522</f>
        <v>48.1739739532995</v>
      </c>
      <c r="J3523" s="48" t="n">
        <f aca="false">$C$3504*Assumptions!$F$20*J3511*J3522</f>
        <v>66.3455536547125</v>
      </c>
      <c r="K3523" s="48" t="n">
        <f aca="false">$C$3504*Assumptions!$F$20*K3511*K3522</f>
        <v>61.7414946108945</v>
      </c>
      <c r="L3523" s="48" t="n">
        <f aca="false">$C$3504*Assumptions!$F$20*L3511*L3522</f>
        <v>57.4569348931245</v>
      </c>
      <c r="M3523" s="48" t="n">
        <f aca="false">$C$3504*Assumptions!$F$20*M3511*M3522</f>
        <v>53.4697028006546</v>
      </c>
      <c r="N3523" s="48" t="n">
        <f aca="false">$C$3504*Assumptions!$F$20*N3511*N3522</f>
        <v>49.7591652410344</v>
      </c>
      <c r="P3523" s="49" t="n">
        <f aca="false">SUM(C3523:F3523)</f>
        <v>61.6414864546599</v>
      </c>
      <c r="Q3523" s="49" t="n">
        <f aca="false">SUM(G3523:J3523)</f>
        <v>163.358890417178</v>
      </c>
      <c r="R3523" s="49" t="n">
        <f aca="false">SUM(K3523:N3523)</f>
        <v>222.427297545708</v>
      </c>
      <c r="S3523" s="50" t="n">
        <f aca="false">SUM(P3523:R3523)</f>
        <v>447.427674417546</v>
      </c>
    </row>
    <row r="3524" customFormat="false" ht="15" hidden="false" customHeight="false" outlineLevel="0" collapsed="false">
      <c r="A3524" s="4" t="s">
        <v>492</v>
      </c>
      <c r="B3524" s="36" t="s">
        <v>321</v>
      </c>
      <c r="C3524" s="48" t="n">
        <f aca="false">Assumptions!$D$111</f>
        <v>0</v>
      </c>
      <c r="D3524" s="48" t="n">
        <f aca="false">Assumptions!$E$111</f>
        <v>0</v>
      </c>
      <c r="E3524" s="48" t="n">
        <f aca="false">Assumptions!$F$111</f>
        <v>0</v>
      </c>
      <c r="F3524" s="48" t="n">
        <f aca="false">Assumptions!$G$111</f>
        <v>0</v>
      </c>
      <c r="G3524" s="48" t="n">
        <f aca="false">Assumptions!$H$111</f>
        <v>0</v>
      </c>
      <c r="H3524" s="48" t="n">
        <f aca="false">Assumptions!$I$111</f>
        <v>0</v>
      </c>
      <c r="I3524" s="48" t="n">
        <f aca="false">Assumptions!$J$111</f>
        <v>0</v>
      </c>
      <c r="J3524" s="48" t="n">
        <f aca="false">Assumptions!$K$111</f>
        <v>0</v>
      </c>
      <c r="K3524" s="48" t="n">
        <f aca="false">Assumptions!$L$111</f>
        <v>0</v>
      </c>
      <c r="L3524" s="48" t="n">
        <f aca="false">Assumptions!$M$111</f>
        <v>0</v>
      </c>
      <c r="M3524" s="48" t="n">
        <f aca="false">Assumptions!$N$111</f>
        <v>0</v>
      </c>
      <c r="N3524" s="48" t="n">
        <f aca="false">Assumptions!$O$111</f>
        <v>0</v>
      </c>
      <c r="P3524" s="49" t="n">
        <f aca="false">F3524</f>
        <v>0</v>
      </c>
      <c r="Q3524" s="49" t="n">
        <f aca="false">J3524</f>
        <v>0</v>
      </c>
      <c r="R3524" s="49" t="n">
        <f aca="false">N3524</f>
        <v>0</v>
      </c>
      <c r="S3524" s="50" t="n">
        <f aca="false">R3524</f>
        <v>0</v>
      </c>
    </row>
    <row r="3525" customFormat="false" ht="15" hidden="false" customHeight="false" outlineLevel="0" collapsed="false">
      <c r="A3525" s="4" t="s">
        <v>493</v>
      </c>
      <c r="B3525" s="36" t="s">
        <v>321</v>
      </c>
      <c r="C3525" s="48" t="n">
        <f aca="false">0</f>
        <v>0</v>
      </c>
      <c r="D3525" s="48" t="n">
        <f aca="false">0.5*C3524</f>
        <v>0</v>
      </c>
      <c r="E3525" s="48" t="n">
        <f aca="false">C3524+0.5*(D3524-C3524)</f>
        <v>0</v>
      </c>
      <c r="F3525" s="48" t="n">
        <f aca="false">D3524+0.5*(E3524-D3524)</f>
        <v>0</v>
      </c>
      <c r="G3525" s="48" t="n">
        <f aca="false">E3524+0.5*(F3524-E3524)</f>
        <v>0</v>
      </c>
      <c r="H3525" s="48" t="n">
        <f aca="false">F3524+0.5*(G3524-F3524)</f>
        <v>0</v>
      </c>
      <c r="I3525" s="48" t="n">
        <f aca="false">G3524+0.5*(H3524-G3524)</f>
        <v>0</v>
      </c>
      <c r="J3525" s="48" t="n">
        <f aca="false">H3524+0.5*(I3524-H3524)</f>
        <v>0</v>
      </c>
      <c r="K3525" s="48" t="n">
        <f aca="false">I3524+0.5*(J3524-I3524)</f>
        <v>0</v>
      </c>
      <c r="L3525" s="48" t="n">
        <f aca="false">J3524+0.5*(K3524-J3524)</f>
        <v>0</v>
      </c>
      <c r="M3525" s="48" t="n">
        <f aca="false">K3524+0.5*(L3524-K3524)</f>
        <v>0</v>
      </c>
      <c r="N3525" s="48" t="n">
        <f aca="false">L3524+0.5*(M3524-L3524)</f>
        <v>0</v>
      </c>
      <c r="P3525" s="49" t="n">
        <f aca="false">F3525</f>
        <v>0</v>
      </c>
      <c r="Q3525" s="49" t="n">
        <f aca="false">J3525</f>
        <v>0</v>
      </c>
      <c r="R3525" s="49" t="n">
        <f aca="false">N3525</f>
        <v>0</v>
      </c>
      <c r="S3525" s="50" t="n">
        <f aca="false">R3525</f>
        <v>0</v>
      </c>
    </row>
    <row r="3526" customFormat="false" ht="15" hidden="false" customHeight="false" outlineLevel="0" collapsed="false">
      <c r="A3526" s="4" t="s">
        <v>494</v>
      </c>
      <c r="B3526" s="36" t="s">
        <v>485</v>
      </c>
      <c r="C3526" s="39" t="n">
        <f aca="false">MIN(C3525*Assumptions!$E$38,C3521*(1-$C$3504))</f>
        <v>0</v>
      </c>
      <c r="D3526" s="39" t="n">
        <f aca="false">MIN(D3525*Assumptions!$E$38,D3521*(1-$C$3504))</f>
        <v>0</v>
      </c>
      <c r="E3526" s="39" t="n">
        <f aca="false">MIN(E3525*Assumptions!$E$38,E3521*(1-$C$3504))</f>
        <v>0</v>
      </c>
      <c r="F3526" s="39" t="n">
        <f aca="false">MIN(F3525*Assumptions!$E$38,F3521*(1-$C$3504))</f>
        <v>0</v>
      </c>
      <c r="G3526" s="39" t="n">
        <f aca="false">MIN(G3525*Assumptions!$E$38,G3521*(1-$C$3504))</f>
        <v>0</v>
      </c>
      <c r="H3526" s="39" t="n">
        <f aca="false">MIN(H3525*Assumptions!$E$38,H3521*(1-$C$3504))</f>
        <v>0</v>
      </c>
      <c r="I3526" s="39" t="n">
        <f aca="false">MIN(I3525*Assumptions!$E$38,I3521*(1-$C$3504))</f>
        <v>0</v>
      </c>
      <c r="J3526" s="39" t="n">
        <f aca="false">MIN(J3525*Assumptions!$E$38,J3521*(1-$C$3504))</f>
        <v>0</v>
      </c>
      <c r="K3526" s="39" t="n">
        <f aca="false">MIN(K3525*Assumptions!$E$38,K3521*(1-$C$3504))</f>
        <v>0</v>
      </c>
      <c r="L3526" s="39" t="n">
        <f aca="false">MIN(L3525*Assumptions!$E$38,L3521*(1-$C$3504))</f>
        <v>0</v>
      </c>
      <c r="M3526" s="39" t="n">
        <f aca="false">MIN(M3525*Assumptions!$E$38,M3521*(1-$C$3504))</f>
        <v>0</v>
      </c>
      <c r="N3526" s="39" t="n">
        <f aca="false">MIN(N3525*Assumptions!$E$38,N3521*(1-$C$3504))</f>
        <v>0</v>
      </c>
      <c r="P3526" s="40" t="n">
        <f aca="false">SUM(C3526:F3526)</f>
        <v>0</v>
      </c>
      <c r="Q3526" s="40" t="n">
        <f aca="false">SUM(G3526:J3526)</f>
        <v>0</v>
      </c>
      <c r="R3526" s="40" t="n">
        <f aca="false">SUM(K3526:N3526)</f>
        <v>0</v>
      </c>
      <c r="S3526" s="41" t="n">
        <f aca="false">SUM(P3526:R3526)</f>
        <v>0</v>
      </c>
    </row>
    <row r="3527" customFormat="false" ht="15" hidden="false" customHeight="false" outlineLevel="0" collapsed="false">
      <c r="A3527" s="4" t="s">
        <v>495</v>
      </c>
      <c r="B3527" s="36" t="s">
        <v>491</v>
      </c>
      <c r="C3527" s="48" t="n">
        <f aca="false">C3526*Assumptions!$F$20*Assumptions!$E$39*IF(C3521&gt;0,C3522/C3521,0)*C3511</f>
        <v>0</v>
      </c>
      <c r="D3527" s="48" t="n">
        <f aca="false">D3526*Assumptions!$F$20*Assumptions!$E$39*IF(D3521&gt;0,D3522/D3521,0)*D3511</f>
        <v>0</v>
      </c>
      <c r="E3527" s="48" t="n">
        <f aca="false">E3526*Assumptions!$F$20*Assumptions!$E$39*IF(E3521&gt;0,E3522/E3521,0)*E3511</f>
        <v>0</v>
      </c>
      <c r="F3527" s="48" t="n">
        <f aca="false">F3526*Assumptions!$F$20*Assumptions!$E$39*IF(F3521&gt;0,F3522/F3521,0)*F3511</f>
        <v>0</v>
      </c>
      <c r="G3527" s="48" t="n">
        <f aca="false">G3526*Assumptions!$F$20*Assumptions!$E$39*IF(G3521&gt;0,G3522/G3521,0)*G3511</f>
        <v>0</v>
      </c>
      <c r="H3527" s="48" t="n">
        <f aca="false">H3526*Assumptions!$F$20*Assumptions!$E$39*IF(H3521&gt;0,H3522/H3521,0)*H3511</f>
        <v>0</v>
      </c>
      <c r="I3527" s="48" t="n">
        <f aca="false">I3526*Assumptions!$F$20*Assumptions!$E$39*IF(I3521&gt;0,I3522/I3521,0)*I3511</f>
        <v>0</v>
      </c>
      <c r="J3527" s="48" t="n">
        <f aca="false">J3526*Assumptions!$F$20*Assumptions!$E$39*IF(J3521&gt;0,J3522/J3521,0)*J3511</f>
        <v>0</v>
      </c>
      <c r="K3527" s="48" t="n">
        <f aca="false">K3526*Assumptions!$F$20*Assumptions!$E$39*IF(K3521&gt;0,K3522/K3521,0)*K3511</f>
        <v>0</v>
      </c>
      <c r="L3527" s="48" t="n">
        <f aca="false">L3526*Assumptions!$F$20*Assumptions!$E$39*IF(L3521&gt;0,L3522/L3521,0)*L3511</f>
        <v>0</v>
      </c>
      <c r="M3527" s="48" t="n">
        <f aca="false">M3526*Assumptions!$F$20*Assumptions!$E$39*IF(M3521&gt;0,M3522/M3521,0)*M3511</f>
        <v>0</v>
      </c>
      <c r="N3527" s="48" t="n">
        <f aca="false">N3526*Assumptions!$F$20*Assumptions!$E$39*IF(N3521&gt;0,N3522/N3521,0)*N3511</f>
        <v>0</v>
      </c>
      <c r="P3527" s="49" t="n">
        <f aca="false">SUM(C3527:F3527)</f>
        <v>0</v>
      </c>
      <c r="Q3527" s="49" t="n">
        <f aca="false">SUM(G3527:J3527)</f>
        <v>0</v>
      </c>
      <c r="R3527" s="49" t="n">
        <f aca="false">SUM(K3527:N3527)</f>
        <v>0</v>
      </c>
      <c r="S3527" s="50" t="n">
        <f aca="false">SUM(P3527:R3527)</f>
        <v>0</v>
      </c>
    </row>
    <row r="3528" customFormat="false" ht="15" hidden="false" customHeight="false" outlineLevel="0" collapsed="false">
      <c r="A3528" s="4" t="s">
        <v>496</v>
      </c>
      <c r="B3528" s="36" t="s">
        <v>497</v>
      </c>
      <c r="C3528" s="48" t="n">
        <f aca="false">IF(AND(C3521&gt;0,$C$3508&gt;0),C3521*Assumptions!$E$24*(1-EXP(-$C$3508/(Assumptions!$E$23*C3521*Assumptions!$E$24))),0)</f>
        <v>0</v>
      </c>
      <c r="D3528" s="48" t="n">
        <f aca="false">IF(AND(D3521&gt;0,$C$3508&gt;0),D3521*Assumptions!$E$24*(1-EXP(-$C$3508/(Assumptions!$E$23*D3521*Assumptions!$E$24))),0)</f>
        <v>0</v>
      </c>
      <c r="E3528" s="48" t="n">
        <f aca="false">IF(AND(E3521&gt;0,$C$3508&gt;0),E3521*Assumptions!$E$24*(1-EXP(-$C$3508/(Assumptions!$E$23*E3521*Assumptions!$E$24))),0)</f>
        <v>0</v>
      </c>
      <c r="F3528" s="48" t="n">
        <f aca="false">IF(AND(F3521&gt;0,$C$3508&gt;0),F3521*Assumptions!$E$24*(1-EXP(-$C$3508/(Assumptions!$E$23*F3521*Assumptions!$E$24))),0)</f>
        <v>0</v>
      </c>
      <c r="G3528" s="48" t="n">
        <f aca="false">IF(AND(G3521&gt;0,$C$3508&gt;0),G3521*Assumptions!$E$24*(1-EXP(-$C$3508/(Assumptions!$E$23*G3521*Assumptions!$E$24))),0)</f>
        <v>0</v>
      </c>
      <c r="H3528" s="48" t="n">
        <f aca="false">IF(AND(H3521&gt;0,$C$3508&gt;0),H3521*Assumptions!$E$24*(1-EXP(-$C$3508/(Assumptions!$E$23*H3521*Assumptions!$E$24))),0)</f>
        <v>0</v>
      </c>
      <c r="I3528" s="48" t="n">
        <f aca="false">IF(AND(I3521&gt;0,$C$3508&gt;0),I3521*Assumptions!$E$24*(1-EXP(-$C$3508/(Assumptions!$E$23*I3521*Assumptions!$E$24))),0)</f>
        <v>0</v>
      </c>
      <c r="J3528" s="48" t="n">
        <f aca="false">IF(AND(J3521&gt;0,$C$3508&gt;0),J3521*Assumptions!$E$24*(1-EXP(-$C$3508/(Assumptions!$E$23*J3521*Assumptions!$E$24))),0)</f>
        <v>0</v>
      </c>
      <c r="K3528" s="48" t="n">
        <f aca="false">IF(AND(K3521&gt;0,$C$3508&gt;0),K3521*Assumptions!$E$24*(1-EXP(-$C$3508/(Assumptions!$E$23*K3521*Assumptions!$E$24))),0)</f>
        <v>0</v>
      </c>
      <c r="L3528" s="48" t="n">
        <f aca="false">IF(AND(L3521&gt;0,$C$3508&gt;0),L3521*Assumptions!$E$24*(1-EXP(-$C$3508/(Assumptions!$E$23*L3521*Assumptions!$E$24))),0)</f>
        <v>0</v>
      </c>
      <c r="M3528" s="48" t="n">
        <f aca="false">IF(AND(M3521&gt;0,$C$3508&gt;0),M3521*Assumptions!$E$24*(1-EXP(-$C$3508/(Assumptions!$E$23*M3521*Assumptions!$E$24))),0)</f>
        <v>0</v>
      </c>
      <c r="N3528" s="48" t="n">
        <f aca="false">IF(AND(N3521&gt;0,$C$3508&gt;0),N3521*Assumptions!$E$24*(1-EXP(-$C$3508/(Assumptions!$E$23*N3521*Assumptions!$E$24))),0)</f>
        <v>0</v>
      </c>
      <c r="P3528" s="49" t="n">
        <f aca="false">SUM(C3528:F3528)</f>
        <v>0</v>
      </c>
      <c r="Q3528" s="49" t="n">
        <f aca="false">SUM(G3528:J3528)</f>
        <v>0</v>
      </c>
      <c r="R3528" s="49" t="n">
        <f aca="false">SUM(K3528:N3528)</f>
        <v>0</v>
      </c>
      <c r="S3528" s="50" t="n">
        <f aca="false">SUM(P3528:R3528)</f>
        <v>0</v>
      </c>
    </row>
    <row r="3529" customFormat="false" ht="15" hidden="false" customHeight="false" outlineLevel="0" collapsed="false">
      <c r="A3529" s="4" t="s">
        <v>498</v>
      </c>
      <c r="B3529" s="36" t="s">
        <v>497</v>
      </c>
      <c r="C3529" s="48" t="n">
        <f aca="false">(C3521*Assumptions!$E$22*MIN(1,Assumptions!$D$103/Assumptions!$E$78)+C3528)*C3511</f>
        <v>5.5188772352</v>
      </c>
      <c r="D3529" s="48" t="n">
        <f aca="false">(D3521*Assumptions!$E$22*MIN(1,Assumptions!$D$103/Assumptions!$E$78)+D3528)*D3511</f>
        <v>11.0377544704</v>
      </c>
      <c r="E3529" s="48" t="n">
        <f aca="false">(E3521*Assumptions!$E$22*MIN(1,Assumptions!$D$103/Assumptions!$E$78)+E3528)*E3511</f>
        <v>11.0377544704</v>
      </c>
      <c r="F3529" s="48" t="n">
        <f aca="false">(F3521*Assumptions!$E$22*MIN(1,Assumptions!$D$103/Assumptions!$E$78)+F3528)*F3511</f>
        <v>11.0377544704</v>
      </c>
      <c r="G3529" s="48" t="n">
        <f aca="false">(G3521*Assumptions!$E$22*MIN(1,Assumptions!$D$103/Assumptions!$E$78)+G3528)*G3511</f>
        <v>14.9349950176</v>
      </c>
      <c r="H3529" s="48" t="n">
        <f aca="false">(H3521*Assumptions!$E$22*MIN(1,Assumptions!$D$103/Assumptions!$E$78)+H3528)*H3511</f>
        <v>18.8322355648</v>
      </c>
      <c r="I3529" s="48" t="n">
        <f aca="false">(I3521*Assumptions!$E$22*MIN(1,Assumptions!$D$103/Assumptions!$E$78)+I3528)*I3511</f>
        <v>31.6761039616</v>
      </c>
      <c r="J3529" s="48" t="n">
        <f aca="false">(J3521*Assumptions!$E$22*MIN(1,Assumptions!$D$103/Assumptions!$E$78)+J3528)*J3511</f>
        <v>44.5199723584</v>
      </c>
      <c r="K3529" s="48" t="n">
        <f aca="false">(K3521*Assumptions!$E$22*MIN(1,Assumptions!$D$103/Assumptions!$E$78)+K3528)*K3511</f>
        <v>44.5199723584</v>
      </c>
      <c r="L3529" s="48" t="n">
        <f aca="false">(L3521*Assumptions!$E$22*MIN(1,Assumptions!$D$103/Assumptions!$E$78)+L3528)*L3511</f>
        <v>44.5199723584</v>
      </c>
      <c r="M3529" s="48" t="n">
        <f aca="false">(M3521*Assumptions!$E$22*MIN(1,Assumptions!$D$103/Assumptions!$E$78)+M3528)*M3511</f>
        <v>44.5199723584</v>
      </c>
      <c r="N3529" s="48" t="n">
        <f aca="false">(N3521*Assumptions!$E$22*MIN(1,Assumptions!$D$103/Assumptions!$E$78)+N3528)*N3511</f>
        <v>44.5199723584</v>
      </c>
      <c r="P3529" s="49" t="n">
        <f aca="false">SUM(C3529:F3529)</f>
        <v>38.6321406464</v>
      </c>
      <c r="Q3529" s="49" t="n">
        <f aca="false">SUM(G3529:J3529)</f>
        <v>109.9633069024</v>
      </c>
      <c r="R3529" s="49" t="n">
        <f aca="false">SUM(K3529:N3529)</f>
        <v>178.0798894336</v>
      </c>
      <c r="S3529" s="50" t="n">
        <f aca="false">SUM(P3529:R3529)</f>
        <v>326.6753369824</v>
      </c>
    </row>
    <row r="3530" customFormat="false" ht="15" hidden="false" customHeight="false" outlineLevel="0" collapsed="false">
      <c r="A3530" s="4" t="s">
        <v>499</v>
      </c>
      <c r="B3530" s="36" t="s">
        <v>500</v>
      </c>
      <c r="C3530" s="48" t="n">
        <f aca="false">C3511*MIN(Assumptions!$E$27,Assumptions!$E$25+Assumptions!$E$26*(C3510-1))*Assumptions!$D$107</f>
        <v>2</v>
      </c>
      <c r="D3530" s="48" t="n">
        <f aca="false">D3511*MIN(Assumptions!$E$27,Assumptions!$E$25+Assumptions!$E$26*(D3510-1))*Assumptions!$D$107</f>
        <v>3</v>
      </c>
      <c r="E3530" s="48" t="n">
        <f aca="false">E3511*MIN(Assumptions!$E$27,Assumptions!$E$25+Assumptions!$E$26*(E3510-1))*Assumptions!$D$107</f>
        <v>4</v>
      </c>
      <c r="F3530" s="48" t="n">
        <f aca="false">F3511*MIN(Assumptions!$E$27,Assumptions!$E$25+Assumptions!$E$26*(F3510-1))*Assumptions!$D$107</f>
        <v>5</v>
      </c>
      <c r="G3530" s="48" t="n">
        <f aca="false">G3511*MIN(Assumptions!$E$27,Assumptions!$E$25+Assumptions!$E$26*(G3510-1))*Assumptions!$D$107</f>
        <v>6</v>
      </c>
      <c r="H3530" s="48" t="n">
        <f aca="false">H3511*MIN(Assumptions!$E$27,Assumptions!$E$25+Assumptions!$E$26*(H3510-1))*Assumptions!$D$107</f>
        <v>7</v>
      </c>
      <c r="I3530" s="48" t="n">
        <f aca="false">I3511*MIN(Assumptions!$E$27,Assumptions!$E$25+Assumptions!$E$26*(I3510-1))*Assumptions!$D$107</f>
        <v>8</v>
      </c>
      <c r="J3530" s="48" t="n">
        <f aca="false">J3511*MIN(Assumptions!$E$27,Assumptions!$E$25+Assumptions!$E$26*(J3510-1))*Assumptions!$D$107</f>
        <v>9</v>
      </c>
      <c r="K3530" s="48" t="n">
        <f aca="false">K3511*MIN(Assumptions!$E$27,Assumptions!$E$25+Assumptions!$E$26*(K3510-1))*Assumptions!$D$107</f>
        <v>10</v>
      </c>
      <c r="L3530" s="48" t="n">
        <f aca="false">L3511*MIN(Assumptions!$E$27,Assumptions!$E$25+Assumptions!$E$26*(L3510-1))*Assumptions!$D$107</f>
        <v>10</v>
      </c>
      <c r="M3530" s="48" t="n">
        <f aca="false">M3511*MIN(Assumptions!$E$27,Assumptions!$E$25+Assumptions!$E$26*(M3510-1))*Assumptions!$D$107</f>
        <v>10</v>
      </c>
      <c r="N3530" s="48" t="n">
        <f aca="false">N3511*MIN(Assumptions!$E$27,Assumptions!$E$25+Assumptions!$E$26*(N3510-1))*Assumptions!$D$107</f>
        <v>10</v>
      </c>
      <c r="P3530" s="49" t="n">
        <f aca="false">F3530</f>
        <v>5</v>
      </c>
      <c r="Q3530" s="49" t="n">
        <f aca="false">J3530</f>
        <v>9</v>
      </c>
      <c r="R3530" s="49" t="n">
        <f aca="false">N3530</f>
        <v>10</v>
      </c>
      <c r="S3530" s="50" t="n">
        <f aca="false">R3530</f>
        <v>10</v>
      </c>
    </row>
    <row r="3531" customFormat="false" ht="15" hidden="false" customHeight="false" outlineLevel="0" collapsed="false">
      <c r="A3531" s="4" t="s">
        <v>501</v>
      </c>
      <c r="B3531" s="36" t="s">
        <v>502</v>
      </c>
      <c r="C3531" s="48" t="n">
        <f aca="false">C3530*Assumptions!$E$28</f>
        <v>6</v>
      </c>
      <c r="D3531" s="48" t="n">
        <f aca="false">D3530*Assumptions!$E$28</f>
        <v>9</v>
      </c>
      <c r="E3531" s="48" t="n">
        <f aca="false">E3530*Assumptions!$E$28</f>
        <v>12</v>
      </c>
      <c r="F3531" s="48" t="n">
        <f aca="false">F3530*Assumptions!$E$28</f>
        <v>15</v>
      </c>
      <c r="G3531" s="48" t="n">
        <f aca="false">G3530*Assumptions!$E$28</f>
        <v>18</v>
      </c>
      <c r="H3531" s="48" t="n">
        <f aca="false">H3530*Assumptions!$E$28</f>
        <v>21</v>
      </c>
      <c r="I3531" s="48" t="n">
        <f aca="false">I3530*Assumptions!$E$28</f>
        <v>24</v>
      </c>
      <c r="J3531" s="48" t="n">
        <f aca="false">J3530*Assumptions!$E$28</f>
        <v>27</v>
      </c>
      <c r="K3531" s="48" t="n">
        <f aca="false">K3530*Assumptions!$E$28</f>
        <v>30</v>
      </c>
      <c r="L3531" s="48" t="n">
        <f aca="false">L3530*Assumptions!$E$28</f>
        <v>30</v>
      </c>
      <c r="M3531" s="48" t="n">
        <f aca="false">M3530*Assumptions!$E$28</f>
        <v>30</v>
      </c>
      <c r="N3531" s="48" t="n">
        <f aca="false">N3530*Assumptions!$E$28</f>
        <v>30</v>
      </c>
      <c r="P3531" s="49" t="n">
        <f aca="false">SUM(C3531:F3531)</f>
        <v>42</v>
      </c>
      <c r="Q3531" s="49" t="n">
        <f aca="false">SUM(G3531:J3531)</f>
        <v>90</v>
      </c>
      <c r="R3531" s="49" t="n">
        <f aca="false">SUM(K3531:N3531)</f>
        <v>120</v>
      </c>
      <c r="S3531" s="50" t="n">
        <f aca="false">SUM(P3531:R3531)</f>
        <v>252</v>
      </c>
    </row>
    <row r="3532" customFormat="false" ht="15" hidden="false" customHeight="false" outlineLevel="0" collapsed="false">
      <c r="A3532" s="4" t="s">
        <v>503</v>
      </c>
      <c r="B3532" s="36" t="s">
        <v>504</v>
      </c>
      <c r="C3532" s="48" t="n">
        <f aca="false">(C3523+C3527)*Assumptions!$E$29</f>
        <v>3.973591609344</v>
      </c>
      <c r="D3532" s="48" t="n">
        <f aca="false">(D3523+D3527)*Assumptions!$E$29</f>
        <v>7.39568731948572</v>
      </c>
      <c r="E3532" s="48" t="n">
        <f aca="false">(E3523+E3527)*Assumptions!$E$29</f>
        <v>6.88246255591319</v>
      </c>
      <c r="F3532" s="48" t="n">
        <f aca="false">(F3523+F3527)*Assumptions!$E$29</f>
        <v>6.40485309712107</v>
      </c>
      <c r="G3532" s="48" t="n">
        <f aca="false">(G3523+G3527)*Assumptions!$E$29</f>
        <v>8.766400608</v>
      </c>
      <c r="H3532" s="48" t="n">
        <f aca="false">(H3523+H3527)*Assumptions!$E$29</f>
        <v>10.7693445156665</v>
      </c>
      <c r="I3532" s="48" t="n">
        <f aca="false">(I3523+I3527)*Assumptions!$E$29</f>
        <v>19.2695895813198</v>
      </c>
      <c r="J3532" s="48" t="n">
        <f aca="false">(J3523+J3527)*Assumptions!$E$29</f>
        <v>26.538221461885</v>
      </c>
      <c r="K3532" s="48" t="n">
        <f aca="false">(K3523+K3527)*Assumptions!$E$29</f>
        <v>24.6965978443578</v>
      </c>
      <c r="L3532" s="48" t="n">
        <f aca="false">(L3523+L3527)*Assumptions!$E$29</f>
        <v>22.9827739572498</v>
      </c>
      <c r="M3532" s="48" t="n">
        <f aca="false">(M3523+M3527)*Assumptions!$E$29</f>
        <v>21.3878811202619</v>
      </c>
      <c r="N3532" s="48" t="n">
        <f aca="false">(N3523+N3527)*Assumptions!$E$29</f>
        <v>19.9036660964137</v>
      </c>
      <c r="P3532" s="49" t="n">
        <f aca="false">SUM(C3532:F3532)</f>
        <v>24.656594581864</v>
      </c>
      <c r="Q3532" s="49" t="n">
        <f aca="false">SUM(G3532:J3532)</f>
        <v>65.3435561668713</v>
      </c>
      <c r="R3532" s="49" t="n">
        <f aca="false">SUM(K3532:N3532)</f>
        <v>88.9709190182832</v>
      </c>
      <c r="S3532" s="50" t="n">
        <f aca="false">SUM(P3532:R3532)</f>
        <v>178.971069767019</v>
      </c>
    </row>
    <row r="3533" customFormat="false" ht="15" hidden="false" customHeight="false" outlineLevel="0" collapsed="false">
      <c r="A3533" s="4" t="s">
        <v>505</v>
      </c>
      <c r="B3533" s="36" t="s">
        <v>504</v>
      </c>
      <c r="C3533" s="48" t="n">
        <f aca="false">C3529*Assumptions!$E$31</f>
        <v>0.883020357632</v>
      </c>
      <c r="D3533" s="48" t="n">
        <f aca="false">D3529*Assumptions!$E$31</f>
        <v>1.766040715264</v>
      </c>
      <c r="E3533" s="48" t="n">
        <f aca="false">E3529*Assumptions!$E$31</f>
        <v>1.766040715264</v>
      </c>
      <c r="F3533" s="48" t="n">
        <f aca="false">F3529*Assumptions!$E$31</f>
        <v>1.766040715264</v>
      </c>
      <c r="G3533" s="48" t="n">
        <f aca="false">G3529*Assumptions!$E$31</f>
        <v>2.389599202816</v>
      </c>
      <c r="H3533" s="48" t="n">
        <f aca="false">H3529*Assumptions!$E$31</f>
        <v>3.013157690368</v>
      </c>
      <c r="I3533" s="48" t="n">
        <f aca="false">I3529*Assumptions!$E$31</f>
        <v>5.068176633856</v>
      </c>
      <c r="J3533" s="48" t="n">
        <f aca="false">J3529*Assumptions!$E$31</f>
        <v>7.123195577344</v>
      </c>
      <c r="K3533" s="48" t="n">
        <f aca="false">K3529*Assumptions!$E$31</f>
        <v>7.123195577344</v>
      </c>
      <c r="L3533" s="48" t="n">
        <f aca="false">L3529*Assumptions!$E$31</f>
        <v>7.123195577344</v>
      </c>
      <c r="M3533" s="48" t="n">
        <f aca="false">M3529*Assumptions!$E$31</f>
        <v>7.123195577344</v>
      </c>
      <c r="N3533" s="48" t="n">
        <f aca="false">N3529*Assumptions!$E$31</f>
        <v>7.123195577344</v>
      </c>
      <c r="P3533" s="49" t="n">
        <f aca="false">SUM(C3533:F3533)</f>
        <v>6.181142503424</v>
      </c>
      <c r="Q3533" s="49" t="n">
        <f aca="false">SUM(G3533:J3533)</f>
        <v>17.594129104384</v>
      </c>
      <c r="R3533" s="49" t="n">
        <f aca="false">SUM(K3533:N3533)</f>
        <v>28.492782309376</v>
      </c>
      <c r="S3533" s="50" t="n">
        <f aca="false">SUM(P3533:R3533)</f>
        <v>52.268053917184</v>
      </c>
    </row>
    <row r="3534" customFormat="false" ht="15" hidden="false" customHeight="false" outlineLevel="0" collapsed="false">
      <c r="A3534" s="4" t="s">
        <v>506</v>
      </c>
      <c r="B3534" s="36" t="s">
        <v>504</v>
      </c>
      <c r="C3534" s="48" t="n">
        <f aca="false">C3531*Assumptions!$E$30</f>
        <v>3</v>
      </c>
      <c r="D3534" s="48" t="n">
        <f aca="false">D3531*Assumptions!$E$30</f>
        <v>4.5</v>
      </c>
      <c r="E3534" s="48" t="n">
        <f aca="false">E3531*Assumptions!$E$30</f>
        <v>6</v>
      </c>
      <c r="F3534" s="48" t="n">
        <f aca="false">F3531*Assumptions!$E$30</f>
        <v>7.5</v>
      </c>
      <c r="G3534" s="48" t="n">
        <f aca="false">G3531*Assumptions!$E$30</f>
        <v>9</v>
      </c>
      <c r="H3534" s="48" t="n">
        <f aca="false">H3531*Assumptions!$E$30</f>
        <v>10.5</v>
      </c>
      <c r="I3534" s="48" t="n">
        <f aca="false">I3531*Assumptions!$E$30</f>
        <v>12</v>
      </c>
      <c r="J3534" s="48" t="n">
        <f aca="false">J3531*Assumptions!$E$30</f>
        <v>13.5</v>
      </c>
      <c r="K3534" s="48" t="n">
        <f aca="false">K3531*Assumptions!$E$30</f>
        <v>15</v>
      </c>
      <c r="L3534" s="48" t="n">
        <f aca="false">L3531*Assumptions!$E$30</f>
        <v>15</v>
      </c>
      <c r="M3534" s="48" t="n">
        <f aca="false">M3531*Assumptions!$E$30</f>
        <v>15</v>
      </c>
      <c r="N3534" s="48" t="n">
        <f aca="false">N3531*Assumptions!$E$30</f>
        <v>15</v>
      </c>
      <c r="P3534" s="49" t="n">
        <f aca="false">SUM(C3534:F3534)</f>
        <v>21</v>
      </c>
      <c r="Q3534" s="49" t="n">
        <f aca="false">SUM(G3534:J3534)</f>
        <v>45</v>
      </c>
      <c r="R3534" s="49" t="n">
        <f aca="false">SUM(K3534:N3534)</f>
        <v>60</v>
      </c>
      <c r="S3534" s="50" t="n">
        <f aca="false">SUM(P3534:R3534)</f>
        <v>126</v>
      </c>
    </row>
    <row r="3535" customFormat="false" ht="15" hidden="false" customHeight="false" outlineLevel="0" collapsed="false">
      <c r="A3535" s="9" t="s">
        <v>507</v>
      </c>
      <c r="B3535" s="36" t="s">
        <v>504</v>
      </c>
      <c r="C3535" s="49" t="n">
        <f aca="false">C3532+C3533+C3534</f>
        <v>7.856611966976</v>
      </c>
      <c r="D3535" s="49" t="n">
        <f aca="false">D3532+D3533+D3534</f>
        <v>13.6617280347497</v>
      </c>
      <c r="E3535" s="49" t="n">
        <f aca="false">E3532+E3533+E3534</f>
        <v>14.6485032711772</v>
      </c>
      <c r="F3535" s="49" t="n">
        <f aca="false">F3532+F3533+F3534</f>
        <v>15.6708938123851</v>
      </c>
      <c r="G3535" s="49" t="n">
        <f aca="false">G3532+G3533+G3534</f>
        <v>20.155999810816</v>
      </c>
      <c r="H3535" s="49" t="n">
        <f aca="false">H3532+H3533+H3534</f>
        <v>24.2825022060345</v>
      </c>
      <c r="I3535" s="49" t="n">
        <f aca="false">I3532+I3533+I3534</f>
        <v>36.3377662151758</v>
      </c>
      <c r="J3535" s="49" t="n">
        <f aca="false">J3532+J3533+J3534</f>
        <v>47.161417039229</v>
      </c>
      <c r="K3535" s="49" t="n">
        <f aca="false">K3532+K3533+K3534</f>
        <v>46.8197934217018</v>
      </c>
      <c r="L3535" s="49" t="n">
        <f aca="false">L3532+L3533+L3534</f>
        <v>45.1059695345938</v>
      </c>
      <c r="M3535" s="49" t="n">
        <f aca="false">M3532+M3533+M3534</f>
        <v>43.5110766976059</v>
      </c>
      <c r="N3535" s="49" t="n">
        <f aca="false">N3532+N3533+N3534</f>
        <v>42.0268616737578</v>
      </c>
      <c r="P3535" s="49" t="n">
        <f aca="false">SUM(C3535:F3535)</f>
        <v>51.837737085288</v>
      </c>
      <c r="Q3535" s="49" t="n">
        <f aca="false">SUM(G3535:J3535)</f>
        <v>127.937685271255</v>
      </c>
      <c r="R3535" s="49" t="n">
        <f aca="false">SUM(K3535:N3535)</f>
        <v>177.463701327659</v>
      </c>
      <c r="S3535" s="50" t="n">
        <f aca="false">SUM(P3535:R3535)</f>
        <v>357.239123684203</v>
      </c>
    </row>
    <row r="3536" customFormat="false" ht="15" hidden="false" customHeight="false" outlineLevel="0" collapsed="false">
      <c r="A3536" s="4" t="s">
        <v>508</v>
      </c>
      <c r="B3536" s="36" t="s">
        <v>509</v>
      </c>
      <c r="C3536" s="48" t="n">
        <f aca="false">C3518</f>
        <v>421.51972352</v>
      </c>
      <c r="D3536" s="48" t="n">
        <f aca="false">D3518</f>
        <v>843.03944704</v>
      </c>
      <c r="E3536" s="48" t="n">
        <f aca="false">E3518</f>
        <v>843.03944704</v>
      </c>
      <c r="F3536" s="48" t="n">
        <f aca="false">F3518</f>
        <v>843.03944704</v>
      </c>
      <c r="G3536" s="48" t="n">
        <f aca="false">G3518</f>
        <v>1149.32798176</v>
      </c>
      <c r="H3536" s="48" t="n">
        <f aca="false">H3518</f>
        <v>1455.61651648</v>
      </c>
      <c r="I3536" s="48" t="n">
        <f aca="false">I3518</f>
        <v>2486.00303616</v>
      </c>
      <c r="J3536" s="48" t="n">
        <f aca="false">J3518</f>
        <v>3516.38955584</v>
      </c>
      <c r="K3536" s="48" t="n">
        <f aca="false">K3518</f>
        <v>3516.38955584</v>
      </c>
      <c r="L3536" s="48" t="n">
        <f aca="false">L3518</f>
        <v>3516.38955584</v>
      </c>
      <c r="M3536" s="48" t="n">
        <f aca="false">M3518</f>
        <v>3516.38955584</v>
      </c>
      <c r="N3536" s="48" t="n">
        <f aca="false">N3518</f>
        <v>3516.38955584</v>
      </c>
      <c r="P3536" s="49"/>
      <c r="Q3536" s="49"/>
      <c r="R3536" s="49"/>
      <c r="S3536" s="50"/>
    </row>
    <row r="3537" customFormat="false" ht="15" hidden="false" customHeight="false" outlineLevel="0" collapsed="false">
      <c r="A3537" s="4" t="s">
        <v>510</v>
      </c>
      <c r="B3537" s="36" t="s">
        <v>509</v>
      </c>
      <c r="C3537" s="48" t="n">
        <f aca="false">C3519*Assumptions!$E$18*Assumptions!$E$33</f>
        <v>211.19616</v>
      </c>
      <c r="D3537" s="48" t="n">
        <f aca="false">D3519*Assumptions!$E$18*Assumptions!$E$33</f>
        <v>422.39232</v>
      </c>
      <c r="E3537" s="48" t="n">
        <f aca="false">E3519*Assumptions!$E$18*Assumptions!$E$33</f>
        <v>422.39232</v>
      </c>
      <c r="F3537" s="48" t="n">
        <f aca="false">F3519*Assumptions!$E$18*Assumptions!$E$33</f>
        <v>422.39232</v>
      </c>
      <c r="G3537" s="48" t="n">
        <f aca="false">G3519*Assumptions!$E$18*Assumptions!$E$33</f>
        <v>564.49344</v>
      </c>
      <c r="H3537" s="48" t="n">
        <f aca="false">H3519*Assumptions!$E$18*Assumptions!$E$33</f>
        <v>706.59456</v>
      </c>
      <c r="I3537" s="48" t="n">
        <f aca="false">I3519*Assumptions!$E$18*Assumptions!$E$33</f>
        <v>1135.07072</v>
      </c>
      <c r="J3537" s="48" t="n">
        <f aca="false">J3519*Assumptions!$E$18*Assumptions!$E$33</f>
        <v>1563.54688</v>
      </c>
      <c r="K3537" s="48" t="n">
        <f aca="false">K3519*Assumptions!$E$18*Assumptions!$E$33</f>
        <v>1563.54688</v>
      </c>
      <c r="L3537" s="48" t="n">
        <f aca="false">L3519*Assumptions!$E$18*Assumptions!$E$33</f>
        <v>1563.54688</v>
      </c>
      <c r="M3537" s="48" t="n">
        <f aca="false">M3519*Assumptions!$E$18*Assumptions!$E$33</f>
        <v>1563.54688</v>
      </c>
      <c r="N3537" s="48" t="n">
        <f aca="false">N3519*Assumptions!$E$18*Assumptions!$E$33</f>
        <v>1563.54688</v>
      </c>
      <c r="P3537" s="49"/>
      <c r="Q3537" s="49"/>
      <c r="R3537" s="49"/>
      <c r="S3537" s="50"/>
    </row>
    <row r="3538" customFormat="false" ht="15" hidden="false" customHeight="false" outlineLevel="0" collapsed="false">
      <c r="A3538" s="4" t="s">
        <v>511</v>
      </c>
      <c r="B3538" s="36" t="s">
        <v>509</v>
      </c>
      <c r="C3538" s="48" t="n">
        <f aca="false">C3520*Assumptions!$E$19*Assumptions!$E$34</f>
        <v>34.677888</v>
      </c>
      <c r="D3538" s="48" t="n">
        <f aca="false">D3520*Assumptions!$E$19*Assumptions!$E$34</f>
        <v>69.355776</v>
      </c>
      <c r="E3538" s="48" t="n">
        <f aca="false">E3520*Assumptions!$E$19*Assumptions!$E$34</f>
        <v>69.355776</v>
      </c>
      <c r="F3538" s="48" t="n">
        <f aca="false">F3520*Assumptions!$E$19*Assumptions!$E$34</f>
        <v>69.355776</v>
      </c>
      <c r="G3538" s="48" t="n">
        <f aca="false">G3520*Assumptions!$E$19*Assumptions!$E$34</f>
        <v>86.69472</v>
      </c>
      <c r="H3538" s="48" t="n">
        <f aca="false">H3520*Assumptions!$E$19*Assumptions!$E$34</f>
        <v>104.033664</v>
      </c>
      <c r="I3538" s="48" t="n">
        <f aca="false">I3520*Assumptions!$E$19*Assumptions!$E$34</f>
        <v>159.7008</v>
      </c>
      <c r="J3538" s="48" t="n">
        <f aca="false">J3520*Assumptions!$E$19*Assumptions!$E$34</f>
        <v>215.367936</v>
      </c>
      <c r="K3538" s="48" t="n">
        <f aca="false">K3520*Assumptions!$E$19*Assumptions!$E$34</f>
        <v>215.367936</v>
      </c>
      <c r="L3538" s="48" t="n">
        <f aca="false">L3520*Assumptions!$E$19*Assumptions!$E$34</f>
        <v>215.367936</v>
      </c>
      <c r="M3538" s="48" t="n">
        <f aca="false">M3520*Assumptions!$E$19*Assumptions!$E$34</f>
        <v>215.367936</v>
      </c>
      <c r="N3538" s="48" t="n">
        <f aca="false">N3520*Assumptions!$E$19*Assumptions!$E$34</f>
        <v>215.367936</v>
      </c>
      <c r="P3538" s="49"/>
      <c r="Q3538" s="49"/>
      <c r="R3538" s="49"/>
      <c r="S3538" s="50"/>
    </row>
    <row r="3539" customFormat="false" ht="15" hidden="false" customHeight="false" outlineLevel="0" collapsed="false">
      <c r="A3539" s="4" t="s">
        <v>512</v>
      </c>
      <c r="B3539" s="36" t="s">
        <v>77</v>
      </c>
      <c r="C3539" s="51" t="n">
        <f aca="false">IFERROR(C3536/(C3536+C3537+C3538),0)</f>
        <v>0.631590736245533</v>
      </c>
      <c r="D3539" s="51" t="n">
        <f aca="false">IFERROR(D3536/(D3536+D3537+D3538),0)</f>
        <v>0.631590736245533</v>
      </c>
      <c r="E3539" s="51" t="n">
        <f aca="false">IFERROR(E3536/(E3536+E3537+E3538),0)</f>
        <v>0.631590736245533</v>
      </c>
      <c r="F3539" s="51" t="n">
        <f aca="false">IFERROR(F3536/(F3536+F3537+F3538),0)</f>
        <v>0.631590736245533</v>
      </c>
      <c r="G3539" s="51" t="n">
        <f aca="false">IFERROR(G3536/(G3536+G3537+G3538),0)</f>
        <v>0.638332506498128</v>
      </c>
      <c r="H3539" s="51" t="n">
        <f aca="false">IFERROR(H3536/(H3536+H3537+H3538),0)</f>
        <v>0.642303318118984</v>
      </c>
      <c r="I3539" s="51" t="n">
        <f aca="false">IFERROR(I3536/(I3536+I3537+I3538),0)</f>
        <v>0.657538025405288</v>
      </c>
      <c r="J3539" s="51" t="n">
        <f aca="false">IFERROR(J3536/(J3536+J3537+J3538),0)</f>
        <v>0.664058061428891</v>
      </c>
      <c r="K3539" s="51" t="n">
        <f aca="false">IFERROR(K3536/(K3536+K3537+K3538),0)</f>
        <v>0.664058061428891</v>
      </c>
      <c r="L3539" s="51" t="n">
        <f aca="false">IFERROR(L3536/(L3536+L3537+L3538),0)</f>
        <v>0.664058061428891</v>
      </c>
      <c r="M3539" s="51" t="n">
        <f aca="false">IFERROR(M3536/(M3536+M3537+M3538),0)</f>
        <v>0.664058061428891</v>
      </c>
      <c r="N3539" s="51" t="n">
        <f aca="false">IFERROR(N3536/(N3536+N3537+N3538),0)</f>
        <v>0.664058061428891</v>
      </c>
      <c r="P3539" s="52"/>
      <c r="Q3539" s="52"/>
      <c r="R3539" s="52"/>
      <c r="S3539" s="53"/>
    </row>
    <row r="3540" customFormat="false" ht="15" hidden="false" customHeight="false" outlineLevel="0" collapsed="false">
      <c r="A3540" s="4" t="s">
        <v>513</v>
      </c>
      <c r="B3540" s="36" t="s">
        <v>77</v>
      </c>
      <c r="C3540" s="51" t="n">
        <f aca="false">IFERROR(C3537/(C3536+C3537+C3538),0)</f>
        <v>0.316449102482628</v>
      </c>
      <c r="D3540" s="51" t="n">
        <f aca="false">IFERROR(D3537/(D3536+D3537+D3538),0)</f>
        <v>0.316449102482628</v>
      </c>
      <c r="E3540" s="51" t="n">
        <f aca="false">IFERROR(E3537/(E3536+E3537+E3538),0)</f>
        <v>0.316449102482628</v>
      </c>
      <c r="F3540" s="51" t="n">
        <f aca="false">IFERROR(F3537/(F3536+F3537+F3538),0)</f>
        <v>0.316449102482628</v>
      </c>
      <c r="G3540" s="51" t="n">
        <f aca="false">IFERROR(G3537/(G3536+G3537+G3538),0)</f>
        <v>0.313517566939561</v>
      </c>
      <c r="H3540" s="51" t="n">
        <f aca="false">IFERROR(H3537/(H3536+H3537+H3538),0)</f>
        <v>0.311790932099567</v>
      </c>
      <c r="I3540" s="51" t="n">
        <f aca="false">IFERROR(I3537/(I3536+I3537+I3538),0)</f>
        <v>0.300221741111391</v>
      </c>
      <c r="J3540" s="51" t="n">
        <f aca="false">IFERROR(J3537/(J3536+J3537+J3538),0)</f>
        <v>0.295270445324128</v>
      </c>
      <c r="K3540" s="51" t="n">
        <f aca="false">IFERROR(K3537/(K3536+K3537+K3538),0)</f>
        <v>0.295270445324128</v>
      </c>
      <c r="L3540" s="51" t="n">
        <f aca="false">IFERROR(L3537/(L3536+L3537+L3538),0)</f>
        <v>0.295270445324128</v>
      </c>
      <c r="M3540" s="51" t="n">
        <f aca="false">IFERROR(M3537/(M3536+M3537+M3538),0)</f>
        <v>0.295270445324128</v>
      </c>
      <c r="N3540" s="51" t="n">
        <f aca="false">IFERROR(N3537/(N3536+N3537+N3538),0)</f>
        <v>0.295270445324128</v>
      </c>
      <c r="P3540" s="52"/>
      <c r="Q3540" s="52"/>
      <c r="R3540" s="52"/>
      <c r="S3540" s="53"/>
    </row>
    <row r="3541" customFormat="false" ht="15" hidden="false" customHeight="false" outlineLevel="0" collapsed="false">
      <c r="A3541" s="4" t="s">
        <v>514</v>
      </c>
      <c r="B3541" s="36" t="s">
        <v>77</v>
      </c>
      <c r="C3541" s="51" t="n">
        <f aca="false">IFERROR(C3538/(C3536+C3537+C3538),0)</f>
        <v>0.0519601612718389</v>
      </c>
      <c r="D3541" s="51" t="n">
        <f aca="false">IFERROR(D3538/(D3536+D3537+D3538),0)</f>
        <v>0.0519601612718389</v>
      </c>
      <c r="E3541" s="51" t="n">
        <f aca="false">IFERROR(E3538/(E3536+E3537+E3538),0)</f>
        <v>0.0519601612718389</v>
      </c>
      <c r="F3541" s="51" t="n">
        <f aca="false">IFERROR(F3538/(F3536+F3537+F3538),0)</f>
        <v>0.0519601612718389</v>
      </c>
      <c r="G3541" s="51" t="n">
        <f aca="false">IFERROR(G3538/(G3536+G3537+G3538),0)</f>
        <v>0.0481499265623113</v>
      </c>
      <c r="H3541" s="51" t="n">
        <f aca="false">IFERROR(H3538/(H3536+H3537+H3538),0)</f>
        <v>0.0459057497814491</v>
      </c>
      <c r="I3541" s="51" t="n">
        <f aca="false">IFERROR(I3538/(I3536+I3537+I3538),0)</f>
        <v>0.0422402334833216</v>
      </c>
      <c r="J3541" s="51" t="n">
        <f aca="false">IFERROR(J3538/(J3536+J3537+J3538),0)</f>
        <v>0.0406714932469811</v>
      </c>
      <c r="K3541" s="51" t="n">
        <f aca="false">IFERROR(K3538/(K3536+K3537+K3538),0)</f>
        <v>0.0406714932469811</v>
      </c>
      <c r="L3541" s="51" t="n">
        <f aca="false">IFERROR(L3538/(L3536+L3537+L3538),0)</f>
        <v>0.0406714932469811</v>
      </c>
      <c r="M3541" s="51" t="n">
        <f aca="false">IFERROR(M3538/(M3536+M3537+M3538),0)</f>
        <v>0.0406714932469811</v>
      </c>
      <c r="N3541" s="51" t="n">
        <f aca="false">IFERROR(N3538/(N3536+N3537+N3538),0)</f>
        <v>0.0406714932469811</v>
      </c>
      <c r="P3541" s="52"/>
      <c r="Q3541" s="52"/>
      <c r="R3541" s="52"/>
      <c r="S3541" s="53"/>
    </row>
    <row r="3542" customFormat="false" ht="15" hidden="false" customHeight="false" outlineLevel="0" collapsed="false">
      <c r="A3542" s="4" t="s">
        <v>515</v>
      </c>
      <c r="B3542" s="36" t="s">
        <v>516</v>
      </c>
      <c r="C3542" s="48" t="n">
        <f aca="false">IF(C3510-Assumptions!$E$35&lt;1,0,INDEX($C$3535:$N$3535,1,C3510-Assumptions!$E$35)*INDEX($C$3539:$N$3539,1,C3510-Assumptions!$E$35)*Assumptions!$E$32)</f>
        <v>0</v>
      </c>
      <c r="D3542" s="48" t="n">
        <f aca="false">IF(D3510-Assumptions!$E$35&lt;1,0,INDEX($C$3535:$N$3535,1,D3510-Assumptions!$E$35)*INDEX($C$3539:$N$3539,1,D3510-Assumptions!$E$35)*Assumptions!$E$32)</f>
        <v>1.04205430068975</v>
      </c>
      <c r="E3542" s="48" t="n">
        <f aca="false">IF(E3510-Assumptions!$E$35&lt;1,0,INDEX($C$3535:$N$3535,1,E3510-Assumptions!$E$35)*INDEX($C$3539:$N$3539,1,E3510-Assumptions!$E$35)*Assumptions!$E$32)</f>
        <v>1.8120103822493</v>
      </c>
      <c r="F3542" s="48" t="n">
        <f aca="false">IF(F3510-Assumptions!$E$35&lt;1,0,INDEX($C$3535:$N$3535,1,F3510-Assumptions!$E$35)*INDEX($C$3539:$N$3539,1,F3510-Assumptions!$E$35)*Assumptions!$E$32)</f>
        <v>1.94289038284696</v>
      </c>
      <c r="G3542" s="48" t="n">
        <f aca="false">IF(G3510-Assumptions!$E$35&lt;1,0,INDEX($C$3535:$N$3535,1,G3510-Assumptions!$E$35)*INDEX($C$3539:$N$3539,1,G3510-Assumptions!$E$35)*Assumptions!$E$32)</f>
        <v>2.07849418572387</v>
      </c>
      <c r="H3542" s="48" t="n">
        <f aca="false">IF(H3510-Assumptions!$E$35&lt;1,0,INDEX($C$3535:$N$3535,1,H3510-Assumptions!$E$35)*INDEX($C$3539:$N$3539,1,H3510-Assumptions!$E$35)*Assumptions!$E$32)</f>
        <v>2.70190827484494</v>
      </c>
      <c r="I3542" s="48" t="n">
        <f aca="false">IF(I3510-Assumptions!$E$35&lt;1,0,INDEX($C$3535:$N$3535,1,I3510-Assumptions!$E$35)*INDEX($C$3539:$N$3539,1,I3510-Assumptions!$E$35)*Assumptions!$E$32)</f>
        <v>3.27531366522518</v>
      </c>
      <c r="J3542" s="48" t="n">
        <f aca="false">IF(J3510-Assumptions!$E$35&lt;1,0,INDEX($C$3535:$N$3535,1,J3510-Assumptions!$E$35)*INDEX($C$3539:$N$3539,1,J3510-Assumptions!$E$35)*Assumptions!$E$32)</f>
        <v>5.01762723940079</v>
      </c>
      <c r="K3542" s="48" t="n">
        <f aca="false">IF(K3510-Assumptions!$E$35&lt;1,0,INDEX($C$3535:$N$3535,1,K3510-Assumptions!$E$35)*INDEX($C$3539:$N$3539,1,K3510-Assumptions!$E$35)*Assumptions!$E$32)</f>
        <v>6.57676302639507</v>
      </c>
      <c r="L3542" s="48" t="n">
        <f aca="false">IF(L3510-Assumptions!$E$35&lt;1,0,INDEX($C$3535:$N$3535,1,L3510-Assumptions!$E$35)*INDEX($C$3539:$N$3539,1,L3510-Assumptions!$E$35)*Assumptions!$E$32)</f>
        <v>6.52912286378445</v>
      </c>
      <c r="M3542" s="48" t="n">
        <f aca="false">IF(M3510-Assumptions!$E$35&lt;1,0,INDEX($C$3535:$N$3535,1,M3510-Assumptions!$E$35)*INDEX($C$3539:$N$3539,1,M3510-Assumptions!$E$35)*Assumptions!$E$32)</f>
        <v>6.29012636448272</v>
      </c>
      <c r="N3542" s="48" t="n">
        <f aca="false">IF(N3510-Assumptions!$E$35&lt;1,0,INDEX($C$3535:$N$3535,1,N3510-Assumptions!$E$35)*INDEX($C$3539:$N$3539,1,N3510-Assumptions!$E$35)*Assumptions!$E$32)</f>
        <v>6.06771506092415</v>
      </c>
      <c r="P3542" s="49" t="n">
        <f aca="false">SUM(C3542:F3542)</f>
        <v>4.79695506578601</v>
      </c>
      <c r="Q3542" s="49" t="n">
        <f aca="false">SUM(G3542:J3542)</f>
        <v>13.0733433651948</v>
      </c>
      <c r="R3542" s="49" t="n">
        <f aca="false">SUM(K3542:N3542)</f>
        <v>25.4637273155864</v>
      </c>
      <c r="S3542" s="50" t="n">
        <f aca="false">SUM(P3542:R3542)</f>
        <v>43.3340257465672</v>
      </c>
    </row>
    <row r="3543" customFormat="false" ht="15" hidden="false" customHeight="false" outlineLevel="0" collapsed="false">
      <c r="A3543" s="4" t="s">
        <v>517</v>
      </c>
      <c r="B3543" s="36" t="s">
        <v>516</v>
      </c>
      <c r="C3543" s="48" t="n">
        <f aca="false">IF(C3510-Assumptions!$E$35&lt;1,0,INDEX($C$3535:$N$3535,1,C3510-Assumptions!$E$35)*INDEX($C$3540:$N$3540,1,C3510-Assumptions!$E$35)*Assumptions!$E$32)</f>
        <v>0</v>
      </c>
      <c r="D3543" s="48" t="n">
        <f aca="false">IF(D3510-Assumptions!$E$35&lt;1,0,INDEX($C$3535:$N$3535,1,D3510-Assumptions!$E$35)*INDEX($C$3540:$N$3540,1,D3510-Assumptions!$E$35)*Assumptions!$E$32)</f>
        <v>0.522105739155804</v>
      </c>
      <c r="E3543" s="48" t="n">
        <f aca="false">IF(E3510-Assumptions!$E$35&lt;1,0,INDEX($C$3535:$N$3535,1,E3510-Assumptions!$E$35)*INDEX($C$3540:$N$3540,1,E3510-Assumptions!$E$35)*Assumptions!$E$32)</f>
        <v>0.907880730741244</v>
      </c>
      <c r="F3543" s="48" t="n">
        <f aca="false">IF(F3510-Assumptions!$E$35&lt;1,0,INDEX($C$3535:$N$3535,1,F3510-Assumptions!$E$35)*INDEX($C$3540:$N$3540,1,F3510-Assumptions!$E$35)*Assumptions!$E$32)</f>
        <v>0.973456199704351</v>
      </c>
      <c r="G3543" s="48" t="n">
        <f aca="false">IF(G3510-Assumptions!$E$35&lt;1,0,INDEX($C$3535:$N$3535,1,G3510-Assumptions!$E$35)*INDEX($C$3540:$N$3540,1,G3510-Assumptions!$E$35)*Assumptions!$E$32)</f>
        <v>1.04139845922626</v>
      </c>
      <c r="H3543" s="48" t="n">
        <f aca="false">IF(H3510-Assumptions!$E$35&lt;1,0,INDEX($C$3535:$N$3535,1,H3510-Assumptions!$E$35)*INDEX($C$3540:$N$3540,1,H3510-Assumptions!$E$35)*Assumptions!$E$32)</f>
        <v>1.32704460418347</v>
      </c>
      <c r="I3543" s="48" t="n">
        <f aca="false">IF(I3510-Assumptions!$E$35&lt;1,0,INDEX($C$3535:$N$3535,1,I3510-Assumptions!$E$35)*INDEX($C$3540:$N$3540,1,I3510-Assumptions!$E$35)*Assumptions!$E$32)</f>
        <v>1.58992343927115</v>
      </c>
      <c r="J3543" s="48" t="n">
        <f aca="false">IF(J3510-Assumptions!$E$35&lt;1,0,INDEX($C$3535:$N$3535,1,J3510-Assumptions!$E$35)*INDEX($C$3540:$N$3540,1,J3510-Assumptions!$E$35)*Assumptions!$E$32)</f>
        <v>2.29097136265594</v>
      </c>
      <c r="K3543" s="48" t="n">
        <f aca="false">IF(K3510-Assumptions!$E$35&lt;1,0,INDEX($C$3535:$N$3535,1,K3510-Assumptions!$E$35)*INDEX($C$3540:$N$3540,1,K3510-Assumptions!$E$35)*Assumptions!$E$32)</f>
        <v>2.92432824837092</v>
      </c>
      <c r="L3543" s="48" t="n">
        <f aca="false">IF(L3510-Assumptions!$E$35&lt;1,0,INDEX($C$3535:$N$3535,1,L3510-Assumptions!$E$35)*INDEX($C$3540:$N$3540,1,L3510-Assumptions!$E$35)*Assumptions!$E$32)</f>
        <v>2.90314526325801</v>
      </c>
      <c r="M3543" s="48" t="n">
        <f aca="false">IF(M3510-Assumptions!$E$35&lt;1,0,INDEX($C$3535:$N$3535,1,M3510-Assumptions!$E$35)*INDEX($C$3540:$N$3540,1,M3510-Assumptions!$E$35)*Assumptions!$E$32)</f>
        <v>2.79687653936378</v>
      </c>
      <c r="N3543" s="48" t="n">
        <f aca="false">IF(N3510-Assumptions!$E$35&lt;1,0,INDEX($C$3535:$N$3535,1,N3510-Assumptions!$E$35)*INDEX($C$3540:$N$3540,1,N3510-Assumptions!$E$35)*Assumptions!$E$32)</f>
        <v>2.69798234853722</v>
      </c>
      <c r="P3543" s="49" t="n">
        <f aca="false">SUM(C3543:F3543)</f>
        <v>2.4034426696014</v>
      </c>
      <c r="Q3543" s="49" t="n">
        <f aca="false">SUM(G3543:J3543)</f>
        <v>6.24933786533682</v>
      </c>
      <c r="R3543" s="49" t="n">
        <f aca="false">SUM(K3543:N3543)</f>
        <v>11.3223323995299</v>
      </c>
      <c r="S3543" s="50" t="n">
        <f aca="false">SUM(P3543:R3543)</f>
        <v>19.9751129344681</v>
      </c>
    </row>
    <row r="3544" customFormat="false" ht="15" hidden="false" customHeight="false" outlineLevel="0" collapsed="false">
      <c r="A3544" s="4" t="s">
        <v>518</v>
      </c>
      <c r="B3544" s="36" t="s">
        <v>516</v>
      </c>
      <c r="C3544" s="48" t="n">
        <f aca="false">IF(C3510-Assumptions!$E$36&lt;1,0,INDEX($C$3535:$N$3535,1,C3510-Assumptions!$E$36)*INDEX($C$3541:$N$3541,1,C3510-Assumptions!$E$36)*Assumptions!$E$32)</f>
        <v>0</v>
      </c>
      <c r="D3544" s="48" t="n">
        <f aca="false">IF(D3510-Assumptions!$E$36&lt;1,0,INDEX($C$3535:$N$3535,1,D3510-Assumptions!$E$36)*INDEX($C$3541:$N$3541,1,D3510-Assumptions!$E$36)*Assumptions!$E$32)</f>
        <v>0</v>
      </c>
      <c r="E3544" s="48" t="n">
        <f aca="false">IF(E3510-Assumptions!$E$36&lt;1,0,INDEX($C$3535:$N$3535,1,E3510-Assumptions!$E$36)*INDEX($C$3541:$N$3541,1,E3510-Assumptions!$E$36)*Assumptions!$E$32)</f>
        <v>0.0857284732194098</v>
      </c>
      <c r="F3544" s="48" t="n">
        <f aca="false">IF(F3510-Assumptions!$E$36&lt;1,0,INDEX($C$3535:$N$3535,1,F3510-Assumptions!$E$36)*INDEX($C$3541:$N$3541,1,F3510-Assumptions!$E$36)*Assumptions!$E$32)</f>
        <v>0.149071774306896</v>
      </c>
      <c r="G3544" s="48" t="n">
        <f aca="false">IF(G3510-Assumptions!$E$36&lt;1,0,INDEX($C$3535:$N$3535,1,G3510-Assumptions!$E$36)*INDEX($C$3541:$N$3541,1,G3510-Assumptions!$E$36)*Assumptions!$E$32)</f>
        <v>0.1598391043959</v>
      </c>
      <c r="H3544" s="48" t="n">
        <f aca="false">IF(H3510-Assumptions!$E$36&lt;1,0,INDEX($C$3535:$N$3535,1,H3510-Assumptions!$E$36)*INDEX($C$3541:$N$3541,1,H3510-Assumptions!$E$36)*Assumptions!$E$32)</f>
        <v>0.170995055650732</v>
      </c>
      <c r="I3544" s="48" t="n">
        <f aca="false">IF(I3510-Assumptions!$E$36&lt;1,0,INDEX($C$3535:$N$3535,1,I3510-Assumptions!$E$36)*INDEX($C$3541:$N$3541,1,I3510-Assumptions!$E$36)*Assumptions!$E$32)</f>
        <v>0.203807081242957</v>
      </c>
      <c r="J3544" s="48" t="n">
        <f aca="false">IF(J3510-Assumptions!$E$36&lt;1,0,INDEX($C$3535:$N$3535,1,J3510-Assumptions!$E$36)*INDEX($C$3541:$N$3541,1,J3510-Assumptions!$E$36)*Assumptions!$E$32)</f>
        <v>0.234088358770918</v>
      </c>
      <c r="K3544" s="48" t="n">
        <f aca="false">IF(K3510-Assumptions!$E$36&lt;1,0,INDEX($C$3535:$N$3535,1,K3510-Assumptions!$E$36)*INDEX($C$3541:$N$3541,1,K3510-Assumptions!$E$36)*Assumptions!$E$32)</f>
        <v>0.32233230313019</v>
      </c>
      <c r="L3544" s="48" t="n">
        <f aca="false">IF(L3510-Assumptions!$E$36&lt;1,0,INDEX($C$3535:$N$3535,1,L3510-Assumptions!$E$36)*INDEX($C$3541:$N$3541,1,L3510-Assumptions!$E$36)*Assumptions!$E$32)</f>
        <v>0.402806303472103</v>
      </c>
      <c r="M3544" s="48" t="n">
        <f aca="false">IF(M3510-Assumptions!$E$36&lt;1,0,INDEX($C$3535:$N$3535,1,M3510-Assumptions!$E$36)*INDEX($C$3541:$N$3541,1,M3510-Assumptions!$E$36)*Assumptions!$E$32)</f>
        <v>0.399888491514917</v>
      </c>
      <c r="N3544" s="48" t="n">
        <f aca="false">IF(N3510-Assumptions!$E$36&lt;1,0,INDEX($C$3535:$N$3535,1,N3510-Assumptions!$E$36)*INDEX($C$3541:$N$3541,1,N3510-Assumptions!$E$36)*Assumptions!$E$32)</f>
        <v>0.385250698418201</v>
      </c>
      <c r="P3544" s="49" t="n">
        <f aca="false">SUM(C3544:F3544)</f>
        <v>0.234800247526305</v>
      </c>
      <c r="Q3544" s="49" t="n">
        <f aca="false">SUM(G3544:J3544)</f>
        <v>0.768729600060507</v>
      </c>
      <c r="R3544" s="49" t="n">
        <f aca="false">SUM(K3544:N3544)</f>
        <v>1.51027779653541</v>
      </c>
      <c r="S3544" s="50" t="n">
        <f aca="false">SUM(P3544:R3544)</f>
        <v>2.51380764412222</v>
      </c>
    </row>
    <row r="3545" customFormat="false" ht="15" hidden="false" customHeight="false" outlineLevel="0" collapsed="false">
      <c r="A3545" s="4" t="s">
        <v>519</v>
      </c>
      <c r="B3545" s="36" t="s">
        <v>77</v>
      </c>
      <c r="C3545" s="51" t="n">
        <f aca="false">IF(C3510-Assumptions!$E$35&lt;1,0,IFERROR(INDEX($C$3534:$N$3534,1,C3510-Assumptions!$E$35)/INDEX($C$3535:$N$3535,1,C3510-Assumptions!$E$35),0))</f>
        <v>0</v>
      </c>
      <c r="D3545" s="51" t="n">
        <f aca="false">IF(D3510-Assumptions!$E$35&lt;1,0,IFERROR(INDEX($C$3534:$N$3534,1,D3510-Assumptions!$E$35)/INDEX($C$3535:$N$3535,1,D3510-Assumptions!$E$35),0))</f>
        <v>0.381843982191053</v>
      </c>
      <c r="E3545" s="51" t="n">
        <f aca="false">IF(E3510-Assumptions!$E$35&lt;1,0,IFERROR(INDEX($C$3534:$N$3534,1,E3510-Assumptions!$E$35)/INDEX($C$3535:$N$3535,1,E3510-Assumptions!$E$35),0))</f>
        <v>0.329387321175907</v>
      </c>
      <c r="F3545" s="51" t="n">
        <f aca="false">IF(F3510-Assumptions!$E$35&lt;1,0,IFERROR(INDEX($C$3534:$N$3534,1,F3510-Assumptions!$E$35)/INDEX($C$3535:$N$3535,1,F3510-Assumptions!$E$35),0))</f>
        <v>0.409598160912847</v>
      </c>
      <c r="G3545" s="51" t="n">
        <f aca="false">IF(G3510-Assumptions!$E$35&lt;1,0,IFERROR(INDEX($C$3534:$N$3534,1,G3510-Assumptions!$E$35)/INDEX($C$3535:$N$3535,1,G3510-Assumptions!$E$35),0))</f>
        <v>0.478594270996373</v>
      </c>
      <c r="H3545" s="51" t="n">
        <f aca="false">IF(H3510-Assumptions!$E$35&lt;1,0,IFERROR(INDEX($C$3534:$N$3534,1,H3510-Assumptions!$E$35)/INDEX($C$3535:$N$3535,1,H3510-Assumptions!$E$35),0))</f>
        <v>0.446517170295391</v>
      </c>
      <c r="I3545" s="51" t="n">
        <f aca="false">IF(I3510-Assumptions!$E$35&lt;1,0,IFERROR(INDEX($C$3534:$N$3534,1,I3510-Assumptions!$E$35)/INDEX($C$3535:$N$3535,1,I3510-Assumptions!$E$35),0))</f>
        <v>0.432410132650605</v>
      </c>
      <c r="J3545" s="51" t="n">
        <f aca="false">IF(J3510-Assumptions!$E$35&lt;1,0,IFERROR(INDEX($C$3534:$N$3534,1,J3510-Assumptions!$E$35)/INDEX($C$3535:$N$3535,1,J3510-Assumptions!$E$35),0))</f>
        <v>0.330234938739532</v>
      </c>
      <c r="K3545" s="51" t="n">
        <f aca="false">IF(K3510-Assumptions!$E$35&lt;1,0,IFERROR(INDEX($C$3534:$N$3534,1,K3510-Assumptions!$E$35)/INDEX($C$3535:$N$3535,1,K3510-Assumptions!$E$35),0))</f>
        <v>0.286250940864874</v>
      </c>
      <c r="L3545" s="51" t="n">
        <f aca="false">IF(L3510-Assumptions!$E$35&lt;1,0,IFERROR(INDEX($C$3534:$N$3534,1,L3510-Assumptions!$E$35)/INDEX($C$3535:$N$3535,1,L3510-Assumptions!$E$35),0))</f>
        <v>0.320377321294357</v>
      </c>
      <c r="M3545" s="51" t="n">
        <f aca="false">IF(M3510-Assumptions!$E$35&lt;1,0,IFERROR(INDEX($C$3534:$N$3534,1,M3510-Assumptions!$E$35)/INDEX($C$3535:$N$3535,1,M3510-Assumptions!$E$35),0))</f>
        <v>0.332550217959417</v>
      </c>
      <c r="N3545" s="51" t="n">
        <f aca="false">IF(N3510-Assumptions!$E$35&lt;1,0,IFERROR(INDEX($C$3534:$N$3534,1,N3510-Assumptions!$E$35)/INDEX($C$3535:$N$3535,1,N3510-Assumptions!$E$35),0))</f>
        <v>0.344739802791995</v>
      </c>
      <c r="P3545" s="52"/>
      <c r="Q3545" s="52"/>
      <c r="R3545" s="52"/>
      <c r="S3545" s="53"/>
    </row>
    <row r="3546" customFormat="false" ht="15" hidden="false" customHeight="false" outlineLevel="0" collapsed="false">
      <c r="A3546" s="4" t="s">
        <v>520</v>
      </c>
      <c r="B3546" s="36" t="s">
        <v>516</v>
      </c>
      <c r="C3546" s="48" t="n">
        <f aca="false">C3542*Assumptions!$E$37</f>
        <v>0</v>
      </c>
      <c r="D3546" s="48" t="n">
        <f aca="false">D3542*Assumptions!$E$37</f>
        <v>0.312616290206924</v>
      </c>
      <c r="E3546" s="48" t="n">
        <f aca="false">E3542*Assumptions!$E$37</f>
        <v>0.54360311467479</v>
      </c>
      <c r="F3546" s="48" t="n">
        <f aca="false">F3542*Assumptions!$E$37</f>
        <v>0.582867114854088</v>
      </c>
      <c r="G3546" s="48" t="n">
        <f aca="false">G3542*Assumptions!$E$37</f>
        <v>0.623548255717161</v>
      </c>
      <c r="H3546" s="48" t="n">
        <f aca="false">H3542*Assumptions!$E$37</f>
        <v>0.810572482453481</v>
      </c>
      <c r="I3546" s="48" t="n">
        <f aca="false">I3542*Assumptions!$E$37</f>
        <v>0.982594099567554</v>
      </c>
      <c r="J3546" s="48" t="n">
        <f aca="false">J3542*Assumptions!$E$37</f>
        <v>1.50528817182024</v>
      </c>
      <c r="K3546" s="48" t="n">
        <f aca="false">K3542*Assumptions!$E$37</f>
        <v>1.97302890791852</v>
      </c>
      <c r="L3546" s="48" t="n">
        <f aca="false">L3542*Assumptions!$E$37</f>
        <v>1.95873685913534</v>
      </c>
      <c r="M3546" s="48" t="n">
        <f aca="false">M3542*Assumptions!$E$37</f>
        <v>1.88703790934482</v>
      </c>
      <c r="N3546" s="48" t="n">
        <f aca="false">N3542*Assumptions!$E$37</f>
        <v>1.82031451827724</v>
      </c>
      <c r="P3546" s="49" t="n">
        <f aca="false">SUM(C3546:F3546)</f>
        <v>1.4390865197358</v>
      </c>
      <c r="Q3546" s="49" t="n">
        <f aca="false">SUM(G3546:J3546)</f>
        <v>3.92200300955843</v>
      </c>
      <c r="R3546" s="49" t="n">
        <f aca="false">SUM(K3546:N3546)</f>
        <v>7.63911819467592</v>
      </c>
      <c r="S3546" s="50" t="n">
        <f aca="false">SUM(P3546:R3546)</f>
        <v>13.0002077239702</v>
      </c>
    </row>
    <row r="3547" customFormat="false" ht="15" hidden="false" customHeight="false" outlineLevel="0" collapsed="false">
      <c r="A3547" s="4" t="s">
        <v>521</v>
      </c>
      <c r="B3547" s="36" t="s">
        <v>516</v>
      </c>
      <c r="C3547" s="48" t="n">
        <f aca="false">C3542*(1-Assumptions!$E$37)</f>
        <v>0</v>
      </c>
      <c r="D3547" s="48" t="n">
        <f aca="false">D3542*(1-Assumptions!$E$37)</f>
        <v>0.729438010482822</v>
      </c>
      <c r="E3547" s="48" t="n">
        <f aca="false">E3542*(1-Assumptions!$E$37)</f>
        <v>1.26840726757451</v>
      </c>
      <c r="F3547" s="48" t="n">
        <f aca="false">F3542*(1-Assumptions!$E$37)</f>
        <v>1.36002326799287</v>
      </c>
      <c r="G3547" s="48" t="n">
        <f aca="false">G3542*(1-Assumptions!$E$37)</f>
        <v>1.45494593000671</v>
      </c>
      <c r="H3547" s="48" t="n">
        <f aca="false">H3542*(1-Assumptions!$E$37)</f>
        <v>1.89133579239145</v>
      </c>
      <c r="I3547" s="48" t="n">
        <f aca="false">I3542*(1-Assumptions!$E$37)</f>
        <v>2.29271956565762</v>
      </c>
      <c r="J3547" s="48" t="n">
        <f aca="false">J3542*(1-Assumptions!$E$37)</f>
        <v>3.51233906758055</v>
      </c>
      <c r="K3547" s="48" t="n">
        <f aca="false">K3542*(1-Assumptions!$E$37)</f>
        <v>4.60373411847655</v>
      </c>
      <c r="L3547" s="48" t="n">
        <f aca="false">L3542*(1-Assumptions!$E$37)</f>
        <v>4.57038600464912</v>
      </c>
      <c r="M3547" s="48" t="n">
        <f aca="false">M3542*(1-Assumptions!$E$37)</f>
        <v>4.40308845513791</v>
      </c>
      <c r="N3547" s="48" t="n">
        <f aca="false">N3542*(1-Assumptions!$E$37)</f>
        <v>4.2474005426469</v>
      </c>
      <c r="P3547" s="49" t="n">
        <f aca="false">SUM(C3547:F3547)</f>
        <v>3.35786854605021</v>
      </c>
      <c r="Q3547" s="49" t="n">
        <f aca="false">SUM(G3547:J3547)</f>
        <v>9.15134035563634</v>
      </c>
      <c r="R3547" s="49" t="n">
        <f aca="false">SUM(K3547:N3547)</f>
        <v>17.8246091209105</v>
      </c>
      <c r="S3547" s="50" t="n">
        <f aca="false">SUM(P3547:R3547)</f>
        <v>30.333818022597</v>
      </c>
    </row>
    <row r="3548" customFormat="false" ht="15" hidden="false" customHeight="false" outlineLevel="0" collapsed="false">
      <c r="A3548" s="4" t="s">
        <v>522</v>
      </c>
      <c r="B3548" s="36" t="s">
        <v>125</v>
      </c>
      <c r="C3548" s="54" t="n">
        <f aca="false">C3547*$C$3501+C3543*$C$3502+C3544*$C$3503</f>
        <v>0</v>
      </c>
      <c r="D3548" s="54" t="n">
        <f aca="false">D3547*$C$3501+D3543*$C$3502+D3544*$C$3503</f>
        <v>9003.21286405404</v>
      </c>
      <c r="E3548" s="54" t="n">
        <f aca="false">E3547*$C$3501+E3543*$C$3502+E3544*$C$3503</f>
        <v>20951.6882873454</v>
      </c>
      <c r="F3548" s="54" t="n">
        <f aca="false">F3547*$C$3501+F3543*$C$3502+F3544*$C$3503</f>
        <v>25995.7130586266</v>
      </c>
      <c r="G3548" s="54" t="n">
        <f aca="false">G3547*$C$3501+G3543*$C$3502+G3544*$C$3503</f>
        <v>27832.4990564279</v>
      </c>
      <c r="H3548" s="54" t="n">
        <f aca="false">H3547*$C$3501+H3543*$C$3502+H3544*$C$3503</f>
        <v>33647.0787685577</v>
      </c>
      <c r="I3548" s="54" t="n">
        <f aca="false">I3547*$C$3501+I3543*$C$3502+I3544*$C$3503</f>
        <v>40389.8184572673</v>
      </c>
      <c r="J3548" s="54" t="n">
        <f aca="false">J3547*$C$3501+J3543*$C$3502+J3544*$C$3503</f>
        <v>55634.8854178751</v>
      </c>
      <c r="K3548" s="54" t="n">
        <f aca="false">K3547*$C$3501+K3543*$C$3502+K3544*$C$3503</f>
        <v>73113.4081791077</v>
      </c>
      <c r="L3548" s="54" t="n">
        <f aca="false">L3547*$C$3501+L3543*$C$3502+L3544*$C$3503</f>
        <v>77699.5841989398</v>
      </c>
      <c r="M3548" s="54" t="n">
        <f aca="false">M3547*$C$3501+M3543*$C$3502+M3544*$C$3503</f>
        <v>75586.05349455</v>
      </c>
      <c r="N3548" s="54" t="n">
        <f aca="false">N3547*$C$3501+N3543*$C$3502+N3544*$C$3503</f>
        <v>72882.6425703198</v>
      </c>
      <c r="P3548" s="55" t="n">
        <f aca="false">SUM(C3548:F3548)</f>
        <v>55950.614210026</v>
      </c>
      <c r="Q3548" s="55" t="n">
        <f aca="false">SUM(G3548:J3548)</f>
        <v>157504.281700128</v>
      </c>
      <c r="R3548" s="55" t="n">
        <f aca="false">SUM(K3548:N3548)</f>
        <v>299281.688442917</v>
      </c>
      <c r="S3548" s="56" t="n">
        <f aca="false">SUM(P3548:R3548)</f>
        <v>512736.584353071</v>
      </c>
    </row>
    <row r="3549" customFormat="false" ht="15" hidden="false" customHeight="false" outlineLevel="0" collapsed="false">
      <c r="A3549" s="4" t="s">
        <v>523</v>
      </c>
      <c r="B3549" s="36" t="s">
        <v>125</v>
      </c>
      <c r="C3549" s="54" t="n">
        <f aca="false">(C3525+Assumptions!$D$104*C3511)*$C$3506</f>
        <v>306250</v>
      </c>
      <c r="D3549" s="54" t="n">
        <f aca="false">(D3525+Assumptions!$D$104*D3511)*$C$3506</f>
        <v>306250</v>
      </c>
      <c r="E3549" s="54" t="n">
        <f aca="false">(E3525+Assumptions!$D$104*E3511)*$C$3506</f>
        <v>306250</v>
      </c>
      <c r="F3549" s="54" t="n">
        <f aca="false">(F3525+Assumptions!$D$104*F3511)*$C$3506</f>
        <v>306250</v>
      </c>
      <c r="G3549" s="54" t="n">
        <f aca="false">(G3525+Assumptions!$D$104*G3511)*$C$3506</f>
        <v>306250</v>
      </c>
      <c r="H3549" s="54" t="n">
        <f aca="false">(H3525+Assumptions!$D$104*H3511)*$C$3506</f>
        <v>306250</v>
      </c>
      <c r="I3549" s="54" t="n">
        <f aca="false">(I3525+Assumptions!$D$104*I3511)*$C$3506</f>
        <v>306250</v>
      </c>
      <c r="J3549" s="54" t="n">
        <f aca="false">(J3525+Assumptions!$D$104*J3511)*$C$3506</f>
        <v>306250</v>
      </c>
      <c r="K3549" s="54" t="n">
        <f aca="false">(K3525+Assumptions!$D$104*K3511)*$C$3506</f>
        <v>306250</v>
      </c>
      <c r="L3549" s="54" t="n">
        <f aca="false">(L3525+Assumptions!$D$104*L3511)*$C$3506</f>
        <v>306250</v>
      </c>
      <c r="M3549" s="54" t="n">
        <f aca="false">(M3525+Assumptions!$D$104*M3511)*$C$3506</f>
        <v>306250</v>
      </c>
      <c r="N3549" s="54" t="n">
        <f aca="false">(N3525+Assumptions!$D$104*N3511)*$C$3506</f>
        <v>306250</v>
      </c>
      <c r="P3549" s="55" t="n">
        <f aca="false">SUM(C3549:F3549)</f>
        <v>1225000</v>
      </c>
      <c r="Q3549" s="55" t="n">
        <f aca="false">SUM(G3549:J3549)</f>
        <v>1225000</v>
      </c>
      <c r="R3549" s="55" t="n">
        <f aca="false">SUM(K3549:N3549)</f>
        <v>1225000</v>
      </c>
      <c r="S3549" s="56" t="n">
        <f aca="false">SUM(P3549:R3549)</f>
        <v>3675000</v>
      </c>
    </row>
    <row r="3550" customFormat="false" ht="15" hidden="false" customHeight="false" outlineLevel="0" collapsed="false">
      <c r="A3550" s="4" t="s">
        <v>524</v>
      </c>
      <c r="B3550" s="36" t="s">
        <v>77</v>
      </c>
      <c r="C3550" s="51" t="n">
        <f aca="false">IF(C3548&gt;0,MIN(1,C3549/C3548),1)</f>
        <v>1</v>
      </c>
      <c r="D3550" s="51" t="n">
        <f aca="false">IF(D3548&gt;0,MIN(1,D3549/D3548),1)</f>
        <v>1</v>
      </c>
      <c r="E3550" s="51" t="n">
        <f aca="false">IF(E3548&gt;0,MIN(1,E3549/E3548),1)</f>
        <v>1</v>
      </c>
      <c r="F3550" s="51" t="n">
        <f aca="false">IF(F3548&gt;0,MIN(1,F3549/F3548),1)</f>
        <v>1</v>
      </c>
      <c r="G3550" s="51" t="n">
        <f aca="false">IF(G3548&gt;0,MIN(1,G3549/G3548),1)</f>
        <v>1</v>
      </c>
      <c r="H3550" s="51" t="n">
        <f aca="false">IF(H3548&gt;0,MIN(1,H3549/H3548),1)</f>
        <v>1</v>
      </c>
      <c r="I3550" s="51" t="n">
        <f aca="false">IF(I3548&gt;0,MIN(1,I3549/I3548),1)</f>
        <v>1</v>
      </c>
      <c r="J3550" s="51" t="n">
        <f aca="false">IF(J3548&gt;0,MIN(1,J3549/J3548),1)</f>
        <v>1</v>
      </c>
      <c r="K3550" s="51" t="n">
        <f aca="false">IF(K3548&gt;0,MIN(1,K3549/K3548),1)</f>
        <v>1</v>
      </c>
      <c r="L3550" s="51" t="n">
        <f aca="false">IF(L3548&gt;0,MIN(1,L3549/L3548),1)</f>
        <v>1</v>
      </c>
      <c r="M3550" s="51" t="n">
        <f aca="false">IF(M3548&gt;0,MIN(1,M3549/M3548),1)</f>
        <v>1</v>
      </c>
      <c r="N3550" s="51" t="n">
        <f aca="false">IF(N3548&gt;0,MIN(1,N3549/N3548),1)</f>
        <v>1</v>
      </c>
      <c r="P3550" s="52"/>
      <c r="Q3550" s="52"/>
      <c r="R3550" s="52"/>
      <c r="S3550" s="53"/>
    </row>
    <row r="3551" customFormat="false" ht="15" hidden="false" customHeight="false" outlineLevel="0" collapsed="false">
      <c r="A3551" s="4" t="s">
        <v>525</v>
      </c>
      <c r="B3551" s="36" t="s">
        <v>125</v>
      </c>
      <c r="C3551" s="54" t="n">
        <f aca="false">C3548*(1-C3550)</f>
        <v>0</v>
      </c>
      <c r="D3551" s="54" t="n">
        <f aca="false">D3548*(1-D3550)</f>
        <v>0</v>
      </c>
      <c r="E3551" s="54" t="n">
        <f aca="false">E3548*(1-E3550)</f>
        <v>0</v>
      </c>
      <c r="F3551" s="54" t="n">
        <f aca="false">F3548*(1-F3550)</f>
        <v>0</v>
      </c>
      <c r="G3551" s="54" t="n">
        <f aca="false">G3548*(1-G3550)</f>
        <v>0</v>
      </c>
      <c r="H3551" s="54" t="n">
        <f aca="false">H3548*(1-H3550)</f>
        <v>0</v>
      </c>
      <c r="I3551" s="54" t="n">
        <f aca="false">I3548*(1-I3550)</f>
        <v>0</v>
      </c>
      <c r="J3551" s="54" t="n">
        <f aca="false">J3548*(1-J3550)</f>
        <v>0</v>
      </c>
      <c r="K3551" s="54" t="n">
        <f aca="false">K3548*(1-K3550)</f>
        <v>0</v>
      </c>
      <c r="L3551" s="54" t="n">
        <f aca="false">L3548*(1-L3550)</f>
        <v>0</v>
      </c>
      <c r="M3551" s="54" t="n">
        <f aca="false">M3548*(1-M3550)</f>
        <v>0</v>
      </c>
      <c r="N3551" s="54" t="n">
        <f aca="false">N3548*(1-N3550)</f>
        <v>0</v>
      </c>
      <c r="P3551" s="55" t="n">
        <f aca="false">SUM(C3551:F3551)</f>
        <v>0</v>
      </c>
      <c r="Q3551" s="55" t="n">
        <f aca="false">SUM(G3551:J3551)</f>
        <v>0</v>
      </c>
      <c r="R3551" s="55" t="n">
        <f aca="false">SUM(K3551:N3551)</f>
        <v>0</v>
      </c>
      <c r="S3551" s="56" t="n">
        <f aca="false">SUM(P3551:R3551)</f>
        <v>0</v>
      </c>
    </row>
    <row r="3552" customFormat="false" ht="15" hidden="false" customHeight="false" outlineLevel="0" collapsed="false">
      <c r="A3552" s="4" t="s">
        <v>526</v>
      </c>
      <c r="B3552" s="36" t="s">
        <v>527</v>
      </c>
      <c r="C3552" s="48" t="n">
        <f aca="false">C3546+C3547*C3550</f>
        <v>0</v>
      </c>
      <c r="D3552" s="48" t="n">
        <f aca="false">D3546+D3547*D3550</f>
        <v>1.04205430068975</v>
      </c>
      <c r="E3552" s="48" t="n">
        <f aca="false">E3546+E3547*E3550</f>
        <v>1.8120103822493</v>
      </c>
      <c r="F3552" s="48" t="n">
        <f aca="false">F3546+F3547*F3550</f>
        <v>1.94289038284696</v>
      </c>
      <c r="G3552" s="48" t="n">
        <f aca="false">G3546+G3547*G3550</f>
        <v>2.07849418572387</v>
      </c>
      <c r="H3552" s="48" t="n">
        <f aca="false">H3546+H3547*H3550</f>
        <v>2.70190827484494</v>
      </c>
      <c r="I3552" s="48" t="n">
        <f aca="false">I3546+I3547*I3550</f>
        <v>3.27531366522518</v>
      </c>
      <c r="J3552" s="48" t="n">
        <f aca="false">J3546+J3547*J3550</f>
        <v>5.01762723940079</v>
      </c>
      <c r="K3552" s="48" t="n">
        <f aca="false">K3546+K3547*K3550</f>
        <v>6.57676302639507</v>
      </c>
      <c r="L3552" s="48" t="n">
        <f aca="false">L3546+L3547*L3550</f>
        <v>6.52912286378445</v>
      </c>
      <c r="M3552" s="48" t="n">
        <f aca="false">M3546+M3547*M3550</f>
        <v>6.29012636448272</v>
      </c>
      <c r="N3552" s="48" t="n">
        <f aca="false">N3546+N3547*N3550</f>
        <v>6.06771506092414</v>
      </c>
      <c r="P3552" s="49" t="n">
        <f aca="false">SUM(C3552:F3552)</f>
        <v>4.79695506578601</v>
      </c>
      <c r="Q3552" s="49" t="n">
        <f aca="false">SUM(G3552:J3552)</f>
        <v>13.0733433651948</v>
      </c>
      <c r="R3552" s="49" t="n">
        <f aca="false">SUM(K3552:N3552)</f>
        <v>25.4637273155864</v>
      </c>
      <c r="S3552" s="50" t="n">
        <f aca="false">SUM(P3552:R3552)</f>
        <v>43.3340257465672</v>
      </c>
    </row>
    <row r="3553" customFormat="false" ht="15" hidden="false" customHeight="false" outlineLevel="0" collapsed="false">
      <c r="A3553" s="4" t="s">
        <v>528</v>
      </c>
      <c r="B3553" s="36" t="s">
        <v>527</v>
      </c>
      <c r="C3553" s="48" t="n">
        <f aca="false">C3543*C3550</f>
        <v>0</v>
      </c>
      <c r="D3553" s="48" t="n">
        <f aca="false">D3543*D3550</f>
        <v>0.522105739155804</v>
      </c>
      <c r="E3553" s="48" t="n">
        <f aca="false">E3543*E3550</f>
        <v>0.907880730741244</v>
      </c>
      <c r="F3553" s="48" t="n">
        <f aca="false">F3543*F3550</f>
        <v>0.973456199704351</v>
      </c>
      <c r="G3553" s="48" t="n">
        <f aca="false">G3543*G3550</f>
        <v>1.04139845922626</v>
      </c>
      <c r="H3553" s="48" t="n">
        <f aca="false">H3543*H3550</f>
        <v>1.32704460418347</v>
      </c>
      <c r="I3553" s="48" t="n">
        <f aca="false">I3543*I3550</f>
        <v>1.58992343927115</v>
      </c>
      <c r="J3553" s="48" t="n">
        <f aca="false">J3543*J3550</f>
        <v>2.29097136265594</v>
      </c>
      <c r="K3553" s="48" t="n">
        <f aca="false">K3543*K3550</f>
        <v>2.92432824837092</v>
      </c>
      <c r="L3553" s="48" t="n">
        <f aca="false">L3543*L3550</f>
        <v>2.90314526325801</v>
      </c>
      <c r="M3553" s="48" t="n">
        <f aca="false">M3543*M3550</f>
        <v>2.79687653936378</v>
      </c>
      <c r="N3553" s="48" t="n">
        <f aca="false">N3543*N3550</f>
        <v>2.69798234853722</v>
      </c>
      <c r="P3553" s="49" t="n">
        <f aca="false">SUM(C3553:F3553)</f>
        <v>2.4034426696014</v>
      </c>
      <c r="Q3553" s="49" t="n">
        <f aca="false">SUM(G3553:J3553)</f>
        <v>6.24933786533682</v>
      </c>
      <c r="R3553" s="49" t="n">
        <f aca="false">SUM(K3553:N3553)</f>
        <v>11.3223323995299</v>
      </c>
      <c r="S3553" s="50" t="n">
        <f aca="false">SUM(P3553:R3553)</f>
        <v>19.9751129344681</v>
      </c>
    </row>
    <row r="3554" customFormat="false" ht="15" hidden="false" customHeight="false" outlineLevel="0" collapsed="false">
      <c r="A3554" s="4" t="s">
        <v>529</v>
      </c>
      <c r="B3554" s="36" t="s">
        <v>527</v>
      </c>
      <c r="C3554" s="48" t="n">
        <f aca="false">C3544*C3550</f>
        <v>0</v>
      </c>
      <c r="D3554" s="48" t="n">
        <f aca="false">D3544*D3550</f>
        <v>0</v>
      </c>
      <c r="E3554" s="48" t="n">
        <f aca="false">E3544*E3550</f>
        <v>0.0857284732194098</v>
      </c>
      <c r="F3554" s="48" t="n">
        <f aca="false">F3544*F3550</f>
        <v>0.149071774306896</v>
      </c>
      <c r="G3554" s="48" t="n">
        <f aca="false">G3544*G3550</f>
        <v>0.1598391043959</v>
      </c>
      <c r="H3554" s="48" t="n">
        <f aca="false">H3544*H3550</f>
        <v>0.170995055650732</v>
      </c>
      <c r="I3554" s="48" t="n">
        <f aca="false">I3544*I3550</f>
        <v>0.203807081242957</v>
      </c>
      <c r="J3554" s="48" t="n">
        <f aca="false">J3544*J3550</f>
        <v>0.234088358770918</v>
      </c>
      <c r="K3554" s="48" t="n">
        <f aca="false">K3544*K3550</f>
        <v>0.32233230313019</v>
      </c>
      <c r="L3554" s="48" t="n">
        <f aca="false">L3544*L3550</f>
        <v>0.402806303472103</v>
      </c>
      <c r="M3554" s="48" t="n">
        <f aca="false">M3544*M3550</f>
        <v>0.399888491514917</v>
      </c>
      <c r="N3554" s="48" t="n">
        <f aca="false">N3544*N3550</f>
        <v>0.385250698418201</v>
      </c>
      <c r="P3554" s="49" t="n">
        <f aca="false">SUM(C3554:F3554)</f>
        <v>0.234800247526305</v>
      </c>
      <c r="Q3554" s="49" t="n">
        <f aca="false">SUM(G3554:J3554)</f>
        <v>0.768729600060507</v>
      </c>
      <c r="R3554" s="49" t="n">
        <f aca="false">SUM(K3554:N3554)</f>
        <v>1.51027779653541</v>
      </c>
      <c r="S3554" s="50" t="n">
        <f aca="false">SUM(P3554:R3554)</f>
        <v>2.51380764412222</v>
      </c>
    </row>
    <row r="3555" customFormat="false" ht="15" hidden="false" customHeight="false" outlineLevel="0" collapsed="false">
      <c r="A3555" s="9" t="s">
        <v>530</v>
      </c>
      <c r="B3555" s="36" t="s">
        <v>527</v>
      </c>
      <c r="C3555" s="49" t="n">
        <f aca="false">C3552+C3553+C3554</f>
        <v>0</v>
      </c>
      <c r="D3555" s="49" t="n">
        <f aca="false">D3552+D3553+D3554</f>
        <v>1.56416003984555</v>
      </c>
      <c r="E3555" s="49" t="n">
        <f aca="false">E3552+E3553+E3554</f>
        <v>2.80561958620996</v>
      </c>
      <c r="F3555" s="49" t="n">
        <f aca="false">F3552+F3553+F3554</f>
        <v>3.06541835685821</v>
      </c>
      <c r="G3555" s="49" t="n">
        <f aca="false">G3552+G3553+G3554</f>
        <v>3.27973174934603</v>
      </c>
      <c r="H3555" s="49" t="n">
        <f aca="false">H3552+H3553+H3554</f>
        <v>4.19994793467913</v>
      </c>
      <c r="I3555" s="49" t="n">
        <f aca="false">I3552+I3553+I3554</f>
        <v>5.06904418573929</v>
      </c>
      <c r="J3555" s="49" t="n">
        <f aca="false">J3552+J3553+J3554</f>
        <v>7.54268696082765</v>
      </c>
      <c r="K3555" s="49" t="n">
        <f aca="false">K3552+K3553+K3554</f>
        <v>9.82342357789618</v>
      </c>
      <c r="L3555" s="49" t="n">
        <f aca="false">L3552+L3553+L3554</f>
        <v>9.83507443051456</v>
      </c>
      <c r="M3555" s="49" t="n">
        <f aca="false">M3552+M3553+M3554</f>
        <v>9.48689139536142</v>
      </c>
      <c r="N3555" s="49" t="n">
        <f aca="false">N3552+N3553+N3554</f>
        <v>9.15094810787956</v>
      </c>
      <c r="P3555" s="49" t="n">
        <f aca="false">SUM(C3555:F3555)</f>
        <v>7.43519798291371</v>
      </c>
      <c r="Q3555" s="49" t="n">
        <f aca="false">SUM(G3555:J3555)</f>
        <v>20.0914108305921</v>
      </c>
      <c r="R3555" s="49" t="n">
        <f aca="false">SUM(K3555:N3555)</f>
        <v>38.2963375116517</v>
      </c>
      <c r="S3555" s="50" t="n">
        <f aca="false">SUM(P3555:R3555)</f>
        <v>65.8229463251575</v>
      </c>
    </row>
    <row r="3556" customFormat="false" ht="15" hidden="false" customHeight="false" outlineLevel="0" collapsed="false">
      <c r="A3556" s="35" t="s">
        <v>533</v>
      </c>
      <c r="B3556" s="35" t="s">
        <v>444</v>
      </c>
      <c r="C3556" s="6" t="s">
        <v>354</v>
      </c>
      <c r="D3556" s="6" t="s">
        <v>355</v>
      </c>
      <c r="E3556" s="6" t="s">
        <v>356</v>
      </c>
      <c r="F3556" s="6" t="s">
        <v>357</v>
      </c>
      <c r="G3556" s="6" t="s">
        <v>358</v>
      </c>
      <c r="H3556" s="6" t="s">
        <v>359</v>
      </c>
      <c r="I3556" s="6" t="s">
        <v>360</v>
      </c>
      <c r="J3556" s="6" t="s">
        <v>361</v>
      </c>
      <c r="K3556" s="6" t="s">
        <v>362</v>
      </c>
      <c r="L3556" s="6" t="s">
        <v>363</v>
      </c>
      <c r="M3556" s="6" t="s">
        <v>364</v>
      </c>
      <c r="N3556" s="6" t="s">
        <v>365</v>
      </c>
      <c r="P3556" s="6" t="s">
        <v>445</v>
      </c>
      <c r="Q3556" s="6" t="s">
        <v>446</v>
      </c>
      <c r="R3556" s="6" t="s">
        <v>447</v>
      </c>
      <c r="S3556" s="6" t="s">
        <v>448</v>
      </c>
    </row>
    <row r="3557" customFormat="false" ht="15" hidden="false" customHeight="false" outlineLevel="0" collapsed="false">
      <c r="A3557" s="4" t="s">
        <v>534</v>
      </c>
      <c r="B3557" s="36" t="s">
        <v>527</v>
      </c>
      <c r="C3557" s="48" t="n">
        <f aca="false">0*Assumptions!$E$59^(1/4)+C3552</f>
        <v>0</v>
      </c>
      <c r="D3557" s="48" t="n">
        <f aca="false">C3557*Assumptions!$E$59^(1/4)+D3552</f>
        <v>1.04205430068975</v>
      </c>
      <c r="E3557" s="48" t="n">
        <f aca="false">D3557*Assumptions!$E$59^(1/4)+E3552</f>
        <v>2.82128887411336</v>
      </c>
      <c r="F3557" s="48" t="n">
        <f aca="false">E3557*Assumptions!$E$59^(1/4)+F3552</f>
        <v>4.67544105519985</v>
      </c>
      <c r="G3557" s="48" t="n">
        <f aca="false">F3557*Assumptions!$E$59^(1/4)+G3552</f>
        <v>6.60687825732932</v>
      </c>
      <c r="H3557" s="48" t="n">
        <f aca="false">G3557*Assumptions!$E$59^(1/4)+H3552</f>
        <v>9.1009799154236</v>
      </c>
      <c r="I3557" s="48" t="n">
        <f aca="false">H3557*Assumptions!$E$59^(1/4)+I3552</f>
        <v>12.0900398051623</v>
      </c>
      <c r="J3557" s="48" t="n">
        <f aca="false">I3557*Assumptions!$E$59^(1/4)+J3552</f>
        <v>16.7273981535018</v>
      </c>
      <c r="K3557" s="48" t="n">
        <f aca="false">J3557*Assumptions!$E$59^(1/4)+K3552</f>
        <v>22.7780331233576</v>
      </c>
      <c r="L3557" s="48" t="n">
        <f aca="false">K3557*Assumptions!$E$59^(1/4)+L3552</f>
        <v>28.5907168739575</v>
      </c>
      <c r="M3557" s="48" t="n">
        <f aca="false">L3557*Assumptions!$E$59^(1/4)+M3552</f>
        <v>33.9815773654143</v>
      </c>
      <c r="N3557" s="48" t="n">
        <f aca="false">M3557*Assumptions!$E$59^(1/4)+N3552</f>
        <v>38.980467430763</v>
      </c>
      <c r="P3557" s="49" t="n">
        <f aca="false">F3557</f>
        <v>4.67544105519985</v>
      </c>
      <c r="Q3557" s="49" t="n">
        <f aca="false">J3557</f>
        <v>16.7273981535018</v>
      </c>
      <c r="R3557" s="49" t="n">
        <f aca="false">N3557</f>
        <v>38.980467430763</v>
      </c>
      <c r="S3557" s="50" t="n">
        <f aca="false">R3557</f>
        <v>38.980467430763</v>
      </c>
    </row>
    <row r="3558" customFormat="false" ht="15" hidden="false" customHeight="false" outlineLevel="0" collapsed="false">
      <c r="A3558" s="4" t="s">
        <v>535</v>
      </c>
      <c r="B3558" s="36" t="s">
        <v>527</v>
      </c>
      <c r="C3558" s="48" t="n">
        <f aca="false">0*Assumptions!$E$60^(1/4)+C3553</f>
        <v>0</v>
      </c>
      <c r="D3558" s="48" t="n">
        <f aca="false">C3558*Assumptions!$E$60^(1/4)+D3553</f>
        <v>0.522105739155804</v>
      </c>
      <c r="E3558" s="48" t="n">
        <f aca="false">D3558*Assumptions!$E$60^(1/4)+E3553</f>
        <v>1.41641367670915</v>
      </c>
      <c r="F3558" s="48" t="n">
        <f aca="false">E3558*Assumptions!$E$60^(1/4)+F3553</f>
        <v>2.35304842730709</v>
      </c>
      <c r="G3558" s="48" t="n">
        <f aca="false">F3558*Assumptions!$E$60^(1/4)+G3553</f>
        <v>3.33327644294352</v>
      </c>
      <c r="H3558" s="48" t="n">
        <f aca="false">G3558*Assumptions!$E$60^(1/4)+H3553</f>
        <v>4.57366834748164</v>
      </c>
      <c r="I3558" s="48" t="n">
        <f aca="false">H3558*Assumptions!$E$60^(1/4)+I3553</f>
        <v>6.04469354462507</v>
      </c>
      <c r="J3558" s="48" t="n">
        <f aca="false">I3558*Assumptions!$E$60^(1/4)+J3553</f>
        <v>8.17852552111356</v>
      </c>
      <c r="K3558" s="48" t="n">
        <f aca="false">J3558*Assumptions!$E$60^(1/4)+K3553</f>
        <v>10.8902427461704</v>
      </c>
      <c r="L3558" s="48" t="n">
        <f aca="false">K3558*Assumptions!$E$60^(1/4)+L3553</f>
        <v>13.5102824975089</v>
      </c>
      <c r="M3558" s="48" t="n">
        <f aca="false">L3558*Assumptions!$E$60^(1/4)+M3553</f>
        <v>15.9559423072016</v>
      </c>
      <c r="N3558" s="48" t="n">
        <f aca="false">M3558*Assumptions!$E$60^(1/4)+N3553</f>
        <v>18.2391299334974</v>
      </c>
      <c r="P3558" s="49" t="n">
        <f aca="false">F3558</f>
        <v>2.35304842730709</v>
      </c>
      <c r="Q3558" s="49" t="n">
        <f aca="false">J3558</f>
        <v>8.17852552111356</v>
      </c>
      <c r="R3558" s="49" t="n">
        <f aca="false">N3558</f>
        <v>18.2391299334974</v>
      </c>
      <c r="S3558" s="50" t="n">
        <f aca="false">R3558</f>
        <v>18.2391299334974</v>
      </c>
    </row>
    <row r="3559" customFormat="false" ht="15" hidden="false" customHeight="false" outlineLevel="0" collapsed="false">
      <c r="A3559" s="4" t="s">
        <v>536</v>
      </c>
      <c r="B3559" s="36" t="s">
        <v>527</v>
      </c>
      <c r="C3559" s="48" t="n">
        <f aca="false">0*Assumptions!$E$61^(1/4)+C3554</f>
        <v>0</v>
      </c>
      <c r="D3559" s="48" t="n">
        <f aca="false">C3559*Assumptions!$E$61^(1/4)+D3554</f>
        <v>0</v>
      </c>
      <c r="E3559" s="48" t="n">
        <f aca="false">D3559*Assumptions!$E$61^(1/4)+E3554</f>
        <v>0.0857284732194098</v>
      </c>
      <c r="F3559" s="48" t="n">
        <f aca="false">E3559*Assumptions!$E$61^(1/4)+F3554</f>
        <v>0.233031700100535</v>
      </c>
      <c r="G3559" s="48" t="n">
        <f aca="false">F3559*Assumptions!$E$61^(1/4)+G3554</f>
        <v>0.388063444726</v>
      </c>
      <c r="H3559" s="48" t="n">
        <f aca="false">G3559*Assumptions!$E$61^(1/4)+H3554</f>
        <v>0.551052891733156</v>
      </c>
      <c r="I3559" s="48" t="n">
        <f aca="false">H3559*Assumptions!$E$61^(1/4)+I3554</f>
        <v>0.743491950934664</v>
      </c>
      <c r="J3559" s="48" t="n">
        <f aca="false">I3559*Assumptions!$E$61^(1/4)+J3554</f>
        <v>0.96224233940788</v>
      </c>
      <c r="K3559" s="48" t="n">
        <f aca="false">J3559*Assumptions!$E$61^(1/4)+K3554</f>
        <v>1.26472393076846</v>
      </c>
      <c r="L3559" s="48" t="n">
        <f aca="false">K3559*Assumptions!$E$61^(1/4)+L3554</f>
        <v>1.64143943653854</v>
      </c>
      <c r="M3559" s="48" t="n">
        <f aca="false">L3559*Assumptions!$E$61^(1/4)+M3554</f>
        <v>2.0074656255881</v>
      </c>
      <c r="N3559" s="48" t="n">
        <f aca="false">M3559*Assumptions!$E$61^(1/4)+N3554</f>
        <v>2.35130303351914</v>
      </c>
      <c r="P3559" s="49" t="n">
        <f aca="false">F3559</f>
        <v>0.233031700100535</v>
      </c>
      <c r="Q3559" s="49" t="n">
        <f aca="false">J3559</f>
        <v>0.96224233940788</v>
      </c>
      <c r="R3559" s="49" t="n">
        <f aca="false">N3559</f>
        <v>2.35130303351914</v>
      </c>
      <c r="S3559" s="50" t="n">
        <f aca="false">R3559</f>
        <v>2.35130303351914</v>
      </c>
    </row>
    <row r="3560" customFormat="false" ht="15" hidden="false" customHeight="false" outlineLevel="0" collapsed="false">
      <c r="A3560" s="9" t="s">
        <v>537</v>
      </c>
      <c r="B3560" s="36" t="s">
        <v>527</v>
      </c>
      <c r="C3560" s="49" t="n">
        <f aca="false">C3557+C3558+C3559</f>
        <v>0</v>
      </c>
      <c r="D3560" s="49" t="n">
        <f aca="false">D3557+D3558+D3559</f>
        <v>1.56416003984555</v>
      </c>
      <c r="E3560" s="49" t="n">
        <f aca="false">E3557+E3558+E3559</f>
        <v>4.32343102404192</v>
      </c>
      <c r="F3560" s="49" t="n">
        <f aca="false">F3557+F3558+F3559</f>
        <v>7.26152118260747</v>
      </c>
      <c r="G3560" s="49" t="n">
        <f aca="false">G3557+G3558+G3559</f>
        <v>10.3282181449988</v>
      </c>
      <c r="H3560" s="49" t="n">
        <f aca="false">H3557+H3558+H3559</f>
        <v>14.2257011546384</v>
      </c>
      <c r="I3560" s="49" t="n">
        <f aca="false">I3557+I3558+I3559</f>
        <v>18.8782253007221</v>
      </c>
      <c r="J3560" s="49" t="n">
        <f aca="false">J3557+J3558+J3559</f>
        <v>25.8681660140233</v>
      </c>
      <c r="K3560" s="49" t="n">
        <f aca="false">K3557+K3558+K3559</f>
        <v>34.9329998002965</v>
      </c>
      <c r="L3560" s="49" t="n">
        <f aca="false">L3557+L3558+L3559</f>
        <v>43.7424388080049</v>
      </c>
      <c r="M3560" s="49" t="n">
        <f aca="false">M3557+M3558+M3559</f>
        <v>51.944985298204</v>
      </c>
      <c r="N3560" s="49" t="n">
        <f aca="false">N3557+N3558+N3559</f>
        <v>59.5709003977795</v>
      </c>
      <c r="P3560" s="49" t="n">
        <f aca="false">F3560</f>
        <v>7.26152118260747</v>
      </c>
      <c r="Q3560" s="49" t="n">
        <f aca="false">J3560</f>
        <v>25.8681660140233</v>
      </c>
      <c r="R3560" s="49" t="n">
        <f aca="false">N3560</f>
        <v>59.5709003977795</v>
      </c>
      <c r="S3560" s="50" t="n">
        <f aca="false">R3560</f>
        <v>59.5709003977795</v>
      </c>
    </row>
    <row r="3561" customFormat="false" ht="15" hidden="false" customHeight="false" outlineLevel="0" collapsed="false">
      <c r="A3561" s="4" t="s">
        <v>538</v>
      </c>
      <c r="B3561" s="36" t="s">
        <v>125</v>
      </c>
      <c r="C3561" s="54" t="n">
        <f aca="false">0*Assumptions!$E$62^(1/4)+C3552*$C$3501</f>
        <v>0</v>
      </c>
      <c r="D3561" s="54" t="n">
        <f aca="false">C3561*Assumptions!$E$62^(1/4)+D3552*$C$3501</f>
        <v>5577.07461729152</v>
      </c>
      <c r="E3561" s="54" t="n">
        <f aca="false">D3561*Assumptions!$E$62^(1/4)+E3552*$C$3501</f>
        <v>15274.9541830898</v>
      </c>
      <c r="F3561" s="54" t="n">
        <f aca="false">E3561*Assumptions!$E$62^(1/4)+F3552*$C$3501</f>
        <v>25673.3035120867</v>
      </c>
      <c r="G3561" s="54" t="n">
        <f aca="false">F3561*Assumptions!$E$62^(1/4)+G3552*$C$3501</f>
        <v>36797.4043940809</v>
      </c>
      <c r="H3561" s="54" t="n">
        <f aca="false">G3561*Assumptions!$E$62^(1/4)+H3552*$C$3501</f>
        <v>51258.017481051</v>
      </c>
      <c r="I3561" s="54" t="n">
        <f aca="false">H3561*Assumptions!$E$62^(1/4)+I3552*$C$3501</f>
        <v>68787.4962173361</v>
      </c>
      <c r="J3561" s="54" t="n">
        <f aca="false">I3561*Assumptions!$E$62^(1/4)+J3552*$C$3501</f>
        <v>95641.8372026091</v>
      </c>
      <c r="K3561" s="54" t="n">
        <f aca="false">J3561*Assumptions!$E$62^(1/4)+K3552*$C$3501</f>
        <v>130840.672919876</v>
      </c>
      <c r="L3561" s="54" t="n">
        <f aca="false">K3561*Assumptions!$E$62^(1/4)+L3552*$C$3501</f>
        <v>165784.53848685</v>
      </c>
      <c r="M3561" s="54" t="n">
        <f aca="false">L3561*Assumptions!$E$62^(1/4)+M3552*$C$3501</f>
        <v>199449.294789561</v>
      </c>
      <c r="N3561" s="54" t="n">
        <f aca="false">M3561*Assumptions!$E$62^(1/4)+N3552*$C$3501</f>
        <v>231923.705795627</v>
      </c>
      <c r="P3561" s="55" t="n">
        <f aca="false">F3561</f>
        <v>25673.3035120867</v>
      </c>
      <c r="Q3561" s="55" t="n">
        <f aca="false">J3561</f>
        <v>95641.8372026091</v>
      </c>
      <c r="R3561" s="55" t="n">
        <f aca="false">N3561</f>
        <v>231923.705795627</v>
      </c>
      <c r="S3561" s="56" t="n">
        <f aca="false">R3561</f>
        <v>231923.705795627</v>
      </c>
    </row>
    <row r="3562" customFormat="false" ht="15" hidden="false" customHeight="false" outlineLevel="0" collapsed="false">
      <c r="A3562" s="4" t="s">
        <v>539</v>
      </c>
      <c r="B3562" s="36" t="s">
        <v>125</v>
      </c>
      <c r="C3562" s="54" t="n">
        <f aca="false">0*Assumptions!$E$63^(1/4)+C3553*$C$3502</f>
        <v>0</v>
      </c>
      <c r="D3562" s="54" t="n">
        <f aca="false">C3562*Assumptions!$E$63^(1/4)+D3553*$C$3502</f>
        <v>5099.26063194998</v>
      </c>
      <c r="E3562" s="54" t="n">
        <f aca="false">D3562*Assumptions!$E$63^(1/4)+E3553*$C$3502</f>
        <v>14041.1034054738</v>
      </c>
      <c r="F3562" s="54" t="n">
        <f aca="false">E3562*Assumptions!$E$63^(1/4)+F3553*$C$3502</f>
        <v>23754.6146569949</v>
      </c>
      <c r="G3562" s="54" t="n">
        <f aca="false">F3562*Assumptions!$E$63^(1/4)+G3553*$C$3502</f>
        <v>34274.233512044</v>
      </c>
      <c r="H3562" s="54" t="n">
        <f aca="false">G3562*Assumptions!$E$63^(1/4)+H3553*$C$3502</f>
        <v>47738.0415895789</v>
      </c>
      <c r="I3562" s="54" t="n">
        <f aca="false">H3562*Assumptions!$E$63^(1/4)+I3553*$C$3502</f>
        <v>63966.8795257617</v>
      </c>
      <c r="J3562" s="54" t="n">
        <f aca="false">I3562*Assumptions!$E$63^(1/4)+J3553*$C$3502</f>
        <v>87280.7957978583</v>
      </c>
      <c r="K3562" s="54" t="n">
        <f aca="false">J3562*Assumptions!$E$63^(1/4)+K3553*$C$3502</f>
        <v>117122.636335317</v>
      </c>
      <c r="L3562" s="54" t="n">
        <f aca="false">K3562*Assumptions!$E$63^(1/4)+L3553*$C$3502</f>
        <v>147195.483163122</v>
      </c>
      <c r="M3562" s="54" t="n">
        <f aca="false">L3562*Assumptions!$E$63^(1/4)+M3553*$C$3502</f>
        <v>176671.717434418</v>
      </c>
      <c r="N3562" s="54" t="n">
        <f aca="false">M3562*Assumptions!$E$63^(1/4)+N3553*$C$3502</f>
        <v>205614.60954888</v>
      </c>
      <c r="P3562" s="55" t="n">
        <f aca="false">F3562</f>
        <v>23754.6146569949</v>
      </c>
      <c r="Q3562" s="55" t="n">
        <f aca="false">J3562</f>
        <v>87280.7957978583</v>
      </c>
      <c r="R3562" s="55" t="n">
        <f aca="false">N3562</f>
        <v>205614.60954888</v>
      </c>
      <c r="S3562" s="56" t="n">
        <f aca="false">R3562</f>
        <v>205614.60954888</v>
      </c>
    </row>
    <row r="3563" customFormat="false" ht="15" hidden="false" customHeight="false" outlineLevel="0" collapsed="false">
      <c r="A3563" s="4" t="s">
        <v>540</v>
      </c>
      <c r="B3563" s="36" t="s">
        <v>125</v>
      </c>
      <c r="C3563" s="54" t="n">
        <f aca="false">0*Assumptions!$E$64^(1/4)+C3554*$C$3503</f>
        <v>0</v>
      </c>
      <c r="D3563" s="54" t="n">
        <f aca="false">C3563*Assumptions!$E$64^(1/4)+D3554*$C$3503</f>
        <v>0</v>
      </c>
      <c r="E3563" s="54" t="n">
        <f aca="false">D3563*Assumptions!$E$64^(1/4)+E3554*$C$3503</f>
        <v>5296.15558384998</v>
      </c>
      <c r="F3563" s="54" t="n">
        <f aca="false">E3563*Assumptions!$E$64^(1/4)+F3554*$C$3503</f>
        <v>14693.8709566353</v>
      </c>
      <c r="G3563" s="54" t="n">
        <f aca="false">F3563*Assumptions!$E$64^(1/4)+G3554*$C$3503</f>
        <v>25090.9378871208</v>
      </c>
      <c r="H3563" s="54" t="n">
        <f aca="false">G3563*Assumptions!$E$64^(1/4)+H3554*$C$3503</f>
        <v>36546.899732242</v>
      </c>
      <c r="I3563" s="54" t="n">
        <f aca="false">H3563*Assumptions!$E$64^(1/4)+I3554*$C$3503</f>
        <v>50437.283267334</v>
      </c>
      <c r="J3563" s="54" t="n">
        <f aca="false">I3563*Assumptions!$E$64^(1/4)+J3554*$C$3503</f>
        <v>66692.3066423556</v>
      </c>
      <c r="K3563" s="54" t="n">
        <f aca="false">J3563*Assumptions!$E$64^(1/4)+K3554*$C$3503</f>
        <v>88976.8843839219</v>
      </c>
      <c r="L3563" s="54" t="n">
        <f aca="false">K3563*Assumptions!$E$64^(1/4)+L3554*$C$3503</f>
        <v>117025.40225419</v>
      </c>
      <c r="M3563" s="54" t="n">
        <f aca="false">L3563*Assumptions!$E$64^(1/4)+M3554*$C$3503</f>
        <v>145891.014129466</v>
      </c>
      <c r="N3563" s="54" t="n">
        <f aca="false">M3563*Assumptions!$E$64^(1/4)+N3554*$C$3503</f>
        <v>174878.734303036</v>
      </c>
      <c r="P3563" s="55" t="n">
        <f aca="false">F3563</f>
        <v>14693.8709566353</v>
      </c>
      <c r="Q3563" s="55" t="n">
        <f aca="false">J3563</f>
        <v>66692.3066423556</v>
      </c>
      <c r="R3563" s="55" t="n">
        <f aca="false">N3563</f>
        <v>174878.734303036</v>
      </c>
      <c r="S3563" s="56" t="n">
        <f aca="false">R3563</f>
        <v>174878.734303036</v>
      </c>
    </row>
    <row r="3564" customFormat="false" ht="15" hidden="false" customHeight="false" outlineLevel="0" collapsed="false">
      <c r="A3564" s="9" t="s">
        <v>541</v>
      </c>
      <c r="B3564" s="36" t="s">
        <v>125</v>
      </c>
      <c r="C3564" s="55" t="n">
        <f aca="false">C3561+C3562+C3563</f>
        <v>0</v>
      </c>
      <c r="D3564" s="55" t="n">
        <f aca="false">D3561+D3562+D3563</f>
        <v>10676.3352492415</v>
      </c>
      <c r="E3564" s="55" t="n">
        <f aca="false">E3561+E3562+E3563</f>
        <v>34612.2131724135</v>
      </c>
      <c r="F3564" s="55" t="n">
        <f aca="false">F3561+F3562+F3563</f>
        <v>64121.789125717</v>
      </c>
      <c r="G3564" s="55" t="n">
        <f aca="false">G3561+G3562+G3563</f>
        <v>96162.5757932456</v>
      </c>
      <c r="H3564" s="55" t="n">
        <f aca="false">H3561+H3562+H3563</f>
        <v>135542.958802872</v>
      </c>
      <c r="I3564" s="55" t="n">
        <f aca="false">I3561+I3562+I3563</f>
        <v>183191.659010432</v>
      </c>
      <c r="J3564" s="55" t="n">
        <f aca="false">J3561+J3562+J3563</f>
        <v>249614.939642823</v>
      </c>
      <c r="K3564" s="55" t="n">
        <f aca="false">K3561+K3562+K3563</f>
        <v>336940.193639114</v>
      </c>
      <c r="L3564" s="55" t="n">
        <f aca="false">L3561+L3562+L3563</f>
        <v>430005.423904162</v>
      </c>
      <c r="M3564" s="55" t="n">
        <f aca="false">M3561+M3562+M3563</f>
        <v>522012.026353446</v>
      </c>
      <c r="N3564" s="55" t="n">
        <f aca="false">N3561+N3562+N3563</f>
        <v>612417.049647543</v>
      </c>
      <c r="P3564" s="55" t="n">
        <f aca="false">F3564</f>
        <v>64121.789125717</v>
      </c>
      <c r="Q3564" s="55" t="n">
        <f aca="false">J3564</f>
        <v>249614.939642823</v>
      </c>
      <c r="R3564" s="55" t="n">
        <f aca="false">N3564</f>
        <v>612417.049647543</v>
      </c>
      <c r="S3564" s="56" t="n">
        <f aca="false">R3564</f>
        <v>612417.049647543</v>
      </c>
    </row>
    <row r="3565" customFormat="false" ht="15" hidden="false" customHeight="false" outlineLevel="0" collapsed="false">
      <c r="A3565" s="4" t="s">
        <v>542</v>
      </c>
      <c r="B3565" s="36" t="s">
        <v>125</v>
      </c>
      <c r="C3565" s="54" t="n">
        <f aca="false">C3552*$C$3501+C3553*$C$3502+C3554*$C$3503</f>
        <v>0</v>
      </c>
      <c r="D3565" s="54" t="n">
        <f aca="false">D3552*$C$3501+D3553*$C$3502+D3554*$C$3503</f>
        <v>10676.3352492415</v>
      </c>
      <c r="E3565" s="54" t="n">
        <f aca="false">E3552*$C$3501+E3553*$C$3502+E3554*$C$3503</f>
        <v>23861.0521570849</v>
      </c>
      <c r="F3565" s="54" t="n">
        <f aca="false">F3552*$C$3501+F3553*$C$3502+F3554*$C$3503</f>
        <v>29115.2178573256</v>
      </c>
      <c r="G3565" s="54" t="n">
        <f aca="false">G3552*$C$3501+G3553*$C$3502+G3554*$C$3503</f>
        <v>31169.7293210262</v>
      </c>
      <c r="H3565" s="54" t="n">
        <f aca="false">H3552*$C$3501+H3553*$C$3502+H3554*$C$3503</f>
        <v>37985.2626946487</v>
      </c>
      <c r="I3565" s="54" t="n">
        <f aca="false">I3552*$C$3501+I3553*$C$3502+I3554*$C$3503</f>
        <v>45648.6620781528</v>
      </c>
      <c r="J3565" s="54" t="n">
        <f aca="false">J3552*$C$3501+J3553*$C$3502+J3554*$C$3503</f>
        <v>63691.187713457</v>
      </c>
      <c r="K3565" s="54" t="n">
        <f aca="false">K3552*$C$3501+K3553*$C$3502+K3554*$C$3503</f>
        <v>83673.0588942876</v>
      </c>
      <c r="L3565" s="54" t="n">
        <f aca="false">L3552*$C$3501+L3553*$C$3502+L3554*$C$3503</f>
        <v>88182.7438690321</v>
      </c>
      <c r="M3565" s="54" t="n">
        <f aca="false">M3552*$C$3501+M3553*$C$3502+M3554*$C$3503</f>
        <v>85685.4803853635</v>
      </c>
      <c r="N3565" s="54" t="n">
        <f aca="false">N3552*$C$3501+N3553*$C$3502+N3554*$C$3503</f>
        <v>82624.9658721396</v>
      </c>
      <c r="P3565" s="55" t="n">
        <f aca="false">SUM(C3565:F3565)</f>
        <v>63652.605263652</v>
      </c>
      <c r="Q3565" s="55" t="n">
        <f aca="false">SUM(G3565:J3565)</f>
        <v>178494.841807285</v>
      </c>
      <c r="R3565" s="55" t="n">
        <f aca="false">SUM(K3565:N3565)</f>
        <v>340166.249020823</v>
      </c>
      <c r="S3565" s="56" t="n">
        <f aca="false">SUM(P3565:R3565)</f>
        <v>582313.696091759</v>
      </c>
    </row>
    <row r="3566" customFormat="false" ht="15" hidden="false" customHeight="false" outlineLevel="0" collapsed="false">
      <c r="A3566" s="9" t="s">
        <v>543</v>
      </c>
      <c r="B3566" s="36" t="s">
        <v>125</v>
      </c>
      <c r="C3566" s="55" t="n">
        <f aca="false">(0+C3564)/8</f>
        <v>0</v>
      </c>
      <c r="D3566" s="55" t="n">
        <f aca="false">(C3564+D3564)/8</f>
        <v>1334.54190615519</v>
      </c>
      <c r="E3566" s="55" t="n">
        <f aca="false">(D3564+E3564)/8</f>
        <v>5661.06855270688</v>
      </c>
      <c r="F3566" s="55" t="n">
        <f aca="false">(E3564+F3564)/8</f>
        <v>12341.7502872663</v>
      </c>
      <c r="G3566" s="55" t="n">
        <f aca="false">(F3564+G3564)/8</f>
        <v>20035.5456148703</v>
      </c>
      <c r="H3566" s="55" t="n">
        <f aca="false">(G3564+H3564)/8</f>
        <v>28963.1918245147</v>
      </c>
      <c r="I3566" s="55" t="n">
        <f aca="false">(H3564+I3564)/8</f>
        <v>39841.827226663</v>
      </c>
      <c r="J3566" s="55" t="n">
        <f aca="false">(I3564+J3564)/8</f>
        <v>54100.8248316569</v>
      </c>
      <c r="K3566" s="55" t="n">
        <f aca="false">(J3564+K3564)/8</f>
        <v>73319.3916602421</v>
      </c>
      <c r="L3566" s="55" t="n">
        <f aca="false">(K3564+L3564)/8</f>
        <v>95868.2021929095</v>
      </c>
      <c r="M3566" s="55" t="n">
        <f aca="false">(L3564+M3564)/8</f>
        <v>119002.181282201</v>
      </c>
      <c r="N3566" s="55" t="n">
        <f aca="false">(M3564+N3564)/8</f>
        <v>141803.634500124</v>
      </c>
      <c r="P3566" s="55" t="n">
        <f aca="false">SUM(C3566:F3566)</f>
        <v>19337.3607461284</v>
      </c>
      <c r="Q3566" s="55" t="n">
        <f aca="false">SUM(G3566:J3566)</f>
        <v>142941.389497705</v>
      </c>
      <c r="R3566" s="55" t="n">
        <f aca="false">SUM(K3566:N3566)</f>
        <v>429993.409635476</v>
      </c>
      <c r="S3566" s="56" t="n">
        <f aca="false">SUM(P3566:R3566)</f>
        <v>592272.15987931</v>
      </c>
    </row>
    <row r="3567" customFormat="false" ht="15" hidden="false" customHeight="false" outlineLevel="0" collapsed="false">
      <c r="A3567" s="4" t="s">
        <v>544</v>
      </c>
      <c r="B3567" s="36" t="s">
        <v>125</v>
      </c>
      <c r="C3567" s="54" t="n">
        <f aca="false">C3566*Assumptions!$E$76</f>
        <v>0</v>
      </c>
      <c r="D3567" s="54" t="n">
        <f aca="false">D3566*Assumptions!$E$76</f>
        <v>867.452239000872</v>
      </c>
      <c r="E3567" s="54" t="n">
        <f aca="false">E3566*Assumptions!$E$76</f>
        <v>3679.69455925947</v>
      </c>
      <c r="F3567" s="54" t="n">
        <f aca="false">F3566*Assumptions!$E$76</f>
        <v>8022.1376867231</v>
      </c>
      <c r="G3567" s="54" t="n">
        <f aca="false">G3566*Assumptions!$E$76</f>
        <v>13023.1046496657</v>
      </c>
      <c r="H3567" s="54" t="n">
        <f aca="false">H3566*Assumptions!$E$76</f>
        <v>18826.0746859346</v>
      </c>
      <c r="I3567" s="54" t="n">
        <f aca="false">I3566*Assumptions!$E$76</f>
        <v>25897.1876973309</v>
      </c>
      <c r="J3567" s="54" t="n">
        <f aca="false">J3566*Assumptions!$E$76</f>
        <v>35165.536140577</v>
      </c>
      <c r="K3567" s="54" t="n">
        <f aca="false">K3566*Assumptions!$E$76</f>
        <v>47657.6045791574</v>
      </c>
      <c r="L3567" s="54" t="n">
        <f aca="false">L3566*Assumptions!$E$76</f>
        <v>62314.3314253912</v>
      </c>
      <c r="M3567" s="54" t="n">
        <f aca="false">M3566*Assumptions!$E$76</f>
        <v>77351.4178334306</v>
      </c>
      <c r="N3567" s="54" t="n">
        <f aca="false">N3566*Assumptions!$E$76</f>
        <v>92172.3624250804</v>
      </c>
      <c r="P3567" s="55" t="n">
        <f aca="false">SUM(C3567:F3567)</f>
        <v>12569.2844849834</v>
      </c>
      <c r="Q3567" s="55" t="n">
        <f aca="false">SUM(G3567:J3567)</f>
        <v>92911.9031735081</v>
      </c>
      <c r="R3567" s="55" t="n">
        <f aca="false">SUM(K3567:N3567)</f>
        <v>279495.71626306</v>
      </c>
      <c r="S3567" s="56" t="n">
        <f aca="false">SUM(P3567:R3567)</f>
        <v>384976.903921551</v>
      </c>
    </row>
    <row r="3568" customFormat="false" ht="15" hidden="false" customHeight="false" outlineLevel="0" collapsed="false">
      <c r="A3568" s="35" t="s">
        <v>547</v>
      </c>
      <c r="B3568" s="35" t="s">
        <v>444</v>
      </c>
      <c r="C3568" s="6" t="s">
        <v>354</v>
      </c>
      <c r="D3568" s="6" t="s">
        <v>355</v>
      </c>
      <c r="E3568" s="6" t="s">
        <v>356</v>
      </c>
      <c r="F3568" s="6" t="s">
        <v>357</v>
      </c>
      <c r="G3568" s="6" t="s">
        <v>358</v>
      </c>
      <c r="H3568" s="6" t="s">
        <v>359</v>
      </c>
      <c r="I3568" s="6" t="s">
        <v>360</v>
      </c>
      <c r="J3568" s="6" t="s">
        <v>361</v>
      </c>
      <c r="K3568" s="6" t="s">
        <v>362</v>
      </c>
      <c r="L3568" s="6" t="s">
        <v>363</v>
      </c>
      <c r="M3568" s="6" t="s">
        <v>364</v>
      </c>
      <c r="N3568" s="6" t="s">
        <v>365</v>
      </c>
      <c r="P3568" s="6" t="s">
        <v>445</v>
      </c>
      <c r="Q3568" s="6" t="s">
        <v>446</v>
      </c>
      <c r="R3568" s="6" t="s">
        <v>447</v>
      </c>
      <c r="S3568" s="6" t="s">
        <v>448</v>
      </c>
    </row>
    <row r="3569" customFormat="false" ht="15" hidden="false" customHeight="false" outlineLevel="0" collapsed="false">
      <c r="A3569" s="4" t="s">
        <v>548</v>
      </c>
      <c r="B3569" s="36" t="s">
        <v>321</v>
      </c>
      <c r="C3569" s="48" t="n">
        <f aca="false">Assumptions!$D$97*C3511</f>
        <v>1</v>
      </c>
      <c r="D3569" s="48" t="n">
        <f aca="false">Assumptions!$D$97*D3511</f>
        <v>1</v>
      </c>
      <c r="E3569" s="48" t="n">
        <f aca="false">Assumptions!$D$97*E3511</f>
        <v>1</v>
      </c>
      <c r="F3569" s="48" t="n">
        <f aca="false">Assumptions!$D$97*F3511</f>
        <v>1</v>
      </c>
      <c r="G3569" s="48" t="n">
        <f aca="false">Assumptions!$D$97*G3511</f>
        <v>1</v>
      </c>
      <c r="H3569" s="48" t="n">
        <f aca="false">Assumptions!$D$97*H3511</f>
        <v>1</v>
      </c>
      <c r="I3569" s="48" t="n">
        <f aca="false">Assumptions!$D$97*I3511</f>
        <v>1</v>
      </c>
      <c r="J3569" s="48" t="n">
        <f aca="false">Assumptions!$D$97*J3511</f>
        <v>1</v>
      </c>
      <c r="K3569" s="48" t="n">
        <f aca="false">Assumptions!$D$97*K3511</f>
        <v>1</v>
      </c>
      <c r="L3569" s="48" t="n">
        <f aca="false">Assumptions!$D$97*L3511</f>
        <v>1</v>
      </c>
      <c r="M3569" s="48" t="n">
        <f aca="false">Assumptions!$D$97*M3511</f>
        <v>1</v>
      </c>
      <c r="N3569" s="48" t="n">
        <f aca="false">Assumptions!$D$97*N3511</f>
        <v>1</v>
      </c>
      <c r="P3569" s="49" t="n">
        <f aca="false">AVERAGE(C3569:F3569)</f>
        <v>1</v>
      </c>
      <c r="Q3569" s="49" t="n">
        <f aca="false">AVERAGE(G3569:J3569)</f>
        <v>1</v>
      </c>
      <c r="R3569" s="49" t="n">
        <f aca="false">AVERAGE(K3569:N3569)</f>
        <v>1</v>
      </c>
      <c r="S3569" s="50"/>
    </row>
    <row r="3570" customFormat="false" ht="15" hidden="false" customHeight="false" outlineLevel="0" collapsed="false">
      <c r="A3570" s="4" t="s">
        <v>549</v>
      </c>
      <c r="B3570" s="36" t="s">
        <v>321</v>
      </c>
      <c r="C3570" s="48" t="n">
        <f aca="false">C3524*C3511</f>
        <v>0</v>
      </c>
      <c r="D3570" s="48" t="n">
        <f aca="false">D3524*D3511</f>
        <v>0</v>
      </c>
      <c r="E3570" s="48" t="n">
        <f aca="false">E3524*E3511</f>
        <v>0</v>
      </c>
      <c r="F3570" s="48" t="n">
        <f aca="false">F3524*F3511</f>
        <v>0</v>
      </c>
      <c r="G3570" s="48" t="n">
        <f aca="false">G3524*G3511</f>
        <v>0</v>
      </c>
      <c r="H3570" s="48" t="n">
        <f aca="false">H3524*H3511</f>
        <v>0</v>
      </c>
      <c r="I3570" s="48" t="n">
        <f aca="false">I3524*I3511</f>
        <v>0</v>
      </c>
      <c r="J3570" s="48" t="n">
        <f aca="false">J3524*J3511</f>
        <v>0</v>
      </c>
      <c r="K3570" s="48" t="n">
        <f aca="false">K3524*K3511</f>
        <v>0</v>
      </c>
      <c r="L3570" s="48" t="n">
        <f aca="false">L3524*L3511</f>
        <v>0</v>
      </c>
      <c r="M3570" s="48" t="n">
        <f aca="false">M3524*M3511</f>
        <v>0</v>
      </c>
      <c r="N3570" s="48" t="n">
        <f aca="false">N3524*N3511</f>
        <v>0</v>
      </c>
      <c r="P3570" s="49" t="n">
        <f aca="false">AVERAGE(C3570:F3570)</f>
        <v>0</v>
      </c>
      <c r="Q3570" s="49" t="n">
        <f aca="false">AVERAGE(G3570:J3570)</f>
        <v>0</v>
      </c>
      <c r="R3570" s="49" t="n">
        <f aca="false">AVERAGE(K3570:N3570)</f>
        <v>0</v>
      </c>
      <c r="S3570" s="50"/>
    </row>
    <row r="3571" customFormat="false" ht="15" hidden="false" customHeight="false" outlineLevel="0" collapsed="false">
      <c r="A3571" s="4" t="s">
        <v>550</v>
      </c>
      <c r="B3571" s="36" t="s">
        <v>321</v>
      </c>
      <c r="C3571" s="48" t="n">
        <f aca="false">IF(C3510&lt;=4,Assumptions!$D$98,Assumptions!$D$99)*C3511</f>
        <v>0</v>
      </c>
      <c r="D3571" s="48" t="n">
        <f aca="false">IF(D3510&lt;=4,Assumptions!$D$98,Assumptions!$D$99)*D3511</f>
        <v>0</v>
      </c>
      <c r="E3571" s="48" t="n">
        <f aca="false">IF(E3510&lt;=4,Assumptions!$D$98,Assumptions!$D$99)*E3511</f>
        <v>0</v>
      </c>
      <c r="F3571" s="48" t="n">
        <f aca="false">IF(F3510&lt;=4,Assumptions!$D$98,Assumptions!$D$99)*F3511</f>
        <v>0</v>
      </c>
      <c r="G3571" s="48" t="n">
        <f aca="false">IF(G3510&lt;=4,Assumptions!$D$98,Assumptions!$D$99)*G3511</f>
        <v>0.5</v>
      </c>
      <c r="H3571" s="48" t="n">
        <f aca="false">IF(H3510&lt;=4,Assumptions!$D$98,Assumptions!$D$99)*H3511</f>
        <v>0.5</v>
      </c>
      <c r="I3571" s="48" t="n">
        <f aca="false">IF(I3510&lt;=4,Assumptions!$D$98,Assumptions!$D$99)*I3511</f>
        <v>0.5</v>
      </c>
      <c r="J3571" s="48" t="n">
        <f aca="false">IF(J3510&lt;=4,Assumptions!$D$98,Assumptions!$D$99)*J3511</f>
        <v>0.5</v>
      </c>
      <c r="K3571" s="48" t="n">
        <f aca="false">IF(K3510&lt;=4,Assumptions!$D$98,Assumptions!$D$99)*K3511</f>
        <v>0.5</v>
      </c>
      <c r="L3571" s="48" t="n">
        <f aca="false">IF(L3510&lt;=4,Assumptions!$D$98,Assumptions!$D$99)*L3511</f>
        <v>0.5</v>
      </c>
      <c r="M3571" s="48" t="n">
        <f aca="false">IF(M3510&lt;=4,Assumptions!$D$98,Assumptions!$D$99)*M3511</f>
        <v>0.5</v>
      </c>
      <c r="N3571" s="48" t="n">
        <f aca="false">IF(N3510&lt;=4,Assumptions!$D$98,Assumptions!$D$99)*N3511</f>
        <v>0.5</v>
      </c>
      <c r="P3571" s="49" t="n">
        <f aca="false">AVERAGE(C3571:F3571)</f>
        <v>0</v>
      </c>
      <c r="Q3571" s="49" t="n">
        <f aca="false">AVERAGE(G3571:J3571)</f>
        <v>0.5</v>
      </c>
      <c r="R3571" s="49" t="n">
        <f aca="false">AVERAGE(K3571:N3571)</f>
        <v>0.5</v>
      </c>
      <c r="S3571" s="50"/>
    </row>
    <row r="3572" customFormat="false" ht="15" hidden="false" customHeight="false" outlineLevel="0" collapsed="false">
      <c r="A3572" s="4" t="s">
        <v>551</v>
      </c>
      <c r="B3572" s="36" t="s">
        <v>321</v>
      </c>
      <c r="C3572" s="48" t="n">
        <f aca="false">IF(C3510&lt;=4,Assumptions!$D$100,Assumptions!$D$101)*C3511</f>
        <v>1</v>
      </c>
      <c r="D3572" s="48" t="n">
        <f aca="false">IF(D3510&lt;=4,Assumptions!$D$100,Assumptions!$D$101)*D3511</f>
        <v>1</v>
      </c>
      <c r="E3572" s="48" t="n">
        <f aca="false">IF(E3510&lt;=4,Assumptions!$D$100,Assumptions!$D$101)*E3511</f>
        <v>1</v>
      </c>
      <c r="F3572" s="48" t="n">
        <f aca="false">IF(F3510&lt;=4,Assumptions!$D$100,Assumptions!$D$101)*F3511</f>
        <v>1</v>
      </c>
      <c r="G3572" s="48" t="n">
        <f aca="false">IF(G3510&lt;=4,Assumptions!$D$100,Assumptions!$D$101)*G3511</f>
        <v>0.5</v>
      </c>
      <c r="H3572" s="48" t="n">
        <f aca="false">IF(H3510&lt;=4,Assumptions!$D$100,Assumptions!$D$101)*H3511</f>
        <v>0.5</v>
      </c>
      <c r="I3572" s="48" t="n">
        <f aca="false">IF(I3510&lt;=4,Assumptions!$D$100,Assumptions!$D$101)*I3511</f>
        <v>0.5</v>
      </c>
      <c r="J3572" s="48" t="n">
        <f aca="false">IF(J3510&lt;=4,Assumptions!$D$100,Assumptions!$D$101)*J3511</f>
        <v>0.5</v>
      </c>
      <c r="K3572" s="48" t="n">
        <f aca="false">IF(K3510&lt;=4,Assumptions!$D$100,Assumptions!$D$101)*K3511</f>
        <v>0.5</v>
      </c>
      <c r="L3572" s="48" t="n">
        <f aca="false">IF(L3510&lt;=4,Assumptions!$D$100,Assumptions!$D$101)*L3511</f>
        <v>0.5</v>
      </c>
      <c r="M3572" s="48" t="n">
        <f aca="false">IF(M3510&lt;=4,Assumptions!$D$100,Assumptions!$D$101)*M3511</f>
        <v>0.5</v>
      </c>
      <c r="N3572" s="48" t="n">
        <f aca="false">IF(N3510&lt;=4,Assumptions!$D$100,Assumptions!$D$101)*N3511</f>
        <v>0.5</v>
      </c>
      <c r="P3572" s="49" t="n">
        <f aca="false">AVERAGE(C3572:F3572)</f>
        <v>1</v>
      </c>
      <c r="Q3572" s="49" t="n">
        <f aca="false">AVERAGE(G3572:J3572)</f>
        <v>0.5</v>
      </c>
      <c r="R3572" s="49" t="n">
        <f aca="false">AVERAGE(K3572:N3572)</f>
        <v>0.5</v>
      </c>
      <c r="S3572" s="50"/>
    </row>
    <row r="3573" customFormat="false" ht="15" hidden="false" customHeight="false" outlineLevel="0" collapsed="false">
      <c r="A3573" s="4" t="s">
        <v>552</v>
      </c>
      <c r="B3573" s="36" t="s">
        <v>321</v>
      </c>
      <c r="C3573" s="48" t="n">
        <f aca="false">Assumptions!$D$102*C3511</f>
        <v>0.25</v>
      </c>
      <c r="D3573" s="48" t="n">
        <f aca="false">Assumptions!$D$102*D3511</f>
        <v>0.25</v>
      </c>
      <c r="E3573" s="48" t="n">
        <f aca="false">Assumptions!$D$102*E3511</f>
        <v>0.25</v>
      </c>
      <c r="F3573" s="48" t="n">
        <f aca="false">Assumptions!$D$102*F3511</f>
        <v>0.25</v>
      </c>
      <c r="G3573" s="48" t="n">
        <f aca="false">Assumptions!$D$102*G3511</f>
        <v>0.25</v>
      </c>
      <c r="H3573" s="48" t="n">
        <f aca="false">Assumptions!$D$102*H3511</f>
        <v>0.25</v>
      </c>
      <c r="I3573" s="48" t="n">
        <f aca="false">Assumptions!$D$102*I3511</f>
        <v>0.25</v>
      </c>
      <c r="J3573" s="48" t="n">
        <f aca="false">Assumptions!$D$102*J3511</f>
        <v>0.25</v>
      </c>
      <c r="K3573" s="48" t="n">
        <f aca="false">Assumptions!$D$102*K3511</f>
        <v>0.25</v>
      </c>
      <c r="L3573" s="48" t="n">
        <f aca="false">Assumptions!$D$102*L3511</f>
        <v>0.25</v>
      </c>
      <c r="M3573" s="48" t="n">
        <f aca="false">Assumptions!$D$102*M3511</f>
        <v>0.25</v>
      </c>
      <c r="N3573" s="48" t="n">
        <f aca="false">Assumptions!$D$102*N3511</f>
        <v>0.25</v>
      </c>
      <c r="P3573" s="49" t="n">
        <f aca="false">AVERAGE(C3573:F3573)</f>
        <v>0.25</v>
      </c>
      <c r="Q3573" s="49" t="n">
        <f aca="false">AVERAGE(G3573:J3573)</f>
        <v>0.25</v>
      </c>
      <c r="R3573" s="49" t="n">
        <f aca="false">AVERAGE(K3573:N3573)</f>
        <v>0.25</v>
      </c>
      <c r="S3573" s="50"/>
    </row>
    <row r="3574" customFormat="false" ht="15" hidden="false" customHeight="false" outlineLevel="0" collapsed="false">
      <c r="A3574" s="4" t="s">
        <v>553</v>
      </c>
      <c r="B3574" s="36" t="s">
        <v>321</v>
      </c>
      <c r="C3574" s="48" t="n">
        <f aca="false">(C3558+C3559)/Assumptions!$E$74+C3557/Assumptions!$E$75</f>
        <v>0</v>
      </c>
      <c r="D3574" s="48" t="n">
        <f aca="false">(D3558+D3559)/Assumptions!$E$74+D3557/Assumptions!$E$75</f>
        <v>0.0172208606816541</v>
      </c>
      <c r="E3574" s="48" t="n">
        <f aca="false">(E3558+E3559)/Assumptions!$E$74+E3557/Assumptions!$E$75</f>
        <v>0.0488387092446673</v>
      </c>
      <c r="F3574" s="48" t="n">
        <f aca="false">(F3558+F3559)/Assumptions!$E$74+F3557/Assumptions!$E$75</f>
        <v>0.0833537674059899</v>
      </c>
      <c r="G3574" s="48" t="n">
        <f aca="false">(G3558+G3559)/Assumptions!$E$74+G3557/Assumptions!$E$75</f>
        <v>0.119461010221055</v>
      </c>
      <c r="H3574" s="48" t="n">
        <f aca="false">(H3558+H3559)/Assumptions!$E$74+H3557/Assumptions!$E$75</f>
        <v>0.164521950642064</v>
      </c>
      <c r="I3574" s="48" t="n">
        <f aca="false">(I3558+I3559)/Assumptions!$E$74+I3557/Assumptions!$E$75</f>
        <v>0.218064796609643</v>
      </c>
      <c r="J3574" s="48" t="n">
        <f aca="false">(J3558+J3559)/Assumptions!$E$74+J3557/Assumptions!$E$75</f>
        <v>0.295428789127043</v>
      </c>
      <c r="K3574" s="48" t="n">
        <f aca="false">(K3558+K3559)/Assumptions!$E$74+K3557/Assumptions!$E$75</f>
        <v>0.394986299416902</v>
      </c>
      <c r="L3574" s="48" t="n">
        <f aca="false">(L3558+L3559)/Assumptions!$E$74+L3557/Assumptions!$E$75</f>
        <v>0.493155915847016</v>
      </c>
      <c r="M3574" s="48" t="n">
        <f aca="false">(M3558+M3559)/Assumptions!$E$74+M3557/Assumptions!$E$75</f>
        <v>0.585011507781399</v>
      </c>
      <c r="N3574" s="48" t="n">
        <f aca="false">(N3558+N3559)/Assumptions!$E$74+N3557/Assumptions!$E$75</f>
        <v>0.670682693898466</v>
      </c>
      <c r="P3574" s="49" t="n">
        <f aca="false">AVERAGE(C3574:F3574)</f>
        <v>0.0373533343330778</v>
      </c>
      <c r="Q3574" s="49" t="n">
        <f aca="false">AVERAGE(G3574:J3574)</f>
        <v>0.199369136649951</v>
      </c>
      <c r="R3574" s="49" t="n">
        <f aca="false">AVERAGE(K3574:N3574)</f>
        <v>0.535959104235946</v>
      </c>
      <c r="S3574" s="50"/>
    </row>
    <row r="3575" customFormat="false" ht="15" hidden="false" customHeight="false" outlineLevel="0" collapsed="false">
      <c r="A3575" s="4" t="s">
        <v>554</v>
      </c>
      <c r="B3575" s="36" t="s">
        <v>125</v>
      </c>
      <c r="C3575" s="54" t="n">
        <f aca="false">(C3569+C3571)*Assumptions!$E$70/Assumptions!$E$69/4</f>
        <v>66753.5714285714</v>
      </c>
      <c r="D3575" s="54" t="n">
        <f aca="false">(D3569+D3571)*Assumptions!$E$70/Assumptions!$E$69/4</f>
        <v>66753.5714285714</v>
      </c>
      <c r="E3575" s="54" t="n">
        <f aca="false">(E3569+E3571)*Assumptions!$E$70/Assumptions!$E$69/4</f>
        <v>66753.5714285714</v>
      </c>
      <c r="F3575" s="54" t="n">
        <f aca="false">(F3569+F3571)*Assumptions!$E$70/Assumptions!$E$69/4</f>
        <v>66753.5714285714</v>
      </c>
      <c r="G3575" s="54" t="n">
        <f aca="false">(G3569+G3571)*Assumptions!$E$70/Assumptions!$E$69/4</f>
        <v>100130.357142857</v>
      </c>
      <c r="H3575" s="54" t="n">
        <f aca="false">(H3569+H3571)*Assumptions!$E$70/Assumptions!$E$69/4</f>
        <v>100130.357142857</v>
      </c>
      <c r="I3575" s="54" t="n">
        <f aca="false">(I3569+I3571)*Assumptions!$E$70/Assumptions!$E$69/4</f>
        <v>100130.357142857</v>
      </c>
      <c r="J3575" s="54" t="n">
        <f aca="false">(J3569+J3571)*Assumptions!$E$70/Assumptions!$E$69/4</f>
        <v>100130.357142857</v>
      </c>
      <c r="K3575" s="54" t="n">
        <f aca="false">(K3569+K3571)*Assumptions!$E$70/Assumptions!$E$69/4</f>
        <v>100130.357142857</v>
      </c>
      <c r="L3575" s="54" t="n">
        <f aca="false">(L3569+L3571)*Assumptions!$E$70/Assumptions!$E$69/4</f>
        <v>100130.357142857</v>
      </c>
      <c r="M3575" s="54" t="n">
        <f aca="false">(M3569+M3571)*Assumptions!$E$70/Assumptions!$E$69/4</f>
        <v>100130.357142857</v>
      </c>
      <c r="N3575" s="54" t="n">
        <f aca="false">(N3569+N3571)*Assumptions!$E$70/Assumptions!$E$69/4</f>
        <v>100130.357142857</v>
      </c>
      <c r="P3575" s="55" t="n">
        <f aca="false">SUM(C3575:F3575)</f>
        <v>267014.285714286</v>
      </c>
      <c r="Q3575" s="55" t="n">
        <f aca="false">SUM(G3575:J3575)</f>
        <v>400521.428571429</v>
      </c>
      <c r="R3575" s="55" t="n">
        <f aca="false">SUM(K3575:N3575)</f>
        <v>400521.428571429</v>
      </c>
      <c r="S3575" s="56" t="n">
        <f aca="false">SUM(P3575:R3575)</f>
        <v>1068057.14285714</v>
      </c>
    </row>
    <row r="3576" customFormat="false" ht="15" hidden="false" customHeight="false" outlineLevel="0" collapsed="false">
      <c r="A3576" s="4" t="s">
        <v>555</v>
      </c>
      <c r="B3576" s="36" t="s">
        <v>125</v>
      </c>
      <c r="C3576" s="54" t="n">
        <f aca="false">C3570*$C$3505/4</f>
        <v>0</v>
      </c>
      <c r="D3576" s="54" t="n">
        <f aca="false">D3570*$C$3505/4</f>
        <v>0</v>
      </c>
      <c r="E3576" s="54" t="n">
        <f aca="false">E3570*$C$3505/4</f>
        <v>0</v>
      </c>
      <c r="F3576" s="54" t="n">
        <f aca="false">F3570*$C$3505/4</f>
        <v>0</v>
      </c>
      <c r="G3576" s="54" t="n">
        <f aca="false">G3570*$C$3505/4</f>
        <v>0</v>
      </c>
      <c r="H3576" s="54" t="n">
        <f aca="false">H3570*$C$3505/4</f>
        <v>0</v>
      </c>
      <c r="I3576" s="54" t="n">
        <f aca="false">I3570*$C$3505/4</f>
        <v>0</v>
      </c>
      <c r="J3576" s="54" t="n">
        <f aca="false">J3570*$C$3505/4</f>
        <v>0</v>
      </c>
      <c r="K3576" s="54" t="n">
        <f aca="false">K3570*$C$3505/4</f>
        <v>0</v>
      </c>
      <c r="L3576" s="54" t="n">
        <f aca="false">L3570*$C$3505/4</f>
        <v>0</v>
      </c>
      <c r="M3576" s="54" t="n">
        <f aca="false">M3570*$C$3505/4</f>
        <v>0</v>
      </c>
      <c r="N3576" s="54" t="n">
        <f aca="false">N3570*$C$3505/4</f>
        <v>0</v>
      </c>
      <c r="P3576" s="55" t="n">
        <f aca="false">SUM(C3576:F3576)</f>
        <v>0</v>
      </c>
      <c r="Q3576" s="55" t="n">
        <f aca="false">SUM(G3576:J3576)</f>
        <v>0</v>
      </c>
      <c r="R3576" s="55" t="n">
        <f aca="false">SUM(K3576:N3576)</f>
        <v>0</v>
      </c>
      <c r="S3576" s="56" t="n">
        <f aca="false">SUM(P3576:R3576)</f>
        <v>0</v>
      </c>
    </row>
    <row r="3577" customFormat="false" ht="15" hidden="false" customHeight="false" outlineLevel="0" collapsed="false">
      <c r="A3577" s="4" t="s">
        <v>556</v>
      </c>
      <c r="B3577" s="36" t="s">
        <v>125</v>
      </c>
      <c r="C3577" s="54" t="n">
        <f aca="false">MAX(0,(C3565-C3546*$C$3501)-C3525*$C$3506)*$C$3507*Assumptions!$D$105</f>
        <v>0</v>
      </c>
      <c r="D3577" s="54" t="n">
        <f aca="false">MAX(0,(D3565-D3546*$C$3501)-D3525*$C$3506)*$C$3507*Assumptions!$D$105</f>
        <v>4199.74944095815</v>
      </c>
      <c r="E3577" s="54" t="n">
        <f aca="false">MAX(0,(E3565-E3546*$C$3501)-E3525*$C$3506)*$C$3507*Assumptions!$D$105</f>
        <v>9773.38229147308</v>
      </c>
      <c r="F3577" s="54" t="n">
        <f aca="false">MAX(0,(F3565-F3546*$C$3501)-F3525*$C$3506)*$C$3507*Assumptions!$D$105</f>
        <v>12126.2801439657</v>
      </c>
      <c r="G3577" s="54" t="n">
        <f aca="false">MAX(0,(G3565-G3546*$C$3501)-G3525*$C$3506)*$C$3507*Assumptions!$D$105</f>
        <v>12983.0899388585</v>
      </c>
      <c r="H3577" s="54" t="n">
        <f aca="false">MAX(0,(H3565-H3546*$C$3501)-H3525*$C$3506)*$C$3507*Assumptions!$D$105</f>
        <v>15695.4303293563</v>
      </c>
      <c r="I3577" s="54" t="n">
        <f aca="false">MAX(0,(I3565-I3546*$C$3501)-I3525*$C$3506)*$C$3507*Assumptions!$D$105</f>
        <v>18840.7316418739</v>
      </c>
      <c r="J3577" s="54" t="n">
        <f aca="false">MAX(0,(J3565-J3546*$C$3501)-J3525*$C$3506)*$C$3507*Assumptions!$D$105</f>
        <v>25952.1331395336</v>
      </c>
      <c r="K3577" s="54" t="n">
        <f aca="false">MAX(0,(K3565-K3546*$C$3501)-K3525*$C$3506)*$C$3507*Assumptions!$D$105</f>
        <v>34105.3799086216</v>
      </c>
      <c r="L3577" s="54" t="n">
        <f aca="false">MAX(0,(L3565-L3546*$C$3501)-L3525*$C$3506)*$C$3507*Assumptions!$D$105</f>
        <v>36244.7039995055</v>
      </c>
      <c r="M3577" s="54" t="n">
        <f aca="false">MAX(0,(M3565-M3546*$C$3501)-M3525*$C$3506)*$C$3507*Assumptions!$D$105</f>
        <v>35258.8004639301</v>
      </c>
      <c r="N3577" s="54" t="n">
        <f aca="false">MAX(0,(N3565-N3546*$C$3501)-N3525*$C$3506)*$C$3507*Assumptions!$D$105</f>
        <v>33997.7341435894</v>
      </c>
      <c r="P3577" s="55" t="n">
        <f aca="false">SUM(C3577:F3577)</f>
        <v>26099.411876397</v>
      </c>
      <c r="Q3577" s="55" t="n">
        <f aca="false">SUM(G3577:J3577)</f>
        <v>73471.3850496224</v>
      </c>
      <c r="R3577" s="55" t="n">
        <f aca="false">SUM(K3577:N3577)</f>
        <v>139606.618515647</v>
      </c>
      <c r="S3577" s="56" t="n">
        <f aca="false">SUM(P3577:R3577)</f>
        <v>239177.415441666</v>
      </c>
    </row>
    <row r="3578" customFormat="false" ht="15" hidden="false" customHeight="false" outlineLevel="0" collapsed="false">
      <c r="A3578" s="4" t="s">
        <v>557</v>
      </c>
      <c r="B3578" s="36" t="s">
        <v>125</v>
      </c>
      <c r="C3578" s="54" t="n">
        <f aca="false">C3573*Assumptions!$E$71/Assumptions!$E$69/4</f>
        <v>18475.8928571429</v>
      </c>
      <c r="D3578" s="54" t="n">
        <f aca="false">D3573*Assumptions!$E$71/Assumptions!$E$69/4</f>
        <v>18475.8928571429</v>
      </c>
      <c r="E3578" s="54" t="n">
        <f aca="false">E3573*Assumptions!$E$71/Assumptions!$E$69/4</f>
        <v>18475.8928571429</v>
      </c>
      <c r="F3578" s="54" t="n">
        <f aca="false">F3573*Assumptions!$E$71/Assumptions!$E$69/4</f>
        <v>18475.8928571429</v>
      </c>
      <c r="G3578" s="54" t="n">
        <f aca="false">G3573*Assumptions!$E$71/Assumptions!$E$69/4</f>
        <v>18475.8928571429</v>
      </c>
      <c r="H3578" s="54" t="n">
        <f aca="false">H3573*Assumptions!$E$71/Assumptions!$E$69/4</f>
        <v>18475.8928571429</v>
      </c>
      <c r="I3578" s="54" t="n">
        <f aca="false">I3573*Assumptions!$E$71/Assumptions!$E$69/4</f>
        <v>18475.8928571429</v>
      </c>
      <c r="J3578" s="54" t="n">
        <f aca="false">J3573*Assumptions!$E$71/Assumptions!$E$69/4</f>
        <v>18475.8928571429</v>
      </c>
      <c r="K3578" s="54" t="n">
        <f aca="false">K3573*Assumptions!$E$71/Assumptions!$E$69/4</f>
        <v>18475.8928571429</v>
      </c>
      <c r="L3578" s="54" t="n">
        <f aca="false">L3573*Assumptions!$E$71/Assumptions!$E$69/4</f>
        <v>18475.8928571429</v>
      </c>
      <c r="M3578" s="54" t="n">
        <f aca="false">M3573*Assumptions!$E$71/Assumptions!$E$69/4</f>
        <v>18475.8928571429</v>
      </c>
      <c r="N3578" s="54" t="n">
        <f aca="false">N3573*Assumptions!$E$71/Assumptions!$E$69/4</f>
        <v>18475.8928571429</v>
      </c>
      <c r="P3578" s="55" t="n">
        <f aca="false">SUM(C3578:F3578)</f>
        <v>73903.5714285714</v>
      </c>
      <c r="Q3578" s="55" t="n">
        <f aca="false">SUM(G3578:J3578)</f>
        <v>73903.5714285714</v>
      </c>
      <c r="R3578" s="55" t="n">
        <f aca="false">SUM(K3578:N3578)</f>
        <v>73903.5714285714</v>
      </c>
      <c r="S3578" s="56" t="n">
        <f aca="false">SUM(P3578:R3578)</f>
        <v>221710.714285714</v>
      </c>
    </row>
    <row r="3579" customFormat="false" ht="15" hidden="false" customHeight="false" outlineLevel="0" collapsed="false">
      <c r="A3579" s="4" t="s">
        <v>558</v>
      </c>
      <c r="B3579" s="36" t="s">
        <v>125</v>
      </c>
      <c r="C3579" s="54" t="n">
        <f aca="false">(Assumptions!$D$103+Assumptions!$E$77*((C3510=Assumptions!$E$13)+(C3510=Assumptions!$E$14)+(C3510=Assumptions!$E$15)))*C3511</f>
        <v>65000</v>
      </c>
      <c r="D3579" s="54" t="n">
        <f aca="false">(Assumptions!$D$103+Assumptions!$E$77*((D3510=Assumptions!$E$13)+(D3510=Assumptions!$E$14)+(D3510=Assumptions!$E$15)))*D3511</f>
        <v>25000</v>
      </c>
      <c r="E3579" s="54" t="n">
        <f aca="false">(Assumptions!$D$103+Assumptions!$E$77*((E3510=Assumptions!$E$13)+(E3510=Assumptions!$E$14)+(E3510=Assumptions!$E$15)))*E3511</f>
        <v>25000</v>
      </c>
      <c r="F3579" s="54" t="n">
        <f aca="false">(Assumptions!$D$103+Assumptions!$E$77*((F3510=Assumptions!$E$13)+(F3510=Assumptions!$E$14)+(F3510=Assumptions!$E$15)))*F3511</f>
        <v>25000</v>
      </c>
      <c r="G3579" s="54" t="n">
        <f aca="false">(Assumptions!$D$103+Assumptions!$E$77*((G3510=Assumptions!$E$13)+(G3510=Assumptions!$E$14)+(G3510=Assumptions!$E$15)))*G3511</f>
        <v>65000</v>
      </c>
      <c r="H3579" s="54" t="n">
        <f aca="false">(Assumptions!$D$103+Assumptions!$E$77*((H3510=Assumptions!$E$13)+(H3510=Assumptions!$E$14)+(H3510=Assumptions!$E$15)))*H3511</f>
        <v>25000</v>
      </c>
      <c r="I3579" s="54" t="n">
        <f aca="false">(Assumptions!$D$103+Assumptions!$E$77*((I3510=Assumptions!$E$13)+(I3510=Assumptions!$E$14)+(I3510=Assumptions!$E$15)))*I3511</f>
        <v>65000</v>
      </c>
      <c r="J3579" s="54" t="n">
        <f aca="false">(Assumptions!$D$103+Assumptions!$E$77*((J3510=Assumptions!$E$13)+(J3510=Assumptions!$E$14)+(J3510=Assumptions!$E$15)))*J3511</f>
        <v>25000</v>
      </c>
      <c r="K3579" s="54" t="n">
        <f aca="false">(Assumptions!$D$103+Assumptions!$E$77*((K3510=Assumptions!$E$13)+(K3510=Assumptions!$E$14)+(K3510=Assumptions!$E$15)))*K3511</f>
        <v>25000</v>
      </c>
      <c r="L3579" s="54" t="n">
        <f aca="false">(Assumptions!$D$103+Assumptions!$E$77*((L3510=Assumptions!$E$13)+(L3510=Assumptions!$E$14)+(L3510=Assumptions!$E$15)))*L3511</f>
        <v>25000</v>
      </c>
      <c r="M3579" s="54" t="n">
        <f aca="false">(Assumptions!$D$103+Assumptions!$E$77*((M3510=Assumptions!$E$13)+(M3510=Assumptions!$E$14)+(M3510=Assumptions!$E$15)))*M3511</f>
        <v>25000</v>
      </c>
      <c r="N3579" s="54" t="n">
        <f aca="false">(Assumptions!$D$103+Assumptions!$E$77*((N3510=Assumptions!$E$13)+(N3510=Assumptions!$E$14)+(N3510=Assumptions!$E$15)))*N3511</f>
        <v>25000</v>
      </c>
      <c r="P3579" s="55" t="n">
        <f aca="false">SUM(C3579:F3579)</f>
        <v>140000</v>
      </c>
      <c r="Q3579" s="55" t="n">
        <f aca="false">SUM(G3579:J3579)</f>
        <v>180000</v>
      </c>
      <c r="R3579" s="55" t="n">
        <f aca="false">SUM(K3579:N3579)</f>
        <v>100000</v>
      </c>
      <c r="S3579" s="56" t="n">
        <f aca="false">SUM(P3579:R3579)</f>
        <v>420000</v>
      </c>
    </row>
    <row r="3580" customFormat="false" ht="15" hidden="false" customHeight="false" outlineLevel="0" collapsed="false">
      <c r="A3580" s="4" t="s">
        <v>559</v>
      </c>
      <c r="B3580" s="36" t="s">
        <v>125</v>
      </c>
      <c r="C3580" s="54" t="n">
        <f aca="false">C3565*C3545*Assumptions!$E$79</f>
        <v>0</v>
      </c>
      <c r="D3580" s="54" t="n">
        <f aca="false">D3565*D3545*Assumptions!$E$79</f>
        <v>815.338873355417</v>
      </c>
      <c r="E3580" s="54" t="n">
        <f aca="false">E3565*E3545*Assumptions!$E$79</f>
        <v>1571.90561009216</v>
      </c>
      <c r="F3580" s="54" t="n">
        <f aca="false">F3565*F3545*Assumptions!$E$79</f>
        <v>2385.10793778749</v>
      </c>
      <c r="G3580" s="54" t="n">
        <f aca="false">G3565*G3545*Assumptions!$E$79</f>
        <v>2983.53077631016</v>
      </c>
      <c r="H3580" s="54" t="n">
        <f aca="false">H3565*H3545*Assumptions!$E$79</f>
        <v>3392.21440226832</v>
      </c>
      <c r="I3580" s="54" t="n">
        <f aca="false">I3565*I3545*Assumptions!$E$79</f>
        <v>3947.78880490734</v>
      </c>
      <c r="J3580" s="54" t="n">
        <f aca="false">J3565*J3545*Assumptions!$E$79</f>
        <v>4206.6110945603</v>
      </c>
      <c r="K3580" s="54" t="n">
        <f aca="false">K3565*K3545*Assumptions!$E$79</f>
        <v>4790.29836670637</v>
      </c>
      <c r="L3580" s="54" t="n">
        <f aca="false">L3565*L3545*Assumptions!$E$79</f>
        <v>5650.35025302939</v>
      </c>
      <c r="M3580" s="54" t="n">
        <f aca="false">M3565*M3545*Assumptions!$E$79</f>
        <v>5698.945035622</v>
      </c>
      <c r="N3580" s="54" t="n">
        <f aca="false">N3565*N3545*Assumptions!$E$79</f>
        <v>5696.82288809134</v>
      </c>
      <c r="P3580" s="55" t="n">
        <f aca="false">SUM(C3580:F3580)</f>
        <v>4772.35242123507</v>
      </c>
      <c r="Q3580" s="55" t="n">
        <f aca="false">SUM(G3580:J3580)</f>
        <v>14530.1450780461</v>
      </c>
      <c r="R3580" s="55" t="n">
        <f aca="false">SUM(K3580:N3580)</f>
        <v>21836.4165434491</v>
      </c>
      <c r="S3580" s="56" t="n">
        <f aca="false">SUM(P3580:R3580)</f>
        <v>41138.9140427303</v>
      </c>
    </row>
    <row r="3581" customFormat="false" ht="15" hidden="false" customHeight="false" outlineLevel="0" collapsed="false">
      <c r="A3581" s="4" t="s">
        <v>560</v>
      </c>
      <c r="B3581" s="36" t="s">
        <v>125</v>
      </c>
      <c r="C3581" s="54" t="n">
        <f aca="false">C3530*Assumptions!$E$80</f>
        <v>4000</v>
      </c>
      <c r="D3581" s="54" t="n">
        <f aca="false">D3530*Assumptions!$E$80</f>
        <v>6000</v>
      </c>
      <c r="E3581" s="54" t="n">
        <f aca="false">E3530*Assumptions!$E$80</f>
        <v>8000</v>
      </c>
      <c r="F3581" s="54" t="n">
        <f aca="false">F3530*Assumptions!$E$80</f>
        <v>10000</v>
      </c>
      <c r="G3581" s="54" t="n">
        <f aca="false">G3530*Assumptions!$E$80</f>
        <v>12000</v>
      </c>
      <c r="H3581" s="54" t="n">
        <f aca="false">H3530*Assumptions!$E$80</f>
        <v>14000</v>
      </c>
      <c r="I3581" s="54" t="n">
        <f aca="false">I3530*Assumptions!$E$80</f>
        <v>16000</v>
      </c>
      <c r="J3581" s="54" t="n">
        <f aca="false">J3530*Assumptions!$E$80</f>
        <v>18000</v>
      </c>
      <c r="K3581" s="54" t="n">
        <f aca="false">K3530*Assumptions!$E$80</f>
        <v>20000</v>
      </c>
      <c r="L3581" s="54" t="n">
        <f aca="false">L3530*Assumptions!$E$80</f>
        <v>20000</v>
      </c>
      <c r="M3581" s="54" t="n">
        <f aca="false">M3530*Assumptions!$E$80</f>
        <v>20000</v>
      </c>
      <c r="N3581" s="54" t="n">
        <f aca="false">N3530*Assumptions!$E$80</f>
        <v>20000</v>
      </c>
      <c r="P3581" s="55" t="n">
        <f aca="false">SUM(C3581:F3581)</f>
        <v>28000</v>
      </c>
      <c r="Q3581" s="55" t="n">
        <f aca="false">SUM(G3581:J3581)</f>
        <v>60000</v>
      </c>
      <c r="R3581" s="55" t="n">
        <f aca="false">SUM(K3581:N3581)</f>
        <v>80000</v>
      </c>
      <c r="S3581" s="56" t="n">
        <f aca="false">SUM(P3581:R3581)</f>
        <v>168000</v>
      </c>
    </row>
    <row r="3582" customFormat="false" ht="15" hidden="false" customHeight="false" outlineLevel="0" collapsed="false">
      <c r="A3582" s="4" t="s">
        <v>561</v>
      </c>
      <c r="B3582" s="36" t="s">
        <v>125</v>
      </c>
      <c r="C3582" s="54" t="n">
        <f aca="false">(C3553*$C$3502+C3554*$C$3503)*Assumptions!$E$81</f>
        <v>0</v>
      </c>
      <c r="D3582" s="54" t="n">
        <f aca="false">(D3553*$C$3502+D3554*$C$3503)*Assumptions!$E$81</f>
        <v>764.889094792496</v>
      </c>
      <c r="E3582" s="54" t="n">
        <f aca="false">(E3553*$C$3502+E3554*$C$3503)*Assumptions!$E$81</f>
        <v>2124.47588869299</v>
      </c>
      <c r="F3582" s="54" t="n">
        <f aca="false">(F3553*$C$3502+F3554*$C$3503)*Assumptions!$E$81</f>
        <v>2807.5302792493</v>
      </c>
      <c r="G3582" s="54" t="n">
        <f aca="false">(G3553*$C$3502+G3554*$C$3503)*Assumptions!$E$81</f>
        <v>3006.8442658548</v>
      </c>
      <c r="H3582" s="54" t="n">
        <f aca="false">(H3553*$C$3502+H3554*$C$3503)*Assumptions!$E$81</f>
        <v>3528.69744115179</v>
      </c>
      <c r="I3582" s="54" t="n">
        <f aca="false">(I3553*$C$3502+I3554*$C$3503)*Assumptions!$E$81</f>
        <v>4217.87750128015</v>
      </c>
      <c r="J3582" s="54" t="n">
        <f aca="false">(J3553*$C$3502+J3554*$C$3503)*Assumptions!$E$81</f>
        <v>5525.5270092276</v>
      </c>
      <c r="K3582" s="54" t="n">
        <f aca="false">(K3553*$C$3502+K3554*$C$3503)*Assumptions!$E$81</f>
        <v>7271.13347655318</v>
      </c>
      <c r="L3582" s="54" t="n">
        <f aca="false">(L3553*$C$3502+L3554*$C$3503)*Assumptions!$E$81</f>
        <v>7985.83174530867</v>
      </c>
      <c r="M3582" s="54" t="n">
        <f aca="false">(M3553*$C$3502+M3554*$C$3503)*Assumptions!$E$81</f>
        <v>7803.10861239779</v>
      </c>
      <c r="N3582" s="54" t="n">
        <f aca="false">(N3553*$C$3502+N3554*$C$3503)*Assumptions!$E$81</f>
        <v>7522.58322991103</v>
      </c>
      <c r="P3582" s="55" t="n">
        <f aca="false">SUM(C3582:F3582)</f>
        <v>5696.8952627348</v>
      </c>
      <c r="Q3582" s="55" t="n">
        <f aca="false">SUM(G3582:J3582)</f>
        <v>16278.9462175143</v>
      </c>
      <c r="R3582" s="55" t="n">
        <f aca="false">SUM(K3582:N3582)</f>
        <v>30582.6570641707</v>
      </c>
      <c r="S3582" s="56" t="n">
        <f aca="false">SUM(P3582:R3582)</f>
        <v>52558.4985444198</v>
      </c>
    </row>
    <row r="3583" customFormat="false" ht="15" hidden="false" customHeight="false" outlineLevel="0" collapsed="false">
      <c r="A3583" s="9" t="s">
        <v>562</v>
      </c>
      <c r="B3583" s="36" t="s">
        <v>125</v>
      </c>
      <c r="C3583" s="55" t="n">
        <f aca="false">C3575+C3576+C3577+C3578+C3579+C3580+C3581+C3582</f>
        <v>154229.464285714</v>
      </c>
      <c r="D3583" s="55" t="n">
        <f aca="false">D3575+D3576+D3577+D3578+D3579+D3580+D3581+D3582</f>
        <v>122009.44169482</v>
      </c>
      <c r="E3583" s="55" t="n">
        <f aca="false">E3575+E3576+E3577+E3578+E3579+E3580+E3581+E3582</f>
        <v>131699.228075973</v>
      </c>
      <c r="F3583" s="55" t="n">
        <f aca="false">F3575+F3576+F3577+F3578+F3579+F3580+F3581+F3582</f>
        <v>137548.382646717</v>
      </c>
      <c r="G3583" s="55" t="n">
        <f aca="false">G3575+G3576+G3577+G3578+G3579+G3580+G3581+G3582</f>
        <v>214579.714981023</v>
      </c>
      <c r="H3583" s="55" t="n">
        <f aca="false">H3575+H3576+H3577+H3578+H3579+H3580+H3581+H3582</f>
        <v>180222.592172776</v>
      </c>
      <c r="I3583" s="55" t="n">
        <f aca="false">I3575+I3576+I3577+I3578+I3579+I3580+I3581+I3582</f>
        <v>226612.647948061</v>
      </c>
      <c r="J3583" s="55" t="n">
        <f aca="false">J3575+J3576+J3577+J3578+J3579+J3580+J3581+J3582</f>
        <v>197290.521243322</v>
      </c>
      <c r="K3583" s="55" t="n">
        <f aca="false">K3575+K3576+K3577+K3578+K3579+K3580+K3581+K3582</f>
        <v>209773.061751881</v>
      </c>
      <c r="L3583" s="55" t="n">
        <f aca="false">L3575+L3576+L3577+L3578+L3579+L3580+L3581+L3582</f>
        <v>213487.135997844</v>
      </c>
      <c r="M3583" s="55" t="n">
        <f aca="false">M3575+M3576+M3577+M3578+M3579+M3580+M3581+M3582</f>
        <v>212367.10411195</v>
      </c>
      <c r="N3583" s="55" t="n">
        <f aca="false">N3575+N3576+N3577+N3578+N3579+N3580+N3581+N3582</f>
        <v>210823.390261592</v>
      </c>
      <c r="P3583" s="55" t="n">
        <f aca="false">SUM(C3583:F3583)</f>
        <v>545486.516703224</v>
      </c>
      <c r="Q3583" s="55" t="n">
        <f aca="false">SUM(G3583:J3583)</f>
        <v>818705.476345183</v>
      </c>
      <c r="R3583" s="55" t="n">
        <f aca="false">SUM(K3583:N3583)</f>
        <v>846450.692123266</v>
      </c>
      <c r="S3583" s="56" t="n">
        <f aca="false">SUM(P3583:R3583)</f>
        <v>2210642.68517167</v>
      </c>
    </row>
    <row r="3584" customFormat="false" ht="15" hidden="false" customHeight="false" outlineLevel="0" collapsed="false">
      <c r="A3584" s="4" t="s">
        <v>563</v>
      </c>
      <c r="B3584" s="36" t="s">
        <v>125</v>
      </c>
      <c r="C3584" s="54" t="n">
        <f aca="false">C3572*Assumptions!$E$72/Assumptions!$E$69/4</f>
        <v>56535.7142857143</v>
      </c>
      <c r="D3584" s="54" t="n">
        <f aca="false">D3572*Assumptions!$E$72/Assumptions!$E$69/4</f>
        <v>56535.7142857143</v>
      </c>
      <c r="E3584" s="54" t="n">
        <f aca="false">E3572*Assumptions!$E$72/Assumptions!$E$69/4</f>
        <v>56535.7142857143</v>
      </c>
      <c r="F3584" s="54" t="n">
        <f aca="false">F3572*Assumptions!$E$72/Assumptions!$E$69/4</f>
        <v>56535.7142857143</v>
      </c>
      <c r="G3584" s="54" t="n">
        <f aca="false">G3572*Assumptions!$E$72/Assumptions!$E$69/4</f>
        <v>28267.8571428571</v>
      </c>
      <c r="H3584" s="54" t="n">
        <f aca="false">H3572*Assumptions!$E$72/Assumptions!$E$69/4</f>
        <v>28267.8571428571</v>
      </c>
      <c r="I3584" s="54" t="n">
        <f aca="false">I3572*Assumptions!$E$72/Assumptions!$E$69/4</f>
        <v>28267.8571428571</v>
      </c>
      <c r="J3584" s="54" t="n">
        <f aca="false">J3572*Assumptions!$E$72/Assumptions!$E$69/4</f>
        <v>28267.8571428571</v>
      </c>
      <c r="K3584" s="54" t="n">
        <f aca="false">K3572*Assumptions!$E$72/Assumptions!$E$69/4</f>
        <v>28267.8571428571</v>
      </c>
      <c r="L3584" s="54" t="n">
        <f aca="false">L3572*Assumptions!$E$72/Assumptions!$E$69/4</f>
        <v>28267.8571428571</v>
      </c>
      <c r="M3584" s="54" t="n">
        <f aca="false">M3572*Assumptions!$E$72/Assumptions!$E$69/4</f>
        <v>28267.8571428571</v>
      </c>
      <c r="N3584" s="54" t="n">
        <f aca="false">N3572*Assumptions!$E$72/Assumptions!$E$69/4</f>
        <v>28267.8571428571</v>
      </c>
      <c r="P3584" s="55" t="n">
        <f aca="false">SUM(C3584:F3584)</f>
        <v>226142.857142857</v>
      </c>
      <c r="Q3584" s="55" t="n">
        <f aca="false">SUM(G3584:J3584)</f>
        <v>113071.428571429</v>
      </c>
      <c r="R3584" s="55" t="n">
        <f aca="false">SUM(K3584:N3584)</f>
        <v>113071.428571429</v>
      </c>
      <c r="S3584" s="56" t="n">
        <f aca="false">SUM(P3584:R3584)</f>
        <v>452285.714285714</v>
      </c>
    </row>
    <row r="3585" customFormat="false" ht="15" hidden="false" customHeight="false" outlineLevel="0" collapsed="false">
      <c r="A3585" s="4" t="s">
        <v>564</v>
      </c>
      <c r="B3585" s="36" t="s">
        <v>125</v>
      </c>
      <c r="C3585" s="54" t="n">
        <f aca="false">IF(C3510&lt;=Assumptions!$E$83,Assumptions!$E$82*Assumptions!$D$108/Assumptions!$E$83,0)</f>
        <v>62500</v>
      </c>
      <c r="D3585" s="54" t="n">
        <f aca="false">IF(D3510&lt;=Assumptions!$E$83,Assumptions!$E$82*Assumptions!$D$108/Assumptions!$E$83,0)</f>
        <v>62500</v>
      </c>
      <c r="E3585" s="54" t="n">
        <f aca="false">IF(E3510&lt;=Assumptions!$E$83,Assumptions!$E$82*Assumptions!$D$108/Assumptions!$E$83,0)</f>
        <v>62500</v>
      </c>
      <c r="F3585" s="54" t="n">
        <f aca="false">IF(F3510&lt;=Assumptions!$E$83,Assumptions!$E$82*Assumptions!$D$108/Assumptions!$E$83,0)</f>
        <v>62500</v>
      </c>
      <c r="G3585" s="54" t="n">
        <f aca="false">IF(G3510&lt;=Assumptions!$E$83,Assumptions!$E$82*Assumptions!$D$108/Assumptions!$E$83,0)</f>
        <v>0</v>
      </c>
      <c r="H3585" s="54" t="n">
        <f aca="false">IF(H3510&lt;=Assumptions!$E$83,Assumptions!$E$82*Assumptions!$D$108/Assumptions!$E$83,0)</f>
        <v>0</v>
      </c>
      <c r="I3585" s="54" t="n">
        <f aca="false">IF(I3510&lt;=Assumptions!$E$83,Assumptions!$E$82*Assumptions!$D$108/Assumptions!$E$83,0)</f>
        <v>0</v>
      </c>
      <c r="J3585" s="54" t="n">
        <f aca="false">IF(J3510&lt;=Assumptions!$E$83,Assumptions!$E$82*Assumptions!$D$108/Assumptions!$E$83,0)</f>
        <v>0</v>
      </c>
      <c r="K3585" s="54" t="n">
        <f aca="false">IF(K3510&lt;=Assumptions!$E$83,Assumptions!$E$82*Assumptions!$D$108/Assumptions!$E$83,0)</f>
        <v>0</v>
      </c>
      <c r="L3585" s="54" t="n">
        <f aca="false">IF(L3510&lt;=Assumptions!$E$83,Assumptions!$E$82*Assumptions!$D$108/Assumptions!$E$83,0)</f>
        <v>0</v>
      </c>
      <c r="M3585" s="54" t="n">
        <f aca="false">IF(M3510&lt;=Assumptions!$E$83,Assumptions!$E$82*Assumptions!$D$108/Assumptions!$E$83,0)</f>
        <v>0</v>
      </c>
      <c r="N3585" s="54" t="n">
        <f aca="false">IF(N3510&lt;=Assumptions!$E$83,Assumptions!$E$82*Assumptions!$D$108/Assumptions!$E$83,0)</f>
        <v>0</v>
      </c>
      <c r="P3585" s="55" t="n">
        <f aca="false">SUM(C3585:F3585)</f>
        <v>250000</v>
      </c>
      <c r="Q3585" s="55" t="n">
        <f aca="false">SUM(G3585:J3585)</f>
        <v>0</v>
      </c>
      <c r="R3585" s="55" t="n">
        <f aca="false">SUM(K3585:N3585)</f>
        <v>0</v>
      </c>
      <c r="S3585" s="56" t="n">
        <f aca="false">SUM(P3585:R3585)</f>
        <v>250000</v>
      </c>
    </row>
    <row r="3586" customFormat="false" ht="15" hidden="false" customHeight="false" outlineLevel="0" collapsed="false">
      <c r="A3586" s="4" t="s">
        <v>565</v>
      </c>
      <c r="B3586" s="36" t="s">
        <v>125</v>
      </c>
      <c r="C3586" s="54" t="n">
        <f aca="false">C3574*Assumptions!$E$73/Assumptions!$E$69/4</f>
        <v>0</v>
      </c>
      <c r="D3586" s="54" t="n">
        <f aca="false">D3574*Assumptions!$E$73/Assumptions!$E$69/4</f>
        <v>691.971084033179</v>
      </c>
      <c r="E3586" s="54" t="n">
        <f aca="false">E3574*Assumptions!$E$73/Assumptions!$E$69/4</f>
        <v>1962.44399182769</v>
      </c>
      <c r="F3586" s="54" t="n">
        <f aca="false">F3574*Assumptions!$E$73/Assumptions!$E$69/4</f>
        <v>3349.33298958855</v>
      </c>
      <c r="G3586" s="54" t="n">
        <f aca="false">G3574*Assumptions!$E$73/Assumptions!$E$69/4</f>
        <v>4800.19937856105</v>
      </c>
      <c r="H3586" s="54" t="n">
        <f aca="false">H3574*Assumptions!$E$73/Assumptions!$E$69/4</f>
        <v>6610.84452383524</v>
      </c>
      <c r="I3586" s="54" t="n">
        <f aca="false">I3574*Assumptions!$E$73/Assumptions!$E$69/4</f>
        <v>8762.31080948246</v>
      </c>
      <c r="J3586" s="54" t="n">
        <f aca="false">J3574*Assumptions!$E$73/Assumptions!$E$69/4</f>
        <v>11870.9618088156</v>
      </c>
      <c r="K3586" s="54" t="n">
        <f aca="false">K3574*Assumptions!$E$73/Assumptions!$E$69/4</f>
        <v>15871.3959097842</v>
      </c>
      <c r="L3586" s="54" t="n">
        <f aca="false">L3574*Assumptions!$E$73/Assumptions!$E$69/4</f>
        <v>19816.0614614099</v>
      </c>
      <c r="M3586" s="54" t="n">
        <f aca="false">M3574*Assumptions!$E$73/Assumptions!$E$69/4</f>
        <v>23507.0159787447</v>
      </c>
      <c r="N3586" s="54" t="n">
        <f aca="false">N3574*Assumptions!$E$73/Assumptions!$E$69/4</f>
        <v>26949.4678180416</v>
      </c>
      <c r="P3586" s="55" t="n">
        <f aca="false">SUM(C3586:F3586)</f>
        <v>6003.74806544941</v>
      </c>
      <c r="Q3586" s="55" t="n">
        <f aca="false">SUM(G3586:J3586)</f>
        <v>32044.3165206943</v>
      </c>
      <c r="R3586" s="55" t="n">
        <f aca="false">SUM(K3586:N3586)</f>
        <v>86143.9411679804</v>
      </c>
      <c r="S3586" s="56" t="n">
        <f aca="false">SUM(P3586:R3586)</f>
        <v>124192.005754124</v>
      </c>
    </row>
    <row r="3587" customFormat="false" ht="15" hidden="false" customHeight="false" outlineLevel="0" collapsed="false">
      <c r="A3587" s="9" t="s">
        <v>566</v>
      </c>
      <c r="B3587" s="36" t="s">
        <v>125</v>
      </c>
      <c r="C3587" s="55" t="n">
        <f aca="false">C3583+C3584+C3585+C3586</f>
        <v>273265.178571429</v>
      </c>
      <c r="D3587" s="55" t="n">
        <f aca="false">D3583+D3584+D3585+D3586</f>
        <v>241737.127064568</v>
      </c>
      <c r="E3587" s="55" t="n">
        <f aca="false">E3583+E3584+E3585+E3586</f>
        <v>252697.386353515</v>
      </c>
      <c r="F3587" s="55" t="n">
        <f aca="false">F3583+F3584+F3585+F3586</f>
        <v>259933.42992202</v>
      </c>
      <c r="G3587" s="55" t="n">
        <f aca="false">G3583+G3584+G3585+G3586</f>
        <v>247647.771502442</v>
      </c>
      <c r="H3587" s="55" t="n">
        <f aca="false">H3583+H3584+H3585+H3586</f>
        <v>215101.293839469</v>
      </c>
      <c r="I3587" s="55" t="n">
        <f aca="false">I3583+I3584+I3585+I3586</f>
        <v>263642.815900401</v>
      </c>
      <c r="J3587" s="55" t="n">
        <f aca="false">J3583+J3584+J3585+J3586</f>
        <v>237429.340194994</v>
      </c>
      <c r="K3587" s="55" t="n">
        <f aca="false">K3583+K3584+K3585+K3586</f>
        <v>253912.314804523</v>
      </c>
      <c r="L3587" s="55" t="n">
        <f aca="false">L3583+L3584+L3585+L3586</f>
        <v>261571.054602111</v>
      </c>
      <c r="M3587" s="55" t="n">
        <f aca="false">M3583+M3584+M3585+M3586</f>
        <v>264141.977233552</v>
      </c>
      <c r="N3587" s="55" t="n">
        <f aca="false">N3583+N3584+N3585+N3586</f>
        <v>266040.715222491</v>
      </c>
      <c r="P3587" s="55" t="n">
        <f aca="false">SUM(C3587:F3587)</f>
        <v>1027633.12191153</v>
      </c>
      <c r="Q3587" s="55" t="n">
        <f aca="false">SUM(G3587:J3587)</f>
        <v>963821.221437306</v>
      </c>
      <c r="R3587" s="55" t="n">
        <f aca="false">SUM(K3587:N3587)</f>
        <v>1045666.06186268</v>
      </c>
      <c r="S3587" s="56" t="n">
        <f aca="false">SUM(P3587:R3587)</f>
        <v>3037120.40521151</v>
      </c>
    </row>
    <row r="3588" customFormat="false" ht="15" hidden="false" customHeight="false" outlineLevel="0" collapsed="false">
      <c r="A3588" s="35" t="s">
        <v>567</v>
      </c>
      <c r="B3588" s="35" t="s">
        <v>444</v>
      </c>
      <c r="C3588" s="6" t="s">
        <v>354</v>
      </c>
      <c r="D3588" s="6" t="s">
        <v>355</v>
      </c>
      <c r="E3588" s="6" t="s">
        <v>356</v>
      </c>
      <c r="F3588" s="6" t="s">
        <v>357</v>
      </c>
      <c r="G3588" s="6" t="s">
        <v>358</v>
      </c>
      <c r="H3588" s="6" t="s">
        <v>359</v>
      </c>
      <c r="I3588" s="6" t="s">
        <v>360</v>
      </c>
      <c r="J3588" s="6" t="s">
        <v>361</v>
      </c>
      <c r="K3588" s="6" t="s">
        <v>362</v>
      </c>
      <c r="L3588" s="6" t="s">
        <v>363</v>
      </c>
      <c r="M3588" s="6" t="s">
        <v>364</v>
      </c>
      <c r="N3588" s="6" t="s">
        <v>365</v>
      </c>
      <c r="P3588" s="6" t="s">
        <v>445</v>
      </c>
      <c r="Q3588" s="6" t="s">
        <v>446</v>
      </c>
      <c r="R3588" s="6" t="s">
        <v>447</v>
      </c>
      <c r="S3588" s="6" t="s">
        <v>448</v>
      </c>
    </row>
    <row r="3589" customFormat="false" ht="15" hidden="false" customHeight="false" outlineLevel="0" collapsed="false">
      <c r="A3589" s="9" t="s">
        <v>568</v>
      </c>
      <c r="B3589" s="36" t="s">
        <v>125</v>
      </c>
      <c r="C3589" s="55" t="n">
        <f aca="false">C3567-C3587</f>
        <v>-273265.178571429</v>
      </c>
      <c r="D3589" s="55" t="n">
        <f aca="false">D3567-D3587</f>
        <v>-240869.674825567</v>
      </c>
      <c r="E3589" s="55" t="n">
        <f aca="false">E3567-E3587</f>
        <v>-249017.691794255</v>
      </c>
      <c r="F3589" s="55" t="n">
        <f aca="false">F3567-F3587</f>
        <v>-251911.292235297</v>
      </c>
      <c r="G3589" s="55" t="n">
        <f aca="false">G3567-G3587</f>
        <v>-234624.666852776</v>
      </c>
      <c r="H3589" s="55" t="n">
        <f aca="false">H3567-H3587</f>
        <v>-196275.219153534</v>
      </c>
      <c r="I3589" s="55" t="n">
        <f aca="false">I3567-I3587</f>
        <v>-237745.62820307</v>
      </c>
      <c r="J3589" s="55" t="n">
        <f aca="false">J3567-J3587</f>
        <v>-202263.804054417</v>
      </c>
      <c r="K3589" s="55" t="n">
        <f aca="false">K3567-K3587</f>
        <v>-206254.710225365</v>
      </c>
      <c r="L3589" s="55" t="n">
        <f aca="false">L3567-L3587</f>
        <v>-199256.723176719</v>
      </c>
      <c r="M3589" s="55" t="n">
        <f aca="false">M3567-M3587</f>
        <v>-186790.559400121</v>
      </c>
      <c r="N3589" s="55" t="n">
        <f aca="false">N3567-N3587</f>
        <v>-173868.35279741</v>
      </c>
      <c r="P3589" s="55" t="n">
        <f aca="false">SUM(C3589:F3589)</f>
        <v>-1015063.83742655</v>
      </c>
      <c r="Q3589" s="55" t="n">
        <f aca="false">SUM(G3589:J3589)</f>
        <v>-870909.318263798</v>
      </c>
      <c r="R3589" s="55" t="n">
        <f aca="false">SUM(K3589:N3589)</f>
        <v>-766170.345599616</v>
      </c>
      <c r="S3589" s="56" t="n">
        <f aca="false">SUM(P3589:R3589)</f>
        <v>-2652143.50128996</v>
      </c>
    </row>
    <row r="3590" customFormat="false" ht="15" hidden="false" customHeight="false" outlineLevel="0" collapsed="false">
      <c r="A3590" s="9" t="s">
        <v>569</v>
      </c>
      <c r="B3590" s="36" t="s">
        <v>125</v>
      </c>
      <c r="C3590" s="55" t="n">
        <f aca="false">0+C3589</f>
        <v>-273265.178571429</v>
      </c>
      <c r="D3590" s="55" t="n">
        <f aca="false">C3590+D3589</f>
        <v>-514134.853396996</v>
      </c>
      <c r="E3590" s="55" t="n">
        <f aca="false">D3590+E3589</f>
        <v>-763152.545191251</v>
      </c>
      <c r="F3590" s="55" t="n">
        <f aca="false">E3590+F3589</f>
        <v>-1015063.83742655</v>
      </c>
      <c r="G3590" s="55" t="n">
        <f aca="false">F3590+G3589</f>
        <v>-1249688.50427932</v>
      </c>
      <c r="H3590" s="55" t="n">
        <f aca="false">G3590+H3589</f>
        <v>-1445963.72343286</v>
      </c>
      <c r="I3590" s="55" t="n">
        <f aca="false">H3590+I3589</f>
        <v>-1683709.35163593</v>
      </c>
      <c r="J3590" s="55" t="n">
        <f aca="false">I3590+J3589</f>
        <v>-1885973.15569034</v>
      </c>
      <c r="K3590" s="55" t="n">
        <f aca="false">J3590+K3589</f>
        <v>-2092227.86591571</v>
      </c>
      <c r="L3590" s="55" t="n">
        <f aca="false">K3590+L3589</f>
        <v>-2291484.58909243</v>
      </c>
      <c r="M3590" s="55" t="n">
        <f aca="false">L3590+M3589</f>
        <v>-2478275.14849255</v>
      </c>
      <c r="N3590" s="55" t="n">
        <f aca="false">M3590+N3589</f>
        <v>-2652143.50128996</v>
      </c>
      <c r="P3590" s="55" t="n">
        <f aca="false">F3590</f>
        <v>-1015063.83742655</v>
      </c>
      <c r="Q3590" s="55" t="n">
        <f aca="false">J3590</f>
        <v>-1885973.15569034</v>
      </c>
      <c r="R3590" s="55" t="n">
        <f aca="false">N3590</f>
        <v>-2652143.50128996</v>
      </c>
      <c r="S3590" s="56" t="n">
        <f aca="false">R3590</f>
        <v>-2652143.50128996</v>
      </c>
    </row>
    <row r="3591" customFormat="false" ht="15" hidden="false" customHeight="false" outlineLevel="0" collapsed="false">
      <c r="A3591" s="4" t="s">
        <v>570</v>
      </c>
      <c r="B3591" s="36" t="s">
        <v>107</v>
      </c>
      <c r="C3591" s="57" t="n">
        <f aca="false">1/(1+Assumptions!$E$87)^(C3510/4)</f>
        <v>0.972065420906982</v>
      </c>
      <c r="D3591" s="57" t="n">
        <f aca="false">1/(1+Assumptions!$E$87)^(D3510/4)</f>
        <v>0.944911182523068</v>
      </c>
      <c r="E3591" s="57" t="n">
        <f aca="false">1/(1+Assumptions!$E$87)^(E3510/4)</f>
        <v>0.918515486359</v>
      </c>
      <c r="F3591" s="57" t="n">
        <f aca="false">1/(1+Assumptions!$E$87)^(F3510/4)</f>
        <v>0.892857142857143</v>
      </c>
      <c r="G3591" s="57" t="n">
        <f aca="false">1/(1+Assumptions!$E$87)^(G3510/4)</f>
        <v>0.867915554381234</v>
      </c>
      <c r="H3591" s="57" t="n">
        <f aca="false">1/(1+Assumptions!$E$87)^(H3510/4)</f>
        <v>0.843670698681311</v>
      </c>
      <c r="I3591" s="57" t="n">
        <f aca="false">1/(1+Assumptions!$E$87)^(I3510/4)</f>
        <v>0.820103112820536</v>
      </c>
      <c r="J3591" s="57" t="n">
        <f aca="false">1/(1+Assumptions!$E$87)^(J3510/4)</f>
        <v>0.79719387755102</v>
      </c>
      <c r="K3591" s="57" t="n">
        <f aca="false">1/(1+Assumptions!$E$87)^(K3510/4)</f>
        <v>0.774924602126102</v>
      </c>
      <c r="L3591" s="57" t="n">
        <f aca="false">1/(1+Assumptions!$E$87)^(L3510/4)</f>
        <v>0.753277409536885</v>
      </c>
      <c r="M3591" s="57" t="n">
        <f aca="false">1/(1+Assumptions!$E$87)^(M3510/4)</f>
        <v>0.732234922161193</v>
      </c>
      <c r="N3591" s="57" t="n">
        <f aca="false">1/(1+Assumptions!$E$87)^(N3510/4)</f>
        <v>0.711780247813411</v>
      </c>
      <c r="P3591" s="58"/>
      <c r="Q3591" s="58"/>
      <c r="R3591" s="58"/>
      <c r="S3591" s="59"/>
    </row>
    <row r="3592" customFormat="false" ht="15" hidden="false" customHeight="false" outlineLevel="0" collapsed="false">
      <c r="A3592" s="4" t="s">
        <v>571</v>
      </c>
      <c r="B3592" s="36" t="s">
        <v>125</v>
      </c>
      <c r="C3592" s="54" t="n">
        <f aca="false">(C3567*(1-Assumptions!$E$88)-C3587)*C3591</f>
        <v>-265631.630827257</v>
      </c>
      <c r="D3592" s="54" t="n">
        <f aca="false">(D3567*(1-Assumptions!$E$88)-D3587)*D3591</f>
        <v>-227764.382337561</v>
      </c>
      <c r="E3592" s="54" t="n">
        <f aca="false">(E3567*(1-Assumptions!$E$88)-E3587)*E3591</f>
        <v>-229402.577577946</v>
      </c>
      <c r="F3592" s="54" t="n">
        <f aca="false">(F3567*(1-Assumptions!$E$88)-F3587)*F3591</f>
        <v>-226353.321225572</v>
      </c>
      <c r="G3592" s="54" t="n">
        <f aca="false">(G3567*(1-Assumptions!$E$88)-G3587)*G3591</f>
        <v>-205894.988821395</v>
      </c>
      <c r="H3592" s="54" t="n">
        <f aca="false">(H3567*(1-Assumptions!$E$88)-H3587)*H3591</f>
        <v>-168768.252793831</v>
      </c>
      <c r="I3592" s="54" t="n">
        <f aca="false">(I3567*(1-Assumptions!$E$88)-I3587)*I3591</f>
        <v>-199223.602597587</v>
      </c>
      <c r="J3592" s="54" t="n">
        <f aca="false">(J3567*(1-Assumptions!$E$88)-J3587)*J3591</f>
        <v>-166850.216264774</v>
      </c>
      <c r="K3592" s="54" t="n">
        <f aca="false">(K3567*(1-Assumptions!$E$88)-K3587)*K3591</f>
        <v>-167218.059311383</v>
      </c>
      <c r="L3592" s="54" t="n">
        <f aca="false">(L3567*(1-Assumptions!$E$88)-L3587)*L3591</f>
        <v>-159483.583897996</v>
      </c>
      <c r="M3592" s="54" t="n">
        <f aca="false">(M3567*(1-Assumptions!$E$88)-M3587)*M3591</f>
        <v>-148102.452606057</v>
      </c>
      <c r="N3592" s="54" t="n">
        <f aca="false">(N3567*(1-Assumptions!$E$88)-N3587)*N3591</f>
        <v>-136877.352634744</v>
      </c>
      <c r="P3592" s="55" t="n">
        <f aca="false">SUM(C3592:F3592)</f>
        <v>-949151.911968336</v>
      </c>
      <c r="Q3592" s="55" t="n">
        <f aca="false">SUM(G3592:J3592)</f>
        <v>-740737.060477588</v>
      </c>
      <c r="R3592" s="55" t="n">
        <f aca="false">SUM(K3592:N3592)</f>
        <v>-611681.44845018</v>
      </c>
      <c r="S3592" s="56" t="n">
        <f aca="false">SUM(P3592:R3592)</f>
        <v>-2301570.4208961</v>
      </c>
    </row>
    <row r="3593" customFormat="false" ht="15" hidden="false" customHeight="false" outlineLevel="0" collapsed="false">
      <c r="A3593" s="4" t="s">
        <v>572</v>
      </c>
      <c r="B3593" s="36" t="s">
        <v>125</v>
      </c>
      <c r="C3593" s="54" t="n">
        <f aca="false">(C3587-C3586)*12/(Assumptions!$E$89*Assumptions!$E$76)*Assumptions!$E$90</f>
        <v>189183.585164835</v>
      </c>
      <c r="D3593" s="54" t="n">
        <f aca="false">(D3587-D3586)*12/(Assumptions!$E$89*Assumptions!$E$76)*Assumptions!$E$90</f>
        <v>166877.415678832</v>
      </c>
      <c r="E3593" s="54" t="n">
        <f aca="false">(E3587-E3586)*12/(Assumptions!$E$89*Assumptions!$E$76)*Assumptions!$E$90</f>
        <v>173585.729327322</v>
      </c>
      <c r="F3593" s="54" t="n">
        <f aca="false">(F3587-F3586)*12/(Assumptions!$E$89*Assumptions!$E$76)*Assumptions!$E$90</f>
        <v>177635.144030145</v>
      </c>
      <c r="G3593" s="54" t="n">
        <f aca="false">(G3587-G3586)*12/(Assumptions!$E$89*Assumptions!$E$76)*Assumptions!$E$90</f>
        <v>168125.24223961</v>
      </c>
      <c r="H3593" s="54" t="n">
        <f aca="false">(H3587-H3586)*12/(Assumptions!$E$89*Assumptions!$E$76)*Assumptions!$E$90</f>
        <v>144339.5418339</v>
      </c>
      <c r="I3593" s="54" t="n">
        <f aca="false">(I3587-I3586)*12/(Assumptions!$E$89*Assumptions!$E$76)*Assumptions!$E$90</f>
        <v>176455.734293713</v>
      </c>
      <c r="J3593" s="54" t="n">
        <f aca="false">(J3587-J3586)*12/(Assumptions!$E$89*Assumptions!$E$76)*Assumptions!$E$90</f>
        <v>156155.800421201</v>
      </c>
      <c r="K3593" s="54" t="n">
        <f aca="false">(K3587-K3586)*12/(Assumptions!$E$89*Assumptions!$E$76)*Assumptions!$E$90</f>
        <v>164797.559234819</v>
      </c>
      <c r="L3593" s="54" t="n">
        <f aca="false">(L3587-L3586)*12/(Assumptions!$E$89*Assumptions!$E$76)*Assumptions!$E$90</f>
        <v>167368.8414051</v>
      </c>
      <c r="M3593" s="54" t="n">
        <f aca="false">(M3587-M3586)*12/(Assumptions!$E$89*Assumptions!$E$76)*Assumptions!$E$90</f>
        <v>166593.434714866</v>
      </c>
      <c r="N3593" s="54" t="n">
        <f aca="false">(N3587-N3586)*12/(Assumptions!$E$89*Assumptions!$E$76)*Assumptions!$E$90</f>
        <v>165524.709741542</v>
      </c>
      <c r="P3593" s="55" t="n">
        <f aca="false">SUM(C3593:F3593)</f>
        <v>707281.874201133</v>
      </c>
      <c r="Q3593" s="55" t="n">
        <f aca="false">SUM(G3593:J3593)</f>
        <v>645076.318788423</v>
      </c>
      <c r="R3593" s="55" t="n">
        <f aca="false">SUM(K3593:N3593)</f>
        <v>664284.545096327</v>
      </c>
      <c r="S3593" s="56" t="n">
        <f aca="false">SUM(P3593:R3593)</f>
        <v>2016642.73808588</v>
      </c>
    </row>
    <row r="3594" customFormat="false" ht="15" hidden="false" customHeight="false" outlineLevel="0" collapsed="false">
      <c r="A3594" s="4" t="s">
        <v>573</v>
      </c>
      <c r="B3594" s="36" t="s">
        <v>125</v>
      </c>
      <c r="C3594" s="54" t="n">
        <f aca="false">0*Assumptions!$E$92^(1/4)+C3593</f>
        <v>189183.585164835</v>
      </c>
      <c r="D3594" s="54" t="n">
        <f aca="false">C3594*Assumptions!$E$92^(1/4)+D3593</f>
        <v>356532.196485846</v>
      </c>
      <c r="E3594" s="54" t="n">
        <f aca="false">D3594*Assumptions!$E$92^(1/4)+E3593</f>
        <v>531005.933179844</v>
      </c>
      <c r="F3594" s="54" t="n">
        <f aca="false">E3594*Assumptions!$E$92^(1/4)+F3593</f>
        <v>709963.642703542</v>
      </c>
      <c r="G3594" s="54" t="n">
        <f aca="false">F3594*Assumptions!$E$92^(1/4)+G3593</f>
        <v>879857.176701953</v>
      </c>
      <c r="H3594" s="54" t="n">
        <f aca="false">G3594*Assumptions!$E$92^(1/4)+H3593</f>
        <v>1026388.16060542</v>
      </c>
      <c r="I3594" s="54" t="n">
        <f aca="false">H3594*Assumptions!$E$92^(1/4)+I3593</f>
        <v>1205400.29865922</v>
      </c>
      <c r="J3594" s="54" t="n">
        <f aca="false">I3594*Assumptions!$E$92^(1/4)+J3593</f>
        <v>1364558.36466977</v>
      </c>
      <c r="K3594" s="54" t="n">
        <f aca="false">J3594*Assumptions!$E$92^(1/4)+K3593</f>
        <v>1532754.60119665</v>
      </c>
      <c r="L3594" s="54" t="n">
        <f aca="false">K3594*Assumptions!$E$92^(1/4)+L3593</f>
        <v>1703941.04278088</v>
      </c>
      <c r="M3594" s="54" t="n">
        <f aca="false">L3594*Assumptions!$E$92^(1/4)+M3593</f>
        <v>1874778.44820383</v>
      </c>
      <c r="N3594" s="54" t="n">
        <f aca="false">M3594*Assumptions!$E$92^(1/4)+N3593</f>
        <v>2044972.62984525</v>
      </c>
      <c r="P3594" s="55" t="n">
        <f aca="false">F3594</f>
        <v>709963.642703542</v>
      </c>
      <c r="Q3594" s="55" t="n">
        <f aca="false">J3594</f>
        <v>1364558.36466977</v>
      </c>
      <c r="R3594" s="55" t="n">
        <f aca="false">N3594</f>
        <v>2044972.62984525</v>
      </c>
      <c r="S3594" s="56" t="n">
        <f aca="false">R3594</f>
        <v>2044972.62984525</v>
      </c>
    </row>
    <row r="3595" customFormat="false" ht="15" hidden="false" customHeight="false" outlineLevel="0" collapsed="false">
      <c r="A3595" s="4" t="s">
        <v>574</v>
      </c>
      <c r="B3595" s="36" t="s">
        <v>125</v>
      </c>
      <c r="C3595" s="54" t="n">
        <f aca="false">(0+C3594)/8*Assumptions!$E$76-(C3587-C3586)-C3594*Assumptions!$E$93/4</f>
        <v>-260258.807091346</v>
      </c>
      <c r="D3595" s="54" t="n">
        <f aca="false">(C3594+D3594)/8*Assumptions!$E$76-(D3587-D3586)-D3594*Assumptions!$E$93/4</f>
        <v>-201162.40117749</v>
      </c>
      <c r="E3595" s="54" t="n">
        <f aca="false">(D3594+E3594)/8*Assumptions!$E$76-(E3587-E3586)-E3594*Assumptions!$E$93/4</f>
        <v>-185260.043491098</v>
      </c>
      <c r="F3595" s="54" t="n">
        <f aca="false">(E3594+F3594)/8*Assumptions!$E$76-(F3587-F3586)-F3594*Assumptions!$E$93/4</f>
        <v>-164629.8644257</v>
      </c>
      <c r="G3595" s="54" t="n">
        <f aca="false">(F3594+G3594)/8*Assumptions!$E$76-(G3587-G3586)-G3594*Assumptions!$E$93/4</f>
        <v>-124672.845255959</v>
      </c>
      <c r="H3595" s="54" t="n">
        <f aca="false">(G3594+H3594)/8*Assumptions!$E$76-(H3587-H3586)-H3594*Assumptions!$E$93/4</f>
        <v>-66437.8676669772</v>
      </c>
      <c r="I3595" s="54" t="n">
        <f aca="false">(H3594+I3594)/8*Assumptions!$E$76-(I3587-I3586)-I3594*Assumptions!$E$93/4</f>
        <v>-88615.1965089068</v>
      </c>
      <c r="J3595" s="54" t="n">
        <f aca="false">(I3594+J3594)/8*Assumptions!$E$76-(J3587-J3586)-J3594*Assumptions!$E$93/4</f>
        <v>-33806.2165490706</v>
      </c>
      <c r="K3595" s="54" t="n">
        <f aca="false">(J3594+K3594)/8*Assumptions!$E$76-(K3587-K3586)-K3594*Assumptions!$E$93/4</f>
        <v>-21793.6729330499</v>
      </c>
      <c r="L3595" s="54" t="n">
        <f aca="false">(K3594+L3594)/8*Assumptions!$E$76-(L3587-L3586)-L3594*Assumptions!$E$93/4</f>
        <v>-72.7351022868934</v>
      </c>
      <c r="M3595" s="54" t="n">
        <f aca="false">(L3594+M3594)/8*Assumptions!$E$76-(M3587-M3586)-M3594*Assumptions!$E$93/4</f>
        <v>26701.2667851529</v>
      </c>
      <c r="N3595" s="54" t="n">
        <f aca="false">(M3594+N3594)/8*Assumptions!$E$76-(N3587-N3586)-N3594*Assumptions!$E$93/4</f>
        <v>53826.3698139727</v>
      </c>
      <c r="P3595" s="55" t="n">
        <f aca="false">SUM(C3595:F3595)</f>
        <v>-811311.116185634</v>
      </c>
      <c r="Q3595" s="55" t="n">
        <f aca="false">SUM(G3595:J3595)</f>
        <v>-313532.125980913</v>
      </c>
      <c r="R3595" s="55" t="n">
        <f aca="false">SUM(K3595:N3595)</f>
        <v>58661.2285637889</v>
      </c>
      <c r="S3595" s="56" t="n">
        <f aca="false">SUM(P3595:R3595)</f>
        <v>-1066182.01360276</v>
      </c>
    </row>
    <row r="3596" customFormat="false" ht="15" hidden="false" customHeight="false" outlineLevel="0" collapsed="false">
      <c r="A3596" s="4" t="s">
        <v>575</v>
      </c>
      <c r="B3596" s="36" t="s">
        <v>125</v>
      </c>
      <c r="C3596" s="54" t="n">
        <f aca="false">C3595*C3591</f>
        <v>-252988.586859998</v>
      </c>
      <c r="D3596" s="54" t="n">
        <f aca="false">D3595*D3591</f>
        <v>-190080.602375802</v>
      </c>
      <c r="E3596" s="54" t="n">
        <f aca="false">E3595*E3591</f>
        <v>-170164.218950115</v>
      </c>
      <c r="F3596" s="54" t="n">
        <f aca="false">F3595*F3591</f>
        <v>-146990.95038009</v>
      </c>
      <c r="G3596" s="54" t="n">
        <f aca="false">G3595*G3591</f>
        <v>-108205.501606611</v>
      </c>
      <c r="H3596" s="54" t="n">
        <f aca="false">H3595*H3591</f>
        <v>-56051.6822334951</v>
      </c>
      <c r="I3596" s="54" t="n">
        <f aca="false">I3595*I3591</f>
        <v>-72673.5985001579</v>
      </c>
      <c r="J3596" s="54" t="n">
        <f aca="false">J3595*J3591</f>
        <v>-26950.1088560831</v>
      </c>
      <c r="K3596" s="54" t="n">
        <f aca="false">K3595*K3591</f>
        <v>-16888.4533265101</v>
      </c>
      <c r="L3596" s="54" t="n">
        <f aca="false">L3595*L3591</f>
        <v>-54.7897094330714</v>
      </c>
      <c r="M3596" s="54" t="n">
        <f aca="false">M3595*M3591</f>
        <v>19551.6000060317</v>
      </c>
      <c r="N3596" s="54" t="n">
        <f aca="false">N3595*N3591</f>
        <v>38312.5468450858</v>
      </c>
      <c r="P3596" s="55" t="n">
        <f aca="false">SUM(C3596:F3596)</f>
        <v>-760224.358566005</v>
      </c>
      <c r="Q3596" s="55" t="n">
        <f aca="false">SUM(G3596:J3596)</f>
        <v>-263880.891196347</v>
      </c>
      <c r="R3596" s="55" t="n">
        <f aca="false">SUM(K3596:N3596)</f>
        <v>40920.9038151744</v>
      </c>
      <c r="S3596" s="56" t="n">
        <f aca="false">SUM(P3596:R3596)</f>
        <v>-983184.345947178</v>
      </c>
    </row>
    <row r="3597" customFormat="false" ht="15" hidden="false" customHeight="false" outlineLevel="0" collapsed="false">
      <c r="A3597" s="4" t="s">
        <v>576</v>
      </c>
      <c r="B3597" s="36"/>
      <c r="C3597" s="37" t="n">
        <f aca="false">IFERROR((S3552*$C$3501*Assumptions!$E$59+S3553*$C$3502*Assumptions!$E$60+S3554*$C$3503*Assumptions!$E$61)/(S3552*$C$3501+S3553*$C$3502+S3554*$C$3503),0.9)</f>
        <v>0.897368255166075</v>
      </c>
    </row>
    <row r="3598" customFormat="false" ht="15" hidden="false" customHeight="false" outlineLevel="0" collapsed="false">
      <c r="A3598" s="4" t="s">
        <v>577</v>
      </c>
      <c r="B3598" s="36"/>
      <c r="C3598" s="37" t="n">
        <f aca="false">IFERROR(N3586*4/N3564,0)</f>
        <v>0.176020362813553</v>
      </c>
    </row>
    <row r="3599" customFormat="false" ht="15" hidden="false" customHeight="false" outlineLevel="0" collapsed="false">
      <c r="A3599" s="4" t="s">
        <v>578</v>
      </c>
      <c r="B3599" s="36"/>
      <c r="C3599" s="60" t="n">
        <f aca="false">$C$3597/(1+Assumptions!$E$87)</f>
        <v>0.801221656398281</v>
      </c>
    </row>
    <row r="3600" customFormat="false" ht="15" hidden="false" customHeight="false" outlineLevel="0" collapsed="false">
      <c r="A3600" s="4" t="s">
        <v>579</v>
      </c>
      <c r="B3600" s="36"/>
      <c r="C3600" s="60" t="n">
        <f aca="false">Assumptions!$E$91/(1+Assumptions!$E$87)</f>
        <v>0.803571428571429</v>
      </c>
    </row>
    <row r="3601" customFormat="false" ht="15" hidden="false" customHeight="false" outlineLevel="0" collapsed="false">
      <c r="A3601" s="35" t="s">
        <v>580</v>
      </c>
      <c r="B3601" s="35" t="s">
        <v>444</v>
      </c>
      <c r="C3601" s="6" t="s">
        <v>354</v>
      </c>
      <c r="D3601" s="6" t="s">
        <v>355</v>
      </c>
      <c r="E3601" s="6" t="s">
        <v>356</v>
      </c>
      <c r="F3601" s="6" t="s">
        <v>357</v>
      </c>
      <c r="G3601" s="6" t="s">
        <v>358</v>
      </c>
      <c r="H3601" s="6" t="s">
        <v>359</v>
      </c>
      <c r="I3601" s="6" t="s">
        <v>360</v>
      </c>
      <c r="J3601" s="6" t="s">
        <v>361</v>
      </c>
      <c r="K3601" s="6" t="s">
        <v>362</v>
      </c>
      <c r="L3601" s="6" t="s">
        <v>363</v>
      </c>
      <c r="M3601" s="6" t="s">
        <v>364</v>
      </c>
      <c r="N3601" s="6" t="s">
        <v>365</v>
      </c>
      <c r="P3601" s="6" t="s">
        <v>445</v>
      </c>
      <c r="Q3601" s="6" t="s">
        <v>446</v>
      </c>
      <c r="R3601" s="6" t="s">
        <v>447</v>
      </c>
      <c r="S3601" s="6" t="s">
        <v>448</v>
      </c>
    </row>
    <row r="3602" customFormat="false" ht="15" hidden="false" customHeight="false" outlineLevel="0" collapsed="false">
      <c r="A3602" s="9" t="s">
        <v>581</v>
      </c>
      <c r="C3602" s="61" t="n">
        <f aca="false">N3564</f>
        <v>612417.049647543</v>
      </c>
      <c r="D3602" s="61"/>
    </row>
    <row r="3603" customFormat="false" ht="15" hidden="false" customHeight="false" outlineLevel="0" collapsed="false">
      <c r="A3603" s="9" t="s">
        <v>582</v>
      </c>
      <c r="C3603" s="62" t="n">
        <f aca="false">N3560</f>
        <v>59.5709003977795</v>
      </c>
      <c r="D3603" s="62"/>
    </row>
    <row r="3604" customFormat="false" ht="15" hidden="false" customHeight="false" outlineLevel="0" collapsed="false">
      <c r="A3604" s="9" t="s">
        <v>583</v>
      </c>
      <c r="C3604" s="63" t="n">
        <f aca="false">S3555</f>
        <v>65.8229463251575</v>
      </c>
      <c r="D3604" s="63"/>
    </row>
    <row r="3605" customFormat="false" ht="15" hidden="false" customHeight="false" outlineLevel="0" collapsed="false">
      <c r="A3605" s="9" t="s">
        <v>584</v>
      </c>
      <c r="C3605" s="61" t="n">
        <f aca="false">S3566</f>
        <v>592272.15987931</v>
      </c>
      <c r="D3605" s="61"/>
    </row>
    <row r="3606" customFormat="false" ht="15" hidden="false" customHeight="false" outlineLevel="0" collapsed="false">
      <c r="A3606" s="9" t="s">
        <v>22</v>
      </c>
      <c r="C3606" s="61" t="n">
        <f aca="false">IFERROR(S3565/S3555,0)</f>
        <v>8846.66713664258</v>
      </c>
      <c r="D3606" s="61"/>
    </row>
    <row r="3607" customFormat="false" ht="15" hidden="false" customHeight="false" outlineLevel="0" collapsed="false">
      <c r="A3607" s="9" t="s">
        <v>585</v>
      </c>
      <c r="C3607" s="61" t="n">
        <f aca="false">IFERROR(S3583/S3555,0)</f>
        <v>33584.6814612546</v>
      </c>
      <c r="D3607" s="61"/>
    </row>
    <row r="3608" customFormat="false" ht="23.85" hidden="false" customHeight="false" outlineLevel="0" collapsed="false">
      <c r="A3608" s="9" t="s">
        <v>586</v>
      </c>
      <c r="C3608" s="61" t="n">
        <f aca="false">IFERROR((S3577+S3579+S3580+S3581+S3582)/S3555,0)</f>
        <v>13990.1794046077</v>
      </c>
      <c r="D3608" s="61"/>
    </row>
    <row r="3609" customFormat="false" ht="15" hidden="false" customHeight="false" outlineLevel="0" collapsed="false">
      <c r="A3609" s="9" t="s">
        <v>587</v>
      </c>
      <c r="C3609" s="64" t="n">
        <f aca="false">IFERROR('Engine Runs'!$C$3607/('Engine Runs'!$C$3606*Assumptions!$E$76/12),0)</f>
        <v>70.0857033432792</v>
      </c>
      <c r="D3609" s="64"/>
    </row>
    <row r="3610" customFormat="false" ht="15" hidden="false" customHeight="false" outlineLevel="0" collapsed="false">
      <c r="A3610" s="9" t="s">
        <v>588</v>
      </c>
      <c r="C3610" s="64" t="n">
        <f aca="false">IFERROR((R3583/R3555)/((R3565/R3555)*Assumptions!$E$76/12),0)</f>
        <v>45.938661032397</v>
      </c>
      <c r="D3610" s="64"/>
    </row>
    <row r="3611" customFormat="false" ht="15" hidden="false" customHeight="false" outlineLevel="0" collapsed="false">
      <c r="A3611" s="9" t="s">
        <v>589</v>
      </c>
      <c r="C3611" s="61" t="n">
        <f aca="false">S3587</f>
        <v>3037120.40521151</v>
      </c>
      <c r="D3611" s="61"/>
    </row>
    <row r="3612" customFormat="false" ht="15" hidden="false" customHeight="false" outlineLevel="0" collapsed="false">
      <c r="A3612" s="9" t="s">
        <v>590</v>
      </c>
      <c r="C3612" s="61" t="n">
        <f aca="false">N3590</f>
        <v>-2652143.50128996</v>
      </c>
      <c r="D3612" s="61"/>
    </row>
    <row r="3613" customFormat="false" ht="15" hidden="false" customHeight="false" outlineLevel="0" collapsed="false">
      <c r="A3613" s="9" t="s">
        <v>591</v>
      </c>
      <c r="C3613" s="61" t="n">
        <f aca="false">MIN($C$3590:$N$3590)</f>
        <v>-2652143.50128996</v>
      </c>
      <c r="D3613" s="61"/>
    </row>
    <row r="3614" customFormat="false" ht="15" hidden="false" customHeight="false" outlineLevel="0" collapsed="false">
      <c r="A3614" s="9" t="s">
        <v>592</v>
      </c>
      <c r="C3614" s="61" t="n">
        <f aca="false">N3564*(Assumptions!$E$76-$C$3598)*$C$3597*(1-$C$3597^Assumptions!$E$85)/(1-$C$3597)</f>
        <v>1061130.85304827</v>
      </c>
      <c r="D3614" s="61"/>
    </row>
    <row r="3615" customFormat="false" ht="15" hidden="false" customHeight="false" outlineLevel="0" collapsed="false">
      <c r="A3615" s="9" t="s">
        <v>593</v>
      </c>
      <c r="C3615" s="61" t="n">
        <f aca="false">N3564*(Assumptions!$E$76-$C$3598)*(1-Assumptions!$E$88)/(1+Assumptions!$E$87)^2.5*$C$3599*(1-$C$3599^Assumptions!$E$85)/(1-$C$3599)</f>
        <v>472266.763507318</v>
      </c>
      <c r="D3615" s="61"/>
    </row>
    <row r="3616" customFormat="false" ht="15" hidden="false" customHeight="false" outlineLevel="0" collapsed="false">
      <c r="A3616" s="9" t="s">
        <v>594</v>
      </c>
      <c r="C3616" s="61" t="n">
        <f aca="false">SUM($C$3592:$N$3592)+'Engine Runs'!$C$3615</f>
        <v>-1829303.65738879</v>
      </c>
      <c r="D3616" s="61"/>
    </row>
    <row r="3617" customFormat="false" ht="15" hidden="false" customHeight="false" outlineLevel="0" collapsed="false">
      <c r="A3617" s="9" t="s">
        <v>595</v>
      </c>
      <c r="C3617" s="61" t="n">
        <f aca="false">SUM($C$3596:$N$3596)+N3594*(Assumptions!$E$76-Assumptions!$E$93)/(1+Assumptions!$E$87)^2.5*$C$3600*(1-$C$3600^Assumptions!$E$85)/(1-$C$3600)</f>
        <v>1530993.85690651</v>
      </c>
      <c r="D3617" s="61"/>
    </row>
    <row r="3618" customFormat="false" ht="15" hidden="false" customHeight="false" outlineLevel="0" collapsed="false">
      <c r="A3618" s="9" t="s">
        <v>596</v>
      </c>
      <c r="C3618" s="61" t="n">
        <f aca="false">'Engine Runs'!$C$3616-'Engine Runs'!$C$3617</f>
        <v>-3360297.5142953</v>
      </c>
      <c r="D3618" s="61"/>
    </row>
    <row r="3619" customFormat="false" ht="15" hidden="false" customHeight="false" outlineLevel="0" collapsed="false">
      <c r="A3619" s="9" t="s">
        <v>597</v>
      </c>
      <c r="C3619" s="61" t="n">
        <f aca="false">S3551</f>
        <v>0</v>
      </c>
      <c r="D3619" s="61"/>
    </row>
    <row r="3620" customFormat="false" ht="15" hidden="false" customHeight="false" outlineLevel="0" collapsed="false">
      <c r="A3620" s="9" t="s">
        <v>598</v>
      </c>
      <c r="C3620" s="63" t="n">
        <f aca="false">P3535</f>
        <v>51.837737085288</v>
      </c>
      <c r="D3620" s="63"/>
    </row>
    <row r="3621" customFormat="false" ht="15" hidden="false" customHeight="false" outlineLevel="0" collapsed="false">
      <c r="A3621" s="9" t="s">
        <v>599</v>
      </c>
      <c r="C3621" s="63" t="n">
        <f aca="false">P3555</f>
        <v>7.43519798291371</v>
      </c>
      <c r="D3621" s="63"/>
    </row>
    <row r="3622" customFormat="false" ht="15" hidden="false" customHeight="false" outlineLevel="0" collapsed="false">
      <c r="A3622" s="9" t="s">
        <v>600</v>
      </c>
      <c r="C3622" s="63" t="n">
        <f aca="false">P3531</f>
        <v>42</v>
      </c>
      <c r="D3622" s="63"/>
    </row>
    <row r="3623" customFormat="false" ht="15" hidden="false" customHeight="false" outlineLevel="0" collapsed="false">
      <c r="A3623" s="9" t="s">
        <v>601</v>
      </c>
      <c r="C3623" s="61" t="n">
        <f aca="false">IFERROR(P3565/P3555,0)</f>
        <v>8560.98323271653</v>
      </c>
      <c r="D3623" s="61"/>
    </row>
    <row r="3626" customFormat="false" ht="15" hidden="false" customHeight="true" outlineLevel="0" collapsed="false">
      <c r="A3626" s="78" t="s">
        <v>819</v>
      </c>
      <c r="B3626" s="78"/>
      <c r="C3626" s="78"/>
      <c r="D3626" s="78"/>
      <c r="E3626" s="78"/>
      <c r="F3626" s="78"/>
      <c r="G3626" s="78"/>
      <c r="H3626" s="78"/>
      <c r="I3626" s="78"/>
      <c r="J3626" s="78"/>
      <c r="K3626" s="78"/>
      <c r="L3626" s="78"/>
      <c r="M3626" s="78"/>
      <c r="N3626" s="78"/>
    </row>
    <row r="3627" customFormat="false" ht="15" hidden="false" customHeight="true" outlineLevel="0" collapsed="false">
      <c r="A3627" s="79" t="s">
        <v>820</v>
      </c>
      <c r="B3627" s="79"/>
      <c r="C3627" s="79"/>
      <c r="D3627" s="79"/>
      <c r="E3627" s="79"/>
      <c r="F3627" s="79"/>
      <c r="G3627" s="79"/>
      <c r="H3627" s="79"/>
      <c r="I3627" s="79"/>
      <c r="J3627" s="79"/>
      <c r="K3627" s="79"/>
      <c r="L3627" s="79"/>
      <c r="M3627" s="79"/>
      <c r="N3627" s="79"/>
    </row>
    <row r="3628" customFormat="false" ht="23.85" hidden="false" customHeight="false" outlineLevel="0" collapsed="false">
      <c r="A3628" s="35" t="s">
        <v>821</v>
      </c>
      <c r="B3628" s="35" t="s">
        <v>444</v>
      </c>
      <c r="C3628" s="6" t="s">
        <v>354</v>
      </c>
      <c r="D3628" s="6" t="s">
        <v>355</v>
      </c>
      <c r="E3628" s="6" t="s">
        <v>356</v>
      </c>
      <c r="F3628" s="6" t="s">
        <v>357</v>
      </c>
      <c r="G3628" s="6" t="s">
        <v>358</v>
      </c>
      <c r="H3628" s="6" t="s">
        <v>359</v>
      </c>
      <c r="I3628" s="6" t="s">
        <v>360</v>
      </c>
      <c r="J3628" s="6" t="s">
        <v>361</v>
      </c>
      <c r="K3628" s="6" t="s">
        <v>362</v>
      </c>
      <c r="L3628" s="6" t="s">
        <v>363</v>
      </c>
      <c r="M3628" s="6" t="s">
        <v>364</v>
      </c>
      <c r="N3628" s="6" t="s">
        <v>365</v>
      </c>
      <c r="P3628" s="6" t="s">
        <v>445</v>
      </c>
      <c r="Q3628" s="6" t="s">
        <v>446</v>
      </c>
      <c r="R3628" s="6" t="s">
        <v>447</v>
      </c>
      <c r="S3628" s="6" t="s">
        <v>448</v>
      </c>
    </row>
    <row r="3629" customFormat="false" ht="15" hidden="false" customHeight="false" outlineLevel="0" collapsed="false">
      <c r="A3629" s="4" t="s">
        <v>449</v>
      </c>
      <c r="B3629" s="36" t="s">
        <v>450</v>
      </c>
      <c r="C3629" s="34" t="n">
        <f aca="false">'Market Sizing'!$C$17*Assumptions!$E$10*Assumptions!$E$11*(1-Assumptions!$E$12)</f>
        <v>843.03944704</v>
      </c>
    </row>
    <row r="3630" customFormat="false" ht="15" hidden="false" customHeight="false" outlineLevel="0" collapsed="false">
      <c r="A3630" s="4" t="s">
        <v>451</v>
      </c>
      <c r="B3630" s="36" t="s">
        <v>450</v>
      </c>
      <c r="C3630" s="34" t="n">
        <f aca="false">'Market Sizing'!$D$17*Assumptions!$E$10*Assumptions!$E$11*(1-Assumptions!$E$12)</f>
        <v>211.19616</v>
      </c>
    </row>
    <row r="3631" customFormat="false" ht="15" hidden="false" customHeight="false" outlineLevel="0" collapsed="false">
      <c r="A3631" s="4" t="s">
        <v>452</v>
      </c>
      <c r="B3631" s="36" t="s">
        <v>450</v>
      </c>
      <c r="C3631" s="34" t="n">
        <f aca="false">'Market Sizing'!$E$17*Assumptions!$E$10*Assumptions!$E$11*(1-Assumptions!$E$12)</f>
        <v>49.53984</v>
      </c>
    </row>
    <row r="3632" customFormat="false" ht="15" hidden="false" customHeight="false" outlineLevel="0" collapsed="false">
      <c r="A3632" s="4" t="s">
        <v>453</v>
      </c>
      <c r="B3632" s="36"/>
      <c r="C3632" s="34" t="n">
        <f aca="false">$C$3629+$C$3630+$C$3631</f>
        <v>1103.77544704</v>
      </c>
    </row>
    <row r="3633" customFormat="false" ht="15" hidden="false" customHeight="false" outlineLevel="0" collapsed="false">
      <c r="A3633" s="4" t="s">
        <v>454</v>
      </c>
      <c r="B3633" s="36" t="s">
        <v>450</v>
      </c>
      <c r="C3633" s="34" t="n">
        <f aca="false">'Market Sizing'!$C$18*Assumptions!$E$10*Assumptions!$E$11*(1-Assumptions!$E$12)</f>
        <v>612.57706944</v>
      </c>
    </row>
    <row r="3634" customFormat="false" ht="15" hidden="false" customHeight="false" outlineLevel="0" collapsed="false">
      <c r="A3634" s="4" t="s">
        <v>455</v>
      </c>
      <c r="B3634" s="36" t="s">
        <v>450</v>
      </c>
      <c r="C3634" s="34" t="n">
        <f aca="false">'Market Sizing'!$D$18*Assumptions!$E$10*Assumptions!$E$11*(1-Assumptions!$E$12)</f>
        <v>142.10112</v>
      </c>
    </row>
    <row r="3635" customFormat="false" ht="15" hidden="false" customHeight="false" outlineLevel="0" collapsed="false">
      <c r="A3635" s="4" t="s">
        <v>456</v>
      </c>
      <c r="B3635" s="36" t="s">
        <v>450</v>
      </c>
      <c r="C3635" s="34" t="n">
        <f aca="false">'Market Sizing'!$E$18*Assumptions!$E$10*Assumptions!$E$11*(1-Assumptions!$E$12)</f>
        <v>24.76992</v>
      </c>
    </row>
    <row r="3636" customFormat="false" ht="15" hidden="false" customHeight="false" outlineLevel="0" collapsed="false">
      <c r="A3636" s="4" t="s">
        <v>457</v>
      </c>
      <c r="B3636" s="36"/>
      <c r="C3636" s="34" t="n">
        <f aca="false">$C$3633+$C$3634+$C$3635</f>
        <v>779.44810944</v>
      </c>
    </row>
    <row r="3637" customFormat="false" ht="15" hidden="false" customHeight="false" outlineLevel="0" collapsed="false">
      <c r="A3637" s="4" t="s">
        <v>458</v>
      </c>
      <c r="B3637" s="36" t="s">
        <v>450</v>
      </c>
      <c r="C3637" s="34" t="n">
        <f aca="false">'Market Sizing'!$C$19*Assumptions!$E$10*Assumptions!$E$11*(1-Assumptions!$E$12)</f>
        <v>2060.77303936</v>
      </c>
    </row>
    <row r="3638" customFormat="false" ht="15" hidden="false" customHeight="false" outlineLevel="0" collapsed="false">
      <c r="A3638" s="4" t="s">
        <v>459</v>
      </c>
      <c r="B3638" s="36" t="s">
        <v>450</v>
      </c>
      <c r="C3638" s="34" t="n">
        <f aca="false">'Market Sizing'!$D$19*Assumptions!$E$10*Assumptions!$E$11*(1-Assumptions!$E$12)</f>
        <v>428.47616</v>
      </c>
    </row>
    <row r="3639" customFormat="false" ht="15" hidden="false" customHeight="false" outlineLevel="0" collapsed="false">
      <c r="A3639" s="4" t="s">
        <v>460</v>
      </c>
      <c r="B3639" s="36" t="s">
        <v>450</v>
      </c>
      <c r="C3639" s="34" t="n">
        <f aca="false">'Market Sizing'!$E$19*Assumptions!$E$10*Assumptions!$E$11*(1-Assumptions!$E$12)</f>
        <v>79.52448</v>
      </c>
    </row>
    <row r="3640" customFormat="false" ht="15" hidden="false" customHeight="false" outlineLevel="0" collapsed="false">
      <c r="A3640" s="4" t="s">
        <v>461</v>
      </c>
      <c r="B3640" s="36"/>
      <c r="C3640" s="34" t="n">
        <f aca="false">$C$3637+$C$3638+$C$3639</f>
        <v>2568.77367936</v>
      </c>
    </row>
    <row r="3641" customFormat="false" ht="15" hidden="false" customHeight="false" outlineLevel="0" collapsed="false">
      <c r="A3641" s="4" t="s">
        <v>462</v>
      </c>
      <c r="B3641" s="36" t="s">
        <v>463</v>
      </c>
      <c r="C3641" s="33" t="n">
        <f aca="false">MAX((Assumptions!$E$51+Assumptions!$E$53)*12,(((('Market Sizing'!$E$25*Assumptions!$E$41*Assumptions!$E$42*Assumptions!$E$43)*Assumptions!$E$44)*Assumptions!$E$45*Assumptions!$E$46+('Market Sizing'!$E$25*Assumptions!$E$41*Assumptions!$E$42*Assumptions!$E$43)*Assumptions!$E$47+('Market Sizing'!$E$25*Assumptions!$E$41*Assumptions!$E$42*Assumptions!$E$43)*Assumptions!$E$48*Assumptions!$E$49)*(Assumptions!$E$51*12/Assumptions!$E$52)+((('Market Sizing'!$E$25*Assumptions!$E$41*Assumptions!$E$42*Assumptions!$E$43)*Assumptions!$E$44)*Assumptions!$E$45+('Market Sizing'!$E$25*Assumptions!$E$41*Assumptions!$E$42*Assumptions!$E$43)+('Market Sizing'!$E$25*Assumptions!$E$41*Assumptions!$E$42*Assumptions!$E$43)*Assumptions!$E$48)*Assumptions!$E$50*(Assumptions!$E$53*12/Assumptions!$E$54)))</f>
        <v>5352</v>
      </c>
    </row>
    <row r="3642" customFormat="false" ht="15" hidden="false" customHeight="false" outlineLevel="0" collapsed="false">
      <c r="A3642" s="4" t="s">
        <v>464</v>
      </c>
      <c r="B3642" s="36" t="s">
        <v>463</v>
      </c>
      <c r="C3642" s="33" t="n">
        <f aca="false">MAX((Assumptions!$E$51+Assumptions!$E$53)*12,(((('Market Sizing'!$E$26*Assumptions!$E$41*Assumptions!$E$42*Assumptions!$E$43)*Assumptions!$E$44)*Assumptions!$E$45*Assumptions!$E$46+('Market Sizing'!$E$26*Assumptions!$E$41*Assumptions!$E$42*Assumptions!$E$43)*Assumptions!$E$47+('Market Sizing'!$E$26*Assumptions!$E$41*Assumptions!$E$42*Assumptions!$E$43)*Assumptions!$E$48*Assumptions!$E$49)*(Assumptions!$E$51*12/Assumptions!$E$52)+((('Market Sizing'!$E$26*Assumptions!$E$41*Assumptions!$E$42*Assumptions!$E$43)*Assumptions!$E$44)*Assumptions!$E$45+('Market Sizing'!$E$26*Assumptions!$E$41*Assumptions!$E$42*Assumptions!$E$43)+('Market Sizing'!$E$26*Assumptions!$E$41*Assumptions!$E$42*Assumptions!$E$43)*Assumptions!$E$48)*Assumptions!$E$50*(Assumptions!$E$53*12/Assumptions!$E$54)))</f>
        <v>9766.72012875208</v>
      </c>
    </row>
    <row r="3643" customFormat="false" ht="15" hidden="false" customHeight="false" outlineLevel="0" collapsed="false">
      <c r="A3643" s="4" t="s">
        <v>465</v>
      </c>
      <c r="B3643" s="36" t="s">
        <v>463</v>
      </c>
      <c r="C3643" s="33" t="n">
        <f aca="false">MAX(Assumptions!$E$55*(Assumptions!$E$51*12/Assumptions!$E$52)+Assumptions!$E$56*(Assumptions!$E$53*12/Assumptions!$E$54),(((('Market Sizing'!$E$27*Assumptions!$E$41*Assumptions!$E$42*Assumptions!$E$43)*Assumptions!$E$44)*Assumptions!$E$45*Assumptions!$E$46+('Market Sizing'!$E$27*Assumptions!$E$41*Assumptions!$E$42*Assumptions!$E$43)*Assumptions!$E$47+('Market Sizing'!$E$27*Assumptions!$E$41*Assumptions!$E$42*Assumptions!$E$43)*Assumptions!$E$48*Assumptions!$E$49)*(Assumptions!$E$51*12/Assumptions!$E$52)+((('Market Sizing'!$E$27*Assumptions!$E$41*Assumptions!$E$42*Assumptions!$E$43)*Assumptions!$E$44)*Assumptions!$E$45+('Market Sizing'!$E$27*Assumptions!$E$41*Assumptions!$E$42*Assumptions!$E$43)+('Market Sizing'!$E$27*Assumptions!$E$41*Assumptions!$E$42*Assumptions!$E$43)*Assumptions!$E$48)*Assumptions!$E$50*(Assumptions!$E$53*12/Assumptions!$E$54)))*(1-Assumptions!$E$57)</f>
        <v>61778.2562194386</v>
      </c>
    </row>
    <row r="3644" customFormat="false" ht="23.85" hidden="false" customHeight="false" outlineLevel="0" collapsed="false">
      <c r="A3644" s="4" t="s">
        <v>466</v>
      </c>
      <c r="B3644" s="36" t="s">
        <v>467</v>
      </c>
      <c r="C3644" s="37" t="n">
        <f aca="false">Assumptions!$E$17*Assumptions!$D$106</f>
        <v>0.4</v>
      </c>
    </row>
    <row r="3645" customFormat="false" ht="23.85" hidden="false" customHeight="false" outlineLevel="0" collapsed="false">
      <c r="A3645" s="4" t="s">
        <v>468</v>
      </c>
      <c r="B3645" s="36" t="s">
        <v>469</v>
      </c>
      <c r="C3645" s="33" t="n">
        <f aca="false">Assumptions!$E$68/Assumptions!$E$69</f>
        <v>285714.285714286</v>
      </c>
    </row>
    <row r="3646" customFormat="false" ht="23.85" hidden="false" customHeight="false" outlineLevel="0" collapsed="false">
      <c r="A3646" s="4" t="s">
        <v>470</v>
      </c>
      <c r="B3646" s="36" t="s">
        <v>471</v>
      </c>
      <c r="C3646" s="33" t="n">
        <f aca="false">Assumptions!$E$66*Assumptions!$E$67/4</f>
        <v>153125</v>
      </c>
    </row>
    <row r="3647" customFormat="false" ht="15" hidden="false" customHeight="false" outlineLevel="0" collapsed="false">
      <c r="A3647" s="4" t="s">
        <v>472</v>
      </c>
      <c r="B3647" s="36"/>
      <c r="C3647" s="38" t="n">
        <f aca="false">$C$3645/Assumptions!$E$66/Assumptions!$E$67</f>
        <v>0.466472303206997</v>
      </c>
    </row>
    <row r="3648" customFormat="false" ht="15" hidden="false" customHeight="false" outlineLevel="0" collapsed="false">
      <c r="A3648" s="4" t="s">
        <v>473</v>
      </c>
      <c r="B3648" s="36"/>
      <c r="C3648" s="33" t="n">
        <f aca="false">MAX(0,Assumptions!$D$103-Assumptions!$E$78)</f>
        <v>0</v>
      </c>
    </row>
    <row r="3649" customFormat="false" ht="15" hidden="false" customHeight="false" outlineLevel="0" collapsed="false">
      <c r="A3649" s="35" t="s">
        <v>474</v>
      </c>
      <c r="B3649" s="35" t="s">
        <v>444</v>
      </c>
      <c r="C3649" s="6" t="s">
        <v>354</v>
      </c>
      <c r="D3649" s="6" t="s">
        <v>355</v>
      </c>
      <c r="E3649" s="6" t="s">
        <v>356</v>
      </c>
      <c r="F3649" s="6" t="s">
        <v>357</v>
      </c>
      <c r="G3649" s="6" t="s">
        <v>358</v>
      </c>
      <c r="H3649" s="6" t="s">
        <v>359</v>
      </c>
      <c r="I3649" s="6" t="s">
        <v>360</v>
      </c>
      <c r="J3649" s="6" t="s">
        <v>361</v>
      </c>
      <c r="K3649" s="6" t="s">
        <v>362</v>
      </c>
      <c r="L3649" s="6" t="s">
        <v>363</v>
      </c>
      <c r="M3649" s="6" t="s">
        <v>364</v>
      </c>
      <c r="N3649" s="6" t="s">
        <v>365</v>
      </c>
      <c r="P3649" s="6" t="s">
        <v>445</v>
      </c>
      <c r="Q3649" s="6" t="s">
        <v>446</v>
      </c>
      <c r="R3649" s="6" t="s">
        <v>447</v>
      </c>
      <c r="S3649" s="6" t="s">
        <v>448</v>
      </c>
    </row>
    <row r="3650" customFormat="false" ht="15" hidden="false" customHeight="false" outlineLevel="0" collapsed="false">
      <c r="A3650" s="4" t="s">
        <v>475</v>
      </c>
      <c r="B3650" s="36" t="s">
        <v>133</v>
      </c>
      <c r="C3650" s="39" t="n">
        <v>1</v>
      </c>
      <c r="D3650" s="39" t="n">
        <v>2</v>
      </c>
      <c r="E3650" s="39" t="n">
        <v>3</v>
      </c>
      <c r="F3650" s="39" t="n">
        <v>4</v>
      </c>
      <c r="G3650" s="39" t="n">
        <v>5</v>
      </c>
      <c r="H3650" s="39" t="n">
        <v>6</v>
      </c>
      <c r="I3650" s="39" t="n">
        <v>7</v>
      </c>
      <c r="J3650" s="39" t="n">
        <v>8</v>
      </c>
      <c r="K3650" s="39" t="n">
        <v>9</v>
      </c>
      <c r="L3650" s="39" t="n">
        <v>10</v>
      </c>
      <c r="M3650" s="39" t="n">
        <v>11</v>
      </c>
      <c r="N3650" s="39" t="n">
        <v>12</v>
      </c>
      <c r="P3650" s="40"/>
      <c r="Q3650" s="40"/>
      <c r="R3650" s="40"/>
      <c r="S3650" s="41"/>
    </row>
    <row r="3651" customFormat="false" ht="15" hidden="false" customHeight="false" outlineLevel="0" collapsed="false">
      <c r="A3651" s="4" t="s">
        <v>476</v>
      </c>
      <c r="B3651" s="36" t="s">
        <v>343</v>
      </c>
      <c r="C3651" s="39" t="n">
        <f aca="false">IF(C3650&lt;=Assumptions!$E$84,1,0)</f>
        <v>1</v>
      </c>
      <c r="D3651" s="39" t="n">
        <f aca="false">IF(D3650&lt;=Assumptions!$E$84,1,0)</f>
        <v>1</v>
      </c>
      <c r="E3651" s="39" t="n">
        <f aca="false">IF(E3650&lt;=Assumptions!$E$84,1,0)</f>
        <v>1</v>
      </c>
      <c r="F3651" s="39" t="n">
        <f aca="false">IF(F3650&lt;=Assumptions!$E$84,1,0)</f>
        <v>1</v>
      </c>
      <c r="G3651" s="39" t="n">
        <f aca="false">IF(G3650&lt;=Assumptions!$E$84,1,0)</f>
        <v>1</v>
      </c>
      <c r="H3651" s="39" t="n">
        <f aca="false">IF(H3650&lt;=Assumptions!$E$84,1,0)</f>
        <v>1</v>
      </c>
      <c r="I3651" s="39" t="n">
        <f aca="false">IF(I3650&lt;=Assumptions!$E$84,1,0)</f>
        <v>1</v>
      </c>
      <c r="J3651" s="39" t="n">
        <f aca="false">IF(J3650&lt;=Assumptions!$E$84,1,0)</f>
        <v>1</v>
      </c>
      <c r="K3651" s="39" t="n">
        <f aca="false">IF(K3650&lt;=Assumptions!$E$84,1,0)</f>
        <v>1</v>
      </c>
      <c r="L3651" s="39" t="n">
        <f aca="false">IF(L3650&lt;=Assumptions!$E$84,1,0)</f>
        <v>1</v>
      </c>
      <c r="M3651" s="39" t="n">
        <f aca="false">IF(M3650&lt;=Assumptions!$E$84,1,0)</f>
        <v>1</v>
      </c>
      <c r="N3651" s="39" t="n">
        <f aca="false">IF(N3650&lt;=Assumptions!$E$84,1,0)</f>
        <v>1</v>
      </c>
      <c r="P3651" s="40"/>
      <c r="Q3651" s="40"/>
      <c r="R3651" s="40"/>
      <c r="S3651" s="41"/>
    </row>
    <row r="3652" customFormat="false" ht="15" hidden="false" customHeight="false" outlineLevel="0" collapsed="false">
      <c r="A3652" s="4" t="s">
        <v>477</v>
      </c>
      <c r="B3652" s="36" t="s">
        <v>478</v>
      </c>
      <c r="C3652" s="42" t="n">
        <f aca="false">IF(C3650=Assumptions!$E$13,0.5,IF(C3650&gt;Assumptions!$E$13,1,0))</f>
        <v>0.5</v>
      </c>
      <c r="D3652" s="42" t="n">
        <f aca="false">IF(D3650=Assumptions!$E$13,0.5,IF(D3650&gt;Assumptions!$E$13,1,0))</f>
        <v>1</v>
      </c>
      <c r="E3652" s="42" t="n">
        <f aca="false">IF(E3650=Assumptions!$E$13,0.5,IF(E3650&gt;Assumptions!$E$13,1,0))</f>
        <v>1</v>
      </c>
      <c r="F3652" s="42" t="n">
        <f aca="false">IF(F3650=Assumptions!$E$13,0.5,IF(F3650&gt;Assumptions!$E$13,1,0))</f>
        <v>1</v>
      </c>
      <c r="G3652" s="42" t="n">
        <f aca="false">IF(G3650=Assumptions!$E$13,0.5,IF(G3650&gt;Assumptions!$E$13,1,0))</f>
        <v>1</v>
      </c>
      <c r="H3652" s="42" t="n">
        <f aca="false">IF(H3650=Assumptions!$E$13,0.5,IF(H3650&gt;Assumptions!$E$13,1,0))</f>
        <v>1</v>
      </c>
      <c r="I3652" s="42" t="n">
        <f aca="false">IF(I3650=Assumptions!$E$13,0.5,IF(I3650&gt;Assumptions!$E$13,1,0))</f>
        <v>1</v>
      </c>
      <c r="J3652" s="42" t="n">
        <f aca="false">IF(J3650=Assumptions!$E$13,0.5,IF(J3650&gt;Assumptions!$E$13,1,0))</f>
        <v>1</v>
      </c>
      <c r="K3652" s="42" t="n">
        <f aca="false">IF(K3650=Assumptions!$E$13,0.5,IF(K3650&gt;Assumptions!$E$13,1,0))</f>
        <v>1</v>
      </c>
      <c r="L3652" s="42" t="n">
        <f aca="false">IF(L3650=Assumptions!$E$13,0.5,IF(L3650&gt;Assumptions!$E$13,1,0))</f>
        <v>1</v>
      </c>
      <c r="M3652" s="42" t="n">
        <f aca="false">IF(M3650=Assumptions!$E$13,0.5,IF(M3650&gt;Assumptions!$E$13,1,0))</f>
        <v>1</v>
      </c>
      <c r="N3652" s="42" t="n">
        <f aca="false">IF(N3650=Assumptions!$E$13,0.5,IF(N3650&gt;Assumptions!$E$13,1,0))</f>
        <v>1</v>
      </c>
      <c r="P3652" s="43"/>
      <c r="Q3652" s="43"/>
      <c r="R3652" s="43"/>
      <c r="S3652" s="44"/>
    </row>
    <row r="3653" customFormat="false" ht="15" hidden="false" customHeight="false" outlineLevel="0" collapsed="false">
      <c r="A3653" s="4" t="s">
        <v>479</v>
      </c>
      <c r="B3653" s="36" t="s">
        <v>478</v>
      </c>
      <c r="C3653" s="42" t="n">
        <f aca="false">IF(C3650=Assumptions!$E$14,0.5,IF(C3650&gt;Assumptions!$E$14,1,0))</f>
        <v>0</v>
      </c>
      <c r="D3653" s="42" t="n">
        <f aca="false">IF(D3650=Assumptions!$E$14,0.5,IF(D3650&gt;Assumptions!$E$14,1,0))</f>
        <v>0</v>
      </c>
      <c r="E3653" s="42" t="n">
        <f aca="false">IF(E3650=Assumptions!$E$14,0.5,IF(E3650&gt;Assumptions!$E$14,1,0))</f>
        <v>0</v>
      </c>
      <c r="F3653" s="42" t="n">
        <f aca="false">IF(F3650=Assumptions!$E$14,0.5,IF(F3650&gt;Assumptions!$E$14,1,0))</f>
        <v>0</v>
      </c>
      <c r="G3653" s="42" t="n">
        <f aca="false">IF(G3650=Assumptions!$E$14,0.5,IF(G3650&gt;Assumptions!$E$14,1,0))</f>
        <v>0.5</v>
      </c>
      <c r="H3653" s="42" t="n">
        <f aca="false">IF(H3650=Assumptions!$E$14,0.5,IF(H3650&gt;Assumptions!$E$14,1,0))</f>
        <v>1</v>
      </c>
      <c r="I3653" s="42" t="n">
        <f aca="false">IF(I3650=Assumptions!$E$14,0.5,IF(I3650&gt;Assumptions!$E$14,1,0))</f>
        <v>1</v>
      </c>
      <c r="J3653" s="42" t="n">
        <f aca="false">IF(J3650=Assumptions!$E$14,0.5,IF(J3650&gt;Assumptions!$E$14,1,0))</f>
        <v>1</v>
      </c>
      <c r="K3653" s="42" t="n">
        <f aca="false">IF(K3650=Assumptions!$E$14,0.5,IF(K3650&gt;Assumptions!$E$14,1,0))</f>
        <v>1</v>
      </c>
      <c r="L3653" s="42" t="n">
        <f aca="false">IF(L3650=Assumptions!$E$14,0.5,IF(L3650&gt;Assumptions!$E$14,1,0))</f>
        <v>1</v>
      </c>
      <c r="M3653" s="42" t="n">
        <f aca="false">IF(M3650=Assumptions!$E$14,0.5,IF(M3650&gt;Assumptions!$E$14,1,0))</f>
        <v>1</v>
      </c>
      <c r="N3653" s="42" t="n">
        <f aca="false">IF(N3650=Assumptions!$E$14,0.5,IF(N3650&gt;Assumptions!$E$14,1,0))</f>
        <v>1</v>
      </c>
      <c r="P3653" s="43"/>
      <c r="Q3653" s="43"/>
      <c r="R3653" s="43"/>
      <c r="S3653" s="44"/>
    </row>
    <row r="3654" customFormat="false" ht="15" hidden="false" customHeight="false" outlineLevel="0" collapsed="false">
      <c r="A3654" s="4" t="s">
        <v>480</v>
      </c>
      <c r="B3654" s="36" t="s">
        <v>478</v>
      </c>
      <c r="C3654" s="42" t="n">
        <f aca="false">IF(C3650=Assumptions!$E$15,0.5,IF(C3650&gt;Assumptions!$E$15,1,0))</f>
        <v>0</v>
      </c>
      <c r="D3654" s="42" t="n">
        <f aca="false">IF(D3650=Assumptions!$E$15,0.5,IF(D3650&gt;Assumptions!$E$15,1,0))</f>
        <v>0</v>
      </c>
      <c r="E3654" s="42" t="n">
        <f aca="false">IF(E3650=Assumptions!$E$15,0.5,IF(E3650&gt;Assumptions!$E$15,1,0))</f>
        <v>0</v>
      </c>
      <c r="F3654" s="42" t="n">
        <f aca="false">IF(F3650=Assumptions!$E$15,0.5,IF(F3650&gt;Assumptions!$E$15,1,0))</f>
        <v>0</v>
      </c>
      <c r="G3654" s="42" t="n">
        <f aca="false">IF(G3650=Assumptions!$E$15,0.5,IF(G3650&gt;Assumptions!$E$15,1,0))</f>
        <v>0</v>
      </c>
      <c r="H3654" s="42" t="n">
        <f aca="false">IF(H3650=Assumptions!$E$15,0.5,IF(H3650&gt;Assumptions!$E$15,1,0))</f>
        <v>0</v>
      </c>
      <c r="I3654" s="42" t="n">
        <f aca="false">IF(I3650=Assumptions!$E$15,0.5,IF(I3650&gt;Assumptions!$E$15,1,0))</f>
        <v>0.5</v>
      </c>
      <c r="J3654" s="42" t="n">
        <f aca="false">IF(J3650=Assumptions!$E$15,0.5,IF(J3650&gt;Assumptions!$E$15,1,0))</f>
        <v>1</v>
      </c>
      <c r="K3654" s="42" t="n">
        <f aca="false">IF(K3650=Assumptions!$E$15,0.5,IF(K3650&gt;Assumptions!$E$15,1,0))</f>
        <v>1</v>
      </c>
      <c r="L3654" s="42" t="n">
        <f aca="false">IF(L3650=Assumptions!$E$15,0.5,IF(L3650&gt;Assumptions!$E$15,1,0))</f>
        <v>1</v>
      </c>
      <c r="M3654" s="42" t="n">
        <f aca="false">IF(M3650=Assumptions!$E$15,0.5,IF(M3650&gt;Assumptions!$E$15,1,0))</f>
        <v>1</v>
      </c>
      <c r="N3654" s="42" t="n">
        <f aca="false">IF(N3650=Assumptions!$E$15,0.5,IF(N3650&gt;Assumptions!$E$15,1,0))</f>
        <v>1</v>
      </c>
      <c r="P3654" s="43"/>
      <c r="Q3654" s="43"/>
      <c r="R3654" s="43"/>
      <c r="S3654" s="44"/>
    </row>
    <row r="3655" customFormat="false" ht="15" hidden="false" customHeight="false" outlineLevel="0" collapsed="false">
      <c r="A3655" s="4" t="s">
        <v>481</v>
      </c>
      <c r="B3655" s="36" t="s">
        <v>478</v>
      </c>
      <c r="C3655" s="45" t="n">
        <f aca="false">Assumptions!$D$21^(MAX(0,C3650-Assumptions!$E$13)/4)</f>
        <v>1</v>
      </c>
      <c r="D3655" s="45" t="n">
        <f aca="false">Assumptions!$D$21^(MAX(0,D3650-Assumptions!$E$13)/4)</f>
        <v>0.880111736793393</v>
      </c>
      <c r="E3655" s="45" t="n">
        <f aca="false">Assumptions!$D$21^(MAX(0,E3650-Assumptions!$E$13)/4)</f>
        <v>0.774596669241483</v>
      </c>
      <c r="F3655" s="45" t="n">
        <f aca="false">Assumptions!$D$21^(MAX(0,F3650-Assumptions!$E$13)/4)</f>
        <v>0.6817316198805</v>
      </c>
      <c r="G3655" s="45" t="n">
        <f aca="false">Assumptions!$D$21^(MAX(0,G3650-Assumptions!$E$13)/4)</f>
        <v>0.6</v>
      </c>
      <c r="H3655" s="45" t="n">
        <f aca="false">Assumptions!$D$21^(MAX(0,H3650-Assumptions!$E$13)/4)</f>
        <v>0.528067042076036</v>
      </c>
      <c r="I3655" s="45" t="n">
        <f aca="false">Assumptions!$D$21^(MAX(0,I3650-Assumptions!$E$13)/4)</f>
        <v>0.46475800154489</v>
      </c>
      <c r="J3655" s="45" t="n">
        <f aca="false">Assumptions!$D$21^(MAX(0,J3650-Assumptions!$E$13)/4)</f>
        <v>0.4090389719283</v>
      </c>
      <c r="K3655" s="45" t="n">
        <f aca="false">Assumptions!$D$21^(MAX(0,K3650-Assumptions!$E$13)/4)</f>
        <v>0.36</v>
      </c>
      <c r="L3655" s="45" t="n">
        <f aca="false">Assumptions!$D$21^(MAX(0,L3650-Assumptions!$E$13)/4)</f>
        <v>0.316840225245622</v>
      </c>
      <c r="M3655" s="45" t="n">
        <f aca="false">Assumptions!$D$21^(MAX(0,M3650-Assumptions!$E$13)/4)</f>
        <v>0.278854800926934</v>
      </c>
      <c r="N3655" s="45" t="n">
        <f aca="false">Assumptions!$D$21^(MAX(0,N3650-Assumptions!$E$13)/4)</f>
        <v>0.24542338315698</v>
      </c>
      <c r="P3655" s="46"/>
      <c r="Q3655" s="46"/>
      <c r="R3655" s="46"/>
      <c r="S3655" s="47"/>
    </row>
    <row r="3656" customFormat="false" ht="15" hidden="false" customHeight="false" outlineLevel="0" collapsed="false">
      <c r="A3656" s="4" t="s">
        <v>482</v>
      </c>
      <c r="B3656" s="36" t="s">
        <v>478</v>
      </c>
      <c r="C3656" s="45" t="n">
        <f aca="false">Assumptions!$D$21^(MAX(0,C3650-Assumptions!$E$14)/4)</f>
        <v>1</v>
      </c>
      <c r="D3656" s="45" t="n">
        <f aca="false">Assumptions!$D$21^(MAX(0,D3650-Assumptions!$E$14)/4)</f>
        <v>1</v>
      </c>
      <c r="E3656" s="45" t="n">
        <f aca="false">Assumptions!$D$21^(MAX(0,E3650-Assumptions!$E$14)/4)</f>
        <v>1</v>
      </c>
      <c r="F3656" s="45" t="n">
        <f aca="false">Assumptions!$D$21^(MAX(0,F3650-Assumptions!$E$14)/4)</f>
        <v>1</v>
      </c>
      <c r="G3656" s="45" t="n">
        <f aca="false">Assumptions!$D$21^(MAX(0,G3650-Assumptions!$E$14)/4)</f>
        <v>1</v>
      </c>
      <c r="H3656" s="45" t="n">
        <f aca="false">Assumptions!$D$21^(MAX(0,H3650-Assumptions!$E$14)/4)</f>
        <v>0.880111736793393</v>
      </c>
      <c r="I3656" s="45" t="n">
        <f aca="false">Assumptions!$D$21^(MAX(0,I3650-Assumptions!$E$14)/4)</f>
        <v>0.774596669241483</v>
      </c>
      <c r="J3656" s="45" t="n">
        <f aca="false">Assumptions!$D$21^(MAX(0,J3650-Assumptions!$E$14)/4)</f>
        <v>0.6817316198805</v>
      </c>
      <c r="K3656" s="45" t="n">
        <f aca="false">Assumptions!$D$21^(MAX(0,K3650-Assumptions!$E$14)/4)</f>
        <v>0.6</v>
      </c>
      <c r="L3656" s="45" t="n">
        <f aca="false">Assumptions!$D$21^(MAX(0,L3650-Assumptions!$E$14)/4)</f>
        <v>0.528067042076036</v>
      </c>
      <c r="M3656" s="45" t="n">
        <f aca="false">Assumptions!$D$21^(MAX(0,M3650-Assumptions!$E$14)/4)</f>
        <v>0.46475800154489</v>
      </c>
      <c r="N3656" s="45" t="n">
        <f aca="false">Assumptions!$D$21^(MAX(0,N3650-Assumptions!$E$14)/4)</f>
        <v>0.4090389719283</v>
      </c>
      <c r="P3656" s="46"/>
      <c r="Q3656" s="46"/>
      <c r="R3656" s="46"/>
      <c r="S3656" s="47"/>
    </row>
    <row r="3657" customFormat="false" ht="15" hidden="false" customHeight="false" outlineLevel="0" collapsed="false">
      <c r="A3657" s="4" t="s">
        <v>483</v>
      </c>
      <c r="B3657" s="36" t="s">
        <v>478</v>
      </c>
      <c r="C3657" s="45" t="n">
        <f aca="false">Assumptions!$D$21^(MAX(0,C3650-Assumptions!$E$15)/4)</f>
        <v>1</v>
      </c>
      <c r="D3657" s="45" t="n">
        <f aca="false">Assumptions!$D$21^(MAX(0,D3650-Assumptions!$E$15)/4)</f>
        <v>1</v>
      </c>
      <c r="E3657" s="45" t="n">
        <f aca="false">Assumptions!$D$21^(MAX(0,E3650-Assumptions!$E$15)/4)</f>
        <v>1</v>
      </c>
      <c r="F3657" s="45" t="n">
        <f aca="false">Assumptions!$D$21^(MAX(0,F3650-Assumptions!$E$15)/4)</f>
        <v>1</v>
      </c>
      <c r="G3657" s="45" t="n">
        <f aca="false">Assumptions!$D$21^(MAX(0,G3650-Assumptions!$E$15)/4)</f>
        <v>1</v>
      </c>
      <c r="H3657" s="45" t="n">
        <f aca="false">Assumptions!$D$21^(MAX(0,H3650-Assumptions!$E$15)/4)</f>
        <v>1</v>
      </c>
      <c r="I3657" s="45" t="n">
        <f aca="false">Assumptions!$D$21^(MAX(0,I3650-Assumptions!$E$15)/4)</f>
        <v>1</v>
      </c>
      <c r="J3657" s="45" t="n">
        <f aca="false">Assumptions!$D$21^(MAX(0,J3650-Assumptions!$E$15)/4)</f>
        <v>0.880111736793393</v>
      </c>
      <c r="K3657" s="45" t="n">
        <f aca="false">Assumptions!$D$21^(MAX(0,K3650-Assumptions!$E$15)/4)</f>
        <v>0.774596669241483</v>
      </c>
      <c r="L3657" s="45" t="n">
        <f aca="false">Assumptions!$D$21^(MAX(0,L3650-Assumptions!$E$15)/4)</f>
        <v>0.6817316198805</v>
      </c>
      <c r="M3657" s="45" t="n">
        <f aca="false">Assumptions!$D$21^(MAX(0,M3650-Assumptions!$E$15)/4)</f>
        <v>0.6</v>
      </c>
      <c r="N3657" s="45" t="n">
        <f aca="false">Assumptions!$D$21^(MAX(0,N3650-Assumptions!$E$15)/4)</f>
        <v>0.528067042076036</v>
      </c>
      <c r="P3657" s="46"/>
      <c r="Q3657" s="46"/>
      <c r="R3657" s="46"/>
      <c r="S3657" s="47"/>
    </row>
    <row r="3658" customFormat="false" ht="15" hidden="false" customHeight="false" outlineLevel="0" collapsed="false">
      <c r="A3658" s="4" t="s">
        <v>484</v>
      </c>
      <c r="B3658" s="36" t="s">
        <v>485</v>
      </c>
      <c r="C3658" s="39" t="n">
        <f aca="false">$C$3629*C3652+$C$3633*C3653+$C$3637*C3654</f>
        <v>421.51972352</v>
      </c>
      <c r="D3658" s="39" t="n">
        <f aca="false">$C$3629*D3652+$C$3633*D3653+$C$3637*D3654</f>
        <v>843.03944704</v>
      </c>
      <c r="E3658" s="39" t="n">
        <f aca="false">$C$3629*E3652+$C$3633*E3653+$C$3637*E3654</f>
        <v>843.03944704</v>
      </c>
      <c r="F3658" s="39" t="n">
        <f aca="false">$C$3629*F3652+$C$3633*F3653+$C$3637*F3654</f>
        <v>843.03944704</v>
      </c>
      <c r="G3658" s="39" t="n">
        <f aca="false">$C$3629*G3652+$C$3633*G3653+$C$3637*G3654</f>
        <v>1149.32798176</v>
      </c>
      <c r="H3658" s="39" t="n">
        <f aca="false">$C$3629*H3652+$C$3633*H3653+$C$3637*H3654</f>
        <v>1455.61651648</v>
      </c>
      <c r="I3658" s="39" t="n">
        <f aca="false">$C$3629*I3652+$C$3633*I3653+$C$3637*I3654</f>
        <v>2486.00303616</v>
      </c>
      <c r="J3658" s="39" t="n">
        <f aca="false">$C$3629*J3652+$C$3633*J3653+$C$3637*J3654</f>
        <v>3516.38955584</v>
      </c>
      <c r="K3658" s="39" t="n">
        <f aca="false">$C$3629*K3652+$C$3633*K3653+$C$3637*K3654</f>
        <v>3516.38955584</v>
      </c>
      <c r="L3658" s="39" t="n">
        <f aca="false">$C$3629*L3652+$C$3633*L3653+$C$3637*L3654</f>
        <v>3516.38955584</v>
      </c>
      <c r="M3658" s="39" t="n">
        <f aca="false">$C$3629*M3652+$C$3633*M3653+$C$3637*M3654</f>
        <v>3516.38955584</v>
      </c>
      <c r="N3658" s="39" t="n">
        <f aca="false">$C$3629*N3652+$C$3633*N3653+$C$3637*N3654</f>
        <v>3516.38955584</v>
      </c>
      <c r="P3658" s="40" t="n">
        <f aca="false">F3658</f>
        <v>843.03944704</v>
      </c>
      <c r="Q3658" s="40" t="n">
        <f aca="false">J3658</f>
        <v>3516.38955584</v>
      </c>
      <c r="R3658" s="40" t="n">
        <f aca="false">N3658</f>
        <v>3516.38955584</v>
      </c>
      <c r="S3658" s="41" t="n">
        <f aca="false">R3658</f>
        <v>3516.38955584</v>
      </c>
    </row>
    <row r="3659" customFormat="false" ht="15" hidden="false" customHeight="false" outlineLevel="0" collapsed="false">
      <c r="A3659" s="4" t="s">
        <v>486</v>
      </c>
      <c r="B3659" s="36" t="s">
        <v>485</v>
      </c>
      <c r="C3659" s="39" t="n">
        <f aca="false">$C$3630*C3652+$C$3634*C3653+$C$3638*C3654</f>
        <v>105.59808</v>
      </c>
      <c r="D3659" s="39" t="n">
        <f aca="false">$C$3630*D3652+$C$3634*D3653+$C$3638*D3654</f>
        <v>211.19616</v>
      </c>
      <c r="E3659" s="39" t="n">
        <f aca="false">$C$3630*E3652+$C$3634*E3653+$C$3638*E3654</f>
        <v>211.19616</v>
      </c>
      <c r="F3659" s="39" t="n">
        <f aca="false">$C$3630*F3652+$C$3634*F3653+$C$3638*F3654</f>
        <v>211.19616</v>
      </c>
      <c r="G3659" s="39" t="n">
        <f aca="false">$C$3630*G3652+$C$3634*G3653+$C$3638*G3654</f>
        <v>282.24672</v>
      </c>
      <c r="H3659" s="39" t="n">
        <f aca="false">$C$3630*H3652+$C$3634*H3653+$C$3638*H3654</f>
        <v>353.29728</v>
      </c>
      <c r="I3659" s="39" t="n">
        <f aca="false">$C$3630*I3652+$C$3634*I3653+$C$3638*I3654</f>
        <v>567.53536</v>
      </c>
      <c r="J3659" s="39" t="n">
        <f aca="false">$C$3630*J3652+$C$3634*J3653+$C$3638*J3654</f>
        <v>781.77344</v>
      </c>
      <c r="K3659" s="39" t="n">
        <f aca="false">$C$3630*K3652+$C$3634*K3653+$C$3638*K3654</f>
        <v>781.77344</v>
      </c>
      <c r="L3659" s="39" t="n">
        <f aca="false">$C$3630*L3652+$C$3634*L3653+$C$3638*L3654</f>
        <v>781.77344</v>
      </c>
      <c r="M3659" s="39" t="n">
        <f aca="false">$C$3630*M3652+$C$3634*M3653+$C$3638*M3654</f>
        <v>781.77344</v>
      </c>
      <c r="N3659" s="39" t="n">
        <f aca="false">$C$3630*N3652+$C$3634*N3653+$C$3638*N3654</f>
        <v>781.77344</v>
      </c>
      <c r="P3659" s="40" t="n">
        <f aca="false">F3659</f>
        <v>211.19616</v>
      </c>
      <c r="Q3659" s="40" t="n">
        <f aca="false">J3659</f>
        <v>781.77344</v>
      </c>
      <c r="R3659" s="40" t="n">
        <f aca="false">N3659</f>
        <v>781.77344</v>
      </c>
      <c r="S3659" s="41" t="n">
        <f aca="false">R3659</f>
        <v>781.77344</v>
      </c>
    </row>
    <row r="3660" customFormat="false" ht="15" hidden="false" customHeight="false" outlineLevel="0" collapsed="false">
      <c r="A3660" s="4" t="s">
        <v>487</v>
      </c>
      <c r="B3660" s="36" t="s">
        <v>485</v>
      </c>
      <c r="C3660" s="39" t="n">
        <f aca="false">$C$3631*C3652+$C$3635*C3653+$C$3639*C3654</f>
        <v>24.76992</v>
      </c>
      <c r="D3660" s="39" t="n">
        <f aca="false">$C$3631*D3652+$C$3635*D3653+$C$3639*D3654</f>
        <v>49.53984</v>
      </c>
      <c r="E3660" s="39" t="n">
        <f aca="false">$C$3631*E3652+$C$3635*E3653+$C$3639*E3654</f>
        <v>49.53984</v>
      </c>
      <c r="F3660" s="39" t="n">
        <f aca="false">$C$3631*F3652+$C$3635*F3653+$C$3639*F3654</f>
        <v>49.53984</v>
      </c>
      <c r="G3660" s="39" t="n">
        <f aca="false">$C$3631*G3652+$C$3635*G3653+$C$3639*G3654</f>
        <v>61.9248</v>
      </c>
      <c r="H3660" s="39" t="n">
        <f aca="false">$C$3631*H3652+$C$3635*H3653+$C$3639*H3654</f>
        <v>74.30976</v>
      </c>
      <c r="I3660" s="39" t="n">
        <f aca="false">$C$3631*I3652+$C$3635*I3653+$C$3639*I3654</f>
        <v>114.072</v>
      </c>
      <c r="J3660" s="39" t="n">
        <f aca="false">$C$3631*J3652+$C$3635*J3653+$C$3639*J3654</f>
        <v>153.83424</v>
      </c>
      <c r="K3660" s="39" t="n">
        <f aca="false">$C$3631*K3652+$C$3635*K3653+$C$3639*K3654</f>
        <v>153.83424</v>
      </c>
      <c r="L3660" s="39" t="n">
        <f aca="false">$C$3631*L3652+$C$3635*L3653+$C$3639*L3654</f>
        <v>153.83424</v>
      </c>
      <c r="M3660" s="39" t="n">
        <f aca="false">$C$3631*M3652+$C$3635*M3653+$C$3639*M3654</f>
        <v>153.83424</v>
      </c>
      <c r="N3660" s="39" t="n">
        <f aca="false">$C$3631*N3652+$C$3635*N3653+$C$3639*N3654</f>
        <v>153.83424</v>
      </c>
      <c r="P3660" s="40" t="n">
        <f aca="false">F3660</f>
        <v>49.53984</v>
      </c>
      <c r="Q3660" s="40" t="n">
        <f aca="false">J3660</f>
        <v>153.83424</v>
      </c>
      <c r="R3660" s="40" t="n">
        <f aca="false">N3660</f>
        <v>153.83424</v>
      </c>
      <c r="S3660" s="41" t="n">
        <f aca="false">R3660</f>
        <v>153.83424</v>
      </c>
    </row>
    <row r="3661" customFormat="false" ht="15" hidden="false" customHeight="false" outlineLevel="0" collapsed="false">
      <c r="A3661" s="4" t="s">
        <v>488</v>
      </c>
      <c r="B3661" s="36" t="s">
        <v>485</v>
      </c>
      <c r="C3661" s="39" t="n">
        <f aca="false">C3658+C3659+C3660</f>
        <v>551.88772352</v>
      </c>
      <c r="D3661" s="39" t="n">
        <f aca="false">D3658+D3659+D3660</f>
        <v>1103.77544704</v>
      </c>
      <c r="E3661" s="39" t="n">
        <f aca="false">E3658+E3659+E3660</f>
        <v>1103.77544704</v>
      </c>
      <c r="F3661" s="39" t="n">
        <f aca="false">F3658+F3659+F3660</f>
        <v>1103.77544704</v>
      </c>
      <c r="G3661" s="39" t="n">
        <f aca="false">G3658+G3659+G3660</f>
        <v>1493.49950176</v>
      </c>
      <c r="H3661" s="39" t="n">
        <f aca="false">H3658+H3659+H3660</f>
        <v>1883.22355648</v>
      </c>
      <c r="I3661" s="39" t="n">
        <f aca="false">I3658+I3659+I3660</f>
        <v>3167.61039616</v>
      </c>
      <c r="J3661" s="39" t="n">
        <f aca="false">J3658+J3659+J3660</f>
        <v>4451.99723584</v>
      </c>
      <c r="K3661" s="39" t="n">
        <f aca="false">K3658+K3659+K3660</f>
        <v>4451.99723584</v>
      </c>
      <c r="L3661" s="39" t="n">
        <f aca="false">L3658+L3659+L3660</f>
        <v>4451.99723584</v>
      </c>
      <c r="M3661" s="39" t="n">
        <f aca="false">M3658+M3659+M3660</f>
        <v>4451.99723584</v>
      </c>
      <c r="N3661" s="39" t="n">
        <f aca="false">N3658+N3659+N3660</f>
        <v>4451.99723584</v>
      </c>
      <c r="P3661" s="40" t="n">
        <f aca="false">F3661</f>
        <v>1103.77544704</v>
      </c>
      <c r="Q3661" s="40" t="n">
        <f aca="false">J3661</f>
        <v>4451.99723584</v>
      </c>
      <c r="R3661" s="40" t="n">
        <f aca="false">N3661</f>
        <v>4451.99723584</v>
      </c>
      <c r="S3661" s="41" t="n">
        <f aca="false">R3661</f>
        <v>4451.99723584</v>
      </c>
    </row>
    <row r="3662" customFormat="false" ht="15" hidden="false" customHeight="false" outlineLevel="0" collapsed="false">
      <c r="A3662" s="4" t="s">
        <v>489</v>
      </c>
      <c r="B3662" s="36" t="s">
        <v>485</v>
      </c>
      <c r="C3662" s="39" t="n">
        <f aca="false">$C$3632*C3652*C3655+$C$3636*C3653*C3656+$C$3640*C3654*C3657</f>
        <v>551.88772352</v>
      </c>
      <c r="D3662" s="39" t="n">
        <f aca="false">$C$3632*D3652*D3655+$C$3636*D3653*D3656+$C$3640*D3654*D3657</f>
        <v>971.445725724279</v>
      </c>
      <c r="E3662" s="39" t="n">
        <f aca="false">$C$3632*E3652*E3655+$C$3636*E3653*E3656+$C$3640*E3654*E3657</f>
        <v>854.980784867713</v>
      </c>
      <c r="F3662" s="39" t="n">
        <f aca="false">$C$3632*F3652*F3655+$C$3636*F3653*F3656+$C$3640*F3654*F3657</f>
        <v>752.478623494902</v>
      </c>
      <c r="G3662" s="39" t="n">
        <f aca="false">$C$3632*G3652*G3655+$C$3636*G3653*G3656+$C$3640*G3654*G3657</f>
        <v>1051.989322944</v>
      </c>
      <c r="H3662" s="39" t="n">
        <f aca="false">$C$3632*H3652*H3655+$C$3636*H3653*H3656+$C$3640*H3654*H3657</f>
        <v>1268.86886477413</v>
      </c>
      <c r="I3662" s="39" t="n">
        <f aca="false">$C$3632*I3652*I3655+$C$3636*I3653*I3656+$C$3640*I3654*I3657</f>
        <v>2401.13322001942</v>
      </c>
      <c r="J3662" s="39" t="n">
        <f aca="false">$C$3632*J3652*J3655+$C$3636*J3653*J3656+$C$3640*J3654*J3657</f>
        <v>3243.66946072895</v>
      </c>
      <c r="K3662" s="39" t="n">
        <f aca="false">$C$3632*K3652*K3655+$C$3636*K3653*K3656+$C$3640*K3654*K3657</f>
        <v>2854.79156266585</v>
      </c>
      <c r="L3662" s="39" t="n">
        <f aca="false">$C$3632*L3652*L3655+$C$3636*L3653*L3656+$C$3640*L3654*L3657</f>
        <v>2512.53556040096</v>
      </c>
      <c r="M3662" s="39" t="n">
        <f aca="false">$C$3632*M3652*M3655+$C$3636*M3653*M3656+$C$3640*M3654*M3657</f>
        <v>2211.31203581965</v>
      </c>
      <c r="N3662" s="39" t="n">
        <f aca="false">$C$3632*N3652*N3655+$C$3636*N3653*N3656+$C$3640*N3654*N3657</f>
        <v>1946.20167643737</v>
      </c>
      <c r="P3662" s="40"/>
      <c r="Q3662" s="40"/>
      <c r="R3662" s="40"/>
      <c r="S3662" s="41"/>
    </row>
    <row r="3663" customFormat="false" ht="15" hidden="false" customHeight="false" outlineLevel="0" collapsed="false">
      <c r="A3663" s="4" t="s">
        <v>490</v>
      </c>
      <c r="B3663" s="36" t="s">
        <v>491</v>
      </c>
      <c r="C3663" s="48" t="n">
        <f aca="false">$C$3644*Assumptions!$E$20*C3651*C3662</f>
        <v>6.62265268224</v>
      </c>
      <c r="D3663" s="48" t="n">
        <f aca="false">$C$3644*Assumptions!$E$20*D3651*D3662</f>
        <v>11.6573487086913</v>
      </c>
      <c r="E3663" s="48" t="n">
        <f aca="false">$C$3644*Assumptions!$E$20*E3651*E3662</f>
        <v>10.2597694184126</v>
      </c>
      <c r="F3663" s="48" t="n">
        <f aca="false">$C$3644*Assumptions!$E$20*F3651*F3662</f>
        <v>9.02974348193882</v>
      </c>
      <c r="G3663" s="48" t="n">
        <f aca="false">$C$3644*Assumptions!$E$20*G3651*G3662</f>
        <v>12.623871875328</v>
      </c>
      <c r="H3663" s="48" t="n">
        <f aca="false">$C$3644*Assumptions!$E$20*H3651*H3662</f>
        <v>15.2264263772896</v>
      </c>
      <c r="I3663" s="48" t="n">
        <f aca="false">$C$3644*Assumptions!$E$20*I3651*I3662</f>
        <v>28.8135986402331</v>
      </c>
      <c r="J3663" s="48" t="n">
        <f aca="false">$C$3644*Assumptions!$E$20*J3651*J3662</f>
        <v>38.9240335287474</v>
      </c>
      <c r="K3663" s="48" t="n">
        <f aca="false">$C$3644*Assumptions!$E$20*K3651*K3662</f>
        <v>34.2574987519902</v>
      </c>
      <c r="L3663" s="48" t="n">
        <f aca="false">$C$3644*Assumptions!$E$20*L3651*L3662</f>
        <v>30.1504267248116</v>
      </c>
      <c r="M3663" s="48" t="n">
        <f aca="false">$C$3644*Assumptions!$E$20*M3651*M3662</f>
        <v>26.5357444298358</v>
      </c>
      <c r="N3663" s="48" t="n">
        <f aca="false">$C$3644*Assumptions!$E$20*N3651*N3662</f>
        <v>23.3544201172485</v>
      </c>
      <c r="P3663" s="49" t="n">
        <f aca="false">SUM(C3663:F3663)</f>
        <v>37.5695142912827</v>
      </c>
      <c r="Q3663" s="49" t="n">
        <f aca="false">SUM(G3663:J3663)</f>
        <v>95.5879304215981</v>
      </c>
      <c r="R3663" s="49" t="n">
        <f aca="false">SUM(K3663:N3663)</f>
        <v>114.298090023886</v>
      </c>
      <c r="S3663" s="50" t="n">
        <f aca="false">SUM(P3663:R3663)</f>
        <v>247.455534736767</v>
      </c>
    </row>
    <row r="3664" customFormat="false" ht="15" hidden="false" customHeight="false" outlineLevel="0" collapsed="false">
      <c r="A3664" s="4" t="s">
        <v>492</v>
      </c>
      <c r="B3664" s="36" t="s">
        <v>321</v>
      </c>
      <c r="C3664" s="48" t="n">
        <f aca="false">Assumptions!$D$111</f>
        <v>0</v>
      </c>
      <c r="D3664" s="48" t="n">
        <f aca="false">Assumptions!$E$111</f>
        <v>0</v>
      </c>
      <c r="E3664" s="48" t="n">
        <f aca="false">Assumptions!$F$111</f>
        <v>0</v>
      </c>
      <c r="F3664" s="48" t="n">
        <f aca="false">Assumptions!$G$111</f>
        <v>0</v>
      </c>
      <c r="G3664" s="48" t="n">
        <f aca="false">Assumptions!$H$111</f>
        <v>0</v>
      </c>
      <c r="H3664" s="48" t="n">
        <f aca="false">Assumptions!$I$111</f>
        <v>0</v>
      </c>
      <c r="I3664" s="48" t="n">
        <f aca="false">Assumptions!$J$111</f>
        <v>0</v>
      </c>
      <c r="J3664" s="48" t="n">
        <f aca="false">Assumptions!$K$111</f>
        <v>0</v>
      </c>
      <c r="K3664" s="48" t="n">
        <f aca="false">Assumptions!$L$111</f>
        <v>0</v>
      </c>
      <c r="L3664" s="48" t="n">
        <f aca="false">Assumptions!$M$111</f>
        <v>0</v>
      </c>
      <c r="M3664" s="48" t="n">
        <f aca="false">Assumptions!$N$111</f>
        <v>0</v>
      </c>
      <c r="N3664" s="48" t="n">
        <f aca="false">Assumptions!$O$111</f>
        <v>0</v>
      </c>
      <c r="P3664" s="49" t="n">
        <f aca="false">F3664</f>
        <v>0</v>
      </c>
      <c r="Q3664" s="49" t="n">
        <f aca="false">J3664</f>
        <v>0</v>
      </c>
      <c r="R3664" s="49" t="n">
        <f aca="false">N3664</f>
        <v>0</v>
      </c>
      <c r="S3664" s="50" t="n">
        <f aca="false">R3664</f>
        <v>0</v>
      </c>
    </row>
    <row r="3665" customFormat="false" ht="15" hidden="false" customHeight="false" outlineLevel="0" collapsed="false">
      <c r="A3665" s="4" t="s">
        <v>493</v>
      </c>
      <c r="B3665" s="36" t="s">
        <v>321</v>
      </c>
      <c r="C3665" s="48" t="n">
        <f aca="false">0</f>
        <v>0</v>
      </c>
      <c r="D3665" s="48" t="n">
        <f aca="false">0.5*C3664</f>
        <v>0</v>
      </c>
      <c r="E3665" s="48" t="n">
        <f aca="false">C3664+0.5*(D3664-C3664)</f>
        <v>0</v>
      </c>
      <c r="F3665" s="48" t="n">
        <f aca="false">D3664+0.5*(E3664-D3664)</f>
        <v>0</v>
      </c>
      <c r="G3665" s="48" t="n">
        <f aca="false">E3664+0.5*(F3664-E3664)</f>
        <v>0</v>
      </c>
      <c r="H3665" s="48" t="n">
        <f aca="false">F3664+0.5*(G3664-F3664)</f>
        <v>0</v>
      </c>
      <c r="I3665" s="48" t="n">
        <f aca="false">G3664+0.5*(H3664-G3664)</f>
        <v>0</v>
      </c>
      <c r="J3665" s="48" t="n">
        <f aca="false">H3664+0.5*(I3664-H3664)</f>
        <v>0</v>
      </c>
      <c r="K3665" s="48" t="n">
        <f aca="false">I3664+0.5*(J3664-I3664)</f>
        <v>0</v>
      </c>
      <c r="L3665" s="48" t="n">
        <f aca="false">J3664+0.5*(K3664-J3664)</f>
        <v>0</v>
      </c>
      <c r="M3665" s="48" t="n">
        <f aca="false">K3664+0.5*(L3664-K3664)</f>
        <v>0</v>
      </c>
      <c r="N3665" s="48" t="n">
        <f aca="false">L3664+0.5*(M3664-L3664)</f>
        <v>0</v>
      </c>
      <c r="P3665" s="49" t="n">
        <f aca="false">F3665</f>
        <v>0</v>
      </c>
      <c r="Q3665" s="49" t="n">
        <f aca="false">J3665</f>
        <v>0</v>
      </c>
      <c r="R3665" s="49" t="n">
        <f aca="false">N3665</f>
        <v>0</v>
      </c>
      <c r="S3665" s="50" t="n">
        <f aca="false">R3665</f>
        <v>0</v>
      </c>
    </row>
    <row r="3666" customFormat="false" ht="15" hidden="false" customHeight="false" outlineLevel="0" collapsed="false">
      <c r="A3666" s="4" t="s">
        <v>494</v>
      </c>
      <c r="B3666" s="36" t="s">
        <v>485</v>
      </c>
      <c r="C3666" s="39" t="n">
        <f aca="false">MIN(C3665*Assumptions!$E$38,C3661*(1-$C$3644))</f>
        <v>0</v>
      </c>
      <c r="D3666" s="39" t="n">
        <f aca="false">MIN(D3665*Assumptions!$E$38,D3661*(1-$C$3644))</f>
        <v>0</v>
      </c>
      <c r="E3666" s="39" t="n">
        <f aca="false">MIN(E3665*Assumptions!$E$38,E3661*(1-$C$3644))</f>
        <v>0</v>
      </c>
      <c r="F3666" s="39" t="n">
        <f aca="false">MIN(F3665*Assumptions!$E$38,F3661*(1-$C$3644))</f>
        <v>0</v>
      </c>
      <c r="G3666" s="39" t="n">
        <f aca="false">MIN(G3665*Assumptions!$E$38,G3661*(1-$C$3644))</f>
        <v>0</v>
      </c>
      <c r="H3666" s="39" t="n">
        <f aca="false">MIN(H3665*Assumptions!$E$38,H3661*(1-$C$3644))</f>
        <v>0</v>
      </c>
      <c r="I3666" s="39" t="n">
        <f aca="false">MIN(I3665*Assumptions!$E$38,I3661*(1-$C$3644))</f>
        <v>0</v>
      </c>
      <c r="J3666" s="39" t="n">
        <f aca="false">MIN(J3665*Assumptions!$E$38,J3661*(1-$C$3644))</f>
        <v>0</v>
      </c>
      <c r="K3666" s="39" t="n">
        <f aca="false">MIN(K3665*Assumptions!$E$38,K3661*(1-$C$3644))</f>
        <v>0</v>
      </c>
      <c r="L3666" s="39" t="n">
        <f aca="false">MIN(L3665*Assumptions!$E$38,L3661*(1-$C$3644))</f>
        <v>0</v>
      </c>
      <c r="M3666" s="39" t="n">
        <f aca="false">MIN(M3665*Assumptions!$E$38,M3661*(1-$C$3644))</f>
        <v>0</v>
      </c>
      <c r="N3666" s="39" t="n">
        <f aca="false">MIN(N3665*Assumptions!$E$38,N3661*(1-$C$3644))</f>
        <v>0</v>
      </c>
      <c r="P3666" s="40" t="n">
        <f aca="false">SUM(C3666:F3666)</f>
        <v>0</v>
      </c>
      <c r="Q3666" s="40" t="n">
        <f aca="false">SUM(G3666:J3666)</f>
        <v>0</v>
      </c>
      <c r="R3666" s="40" t="n">
        <f aca="false">SUM(K3666:N3666)</f>
        <v>0</v>
      </c>
      <c r="S3666" s="41" t="n">
        <f aca="false">SUM(P3666:R3666)</f>
        <v>0</v>
      </c>
    </row>
    <row r="3667" customFormat="false" ht="15" hidden="false" customHeight="false" outlineLevel="0" collapsed="false">
      <c r="A3667" s="4" t="s">
        <v>495</v>
      </c>
      <c r="B3667" s="36" t="s">
        <v>491</v>
      </c>
      <c r="C3667" s="48" t="n">
        <f aca="false">C3666*Assumptions!$E$20*Assumptions!$E$39*IF(C3661&gt;0,C3662/C3661,0)*C3651</f>
        <v>0</v>
      </c>
      <c r="D3667" s="48" t="n">
        <f aca="false">D3666*Assumptions!$E$20*Assumptions!$E$39*IF(D3661&gt;0,D3662/D3661,0)*D3651</f>
        <v>0</v>
      </c>
      <c r="E3667" s="48" t="n">
        <f aca="false">E3666*Assumptions!$E$20*Assumptions!$E$39*IF(E3661&gt;0,E3662/E3661,0)*E3651</f>
        <v>0</v>
      </c>
      <c r="F3667" s="48" t="n">
        <f aca="false">F3666*Assumptions!$E$20*Assumptions!$E$39*IF(F3661&gt;0,F3662/F3661,0)*F3651</f>
        <v>0</v>
      </c>
      <c r="G3667" s="48" t="n">
        <f aca="false">G3666*Assumptions!$E$20*Assumptions!$E$39*IF(G3661&gt;0,G3662/G3661,0)*G3651</f>
        <v>0</v>
      </c>
      <c r="H3667" s="48" t="n">
        <f aca="false">H3666*Assumptions!$E$20*Assumptions!$E$39*IF(H3661&gt;0,H3662/H3661,0)*H3651</f>
        <v>0</v>
      </c>
      <c r="I3667" s="48" t="n">
        <f aca="false">I3666*Assumptions!$E$20*Assumptions!$E$39*IF(I3661&gt;0,I3662/I3661,0)*I3651</f>
        <v>0</v>
      </c>
      <c r="J3667" s="48" t="n">
        <f aca="false">J3666*Assumptions!$E$20*Assumptions!$E$39*IF(J3661&gt;0,J3662/J3661,0)*J3651</f>
        <v>0</v>
      </c>
      <c r="K3667" s="48" t="n">
        <f aca="false">K3666*Assumptions!$E$20*Assumptions!$E$39*IF(K3661&gt;0,K3662/K3661,0)*K3651</f>
        <v>0</v>
      </c>
      <c r="L3667" s="48" t="n">
        <f aca="false">L3666*Assumptions!$E$20*Assumptions!$E$39*IF(L3661&gt;0,L3662/L3661,0)*L3651</f>
        <v>0</v>
      </c>
      <c r="M3667" s="48" t="n">
        <f aca="false">M3666*Assumptions!$E$20*Assumptions!$E$39*IF(M3661&gt;0,M3662/M3661,0)*M3651</f>
        <v>0</v>
      </c>
      <c r="N3667" s="48" t="n">
        <f aca="false">N3666*Assumptions!$E$20*Assumptions!$E$39*IF(N3661&gt;0,N3662/N3661,0)*N3651</f>
        <v>0</v>
      </c>
      <c r="P3667" s="49" t="n">
        <f aca="false">SUM(C3667:F3667)</f>
        <v>0</v>
      </c>
      <c r="Q3667" s="49" t="n">
        <f aca="false">SUM(G3667:J3667)</f>
        <v>0</v>
      </c>
      <c r="R3667" s="49" t="n">
        <f aca="false">SUM(K3667:N3667)</f>
        <v>0</v>
      </c>
      <c r="S3667" s="50" t="n">
        <f aca="false">SUM(P3667:R3667)</f>
        <v>0</v>
      </c>
    </row>
    <row r="3668" customFormat="false" ht="15" hidden="false" customHeight="false" outlineLevel="0" collapsed="false">
      <c r="A3668" s="4" t="s">
        <v>496</v>
      </c>
      <c r="B3668" s="36" t="s">
        <v>497</v>
      </c>
      <c r="C3668" s="48" t="n">
        <f aca="false">IF(AND(C3661&gt;0,$C$3648&gt;0),C3661*Assumptions!$E$24*(1-EXP(-$C$3648/(Assumptions!$E$23*C3661*Assumptions!$E$24))),0)</f>
        <v>0</v>
      </c>
      <c r="D3668" s="48" t="n">
        <f aca="false">IF(AND(D3661&gt;0,$C$3648&gt;0),D3661*Assumptions!$E$24*(1-EXP(-$C$3648/(Assumptions!$E$23*D3661*Assumptions!$E$24))),0)</f>
        <v>0</v>
      </c>
      <c r="E3668" s="48" t="n">
        <f aca="false">IF(AND(E3661&gt;0,$C$3648&gt;0),E3661*Assumptions!$E$24*(1-EXP(-$C$3648/(Assumptions!$E$23*E3661*Assumptions!$E$24))),0)</f>
        <v>0</v>
      </c>
      <c r="F3668" s="48" t="n">
        <f aca="false">IF(AND(F3661&gt;0,$C$3648&gt;0),F3661*Assumptions!$E$24*(1-EXP(-$C$3648/(Assumptions!$E$23*F3661*Assumptions!$E$24))),0)</f>
        <v>0</v>
      </c>
      <c r="G3668" s="48" t="n">
        <f aca="false">IF(AND(G3661&gt;0,$C$3648&gt;0),G3661*Assumptions!$E$24*(1-EXP(-$C$3648/(Assumptions!$E$23*G3661*Assumptions!$E$24))),0)</f>
        <v>0</v>
      </c>
      <c r="H3668" s="48" t="n">
        <f aca="false">IF(AND(H3661&gt;0,$C$3648&gt;0),H3661*Assumptions!$E$24*(1-EXP(-$C$3648/(Assumptions!$E$23*H3661*Assumptions!$E$24))),0)</f>
        <v>0</v>
      </c>
      <c r="I3668" s="48" t="n">
        <f aca="false">IF(AND(I3661&gt;0,$C$3648&gt;0),I3661*Assumptions!$E$24*(1-EXP(-$C$3648/(Assumptions!$E$23*I3661*Assumptions!$E$24))),0)</f>
        <v>0</v>
      </c>
      <c r="J3668" s="48" t="n">
        <f aca="false">IF(AND(J3661&gt;0,$C$3648&gt;0),J3661*Assumptions!$E$24*(1-EXP(-$C$3648/(Assumptions!$E$23*J3661*Assumptions!$E$24))),0)</f>
        <v>0</v>
      </c>
      <c r="K3668" s="48" t="n">
        <f aca="false">IF(AND(K3661&gt;0,$C$3648&gt;0),K3661*Assumptions!$E$24*(1-EXP(-$C$3648/(Assumptions!$E$23*K3661*Assumptions!$E$24))),0)</f>
        <v>0</v>
      </c>
      <c r="L3668" s="48" t="n">
        <f aca="false">IF(AND(L3661&gt;0,$C$3648&gt;0),L3661*Assumptions!$E$24*(1-EXP(-$C$3648/(Assumptions!$E$23*L3661*Assumptions!$E$24))),0)</f>
        <v>0</v>
      </c>
      <c r="M3668" s="48" t="n">
        <f aca="false">IF(AND(M3661&gt;0,$C$3648&gt;0),M3661*Assumptions!$E$24*(1-EXP(-$C$3648/(Assumptions!$E$23*M3661*Assumptions!$E$24))),0)</f>
        <v>0</v>
      </c>
      <c r="N3668" s="48" t="n">
        <f aca="false">IF(AND(N3661&gt;0,$C$3648&gt;0),N3661*Assumptions!$E$24*(1-EXP(-$C$3648/(Assumptions!$E$23*N3661*Assumptions!$E$24))),0)</f>
        <v>0</v>
      </c>
      <c r="P3668" s="49" t="n">
        <f aca="false">SUM(C3668:F3668)</f>
        <v>0</v>
      </c>
      <c r="Q3668" s="49" t="n">
        <f aca="false">SUM(G3668:J3668)</f>
        <v>0</v>
      </c>
      <c r="R3668" s="49" t="n">
        <f aca="false">SUM(K3668:N3668)</f>
        <v>0</v>
      </c>
      <c r="S3668" s="50" t="n">
        <f aca="false">SUM(P3668:R3668)</f>
        <v>0</v>
      </c>
    </row>
    <row r="3669" customFormat="false" ht="15" hidden="false" customHeight="false" outlineLevel="0" collapsed="false">
      <c r="A3669" s="4" t="s">
        <v>498</v>
      </c>
      <c r="B3669" s="36" t="s">
        <v>497</v>
      </c>
      <c r="C3669" s="48" t="n">
        <f aca="false">(C3661*Assumptions!$E$22*MIN(1,Assumptions!$D$103/Assumptions!$E$78)+C3668)*C3651</f>
        <v>5.5188772352</v>
      </c>
      <c r="D3669" s="48" t="n">
        <f aca="false">(D3661*Assumptions!$E$22*MIN(1,Assumptions!$D$103/Assumptions!$E$78)+D3668)*D3651</f>
        <v>11.0377544704</v>
      </c>
      <c r="E3669" s="48" t="n">
        <f aca="false">(E3661*Assumptions!$E$22*MIN(1,Assumptions!$D$103/Assumptions!$E$78)+E3668)*E3651</f>
        <v>11.0377544704</v>
      </c>
      <c r="F3669" s="48" t="n">
        <f aca="false">(F3661*Assumptions!$E$22*MIN(1,Assumptions!$D$103/Assumptions!$E$78)+F3668)*F3651</f>
        <v>11.0377544704</v>
      </c>
      <c r="G3669" s="48" t="n">
        <f aca="false">(G3661*Assumptions!$E$22*MIN(1,Assumptions!$D$103/Assumptions!$E$78)+G3668)*G3651</f>
        <v>14.9349950176</v>
      </c>
      <c r="H3669" s="48" t="n">
        <f aca="false">(H3661*Assumptions!$E$22*MIN(1,Assumptions!$D$103/Assumptions!$E$78)+H3668)*H3651</f>
        <v>18.8322355648</v>
      </c>
      <c r="I3669" s="48" t="n">
        <f aca="false">(I3661*Assumptions!$E$22*MIN(1,Assumptions!$D$103/Assumptions!$E$78)+I3668)*I3651</f>
        <v>31.6761039616</v>
      </c>
      <c r="J3669" s="48" t="n">
        <f aca="false">(J3661*Assumptions!$E$22*MIN(1,Assumptions!$D$103/Assumptions!$E$78)+J3668)*J3651</f>
        <v>44.5199723584</v>
      </c>
      <c r="K3669" s="48" t="n">
        <f aca="false">(K3661*Assumptions!$E$22*MIN(1,Assumptions!$D$103/Assumptions!$E$78)+K3668)*K3651</f>
        <v>44.5199723584</v>
      </c>
      <c r="L3669" s="48" t="n">
        <f aca="false">(L3661*Assumptions!$E$22*MIN(1,Assumptions!$D$103/Assumptions!$E$78)+L3668)*L3651</f>
        <v>44.5199723584</v>
      </c>
      <c r="M3669" s="48" t="n">
        <f aca="false">(M3661*Assumptions!$E$22*MIN(1,Assumptions!$D$103/Assumptions!$E$78)+M3668)*M3651</f>
        <v>44.5199723584</v>
      </c>
      <c r="N3669" s="48" t="n">
        <f aca="false">(N3661*Assumptions!$E$22*MIN(1,Assumptions!$D$103/Assumptions!$E$78)+N3668)*N3651</f>
        <v>44.5199723584</v>
      </c>
      <c r="P3669" s="49" t="n">
        <f aca="false">SUM(C3669:F3669)</f>
        <v>38.6321406464</v>
      </c>
      <c r="Q3669" s="49" t="n">
        <f aca="false">SUM(G3669:J3669)</f>
        <v>109.9633069024</v>
      </c>
      <c r="R3669" s="49" t="n">
        <f aca="false">SUM(K3669:N3669)</f>
        <v>178.0798894336</v>
      </c>
      <c r="S3669" s="50" t="n">
        <f aca="false">SUM(P3669:R3669)</f>
        <v>326.6753369824</v>
      </c>
    </row>
    <row r="3670" customFormat="false" ht="15" hidden="false" customHeight="false" outlineLevel="0" collapsed="false">
      <c r="A3670" s="4" t="s">
        <v>499</v>
      </c>
      <c r="B3670" s="36" t="s">
        <v>500</v>
      </c>
      <c r="C3670" s="48" t="n">
        <f aca="false">C3651*MIN(Assumptions!$E$27,Assumptions!$E$25+Assumptions!$E$26*(C3650-1))*Assumptions!$D$107</f>
        <v>2</v>
      </c>
      <c r="D3670" s="48" t="n">
        <f aca="false">D3651*MIN(Assumptions!$E$27,Assumptions!$E$25+Assumptions!$E$26*(D3650-1))*Assumptions!$D$107</f>
        <v>3</v>
      </c>
      <c r="E3670" s="48" t="n">
        <f aca="false">E3651*MIN(Assumptions!$E$27,Assumptions!$E$25+Assumptions!$E$26*(E3650-1))*Assumptions!$D$107</f>
        <v>4</v>
      </c>
      <c r="F3670" s="48" t="n">
        <f aca="false">F3651*MIN(Assumptions!$E$27,Assumptions!$E$25+Assumptions!$E$26*(F3650-1))*Assumptions!$D$107</f>
        <v>5</v>
      </c>
      <c r="G3670" s="48" t="n">
        <f aca="false">G3651*MIN(Assumptions!$E$27,Assumptions!$E$25+Assumptions!$E$26*(G3650-1))*Assumptions!$D$107</f>
        <v>6</v>
      </c>
      <c r="H3670" s="48" t="n">
        <f aca="false">H3651*MIN(Assumptions!$E$27,Assumptions!$E$25+Assumptions!$E$26*(H3650-1))*Assumptions!$D$107</f>
        <v>7</v>
      </c>
      <c r="I3670" s="48" t="n">
        <f aca="false">I3651*MIN(Assumptions!$E$27,Assumptions!$E$25+Assumptions!$E$26*(I3650-1))*Assumptions!$D$107</f>
        <v>8</v>
      </c>
      <c r="J3670" s="48" t="n">
        <f aca="false">J3651*MIN(Assumptions!$E$27,Assumptions!$E$25+Assumptions!$E$26*(J3650-1))*Assumptions!$D$107</f>
        <v>9</v>
      </c>
      <c r="K3670" s="48" t="n">
        <f aca="false">K3651*MIN(Assumptions!$E$27,Assumptions!$E$25+Assumptions!$E$26*(K3650-1))*Assumptions!$D$107</f>
        <v>10</v>
      </c>
      <c r="L3670" s="48" t="n">
        <f aca="false">L3651*MIN(Assumptions!$E$27,Assumptions!$E$25+Assumptions!$E$26*(L3650-1))*Assumptions!$D$107</f>
        <v>10</v>
      </c>
      <c r="M3670" s="48" t="n">
        <f aca="false">M3651*MIN(Assumptions!$E$27,Assumptions!$E$25+Assumptions!$E$26*(M3650-1))*Assumptions!$D$107</f>
        <v>10</v>
      </c>
      <c r="N3670" s="48" t="n">
        <f aca="false">N3651*MIN(Assumptions!$E$27,Assumptions!$E$25+Assumptions!$E$26*(N3650-1))*Assumptions!$D$107</f>
        <v>10</v>
      </c>
      <c r="P3670" s="49" t="n">
        <f aca="false">F3670</f>
        <v>5</v>
      </c>
      <c r="Q3670" s="49" t="n">
        <f aca="false">J3670</f>
        <v>9</v>
      </c>
      <c r="R3670" s="49" t="n">
        <f aca="false">N3670</f>
        <v>10</v>
      </c>
      <c r="S3670" s="50" t="n">
        <f aca="false">R3670</f>
        <v>10</v>
      </c>
    </row>
    <row r="3671" customFormat="false" ht="15" hidden="false" customHeight="false" outlineLevel="0" collapsed="false">
      <c r="A3671" s="4" t="s">
        <v>501</v>
      </c>
      <c r="B3671" s="36" t="s">
        <v>502</v>
      </c>
      <c r="C3671" s="48" t="n">
        <f aca="false">C3670*Assumptions!$E$28</f>
        <v>6</v>
      </c>
      <c r="D3671" s="48" t="n">
        <f aca="false">D3670*Assumptions!$E$28</f>
        <v>9</v>
      </c>
      <c r="E3671" s="48" t="n">
        <f aca="false">E3670*Assumptions!$E$28</f>
        <v>12</v>
      </c>
      <c r="F3671" s="48" t="n">
        <f aca="false">F3670*Assumptions!$E$28</f>
        <v>15</v>
      </c>
      <c r="G3671" s="48" t="n">
        <f aca="false">G3670*Assumptions!$E$28</f>
        <v>18</v>
      </c>
      <c r="H3671" s="48" t="n">
        <f aca="false">H3670*Assumptions!$E$28</f>
        <v>21</v>
      </c>
      <c r="I3671" s="48" t="n">
        <f aca="false">I3670*Assumptions!$E$28</f>
        <v>24</v>
      </c>
      <c r="J3671" s="48" t="n">
        <f aca="false">J3670*Assumptions!$E$28</f>
        <v>27</v>
      </c>
      <c r="K3671" s="48" t="n">
        <f aca="false">K3670*Assumptions!$E$28</f>
        <v>30</v>
      </c>
      <c r="L3671" s="48" t="n">
        <f aca="false">L3670*Assumptions!$E$28</f>
        <v>30</v>
      </c>
      <c r="M3671" s="48" t="n">
        <f aca="false">M3670*Assumptions!$E$28</f>
        <v>30</v>
      </c>
      <c r="N3671" s="48" t="n">
        <f aca="false">N3670*Assumptions!$E$28</f>
        <v>30</v>
      </c>
      <c r="P3671" s="49" t="n">
        <f aca="false">SUM(C3671:F3671)</f>
        <v>42</v>
      </c>
      <c r="Q3671" s="49" t="n">
        <f aca="false">SUM(G3671:J3671)</f>
        <v>90</v>
      </c>
      <c r="R3671" s="49" t="n">
        <f aca="false">SUM(K3671:N3671)</f>
        <v>120</v>
      </c>
      <c r="S3671" s="50" t="n">
        <f aca="false">SUM(P3671:R3671)</f>
        <v>252</v>
      </c>
    </row>
    <row r="3672" customFormat="false" ht="15" hidden="false" customHeight="false" outlineLevel="0" collapsed="false">
      <c r="A3672" s="4" t="s">
        <v>503</v>
      </c>
      <c r="B3672" s="36" t="s">
        <v>504</v>
      </c>
      <c r="C3672" s="48" t="n">
        <f aca="false">(C3663+C3667)*Assumptions!$E$29</f>
        <v>2.649061072896</v>
      </c>
      <c r="D3672" s="48" t="n">
        <f aca="false">(D3663+D3667)*Assumptions!$E$29</f>
        <v>4.66293948347654</v>
      </c>
      <c r="E3672" s="48" t="n">
        <f aca="false">(E3663+E3667)*Assumptions!$E$29</f>
        <v>4.10390776736503</v>
      </c>
      <c r="F3672" s="48" t="n">
        <f aca="false">(F3663+F3667)*Assumptions!$E$29</f>
        <v>3.61189739277553</v>
      </c>
      <c r="G3672" s="48" t="n">
        <f aca="false">(G3663+G3667)*Assumptions!$E$29</f>
        <v>5.0495487501312</v>
      </c>
      <c r="H3672" s="48" t="n">
        <f aca="false">(H3663+H3667)*Assumptions!$E$29</f>
        <v>6.09057055091584</v>
      </c>
      <c r="I3672" s="48" t="n">
        <f aca="false">(I3663+I3667)*Assumptions!$E$29</f>
        <v>11.5254394560932</v>
      </c>
      <c r="J3672" s="48" t="n">
        <f aca="false">(J3663+J3667)*Assumptions!$E$29</f>
        <v>15.569613411499</v>
      </c>
      <c r="K3672" s="48" t="n">
        <f aca="false">(K3663+K3667)*Assumptions!$E$29</f>
        <v>13.7029995007961</v>
      </c>
      <c r="L3672" s="48" t="n">
        <f aca="false">(L3663+L3667)*Assumptions!$E$29</f>
        <v>12.0601706899246</v>
      </c>
      <c r="M3672" s="48" t="n">
        <f aca="false">(M3663+M3667)*Assumptions!$E$29</f>
        <v>10.6142977719343</v>
      </c>
      <c r="N3672" s="48" t="n">
        <f aca="false">(N3663+N3667)*Assumptions!$E$29</f>
        <v>9.34176804689938</v>
      </c>
      <c r="P3672" s="49" t="n">
        <f aca="false">SUM(C3672:F3672)</f>
        <v>15.0278057165131</v>
      </c>
      <c r="Q3672" s="49" t="n">
        <f aca="false">SUM(G3672:J3672)</f>
        <v>38.2351721686392</v>
      </c>
      <c r="R3672" s="49" t="n">
        <f aca="false">SUM(K3672:N3672)</f>
        <v>45.7192360095544</v>
      </c>
      <c r="S3672" s="50" t="n">
        <f aca="false">SUM(P3672:R3672)</f>
        <v>98.9822138947068</v>
      </c>
    </row>
    <row r="3673" customFormat="false" ht="15" hidden="false" customHeight="false" outlineLevel="0" collapsed="false">
      <c r="A3673" s="4" t="s">
        <v>505</v>
      </c>
      <c r="B3673" s="36" t="s">
        <v>504</v>
      </c>
      <c r="C3673" s="48" t="n">
        <f aca="false">C3669*Assumptions!$E$31</f>
        <v>0.883020357632</v>
      </c>
      <c r="D3673" s="48" t="n">
        <f aca="false">D3669*Assumptions!$E$31</f>
        <v>1.766040715264</v>
      </c>
      <c r="E3673" s="48" t="n">
        <f aca="false">E3669*Assumptions!$E$31</f>
        <v>1.766040715264</v>
      </c>
      <c r="F3673" s="48" t="n">
        <f aca="false">F3669*Assumptions!$E$31</f>
        <v>1.766040715264</v>
      </c>
      <c r="G3673" s="48" t="n">
        <f aca="false">G3669*Assumptions!$E$31</f>
        <v>2.389599202816</v>
      </c>
      <c r="H3673" s="48" t="n">
        <f aca="false">H3669*Assumptions!$E$31</f>
        <v>3.013157690368</v>
      </c>
      <c r="I3673" s="48" t="n">
        <f aca="false">I3669*Assumptions!$E$31</f>
        <v>5.068176633856</v>
      </c>
      <c r="J3673" s="48" t="n">
        <f aca="false">J3669*Assumptions!$E$31</f>
        <v>7.123195577344</v>
      </c>
      <c r="K3673" s="48" t="n">
        <f aca="false">K3669*Assumptions!$E$31</f>
        <v>7.123195577344</v>
      </c>
      <c r="L3673" s="48" t="n">
        <f aca="false">L3669*Assumptions!$E$31</f>
        <v>7.123195577344</v>
      </c>
      <c r="M3673" s="48" t="n">
        <f aca="false">M3669*Assumptions!$E$31</f>
        <v>7.123195577344</v>
      </c>
      <c r="N3673" s="48" t="n">
        <f aca="false">N3669*Assumptions!$E$31</f>
        <v>7.123195577344</v>
      </c>
      <c r="P3673" s="49" t="n">
        <f aca="false">SUM(C3673:F3673)</f>
        <v>6.181142503424</v>
      </c>
      <c r="Q3673" s="49" t="n">
        <f aca="false">SUM(G3673:J3673)</f>
        <v>17.594129104384</v>
      </c>
      <c r="R3673" s="49" t="n">
        <f aca="false">SUM(K3673:N3673)</f>
        <v>28.492782309376</v>
      </c>
      <c r="S3673" s="50" t="n">
        <f aca="false">SUM(P3673:R3673)</f>
        <v>52.268053917184</v>
      </c>
    </row>
    <row r="3674" customFormat="false" ht="15" hidden="false" customHeight="false" outlineLevel="0" collapsed="false">
      <c r="A3674" s="4" t="s">
        <v>506</v>
      </c>
      <c r="B3674" s="36" t="s">
        <v>504</v>
      </c>
      <c r="C3674" s="48" t="n">
        <f aca="false">C3671*Assumptions!$E$30</f>
        <v>3</v>
      </c>
      <c r="D3674" s="48" t="n">
        <f aca="false">D3671*Assumptions!$E$30</f>
        <v>4.5</v>
      </c>
      <c r="E3674" s="48" t="n">
        <f aca="false">E3671*Assumptions!$E$30</f>
        <v>6</v>
      </c>
      <c r="F3674" s="48" t="n">
        <f aca="false">F3671*Assumptions!$E$30</f>
        <v>7.5</v>
      </c>
      <c r="G3674" s="48" t="n">
        <f aca="false">G3671*Assumptions!$E$30</f>
        <v>9</v>
      </c>
      <c r="H3674" s="48" t="n">
        <f aca="false">H3671*Assumptions!$E$30</f>
        <v>10.5</v>
      </c>
      <c r="I3674" s="48" t="n">
        <f aca="false">I3671*Assumptions!$E$30</f>
        <v>12</v>
      </c>
      <c r="J3674" s="48" t="n">
        <f aca="false">J3671*Assumptions!$E$30</f>
        <v>13.5</v>
      </c>
      <c r="K3674" s="48" t="n">
        <f aca="false">K3671*Assumptions!$E$30</f>
        <v>15</v>
      </c>
      <c r="L3674" s="48" t="n">
        <f aca="false">L3671*Assumptions!$E$30</f>
        <v>15</v>
      </c>
      <c r="M3674" s="48" t="n">
        <f aca="false">M3671*Assumptions!$E$30</f>
        <v>15</v>
      </c>
      <c r="N3674" s="48" t="n">
        <f aca="false">N3671*Assumptions!$E$30</f>
        <v>15</v>
      </c>
      <c r="P3674" s="49" t="n">
        <f aca="false">SUM(C3674:F3674)</f>
        <v>21</v>
      </c>
      <c r="Q3674" s="49" t="n">
        <f aca="false">SUM(G3674:J3674)</f>
        <v>45</v>
      </c>
      <c r="R3674" s="49" t="n">
        <f aca="false">SUM(K3674:N3674)</f>
        <v>60</v>
      </c>
      <c r="S3674" s="50" t="n">
        <f aca="false">SUM(P3674:R3674)</f>
        <v>126</v>
      </c>
    </row>
    <row r="3675" customFormat="false" ht="15" hidden="false" customHeight="false" outlineLevel="0" collapsed="false">
      <c r="A3675" s="9" t="s">
        <v>507</v>
      </c>
      <c r="B3675" s="36" t="s">
        <v>504</v>
      </c>
      <c r="C3675" s="49" t="n">
        <f aca="false">C3672+C3673+C3674</f>
        <v>6.532081430528</v>
      </c>
      <c r="D3675" s="49" t="n">
        <f aca="false">D3672+D3673+D3674</f>
        <v>10.9289801987405</v>
      </c>
      <c r="E3675" s="49" t="n">
        <f aca="false">E3672+E3673+E3674</f>
        <v>11.869948482629</v>
      </c>
      <c r="F3675" s="49" t="n">
        <f aca="false">F3672+F3673+F3674</f>
        <v>12.8779381080395</v>
      </c>
      <c r="G3675" s="49" t="n">
        <f aca="false">G3672+G3673+G3674</f>
        <v>16.4391479529472</v>
      </c>
      <c r="H3675" s="49" t="n">
        <f aca="false">H3672+H3673+H3674</f>
        <v>19.6037282412838</v>
      </c>
      <c r="I3675" s="49" t="n">
        <f aca="false">I3672+I3673+I3674</f>
        <v>28.5936160899492</v>
      </c>
      <c r="J3675" s="49" t="n">
        <f aca="false">J3672+J3673+J3674</f>
        <v>36.192808988843</v>
      </c>
      <c r="K3675" s="49" t="n">
        <f aca="false">K3672+K3673+K3674</f>
        <v>35.8261950781401</v>
      </c>
      <c r="L3675" s="49" t="n">
        <f aca="false">L3672+L3673+L3674</f>
        <v>34.1833662672686</v>
      </c>
      <c r="M3675" s="49" t="n">
        <f aca="false">M3672+M3673+M3674</f>
        <v>32.7374933492783</v>
      </c>
      <c r="N3675" s="49" t="n">
        <f aca="false">N3672+N3673+N3674</f>
        <v>31.4649636242434</v>
      </c>
      <c r="P3675" s="49" t="n">
        <f aca="false">SUM(C3675:F3675)</f>
        <v>42.2089482199371</v>
      </c>
      <c r="Q3675" s="49" t="n">
        <f aca="false">SUM(G3675:J3675)</f>
        <v>100.829301273023</v>
      </c>
      <c r="R3675" s="49" t="n">
        <f aca="false">SUM(K3675:N3675)</f>
        <v>134.21201831893</v>
      </c>
      <c r="S3675" s="50" t="n">
        <f aca="false">SUM(P3675:R3675)</f>
        <v>277.250267811891</v>
      </c>
    </row>
    <row r="3676" customFormat="false" ht="15" hidden="false" customHeight="false" outlineLevel="0" collapsed="false">
      <c r="A3676" s="4" t="s">
        <v>508</v>
      </c>
      <c r="B3676" s="36" t="s">
        <v>509</v>
      </c>
      <c r="C3676" s="48" t="n">
        <f aca="false">C3658</f>
        <v>421.51972352</v>
      </c>
      <c r="D3676" s="48" t="n">
        <f aca="false">D3658</f>
        <v>843.03944704</v>
      </c>
      <c r="E3676" s="48" t="n">
        <f aca="false">E3658</f>
        <v>843.03944704</v>
      </c>
      <c r="F3676" s="48" t="n">
        <f aca="false">F3658</f>
        <v>843.03944704</v>
      </c>
      <c r="G3676" s="48" t="n">
        <f aca="false">G3658</f>
        <v>1149.32798176</v>
      </c>
      <c r="H3676" s="48" t="n">
        <f aca="false">H3658</f>
        <v>1455.61651648</v>
      </c>
      <c r="I3676" s="48" t="n">
        <f aca="false">I3658</f>
        <v>2486.00303616</v>
      </c>
      <c r="J3676" s="48" t="n">
        <f aca="false">J3658</f>
        <v>3516.38955584</v>
      </c>
      <c r="K3676" s="48" t="n">
        <f aca="false">K3658</f>
        <v>3516.38955584</v>
      </c>
      <c r="L3676" s="48" t="n">
        <f aca="false">L3658</f>
        <v>3516.38955584</v>
      </c>
      <c r="M3676" s="48" t="n">
        <f aca="false">M3658</f>
        <v>3516.38955584</v>
      </c>
      <c r="N3676" s="48" t="n">
        <f aca="false">N3658</f>
        <v>3516.38955584</v>
      </c>
      <c r="P3676" s="49"/>
      <c r="Q3676" s="49"/>
      <c r="R3676" s="49"/>
      <c r="S3676" s="50"/>
    </row>
    <row r="3677" customFormat="false" ht="15" hidden="false" customHeight="false" outlineLevel="0" collapsed="false">
      <c r="A3677" s="4" t="s">
        <v>510</v>
      </c>
      <c r="B3677" s="36" t="s">
        <v>509</v>
      </c>
      <c r="C3677" s="48" t="n">
        <f aca="false">C3659*Assumptions!$E$18*Assumptions!$E$33</f>
        <v>211.19616</v>
      </c>
      <c r="D3677" s="48" t="n">
        <f aca="false">D3659*Assumptions!$E$18*Assumptions!$E$33</f>
        <v>422.39232</v>
      </c>
      <c r="E3677" s="48" t="n">
        <f aca="false">E3659*Assumptions!$E$18*Assumptions!$E$33</f>
        <v>422.39232</v>
      </c>
      <c r="F3677" s="48" t="n">
        <f aca="false">F3659*Assumptions!$E$18*Assumptions!$E$33</f>
        <v>422.39232</v>
      </c>
      <c r="G3677" s="48" t="n">
        <f aca="false">G3659*Assumptions!$E$18*Assumptions!$E$33</f>
        <v>564.49344</v>
      </c>
      <c r="H3677" s="48" t="n">
        <f aca="false">H3659*Assumptions!$E$18*Assumptions!$E$33</f>
        <v>706.59456</v>
      </c>
      <c r="I3677" s="48" t="n">
        <f aca="false">I3659*Assumptions!$E$18*Assumptions!$E$33</f>
        <v>1135.07072</v>
      </c>
      <c r="J3677" s="48" t="n">
        <f aca="false">J3659*Assumptions!$E$18*Assumptions!$E$33</f>
        <v>1563.54688</v>
      </c>
      <c r="K3677" s="48" t="n">
        <f aca="false">K3659*Assumptions!$E$18*Assumptions!$E$33</f>
        <v>1563.54688</v>
      </c>
      <c r="L3677" s="48" t="n">
        <f aca="false">L3659*Assumptions!$E$18*Assumptions!$E$33</f>
        <v>1563.54688</v>
      </c>
      <c r="M3677" s="48" t="n">
        <f aca="false">M3659*Assumptions!$E$18*Assumptions!$E$33</f>
        <v>1563.54688</v>
      </c>
      <c r="N3677" s="48" t="n">
        <f aca="false">N3659*Assumptions!$E$18*Assumptions!$E$33</f>
        <v>1563.54688</v>
      </c>
      <c r="P3677" s="49"/>
      <c r="Q3677" s="49"/>
      <c r="R3677" s="49"/>
      <c r="S3677" s="50"/>
    </row>
    <row r="3678" customFormat="false" ht="15" hidden="false" customHeight="false" outlineLevel="0" collapsed="false">
      <c r="A3678" s="4" t="s">
        <v>511</v>
      </c>
      <c r="B3678" s="36" t="s">
        <v>509</v>
      </c>
      <c r="C3678" s="48" t="n">
        <f aca="false">C3660*Assumptions!$E$19*Assumptions!$E$34</f>
        <v>34.677888</v>
      </c>
      <c r="D3678" s="48" t="n">
        <f aca="false">D3660*Assumptions!$E$19*Assumptions!$E$34</f>
        <v>69.355776</v>
      </c>
      <c r="E3678" s="48" t="n">
        <f aca="false">E3660*Assumptions!$E$19*Assumptions!$E$34</f>
        <v>69.355776</v>
      </c>
      <c r="F3678" s="48" t="n">
        <f aca="false">F3660*Assumptions!$E$19*Assumptions!$E$34</f>
        <v>69.355776</v>
      </c>
      <c r="G3678" s="48" t="n">
        <f aca="false">G3660*Assumptions!$E$19*Assumptions!$E$34</f>
        <v>86.69472</v>
      </c>
      <c r="H3678" s="48" t="n">
        <f aca="false">H3660*Assumptions!$E$19*Assumptions!$E$34</f>
        <v>104.033664</v>
      </c>
      <c r="I3678" s="48" t="n">
        <f aca="false">I3660*Assumptions!$E$19*Assumptions!$E$34</f>
        <v>159.7008</v>
      </c>
      <c r="J3678" s="48" t="n">
        <f aca="false">J3660*Assumptions!$E$19*Assumptions!$E$34</f>
        <v>215.367936</v>
      </c>
      <c r="K3678" s="48" t="n">
        <f aca="false">K3660*Assumptions!$E$19*Assumptions!$E$34</f>
        <v>215.367936</v>
      </c>
      <c r="L3678" s="48" t="n">
        <f aca="false">L3660*Assumptions!$E$19*Assumptions!$E$34</f>
        <v>215.367936</v>
      </c>
      <c r="M3678" s="48" t="n">
        <f aca="false">M3660*Assumptions!$E$19*Assumptions!$E$34</f>
        <v>215.367936</v>
      </c>
      <c r="N3678" s="48" t="n">
        <f aca="false">N3660*Assumptions!$E$19*Assumptions!$E$34</f>
        <v>215.367936</v>
      </c>
      <c r="P3678" s="49"/>
      <c r="Q3678" s="49"/>
      <c r="R3678" s="49"/>
      <c r="S3678" s="50"/>
    </row>
    <row r="3679" customFormat="false" ht="15" hidden="false" customHeight="false" outlineLevel="0" collapsed="false">
      <c r="A3679" s="4" t="s">
        <v>512</v>
      </c>
      <c r="B3679" s="36" t="s">
        <v>77</v>
      </c>
      <c r="C3679" s="51" t="n">
        <f aca="false">IFERROR(C3676/(C3676+C3677+C3678),0)</f>
        <v>0.631590736245533</v>
      </c>
      <c r="D3679" s="51" t="n">
        <f aca="false">IFERROR(D3676/(D3676+D3677+D3678),0)</f>
        <v>0.631590736245533</v>
      </c>
      <c r="E3679" s="51" t="n">
        <f aca="false">IFERROR(E3676/(E3676+E3677+E3678),0)</f>
        <v>0.631590736245533</v>
      </c>
      <c r="F3679" s="51" t="n">
        <f aca="false">IFERROR(F3676/(F3676+F3677+F3678),0)</f>
        <v>0.631590736245533</v>
      </c>
      <c r="G3679" s="51" t="n">
        <f aca="false">IFERROR(G3676/(G3676+G3677+G3678),0)</f>
        <v>0.638332506498128</v>
      </c>
      <c r="H3679" s="51" t="n">
        <f aca="false">IFERROR(H3676/(H3676+H3677+H3678),0)</f>
        <v>0.642303318118984</v>
      </c>
      <c r="I3679" s="51" t="n">
        <f aca="false">IFERROR(I3676/(I3676+I3677+I3678),0)</f>
        <v>0.657538025405288</v>
      </c>
      <c r="J3679" s="51" t="n">
        <f aca="false">IFERROR(J3676/(J3676+J3677+J3678),0)</f>
        <v>0.664058061428891</v>
      </c>
      <c r="K3679" s="51" t="n">
        <f aca="false">IFERROR(K3676/(K3676+K3677+K3678),0)</f>
        <v>0.664058061428891</v>
      </c>
      <c r="L3679" s="51" t="n">
        <f aca="false">IFERROR(L3676/(L3676+L3677+L3678),0)</f>
        <v>0.664058061428891</v>
      </c>
      <c r="M3679" s="51" t="n">
        <f aca="false">IFERROR(M3676/(M3676+M3677+M3678),0)</f>
        <v>0.664058061428891</v>
      </c>
      <c r="N3679" s="51" t="n">
        <f aca="false">IFERROR(N3676/(N3676+N3677+N3678),0)</f>
        <v>0.664058061428891</v>
      </c>
      <c r="P3679" s="52"/>
      <c r="Q3679" s="52"/>
      <c r="R3679" s="52"/>
      <c r="S3679" s="53"/>
    </row>
    <row r="3680" customFormat="false" ht="15" hidden="false" customHeight="false" outlineLevel="0" collapsed="false">
      <c r="A3680" s="4" t="s">
        <v>513</v>
      </c>
      <c r="B3680" s="36" t="s">
        <v>77</v>
      </c>
      <c r="C3680" s="51" t="n">
        <f aca="false">IFERROR(C3677/(C3676+C3677+C3678),0)</f>
        <v>0.316449102482628</v>
      </c>
      <c r="D3680" s="51" t="n">
        <f aca="false">IFERROR(D3677/(D3676+D3677+D3678),0)</f>
        <v>0.316449102482628</v>
      </c>
      <c r="E3680" s="51" t="n">
        <f aca="false">IFERROR(E3677/(E3676+E3677+E3678),0)</f>
        <v>0.316449102482628</v>
      </c>
      <c r="F3680" s="51" t="n">
        <f aca="false">IFERROR(F3677/(F3676+F3677+F3678),0)</f>
        <v>0.316449102482628</v>
      </c>
      <c r="G3680" s="51" t="n">
        <f aca="false">IFERROR(G3677/(G3676+G3677+G3678),0)</f>
        <v>0.313517566939561</v>
      </c>
      <c r="H3680" s="51" t="n">
        <f aca="false">IFERROR(H3677/(H3676+H3677+H3678),0)</f>
        <v>0.311790932099567</v>
      </c>
      <c r="I3680" s="51" t="n">
        <f aca="false">IFERROR(I3677/(I3676+I3677+I3678),0)</f>
        <v>0.300221741111391</v>
      </c>
      <c r="J3680" s="51" t="n">
        <f aca="false">IFERROR(J3677/(J3676+J3677+J3678),0)</f>
        <v>0.295270445324128</v>
      </c>
      <c r="K3680" s="51" t="n">
        <f aca="false">IFERROR(K3677/(K3676+K3677+K3678),0)</f>
        <v>0.295270445324128</v>
      </c>
      <c r="L3680" s="51" t="n">
        <f aca="false">IFERROR(L3677/(L3676+L3677+L3678),0)</f>
        <v>0.295270445324128</v>
      </c>
      <c r="M3680" s="51" t="n">
        <f aca="false">IFERROR(M3677/(M3676+M3677+M3678),0)</f>
        <v>0.295270445324128</v>
      </c>
      <c r="N3680" s="51" t="n">
        <f aca="false">IFERROR(N3677/(N3676+N3677+N3678),0)</f>
        <v>0.295270445324128</v>
      </c>
      <c r="P3680" s="52"/>
      <c r="Q3680" s="52"/>
      <c r="R3680" s="52"/>
      <c r="S3680" s="53"/>
    </row>
    <row r="3681" customFormat="false" ht="15" hidden="false" customHeight="false" outlineLevel="0" collapsed="false">
      <c r="A3681" s="4" t="s">
        <v>514</v>
      </c>
      <c r="B3681" s="36" t="s">
        <v>77</v>
      </c>
      <c r="C3681" s="51" t="n">
        <f aca="false">IFERROR(C3678/(C3676+C3677+C3678),0)</f>
        <v>0.0519601612718389</v>
      </c>
      <c r="D3681" s="51" t="n">
        <f aca="false">IFERROR(D3678/(D3676+D3677+D3678),0)</f>
        <v>0.0519601612718389</v>
      </c>
      <c r="E3681" s="51" t="n">
        <f aca="false">IFERROR(E3678/(E3676+E3677+E3678),0)</f>
        <v>0.0519601612718389</v>
      </c>
      <c r="F3681" s="51" t="n">
        <f aca="false">IFERROR(F3678/(F3676+F3677+F3678),0)</f>
        <v>0.0519601612718389</v>
      </c>
      <c r="G3681" s="51" t="n">
        <f aca="false">IFERROR(G3678/(G3676+G3677+G3678),0)</f>
        <v>0.0481499265623113</v>
      </c>
      <c r="H3681" s="51" t="n">
        <f aca="false">IFERROR(H3678/(H3676+H3677+H3678),0)</f>
        <v>0.0459057497814491</v>
      </c>
      <c r="I3681" s="51" t="n">
        <f aca="false">IFERROR(I3678/(I3676+I3677+I3678),0)</f>
        <v>0.0422402334833216</v>
      </c>
      <c r="J3681" s="51" t="n">
        <f aca="false">IFERROR(J3678/(J3676+J3677+J3678),0)</f>
        <v>0.0406714932469811</v>
      </c>
      <c r="K3681" s="51" t="n">
        <f aca="false">IFERROR(K3678/(K3676+K3677+K3678),0)</f>
        <v>0.0406714932469811</v>
      </c>
      <c r="L3681" s="51" t="n">
        <f aca="false">IFERROR(L3678/(L3676+L3677+L3678),0)</f>
        <v>0.0406714932469811</v>
      </c>
      <c r="M3681" s="51" t="n">
        <f aca="false">IFERROR(M3678/(M3676+M3677+M3678),0)</f>
        <v>0.0406714932469811</v>
      </c>
      <c r="N3681" s="51" t="n">
        <f aca="false">IFERROR(N3678/(N3676+N3677+N3678),0)</f>
        <v>0.0406714932469811</v>
      </c>
      <c r="P3681" s="52"/>
      <c r="Q3681" s="52"/>
      <c r="R3681" s="52"/>
      <c r="S3681" s="53"/>
    </row>
    <row r="3682" customFormat="false" ht="15" hidden="false" customHeight="false" outlineLevel="0" collapsed="false">
      <c r="A3682" s="4" t="s">
        <v>515</v>
      </c>
      <c r="B3682" s="36" t="s">
        <v>516</v>
      </c>
      <c r="C3682" s="48" t="n">
        <f aca="false">IF(C3650-Assumptions!$E$35&lt;1,0,INDEX($C$3675:$N$3675,1,C3650-Assumptions!$E$35)*INDEX($C$3679:$N$3679,1,C3650-Assumptions!$E$35)*Assumptions!$E$32)</f>
        <v>0</v>
      </c>
      <c r="D3682" s="48" t="n">
        <f aca="false">IF(D3650-Assumptions!$E$35&lt;1,0,INDEX($C$3675:$N$3675,1,D3650-Assumptions!$E$35)*INDEX($C$3679:$N$3679,1,D3650-Assumptions!$E$35)*Assumptions!$E$32)</f>
        <v>0.866376445183821</v>
      </c>
      <c r="E3682" s="48" t="n">
        <f aca="false">IF(E3650-Assumptions!$E$35&lt;1,0,INDEX($C$3675:$N$3675,1,E3650-Assumptions!$E$35)*INDEX($C$3679:$N$3679,1,E3650-Assumptions!$E$35)*Assumptions!$E$32)</f>
        <v>1.44955495652843</v>
      </c>
      <c r="F3682" s="48" t="n">
        <f aca="false">IF(F3650-Assumptions!$E$35&lt;1,0,INDEX($C$3675:$N$3675,1,F3650-Assumptions!$E$35)*INDEX($C$3679:$N$3679,1,F3650-Assumptions!$E$35)*Assumptions!$E$32)</f>
        <v>1.57435939528145</v>
      </c>
      <c r="G3682" s="48" t="n">
        <f aca="false">IF(G3650-Assumptions!$E$35&lt;1,0,INDEX($C$3675:$N$3675,1,G3650-Assumptions!$E$35)*INDEX($C$3679:$N$3679,1,G3650-Assumptions!$E$35)*Assumptions!$E$32)</f>
        <v>1.70805314630603</v>
      </c>
      <c r="H3682" s="48" t="n">
        <f aca="false">IF(H3650-Assumptions!$E$35&lt;1,0,INDEX($C$3675:$N$3675,1,H3650-Assumptions!$E$35)*INDEX($C$3679:$N$3679,1,H3650-Assumptions!$E$35)*Assumptions!$E$32)</f>
        <v>2.20366492867466</v>
      </c>
      <c r="I3682" s="48" t="n">
        <f aca="false">IF(I3650-Assumptions!$E$35&lt;1,0,INDEX($C$3675:$N$3675,1,I3650-Assumptions!$E$35)*INDEX($C$3679:$N$3679,1,I3650-Assumptions!$E$35)*Assumptions!$E$32)</f>
        <v>2.64422333634468</v>
      </c>
      <c r="J3682" s="48" t="n">
        <f aca="false">IF(J3650-Assumptions!$E$35&lt;1,0,INDEX($C$3675:$N$3675,1,J3650-Assumptions!$E$35)*INDEX($C$3679:$N$3679,1,J3650-Assumptions!$E$35)*Assumptions!$E$32)</f>
        <v>3.94829187122624</v>
      </c>
      <c r="K3682" s="48" t="n">
        <f aca="false">IF(K3650-Assumptions!$E$35&lt;1,0,INDEX($C$3675:$N$3675,1,K3650-Assumptions!$E$35)*INDEX($C$3679:$N$3679,1,K3650-Assumptions!$E$35)*Assumptions!$E$32)</f>
        <v>5.04716658070741</v>
      </c>
      <c r="L3682" s="48" t="n">
        <f aca="false">IF(L3650-Assumptions!$E$35&lt;1,0,INDEX($C$3675:$N$3675,1,L3650-Assumptions!$E$35)*INDEX($C$3679:$N$3679,1,L3650-Assumptions!$E$35)*Assumptions!$E$32)</f>
        <v>4.99604146691222</v>
      </c>
      <c r="M3682" s="48" t="n">
        <f aca="false">IF(M3650-Assumptions!$E$35&lt;1,0,INDEX($C$3675:$N$3675,1,M3650-Assumptions!$E$35)*INDEX($C$3679:$N$3679,1,M3650-Assumptions!$E$35)*Assumptions!$E$32)</f>
        <v>4.76694538667679</v>
      </c>
      <c r="N3682" s="48" t="n">
        <f aca="false">IF(N3650-Assumptions!$E$35&lt;1,0,INDEX($C$3675:$N$3675,1,N3650-Assumptions!$E$35)*INDEX($C$3679:$N$3679,1,N3650-Assumptions!$E$35)*Assumptions!$E$32)</f>
        <v>4.56531523760823</v>
      </c>
      <c r="P3682" s="49" t="n">
        <f aca="false">SUM(C3682:F3682)</f>
        <v>3.8902907969937</v>
      </c>
      <c r="Q3682" s="49" t="n">
        <f aca="false">SUM(G3682:J3682)</f>
        <v>10.5042332825516</v>
      </c>
      <c r="R3682" s="49" t="n">
        <f aca="false">SUM(K3682:N3682)</f>
        <v>19.3754686719046</v>
      </c>
      <c r="S3682" s="50" t="n">
        <f aca="false">SUM(P3682:R3682)</f>
        <v>33.76999275145</v>
      </c>
    </row>
    <row r="3683" customFormat="false" ht="15" hidden="false" customHeight="false" outlineLevel="0" collapsed="false">
      <c r="A3683" s="4" t="s">
        <v>517</v>
      </c>
      <c r="B3683" s="36" t="s">
        <v>516</v>
      </c>
      <c r="C3683" s="48" t="n">
        <f aca="false">IF(C3650-Assumptions!$E$35&lt;1,0,INDEX($C$3675:$N$3675,1,C3650-Assumptions!$E$35)*INDEX($C$3680:$N$3680,1,C3650-Assumptions!$E$35)*Assumptions!$E$32)</f>
        <v>0</v>
      </c>
      <c r="D3683" s="48" t="n">
        <f aca="false">IF(D3650-Assumptions!$E$35&lt;1,0,INDEX($C$3675:$N$3675,1,D3650-Assumptions!$E$35)*INDEX($C$3680:$N$3680,1,D3650-Assumptions!$E$35)*Assumptions!$E$32)</f>
        <v>0.434084974267145</v>
      </c>
      <c r="E3683" s="48" t="n">
        <f aca="false">IF(E3650-Assumptions!$E$35&lt;1,0,INDEX($C$3675:$N$3675,1,E3650-Assumptions!$E$35)*INDEX($C$3680:$N$3680,1,E3650-Assumptions!$E$35)*Assumptions!$E$32)</f>
        <v>0.72627785473779</v>
      </c>
      <c r="F3683" s="48" t="n">
        <f aca="false">IF(F3650-Assumptions!$E$35&lt;1,0,INDEX($C$3675:$N$3675,1,F3650-Assumptions!$E$35)*INDEX($C$3680:$N$3680,1,F3650-Assumptions!$E$35)*Assumptions!$E$32)</f>
        <v>0.788809254207027</v>
      </c>
      <c r="G3683" s="48" t="n">
        <f aca="false">IF(G3650-Assumptions!$E$35&lt;1,0,INDEX($C$3675:$N$3675,1,G3650-Assumptions!$E$35)*INDEX($C$3680:$N$3680,1,G3650-Assumptions!$E$35)*Assumptions!$E$32)</f>
        <v>0.855794510784347</v>
      </c>
      <c r="H3683" s="48" t="n">
        <f aca="false">IF(H3650-Assumptions!$E$35&lt;1,0,INDEX($C$3675:$N$3675,1,H3650-Assumptions!$E$35)*INDEX($C$3680:$N$3680,1,H3650-Assumptions!$E$35)*Assumptions!$E$32)</f>
        <v>1.08233195044117</v>
      </c>
      <c r="I3683" s="48" t="n">
        <f aca="false">IF(I3650-Assumptions!$E$35&lt;1,0,INDEX($C$3675:$N$3675,1,I3650-Assumptions!$E$35)*INDEX($C$3680:$N$3680,1,I3650-Assumptions!$E$35)*Assumptions!$E$32)</f>
        <v>1.28357558720506</v>
      </c>
      <c r="J3683" s="48" t="n">
        <f aca="false">IF(J3650-Assumptions!$E$35&lt;1,0,INDEX($C$3675:$N$3675,1,J3650-Assumptions!$E$35)*INDEX($C$3680:$N$3680,1,J3650-Assumptions!$E$35)*Assumptions!$E$32)</f>
        <v>1.802729293511</v>
      </c>
      <c r="K3683" s="48" t="n">
        <f aca="false">IF(K3650-Assumptions!$E$35&lt;1,0,INDEX($C$3675:$N$3675,1,K3650-Assumptions!$E$35)*INDEX($C$3680:$N$3680,1,K3650-Assumptions!$E$35)*Assumptions!$E$32)</f>
        <v>2.24420003381002</v>
      </c>
      <c r="L3683" s="48" t="n">
        <f aca="false">IF(L3650-Assumptions!$E$35&lt;1,0,INDEX($C$3675:$N$3675,1,L3650-Assumptions!$E$35)*INDEX($C$3680:$N$3680,1,L3650-Assumptions!$E$35)*Assumptions!$E$32)</f>
        <v>2.22146748074822</v>
      </c>
      <c r="M3683" s="48" t="n">
        <f aca="false">IF(M3650-Assumptions!$E$35&lt;1,0,INDEX($C$3675:$N$3675,1,M3650-Assumptions!$E$35)*INDEX($C$3680:$N$3680,1,M3650-Assumptions!$E$35)*Assumptions!$E$32)</f>
        <v>2.11960093388698</v>
      </c>
      <c r="N3683" s="48" t="n">
        <f aca="false">IF(N3650-Assumptions!$E$35&lt;1,0,INDEX($C$3675:$N$3675,1,N3650-Assumptions!$E$35)*INDEX($C$3680:$N$3680,1,N3650-Assumptions!$E$35)*Assumptions!$E$32)</f>
        <v>2.02994699040779</v>
      </c>
      <c r="P3683" s="49" t="n">
        <f aca="false">SUM(C3683:F3683)</f>
        <v>1.94917208321196</v>
      </c>
      <c r="Q3683" s="49" t="n">
        <f aca="false">SUM(G3683:J3683)</f>
        <v>5.02443134194158</v>
      </c>
      <c r="R3683" s="49" t="n">
        <f aca="false">SUM(K3683:N3683)</f>
        <v>8.61521543885301</v>
      </c>
      <c r="S3683" s="50" t="n">
        <f aca="false">SUM(P3683:R3683)</f>
        <v>15.5888188640065</v>
      </c>
    </row>
    <row r="3684" customFormat="false" ht="15" hidden="false" customHeight="false" outlineLevel="0" collapsed="false">
      <c r="A3684" s="4" t="s">
        <v>518</v>
      </c>
      <c r="B3684" s="36" t="s">
        <v>516</v>
      </c>
      <c r="C3684" s="48" t="n">
        <f aca="false">IF(C3650-Assumptions!$E$36&lt;1,0,INDEX($C$3675:$N$3675,1,C3650-Assumptions!$E$36)*INDEX($C$3681:$N$3681,1,C3650-Assumptions!$E$36)*Assumptions!$E$32)</f>
        <v>0</v>
      </c>
      <c r="D3684" s="48" t="n">
        <f aca="false">IF(D3650-Assumptions!$E$36&lt;1,0,INDEX($C$3675:$N$3675,1,D3650-Assumptions!$E$36)*INDEX($C$3681:$N$3681,1,D3650-Assumptions!$E$36)*Assumptions!$E$32)</f>
        <v>0</v>
      </c>
      <c r="E3684" s="48" t="n">
        <f aca="false">IF(E3650-Assumptions!$E$36&lt;1,0,INDEX($C$3675:$N$3675,1,E3650-Assumptions!$E$36)*INDEX($C$3681:$N$3681,1,E3650-Assumptions!$E$36)*Assumptions!$E$32)</f>
        <v>0.071275680959914</v>
      </c>
      <c r="F3684" s="48" t="n">
        <f aca="false">IF(F3650-Assumptions!$E$36&lt;1,0,INDEX($C$3675:$N$3675,1,F3650-Assumptions!$E$36)*INDEX($C$3681:$N$3681,1,F3650-Assumptions!$E$36)*Assumptions!$E$32)</f>
        <v>0.119253030469291</v>
      </c>
      <c r="G3684" s="48" t="n">
        <f aca="false">IF(G3650-Assumptions!$E$36&lt;1,0,INDEX($C$3675:$N$3675,1,G3650-Assumptions!$E$36)*INDEX($C$3681:$N$3681,1,G3650-Assumptions!$E$36)*Assumptions!$E$32)</f>
        <v>0.129520531863623</v>
      </c>
      <c r="H3684" s="48" t="n">
        <f aca="false">IF(H3650-Assumptions!$E$36&lt;1,0,INDEX($C$3675:$N$3675,1,H3650-Assumptions!$E$36)*INDEX($C$3681:$N$3681,1,H3650-Assumptions!$E$36)*Assumptions!$E$32)</f>
        <v>0.140519345597924</v>
      </c>
      <c r="I3684" s="48" t="n">
        <f aca="false">IF(I3650-Assumptions!$E$36&lt;1,0,INDEX($C$3675:$N$3675,1,I3650-Assumptions!$E$36)*INDEX($C$3681:$N$3681,1,I3650-Assumptions!$E$36)*Assumptions!$E$32)</f>
        <v>0.166224191003089</v>
      </c>
      <c r="J3684" s="48" t="n">
        <f aca="false">IF(J3650-Assumptions!$E$36&lt;1,0,INDEX($C$3675:$N$3675,1,J3650-Assumptions!$E$36)*INDEX($C$3681:$N$3681,1,J3650-Assumptions!$E$36)*Assumptions!$E$32)</f>
        <v>0.18898400711986</v>
      </c>
      <c r="K3684" s="48" t="n">
        <f aca="false">IF(K3650-Assumptions!$E$36&lt;1,0,INDEX($C$3675:$N$3675,1,K3650-Assumptions!$E$36)*INDEX($C$3681:$N$3681,1,K3650-Assumptions!$E$36)*Assumptions!$E$32)</f>
        <v>0.253638214152103</v>
      </c>
      <c r="L3684" s="48" t="n">
        <f aca="false">IF(L3650-Assumptions!$E$36&lt;1,0,INDEX($C$3675:$N$3675,1,L3650-Assumptions!$E$36)*INDEX($C$3681:$N$3681,1,L3650-Assumptions!$E$36)*Assumptions!$E$32)</f>
        <v>0.309123273139591</v>
      </c>
      <c r="M3684" s="48" t="n">
        <f aca="false">IF(M3650-Assumptions!$E$36&lt;1,0,INDEX($C$3675:$N$3675,1,M3650-Assumptions!$E$36)*INDEX($C$3681:$N$3681,1,M3650-Assumptions!$E$36)*Assumptions!$E$32)</f>
        <v>0.305992018748976</v>
      </c>
      <c r="N3684" s="48" t="n">
        <f aca="false">IF(N3650-Assumptions!$E$36&lt;1,0,INDEX($C$3675:$N$3675,1,N3650-Assumptions!$E$36)*INDEX($C$3681:$N$3681,1,N3650-Assumptions!$E$36)*Assumptions!$E$32)</f>
        <v>0.291960595562642</v>
      </c>
      <c r="P3684" s="49" t="n">
        <f aca="false">SUM(C3684:F3684)</f>
        <v>0.190528711429205</v>
      </c>
      <c r="Q3684" s="49" t="n">
        <f aca="false">SUM(G3684:J3684)</f>
        <v>0.625248075584496</v>
      </c>
      <c r="R3684" s="49" t="n">
        <f aca="false">SUM(K3684:N3684)</f>
        <v>1.16071410160331</v>
      </c>
      <c r="S3684" s="50" t="n">
        <f aca="false">SUM(P3684:R3684)</f>
        <v>1.97649088861701</v>
      </c>
    </row>
    <row r="3685" customFormat="false" ht="15" hidden="false" customHeight="false" outlineLevel="0" collapsed="false">
      <c r="A3685" s="4" t="s">
        <v>519</v>
      </c>
      <c r="B3685" s="36" t="s">
        <v>77</v>
      </c>
      <c r="C3685" s="51" t="n">
        <f aca="false">IF(C3650-Assumptions!$E$35&lt;1,0,IFERROR(INDEX($C$3674:$N$3674,1,C3650-Assumptions!$E$35)/INDEX($C$3675:$N$3675,1,C3650-Assumptions!$E$35),0))</f>
        <v>0</v>
      </c>
      <c r="D3685" s="51" t="n">
        <f aca="false">IF(D3650-Assumptions!$E$35&lt;1,0,IFERROR(INDEX($C$3674:$N$3674,1,D3650-Assumptions!$E$35)/INDEX($C$3675:$N$3675,1,D3650-Assumptions!$E$35),0))</f>
        <v>0.459271678087073</v>
      </c>
      <c r="E3685" s="51" t="n">
        <f aca="false">IF(E3650-Assumptions!$E$35&lt;1,0,IFERROR(INDEX($C$3674:$N$3674,1,E3650-Assumptions!$E$35)/INDEX($C$3675:$N$3675,1,E3650-Assumptions!$E$35),0))</f>
        <v>0.411749304891099</v>
      </c>
      <c r="F3685" s="51" t="n">
        <f aca="false">IF(F3650-Assumptions!$E$35&lt;1,0,IFERROR(INDEX($C$3674:$N$3674,1,F3650-Assumptions!$E$35)/INDEX($C$3675:$N$3675,1,F3650-Assumptions!$E$35),0))</f>
        <v>0.505478183732697</v>
      </c>
      <c r="G3685" s="51" t="n">
        <f aca="false">IF(G3650-Assumptions!$E$35&lt;1,0,IFERROR(INDEX($C$3674:$N$3674,1,G3650-Assumptions!$E$35)/INDEX($C$3675:$N$3675,1,G3650-Assumptions!$E$35),0))</f>
        <v>0.582391368639817</v>
      </c>
      <c r="H3685" s="51" t="n">
        <f aca="false">IF(H3650-Assumptions!$E$35&lt;1,0,IFERROR(INDEX($C$3674:$N$3674,1,H3650-Assumptions!$E$35)/INDEX($C$3675:$N$3675,1,H3650-Assumptions!$E$35),0))</f>
        <v>0.547473629762331</v>
      </c>
      <c r="I3685" s="51" t="n">
        <f aca="false">IF(I3650-Assumptions!$E$35&lt;1,0,IFERROR(INDEX($C$3674:$N$3674,1,I3650-Assumptions!$E$35)/INDEX($C$3675:$N$3675,1,I3650-Assumptions!$E$35),0))</f>
        <v>0.535612403455373</v>
      </c>
      <c r="J3685" s="51" t="n">
        <f aca="false">IF(J3650-Assumptions!$E$35&lt;1,0,IFERROR(INDEX($C$3674:$N$3674,1,J3650-Assumptions!$E$35)/INDEX($C$3675:$N$3675,1,J3650-Assumptions!$E$35),0))</f>
        <v>0.419674096562346</v>
      </c>
      <c r="K3685" s="51" t="n">
        <f aca="false">IF(K3650-Assumptions!$E$35&lt;1,0,IFERROR(INDEX($C$3674:$N$3674,1,K3650-Assumptions!$E$35)/INDEX($C$3675:$N$3675,1,K3650-Assumptions!$E$35),0))</f>
        <v>0.373002272472457</v>
      </c>
      <c r="L3685" s="51" t="n">
        <f aca="false">IF(L3650-Assumptions!$E$35&lt;1,0,IFERROR(INDEX($C$3674:$N$3674,1,L3650-Assumptions!$E$35)/INDEX($C$3675:$N$3675,1,L3650-Assumptions!$E$35),0))</f>
        <v>0.418688056805466</v>
      </c>
      <c r="M3685" s="51" t="n">
        <f aca="false">IF(M3650-Assumptions!$E$35&lt;1,0,IFERROR(INDEX($C$3674:$N$3674,1,M3650-Assumptions!$E$35)/INDEX($C$3675:$N$3675,1,M3650-Assumptions!$E$35),0))</f>
        <v>0.438809913649811</v>
      </c>
      <c r="N3685" s="51" t="n">
        <f aca="false">IF(N3650-Assumptions!$E$35&lt;1,0,IFERROR(INDEX($C$3674:$N$3674,1,N3650-Assumptions!$E$35)/INDEX($C$3675:$N$3675,1,N3650-Assumptions!$E$35),0))</f>
        <v>0.458190241994525</v>
      </c>
      <c r="P3685" s="52"/>
      <c r="Q3685" s="52"/>
      <c r="R3685" s="52"/>
      <c r="S3685" s="53"/>
    </row>
    <row r="3686" customFormat="false" ht="15" hidden="false" customHeight="false" outlineLevel="0" collapsed="false">
      <c r="A3686" s="4" t="s">
        <v>520</v>
      </c>
      <c r="B3686" s="36" t="s">
        <v>516</v>
      </c>
      <c r="C3686" s="48" t="n">
        <f aca="false">C3682*Assumptions!$E$37</f>
        <v>0</v>
      </c>
      <c r="D3686" s="48" t="n">
        <f aca="false">D3682*Assumptions!$E$37</f>
        <v>0.259912933555146</v>
      </c>
      <c r="E3686" s="48" t="n">
        <f aca="false">E3682*Assumptions!$E$37</f>
        <v>0.43486648695853</v>
      </c>
      <c r="F3686" s="48" t="n">
        <f aca="false">F3682*Assumptions!$E$37</f>
        <v>0.472307818584434</v>
      </c>
      <c r="G3686" s="48" t="n">
        <f aca="false">G3682*Assumptions!$E$37</f>
        <v>0.512415943891809</v>
      </c>
      <c r="H3686" s="48" t="n">
        <f aca="false">H3682*Assumptions!$E$37</f>
        <v>0.661099478602397</v>
      </c>
      <c r="I3686" s="48" t="n">
        <f aca="false">I3682*Assumptions!$E$37</f>
        <v>0.793267000903405</v>
      </c>
      <c r="J3686" s="48" t="n">
        <f aca="false">J3682*Assumptions!$E$37</f>
        <v>1.18448756136787</v>
      </c>
      <c r="K3686" s="48" t="n">
        <f aca="false">K3682*Assumptions!$E$37</f>
        <v>1.51414997421222</v>
      </c>
      <c r="L3686" s="48" t="n">
        <f aca="false">L3682*Assumptions!$E$37</f>
        <v>1.49881244007367</v>
      </c>
      <c r="M3686" s="48" t="n">
        <f aca="false">M3682*Assumptions!$E$37</f>
        <v>1.43008361600304</v>
      </c>
      <c r="N3686" s="48" t="n">
        <f aca="false">N3682*Assumptions!$E$37</f>
        <v>1.36959457128247</v>
      </c>
      <c r="P3686" s="49" t="n">
        <f aca="false">SUM(C3686:F3686)</f>
        <v>1.16708723909811</v>
      </c>
      <c r="Q3686" s="49" t="n">
        <f aca="false">SUM(G3686:J3686)</f>
        <v>3.15126998476548</v>
      </c>
      <c r="R3686" s="49" t="n">
        <f aca="false">SUM(K3686:N3686)</f>
        <v>5.81264060157139</v>
      </c>
      <c r="S3686" s="50" t="n">
        <f aca="false">SUM(P3686:R3686)</f>
        <v>10.130997825435</v>
      </c>
    </row>
    <row r="3687" customFormat="false" ht="15" hidden="false" customHeight="false" outlineLevel="0" collapsed="false">
      <c r="A3687" s="4" t="s">
        <v>521</v>
      </c>
      <c r="B3687" s="36" t="s">
        <v>516</v>
      </c>
      <c r="C3687" s="48" t="n">
        <f aca="false">C3682*(1-Assumptions!$E$37)</f>
        <v>0</v>
      </c>
      <c r="D3687" s="48" t="n">
        <f aca="false">D3682*(1-Assumptions!$E$37)</f>
        <v>0.606463511628675</v>
      </c>
      <c r="E3687" s="48" t="n">
        <f aca="false">E3682*(1-Assumptions!$E$37)</f>
        <v>1.0146884695699</v>
      </c>
      <c r="F3687" s="48" t="n">
        <f aca="false">F3682*(1-Assumptions!$E$37)</f>
        <v>1.10205157669701</v>
      </c>
      <c r="G3687" s="48" t="n">
        <f aca="false">G3682*(1-Assumptions!$E$37)</f>
        <v>1.19563720241422</v>
      </c>
      <c r="H3687" s="48" t="n">
        <f aca="false">H3682*(1-Assumptions!$E$37)</f>
        <v>1.54256545007226</v>
      </c>
      <c r="I3687" s="48" t="n">
        <f aca="false">I3682*(1-Assumptions!$E$37)</f>
        <v>1.85095633544128</v>
      </c>
      <c r="J3687" s="48" t="n">
        <f aca="false">J3682*(1-Assumptions!$E$37)</f>
        <v>2.76380430985837</v>
      </c>
      <c r="K3687" s="48" t="n">
        <f aca="false">K3682*(1-Assumptions!$E$37)</f>
        <v>3.53301660649519</v>
      </c>
      <c r="L3687" s="48" t="n">
        <f aca="false">L3682*(1-Assumptions!$E$37)</f>
        <v>3.49722902683855</v>
      </c>
      <c r="M3687" s="48" t="n">
        <f aca="false">M3682*(1-Assumptions!$E$37)</f>
        <v>3.33686177067375</v>
      </c>
      <c r="N3687" s="48" t="n">
        <f aca="false">N3682*(1-Assumptions!$E$37)</f>
        <v>3.19572066632576</v>
      </c>
      <c r="P3687" s="49" t="n">
        <f aca="false">SUM(C3687:F3687)</f>
        <v>2.72320355789559</v>
      </c>
      <c r="Q3687" s="49" t="n">
        <f aca="false">SUM(G3687:J3687)</f>
        <v>7.35296329778613</v>
      </c>
      <c r="R3687" s="49" t="n">
        <f aca="false">SUM(K3687:N3687)</f>
        <v>13.5628280703333</v>
      </c>
      <c r="S3687" s="50" t="n">
        <f aca="false">SUM(P3687:R3687)</f>
        <v>23.638994926015</v>
      </c>
    </row>
    <row r="3688" customFormat="false" ht="15" hidden="false" customHeight="false" outlineLevel="0" collapsed="false">
      <c r="A3688" s="4" t="s">
        <v>522</v>
      </c>
      <c r="B3688" s="36" t="s">
        <v>125</v>
      </c>
      <c r="C3688" s="54" t="n">
        <f aca="false">C3687*$C$3641+C3683*$C$3642+C3684*$C$3643</f>
        <v>0</v>
      </c>
      <c r="D3688" s="54" t="n">
        <f aca="false">D3687*$C$3641+D3683*$C$3642+D3684*$C$3643</f>
        <v>7485.37917000042</v>
      </c>
      <c r="E3688" s="54" t="n">
        <f aca="false">E3687*$C$3641+E3683*$C$3642+E3684*$C$3643</f>
        <v>16927.2525126291</v>
      </c>
      <c r="F3688" s="54" t="n">
        <f aca="false">F3687*$C$3641+F3683*$C$3642+F3684*$C$3643</f>
        <v>20969.5035305685</v>
      </c>
      <c r="G3688" s="54" t="n">
        <f aca="false">G3687*$C$3641+G3683*$C$3642+G3684*$C$3643</f>
        <v>22758.9083850228</v>
      </c>
      <c r="H3688" s="54" t="n">
        <f aca="false">H3687*$C$3641+H3683*$C$3642+H3684*$C$3643</f>
        <v>27507.6836712883</v>
      </c>
      <c r="I3688" s="54" t="n">
        <f aca="false">I3687*$C$3641+I3683*$C$3642+I3684*$C$3643</f>
        <v>32711.6824932699</v>
      </c>
      <c r="J3688" s="54" t="n">
        <f aca="false">J3687*$C$3641+J3683*$C$3642+J3684*$C$3643</f>
        <v>44073.7355572138</v>
      </c>
      <c r="K3688" s="54" t="n">
        <f aca="false">K3687*$C$3641+K3683*$C$3642+K3684*$C$3643</f>
        <v>56496.5051020501</v>
      </c>
      <c r="L3688" s="54" t="n">
        <f aca="false">L3687*$C$3641+L3683*$C$3642+L3684*$C$3643</f>
        <v>59510.7176826409</v>
      </c>
      <c r="M3688" s="54" t="n">
        <f aca="false">M3687*$C$3641+M3683*$C$3642+M3684*$C$3643</f>
        <v>57464.0866379391</v>
      </c>
      <c r="N3688" s="54" t="n">
        <f aca="false">N3687*$C$3641+N3683*$C$3642+N3684*$C$3643</f>
        <v>54966.2376163397</v>
      </c>
      <c r="P3688" s="55" t="n">
        <f aca="false">SUM(C3688:F3688)</f>
        <v>45382.135213198</v>
      </c>
      <c r="Q3688" s="55" t="n">
        <f aca="false">SUM(G3688:J3688)</f>
        <v>127052.010106795</v>
      </c>
      <c r="R3688" s="55" t="n">
        <f aca="false">SUM(K3688:N3688)</f>
        <v>228437.54703897</v>
      </c>
      <c r="S3688" s="56" t="n">
        <f aca="false">SUM(P3688:R3688)</f>
        <v>400871.692358963</v>
      </c>
    </row>
    <row r="3689" customFormat="false" ht="15" hidden="false" customHeight="false" outlineLevel="0" collapsed="false">
      <c r="A3689" s="4" t="s">
        <v>523</v>
      </c>
      <c r="B3689" s="36" t="s">
        <v>125</v>
      </c>
      <c r="C3689" s="54" t="n">
        <f aca="false">(C3665+Assumptions!$D$104*C3651)*$C$3646</f>
        <v>306250</v>
      </c>
      <c r="D3689" s="54" t="n">
        <f aca="false">(D3665+Assumptions!$D$104*D3651)*$C$3646</f>
        <v>306250</v>
      </c>
      <c r="E3689" s="54" t="n">
        <f aca="false">(E3665+Assumptions!$D$104*E3651)*$C$3646</f>
        <v>306250</v>
      </c>
      <c r="F3689" s="54" t="n">
        <f aca="false">(F3665+Assumptions!$D$104*F3651)*$C$3646</f>
        <v>306250</v>
      </c>
      <c r="G3689" s="54" t="n">
        <f aca="false">(G3665+Assumptions!$D$104*G3651)*$C$3646</f>
        <v>306250</v>
      </c>
      <c r="H3689" s="54" t="n">
        <f aca="false">(H3665+Assumptions!$D$104*H3651)*$C$3646</f>
        <v>306250</v>
      </c>
      <c r="I3689" s="54" t="n">
        <f aca="false">(I3665+Assumptions!$D$104*I3651)*$C$3646</f>
        <v>306250</v>
      </c>
      <c r="J3689" s="54" t="n">
        <f aca="false">(J3665+Assumptions!$D$104*J3651)*$C$3646</f>
        <v>306250</v>
      </c>
      <c r="K3689" s="54" t="n">
        <f aca="false">(K3665+Assumptions!$D$104*K3651)*$C$3646</f>
        <v>306250</v>
      </c>
      <c r="L3689" s="54" t="n">
        <f aca="false">(L3665+Assumptions!$D$104*L3651)*$C$3646</f>
        <v>306250</v>
      </c>
      <c r="M3689" s="54" t="n">
        <f aca="false">(M3665+Assumptions!$D$104*M3651)*$C$3646</f>
        <v>306250</v>
      </c>
      <c r="N3689" s="54" t="n">
        <f aca="false">(N3665+Assumptions!$D$104*N3651)*$C$3646</f>
        <v>306250</v>
      </c>
      <c r="P3689" s="55" t="n">
        <f aca="false">SUM(C3689:F3689)</f>
        <v>1225000</v>
      </c>
      <c r="Q3689" s="55" t="n">
        <f aca="false">SUM(G3689:J3689)</f>
        <v>1225000</v>
      </c>
      <c r="R3689" s="55" t="n">
        <f aca="false">SUM(K3689:N3689)</f>
        <v>1225000</v>
      </c>
      <c r="S3689" s="56" t="n">
        <f aca="false">SUM(P3689:R3689)</f>
        <v>3675000</v>
      </c>
    </row>
    <row r="3690" customFormat="false" ht="15" hidden="false" customHeight="false" outlineLevel="0" collapsed="false">
      <c r="A3690" s="4" t="s">
        <v>524</v>
      </c>
      <c r="B3690" s="36" t="s">
        <v>77</v>
      </c>
      <c r="C3690" s="51" t="n">
        <f aca="false">IF(C3688&gt;0,MIN(1,C3689/C3688),1)</f>
        <v>1</v>
      </c>
      <c r="D3690" s="51" t="n">
        <f aca="false">IF(D3688&gt;0,MIN(1,D3689/D3688),1)</f>
        <v>1</v>
      </c>
      <c r="E3690" s="51" t="n">
        <f aca="false">IF(E3688&gt;0,MIN(1,E3689/E3688),1)</f>
        <v>1</v>
      </c>
      <c r="F3690" s="51" t="n">
        <f aca="false">IF(F3688&gt;0,MIN(1,F3689/F3688),1)</f>
        <v>1</v>
      </c>
      <c r="G3690" s="51" t="n">
        <f aca="false">IF(G3688&gt;0,MIN(1,G3689/G3688),1)</f>
        <v>1</v>
      </c>
      <c r="H3690" s="51" t="n">
        <f aca="false">IF(H3688&gt;0,MIN(1,H3689/H3688),1)</f>
        <v>1</v>
      </c>
      <c r="I3690" s="51" t="n">
        <f aca="false">IF(I3688&gt;0,MIN(1,I3689/I3688),1)</f>
        <v>1</v>
      </c>
      <c r="J3690" s="51" t="n">
        <f aca="false">IF(J3688&gt;0,MIN(1,J3689/J3688),1)</f>
        <v>1</v>
      </c>
      <c r="K3690" s="51" t="n">
        <f aca="false">IF(K3688&gt;0,MIN(1,K3689/K3688),1)</f>
        <v>1</v>
      </c>
      <c r="L3690" s="51" t="n">
        <f aca="false">IF(L3688&gt;0,MIN(1,L3689/L3688),1)</f>
        <v>1</v>
      </c>
      <c r="M3690" s="51" t="n">
        <f aca="false">IF(M3688&gt;0,MIN(1,M3689/M3688),1)</f>
        <v>1</v>
      </c>
      <c r="N3690" s="51" t="n">
        <f aca="false">IF(N3688&gt;0,MIN(1,N3689/N3688),1)</f>
        <v>1</v>
      </c>
      <c r="P3690" s="52"/>
      <c r="Q3690" s="52"/>
      <c r="R3690" s="52"/>
      <c r="S3690" s="53"/>
    </row>
    <row r="3691" customFormat="false" ht="15" hidden="false" customHeight="false" outlineLevel="0" collapsed="false">
      <c r="A3691" s="4" t="s">
        <v>525</v>
      </c>
      <c r="B3691" s="36" t="s">
        <v>125</v>
      </c>
      <c r="C3691" s="54" t="n">
        <f aca="false">C3688*(1-C3690)</f>
        <v>0</v>
      </c>
      <c r="D3691" s="54" t="n">
        <f aca="false">D3688*(1-D3690)</f>
        <v>0</v>
      </c>
      <c r="E3691" s="54" t="n">
        <f aca="false">E3688*(1-E3690)</f>
        <v>0</v>
      </c>
      <c r="F3691" s="54" t="n">
        <f aca="false">F3688*(1-F3690)</f>
        <v>0</v>
      </c>
      <c r="G3691" s="54" t="n">
        <f aca="false">G3688*(1-G3690)</f>
        <v>0</v>
      </c>
      <c r="H3691" s="54" t="n">
        <f aca="false">H3688*(1-H3690)</f>
        <v>0</v>
      </c>
      <c r="I3691" s="54" t="n">
        <f aca="false">I3688*(1-I3690)</f>
        <v>0</v>
      </c>
      <c r="J3691" s="54" t="n">
        <f aca="false">J3688*(1-J3690)</f>
        <v>0</v>
      </c>
      <c r="K3691" s="54" t="n">
        <f aca="false">K3688*(1-K3690)</f>
        <v>0</v>
      </c>
      <c r="L3691" s="54" t="n">
        <f aca="false">L3688*(1-L3690)</f>
        <v>0</v>
      </c>
      <c r="M3691" s="54" t="n">
        <f aca="false">M3688*(1-M3690)</f>
        <v>0</v>
      </c>
      <c r="N3691" s="54" t="n">
        <f aca="false">N3688*(1-N3690)</f>
        <v>0</v>
      </c>
      <c r="P3691" s="55" t="n">
        <f aca="false">SUM(C3691:F3691)</f>
        <v>0</v>
      </c>
      <c r="Q3691" s="55" t="n">
        <f aca="false">SUM(G3691:J3691)</f>
        <v>0</v>
      </c>
      <c r="R3691" s="55" t="n">
        <f aca="false">SUM(K3691:N3691)</f>
        <v>0</v>
      </c>
      <c r="S3691" s="56" t="n">
        <f aca="false">SUM(P3691:R3691)</f>
        <v>0</v>
      </c>
    </row>
    <row r="3692" customFormat="false" ht="15" hidden="false" customHeight="false" outlineLevel="0" collapsed="false">
      <c r="A3692" s="4" t="s">
        <v>526</v>
      </c>
      <c r="B3692" s="36" t="s">
        <v>527</v>
      </c>
      <c r="C3692" s="48" t="n">
        <f aca="false">C3686+C3687*C3690</f>
        <v>0</v>
      </c>
      <c r="D3692" s="48" t="n">
        <f aca="false">D3686+D3687*D3690</f>
        <v>0.866376445183821</v>
      </c>
      <c r="E3692" s="48" t="n">
        <f aca="false">E3686+E3687*E3690</f>
        <v>1.44955495652843</v>
      </c>
      <c r="F3692" s="48" t="n">
        <f aca="false">F3686+F3687*F3690</f>
        <v>1.57435939528145</v>
      </c>
      <c r="G3692" s="48" t="n">
        <f aca="false">G3686+G3687*G3690</f>
        <v>1.70805314630603</v>
      </c>
      <c r="H3692" s="48" t="n">
        <f aca="false">H3686+H3687*H3690</f>
        <v>2.20366492867466</v>
      </c>
      <c r="I3692" s="48" t="n">
        <f aca="false">I3686+I3687*I3690</f>
        <v>2.64422333634468</v>
      </c>
      <c r="J3692" s="48" t="n">
        <f aca="false">J3686+J3687*J3690</f>
        <v>3.94829187122624</v>
      </c>
      <c r="K3692" s="48" t="n">
        <f aca="false">K3686+K3687*K3690</f>
        <v>5.04716658070741</v>
      </c>
      <c r="L3692" s="48" t="n">
        <f aca="false">L3686+L3687*L3690</f>
        <v>4.99604146691222</v>
      </c>
      <c r="M3692" s="48" t="n">
        <f aca="false">M3686+M3687*M3690</f>
        <v>4.76694538667679</v>
      </c>
      <c r="N3692" s="48" t="n">
        <f aca="false">N3686+N3687*N3690</f>
        <v>4.56531523760823</v>
      </c>
      <c r="P3692" s="49" t="n">
        <f aca="false">SUM(C3692:F3692)</f>
        <v>3.8902907969937</v>
      </c>
      <c r="Q3692" s="49" t="n">
        <f aca="false">SUM(G3692:J3692)</f>
        <v>10.5042332825516</v>
      </c>
      <c r="R3692" s="49" t="n">
        <f aca="false">SUM(K3692:N3692)</f>
        <v>19.3754686719046</v>
      </c>
      <c r="S3692" s="50" t="n">
        <f aca="false">SUM(P3692:R3692)</f>
        <v>33.76999275145</v>
      </c>
    </row>
    <row r="3693" customFormat="false" ht="15" hidden="false" customHeight="false" outlineLevel="0" collapsed="false">
      <c r="A3693" s="4" t="s">
        <v>528</v>
      </c>
      <c r="B3693" s="36" t="s">
        <v>527</v>
      </c>
      <c r="C3693" s="48" t="n">
        <f aca="false">C3683*C3690</f>
        <v>0</v>
      </c>
      <c r="D3693" s="48" t="n">
        <f aca="false">D3683*D3690</f>
        <v>0.434084974267145</v>
      </c>
      <c r="E3693" s="48" t="n">
        <f aca="false">E3683*E3690</f>
        <v>0.72627785473779</v>
      </c>
      <c r="F3693" s="48" t="n">
        <f aca="false">F3683*F3690</f>
        <v>0.788809254207027</v>
      </c>
      <c r="G3693" s="48" t="n">
        <f aca="false">G3683*G3690</f>
        <v>0.855794510784347</v>
      </c>
      <c r="H3693" s="48" t="n">
        <f aca="false">H3683*H3690</f>
        <v>1.08233195044117</v>
      </c>
      <c r="I3693" s="48" t="n">
        <f aca="false">I3683*I3690</f>
        <v>1.28357558720506</v>
      </c>
      <c r="J3693" s="48" t="n">
        <f aca="false">J3683*J3690</f>
        <v>1.802729293511</v>
      </c>
      <c r="K3693" s="48" t="n">
        <f aca="false">K3683*K3690</f>
        <v>2.24420003381002</v>
      </c>
      <c r="L3693" s="48" t="n">
        <f aca="false">L3683*L3690</f>
        <v>2.22146748074822</v>
      </c>
      <c r="M3693" s="48" t="n">
        <f aca="false">M3683*M3690</f>
        <v>2.11960093388698</v>
      </c>
      <c r="N3693" s="48" t="n">
        <f aca="false">N3683*N3690</f>
        <v>2.02994699040779</v>
      </c>
      <c r="P3693" s="49" t="n">
        <f aca="false">SUM(C3693:F3693)</f>
        <v>1.94917208321196</v>
      </c>
      <c r="Q3693" s="49" t="n">
        <f aca="false">SUM(G3693:J3693)</f>
        <v>5.02443134194158</v>
      </c>
      <c r="R3693" s="49" t="n">
        <f aca="false">SUM(K3693:N3693)</f>
        <v>8.61521543885301</v>
      </c>
      <c r="S3693" s="50" t="n">
        <f aca="false">SUM(P3693:R3693)</f>
        <v>15.5888188640065</v>
      </c>
    </row>
    <row r="3694" customFormat="false" ht="15" hidden="false" customHeight="false" outlineLevel="0" collapsed="false">
      <c r="A3694" s="4" t="s">
        <v>529</v>
      </c>
      <c r="B3694" s="36" t="s">
        <v>527</v>
      </c>
      <c r="C3694" s="48" t="n">
        <f aca="false">C3684*C3690</f>
        <v>0</v>
      </c>
      <c r="D3694" s="48" t="n">
        <f aca="false">D3684*D3690</f>
        <v>0</v>
      </c>
      <c r="E3694" s="48" t="n">
        <f aca="false">E3684*E3690</f>
        <v>0.071275680959914</v>
      </c>
      <c r="F3694" s="48" t="n">
        <f aca="false">F3684*F3690</f>
        <v>0.119253030469291</v>
      </c>
      <c r="G3694" s="48" t="n">
        <f aca="false">G3684*G3690</f>
        <v>0.129520531863623</v>
      </c>
      <c r="H3694" s="48" t="n">
        <f aca="false">H3684*H3690</f>
        <v>0.140519345597924</v>
      </c>
      <c r="I3694" s="48" t="n">
        <f aca="false">I3684*I3690</f>
        <v>0.166224191003089</v>
      </c>
      <c r="J3694" s="48" t="n">
        <f aca="false">J3684*J3690</f>
        <v>0.18898400711986</v>
      </c>
      <c r="K3694" s="48" t="n">
        <f aca="false">K3684*K3690</f>
        <v>0.253638214152103</v>
      </c>
      <c r="L3694" s="48" t="n">
        <f aca="false">L3684*L3690</f>
        <v>0.309123273139591</v>
      </c>
      <c r="M3694" s="48" t="n">
        <f aca="false">M3684*M3690</f>
        <v>0.305992018748976</v>
      </c>
      <c r="N3694" s="48" t="n">
        <f aca="false">N3684*N3690</f>
        <v>0.291960595562642</v>
      </c>
      <c r="P3694" s="49" t="n">
        <f aca="false">SUM(C3694:F3694)</f>
        <v>0.190528711429205</v>
      </c>
      <c r="Q3694" s="49" t="n">
        <f aca="false">SUM(G3694:J3694)</f>
        <v>0.625248075584496</v>
      </c>
      <c r="R3694" s="49" t="n">
        <f aca="false">SUM(K3694:N3694)</f>
        <v>1.16071410160331</v>
      </c>
      <c r="S3694" s="50" t="n">
        <f aca="false">SUM(P3694:R3694)</f>
        <v>1.97649088861701</v>
      </c>
    </row>
    <row r="3695" customFormat="false" ht="15" hidden="false" customHeight="false" outlineLevel="0" collapsed="false">
      <c r="A3695" s="9" t="s">
        <v>530</v>
      </c>
      <c r="B3695" s="36" t="s">
        <v>527</v>
      </c>
      <c r="C3695" s="49" t="n">
        <f aca="false">C3692+C3693+C3694</f>
        <v>0</v>
      </c>
      <c r="D3695" s="49" t="n">
        <f aca="false">D3692+D3693+D3694</f>
        <v>1.30046141945097</v>
      </c>
      <c r="E3695" s="49" t="n">
        <f aca="false">E3692+E3693+E3694</f>
        <v>2.24710849222614</v>
      </c>
      <c r="F3695" s="49" t="n">
        <f aca="false">F3692+F3693+F3694</f>
        <v>2.48242167995776</v>
      </c>
      <c r="G3695" s="49" t="n">
        <f aca="false">G3692+G3693+G3694</f>
        <v>2.693368188954</v>
      </c>
      <c r="H3695" s="49" t="n">
        <f aca="false">H3692+H3693+H3694</f>
        <v>3.42651622471375</v>
      </c>
      <c r="I3695" s="49" t="n">
        <f aca="false">I3692+I3693+I3694</f>
        <v>4.09402311455284</v>
      </c>
      <c r="J3695" s="49" t="n">
        <f aca="false">J3692+J3693+J3694</f>
        <v>5.9400051718571</v>
      </c>
      <c r="K3695" s="49" t="n">
        <f aca="false">K3692+K3693+K3694</f>
        <v>7.54500482866954</v>
      </c>
      <c r="L3695" s="49" t="n">
        <f aca="false">L3692+L3693+L3694</f>
        <v>7.52663222080003</v>
      </c>
      <c r="M3695" s="49" t="n">
        <f aca="false">M3692+M3693+M3694</f>
        <v>7.19253833931275</v>
      </c>
      <c r="N3695" s="49" t="n">
        <f aca="false">N3692+N3693+N3694</f>
        <v>6.88722282357866</v>
      </c>
      <c r="P3695" s="49" t="n">
        <f aca="false">SUM(C3695:F3695)</f>
        <v>6.02999159163486</v>
      </c>
      <c r="Q3695" s="49" t="n">
        <f aca="false">SUM(G3695:J3695)</f>
        <v>16.1539127000777</v>
      </c>
      <c r="R3695" s="49" t="n">
        <f aca="false">SUM(K3695:N3695)</f>
        <v>29.151398212361</v>
      </c>
      <c r="S3695" s="50" t="n">
        <f aca="false">SUM(P3695:R3695)</f>
        <v>51.3353025040735</v>
      </c>
    </row>
    <row r="3696" customFormat="false" ht="15" hidden="false" customHeight="false" outlineLevel="0" collapsed="false">
      <c r="A3696" s="35" t="s">
        <v>533</v>
      </c>
      <c r="B3696" s="35" t="s">
        <v>444</v>
      </c>
      <c r="C3696" s="6" t="s">
        <v>354</v>
      </c>
      <c r="D3696" s="6" t="s">
        <v>355</v>
      </c>
      <c r="E3696" s="6" t="s">
        <v>356</v>
      </c>
      <c r="F3696" s="6" t="s">
        <v>357</v>
      </c>
      <c r="G3696" s="6" t="s">
        <v>358</v>
      </c>
      <c r="H3696" s="6" t="s">
        <v>359</v>
      </c>
      <c r="I3696" s="6" t="s">
        <v>360</v>
      </c>
      <c r="J3696" s="6" t="s">
        <v>361</v>
      </c>
      <c r="K3696" s="6" t="s">
        <v>362</v>
      </c>
      <c r="L3696" s="6" t="s">
        <v>363</v>
      </c>
      <c r="M3696" s="6" t="s">
        <v>364</v>
      </c>
      <c r="N3696" s="6" t="s">
        <v>365</v>
      </c>
      <c r="P3696" s="6" t="s">
        <v>445</v>
      </c>
      <c r="Q3696" s="6" t="s">
        <v>446</v>
      </c>
      <c r="R3696" s="6" t="s">
        <v>447</v>
      </c>
      <c r="S3696" s="6" t="s">
        <v>448</v>
      </c>
    </row>
    <row r="3697" customFormat="false" ht="15" hidden="false" customHeight="false" outlineLevel="0" collapsed="false">
      <c r="A3697" s="4" t="s">
        <v>534</v>
      </c>
      <c r="B3697" s="36" t="s">
        <v>527</v>
      </c>
      <c r="C3697" s="48" t="n">
        <f aca="false">0*Assumptions!$E$59^(1/4)+C3692</f>
        <v>0</v>
      </c>
      <c r="D3697" s="48" t="n">
        <f aca="false">C3697*Assumptions!$E$59^(1/4)+D3692</f>
        <v>0.866376445183821</v>
      </c>
      <c r="E3697" s="48" t="n">
        <f aca="false">D3697*Assumptions!$E$59^(1/4)+E3692</f>
        <v>2.28868120110406</v>
      </c>
      <c r="F3697" s="48" t="n">
        <f aca="false">E3697*Assumptions!$E$59^(1/4)+F3692</f>
        <v>3.79105454204969</v>
      </c>
      <c r="G3697" s="48" t="n">
        <f aca="false">F3697*Assumptions!$E$59^(1/4)+G3692</f>
        <v>5.37986737733188</v>
      </c>
      <c r="H3697" s="48" t="n">
        <f aca="false">G3697*Assumptions!$E$59^(1/4)+H3692</f>
        <v>7.41431895066578</v>
      </c>
      <c r="I3697" s="48" t="n">
        <f aca="false">H3697*Assumptions!$E$59^(1/4)+I3692</f>
        <v>9.82533918009095</v>
      </c>
      <c r="J3697" s="48" t="n">
        <f aca="false">I3697*Assumptions!$E$59^(1/4)+J3692</f>
        <v>13.46459395181</v>
      </c>
      <c r="K3697" s="48" t="n">
        <f aca="false">J3697*Assumptions!$E$59^(1/4)+K3692</f>
        <v>18.0882576910744</v>
      </c>
      <c r="L3697" s="48" t="n">
        <f aca="false">K3697*Assumptions!$E$59^(1/4)+L3692</f>
        <v>22.5153678885892</v>
      </c>
      <c r="M3697" s="48" t="n">
        <f aca="false">L3697*Assumptions!$E$59^(1/4)+M3692</f>
        <v>26.5741357905918</v>
      </c>
      <c r="N3697" s="48" t="n">
        <f aca="false">M3697*Assumptions!$E$59^(1/4)+N3692</f>
        <v>30.3036128249473</v>
      </c>
      <c r="P3697" s="49" t="n">
        <f aca="false">F3697</f>
        <v>3.79105454204969</v>
      </c>
      <c r="Q3697" s="49" t="n">
        <f aca="false">J3697</f>
        <v>13.46459395181</v>
      </c>
      <c r="R3697" s="49" t="n">
        <f aca="false">N3697</f>
        <v>30.3036128249473</v>
      </c>
      <c r="S3697" s="50" t="n">
        <f aca="false">R3697</f>
        <v>30.3036128249473</v>
      </c>
    </row>
    <row r="3698" customFormat="false" ht="15" hidden="false" customHeight="false" outlineLevel="0" collapsed="false">
      <c r="A3698" s="4" t="s">
        <v>535</v>
      </c>
      <c r="B3698" s="36" t="s">
        <v>527</v>
      </c>
      <c r="C3698" s="48" t="n">
        <f aca="false">0*Assumptions!$E$60^(1/4)+C3693</f>
        <v>0</v>
      </c>
      <c r="D3698" s="48" t="n">
        <f aca="false">C3698*Assumptions!$E$60^(1/4)+D3693</f>
        <v>0.434084974267145</v>
      </c>
      <c r="E3698" s="48" t="n">
        <f aca="false">D3698*Assumptions!$E$60^(1/4)+E3693</f>
        <v>1.14907824594092</v>
      </c>
      <c r="F3698" s="48" t="n">
        <f aca="false">E3698*Assumptions!$E$60^(1/4)+F3693</f>
        <v>1.90801577068929</v>
      </c>
      <c r="G3698" s="48" t="n">
        <f aca="false">F3698*Assumptions!$E$60^(1/4)+G3693</f>
        <v>2.71420901967427</v>
      </c>
      <c r="H3698" s="48" t="n">
        <f aca="false">G3698*Assumptions!$E$60^(1/4)+H3693</f>
        <v>3.72598170418523</v>
      </c>
      <c r="I3698" s="48" t="n">
        <f aca="false">H3698*Assumptions!$E$60^(1/4)+I3693</f>
        <v>4.91269572619359</v>
      </c>
      <c r="J3698" s="48" t="n">
        <f aca="false">I3698*Assumptions!$E$60^(1/4)+J3693</f>
        <v>6.5877133358711</v>
      </c>
      <c r="K3698" s="48" t="n">
        <f aca="false">J3698*Assumptions!$E$60^(1/4)+K3693</f>
        <v>8.66065750332436</v>
      </c>
      <c r="L3698" s="48" t="n">
        <f aca="false">K3698*Assumptions!$E$60^(1/4)+L3693</f>
        <v>10.6569803354925</v>
      </c>
      <c r="M3698" s="48" t="n">
        <f aca="false">L3698*Assumptions!$E$60^(1/4)+M3693</f>
        <v>12.4995397062374</v>
      </c>
      <c r="N3698" s="48" t="n">
        <f aca="false">M3698*Assumptions!$E$60^(1/4)+N3693</f>
        <v>14.2045454928748</v>
      </c>
      <c r="P3698" s="49" t="n">
        <f aca="false">F3698</f>
        <v>1.90801577068929</v>
      </c>
      <c r="Q3698" s="49" t="n">
        <f aca="false">J3698</f>
        <v>6.5877133358711</v>
      </c>
      <c r="R3698" s="49" t="n">
        <f aca="false">N3698</f>
        <v>14.2045454928748</v>
      </c>
      <c r="S3698" s="50" t="n">
        <f aca="false">R3698</f>
        <v>14.2045454928748</v>
      </c>
    </row>
    <row r="3699" customFormat="false" ht="15" hidden="false" customHeight="false" outlineLevel="0" collapsed="false">
      <c r="A3699" s="4" t="s">
        <v>536</v>
      </c>
      <c r="B3699" s="36" t="s">
        <v>527</v>
      </c>
      <c r="C3699" s="48" t="n">
        <f aca="false">0*Assumptions!$E$61^(1/4)+C3694</f>
        <v>0</v>
      </c>
      <c r="D3699" s="48" t="n">
        <f aca="false">C3699*Assumptions!$E$61^(1/4)+D3694</f>
        <v>0</v>
      </c>
      <c r="E3699" s="48" t="n">
        <f aca="false">D3699*Assumptions!$E$61^(1/4)+E3694</f>
        <v>0.071275680959914</v>
      </c>
      <c r="F3699" s="48" t="n">
        <f aca="false">E3699*Assumptions!$E$61^(1/4)+F3694</f>
        <v>0.18905831988544</v>
      </c>
      <c r="G3699" s="48" t="n">
        <f aca="false">F3699*Assumptions!$E$61^(1/4)+G3694</f>
        <v>0.31467864692332</v>
      </c>
      <c r="H3699" s="48" t="n">
        <f aca="false">G3699*Assumptions!$E$61^(1/4)+H3694</f>
        <v>0.448706285739801</v>
      </c>
      <c r="I3699" s="48" t="n">
        <f aca="false">H3699*Assumptions!$E$61^(1/4)+I3694</f>
        <v>0.605673828201615</v>
      </c>
      <c r="J3699" s="48" t="n">
        <f aca="false">I3699*Assumptions!$E$61^(1/4)+J3694</f>
        <v>0.782163003097167</v>
      </c>
      <c r="K3699" s="48" t="n">
        <f aca="false">J3699*Assumptions!$E$61^(1/4)+K3694</f>
        <v>1.01966547711868</v>
      </c>
      <c r="L3699" s="48" t="n">
        <f aca="false">K3699*Assumptions!$E$61^(1/4)+L3694</f>
        <v>1.30775341990671</v>
      </c>
      <c r="M3699" s="48" t="n">
        <f aca="false">L3699*Assumptions!$E$61^(1/4)+M3694</f>
        <v>1.58676695814082</v>
      </c>
      <c r="N3699" s="48" t="n">
        <f aca="false">M3699*Assumptions!$E$61^(1/4)+N3694</f>
        <v>1.84599312471235</v>
      </c>
      <c r="P3699" s="49" t="n">
        <f aca="false">F3699</f>
        <v>0.18905831988544</v>
      </c>
      <c r="Q3699" s="49" t="n">
        <f aca="false">J3699</f>
        <v>0.782163003097167</v>
      </c>
      <c r="R3699" s="49" t="n">
        <f aca="false">N3699</f>
        <v>1.84599312471235</v>
      </c>
      <c r="S3699" s="50" t="n">
        <f aca="false">R3699</f>
        <v>1.84599312471235</v>
      </c>
    </row>
    <row r="3700" customFormat="false" ht="15" hidden="false" customHeight="false" outlineLevel="0" collapsed="false">
      <c r="A3700" s="9" t="s">
        <v>537</v>
      </c>
      <c r="B3700" s="36" t="s">
        <v>527</v>
      </c>
      <c r="C3700" s="49" t="n">
        <f aca="false">C3697+C3698+C3699</f>
        <v>0</v>
      </c>
      <c r="D3700" s="49" t="n">
        <f aca="false">D3697+D3698+D3699</f>
        <v>1.30046141945097</v>
      </c>
      <c r="E3700" s="49" t="n">
        <f aca="false">E3697+E3698+E3699</f>
        <v>3.50903512800489</v>
      </c>
      <c r="F3700" s="49" t="n">
        <f aca="false">F3697+F3698+F3699</f>
        <v>5.88812863262442</v>
      </c>
      <c r="G3700" s="49" t="n">
        <f aca="false">G3697+G3698+G3699</f>
        <v>8.40875504392947</v>
      </c>
      <c r="H3700" s="49" t="n">
        <f aca="false">H3697+H3698+H3699</f>
        <v>11.5890069405908</v>
      </c>
      <c r="I3700" s="49" t="n">
        <f aca="false">I3697+I3698+I3699</f>
        <v>15.3437087344862</v>
      </c>
      <c r="J3700" s="49" t="n">
        <f aca="false">J3697+J3698+J3699</f>
        <v>20.8344702907782</v>
      </c>
      <c r="K3700" s="49" t="n">
        <f aca="false">K3697+K3698+K3699</f>
        <v>27.7685806715174</v>
      </c>
      <c r="L3700" s="49" t="n">
        <f aca="false">L3697+L3698+L3699</f>
        <v>34.4801016439884</v>
      </c>
      <c r="M3700" s="49" t="n">
        <f aca="false">M3697+M3698+M3699</f>
        <v>40.66044245497</v>
      </c>
      <c r="N3700" s="49" t="n">
        <f aca="false">N3697+N3698+N3699</f>
        <v>46.3541514425344</v>
      </c>
      <c r="P3700" s="49" t="n">
        <f aca="false">F3700</f>
        <v>5.88812863262442</v>
      </c>
      <c r="Q3700" s="49" t="n">
        <f aca="false">J3700</f>
        <v>20.8344702907782</v>
      </c>
      <c r="R3700" s="49" t="n">
        <f aca="false">N3700</f>
        <v>46.3541514425344</v>
      </c>
      <c r="S3700" s="50" t="n">
        <f aca="false">R3700</f>
        <v>46.3541514425344</v>
      </c>
    </row>
    <row r="3701" customFormat="false" ht="15" hidden="false" customHeight="false" outlineLevel="0" collapsed="false">
      <c r="A3701" s="4" t="s">
        <v>538</v>
      </c>
      <c r="B3701" s="36" t="s">
        <v>125</v>
      </c>
      <c r="C3701" s="54" t="n">
        <f aca="false">0*Assumptions!$E$62^(1/4)+C3692*$C$3641</f>
        <v>0</v>
      </c>
      <c r="D3701" s="54" t="n">
        <f aca="false">C3701*Assumptions!$E$62^(1/4)+D3692*$C$3641</f>
        <v>4636.84673462381</v>
      </c>
      <c r="E3701" s="54" t="n">
        <f aca="false">D3701*Assumptions!$E$62^(1/4)+E3692*$C$3641</f>
        <v>12394.864861964</v>
      </c>
      <c r="F3701" s="54" t="n">
        <f aca="false">E3701*Assumptions!$E$62^(1/4)+F3692*$C$3641</f>
        <v>20820.8363455103</v>
      </c>
      <c r="G3701" s="54" t="n">
        <f aca="false">F3701*Assumptions!$E$62^(1/4)+G3692*$C$3641</f>
        <v>29962.3367845401</v>
      </c>
      <c r="H3701" s="54" t="n">
        <f aca="false">G3701*Assumptions!$E$62^(1/4)+H3692*$C$3641</f>
        <v>41756.3514828069</v>
      </c>
      <c r="I3701" s="54" t="n">
        <f aca="false">H3701*Assumptions!$E$62^(1/4)+I3692*$C$3641</f>
        <v>55908.2347789236</v>
      </c>
      <c r="J3701" s="54" t="n">
        <f aca="false">I3701*Assumptions!$E$62^(1/4)+J3692*$C$3641</f>
        <v>77039.4928737265</v>
      </c>
      <c r="K3701" s="54" t="n">
        <f aca="false">J3701*Assumptions!$E$62^(1/4)+K3692*$C$3641</f>
        <v>104051.928413673</v>
      </c>
      <c r="L3701" s="54" t="n">
        <f aca="false">K3701*Assumptions!$E$62^(1/4)+L3692*$C$3641</f>
        <v>130790.742344587</v>
      </c>
      <c r="M3701" s="54" t="n">
        <f aca="false">L3701*Assumptions!$E$62^(1/4)+M3692*$C$3641</f>
        <v>156303.434054081</v>
      </c>
      <c r="N3701" s="54" t="n">
        <f aca="false">M3701*Assumptions!$E$62^(1/4)+N3692*$C$3641</f>
        <v>180737.00120576</v>
      </c>
      <c r="P3701" s="55" t="n">
        <f aca="false">F3701</f>
        <v>20820.8363455103</v>
      </c>
      <c r="Q3701" s="55" t="n">
        <f aca="false">J3701</f>
        <v>77039.4928737265</v>
      </c>
      <c r="R3701" s="55" t="n">
        <f aca="false">N3701</f>
        <v>180737.00120576</v>
      </c>
      <c r="S3701" s="56" t="n">
        <f aca="false">R3701</f>
        <v>180737.00120576</v>
      </c>
    </row>
    <row r="3702" customFormat="false" ht="15" hidden="false" customHeight="false" outlineLevel="0" collapsed="false">
      <c r="A3702" s="4" t="s">
        <v>539</v>
      </c>
      <c r="B3702" s="36" t="s">
        <v>125</v>
      </c>
      <c r="C3702" s="54" t="n">
        <f aca="false">0*Assumptions!$E$63^(1/4)+C3693*$C$3642</f>
        <v>0</v>
      </c>
      <c r="D3702" s="54" t="n">
        <f aca="false">C3702*Assumptions!$E$63^(1/4)+D3693*$C$3642</f>
        <v>4239.58645576376</v>
      </c>
      <c r="E3702" s="54" t="n">
        <f aca="false">D3702*Assumptions!$E$63^(1/4)+E3693*$C$3642</f>
        <v>11395.1500381688</v>
      </c>
      <c r="F3702" s="54" t="n">
        <f aca="false">E3702*Assumptions!$E$63^(1/4)+F3693*$C$3642</f>
        <v>19266.4399377074</v>
      </c>
      <c r="G3702" s="54" t="n">
        <f aca="false">F3702*Assumptions!$E$63^(1/4)+G3693*$C$3642</f>
        <v>27907.458188124</v>
      </c>
      <c r="H3702" s="54" t="n">
        <f aca="false">G3702*Assumptions!$E$63^(1/4)+H3693*$C$3642</f>
        <v>38887.8011829001</v>
      </c>
      <c r="I3702" s="54" t="n">
        <f aca="false">H3702*Assumptions!$E$63^(1/4)+I3693*$C$3642</f>
        <v>51994.7583196259</v>
      </c>
      <c r="J3702" s="54" t="n">
        <f aca="false">I3702*Assumptions!$E$63^(1/4)+J3693*$C$3642</f>
        <v>70364.4738824096</v>
      </c>
      <c r="K3702" s="54" t="n">
        <f aca="false">J3702*Assumptions!$E$63^(1/4)+K3693*$C$3642</f>
        <v>93315.4649910571</v>
      </c>
      <c r="L3702" s="54" t="n">
        <f aca="false">K3702*Assumptions!$E$63^(1/4)+L3693*$C$3642</f>
        <v>116381.212929085</v>
      </c>
      <c r="M3702" s="54" t="n">
        <f aca="false">L3702*Assumptions!$E$63^(1/4)+M3693*$C$3642</f>
        <v>138790.522050444</v>
      </c>
      <c r="N3702" s="54" t="n">
        <f aca="false">M3702*Assumptions!$E$63^(1/4)+N3693*$C$3642</f>
        <v>160653.036952195</v>
      </c>
      <c r="P3702" s="55" t="n">
        <f aca="false">F3702</f>
        <v>19266.4399377074</v>
      </c>
      <c r="Q3702" s="55" t="n">
        <f aca="false">J3702</f>
        <v>70364.4738824096</v>
      </c>
      <c r="R3702" s="55" t="n">
        <f aca="false">N3702</f>
        <v>160653.036952195</v>
      </c>
      <c r="S3702" s="56" t="n">
        <f aca="false">R3702</f>
        <v>160653.036952195</v>
      </c>
    </row>
    <row r="3703" customFormat="false" ht="15" hidden="false" customHeight="false" outlineLevel="0" collapsed="false">
      <c r="A3703" s="4" t="s">
        <v>540</v>
      </c>
      <c r="B3703" s="36" t="s">
        <v>125</v>
      </c>
      <c r="C3703" s="54" t="n">
        <f aca="false">0*Assumptions!$E$64^(1/4)+C3694*$C$3643</f>
        <v>0</v>
      </c>
      <c r="D3703" s="54" t="n">
        <f aca="false">C3703*Assumptions!$E$64^(1/4)+D3694*$C$3643</f>
        <v>0</v>
      </c>
      <c r="E3703" s="54" t="n">
        <f aca="false">D3703*Assumptions!$E$64^(1/4)+E3694*$C$3643</f>
        <v>4403.28728055653</v>
      </c>
      <c r="F3703" s="54" t="n">
        <f aca="false">E3703*Assumptions!$E$64^(1/4)+F3694*$C$3643</f>
        <v>11927.103977109</v>
      </c>
      <c r="G3703" s="54" t="n">
        <f aca="false">F3703*Assumptions!$E$64^(1/4)+G3694*$C$3643</f>
        <v>20352.7614540104</v>
      </c>
      <c r="H3703" s="54" t="n">
        <f aca="false">G3703*Assumptions!$E$64^(1/4)+H3694*$C$3643</f>
        <v>29757.5066356913</v>
      </c>
      <c r="I3703" s="54" t="n">
        <f aca="false">H3703*Assumptions!$E$64^(1/4)+I3694*$C$3643</f>
        <v>41084.6669900373</v>
      </c>
      <c r="J3703" s="54" t="n">
        <f aca="false">I3703*Assumptions!$E$64^(1/4)+J3694*$C$3643</f>
        <v>54220.661128566</v>
      </c>
      <c r="K3703" s="54" t="n">
        <f aca="false">J3703*Assumptions!$E$64^(1/4)+K3694*$C$3643</f>
        <v>71817.9701171982</v>
      </c>
      <c r="L3703" s="54" t="n">
        <f aca="false">K3703*Assumptions!$E$64^(1/4)+L3694*$C$3643</f>
        <v>93468.775752735</v>
      </c>
      <c r="M3703" s="54" t="n">
        <f aca="false">L3703*Assumptions!$E$64^(1/4)+M3694*$C$3643</f>
        <v>115695.998951886</v>
      </c>
      <c r="N3703" s="54" t="n">
        <f aca="false">M3703*Assumptions!$E$64^(1/4)+N3694*$C$3643</f>
        <v>137846.742593686</v>
      </c>
      <c r="P3703" s="55" t="n">
        <f aca="false">F3703</f>
        <v>11927.103977109</v>
      </c>
      <c r="Q3703" s="55" t="n">
        <f aca="false">J3703</f>
        <v>54220.661128566</v>
      </c>
      <c r="R3703" s="55" t="n">
        <f aca="false">N3703</f>
        <v>137846.742593686</v>
      </c>
      <c r="S3703" s="56" t="n">
        <f aca="false">R3703</f>
        <v>137846.742593686</v>
      </c>
    </row>
    <row r="3704" customFormat="false" ht="15" hidden="false" customHeight="false" outlineLevel="0" collapsed="false">
      <c r="A3704" s="9" t="s">
        <v>541</v>
      </c>
      <c r="B3704" s="36" t="s">
        <v>125</v>
      </c>
      <c r="C3704" s="55" t="n">
        <f aca="false">C3701+C3702+C3703</f>
        <v>0</v>
      </c>
      <c r="D3704" s="55" t="n">
        <f aca="false">D3701+D3702+D3703</f>
        <v>8876.43319038757</v>
      </c>
      <c r="E3704" s="55" t="n">
        <f aca="false">E3701+E3702+E3703</f>
        <v>28193.3021806893</v>
      </c>
      <c r="F3704" s="55" t="n">
        <f aca="false">F3701+F3702+F3703</f>
        <v>52014.3802603267</v>
      </c>
      <c r="G3704" s="55" t="n">
        <f aca="false">G3701+G3702+G3703</f>
        <v>78222.5564266746</v>
      </c>
      <c r="H3704" s="55" t="n">
        <f aca="false">H3701+H3702+H3703</f>
        <v>110401.659301398</v>
      </c>
      <c r="I3704" s="55" t="n">
        <f aca="false">I3701+I3702+I3703</f>
        <v>148987.660088587</v>
      </c>
      <c r="J3704" s="55" t="n">
        <f aca="false">J3701+J3702+J3703</f>
        <v>201624.627884702</v>
      </c>
      <c r="K3704" s="55" t="n">
        <f aca="false">K3701+K3702+K3703</f>
        <v>269185.363521928</v>
      </c>
      <c r="L3704" s="55" t="n">
        <f aca="false">L3701+L3702+L3703</f>
        <v>340640.731026406</v>
      </c>
      <c r="M3704" s="55" t="n">
        <f aca="false">M3701+M3702+M3703</f>
        <v>410789.955056411</v>
      </c>
      <c r="N3704" s="55" t="n">
        <f aca="false">N3701+N3702+N3703</f>
        <v>479236.780751642</v>
      </c>
      <c r="P3704" s="55" t="n">
        <f aca="false">F3704</f>
        <v>52014.3802603267</v>
      </c>
      <c r="Q3704" s="55" t="n">
        <f aca="false">J3704</f>
        <v>201624.627884702</v>
      </c>
      <c r="R3704" s="55" t="n">
        <f aca="false">N3704</f>
        <v>479236.780751642</v>
      </c>
      <c r="S3704" s="56" t="n">
        <f aca="false">R3704</f>
        <v>479236.780751642</v>
      </c>
    </row>
    <row r="3705" customFormat="false" ht="15" hidden="false" customHeight="false" outlineLevel="0" collapsed="false">
      <c r="A3705" s="4" t="s">
        <v>542</v>
      </c>
      <c r="B3705" s="36" t="s">
        <v>125</v>
      </c>
      <c r="C3705" s="54" t="n">
        <f aca="false">C3692*$C$3641+C3693*$C$3642+C3694*$C$3643</f>
        <v>0</v>
      </c>
      <c r="D3705" s="54" t="n">
        <f aca="false">D3692*$C$3641+D3693*$C$3642+D3694*$C$3643</f>
        <v>8876.43319038757</v>
      </c>
      <c r="E3705" s="54" t="n">
        <f aca="false">E3692*$C$3641+E3693*$C$3642+E3694*$C$3643</f>
        <v>19254.6579508311</v>
      </c>
      <c r="F3705" s="54" t="n">
        <f aca="false">F3692*$C$3641+F3693*$C$3642+F3694*$C$3643</f>
        <v>23497.2949756324</v>
      </c>
      <c r="G3705" s="54" t="n">
        <f aca="false">G3692*$C$3641+G3693*$C$3642+G3694*$C$3643</f>
        <v>25501.3585167318</v>
      </c>
      <c r="H3705" s="54" t="n">
        <f aca="false">H3692*$C$3641+H3693*$C$3642+H3694*$C$3643</f>
        <v>31045.8880807684</v>
      </c>
      <c r="I3705" s="54" t="n">
        <f aca="false">I3692*$C$3641+I3693*$C$3642+I3694*$C$3643</f>
        <v>36957.2474821049</v>
      </c>
      <c r="J3705" s="54" t="n">
        <f aca="false">J3692*$C$3641+J3693*$C$3642+J3694*$C$3643</f>
        <v>50413.1129856546</v>
      </c>
      <c r="K3705" s="54" t="n">
        <f aca="false">K3692*$C$3641+K3693*$C$3642+K3694*$C$3643</f>
        <v>64600.2357640339</v>
      </c>
      <c r="L3705" s="54" t="n">
        <f aca="false">L3692*$C$3641+L3693*$C$3642+L3694*$C$3643</f>
        <v>67532.3618619151</v>
      </c>
      <c r="M3705" s="54" t="n">
        <f aca="false">M3692*$C$3641+M3693*$C$3642+M3694*$C$3643</f>
        <v>65117.8941507873</v>
      </c>
      <c r="N3705" s="54" t="n">
        <f aca="false">N3692*$C$3641+N3693*$C$3642+N3694*$C$3643</f>
        <v>62296.3077618435</v>
      </c>
      <c r="P3705" s="55" t="n">
        <f aca="false">SUM(C3705:F3705)</f>
        <v>51628.3861168511</v>
      </c>
      <c r="Q3705" s="55" t="n">
        <f aca="false">SUM(G3705:J3705)</f>
        <v>143917.60706526</v>
      </c>
      <c r="R3705" s="55" t="n">
        <f aca="false">SUM(K3705:N3705)</f>
        <v>259546.79953858</v>
      </c>
      <c r="S3705" s="56" t="n">
        <f aca="false">SUM(P3705:R3705)</f>
        <v>455092.792720691</v>
      </c>
    </row>
    <row r="3706" customFormat="false" ht="15" hidden="false" customHeight="false" outlineLevel="0" collapsed="false">
      <c r="A3706" s="9" t="s">
        <v>543</v>
      </c>
      <c r="B3706" s="36" t="s">
        <v>125</v>
      </c>
      <c r="C3706" s="55" t="n">
        <f aca="false">(0+C3704)/8</f>
        <v>0</v>
      </c>
      <c r="D3706" s="55" t="n">
        <f aca="false">(C3704+D3704)/8</f>
        <v>1109.55414879845</v>
      </c>
      <c r="E3706" s="55" t="n">
        <f aca="false">(D3704+E3704)/8</f>
        <v>4633.71692138461</v>
      </c>
      <c r="F3706" s="55" t="n">
        <f aca="false">(E3704+F3704)/8</f>
        <v>10025.960305127</v>
      </c>
      <c r="G3706" s="55" t="n">
        <f aca="false">(F3704+G3704)/8</f>
        <v>16279.6170858752</v>
      </c>
      <c r="H3706" s="55" t="n">
        <f aca="false">(G3704+H3704)/8</f>
        <v>23578.0269660091</v>
      </c>
      <c r="I3706" s="55" t="n">
        <f aca="false">(H3704+I3704)/8</f>
        <v>32423.6649237481</v>
      </c>
      <c r="J3706" s="55" t="n">
        <f aca="false">(I3704+J3704)/8</f>
        <v>43826.5359966611</v>
      </c>
      <c r="K3706" s="55" t="n">
        <f aca="false">(J3704+K3704)/8</f>
        <v>58851.2489258287</v>
      </c>
      <c r="L3706" s="55" t="n">
        <f aca="false">(K3704+L3704)/8</f>
        <v>76228.2618185418</v>
      </c>
      <c r="M3706" s="55" t="n">
        <f aca="false">(L3704+M3704)/8</f>
        <v>93928.8357603521</v>
      </c>
      <c r="N3706" s="55" t="n">
        <f aca="false">(M3704+N3704)/8</f>
        <v>111253.341976007</v>
      </c>
      <c r="P3706" s="55" t="n">
        <f aca="false">SUM(C3706:F3706)</f>
        <v>15769.2313753101</v>
      </c>
      <c r="Q3706" s="55" t="n">
        <f aca="false">SUM(G3706:J3706)</f>
        <v>116107.844972294</v>
      </c>
      <c r="R3706" s="55" t="n">
        <f aca="false">SUM(K3706:N3706)</f>
        <v>340261.688480729</v>
      </c>
      <c r="S3706" s="56" t="n">
        <f aca="false">SUM(P3706:R3706)</f>
        <v>472138.764828333</v>
      </c>
    </row>
    <row r="3707" customFormat="false" ht="15" hidden="false" customHeight="false" outlineLevel="0" collapsed="false">
      <c r="A3707" s="4" t="s">
        <v>544</v>
      </c>
      <c r="B3707" s="36" t="s">
        <v>125</v>
      </c>
      <c r="C3707" s="54" t="n">
        <f aca="false">C3706*Assumptions!$E$76</f>
        <v>0</v>
      </c>
      <c r="D3707" s="54" t="n">
        <f aca="false">D3706*Assumptions!$E$76</f>
        <v>721.21019671899</v>
      </c>
      <c r="E3707" s="54" t="n">
        <f aca="false">E3706*Assumptions!$E$76</f>
        <v>3011.9159989</v>
      </c>
      <c r="F3707" s="54" t="n">
        <f aca="false">F3706*Assumptions!$E$76</f>
        <v>6516.87419833255</v>
      </c>
      <c r="G3707" s="54" t="n">
        <f aca="false">G3706*Assumptions!$E$76</f>
        <v>10581.7511058189</v>
      </c>
      <c r="H3707" s="54" t="n">
        <f aca="false">H3706*Assumptions!$E$76</f>
        <v>15325.7175279059</v>
      </c>
      <c r="I3707" s="54" t="n">
        <f aca="false">I3706*Assumptions!$E$76</f>
        <v>21075.3822004363</v>
      </c>
      <c r="J3707" s="54" t="n">
        <f aca="false">J3706*Assumptions!$E$76</f>
        <v>28487.2483978297</v>
      </c>
      <c r="K3707" s="54" t="n">
        <f aca="false">K3706*Assumptions!$E$76</f>
        <v>38253.3118017887</v>
      </c>
      <c r="L3707" s="54" t="n">
        <f aca="false">L3706*Assumptions!$E$76</f>
        <v>49548.3701820522</v>
      </c>
      <c r="M3707" s="54" t="n">
        <f aca="false">M3706*Assumptions!$E$76</f>
        <v>61053.7432442289</v>
      </c>
      <c r="N3707" s="54" t="n">
        <f aca="false">N3706*Assumptions!$E$76</f>
        <v>72314.6722844043</v>
      </c>
      <c r="P3707" s="55" t="n">
        <f aca="false">SUM(C3707:F3707)</f>
        <v>10250.0003939515</v>
      </c>
      <c r="Q3707" s="55" t="n">
        <f aca="false">SUM(G3707:J3707)</f>
        <v>75470.0992319908</v>
      </c>
      <c r="R3707" s="55" t="n">
        <f aca="false">SUM(K3707:N3707)</f>
        <v>221170.097512474</v>
      </c>
      <c r="S3707" s="56" t="n">
        <f aca="false">SUM(P3707:R3707)</f>
        <v>306890.197138416</v>
      </c>
    </row>
    <row r="3708" customFormat="false" ht="15" hidden="false" customHeight="false" outlineLevel="0" collapsed="false">
      <c r="A3708" s="35" t="s">
        <v>547</v>
      </c>
      <c r="B3708" s="35" t="s">
        <v>444</v>
      </c>
      <c r="C3708" s="6" t="s">
        <v>354</v>
      </c>
      <c r="D3708" s="6" t="s">
        <v>355</v>
      </c>
      <c r="E3708" s="6" t="s">
        <v>356</v>
      </c>
      <c r="F3708" s="6" t="s">
        <v>357</v>
      </c>
      <c r="G3708" s="6" t="s">
        <v>358</v>
      </c>
      <c r="H3708" s="6" t="s">
        <v>359</v>
      </c>
      <c r="I3708" s="6" t="s">
        <v>360</v>
      </c>
      <c r="J3708" s="6" t="s">
        <v>361</v>
      </c>
      <c r="K3708" s="6" t="s">
        <v>362</v>
      </c>
      <c r="L3708" s="6" t="s">
        <v>363</v>
      </c>
      <c r="M3708" s="6" t="s">
        <v>364</v>
      </c>
      <c r="N3708" s="6" t="s">
        <v>365</v>
      </c>
      <c r="P3708" s="6" t="s">
        <v>445</v>
      </c>
      <c r="Q3708" s="6" t="s">
        <v>446</v>
      </c>
      <c r="R3708" s="6" t="s">
        <v>447</v>
      </c>
      <c r="S3708" s="6" t="s">
        <v>448</v>
      </c>
    </row>
    <row r="3709" customFormat="false" ht="15" hidden="false" customHeight="false" outlineLevel="0" collapsed="false">
      <c r="A3709" s="4" t="s">
        <v>548</v>
      </c>
      <c r="B3709" s="36" t="s">
        <v>321</v>
      </c>
      <c r="C3709" s="48" t="n">
        <f aca="false">Assumptions!$D$97*C3651</f>
        <v>1</v>
      </c>
      <c r="D3709" s="48" t="n">
        <f aca="false">Assumptions!$D$97*D3651</f>
        <v>1</v>
      </c>
      <c r="E3709" s="48" t="n">
        <f aca="false">Assumptions!$D$97*E3651</f>
        <v>1</v>
      </c>
      <c r="F3709" s="48" t="n">
        <f aca="false">Assumptions!$D$97*F3651</f>
        <v>1</v>
      </c>
      <c r="G3709" s="48" t="n">
        <f aca="false">Assumptions!$D$97*G3651</f>
        <v>1</v>
      </c>
      <c r="H3709" s="48" t="n">
        <f aca="false">Assumptions!$D$97*H3651</f>
        <v>1</v>
      </c>
      <c r="I3709" s="48" t="n">
        <f aca="false">Assumptions!$D$97*I3651</f>
        <v>1</v>
      </c>
      <c r="J3709" s="48" t="n">
        <f aca="false">Assumptions!$D$97*J3651</f>
        <v>1</v>
      </c>
      <c r="K3709" s="48" t="n">
        <f aca="false">Assumptions!$D$97*K3651</f>
        <v>1</v>
      </c>
      <c r="L3709" s="48" t="n">
        <f aca="false">Assumptions!$D$97*L3651</f>
        <v>1</v>
      </c>
      <c r="M3709" s="48" t="n">
        <f aca="false">Assumptions!$D$97*M3651</f>
        <v>1</v>
      </c>
      <c r="N3709" s="48" t="n">
        <f aca="false">Assumptions!$D$97*N3651</f>
        <v>1</v>
      </c>
      <c r="P3709" s="49" t="n">
        <f aca="false">AVERAGE(C3709:F3709)</f>
        <v>1</v>
      </c>
      <c r="Q3709" s="49" t="n">
        <f aca="false">AVERAGE(G3709:J3709)</f>
        <v>1</v>
      </c>
      <c r="R3709" s="49" t="n">
        <f aca="false">AVERAGE(K3709:N3709)</f>
        <v>1</v>
      </c>
      <c r="S3709" s="50"/>
    </row>
    <row r="3710" customFormat="false" ht="15" hidden="false" customHeight="false" outlineLevel="0" collapsed="false">
      <c r="A3710" s="4" t="s">
        <v>549</v>
      </c>
      <c r="B3710" s="36" t="s">
        <v>321</v>
      </c>
      <c r="C3710" s="48" t="n">
        <f aca="false">C3664*C3651</f>
        <v>0</v>
      </c>
      <c r="D3710" s="48" t="n">
        <f aca="false">D3664*D3651</f>
        <v>0</v>
      </c>
      <c r="E3710" s="48" t="n">
        <f aca="false">E3664*E3651</f>
        <v>0</v>
      </c>
      <c r="F3710" s="48" t="n">
        <f aca="false">F3664*F3651</f>
        <v>0</v>
      </c>
      <c r="G3710" s="48" t="n">
        <f aca="false">G3664*G3651</f>
        <v>0</v>
      </c>
      <c r="H3710" s="48" t="n">
        <f aca="false">H3664*H3651</f>
        <v>0</v>
      </c>
      <c r="I3710" s="48" t="n">
        <f aca="false">I3664*I3651</f>
        <v>0</v>
      </c>
      <c r="J3710" s="48" t="n">
        <f aca="false">J3664*J3651</f>
        <v>0</v>
      </c>
      <c r="K3710" s="48" t="n">
        <f aca="false">K3664*K3651</f>
        <v>0</v>
      </c>
      <c r="L3710" s="48" t="n">
        <f aca="false">L3664*L3651</f>
        <v>0</v>
      </c>
      <c r="M3710" s="48" t="n">
        <f aca="false">M3664*M3651</f>
        <v>0</v>
      </c>
      <c r="N3710" s="48" t="n">
        <f aca="false">N3664*N3651</f>
        <v>0</v>
      </c>
      <c r="P3710" s="49" t="n">
        <f aca="false">AVERAGE(C3710:F3710)</f>
        <v>0</v>
      </c>
      <c r="Q3710" s="49" t="n">
        <f aca="false">AVERAGE(G3710:J3710)</f>
        <v>0</v>
      </c>
      <c r="R3710" s="49" t="n">
        <f aca="false">AVERAGE(K3710:N3710)</f>
        <v>0</v>
      </c>
      <c r="S3710" s="50"/>
    </row>
    <row r="3711" customFormat="false" ht="15" hidden="false" customHeight="false" outlineLevel="0" collapsed="false">
      <c r="A3711" s="4" t="s">
        <v>550</v>
      </c>
      <c r="B3711" s="36" t="s">
        <v>321</v>
      </c>
      <c r="C3711" s="48" t="n">
        <f aca="false">IF(C3650&lt;=4,Assumptions!$D$98,Assumptions!$D$99)*C3651</f>
        <v>0</v>
      </c>
      <c r="D3711" s="48" t="n">
        <f aca="false">IF(D3650&lt;=4,Assumptions!$D$98,Assumptions!$D$99)*D3651</f>
        <v>0</v>
      </c>
      <c r="E3711" s="48" t="n">
        <f aca="false">IF(E3650&lt;=4,Assumptions!$D$98,Assumptions!$D$99)*E3651</f>
        <v>0</v>
      </c>
      <c r="F3711" s="48" t="n">
        <f aca="false">IF(F3650&lt;=4,Assumptions!$D$98,Assumptions!$D$99)*F3651</f>
        <v>0</v>
      </c>
      <c r="G3711" s="48" t="n">
        <f aca="false">IF(G3650&lt;=4,Assumptions!$D$98,Assumptions!$D$99)*G3651</f>
        <v>0.5</v>
      </c>
      <c r="H3711" s="48" t="n">
        <f aca="false">IF(H3650&lt;=4,Assumptions!$D$98,Assumptions!$D$99)*H3651</f>
        <v>0.5</v>
      </c>
      <c r="I3711" s="48" t="n">
        <f aca="false">IF(I3650&lt;=4,Assumptions!$D$98,Assumptions!$D$99)*I3651</f>
        <v>0.5</v>
      </c>
      <c r="J3711" s="48" t="n">
        <f aca="false">IF(J3650&lt;=4,Assumptions!$D$98,Assumptions!$D$99)*J3651</f>
        <v>0.5</v>
      </c>
      <c r="K3711" s="48" t="n">
        <f aca="false">IF(K3650&lt;=4,Assumptions!$D$98,Assumptions!$D$99)*K3651</f>
        <v>0.5</v>
      </c>
      <c r="L3711" s="48" t="n">
        <f aca="false">IF(L3650&lt;=4,Assumptions!$D$98,Assumptions!$D$99)*L3651</f>
        <v>0.5</v>
      </c>
      <c r="M3711" s="48" t="n">
        <f aca="false">IF(M3650&lt;=4,Assumptions!$D$98,Assumptions!$D$99)*M3651</f>
        <v>0.5</v>
      </c>
      <c r="N3711" s="48" t="n">
        <f aca="false">IF(N3650&lt;=4,Assumptions!$D$98,Assumptions!$D$99)*N3651</f>
        <v>0.5</v>
      </c>
      <c r="P3711" s="49" t="n">
        <f aca="false">AVERAGE(C3711:F3711)</f>
        <v>0</v>
      </c>
      <c r="Q3711" s="49" t="n">
        <f aca="false">AVERAGE(G3711:J3711)</f>
        <v>0.5</v>
      </c>
      <c r="R3711" s="49" t="n">
        <f aca="false">AVERAGE(K3711:N3711)</f>
        <v>0.5</v>
      </c>
      <c r="S3711" s="50"/>
    </row>
    <row r="3712" customFormat="false" ht="15" hidden="false" customHeight="false" outlineLevel="0" collapsed="false">
      <c r="A3712" s="4" t="s">
        <v>551</v>
      </c>
      <c r="B3712" s="36" t="s">
        <v>321</v>
      </c>
      <c r="C3712" s="48" t="n">
        <f aca="false">IF(C3650&lt;=4,Assumptions!$D$100,Assumptions!$D$101)*C3651</f>
        <v>1</v>
      </c>
      <c r="D3712" s="48" t="n">
        <f aca="false">IF(D3650&lt;=4,Assumptions!$D$100,Assumptions!$D$101)*D3651</f>
        <v>1</v>
      </c>
      <c r="E3712" s="48" t="n">
        <f aca="false">IF(E3650&lt;=4,Assumptions!$D$100,Assumptions!$D$101)*E3651</f>
        <v>1</v>
      </c>
      <c r="F3712" s="48" t="n">
        <f aca="false">IF(F3650&lt;=4,Assumptions!$D$100,Assumptions!$D$101)*F3651</f>
        <v>1</v>
      </c>
      <c r="G3712" s="48" t="n">
        <f aca="false">IF(G3650&lt;=4,Assumptions!$D$100,Assumptions!$D$101)*G3651</f>
        <v>0.5</v>
      </c>
      <c r="H3712" s="48" t="n">
        <f aca="false">IF(H3650&lt;=4,Assumptions!$D$100,Assumptions!$D$101)*H3651</f>
        <v>0.5</v>
      </c>
      <c r="I3712" s="48" t="n">
        <f aca="false">IF(I3650&lt;=4,Assumptions!$D$100,Assumptions!$D$101)*I3651</f>
        <v>0.5</v>
      </c>
      <c r="J3712" s="48" t="n">
        <f aca="false">IF(J3650&lt;=4,Assumptions!$D$100,Assumptions!$D$101)*J3651</f>
        <v>0.5</v>
      </c>
      <c r="K3712" s="48" t="n">
        <f aca="false">IF(K3650&lt;=4,Assumptions!$D$100,Assumptions!$D$101)*K3651</f>
        <v>0.5</v>
      </c>
      <c r="L3712" s="48" t="n">
        <f aca="false">IF(L3650&lt;=4,Assumptions!$D$100,Assumptions!$D$101)*L3651</f>
        <v>0.5</v>
      </c>
      <c r="M3712" s="48" t="n">
        <f aca="false">IF(M3650&lt;=4,Assumptions!$D$100,Assumptions!$D$101)*M3651</f>
        <v>0.5</v>
      </c>
      <c r="N3712" s="48" t="n">
        <f aca="false">IF(N3650&lt;=4,Assumptions!$D$100,Assumptions!$D$101)*N3651</f>
        <v>0.5</v>
      </c>
      <c r="P3712" s="49" t="n">
        <f aca="false">AVERAGE(C3712:F3712)</f>
        <v>1</v>
      </c>
      <c r="Q3712" s="49" t="n">
        <f aca="false">AVERAGE(G3712:J3712)</f>
        <v>0.5</v>
      </c>
      <c r="R3712" s="49" t="n">
        <f aca="false">AVERAGE(K3712:N3712)</f>
        <v>0.5</v>
      </c>
      <c r="S3712" s="50"/>
    </row>
    <row r="3713" customFormat="false" ht="15" hidden="false" customHeight="false" outlineLevel="0" collapsed="false">
      <c r="A3713" s="4" t="s">
        <v>552</v>
      </c>
      <c r="B3713" s="36" t="s">
        <v>321</v>
      </c>
      <c r="C3713" s="48" t="n">
        <f aca="false">Assumptions!$D$102*C3651</f>
        <v>0.25</v>
      </c>
      <c r="D3713" s="48" t="n">
        <f aca="false">Assumptions!$D$102*D3651</f>
        <v>0.25</v>
      </c>
      <c r="E3713" s="48" t="n">
        <f aca="false">Assumptions!$D$102*E3651</f>
        <v>0.25</v>
      </c>
      <c r="F3713" s="48" t="n">
        <f aca="false">Assumptions!$D$102*F3651</f>
        <v>0.25</v>
      </c>
      <c r="G3713" s="48" t="n">
        <f aca="false">Assumptions!$D$102*G3651</f>
        <v>0.25</v>
      </c>
      <c r="H3713" s="48" t="n">
        <f aca="false">Assumptions!$D$102*H3651</f>
        <v>0.25</v>
      </c>
      <c r="I3713" s="48" t="n">
        <f aca="false">Assumptions!$D$102*I3651</f>
        <v>0.25</v>
      </c>
      <c r="J3713" s="48" t="n">
        <f aca="false">Assumptions!$D$102*J3651</f>
        <v>0.25</v>
      </c>
      <c r="K3713" s="48" t="n">
        <f aca="false">Assumptions!$D$102*K3651</f>
        <v>0.25</v>
      </c>
      <c r="L3713" s="48" t="n">
        <f aca="false">Assumptions!$D$102*L3651</f>
        <v>0.25</v>
      </c>
      <c r="M3713" s="48" t="n">
        <f aca="false">Assumptions!$D$102*M3651</f>
        <v>0.25</v>
      </c>
      <c r="N3713" s="48" t="n">
        <f aca="false">Assumptions!$D$102*N3651</f>
        <v>0.25</v>
      </c>
      <c r="P3713" s="49" t="n">
        <f aca="false">AVERAGE(C3713:F3713)</f>
        <v>0.25</v>
      </c>
      <c r="Q3713" s="49" t="n">
        <f aca="false">AVERAGE(G3713:J3713)</f>
        <v>0.25</v>
      </c>
      <c r="R3713" s="49" t="n">
        <f aca="false">AVERAGE(K3713:N3713)</f>
        <v>0.25</v>
      </c>
      <c r="S3713" s="50"/>
    </row>
    <row r="3714" customFormat="false" ht="15" hidden="false" customHeight="false" outlineLevel="0" collapsed="false">
      <c r="A3714" s="4" t="s">
        <v>553</v>
      </c>
      <c r="B3714" s="36" t="s">
        <v>321</v>
      </c>
      <c r="C3714" s="48" t="n">
        <f aca="false">(C3698+C3699)/Assumptions!$E$74+C3697/Assumptions!$E$75</f>
        <v>0</v>
      </c>
      <c r="D3714" s="48" t="n">
        <f aca="false">(D3698+D3699)/Assumptions!$E$74+D3697/Assumptions!$E$75</f>
        <v>0.0143176301374139</v>
      </c>
      <c r="E3714" s="48" t="n">
        <f aca="false">(E3698+E3699)/Assumptions!$E$74+E3697/Assumptions!$E$75</f>
        <v>0.039663572976937</v>
      </c>
      <c r="F3714" s="48" t="n">
        <f aca="false">(F3698+F3699)/Assumptions!$E$74+F3697/Assumptions!$E$75</f>
        <v>0.067591070432567</v>
      </c>
      <c r="G3714" s="48" t="n">
        <f aca="false">(G3698+G3699)/Assumptions!$E$74+G3697/Assumptions!$E$75</f>
        <v>0.0972416611742672</v>
      </c>
      <c r="H3714" s="48" t="n">
        <f aca="false">(H3698+H3699)/Assumptions!$E$74+H3697/Assumptions!$E$75</f>
        <v>0.134024475550789</v>
      </c>
      <c r="I3714" s="48" t="n">
        <f aca="false">(I3698+I3699)/Assumptions!$E$74+I3697/Assumptions!$E$75</f>
        <v>0.177260595580244</v>
      </c>
      <c r="J3714" s="48" t="n">
        <f aca="false">(J3698+J3699)/Assumptions!$E$74+J3697/Assumptions!$E$75</f>
        <v>0.238105284281447</v>
      </c>
      <c r="K3714" s="48" t="n">
        <f aca="false">(K3698+K3699)/Assumptions!$E$74+K3697/Assumptions!$E$75</f>
        <v>0.314361105275374</v>
      </c>
      <c r="L3714" s="48" t="n">
        <f aca="false">(L3698+L3699)/Assumptions!$E$74+L3697/Assumptions!$E$75</f>
        <v>0.389179815439337</v>
      </c>
      <c r="M3714" s="48" t="n">
        <f aca="false">(M3698+M3699)/Assumptions!$E$74+M3697/Assumptions!$E$75</f>
        <v>0.458454209771823</v>
      </c>
      <c r="N3714" s="48" t="n">
        <f aca="false">(N3698+N3699)/Assumptions!$E$74+N3697/Assumptions!$E$75</f>
        <v>0.522477916739467</v>
      </c>
      <c r="P3714" s="49" t="n">
        <f aca="false">AVERAGE(C3714:F3714)</f>
        <v>0.0303930683867295</v>
      </c>
      <c r="Q3714" s="49" t="n">
        <f aca="false">AVERAGE(G3714:J3714)</f>
        <v>0.161658004146687</v>
      </c>
      <c r="R3714" s="49" t="n">
        <f aca="false">AVERAGE(K3714:N3714)</f>
        <v>0.4211182618065</v>
      </c>
      <c r="S3714" s="50"/>
    </row>
    <row r="3715" customFormat="false" ht="15" hidden="false" customHeight="false" outlineLevel="0" collapsed="false">
      <c r="A3715" s="4" t="s">
        <v>554</v>
      </c>
      <c r="B3715" s="36" t="s">
        <v>125</v>
      </c>
      <c r="C3715" s="54" t="n">
        <f aca="false">(C3709+C3711)*Assumptions!$E$70/Assumptions!$E$69/4</f>
        <v>66753.5714285714</v>
      </c>
      <c r="D3715" s="54" t="n">
        <f aca="false">(D3709+D3711)*Assumptions!$E$70/Assumptions!$E$69/4</f>
        <v>66753.5714285714</v>
      </c>
      <c r="E3715" s="54" t="n">
        <f aca="false">(E3709+E3711)*Assumptions!$E$70/Assumptions!$E$69/4</f>
        <v>66753.5714285714</v>
      </c>
      <c r="F3715" s="54" t="n">
        <f aca="false">(F3709+F3711)*Assumptions!$E$70/Assumptions!$E$69/4</f>
        <v>66753.5714285714</v>
      </c>
      <c r="G3715" s="54" t="n">
        <f aca="false">(G3709+G3711)*Assumptions!$E$70/Assumptions!$E$69/4</f>
        <v>100130.357142857</v>
      </c>
      <c r="H3715" s="54" t="n">
        <f aca="false">(H3709+H3711)*Assumptions!$E$70/Assumptions!$E$69/4</f>
        <v>100130.357142857</v>
      </c>
      <c r="I3715" s="54" t="n">
        <f aca="false">(I3709+I3711)*Assumptions!$E$70/Assumptions!$E$69/4</f>
        <v>100130.357142857</v>
      </c>
      <c r="J3715" s="54" t="n">
        <f aca="false">(J3709+J3711)*Assumptions!$E$70/Assumptions!$E$69/4</f>
        <v>100130.357142857</v>
      </c>
      <c r="K3715" s="54" t="n">
        <f aca="false">(K3709+K3711)*Assumptions!$E$70/Assumptions!$E$69/4</f>
        <v>100130.357142857</v>
      </c>
      <c r="L3715" s="54" t="n">
        <f aca="false">(L3709+L3711)*Assumptions!$E$70/Assumptions!$E$69/4</f>
        <v>100130.357142857</v>
      </c>
      <c r="M3715" s="54" t="n">
        <f aca="false">(M3709+M3711)*Assumptions!$E$70/Assumptions!$E$69/4</f>
        <v>100130.357142857</v>
      </c>
      <c r="N3715" s="54" t="n">
        <f aca="false">(N3709+N3711)*Assumptions!$E$70/Assumptions!$E$69/4</f>
        <v>100130.357142857</v>
      </c>
      <c r="P3715" s="55" t="n">
        <f aca="false">SUM(C3715:F3715)</f>
        <v>267014.285714286</v>
      </c>
      <c r="Q3715" s="55" t="n">
        <f aca="false">SUM(G3715:J3715)</f>
        <v>400521.428571429</v>
      </c>
      <c r="R3715" s="55" t="n">
        <f aca="false">SUM(K3715:N3715)</f>
        <v>400521.428571429</v>
      </c>
      <c r="S3715" s="56" t="n">
        <f aca="false">SUM(P3715:R3715)</f>
        <v>1068057.14285714</v>
      </c>
    </row>
    <row r="3716" customFormat="false" ht="15" hidden="false" customHeight="false" outlineLevel="0" collapsed="false">
      <c r="A3716" s="4" t="s">
        <v>555</v>
      </c>
      <c r="B3716" s="36" t="s">
        <v>125</v>
      </c>
      <c r="C3716" s="54" t="n">
        <f aca="false">C3710*$C$3645/4</f>
        <v>0</v>
      </c>
      <c r="D3716" s="54" t="n">
        <f aca="false">D3710*$C$3645/4</f>
        <v>0</v>
      </c>
      <c r="E3716" s="54" t="n">
        <f aca="false">E3710*$C$3645/4</f>
        <v>0</v>
      </c>
      <c r="F3716" s="54" t="n">
        <f aca="false">F3710*$C$3645/4</f>
        <v>0</v>
      </c>
      <c r="G3716" s="54" t="n">
        <f aca="false">G3710*$C$3645/4</f>
        <v>0</v>
      </c>
      <c r="H3716" s="54" t="n">
        <f aca="false">H3710*$C$3645/4</f>
        <v>0</v>
      </c>
      <c r="I3716" s="54" t="n">
        <f aca="false">I3710*$C$3645/4</f>
        <v>0</v>
      </c>
      <c r="J3716" s="54" t="n">
        <f aca="false">J3710*$C$3645/4</f>
        <v>0</v>
      </c>
      <c r="K3716" s="54" t="n">
        <f aca="false">K3710*$C$3645/4</f>
        <v>0</v>
      </c>
      <c r="L3716" s="54" t="n">
        <f aca="false">L3710*$C$3645/4</f>
        <v>0</v>
      </c>
      <c r="M3716" s="54" t="n">
        <f aca="false">M3710*$C$3645/4</f>
        <v>0</v>
      </c>
      <c r="N3716" s="54" t="n">
        <f aca="false">N3710*$C$3645/4</f>
        <v>0</v>
      </c>
      <c r="P3716" s="55" t="n">
        <f aca="false">SUM(C3716:F3716)</f>
        <v>0</v>
      </c>
      <c r="Q3716" s="55" t="n">
        <f aca="false">SUM(G3716:J3716)</f>
        <v>0</v>
      </c>
      <c r="R3716" s="55" t="n">
        <f aca="false">SUM(K3716:N3716)</f>
        <v>0</v>
      </c>
      <c r="S3716" s="56" t="n">
        <f aca="false">SUM(P3716:R3716)</f>
        <v>0</v>
      </c>
    </row>
    <row r="3717" customFormat="false" ht="15" hidden="false" customHeight="false" outlineLevel="0" collapsed="false">
      <c r="A3717" s="4" t="s">
        <v>556</v>
      </c>
      <c r="B3717" s="36" t="s">
        <v>125</v>
      </c>
      <c r="C3717" s="54" t="n">
        <f aca="false">MAX(0,(C3705-C3686*$C$3641)-C3665*$C$3646)*$C$3647*Assumptions!$D$105</f>
        <v>0</v>
      </c>
      <c r="D3717" s="54" t="n">
        <f aca="false">MAX(0,(D3705-D3686*$C$3641)-D3665*$C$3646)*$C$3647*Assumptions!$D$105</f>
        <v>3491.72206180778</v>
      </c>
      <c r="E3717" s="54" t="n">
        <f aca="false">MAX(0,(E3705-E3686*$C$3641)-E3665*$C$3646)*$C$3647*Assumptions!$D$105</f>
        <v>7896.09446653252</v>
      </c>
      <c r="F3717" s="54" t="n">
        <f aca="false">MAX(0,(F3705-F3686*$C$3641)-F3665*$C$3646)*$C$3647*Assumptions!$D$105</f>
        <v>9781.69260901154</v>
      </c>
      <c r="G3717" s="54" t="n">
        <f aca="false">MAX(0,(G3705-G3686*$C$3641)-G3665*$C$3646)*$C$3647*Assumptions!$D$105</f>
        <v>10616.4004128386</v>
      </c>
      <c r="H3717" s="54" t="n">
        <f aca="false">MAX(0,(H3705-H3686*$C$3641)-H3665*$C$3646)*$C$3647*Assumptions!$D$105</f>
        <v>12831.5725580354</v>
      </c>
      <c r="I3717" s="54" t="n">
        <f aca="false">MAX(0,(I3705-I3686*$C$3641)-I3665*$C$3646)*$C$3647*Assumptions!$D$105</f>
        <v>15259.0938744116</v>
      </c>
      <c r="J3717" s="54" t="n">
        <f aca="false">MAX(0,(J3705-J3686*$C$3641)-J3665*$C$3646)*$C$3647*Assumptions!$D$105</f>
        <v>20559.1769363096</v>
      </c>
      <c r="K3717" s="54" t="n">
        <f aca="false">MAX(0,(K3705-K3686*$C$3641)-K3665*$C$3646)*$C$3647*Assumptions!$D$105</f>
        <v>26354.0548580992</v>
      </c>
      <c r="L3717" s="54" t="n">
        <f aca="false">MAX(0,(L3705-L3686*$C$3641)-L3665*$C$3646)*$C$3647*Assumptions!$D$105</f>
        <v>27760.1015429229</v>
      </c>
      <c r="M3717" s="54" t="n">
        <f aca="false">MAX(0,(M3705-M3686*$C$3641)-M3665*$C$3646)*$C$3647*Assumptions!$D$105</f>
        <v>26805.4048456859</v>
      </c>
      <c r="N3717" s="54" t="n">
        <f aca="false">MAX(0,(N3705-N3686*$C$3641)-N3665*$C$3646)*$C$3647*Assumptions!$D$105</f>
        <v>25640.2274595171</v>
      </c>
      <c r="P3717" s="55" t="n">
        <f aca="false">SUM(C3717:F3717)</f>
        <v>21169.5091373518</v>
      </c>
      <c r="Q3717" s="55" t="n">
        <f aca="false">SUM(G3717:J3717)</f>
        <v>59266.2437815953</v>
      </c>
      <c r="R3717" s="55" t="n">
        <f aca="false">SUM(K3717:N3717)</f>
        <v>106559.788706225</v>
      </c>
      <c r="S3717" s="56" t="n">
        <f aca="false">SUM(P3717:R3717)</f>
        <v>186995.541625172</v>
      </c>
    </row>
    <row r="3718" customFormat="false" ht="15" hidden="false" customHeight="false" outlineLevel="0" collapsed="false">
      <c r="A3718" s="4" t="s">
        <v>557</v>
      </c>
      <c r="B3718" s="36" t="s">
        <v>125</v>
      </c>
      <c r="C3718" s="54" t="n">
        <f aca="false">C3713*Assumptions!$E$71/Assumptions!$E$69/4</f>
        <v>18475.8928571429</v>
      </c>
      <c r="D3718" s="54" t="n">
        <f aca="false">D3713*Assumptions!$E$71/Assumptions!$E$69/4</f>
        <v>18475.8928571429</v>
      </c>
      <c r="E3718" s="54" t="n">
        <f aca="false">E3713*Assumptions!$E$71/Assumptions!$E$69/4</f>
        <v>18475.8928571429</v>
      </c>
      <c r="F3718" s="54" t="n">
        <f aca="false">F3713*Assumptions!$E$71/Assumptions!$E$69/4</f>
        <v>18475.8928571429</v>
      </c>
      <c r="G3718" s="54" t="n">
        <f aca="false">G3713*Assumptions!$E$71/Assumptions!$E$69/4</f>
        <v>18475.8928571429</v>
      </c>
      <c r="H3718" s="54" t="n">
        <f aca="false">H3713*Assumptions!$E$71/Assumptions!$E$69/4</f>
        <v>18475.8928571429</v>
      </c>
      <c r="I3718" s="54" t="n">
        <f aca="false">I3713*Assumptions!$E$71/Assumptions!$E$69/4</f>
        <v>18475.8928571429</v>
      </c>
      <c r="J3718" s="54" t="n">
        <f aca="false">J3713*Assumptions!$E$71/Assumptions!$E$69/4</f>
        <v>18475.8928571429</v>
      </c>
      <c r="K3718" s="54" t="n">
        <f aca="false">K3713*Assumptions!$E$71/Assumptions!$E$69/4</f>
        <v>18475.8928571429</v>
      </c>
      <c r="L3718" s="54" t="n">
        <f aca="false">L3713*Assumptions!$E$71/Assumptions!$E$69/4</f>
        <v>18475.8928571429</v>
      </c>
      <c r="M3718" s="54" t="n">
        <f aca="false">M3713*Assumptions!$E$71/Assumptions!$E$69/4</f>
        <v>18475.8928571429</v>
      </c>
      <c r="N3718" s="54" t="n">
        <f aca="false">N3713*Assumptions!$E$71/Assumptions!$E$69/4</f>
        <v>18475.8928571429</v>
      </c>
      <c r="P3718" s="55" t="n">
        <f aca="false">SUM(C3718:F3718)</f>
        <v>73903.5714285714</v>
      </c>
      <c r="Q3718" s="55" t="n">
        <f aca="false">SUM(G3718:J3718)</f>
        <v>73903.5714285714</v>
      </c>
      <c r="R3718" s="55" t="n">
        <f aca="false">SUM(K3718:N3718)</f>
        <v>73903.5714285714</v>
      </c>
      <c r="S3718" s="56" t="n">
        <f aca="false">SUM(P3718:R3718)</f>
        <v>221710.714285714</v>
      </c>
    </row>
    <row r="3719" customFormat="false" ht="15" hidden="false" customHeight="false" outlineLevel="0" collapsed="false">
      <c r="A3719" s="4" t="s">
        <v>558</v>
      </c>
      <c r="B3719" s="36" t="s">
        <v>125</v>
      </c>
      <c r="C3719" s="54" t="n">
        <f aca="false">(Assumptions!$D$103+Assumptions!$E$77*((C3650=Assumptions!$E$13)+(C3650=Assumptions!$E$14)+(C3650=Assumptions!$E$15)))*C3651</f>
        <v>65000</v>
      </c>
      <c r="D3719" s="54" t="n">
        <f aca="false">(Assumptions!$D$103+Assumptions!$E$77*((D3650=Assumptions!$E$13)+(D3650=Assumptions!$E$14)+(D3650=Assumptions!$E$15)))*D3651</f>
        <v>25000</v>
      </c>
      <c r="E3719" s="54" t="n">
        <f aca="false">(Assumptions!$D$103+Assumptions!$E$77*((E3650=Assumptions!$E$13)+(E3650=Assumptions!$E$14)+(E3650=Assumptions!$E$15)))*E3651</f>
        <v>25000</v>
      </c>
      <c r="F3719" s="54" t="n">
        <f aca="false">(Assumptions!$D$103+Assumptions!$E$77*((F3650=Assumptions!$E$13)+(F3650=Assumptions!$E$14)+(F3650=Assumptions!$E$15)))*F3651</f>
        <v>25000</v>
      </c>
      <c r="G3719" s="54" t="n">
        <f aca="false">(Assumptions!$D$103+Assumptions!$E$77*((G3650=Assumptions!$E$13)+(G3650=Assumptions!$E$14)+(G3650=Assumptions!$E$15)))*G3651</f>
        <v>65000</v>
      </c>
      <c r="H3719" s="54" t="n">
        <f aca="false">(Assumptions!$D$103+Assumptions!$E$77*((H3650=Assumptions!$E$13)+(H3650=Assumptions!$E$14)+(H3650=Assumptions!$E$15)))*H3651</f>
        <v>25000</v>
      </c>
      <c r="I3719" s="54" t="n">
        <f aca="false">(Assumptions!$D$103+Assumptions!$E$77*((I3650=Assumptions!$E$13)+(I3650=Assumptions!$E$14)+(I3650=Assumptions!$E$15)))*I3651</f>
        <v>65000</v>
      </c>
      <c r="J3719" s="54" t="n">
        <f aca="false">(Assumptions!$D$103+Assumptions!$E$77*((J3650=Assumptions!$E$13)+(J3650=Assumptions!$E$14)+(J3650=Assumptions!$E$15)))*J3651</f>
        <v>25000</v>
      </c>
      <c r="K3719" s="54" t="n">
        <f aca="false">(Assumptions!$D$103+Assumptions!$E$77*((K3650=Assumptions!$E$13)+(K3650=Assumptions!$E$14)+(K3650=Assumptions!$E$15)))*K3651</f>
        <v>25000</v>
      </c>
      <c r="L3719" s="54" t="n">
        <f aca="false">(Assumptions!$D$103+Assumptions!$E$77*((L3650=Assumptions!$E$13)+(L3650=Assumptions!$E$14)+(L3650=Assumptions!$E$15)))*L3651</f>
        <v>25000</v>
      </c>
      <c r="M3719" s="54" t="n">
        <f aca="false">(Assumptions!$D$103+Assumptions!$E$77*((M3650=Assumptions!$E$13)+(M3650=Assumptions!$E$14)+(M3650=Assumptions!$E$15)))*M3651</f>
        <v>25000</v>
      </c>
      <c r="N3719" s="54" t="n">
        <f aca="false">(Assumptions!$D$103+Assumptions!$E$77*((N3650=Assumptions!$E$13)+(N3650=Assumptions!$E$14)+(N3650=Assumptions!$E$15)))*N3651</f>
        <v>25000</v>
      </c>
      <c r="P3719" s="55" t="n">
        <f aca="false">SUM(C3719:F3719)</f>
        <v>140000</v>
      </c>
      <c r="Q3719" s="55" t="n">
        <f aca="false">SUM(G3719:J3719)</f>
        <v>180000</v>
      </c>
      <c r="R3719" s="55" t="n">
        <f aca="false">SUM(K3719:N3719)</f>
        <v>100000</v>
      </c>
      <c r="S3719" s="56" t="n">
        <f aca="false">SUM(P3719:R3719)</f>
        <v>420000</v>
      </c>
    </row>
    <row r="3720" customFormat="false" ht="15" hidden="false" customHeight="false" outlineLevel="0" collapsed="false">
      <c r="A3720" s="4" t="s">
        <v>559</v>
      </c>
      <c r="B3720" s="36" t="s">
        <v>125</v>
      </c>
      <c r="C3720" s="54" t="n">
        <f aca="false">C3705*C3685*Assumptions!$E$79</f>
        <v>0</v>
      </c>
      <c r="D3720" s="54" t="n">
        <f aca="false">D3705*D3685*Assumptions!$E$79</f>
        <v>815.338873355417</v>
      </c>
      <c r="E3720" s="54" t="n">
        <f aca="false">E3705*E3685*Assumptions!$E$79</f>
        <v>1585.61840543412</v>
      </c>
      <c r="F3720" s="54" t="n">
        <f aca="false">F3705*F3685*Assumptions!$E$79</f>
        <v>2375.47399738282</v>
      </c>
      <c r="G3720" s="54" t="n">
        <f aca="false">G3705*G3685*Assumptions!$E$79</f>
        <v>2970.35421774681</v>
      </c>
      <c r="H3720" s="54" t="n">
        <f aca="false">H3705*H3685*Assumptions!$E$79</f>
        <v>3399.36100735467</v>
      </c>
      <c r="I3720" s="54" t="n">
        <f aca="false">I3705*I3685*Assumptions!$E$79</f>
        <v>3958.95202979705</v>
      </c>
      <c r="J3720" s="54" t="n">
        <f aca="false">J3705*J3685*Assumptions!$E$79</f>
        <v>4231.41552943001</v>
      </c>
      <c r="K3720" s="54" t="n">
        <f aca="false">K3705*K3685*Assumptions!$E$79</f>
        <v>4819.20694844823</v>
      </c>
      <c r="L3720" s="54" t="n">
        <f aca="false">L3705*L3685*Assumptions!$E$79</f>
        <v>5654.99867188975</v>
      </c>
      <c r="M3720" s="54" t="n">
        <f aca="false">M3705*M3685*Assumptions!$E$79</f>
        <v>5714.8755018729</v>
      </c>
      <c r="N3720" s="54" t="n">
        <f aca="false">N3705*N3685*Assumptions!$E$79</f>
        <v>5708.7120657529</v>
      </c>
      <c r="P3720" s="55" t="n">
        <f aca="false">SUM(C3720:F3720)</f>
        <v>4776.43127617235</v>
      </c>
      <c r="Q3720" s="55" t="n">
        <f aca="false">SUM(G3720:J3720)</f>
        <v>14560.0827843285</v>
      </c>
      <c r="R3720" s="55" t="n">
        <f aca="false">SUM(K3720:N3720)</f>
        <v>21897.7931879638</v>
      </c>
      <c r="S3720" s="56" t="n">
        <f aca="false">SUM(P3720:R3720)</f>
        <v>41234.3072484647</v>
      </c>
    </row>
    <row r="3721" customFormat="false" ht="15" hidden="false" customHeight="false" outlineLevel="0" collapsed="false">
      <c r="A3721" s="4" t="s">
        <v>560</v>
      </c>
      <c r="B3721" s="36" t="s">
        <v>125</v>
      </c>
      <c r="C3721" s="54" t="n">
        <f aca="false">C3670*Assumptions!$E$80</f>
        <v>4000</v>
      </c>
      <c r="D3721" s="54" t="n">
        <f aca="false">D3670*Assumptions!$E$80</f>
        <v>6000</v>
      </c>
      <c r="E3721" s="54" t="n">
        <f aca="false">E3670*Assumptions!$E$80</f>
        <v>8000</v>
      </c>
      <c r="F3721" s="54" t="n">
        <f aca="false">F3670*Assumptions!$E$80</f>
        <v>10000</v>
      </c>
      <c r="G3721" s="54" t="n">
        <f aca="false">G3670*Assumptions!$E$80</f>
        <v>12000</v>
      </c>
      <c r="H3721" s="54" t="n">
        <f aca="false">H3670*Assumptions!$E$80</f>
        <v>14000</v>
      </c>
      <c r="I3721" s="54" t="n">
        <f aca="false">I3670*Assumptions!$E$80</f>
        <v>16000</v>
      </c>
      <c r="J3721" s="54" t="n">
        <f aca="false">J3670*Assumptions!$E$80</f>
        <v>18000</v>
      </c>
      <c r="K3721" s="54" t="n">
        <f aca="false">K3670*Assumptions!$E$80</f>
        <v>20000</v>
      </c>
      <c r="L3721" s="54" t="n">
        <f aca="false">L3670*Assumptions!$E$80</f>
        <v>20000</v>
      </c>
      <c r="M3721" s="54" t="n">
        <f aca="false">M3670*Assumptions!$E$80</f>
        <v>20000</v>
      </c>
      <c r="N3721" s="54" t="n">
        <f aca="false">N3670*Assumptions!$E$80</f>
        <v>20000</v>
      </c>
      <c r="P3721" s="55" t="n">
        <f aca="false">SUM(C3721:F3721)</f>
        <v>28000</v>
      </c>
      <c r="Q3721" s="55" t="n">
        <f aca="false">SUM(G3721:J3721)</f>
        <v>60000</v>
      </c>
      <c r="R3721" s="55" t="n">
        <f aca="false">SUM(K3721:N3721)</f>
        <v>80000</v>
      </c>
      <c r="S3721" s="56" t="n">
        <f aca="false">SUM(P3721:R3721)</f>
        <v>168000</v>
      </c>
    </row>
    <row r="3722" customFormat="false" ht="15" hidden="false" customHeight="false" outlineLevel="0" collapsed="false">
      <c r="A3722" s="4" t="s">
        <v>561</v>
      </c>
      <c r="B3722" s="36" t="s">
        <v>125</v>
      </c>
      <c r="C3722" s="54" t="n">
        <f aca="false">(C3693*$C$3642+C3694*$C$3643)*Assumptions!$E$81</f>
        <v>0</v>
      </c>
      <c r="D3722" s="54" t="n">
        <f aca="false">(D3693*$C$3642+D3694*$C$3643)*Assumptions!$E$81</f>
        <v>635.937968364564</v>
      </c>
      <c r="E3722" s="54" t="n">
        <f aca="false">(E3693*$C$3642+E3694*$C$3643)*Assumptions!$E$81</f>
        <v>1724.49597352365</v>
      </c>
      <c r="F3722" s="54" t="n">
        <f aca="false">(F3693*$C$3642+F3694*$C$3643)*Assumptions!$E$81</f>
        <v>2260.69852381291</v>
      </c>
      <c r="G3722" s="54" t="n">
        <f aca="false">(G3693*$C$3642+G3694*$C$3643)*Assumptions!$E$81</f>
        <v>2453.97871165528</v>
      </c>
      <c r="H3722" s="54" t="n">
        <f aca="false">(H3693*$C$3642+H3694*$C$3643)*Assumptions!$E$81</f>
        <v>2887.78100737524</v>
      </c>
      <c r="I3722" s="54" t="n">
        <f aca="false">(I3693*$C$3642+I3694*$C$3643)*Assumptions!$E$81</f>
        <v>3420.80462789823</v>
      </c>
      <c r="J3722" s="54" t="n">
        <f aca="false">(J3693*$C$3642+J3694*$C$3643)*Assumptions!$E$81</f>
        <v>4392.27823362777</v>
      </c>
      <c r="K3722" s="54" t="n">
        <f aca="false">(K3693*$C$3642+K3694*$C$3643)*Assumptions!$E$81</f>
        <v>5638.17003361318</v>
      </c>
      <c r="L3722" s="54" t="n">
        <f aca="false">(L3693*$C$3642+L3694*$C$3643)*Assumptions!$E$81</f>
        <v>6119.03218965014</v>
      </c>
      <c r="M3722" s="54" t="n">
        <f aca="false">(M3693*$C$3642+M3694*$C$3643)*Assumptions!$E$81</f>
        <v>5940.78036619397</v>
      </c>
      <c r="N3722" s="54" t="n">
        <f aca="false">(N3693*$C$3642+N3694*$C$3643)*Assumptions!$E$81</f>
        <v>5679.41109152464</v>
      </c>
      <c r="P3722" s="55" t="n">
        <f aca="false">SUM(C3722:F3722)</f>
        <v>4621.13246570112</v>
      </c>
      <c r="Q3722" s="55" t="n">
        <f aca="false">SUM(G3722:J3722)</f>
        <v>13154.8425805565</v>
      </c>
      <c r="R3722" s="55" t="n">
        <f aca="false">SUM(K3722:N3722)</f>
        <v>23377.3936809819</v>
      </c>
      <c r="S3722" s="56" t="n">
        <f aca="false">SUM(P3722:R3722)</f>
        <v>41153.3687272396</v>
      </c>
    </row>
    <row r="3723" customFormat="false" ht="15" hidden="false" customHeight="false" outlineLevel="0" collapsed="false">
      <c r="A3723" s="9" t="s">
        <v>562</v>
      </c>
      <c r="B3723" s="36" t="s">
        <v>125</v>
      </c>
      <c r="C3723" s="55" t="n">
        <f aca="false">C3715+C3716+C3717+C3718+C3719+C3720+C3721+C3722</f>
        <v>154229.464285714</v>
      </c>
      <c r="D3723" s="55" t="n">
        <f aca="false">D3715+D3716+D3717+D3718+D3719+D3720+D3721+D3722</f>
        <v>121172.463189242</v>
      </c>
      <c r="E3723" s="55" t="n">
        <f aca="false">E3715+E3716+E3717+E3718+E3719+E3720+E3721+E3722</f>
        <v>129435.673131205</v>
      </c>
      <c r="F3723" s="55" t="n">
        <f aca="false">F3715+F3716+F3717+F3718+F3719+F3720+F3721+F3722</f>
        <v>134647.329415922</v>
      </c>
      <c r="G3723" s="55" t="n">
        <f aca="false">G3715+G3716+G3717+G3718+G3719+G3720+G3721+G3722</f>
        <v>211646.983342241</v>
      </c>
      <c r="H3723" s="55" t="n">
        <f aca="false">H3715+H3716+H3717+H3718+H3719+H3720+H3721+H3722</f>
        <v>176724.964572765</v>
      </c>
      <c r="I3723" s="55" t="n">
        <f aca="false">I3715+I3716+I3717+I3718+I3719+I3720+I3721+I3722</f>
        <v>222245.100532107</v>
      </c>
      <c r="J3723" s="55" t="n">
        <f aca="false">J3715+J3716+J3717+J3718+J3719+J3720+J3721+J3722</f>
        <v>190789.120699367</v>
      </c>
      <c r="K3723" s="55" t="n">
        <f aca="false">K3715+K3716+K3717+K3718+K3719+K3720+K3721+K3722</f>
        <v>200417.681840161</v>
      </c>
      <c r="L3723" s="55" t="n">
        <f aca="false">L3715+L3716+L3717+L3718+L3719+L3720+L3721+L3722</f>
        <v>203140.382404463</v>
      </c>
      <c r="M3723" s="55" t="n">
        <f aca="false">M3715+M3716+M3717+M3718+M3719+M3720+M3721+M3722</f>
        <v>202067.310713753</v>
      </c>
      <c r="N3723" s="55" t="n">
        <f aca="false">N3715+N3716+N3717+N3718+N3719+N3720+N3721+N3722</f>
        <v>200634.600616795</v>
      </c>
      <c r="P3723" s="55" t="n">
        <f aca="false">SUM(C3723:F3723)</f>
        <v>539484.930022083</v>
      </c>
      <c r="Q3723" s="55" t="n">
        <f aca="false">SUM(G3723:J3723)</f>
        <v>801406.16914648</v>
      </c>
      <c r="R3723" s="55" t="n">
        <f aca="false">SUM(K3723:N3723)</f>
        <v>806259.975575171</v>
      </c>
      <c r="S3723" s="56" t="n">
        <f aca="false">SUM(P3723:R3723)</f>
        <v>2147151.07474373</v>
      </c>
    </row>
    <row r="3724" customFormat="false" ht="15" hidden="false" customHeight="false" outlineLevel="0" collapsed="false">
      <c r="A3724" s="4" t="s">
        <v>563</v>
      </c>
      <c r="B3724" s="36" t="s">
        <v>125</v>
      </c>
      <c r="C3724" s="54" t="n">
        <f aca="false">C3712*Assumptions!$E$72/Assumptions!$E$69/4</f>
        <v>56535.7142857143</v>
      </c>
      <c r="D3724" s="54" t="n">
        <f aca="false">D3712*Assumptions!$E$72/Assumptions!$E$69/4</f>
        <v>56535.7142857143</v>
      </c>
      <c r="E3724" s="54" t="n">
        <f aca="false">E3712*Assumptions!$E$72/Assumptions!$E$69/4</f>
        <v>56535.7142857143</v>
      </c>
      <c r="F3724" s="54" t="n">
        <f aca="false">F3712*Assumptions!$E$72/Assumptions!$E$69/4</f>
        <v>56535.7142857143</v>
      </c>
      <c r="G3724" s="54" t="n">
        <f aca="false">G3712*Assumptions!$E$72/Assumptions!$E$69/4</f>
        <v>28267.8571428571</v>
      </c>
      <c r="H3724" s="54" t="n">
        <f aca="false">H3712*Assumptions!$E$72/Assumptions!$E$69/4</f>
        <v>28267.8571428571</v>
      </c>
      <c r="I3724" s="54" t="n">
        <f aca="false">I3712*Assumptions!$E$72/Assumptions!$E$69/4</f>
        <v>28267.8571428571</v>
      </c>
      <c r="J3724" s="54" t="n">
        <f aca="false">J3712*Assumptions!$E$72/Assumptions!$E$69/4</f>
        <v>28267.8571428571</v>
      </c>
      <c r="K3724" s="54" t="n">
        <f aca="false">K3712*Assumptions!$E$72/Assumptions!$E$69/4</f>
        <v>28267.8571428571</v>
      </c>
      <c r="L3724" s="54" t="n">
        <f aca="false">L3712*Assumptions!$E$72/Assumptions!$E$69/4</f>
        <v>28267.8571428571</v>
      </c>
      <c r="M3724" s="54" t="n">
        <f aca="false">M3712*Assumptions!$E$72/Assumptions!$E$69/4</f>
        <v>28267.8571428571</v>
      </c>
      <c r="N3724" s="54" t="n">
        <f aca="false">N3712*Assumptions!$E$72/Assumptions!$E$69/4</f>
        <v>28267.8571428571</v>
      </c>
      <c r="P3724" s="55" t="n">
        <f aca="false">SUM(C3724:F3724)</f>
        <v>226142.857142857</v>
      </c>
      <c r="Q3724" s="55" t="n">
        <f aca="false">SUM(G3724:J3724)</f>
        <v>113071.428571429</v>
      </c>
      <c r="R3724" s="55" t="n">
        <f aca="false">SUM(K3724:N3724)</f>
        <v>113071.428571429</v>
      </c>
      <c r="S3724" s="56" t="n">
        <f aca="false">SUM(P3724:R3724)</f>
        <v>452285.714285714</v>
      </c>
    </row>
    <row r="3725" customFormat="false" ht="15" hidden="false" customHeight="false" outlineLevel="0" collapsed="false">
      <c r="A3725" s="4" t="s">
        <v>564</v>
      </c>
      <c r="B3725" s="36" t="s">
        <v>125</v>
      </c>
      <c r="C3725" s="54" t="n">
        <f aca="false">IF(C3650&lt;=Assumptions!$E$83,Assumptions!$E$82*Assumptions!$D$108/Assumptions!$E$83,0)</f>
        <v>62500</v>
      </c>
      <c r="D3725" s="54" t="n">
        <f aca="false">IF(D3650&lt;=Assumptions!$E$83,Assumptions!$E$82*Assumptions!$D$108/Assumptions!$E$83,0)</f>
        <v>62500</v>
      </c>
      <c r="E3725" s="54" t="n">
        <f aca="false">IF(E3650&lt;=Assumptions!$E$83,Assumptions!$E$82*Assumptions!$D$108/Assumptions!$E$83,0)</f>
        <v>62500</v>
      </c>
      <c r="F3725" s="54" t="n">
        <f aca="false">IF(F3650&lt;=Assumptions!$E$83,Assumptions!$E$82*Assumptions!$D$108/Assumptions!$E$83,0)</f>
        <v>62500</v>
      </c>
      <c r="G3725" s="54" t="n">
        <f aca="false">IF(G3650&lt;=Assumptions!$E$83,Assumptions!$E$82*Assumptions!$D$108/Assumptions!$E$83,0)</f>
        <v>0</v>
      </c>
      <c r="H3725" s="54" t="n">
        <f aca="false">IF(H3650&lt;=Assumptions!$E$83,Assumptions!$E$82*Assumptions!$D$108/Assumptions!$E$83,0)</f>
        <v>0</v>
      </c>
      <c r="I3725" s="54" t="n">
        <f aca="false">IF(I3650&lt;=Assumptions!$E$83,Assumptions!$E$82*Assumptions!$D$108/Assumptions!$E$83,0)</f>
        <v>0</v>
      </c>
      <c r="J3725" s="54" t="n">
        <f aca="false">IF(J3650&lt;=Assumptions!$E$83,Assumptions!$E$82*Assumptions!$D$108/Assumptions!$E$83,0)</f>
        <v>0</v>
      </c>
      <c r="K3725" s="54" t="n">
        <f aca="false">IF(K3650&lt;=Assumptions!$E$83,Assumptions!$E$82*Assumptions!$D$108/Assumptions!$E$83,0)</f>
        <v>0</v>
      </c>
      <c r="L3725" s="54" t="n">
        <f aca="false">IF(L3650&lt;=Assumptions!$E$83,Assumptions!$E$82*Assumptions!$D$108/Assumptions!$E$83,0)</f>
        <v>0</v>
      </c>
      <c r="M3725" s="54" t="n">
        <f aca="false">IF(M3650&lt;=Assumptions!$E$83,Assumptions!$E$82*Assumptions!$D$108/Assumptions!$E$83,0)</f>
        <v>0</v>
      </c>
      <c r="N3725" s="54" t="n">
        <f aca="false">IF(N3650&lt;=Assumptions!$E$83,Assumptions!$E$82*Assumptions!$D$108/Assumptions!$E$83,0)</f>
        <v>0</v>
      </c>
      <c r="P3725" s="55" t="n">
        <f aca="false">SUM(C3725:F3725)</f>
        <v>250000</v>
      </c>
      <c r="Q3725" s="55" t="n">
        <f aca="false">SUM(G3725:J3725)</f>
        <v>0</v>
      </c>
      <c r="R3725" s="55" t="n">
        <f aca="false">SUM(K3725:N3725)</f>
        <v>0</v>
      </c>
      <c r="S3725" s="56" t="n">
        <f aca="false">SUM(P3725:R3725)</f>
        <v>250000</v>
      </c>
    </row>
    <row r="3726" customFormat="false" ht="15" hidden="false" customHeight="false" outlineLevel="0" collapsed="false">
      <c r="A3726" s="4" t="s">
        <v>565</v>
      </c>
      <c r="B3726" s="36" t="s">
        <v>125</v>
      </c>
      <c r="C3726" s="54" t="n">
        <f aca="false">C3714*Assumptions!$E$73/Assumptions!$E$69/4</f>
        <v>0</v>
      </c>
      <c r="D3726" s="54" t="n">
        <f aca="false">D3714*Assumptions!$E$73/Assumptions!$E$69/4</f>
        <v>575.3130595573</v>
      </c>
      <c r="E3726" s="54" t="n">
        <f aca="false">E3714*Assumptions!$E$73/Assumptions!$E$69/4</f>
        <v>1593.767355584</v>
      </c>
      <c r="F3726" s="54" t="n">
        <f aca="false">F3714*Assumptions!$E$73/Assumptions!$E$69/4</f>
        <v>2715.95404798861</v>
      </c>
      <c r="G3726" s="54" t="n">
        <f aca="false">G3714*Assumptions!$E$73/Assumptions!$E$69/4</f>
        <v>3907.37832097028</v>
      </c>
      <c r="H3726" s="54" t="n">
        <f aca="false">H3714*Assumptions!$E$73/Assumptions!$E$69/4</f>
        <v>5385.39062293545</v>
      </c>
      <c r="I3726" s="54" t="n">
        <f aca="false">I3714*Assumptions!$E$73/Assumptions!$E$69/4</f>
        <v>7122.71057454759</v>
      </c>
      <c r="J3726" s="54" t="n">
        <f aca="false">J3714*Assumptions!$E$73/Assumptions!$E$69/4</f>
        <v>9567.5805480377</v>
      </c>
      <c r="K3726" s="54" t="n">
        <f aca="false">K3714*Assumptions!$E$73/Assumptions!$E$69/4</f>
        <v>12631.7028409044</v>
      </c>
      <c r="L3726" s="54" t="n">
        <f aca="false">L3714*Assumptions!$E$73/Assumptions!$E$69/4</f>
        <v>15638.0789410999</v>
      </c>
      <c r="M3726" s="54" t="n">
        <f aca="false">M3714*Assumptions!$E$73/Assumptions!$E$69/4</f>
        <v>18421.6725505099</v>
      </c>
      <c r="N3726" s="54" t="n">
        <f aca="false">N3714*Assumptions!$E$73/Assumptions!$E$69/4</f>
        <v>20994.2822901277</v>
      </c>
      <c r="P3726" s="55" t="n">
        <f aca="false">SUM(C3726:F3726)</f>
        <v>4885.03446312991</v>
      </c>
      <c r="Q3726" s="55" t="n">
        <f aca="false">SUM(G3726:J3726)</f>
        <v>25983.060066491</v>
      </c>
      <c r="R3726" s="55" t="n">
        <f aca="false">SUM(K3726:N3726)</f>
        <v>67685.7366226419</v>
      </c>
      <c r="S3726" s="56" t="n">
        <f aca="false">SUM(P3726:R3726)</f>
        <v>98553.8311522628</v>
      </c>
    </row>
    <row r="3727" customFormat="false" ht="15" hidden="false" customHeight="false" outlineLevel="0" collapsed="false">
      <c r="A3727" s="9" t="s">
        <v>566</v>
      </c>
      <c r="B3727" s="36" t="s">
        <v>125</v>
      </c>
      <c r="C3727" s="55" t="n">
        <f aca="false">C3723+C3724+C3725+C3726</f>
        <v>273265.178571429</v>
      </c>
      <c r="D3727" s="55" t="n">
        <f aca="false">D3723+D3724+D3725+D3726</f>
        <v>240783.490534514</v>
      </c>
      <c r="E3727" s="55" t="n">
        <f aca="false">E3723+E3724+E3725+E3726</f>
        <v>250065.154772503</v>
      </c>
      <c r="F3727" s="55" t="n">
        <f aca="false">F3723+F3724+F3725+F3726</f>
        <v>256398.997749624</v>
      </c>
      <c r="G3727" s="55" t="n">
        <f aca="false">G3723+G3724+G3725+G3726</f>
        <v>243822.218806068</v>
      </c>
      <c r="H3727" s="55" t="n">
        <f aca="false">H3723+H3724+H3725+H3726</f>
        <v>210378.212338558</v>
      </c>
      <c r="I3727" s="55" t="n">
        <f aca="false">I3723+I3724+I3725+I3726</f>
        <v>257635.668249512</v>
      </c>
      <c r="J3727" s="55" t="n">
        <f aca="false">J3723+J3724+J3725+J3726</f>
        <v>228624.558390262</v>
      </c>
      <c r="K3727" s="55" t="n">
        <f aca="false">K3723+K3724+K3725+K3726</f>
        <v>241317.241823922</v>
      </c>
      <c r="L3727" s="55" t="n">
        <f aca="false">L3723+L3724+L3725+L3726</f>
        <v>247046.31848842</v>
      </c>
      <c r="M3727" s="55" t="n">
        <f aca="false">M3723+M3724+M3725+M3726</f>
        <v>248756.84040712</v>
      </c>
      <c r="N3727" s="55" t="n">
        <f aca="false">N3723+N3724+N3725+N3726</f>
        <v>249896.740049779</v>
      </c>
      <c r="P3727" s="55" t="n">
        <f aca="false">SUM(C3727:F3727)</f>
        <v>1020512.82162807</v>
      </c>
      <c r="Q3727" s="55" t="n">
        <f aca="false">SUM(G3727:J3727)</f>
        <v>940460.6577844</v>
      </c>
      <c r="R3727" s="55" t="n">
        <f aca="false">SUM(K3727:N3727)</f>
        <v>987017.140769241</v>
      </c>
      <c r="S3727" s="56" t="n">
        <f aca="false">SUM(P3727:R3727)</f>
        <v>2947990.62018171</v>
      </c>
    </row>
    <row r="3728" customFormat="false" ht="15" hidden="false" customHeight="false" outlineLevel="0" collapsed="false">
      <c r="A3728" s="35" t="s">
        <v>567</v>
      </c>
      <c r="B3728" s="35" t="s">
        <v>444</v>
      </c>
      <c r="C3728" s="6" t="s">
        <v>354</v>
      </c>
      <c r="D3728" s="6" t="s">
        <v>355</v>
      </c>
      <c r="E3728" s="6" t="s">
        <v>356</v>
      </c>
      <c r="F3728" s="6" t="s">
        <v>357</v>
      </c>
      <c r="G3728" s="6" t="s">
        <v>358</v>
      </c>
      <c r="H3728" s="6" t="s">
        <v>359</v>
      </c>
      <c r="I3728" s="6" t="s">
        <v>360</v>
      </c>
      <c r="J3728" s="6" t="s">
        <v>361</v>
      </c>
      <c r="K3728" s="6" t="s">
        <v>362</v>
      </c>
      <c r="L3728" s="6" t="s">
        <v>363</v>
      </c>
      <c r="M3728" s="6" t="s">
        <v>364</v>
      </c>
      <c r="N3728" s="6" t="s">
        <v>365</v>
      </c>
      <c r="P3728" s="6" t="s">
        <v>445</v>
      </c>
      <c r="Q3728" s="6" t="s">
        <v>446</v>
      </c>
      <c r="R3728" s="6" t="s">
        <v>447</v>
      </c>
      <c r="S3728" s="6" t="s">
        <v>448</v>
      </c>
    </row>
    <row r="3729" customFormat="false" ht="15" hidden="false" customHeight="false" outlineLevel="0" collapsed="false">
      <c r="A3729" s="9" t="s">
        <v>568</v>
      </c>
      <c r="B3729" s="36" t="s">
        <v>125</v>
      </c>
      <c r="C3729" s="55" t="n">
        <f aca="false">C3707-C3727</f>
        <v>-273265.178571429</v>
      </c>
      <c r="D3729" s="55" t="n">
        <f aca="false">D3707-D3727</f>
        <v>-240062.280337795</v>
      </c>
      <c r="E3729" s="55" t="n">
        <f aca="false">E3707-E3727</f>
        <v>-247053.238773603</v>
      </c>
      <c r="F3729" s="55" t="n">
        <f aca="false">F3707-F3727</f>
        <v>-249882.123551292</v>
      </c>
      <c r="G3729" s="55" t="n">
        <f aca="false">G3707-G3727</f>
        <v>-233240.467700249</v>
      </c>
      <c r="H3729" s="55" t="n">
        <f aca="false">H3707-H3727</f>
        <v>-195052.494810652</v>
      </c>
      <c r="I3729" s="55" t="n">
        <f aca="false">I3707-I3727</f>
        <v>-236560.286049075</v>
      </c>
      <c r="J3729" s="55" t="n">
        <f aca="false">J3707-J3727</f>
        <v>-200137.309992433</v>
      </c>
      <c r="K3729" s="55" t="n">
        <f aca="false">K3707-K3727</f>
        <v>-203063.930022133</v>
      </c>
      <c r="L3729" s="55" t="n">
        <f aca="false">L3707-L3727</f>
        <v>-197497.948306368</v>
      </c>
      <c r="M3729" s="55" t="n">
        <f aca="false">M3707-M3727</f>
        <v>-187703.097162891</v>
      </c>
      <c r="N3729" s="55" t="n">
        <f aca="false">N3707-N3727</f>
        <v>-177582.067765375</v>
      </c>
      <c r="P3729" s="55" t="n">
        <f aca="false">SUM(C3729:F3729)</f>
        <v>-1010262.82123412</v>
      </c>
      <c r="Q3729" s="55" t="n">
        <f aca="false">SUM(G3729:J3729)</f>
        <v>-864990.558552409</v>
      </c>
      <c r="R3729" s="55" t="n">
        <f aca="false">SUM(K3729:N3729)</f>
        <v>-765847.043256767</v>
      </c>
      <c r="S3729" s="56" t="n">
        <f aca="false">SUM(P3729:R3729)</f>
        <v>-2641100.42304329</v>
      </c>
    </row>
    <row r="3730" customFormat="false" ht="15" hidden="false" customHeight="false" outlineLevel="0" collapsed="false">
      <c r="A3730" s="9" t="s">
        <v>569</v>
      </c>
      <c r="B3730" s="36" t="s">
        <v>125</v>
      </c>
      <c r="C3730" s="55" t="n">
        <f aca="false">0+C3729</f>
        <v>-273265.178571429</v>
      </c>
      <c r="D3730" s="55" t="n">
        <f aca="false">C3730+D3729</f>
        <v>-513327.458909223</v>
      </c>
      <c r="E3730" s="55" t="n">
        <f aca="false">D3730+E3729</f>
        <v>-760380.697682826</v>
      </c>
      <c r="F3730" s="55" t="n">
        <f aca="false">E3730+F3729</f>
        <v>-1010262.82123412</v>
      </c>
      <c r="G3730" s="55" t="n">
        <f aca="false">F3730+G3729</f>
        <v>-1243503.28893437</v>
      </c>
      <c r="H3730" s="55" t="n">
        <f aca="false">G3730+H3729</f>
        <v>-1438555.78374502</v>
      </c>
      <c r="I3730" s="55" t="n">
        <f aca="false">H3730+I3729</f>
        <v>-1675116.06979409</v>
      </c>
      <c r="J3730" s="55" t="n">
        <f aca="false">I3730+J3729</f>
        <v>-1875253.37978653</v>
      </c>
      <c r="K3730" s="55" t="n">
        <f aca="false">J3730+K3729</f>
        <v>-2078317.30980866</v>
      </c>
      <c r="L3730" s="55" t="n">
        <f aca="false">K3730+L3729</f>
        <v>-2275815.25811503</v>
      </c>
      <c r="M3730" s="55" t="n">
        <f aca="false">L3730+M3729</f>
        <v>-2463518.35527792</v>
      </c>
      <c r="N3730" s="55" t="n">
        <f aca="false">M3730+N3729</f>
        <v>-2641100.42304329</v>
      </c>
      <c r="P3730" s="55" t="n">
        <f aca="false">F3730</f>
        <v>-1010262.82123412</v>
      </c>
      <c r="Q3730" s="55" t="n">
        <f aca="false">J3730</f>
        <v>-1875253.37978653</v>
      </c>
      <c r="R3730" s="55" t="n">
        <f aca="false">N3730</f>
        <v>-2641100.42304329</v>
      </c>
      <c r="S3730" s="56" t="n">
        <f aca="false">R3730</f>
        <v>-2641100.42304329</v>
      </c>
    </row>
    <row r="3731" customFormat="false" ht="15" hidden="false" customHeight="false" outlineLevel="0" collapsed="false">
      <c r="A3731" s="4" t="s">
        <v>570</v>
      </c>
      <c r="B3731" s="36" t="s">
        <v>107</v>
      </c>
      <c r="C3731" s="57" t="n">
        <f aca="false">1/(1+Assumptions!$E$87)^(C3650/4)</f>
        <v>0.972065420906982</v>
      </c>
      <c r="D3731" s="57" t="n">
        <f aca="false">1/(1+Assumptions!$E$87)^(D3650/4)</f>
        <v>0.944911182523068</v>
      </c>
      <c r="E3731" s="57" t="n">
        <f aca="false">1/(1+Assumptions!$E$87)^(E3650/4)</f>
        <v>0.918515486359</v>
      </c>
      <c r="F3731" s="57" t="n">
        <f aca="false">1/(1+Assumptions!$E$87)^(F3650/4)</f>
        <v>0.892857142857143</v>
      </c>
      <c r="G3731" s="57" t="n">
        <f aca="false">1/(1+Assumptions!$E$87)^(G3650/4)</f>
        <v>0.867915554381234</v>
      </c>
      <c r="H3731" s="57" t="n">
        <f aca="false">1/(1+Assumptions!$E$87)^(H3650/4)</f>
        <v>0.843670698681311</v>
      </c>
      <c r="I3731" s="57" t="n">
        <f aca="false">1/(1+Assumptions!$E$87)^(I3650/4)</f>
        <v>0.820103112820536</v>
      </c>
      <c r="J3731" s="57" t="n">
        <f aca="false">1/(1+Assumptions!$E$87)^(J3650/4)</f>
        <v>0.79719387755102</v>
      </c>
      <c r="K3731" s="57" t="n">
        <f aca="false">1/(1+Assumptions!$E$87)^(K3650/4)</f>
        <v>0.774924602126102</v>
      </c>
      <c r="L3731" s="57" t="n">
        <f aca="false">1/(1+Assumptions!$E$87)^(L3650/4)</f>
        <v>0.753277409536885</v>
      </c>
      <c r="M3731" s="57" t="n">
        <f aca="false">1/(1+Assumptions!$E$87)^(M3650/4)</f>
        <v>0.732234922161193</v>
      </c>
      <c r="N3731" s="57" t="n">
        <f aca="false">1/(1+Assumptions!$E$87)^(N3650/4)</f>
        <v>0.711780247813411</v>
      </c>
      <c r="P3731" s="58"/>
      <c r="Q3731" s="58"/>
      <c r="R3731" s="58"/>
      <c r="S3731" s="59"/>
    </row>
    <row r="3732" customFormat="false" ht="15" hidden="false" customHeight="false" outlineLevel="0" collapsed="false">
      <c r="A3732" s="4" t="s">
        <v>571</v>
      </c>
      <c r="B3732" s="36" t="s">
        <v>125</v>
      </c>
      <c r="C3732" s="54" t="n">
        <f aca="false">(C3707*(1-Assumptions!$E$88)-C3727)*C3731</f>
        <v>-265631.630827257</v>
      </c>
      <c r="D3732" s="54" t="n">
        <f aca="false">(D3707*(1-Assumptions!$E$88)-D3727)*D3731</f>
        <v>-226973.829109136</v>
      </c>
      <c r="E3732" s="54" t="n">
        <f aca="false">(E3707*(1-Assumptions!$E$88)-E3727)*E3731</f>
        <v>-227475.524066422</v>
      </c>
      <c r="F3732" s="54" t="n">
        <f aca="false">(F3707*(1-Assumptions!$E$88)-F3727)*F3731</f>
        <v>-224272.766420499</v>
      </c>
      <c r="G3732" s="54" t="n">
        <f aca="false">(G3707*(1-Assumptions!$E$88)-G3727)*G3731</f>
        <v>-204269.843103666</v>
      </c>
      <c r="H3732" s="54" t="n">
        <f aca="false">(H3707*(1-Assumptions!$E$88)-H3727)*H3731</f>
        <v>-167146.046339348</v>
      </c>
      <c r="I3732" s="54" t="n">
        <f aca="false">(I3707*(1-Assumptions!$E$88)-I3727)*I3731</f>
        <v>-197460.624267855</v>
      </c>
      <c r="J3732" s="54" t="n">
        <f aca="false">(J3707*(1-Assumptions!$E$88)-J3727)*J3731</f>
        <v>-164090.210197703</v>
      </c>
      <c r="K3732" s="54" t="n">
        <f aca="false">(K3707*(1-Assumptions!$E$88)-K3727)*K3731</f>
        <v>-163287.921664166</v>
      </c>
      <c r="L3732" s="54" t="n">
        <f aca="false">(L3707*(1-Assumptions!$E$88)-L3727)*L3731</f>
        <v>-156235.476476572</v>
      </c>
      <c r="M3732" s="54" t="n">
        <f aca="false">(M3707*(1-Assumptions!$E$88)-M3727)*M3731</f>
        <v>-146383.899326902</v>
      </c>
      <c r="N3732" s="54" t="n">
        <f aca="false">(N3707*(1-Assumptions!$E$88)-N3727)*N3731</f>
        <v>-136693.839273084</v>
      </c>
      <c r="P3732" s="55" t="n">
        <f aca="false">SUM(C3732:F3732)</f>
        <v>-944353.750423314</v>
      </c>
      <c r="Q3732" s="55" t="n">
        <f aca="false">SUM(G3732:J3732)</f>
        <v>-732966.723908572</v>
      </c>
      <c r="R3732" s="55" t="n">
        <f aca="false">SUM(K3732:N3732)</f>
        <v>-602601.136740724</v>
      </c>
      <c r="S3732" s="56" t="n">
        <f aca="false">SUM(P3732:R3732)</f>
        <v>-2279921.61107261</v>
      </c>
    </row>
    <row r="3733" customFormat="false" ht="15" hidden="false" customHeight="false" outlineLevel="0" collapsed="false">
      <c r="A3733" s="4" t="s">
        <v>572</v>
      </c>
      <c r="B3733" s="36" t="s">
        <v>125</v>
      </c>
      <c r="C3733" s="54" t="n">
        <f aca="false">(C3727-C3726)*12/(Assumptions!$E$89*Assumptions!$E$76)*Assumptions!$E$90</f>
        <v>189183.585164835</v>
      </c>
      <c r="D3733" s="54" t="n">
        <f aca="false">(D3727-D3726)*12/(Assumptions!$E$89*Assumptions!$E$76)*Assumptions!$E$90</f>
        <v>166297.969021124</v>
      </c>
      <c r="E3733" s="54" t="n">
        <f aca="false">(E3727-E3726)*12/(Assumptions!$E$89*Assumptions!$E$76)*Assumptions!$E$90</f>
        <v>172018.652827098</v>
      </c>
      <c r="F3733" s="54" t="n">
        <f aca="false">(F3727-F3726)*12/(Assumptions!$E$89*Assumptions!$E$76)*Assumptions!$E$90</f>
        <v>175626.722562671</v>
      </c>
      <c r="G3733" s="54" t="n">
        <f aca="false">(G3727-G3726)*12/(Assumptions!$E$89*Assumptions!$E$76)*Assumptions!$E$90</f>
        <v>166094.889566606</v>
      </c>
      <c r="H3733" s="54" t="n">
        <f aca="false">(H3727-H3726)*12/(Assumptions!$E$89*Assumptions!$E$76)*Assumptions!$E$90</f>
        <v>141918.107341585</v>
      </c>
      <c r="I3733" s="54" t="n">
        <f aca="false">(I3727-I3726)*12/(Assumptions!$E$89*Assumptions!$E$76)*Assumptions!$E$90</f>
        <v>173432.047621129</v>
      </c>
      <c r="J3733" s="54" t="n">
        <f aca="false">(J3727-J3726)*12/(Assumptions!$E$89*Assumptions!$E$76)*Assumptions!$E$90</f>
        <v>151654.830813848</v>
      </c>
      <c r="K3733" s="54" t="n">
        <f aca="false">(K3727-K3726)*12/(Assumptions!$E$89*Assumptions!$E$76)*Assumptions!$E$90</f>
        <v>158320.757757474</v>
      </c>
      <c r="L3733" s="54" t="n">
        <f aca="false">(L3727-L3726)*12/(Assumptions!$E$89*Assumptions!$E$76)*Assumptions!$E$90</f>
        <v>160205.704301991</v>
      </c>
      <c r="M3733" s="54" t="n">
        <f aca="false">(M3727-M3726)*12/(Assumptions!$E$89*Assumptions!$E$76)*Assumptions!$E$90</f>
        <v>159462.808516115</v>
      </c>
      <c r="N3733" s="54" t="n">
        <f aca="false">(N3727-N3726)*12/(Assumptions!$E$89*Assumptions!$E$76)*Assumptions!$E$90</f>
        <v>158470.932295144</v>
      </c>
      <c r="P3733" s="55" t="n">
        <f aca="false">SUM(C3733:F3733)</f>
        <v>703126.929575727</v>
      </c>
      <c r="Q3733" s="55" t="n">
        <f aca="false">SUM(G3733:J3733)</f>
        <v>633099.875343168</v>
      </c>
      <c r="R3733" s="55" t="n">
        <f aca="false">SUM(K3733:N3733)</f>
        <v>636460.202870723</v>
      </c>
      <c r="S3733" s="56" t="n">
        <f aca="false">SUM(P3733:R3733)</f>
        <v>1972687.00778962</v>
      </c>
    </row>
    <row r="3734" customFormat="false" ht="15" hidden="false" customHeight="false" outlineLevel="0" collapsed="false">
      <c r="A3734" s="4" t="s">
        <v>573</v>
      </c>
      <c r="B3734" s="36" t="s">
        <v>125</v>
      </c>
      <c r="C3734" s="54" t="n">
        <f aca="false">0*Assumptions!$E$92^(1/4)+C3733</f>
        <v>189183.585164835</v>
      </c>
      <c r="D3734" s="54" t="n">
        <f aca="false">C3734*Assumptions!$E$92^(1/4)+D3733</f>
        <v>355952.749828138</v>
      </c>
      <c r="E3734" s="54" t="n">
        <f aca="false">D3734*Assumptions!$E$92^(1/4)+E3733</f>
        <v>528857.966806108</v>
      </c>
      <c r="F3734" s="54" t="n">
        <f aca="false">E3734*Assumptions!$E$92^(1/4)+F3733</f>
        <v>705801.904966917</v>
      </c>
      <c r="G3734" s="54" t="n">
        <f aca="false">F3734*Assumptions!$E$92^(1/4)+G3733</f>
        <v>873654.720738233</v>
      </c>
      <c r="H3734" s="54" t="n">
        <f aca="false">G3734*Assumptions!$E$92^(1/4)+H3733</f>
        <v>1017748.82182062</v>
      </c>
      <c r="I3734" s="54" t="n">
        <f aca="false">H3734*Assumptions!$E$92^(1/4)+I3733</f>
        <v>1193715.75537943</v>
      </c>
      <c r="J3734" s="54" t="n">
        <f aca="false">I3734*Assumptions!$E$92^(1/4)+J3733</f>
        <v>1348343.74933238</v>
      </c>
      <c r="K3734" s="54" t="n">
        <f aca="false">J3734*Assumptions!$E$92^(1/4)+K3733</f>
        <v>1510022.79897491</v>
      </c>
      <c r="L3734" s="54" t="n">
        <f aca="false">K3734*Assumptions!$E$92^(1/4)+L3733</f>
        <v>1673989.48582646</v>
      </c>
      <c r="M3734" s="54" t="n">
        <f aca="false">L3734*Assumptions!$E$92^(1/4)+M3733</f>
        <v>1837621.66532732</v>
      </c>
      <c r="N3734" s="54" t="n">
        <f aca="false">M3734*Assumptions!$E$92^(1/4)+N3733</f>
        <v>2000669.52389184</v>
      </c>
      <c r="P3734" s="55" t="n">
        <f aca="false">F3734</f>
        <v>705801.904966917</v>
      </c>
      <c r="Q3734" s="55" t="n">
        <f aca="false">J3734</f>
        <v>1348343.74933238</v>
      </c>
      <c r="R3734" s="55" t="n">
        <f aca="false">N3734</f>
        <v>2000669.52389184</v>
      </c>
      <c r="S3734" s="56" t="n">
        <f aca="false">R3734</f>
        <v>2000669.52389184</v>
      </c>
    </row>
    <row r="3735" customFormat="false" ht="15" hidden="false" customHeight="false" outlineLevel="0" collapsed="false">
      <c r="A3735" s="4" t="s">
        <v>574</v>
      </c>
      <c r="B3735" s="36" t="s">
        <v>125</v>
      </c>
      <c r="C3735" s="54" t="n">
        <f aca="false">(0+C3734)/8*Assumptions!$E$76-(C3727-C3726)-C3734*Assumptions!$E$93/4</f>
        <v>-260258.807091346</v>
      </c>
      <c r="D3735" s="54" t="n">
        <f aca="false">(C3734+D3734)/8*Assumptions!$E$76-(D3727-D3726)-D3734*Assumptions!$E$93/4</f>
        <v>-200365.259629629</v>
      </c>
      <c r="E3735" s="54" t="n">
        <f aca="false">(D3734+E3734)/8*Assumptions!$E$76-(E3727-E3726)-E3734*Assumptions!$E$93/4</f>
        <v>-183191.241275463</v>
      </c>
      <c r="F3735" s="54" t="n">
        <f aca="false">(E3734+F3734)/8*Assumptions!$E$76-(F3727-F3726)-F3734*Assumptions!$E$93/4</f>
        <v>-162189.452932164</v>
      </c>
      <c r="G3735" s="54" t="n">
        <f aca="false">(F3734+G3734)/8*Assumptions!$E$76-(G3727-G3726)-G3734*Assumptions!$E$93/4</f>
        <v>-122504.673655782</v>
      </c>
      <c r="H3735" s="54" t="n">
        <f aca="false">(G3734+H3734)/8*Assumptions!$E$76-(H3727-H3726)-H3734*Assumptions!$E$93/4</f>
        <v>-64038.1441554735</v>
      </c>
      <c r="I3735" s="54" t="n">
        <f aca="false">(H3734+I3734)/8*Assumptions!$E$76-(I3727-I3726)-I3734*Assumptions!$E$93/4</f>
        <v>-85752.9077197028</v>
      </c>
      <c r="J3735" s="54" t="n">
        <f aca="false">(I3734+J3734)/8*Assumptions!$E$76-(J3727-J3726)-J3734*Assumptions!$E$93/4</f>
        <v>-29368.9399510445</v>
      </c>
      <c r="K3735" s="54" t="n">
        <f aca="false">(J3734+K3734)/8*Assumptions!$E$76-(K3727-K3726)-K3734*Assumptions!$E$93/4</f>
        <v>-15318.5419202365</v>
      </c>
      <c r="L3735" s="54" t="n">
        <f aca="false">(K3734+L3734)/8*Assumptions!$E$76-(L3727-L3726)-L3734*Assumptions!$E$93/4</f>
        <v>6367.89001996107</v>
      </c>
      <c r="M3735" s="54" t="n">
        <f aca="false">(L3734+M3734)/8*Assumptions!$E$76-(M3727-M3726)-M3734*Assumptions!$E$93/4</f>
        <v>32012.9673580432</v>
      </c>
      <c r="N3735" s="54" t="n">
        <f aca="false">(M3734+N3734)/8*Assumptions!$E$76-(N3727-N3726)-N3734*Assumptions!$E$93/4</f>
        <v>57950.3323157566</v>
      </c>
      <c r="P3735" s="55" t="n">
        <f aca="false">SUM(C3735:F3735)</f>
        <v>-806004.760928602</v>
      </c>
      <c r="Q3735" s="55" t="n">
        <f aca="false">SUM(G3735:J3735)</f>
        <v>-301664.665482003</v>
      </c>
      <c r="R3735" s="55" t="n">
        <f aca="false">SUM(K3735:N3735)</f>
        <v>81012.6477735243</v>
      </c>
      <c r="S3735" s="56" t="n">
        <f aca="false">SUM(P3735:R3735)</f>
        <v>-1026656.77863708</v>
      </c>
    </row>
    <row r="3736" customFormat="false" ht="15" hidden="false" customHeight="false" outlineLevel="0" collapsed="false">
      <c r="A3736" s="4" t="s">
        <v>575</v>
      </c>
      <c r="B3736" s="36" t="s">
        <v>125</v>
      </c>
      <c r="C3736" s="54" t="n">
        <f aca="false">C3735*C3731</f>
        <v>-252988.586859998</v>
      </c>
      <c r="D3736" s="54" t="n">
        <f aca="false">D3735*D3731</f>
        <v>-189327.374413174</v>
      </c>
      <c r="E3736" s="54" t="n">
        <f aca="false">E3735*E3731</f>
        <v>-168263.992076841</v>
      </c>
      <c r="F3736" s="54" t="n">
        <f aca="false">F3735*F3731</f>
        <v>-144812.011546575</v>
      </c>
      <c r="G3736" s="54" t="n">
        <f aca="false">G3735*G3731</f>
        <v>-106323.71175025</v>
      </c>
      <c r="H3736" s="54" t="n">
        <f aca="false">H3735*H3731</f>
        <v>-54027.1058219028</v>
      </c>
      <c r="I3736" s="54" t="n">
        <f aca="false">I3735*I3731</f>
        <v>-70326.2265543404</v>
      </c>
      <c r="J3736" s="54" t="n">
        <f aca="false">J3735*J3731</f>
        <v>-23412.7391191362</v>
      </c>
      <c r="K3736" s="54" t="n">
        <f aca="false">K3735*K3731</f>
        <v>-11870.7150026913</v>
      </c>
      <c r="L3736" s="54" t="n">
        <f aca="false">L3735*L3731</f>
        <v>4796.78769845205</v>
      </c>
      <c r="M3736" s="54" t="n">
        <f aca="false">M3735*M3731</f>
        <v>23441.0126615656</v>
      </c>
      <c r="N3736" s="54" t="n">
        <f aca="false">N3735*N3731</f>
        <v>41247.9018965787</v>
      </c>
      <c r="P3736" s="55" t="n">
        <f aca="false">SUM(C3736:F3736)</f>
        <v>-755391.964896588</v>
      </c>
      <c r="Q3736" s="55" t="n">
        <f aca="false">SUM(G3736:J3736)</f>
        <v>-254089.78324563</v>
      </c>
      <c r="R3736" s="55" t="n">
        <f aca="false">SUM(K3736:N3736)</f>
        <v>57614.987253905</v>
      </c>
      <c r="S3736" s="56" t="n">
        <f aca="false">SUM(P3736:R3736)</f>
        <v>-951866.760888313</v>
      </c>
    </row>
    <row r="3737" customFormat="false" ht="15" hidden="false" customHeight="false" outlineLevel="0" collapsed="false">
      <c r="A3737" s="4" t="s">
        <v>576</v>
      </c>
      <c r="B3737" s="36"/>
      <c r="C3737" s="37" t="n">
        <f aca="false">IFERROR((S3692*$C$3641*Assumptions!$E$59+S3693*$C$3642*Assumptions!$E$60+S3694*$C$3643*Assumptions!$E$61)/(S3692*$C$3641+S3693*$C$3642+S3694*$C$3643),0.9)</f>
        <v>0.897423257779018</v>
      </c>
    </row>
    <row r="3738" customFormat="false" ht="15" hidden="false" customHeight="false" outlineLevel="0" collapsed="false">
      <c r="A3738" s="4" t="s">
        <v>577</v>
      </c>
      <c r="B3738" s="36"/>
      <c r="C3738" s="37" t="n">
        <f aca="false">IFERROR(N3726*4/N3704,0)</f>
        <v>0.175230976697573</v>
      </c>
    </row>
    <row r="3739" customFormat="false" ht="15" hidden="false" customHeight="false" outlineLevel="0" collapsed="false">
      <c r="A3739" s="4" t="s">
        <v>578</v>
      </c>
      <c r="B3739" s="36"/>
      <c r="C3739" s="60" t="n">
        <f aca="false">$C$3737/(1+Assumptions!$E$87)</f>
        <v>0.801270765874124</v>
      </c>
    </row>
    <row r="3740" customFormat="false" ht="15" hidden="false" customHeight="false" outlineLevel="0" collapsed="false">
      <c r="A3740" s="4" t="s">
        <v>579</v>
      </c>
      <c r="B3740" s="36"/>
      <c r="C3740" s="60" t="n">
        <f aca="false">Assumptions!$E$91/(1+Assumptions!$E$87)</f>
        <v>0.803571428571429</v>
      </c>
    </row>
    <row r="3741" customFormat="false" ht="15" hidden="false" customHeight="false" outlineLevel="0" collapsed="false">
      <c r="A3741" s="35" t="s">
        <v>580</v>
      </c>
      <c r="B3741" s="35" t="s">
        <v>444</v>
      </c>
      <c r="C3741" s="6" t="s">
        <v>354</v>
      </c>
      <c r="D3741" s="6" t="s">
        <v>355</v>
      </c>
      <c r="E3741" s="6" t="s">
        <v>356</v>
      </c>
      <c r="F3741" s="6" t="s">
        <v>357</v>
      </c>
      <c r="G3741" s="6" t="s">
        <v>358</v>
      </c>
      <c r="H3741" s="6" t="s">
        <v>359</v>
      </c>
      <c r="I3741" s="6" t="s">
        <v>360</v>
      </c>
      <c r="J3741" s="6" t="s">
        <v>361</v>
      </c>
      <c r="K3741" s="6" t="s">
        <v>362</v>
      </c>
      <c r="L3741" s="6" t="s">
        <v>363</v>
      </c>
      <c r="M3741" s="6" t="s">
        <v>364</v>
      </c>
      <c r="N3741" s="6" t="s">
        <v>365</v>
      </c>
      <c r="P3741" s="6" t="s">
        <v>445</v>
      </c>
      <c r="Q3741" s="6" t="s">
        <v>446</v>
      </c>
      <c r="R3741" s="6" t="s">
        <v>447</v>
      </c>
      <c r="S3741" s="6" t="s">
        <v>448</v>
      </c>
    </row>
    <row r="3742" customFormat="false" ht="15" hidden="false" customHeight="false" outlineLevel="0" collapsed="false">
      <c r="A3742" s="9" t="s">
        <v>581</v>
      </c>
      <c r="C3742" s="61" t="n">
        <f aca="false">N3704</f>
        <v>479236.780751642</v>
      </c>
      <c r="D3742" s="61"/>
    </row>
    <row r="3743" customFormat="false" ht="15" hidden="false" customHeight="false" outlineLevel="0" collapsed="false">
      <c r="A3743" s="9" t="s">
        <v>582</v>
      </c>
      <c r="C3743" s="62" t="n">
        <f aca="false">N3700</f>
        <v>46.3541514425344</v>
      </c>
      <c r="D3743" s="62"/>
    </row>
    <row r="3744" customFormat="false" ht="15" hidden="false" customHeight="false" outlineLevel="0" collapsed="false">
      <c r="A3744" s="9" t="s">
        <v>583</v>
      </c>
      <c r="C3744" s="63" t="n">
        <f aca="false">S3695</f>
        <v>51.3353025040735</v>
      </c>
      <c r="D3744" s="63"/>
    </row>
    <row r="3745" customFormat="false" ht="15" hidden="false" customHeight="false" outlineLevel="0" collapsed="false">
      <c r="A3745" s="9" t="s">
        <v>584</v>
      </c>
      <c r="C3745" s="61" t="n">
        <f aca="false">S3706</f>
        <v>472138.764828333</v>
      </c>
      <c r="D3745" s="61"/>
    </row>
    <row r="3746" customFormat="false" ht="15" hidden="false" customHeight="false" outlineLevel="0" collapsed="false">
      <c r="A3746" s="9" t="s">
        <v>22</v>
      </c>
      <c r="C3746" s="61" t="n">
        <f aca="false">IFERROR(S3705/S3695,0)</f>
        <v>8865.1039444947</v>
      </c>
      <c r="D3746" s="61"/>
    </row>
    <row r="3747" customFormat="false" ht="15" hidden="false" customHeight="false" outlineLevel="0" collapsed="false">
      <c r="A3747" s="9" t="s">
        <v>585</v>
      </c>
      <c r="C3747" s="61" t="n">
        <f aca="false">IFERROR(S3723/S3695,0)</f>
        <v>41826.0138736565</v>
      </c>
      <c r="D3747" s="61"/>
    </row>
    <row r="3748" customFormat="false" ht="23.85" hidden="false" customHeight="false" outlineLevel="0" collapsed="false">
      <c r="A3748" s="9" t="s">
        <v>586</v>
      </c>
      <c r="C3748" s="61" t="n">
        <f aca="false">IFERROR((S3717+S3719+S3720+S3721+S3722)/S3695,0)</f>
        <v>16701.6297903931</v>
      </c>
      <c r="D3748" s="61"/>
    </row>
    <row r="3749" customFormat="false" ht="15" hidden="false" customHeight="false" outlineLevel="0" collapsed="false">
      <c r="A3749" s="9" t="s">
        <v>587</v>
      </c>
      <c r="C3749" s="64" t="n">
        <f aca="false">IFERROR('Engine Runs'!$C$3747/('Engine Runs'!$C$3746*Assumptions!$E$76/12),0)</f>
        <v>87.1024827972691</v>
      </c>
      <c r="D3749" s="64"/>
    </row>
    <row r="3750" customFormat="false" ht="15" hidden="false" customHeight="false" outlineLevel="0" collapsed="false">
      <c r="A3750" s="9" t="s">
        <v>588</v>
      </c>
      <c r="C3750" s="64" t="n">
        <f aca="false">IFERROR((R3723/R3695)/((R3705/R3695)*Assumptions!$E$76/12),0)</f>
        <v>57.3491931919105</v>
      </c>
      <c r="D3750" s="64"/>
    </row>
    <row r="3751" customFormat="false" ht="15" hidden="false" customHeight="false" outlineLevel="0" collapsed="false">
      <c r="A3751" s="9" t="s">
        <v>589</v>
      </c>
      <c r="C3751" s="61" t="n">
        <f aca="false">S3727</f>
        <v>2947990.62018171</v>
      </c>
      <c r="D3751" s="61"/>
    </row>
    <row r="3752" customFormat="false" ht="15" hidden="false" customHeight="false" outlineLevel="0" collapsed="false">
      <c r="A3752" s="9" t="s">
        <v>590</v>
      </c>
      <c r="C3752" s="61" t="n">
        <f aca="false">N3730</f>
        <v>-2641100.42304329</v>
      </c>
      <c r="D3752" s="61"/>
    </row>
    <row r="3753" customFormat="false" ht="15" hidden="false" customHeight="false" outlineLevel="0" collapsed="false">
      <c r="A3753" s="9" t="s">
        <v>591</v>
      </c>
      <c r="C3753" s="61" t="n">
        <f aca="false">MIN($C$3730:$N$3730)</f>
        <v>-2641100.42304329</v>
      </c>
      <c r="D3753" s="61"/>
    </row>
    <row r="3754" customFormat="false" ht="15" hidden="false" customHeight="false" outlineLevel="0" collapsed="false">
      <c r="A3754" s="9" t="s">
        <v>592</v>
      </c>
      <c r="C3754" s="61" t="n">
        <f aca="false">N3704*(Assumptions!$E$76-$C$3738)*$C$3737*(1-$C$3737^Assumptions!$E$85)/(1-$C$3737)</f>
        <v>831895.210021049</v>
      </c>
      <c r="D3754" s="61"/>
    </row>
    <row r="3755" customFormat="false" ht="15" hidden="false" customHeight="false" outlineLevel="0" collapsed="false">
      <c r="A3755" s="9" t="s">
        <v>593</v>
      </c>
      <c r="C3755" s="61" t="n">
        <f aca="false">N3704*(Assumptions!$E$76-$C$3738)*(1-Assumptions!$E$88)/(1+Assumptions!$E$87)^2.5*$C$3739*(1-$C$3739^Assumptions!$E$85)/(1-$C$3739)</f>
        <v>370238.216844084</v>
      </c>
      <c r="D3755" s="61"/>
    </row>
    <row r="3756" customFormat="false" ht="15" hidden="false" customHeight="false" outlineLevel="0" collapsed="false">
      <c r="A3756" s="9" t="s">
        <v>594</v>
      </c>
      <c r="C3756" s="61" t="n">
        <f aca="false">SUM($C$3732:$N$3732)+'Engine Runs'!$C$3755</f>
        <v>-1909683.39422853</v>
      </c>
      <c r="D3756" s="61"/>
    </row>
    <row r="3757" customFormat="false" ht="15" hidden="false" customHeight="false" outlineLevel="0" collapsed="false">
      <c r="A3757" s="9" t="s">
        <v>595</v>
      </c>
      <c r="C3757" s="61" t="n">
        <f aca="false">SUM($C$3736:$N$3736)+N3734*(Assumptions!$E$76-Assumptions!$E$93)/(1+Assumptions!$E$87)^2.5*$C$3740*(1-$C$3740^Assumptions!$E$85)/(1-$C$3740)</f>
        <v>1507843.27858697</v>
      </c>
      <c r="D3757" s="61"/>
    </row>
    <row r="3758" customFormat="false" ht="15" hidden="false" customHeight="false" outlineLevel="0" collapsed="false">
      <c r="A3758" s="9" t="s">
        <v>596</v>
      </c>
      <c r="C3758" s="61" t="n">
        <f aca="false">'Engine Runs'!$C$3756-'Engine Runs'!$C$3757</f>
        <v>-3417526.6728155</v>
      </c>
      <c r="D3758" s="61"/>
    </row>
    <row r="3759" customFormat="false" ht="15" hidden="false" customHeight="false" outlineLevel="0" collapsed="false">
      <c r="A3759" s="9" t="s">
        <v>597</v>
      </c>
      <c r="C3759" s="61" t="n">
        <f aca="false">S3691</f>
        <v>0</v>
      </c>
      <c r="D3759" s="61"/>
    </row>
    <row r="3760" customFormat="false" ht="15" hidden="false" customHeight="false" outlineLevel="0" collapsed="false">
      <c r="A3760" s="9" t="s">
        <v>598</v>
      </c>
      <c r="C3760" s="63" t="n">
        <f aca="false">P3675</f>
        <v>42.2089482199371</v>
      </c>
      <c r="D3760" s="63"/>
    </row>
    <row r="3761" customFormat="false" ht="15" hidden="false" customHeight="false" outlineLevel="0" collapsed="false">
      <c r="A3761" s="9" t="s">
        <v>599</v>
      </c>
      <c r="C3761" s="63" t="n">
        <f aca="false">P3695</f>
        <v>6.02999159163486</v>
      </c>
      <c r="D3761" s="63"/>
    </row>
    <row r="3762" customFormat="false" ht="15" hidden="false" customHeight="false" outlineLevel="0" collapsed="false">
      <c r="A3762" s="9" t="s">
        <v>600</v>
      </c>
      <c r="C3762" s="63" t="n">
        <f aca="false">P3671</f>
        <v>42</v>
      </c>
      <c r="D3762" s="63"/>
    </row>
    <row r="3763" customFormat="false" ht="15" hidden="false" customHeight="false" outlineLevel="0" collapsed="false">
      <c r="A3763" s="9" t="s">
        <v>601</v>
      </c>
      <c r="C3763" s="61" t="n">
        <f aca="false">IFERROR(P3705/P3695,0)</f>
        <v>8561.93335136202</v>
      </c>
      <c r="D3763" s="61"/>
    </row>
    <row r="3766" customFormat="false" ht="15" hidden="false" customHeight="true" outlineLevel="0" collapsed="false">
      <c r="A3766" s="78" t="s">
        <v>822</v>
      </c>
      <c r="B3766" s="78"/>
      <c r="C3766" s="78"/>
      <c r="D3766" s="78"/>
      <c r="E3766" s="78"/>
      <c r="F3766" s="78"/>
      <c r="G3766" s="78"/>
      <c r="H3766" s="78"/>
      <c r="I3766" s="78"/>
      <c r="J3766" s="78"/>
      <c r="K3766" s="78"/>
      <c r="L3766" s="78"/>
      <c r="M3766" s="78"/>
      <c r="N3766" s="78"/>
    </row>
    <row r="3767" customFormat="false" ht="15" hidden="false" customHeight="true" outlineLevel="0" collapsed="false">
      <c r="A3767" s="79" t="s">
        <v>823</v>
      </c>
      <c r="B3767" s="79"/>
      <c r="C3767" s="79"/>
      <c r="D3767" s="79"/>
      <c r="E3767" s="79"/>
      <c r="F3767" s="79"/>
      <c r="G3767" s="79"/>
      <c r="H3767" s="79"/>
      <c r="I3767" s="79"/>
      <c r="J3767" s="79"/>
      <c r="K3767" s="79"/>
      <c r="L3767" s="79"/>
      <c r="M3767" s="79"/>
      <c r="N3767" s="79"/>
    </row>
    <row r="3768" customFormat="false" ht="23.85" hidden="false" customHeight="false" outlineLevel="0" collapsed="false">
      <c r="A3768" s="35" t="s">
        <v>824</v>
      </c>
      <c r="B3768" s="35" t="s">
        <v>444</v>
      </c>
      <c r="C3768" s="6" t="s">
        <v>354</v>
      </c>
      <c r="D3768" s="6" t="s">
        <v>355</v>
      </c>
      <c r="E3768" s="6" t="s">
        <v>356</v>
      </c>
      <c r="F3768" s="6" t="s">
        <v>357</v>
      </c>
      <c r="G3768" s="6" t="s">
        <v>358</v>
      </c>
      <c r="H3768" s="6" t="s">
        <v>359</v>
      </c>
      <c r="I3768" s="6" t="s">
        <v>360</v>
      </c>
      <c r="J3768" s="6" t="s">
        <v>361</v>
      </c>
      <c r="K3768" s="6" t="s">
        <v>362</v>
      </c>
      <c r="L3768" s="6" t="s">
        <v>363</v>
      </c>
      <c r="M3768" s="6" t="s">
        <v>364</v>
      </c>
      <c r="N3768" s="6" t="s">
        <v>365</v>
      </c>
      <c r="P3768" s="6" t="s">
        <v>445</v>
      </c>
      <c r="Q3768" s="6" t="s">
        <v>446</v>
      </c>
      <c r="R3768" s="6" t="s">
        <v>447</v>
      </c>
      <c r="S3768" s="6" t="s">
        <v>448</v>
      </c>
    </row>
    <row r="3769" customFormat="false" ht="15" hidden="false" customHeight="false" outlineLevel="0" collapsed="false">
      <c r="A3769" s="4" t="s">
        <v>449</v>
      </c>
      <c r="B3769" s="36" t="s">
        <v>450</v>
      </c>
      <c r="C3769" s="34" t="n">
        <f aca="false">'Market Sizing'!$C$17*Assumptions!$E$10*Assumptions!$E$11*(1-Assumptions!$E$12)</f>
        <v>843.03944704</v>
      </c>
    </row>
    <row r="3770" customFormat="false" ht="15" hidden="false" customHeight="false" outlineLevel="0" collapsed="false">
      <c r="A3770" s="4" t="s">
        <v>451</v>
      </c>
      <c r="B3770" s="36" t="s">
        <v>450</v>
      </c>
      <c r="C3770" s="34" t="n">
        <f aca="false">'Market Sizing'!$D$17*Assumptions!$E$10*Assumptions!$E$11*(1-Assumptions!$E$12)</f>
        <v>211.19616</v>
      </c>
    </row>
    <row r="3771" customFormat="false" ht="15" hidden="false" customHeight="false" outlineLevel="0" collapsed="false">
      <c r="A3771" s="4" t="s">
        <v>452</v>
      </c>
      <c r="B3771" s="36" t="s">
        <v>450</v>
      </c>
      <c r="C3771" s="34" t="n">
        <f aca="false">'Market Sizing'!$E$17*Assumptions!$E$10*Assumptions!$E$11*(1-Assumptions!$E$12)</f>
        <v>49.53984</v>
      </c>
    </row>
    <row r="3772" customFormat="false" ht="15" hidden="false" customHeight="false" outlineLevel="0" collapsed="false">
      <c r="A3772" s="4" t="s">
        <v>453</v>
      </c>
      <c r="B3772" s="36"/>
      <c r="C3772" s="34" t="n">
        <f aca="false">$C$3769+$C$3770+$C$3771</f>
        <v>1103.77544704</v>
      </c>
    </row>
    <row r="3773" customFormat="false" ht="15" hidden="false" customHeight="false" outlineLevel="0" collapsed="false">
      <c r="A3773" s="4" t="s">
        <v>454</v>
      </c>
      <c r="B3773" s="36" t="s">
        <v>450</v>
      </c>
      <c r="C3773" s="34" t="n">
        <f aca="false">'Market Sizing'!$C$18*Assumptions!$E$10*Assumptions!$E$11*(1-Assumptions!$E$12)</f>
        <v>612.57706944</v>
      </c>
    </row>
    <row r="3774" customFormat="false" ht="15" hidden="false" customHeight="false" outlineLevel="0" collapsed="false">
      <c r="A3774" s="4" t="s">
        <v>455</v>
      </c>
      <c r="B3774" s="36" t="s">
        <v>450</v>
      </c>
      <c r="C3774" s="34" t="n">
        <f aca="false">'Market Sizing'!$D$18*Assumptions!$E$10*Assumptions!$E$11*(1-Assumptions!$E$12)</f>
        <v>142.10112</v>
      </c>
    </row>
    <row r="3775" customFormat="false" ht="15" hidden="false" customHeight="false" outlineLevel="0" collapsed="false">
      <c r="A3775" s="4" t="s">
        <v>456</v>
      </c>
      <c r="B3775" s="36" t="s">
        <v>450</v>
      </c>
      <c r="C3775" s="34" t="n">
        <f aca="false">'Market Sizing'!$E$18*Assumptions!$E$10*Assumptions!$E$11*(1-Assumptions!$E$12)</f>
        <v>24.76992</v>
      </c>
    </row>
    <row r="3776" customFormat="false" ht="15" hidden="false" customHeight="false" outlineLevel="0" collapsed="false">
      <c r="A3776" s="4" t="s">
        <v>457</v>
      </c>
      <c r="B3776" s="36"/>
      <c r="C3776" s="34" t="n">
        <f aca="false">$C$3773+$C$3774+$C$3775</f>
        <v>779.44810944</v>
      </c>
    </row>
    <row r="3777" customFormat="false" ht="15" hidden="false" customHeight="false" outlineLevel="0" collapsed="false">
      <c r="A3777" s="4" t="s">
        <v>458</v>
      </c>
      <c r="B3777" s="36" t="s">
        <v>450</v>
      </c>
      <c r="C3777" s="34" t="n">
        <f aca="false">'Market Sizing'!$C$19*Assumptions!$E$10*Assumptions!$E$11*(1-Assumptions!$E$12)</f>
        <v>2060.77303936</v>
      </c>
    </row>
    <row r="3778" customFormat="false" ht="15" hidden="false" customHeight="false" outlineLevel="0" collapsed="false">
      <c r="A3778" s="4" t="s">
        <v>459</v>
      </c>
      <c r="B3778" s="36" t="s">
        <v>450</v>
      </c>
      <c r="C3778" s="34" t="n">
        <f aca="false">'Market Sizing'!$D$19*Assumptions!$E$10*Assumptions!$E$11*(1-Assumptions!$E$12)</f>
        <v>428.47616</v>
      </c>
    </row>
    <row r="3779" customFormat="false" ht="15" hidden="false" customHeight="false" outlineLevel="0" collapsed="false">
      <c r="A3779" s="4" t="s">
        <v>460</v>
      </c>
      <c r="B3779" s="36" t="s">
        <v>450</v>
      </c>
      <c r="C3779" s="34" t="n">
        <f aca="false">'Market Sizing'!$E$19*Assumptions!$E$10*Assumptions!$E$11*(1-Assumptions!$E$12)</f>
        <v>79.52448</v>
      </c>
    </row>
    <row r="3780" customFormat="false" ht="15" hidden="false" customHeight="false" outlineLevel="0" collapsed="false">
      <c r="A3780" s="4" t="s">
        <v>461</v>
      </c>
      <c r="B3780" s="36"/>
      <c r="C3780" s="34" t="n">
        <f aca="false">$C$3777+$C$3778+$C$3779</f>
        <v>2568.77367936</v>
      </c>
    </row>
    <row r="3781" customFormat="false" ht="15" hidden="false" customHeight="false" outlineLevel="0" collapsed="false">
      <c r="A3781" s="4" t="s">
        <v>462</v>
      </c>
      <c r="B3781" s="36" t="s">
        <v>463</v>
      </c>
      <c r="C3781" s="33" t="n">
        <f aca="false">MAX((Assumptions!$E$51+Assumptions!$E$53)*12,(((('Market Sizing'!$E$25*Assumptions!$E$41*Assumptions!$E$42*Assumptions!$E$43)*Assumptions!$E$44)*Assumptions!$E$45*Assumptions!$E$46+('Market Sizing'!$E$25*Assumptions!$E$41*Assumptions!$E$42*Assumptions!$E$43)*Assumptions!$E$47+('Market Sizing'!$E$25*Assumptions!$E$41*Assumptions!$E$42*Assumptions!$E$43)*Assumptions!$E$48*Assumptions!$E$49)*(Assumptions!$E$51*12/Assumptions!$E$52)+((('Market Sizing'!$E$25*Assumptions!$E$41*Assumptions!$E$42*Assumptions!$E$43)*Assumptions!$E$44)*Assumptions!$E$45+('Market Sizing'!$E$25*Assumptions!$E$41*Assumptions!$E$42*Assumptions!$E$43)+('Market Sizing'!$E$25*Assumptions!$E$41*Assumptions!$E$42*Assumptions!$E$43)*Assumptions!$E$48)*Assumptions!$E$50*(Assumptions!$E$53*12/Assumptions!$E$54)))</f>
        <v>5352</v>
      </c>
    </row>
    <row r="3782" customFormat="false" ht="15" hidden="false" customHeight="false" outlineLevel="0" collapsed="false">
      <c r="A3782" s="4" t="s">
        <v>464</v>
      </c>
      <c r="B3782" s="36" t="s">
        <v>463</v>
      </c>
      <c r="C3782" s="33" t="n">
        <f aca="false">MAX((Assumptions!$E$51+Assumptions!$E$53)*12,(((('Market Sizing'!$E$26*Assumptions!$E$41*Assumptions!$E$42*Assumptions!$E$43)*Assumptions!$E$44)*Assumptions!$E$45*Assumptions!$E$46+('Market Sizing'!$E$26*Assumptions!$E$41*Assumptions!$E$42*Assumptions!$E$43)*Assumptions!$E$47+('Market Sizing'!$E$26*Assumptions!$E$41*Assumptions!$E$42*Assumptions!$E$43)*Assumptions!$E$48*Assumptions!$E$49)*(Assumptions!$E$51*12/Assumptions!$E$52)+((('Market Sizing'!$E$26*Assumptions!$E$41*Assumptions!$E$42*Assumptions!$E$43)*Assumptions!$E$44)*Assumptions!$E$45+('Market Sizing'!$E$26*Assumptions!$E$41*Assumptions!$E$42*Assumptions!$E$43)+('Market Sizing'!$E$26*Assumptions!$E$41*Assumptions!$E$42*Assumptions!$E$43)*Assumptions!$E$48)*Assumptions!$E$50*(Assumptions!$E$53*12/Assumptions!$E$54)))</f>
        <v>9766.72012875208</v>
      </c>
    </row>
    <row r="3783" customFormat="false" ht="15" hidden="false" customHeight="false" outlineLevel="0" collapsed="false">
      <c r="A3783" s="4" t="s">
        <v>465</v>
      </c>
      <c r="B3783" s="36" t="s">
        <v>463</v>
      </c>
      <c r="C3783" s="33" t="n">
        <f aca="false">MAX(Assumptions!$E$55*(Assumptions!$E$51*12/Assumptions!$E$52)+Assumptions!$E$56*(Assumptions!$E$53*12/Assumptions!$E$54),(((('Market Sizing'!$E$27*Assumptions!$E$41*Assumptions!$E$42*Assumptions!$E$43)*Assumptions!$E$44)*Assumptions!$E$45*Assumptions!$E$46+('Market Sizing'!$E$27*Assumptions!$E$41*Assumptions!$E$42*Assumptions!$E$43)*Assumptions!$E$47+('Market Sizing'!$E$27*Assumptions!$E$41*Assumptions!$E$42*Assumptions!$E$43)*Assumptions!$E$48*Assumptions!$E$49)*(Assumptions!$E$51*12/Assumptions!$E$52)+((('Market Sizing'!$E$27*Assumptions!$E$41*Assumptions!$E$42*Assumptions!$E$43)*Assumptions!$E$44)*Assumptions!$E$45+('Market Sizing'!$E$27*Assumptions!$E$41*Assumptions!$E$42*Assumptions!$E$43)+('Market Sizing'!$E$27*Assumptions!$E$41*Assumptions!$E$42*Assumptions!$E$43)*Assumptions!$E$48)*Assumptions!$E$50*(Assumptions!$E$53*12/Assumptions!$E$54)))*(1-Assumptions!$E$57)</f>
        <v>61778.2562194386</v>
      </c>
    </row>
    <row r="3784" customFormat="false" ht="23.85" hidden="false" customHeight="false" outlineLevel="0" collapsed="false">
      <c r="A3784" s="4" t="s">
        <v>466</v>
      </c>
      <c r="B3784" s="36" t="s">
        <v>467</v>
      </c>
      <c r="C3784" s="37" t="n">
        <f aca="false">Assumptions!$E$17*Assumptions!$D$106</f>
        <v>0.4</v>
      </c>
    </row>
    <row r="3785" customFormat="false" ht="23.85" hidden="false" customHeight="false" outlineLevel="0" collapsed="false">
      <c r="A3785" s="4" t="s">
        <v>468</v>
      </c>
      <c r="B3785" s="36" t="s">
        <v>469</v>
      </c>
      <c r="C3785" s="33" t="n">
        <f aca="false">Assumptions!$E$68/Assumptions!$E$69</f>
        <v>285714.285714286</v>
      </c>
    </row>
    <row r="3786" customFormat="false" ht="23.85" hidden="false" customHeight="false" outlineLevel="0" collapsed="false">
      <c r="A3786" s="4" t="s">
        <v>470</v>
      </c>
      <c r="B3786" s="36" t="s">
        <v>471</v>
      </c>
      <c r="C3786" s="33" t="n">
        <f aca="false">Assumptions!$E$66*Assumptions!$E$67/4</f>
        <v>153125</v>
      </c>
    </row>
    <row r="3787" customFormat="false" ht="15" hidden="false" customHeight="false" outlineLevel="0" collapsed="false">
      <c r="A3787" s="4" t="s">
        <v>472</v>
      </c>
      <c r="B3787" s="36"/>
      <c r="C3787" s="38" t="n">
        <f aca="false">$C$3785/Assumptions!$E$66/Assumptions!$E$67</f>
        <v>0.466472303206997</v>
      </c>
    </row>
    <row r="3788" customFormat="false" ht="15" hidden="false" customHeight="false" outlineLevel="0" collapsed="false">
      <c r="A3788" s="4" t="s">
        <v>473</v>
      </c>
      <c r="B3788" s="36"/>
      <c r="C3788" s="33" t="n">
        <f aca="false">MAX(0,Assumptions!$D$103-Assumptions!$E$78)</f>
        <v>0</v>
      </c>
    </row>
    <row r="3789" customFormat="false" ht="15" hidden="false" customHeight="false" outlineLevel="0" collapsed="false">
      <c r="A3789" s="35" t="s">
        <v>474</v>
      </c>
      <c r="B3789" s="35" t="s">
        <v>444</v>
      </c>
      <c r="C3789" s="6" t="s">
        <v>354</v>
      </c>
      <c r="D3789" s="6" t="s">
        <v>355</v>
      </c>
      <c r="E3789" s="6" t="s">
        <v>356</v>
      </c>
      <c r="F3789" s="6" t="s">
        <v>357</v>
      </c>
      <c r="G3789" s="6" t="s">
        <v>358</v>
      </c>
      <c r="H3789" s="6" t="s">
        <v>359</v>
      </c>
      <c r="I3789" s="6" t="s">
        <v>360</v>
      </c>
      <c r="J3789" s="6" t="s">
        <v>361</v>
      </c>
      <c r="K3789" s="6" t="s">
        <v>362</v>
      </c>
      <c r="L3789" s="6" t="s">
        <v>363</v>
      </c>
      <c r="M3789" s="6" t="s">
        <v>364</v>
      </c>
      <c r="N3789" s="6" t="s">
        <v>365</v>
      </c>
      <c r="P3789" s="6" t="s">
        <v>445</v>
      </c>
      <c r="Q3789" s="6" t="s">
        <v>446</v>
      </c>
      <c r="R3789" s="6" t="s">
        <v>447</v>
      </c>
      <c r="S3789" s="6" t="s">
        <v>448</v>
      </c>
    </row>
    <row r="3790" customFormat="false" ht="15" hidden="false" customHeight="false" outlineLevel="0" collapsed="false">
      <c r="A3790" s="4" t="s">
        <v>475</v>
      </c>
      <c r="B3790" s="36" t="s">
        <v>133</v>
      </c>
      <c r="C3790" s="39" t="n">
        <v>1</v>
      </c>
      <c r="D3790" s="39" t="n">
        <v>2</v>
      </c>
      <c r="E3790" s="39" t="n">
        <v>3</v>
      </c>
      <c r="F3790" s="39" t="n">
        <v>4</v>
      </c>
      <c r="G3790" s="39" t="n">
        <v>5</v>
      </c>
      <c r="H3790" s="39" t="n">
        <v>6</v>
      </c>
      <c r="I3790" s="39" t="n">
        <v>7</v>
      </c>
      <c r="J3790" s="39" t="n">
        <v>8</v>
      </c>
      <c r="K3790" s="39" t="n">
        <v>9</v>
      </c>
      <c r="L3790" s="39" t="n">
        <v>10</v>
      </c>
      <c r="M3790" s="39" t="n">
        <v>11</v>
      </c>
      <c r="N3790" s="39" t="n">
        <v>12</v>
      </c>
      <c r="P3790" s="40"/>
      <c r="Q3790" s="40"/>
      <c r="R3790" s="40"/>
      <c r="S3790" s="41"/>
    </row>
    <row r="3791" customFormat="false" ht="15" hidden="false" customHeight="false" outlineLevel="0" collapsed="false">
      <c r="A3791" s="4" t="s">
        <v>476</v>
      </c>
      <c r="B3791" s="36" t="s">
        <v>343</v>
      </c>
      <c r="C3791" s="39" t="n">
        <f aca="false">IF(C3790&lt;=Assumptions!$E$84,1,0)</f>
        <v>1</v>
      </c>
      <c r="D3791" s="39" t="n">
        <f aca="false">IF(D3790&lt;=Assumptions!$E$84,1,0)</f>
        <v>1</v>
      </c>
      <c r="E3791" s="39" t="n">
        <f aca="false">IF(E3790&lt;=Assumptions!$E$84,1,0)</f>
        <v>1</v>
      </c>
      <c r="F3791" s="39" t="n">
        <f aca="false">IF(F3790&lt;=Assumptions!$E$84,1,0)</f>
        <v>1</v>
      </c>
      <c r="G3791" s="39" t="n">
        <f aca="false">IF(G3790&lt;=Assumptions!$E$84,1,0)</f>
        <v>1</v>
      </c>
      <c r="H3791" s="39" t="n">
        <f aca="false">IF(H3790&lt;=Assumptions!$E$84,1,0)</f>
        <v>1</v>
      </c>
      <c r="I3791" s="39" t="n">
        <f aca="false">IF(I3790&lt;=Assumptions!$E$84,1,0)</f>
        <v>1</v>
      </c>
      <c r="J3791" s="39" t="n">
        <f aca="false">IF(J3790&lt;=Assumptions!$E$84,1,0)</f>
        <v>1</v>
      </c>
      <c r="K3791" s="39" t="n">
        <f aca="false">IF(K3790&lt;=Assumptions!$E$84,1,0)</f>
        <v>1</v>
      </c>
      <c r="L3791" s="39" t="n">
        <f aca="false">IF(L3790&lt;=Assumptions!$E$84,1,0)</f>
        <v>1</v>
      </c>
      <c r="M3791" s="39" t="n">
        <f aca="false">IF(M3790&lt;=Assumptions!$E$84,1,0)</f>
        <v>1</v>
      </c>
      <c r="N3791" s="39" t="n">
        <f aca="false">IF(N3790&lt;=Assumptions!$E$84,1,0)</f>
        <v>1</v>
      </c>
      <c r="P3791" s="40"/>
      <c r="Q3791" s="40"/>
      <c r="R3791" s="40"/>
      <c r="S3791" s="41"/>
    </row>
    <row r="3792" customFormat="false" ht="15" hidden="false" customHeight="false" outlineLevel="0" collapsed="false">
      <c r="A3792" s="4" t="s">
        <v>477</v>
      </c>
      <c r="B3792" s="36" t="s">
        <v>478</v>
      </c>
      <c r="C3792" s="42" t="n">
        <f aca="false">IF(C3790=Assumptions!$E$13,0.5,IF(C3790&gt;Assumptions!$E$13,1,0))</f>
        <v>0.5</v>
      </c>
      <c r="D3792" s="42" t="n">
        <f aca="false">IF(D3790=Assumptions!$E$13,0.5,IF(D3790&gt;Assumptions!$E$13,1,0))</f>
        <v>1</v>
      </c>
      <c r="E3792" s="42" t="n">
        <f aca="false">IF(E3790=Assumptions!$E$13,0.5,IF(E3790&gt;Assumptions!$E$13,1,0))</f>
        <v>1</v>
      </c>
      <c r="F3792" s="42" t="n">
        <f aca="false">IF(F3790=Assumptions!$E$13,0.5,IF(F3790&gt;Assumptions!$E$13,1,0))</f>
        <v>1</v>
      </c>
      <c r="G3792" s="42" t="n">
        <f aca="false">IF(G3790=Assumptions!$E$13,0.5,IF(G3790&gt;Assumptions!$E$13,1,0))</f>
        <v>1</v>
      </c>
      <c r="H3792" s="42" t="n">
        <f aca="false">IF(H3790=Assumptions!$E$13,0.5,IF(H3790&gt;Assumptions!$E$13,1,0))</f>
        <v>1</v>
      </c>
      <c r="I3792" s="42" t="n">
        <f aca="false">IF(I3790=Assumptions!$E$13,0.5,IF(I3790&gt;Assumptions!$E$13,1,0))</f>
        <v>1</v>
      </c>
      <c r="J3792" s="42" t="n">
        <f aca="false">IF(J3790=Assumptions!$E$13,0.5,IF(J3790&gt;Assumptions!$E$13,1,0))</f>
        <v>1</v>
      </c>
      <c r="K3792" s="42" t="n">
        <f aca="false">IF(K3790=Assumptions!$E$13,0.5,IF(K3790&gt;Assumptions!$E$13,1,0))</f>
        <v>1</v>
      </c>
      <c r="L3792" s="42" t="n">
        <f aca="false">IF(L3790=Assumptions!$E$13,0.5,IF(L3790&gt;Assumptions!$E$13,1,0))</f>
        <v>1</v>
      </c>
      <c r="M3792" s="42" t="n">
        <f aca="false">IF(M3790=Assumptions!$E$13,0.5,IF(M3790&gt;Assumptions!$E$13,1,0))</f>
        <v>1</v>
      </c>
      <c r="N3792" s="42" t="n">
        <f aca="false">IF(N3790=Assumptions!$E$13,0.5,IF(N3790&gt;Assumptions!$E$13,1,0))</f>
        <v>1</v>
      </c>
      <c r="P3792" s="43"/>
      <c r="Q3792" s="43"/>
      <c r="R3792" s="43"/>
      <c r="S3792" s="44"/>
    </row>
    <row r="3793" customFormat="false" ht="15" hidden="false" customHeight="false" outlineLevel="0" collapsed="false">
      <c r="A3793" s="4" t="s">
        <v>479</v>
      </c>
      <c r="B3793" s="36" t="s">
        <v>478</v>
      </c>
      <c r="C3793" s="42" t="n">
        <f aca="false">IF(C3790=Assumptions!$E$14,0.5,IF(C3790&gt;Assumptions!$E$14,1,0))</f>
        <v>0</v>
      </c>
      <c r="D3793" s="42" t="n">
        <f aca="false">IF(D3790=Assumptions!$E$14,0.5,IF(D3790&gt;Assumptions!$E$14,1,0))</f>
        <v>0</v>
      </c>
      <c r="E3793" s="42" t="n">
        <f aca="false">IF(E3790=Assumptions!$E$14,0.5,IF(E3790&gt;Assumptions!$E$14,1,0))</f>
        <v>0</v>
      </c>
      <c r="F3793" s="42" t="n">
        <f aca="false">IF(F3790=Assumptions!$E$14,0.5,IF(F3790&gt;Assumptions!$E$14,1,0))</f>
        <v>0</v>
      </c>
      <c r="G3793" s="42" t="n">
        <f aca="false">IF(G3790=Assumptions!$E$14,0.5,IF(G3790&gt;Assumptions!$E$14,1,0))</f>
        <v>0.5</v>
      </c>
      <c r="H3793" s="42" t="n">
        <f aca="false">IF(H3790=Assumptions!$E$14,0.5,IF(H3790&gt;Assumptions!$E$14,1,0))</f>
        <v>1</v>
      </c>
      <c r="I3793" s="42" t="n">
        <f aca="false">IF(I3790=Assumptions!$E$14,0.5,IF(I3790&gt;Assumptions!$E$14,1,0))</f>
        <v>1</v>
      </c>
      <c r="J3793" s="42" t="n">
        <f aca="false">IF(J3790=Assumptions!$E$14,0.5,IF(J3790&gt;Assumptions!$E$14,1,0))</f>
        <v>1</v>
      </c>
      <c r="K3793" s="42" t="n">
        <f aca="false">IF(K3790=Assumptions!$E$14,0.5,IF(K3790&gt;Assumptions!$E$14,1,0))</f>
        <v>1</v>
      </c>
      <c r="L3793" s="42" t="n">
        <f aca="false">IF(L3790=Assumptions!$E$14,0.5,IF(L3790&gt;Assumptions!$E$14,1,0))</f>
        <v>1</v>
      </c>
      <c r="M3793" s="42" t="n">
        <f aca="false">IF(M3790=Assumptions!$E$14,0.5,IF(M3790&gt;Assumptions!$E$14,1,0))</f>
        <v>1</v>
      </c>
      <c r="N3793" s="42" t="n">
        <f aca="false">IF(N3790=Assumptions!$E$14,0.5,IF(N3790&gt;Assumptions!$E$14,1,0))</f>
        <v>1</v>
      </c>
      <c r="P3793" s="43"/>
      <c r="Q3793" s="43"/>
      <c r="R3793" s="43"/>
      <c r="S3793" s="44"/>
    </row>
    <row r="3794" customFormat="false" ht="15" hidden="false" customHeight="false" outlineLevel="0" collapsed="false">
      <c r="A3794" s="4" t="s">
        <v>480</v>
      </c>
      <c r="B3794" s="36" t="s">
        <v>478</v>
      </c>
      <c r="C3794" s="42" t="n">
        <f aca="false">IF(C3790=Assumptions!$E$15,0.5,IF(C3790&gt;Assumptions!$E$15,1,0))</f>
        <v>0</v>
      </c>
      <c r="D3794" s="42" t="n">
        <f aca="false">IF(D3790=Assumptions!$E$15,0.5,IF(D3790&gt;Assumptions!$E$15,1,0))</f>
        <v>0</v>
      </c>
      <c r="E3794" s="42" t="n">
        <f aca="false">IF(E3790=Assumptions!$E$15,0.5,IF(E3790&gt;Assumptions!$E$15,1,0))</f>
        <v>0</v>
      </c>
      <c r="F3794" s="42" t="n">
        <f aca="false">IF(F3790=Assumptions!$E$15,0.5,IF(F3790&gt;Assumptions!$E$15,1,0))</f>
        <v>0</v>
      </c>
      <c r="G3794" s="42" t="n">
        <f aca="false">IF(G3790=Assumptions!$E$15,0.5,IF(G3790&gt;Assumptions!$E$15,1,0))</f>
        <v>0</v>
      </c>
      <c r="H3794" s="42" t="n">
        <f aca="false">IF(H3790=Assumptions!$E$15,0.5,IF(H3790&gt;Assumptions!$E$15,1,0))</f>
        <v>0</v>
      </c>
      <c r="I3794" s="42" t="n">
        <f aca="false">IF(I3790=Assumptions!$E$15,0.5,IF(I3790&gt;Assumptions!$E$15,1,0))</f>
        <v>0.5</v>
      </c>
      <c r="J3794" s="42" t="n">
        <f aca="false">IF(J3790=Assumptions!$E$15,0.5,IF(J3790&gt;Assumptions!$E$15,1,0))</f>
        <v>1</v>
      </c>
      <c r="K3794" s="42" t="n">
        <f aca="false">IF(K3790=Assumptions!$E$15,0.5,IF(K3790&gt;Assumptions!$E$15,1,0))</f>
        <v>1</v>
      </c>
      <c r="L3794" s="42" t="n">
        <f aca="false">IF(L3790=Assumptions!$E$15,0.5,IF(L3790&gt;Assumptions!$E$15,1,0))</f>
        <v>1</v>
      </c>
      <c r="M3794" s="42" t="n">
        <f aca="false">IF(M3790=Assumptions!$E$15,0.5,IF(M3790&gt;Assumptions!$E$15,1,0))</f>
        <v>1</v>
      </c>
      <c r="N3794" s="42" t="n">
        <f aca="false">IF(N3790=Assumptions!$E$15,0.5,IF(N3790&gt;Assumptions!$E$15,1,0))</f>
        <v>1</v>
      </c>
      <c r="P3794" s="43"/>
      <c r="Q3794" s="43"/>
      <c r="R3794" s="43"/>
      <c r="S3794" s="44"/>
    </row>
    <row r="3795" customFormat="false" ht="15" hidden="false" customHeight="false" outlineLevel="0" collapsed="false">
      <c r="A3795" s="4" t="s">
        <v>481</v>
      </c>
      <c r="B3795" s="36" t="s">
        <v>478</v>
      </c>
      <c r="C3795" s="45" t="n">
        <f aca="false">Assumptions!$F$21^(MAX(0,C3790-Assumptions!$E$13)/4)</f>
        <v>1</v>
      </c>
      <c r="D3795" s="45" t="n">
        <f aca="false">Assumptions!$F$21^(MAX(0,D3790-Assumptions!$E$13)/4)</f>
        <v>0.960184589404188</v>
      </c>
      <c r="E3795" s="45" t="n">
        <f aca="false">Assumptions!$F$21^(MAX(0,E3790-Assumptions!$E$13)/4)</f>
        <v>0.921954445729289</v>
      </c>
      <c r="F3795" s="45" t="n">
        <f aca="false">Assumptions!$F$21^(MAX(0,F3790-Assumptions!$E$13)/4)</f>
        <v>0.885246450921943</v>
      </c>
      <c r="G3795" s="45" t="n">
        <f aca="false">Assumptions!$F$21^(MAX(0,G3790-Assumptions!$E$13)/4)</f>
        <v>0.85</v>
      </c>
      <c r="H3795" s="45" t="n">
        <f aca="false">Assumptions!$F$21^(MAX(0,H3790-Assumptions!$E$13)/4)</f>
        <v>0.81615690099356</v>
      </c>
      <c r="I3795" s="45" t="n">
        <f aca="false">Assumptions!$F$21^(MAX(0,I3790-Assumptions!$E$13)/4)</f>
        <v>0.783661278869895</v>
      </c>
      <c r="J3795" s="45" t="n">
        <f aca="false">Assumptions!$F$21^(MAX(0,J3790-Assumptions!$E$13)/4)</f>
        <v>0.752459483283651</v>
      </c>
      <c r="K3795" s="45" t="n">
        <f aca="false">Assumptions!$F$21^(MAX(0,K3790-Assumptions!$E$13)/4)</f>
        <v>0.7225</v>
      </c>
      <c r="L3795" s="45" t="n">
        <f aca="false">Assumptions!$F$21^(MAX(0,L3790-Assumptions!$E$13)/4)</f>
        <v>0.693733365844526</v>
      </c>
      <c r="M3795" s="45" t="n">
        <f aca="false">Assumptions!$F$21^(MAX(0,M3790-Assumptions!$E$13)/4)</f>
        <v>0.666112087039411</v>
      </c>
      <c r="N3795" s="45" t="n">
        <f aca="false">Assumptions!$F$21^(MAX(0,N3790-Assumptions!$E$13)/4)</f>
        <v>0.639590560791104</v>
      </c>
      <c r="P3795" s="46"/>
      <c r="Q3795" s="46"/>
      <c r="R3795" s="46"/>
      <c r="S3795" s="47"/>
    </row>
    <row r="3796" customFormat="false" ht="15" hidden="false" customHeight="false" outlineLevel="0" collapsed="false">
      <c r="A3796" s="4" t="s">
        <v>482</v>
      </c>
      <c r="B3796" s="36" t="s">
        <v>478</v>
      </c>
      <c r="C3796" s="45" t="n">
        <f aca="false">Assumptions!$F$21^(MAX(0,C3790-Assumptions!$E$14)/4)</f>
        <v>1</v>
      </c>
      <c r="D3796" s="45" t="n">
        <f aca="false">Assumptions!$F$21^(MAX(0,D3790-Assumptions!$E$14)/4)</f>
        <v>1</v>
      </c>
      <c r="E3796" s="45" t="n">
        <f aca="false">Assumptions!$F$21^(MAX(0,E3790-Assumptions!$E$14)/4)</f>
        <v>1</v>
      </c>
      <c r="F3796" s="45" t="n">
        <f aca="false">Assumptions!$F$21^(MAX(0,F3790-Assumptions!$E$14)/4)</f>
        <v>1</v>
      </c>
      <c r="G3796" s="45" t="n">
        <f aca="false">Assumptions!$F$21^(MAX(0,G3790-Assumptions!$E$14)/4)</f>
        <v>1</v>
      </c>
      <c r="H3796" s="45" t="n">
        <f aca="false">Assumptions!$F$21^(MAX(0,H3790-Assumptions!$E$14)/4)</f>
        <v>0.960184589404188</v>
      </c>
      <c r="I3796" s="45" t="n">
        <f aca="false">Assumptions!$F$21^(MAX(0,I3790-Assumptions!$E$14)/4)</f>
        <v>0.921954445729289</v>
      </c>
      <c r="J3796" s="45" t="n">
        <f aca="false">Assumptions!$F$21^(MAX(0,J3790-Assumptions!$E$14)/4)</f>
        <v>0.885246450921943</v>
      </c>
      <c r="K3796" s="45" t="n">
        <f aca="false">Assumptions!$F$21^(MAX(0,K3790-Assumptions!$E$14)/4)</f>
        <v>0.85</v>
      </c>
      <c r="L3796" s="45" t="n">
        <f aca="false">Assumptions!$F$21^(MAX(0,L3790-Assumptions!$E$14)/4)</f>
        <v>0.81615690099356</v>
      </c>
      <c r="M3796" s="45" t="n">
        <f aca="false">Assumptions!$F$21^(MAX(0,M3790-Assumptions!$E$14)/4)</f>
        <v>0.783661278869895</v>
      </c>
      <c r="N3796" s="45" t="n">
        <f aca="false">Assumptions!$F$21^(MAX(0,N3790-Assumptions!$E$14)/4)</f>
        <v>0.752459483283651</v>
      </c>
      <c r="P3796" s="46"/>
      <c r="Q3796" s="46"/>
      <c r="R3796" s="46"/>
      <c r="S3796" s="47"/>
    </row>
    <row r="3797" customFormat="false" ht="15" hidden="false" customHeight="false" outlineLevel="0" collapsed="false">
      <c r="A3797" s="4" t="s">
        <v>483</v>
      </c>
      <c r="B3797" s="36" t="s">
        <v>478</v>
      </c>
      <c r="C3797" s="45" t="n">
        <f aca="false">Assumptions!$F$21^(MAX(0,C3790-Assumptions!$E$15)/4)</f>
        <v>1</v>
      </c>
      <c r="D3797" s="45" t="n">
        <f aca="false">Assumptions!$F$21^(MAX(0,D3790-Assumptions!$E$15)/4)</f>
        <v>1</v>
      </c>
      <c r="E3797" s="45" t="n">
        <f aca="false">Assumptions!$F$21^(MAX(0,E3790-Assumptions!$E$15)/4)</f>
        <v>1</v>
      </c>
      <c r="F3797" s="45" t="n">
        <f aca="false">Assumptions!$F$21^(MAX(0,F3790-Assumptions!$E$15)/4)</f>
        <v>1</v>
      </c>
      <c r="G3797" s="45" t="n">
        <f aca="false">Assumptions!$F$21^(MAX(0,G3790-Assumptions!$E$15)/4)</f>
        <v>1</v>
      </c>
      <c r="H3797" s="45" t="n">
        <f aca="false">Assumptions!$F$21^(MAX(0,H3790-Assumptions!$E$15)/4)</f>
        <v>1</v>
      </c>
      <c r="I3797" s="45" t="n">
        <f aca="false">Assumptions!$F$21^(MAX(0,I3790-Assumptions!$E$15)/4)</f>
        <v>1</v>
      </c>
      <c r="J3797" s="45" t="n">
        <f aca="false">Assumptions!$F$21^(MAX(0,J3790-Assumptions!$E$15)/4)</f>
        <v>0.960184589404188</v>
      </c>
      <c r="K3797" s="45" t="n">
        <f aca="false">Assumptions!$F$21^(MAX(0,K3790-Assumptions!$E$15)/4)</f>
        <v>0.921954445729289</v>
      </c>
      <c r="L3797" s="45" t="n">
        <f aca="false">Assumptions!$F$21^(MAX(0,L3790-Assumptions!$E$15)/4)</f>
        <v>0.885246450921943</v>
      </c>
      <c r="M3797" s="45" t="n">
        <f aca="false">Assumptions!$F$21^(MAX(0,M3790-Assumptions!$E$15)/4)</f>
        <v>0.85</v>
      </c>
      <c r="N3797" s="45" t="n">
        <f aca="false">Assumptions!$F$21^(MAX(0,N3790-Assumptions!$E$15)/4)</f>
        <v>0.81615690099356</v>
      </c>
      <c r="P3797" s="46"/>
      <c r="Q3797" s="46"/>
      <c r="R3797" s="46"/>
      <c r="S3797" s="47"/>
    </row>
    <row r="3798" customFormat="false" ht="15" hidden="false" customHeight="false" outlineLevel="0" collapsed="false">
      <c r="A3798" s="4" t="s">
        <v>484</v>
      </c>
      <c r="B3798" s="36" t="s">
        <v>485</v>
      </c>
      <c r="C3798" s="39" t="n">
        <f aca="false">$C$3769*C3792+$C$3773*C3793+$C$3777*C3794</f>
        <v>421.51972352</v>
      </c>
      <c r="D3798" s="39" t="n">
        <f aca="false">$C$3769*D3792+$C$3773*D3793+$C$3777*D3794</f>
        <v>843.03944704</v>
      </c>
      <c r="E3798" s="39" t="n">
        <f aca="false">$C$3769*E3792+$C$3773*E3793+$C$3777*E3794</f>
        <v>843.03944704</v>
      </c>
      <c r="F3798" s="39" t="n">
        <f aca="false">$C$3769*F3792+$C$3773*F3793+$C$3777*F3794</f>
        <v>843.03944704</v>
      </c>
      <c r="G3798" s="39" t="n">
        <f aca="false">$C$3769*G3792+$C$3773*G3793+$C$3777*G3794</f>
        <v>1149.32798176</v>
      </c>
      <c r="H3798" s="39" t="n">
        <f aca="false">$C$3769*H3792+$C$3773*H3793+$C$3777*H3794</f>
        <v>1455.61651648</v>
      </c>
      <c r="I3798" s="39" t="n">
        <f aca="false">$C$3769*I3792+$C$3773*I3793+$C$3777*I3794</f>
        <v>2486.00303616</v>
      </c>
      <c r="J3798" s="39" t="n">
        <f aca="false">$C$3769*J3792+$C$3773*J3793+$C$3777*J3794</f>
        <v>3516.38955584</v>
      </c>
      <c r="K3798" s="39" t="n">
        <f aca="false">$C$3769*K3792+$C$3773*K3793+$C$3777*K3794</f>
        <v>3516.38955584</v>
      </c>
      <c r="L3798" s="39" t="n">
        <f aca="false">$C$3769*L3792+$C$3773*L3793+$C$3777*L3794</f>
        <v>3516.38955584</v>
      </c>
      <c r="M3798" s="39" t="n">
        <f aca="false">$C$3769*M3792+$C$3773*M3793+$C$3777*M3794</f>
        <v>3516.38955584</v>
      </c>
      <c r="N3798" s="39" t="n">
        <f aca="false">$C$3769*N3792+$C$3773*N3793+$C$3777*N3794</f>
        <v>3516.38955584</v>
      </c>
      <c r="P3798" s="40" t="n">
        <f aca="false">F3798</f>
        <v>843.03944704</v>
      </c>
      <c r="Q3798" s="40" t="n">
        <f aca="false">J3798</f>
        <v>3516.38955584</v>
      </c>
      <c r="R3798" s="40" t="n">
        <f aca="false">N3798</f>
        <v>3516.38955584</v>
      </c>
      <c r="S3798" s="41" t="n">
        <f aca="false">R3798</f>
        <v>3516.38955584</v>
      </c>
    </row>
    <row r="3799" customFormat="false" ht="15" hidden="false" customHeight="false" outlineLevel="0" collapsed="false">
      <c r="A3799" s="4" t="s">
        <v>486</v>
      </c>
      <c r="B3799" s="36" t="s">
        <v>485</v>
      </c>
      <c r="C3799" s="39" t="n">
        <f aca="false">$C$3770*C3792+$C$3774*C3793+$C$3778*C3794</f>
        <v>105.59808</v>
      </c>
      <c r="D3799" s="39" t="n">
        <f aca="false">$C$3770*D3792+$C$3774*D3793+$C$3778*D3794</f>
        <v>211.19616</v>
      </c>
      <c r="E3799" s="39" t="n">
        <f aca="false">$C$3770*E3792+$C$3774*E3793+$C$3778*E3794</f>
        <v>211.19616</v>
      </c>
      <c r="F3799" s="39" t="n">
        <f aca="false">$C$3770*F3792+$C$3774*F3793+$C$3778*F3794</f>
        <v>211.19616</v>
      </c>
      <c r="G3799" s="39" t="n">
        <f aca="false">$C$3770*G3792+$C$3774*G3793+$C$3778*G3794</f>
        <v>282.24672</v>
      </c>
      <c r="H3799" s="39" t="n">
        <f aca="false">$C$3770*H3792+$C$3774*H3793+$C$3778*H3794</f>
        <v>353.29728</v>
      </c>
      <c r="I3799" s="39" t="n">
        <f aca="false">$C$3770*I3792+$C$3774*I3793+$C$3778*I3794</f>
        <v>567.53536</v>
      </c>
      <c r="J3799" s="39" t="n">
        <f aca="false">$C$3770*J3792+$C$3774*J3793+$C$3778*J3794</f>
        <v>781.77344</v>
      </c>
      <c r="K3799" s="39" t="n">
        <f aca="false">$C$3770*K3792+$C$3774*K3793+$C$3778*K3794</f>
        <v>781.77344</v>
      </c>
      <c r="L3799" s="39" t="n">
        <f aca="false">$C$3770*L3792+$C$3774*L3793+$C$3778*L3794</f>
        <v>781.77344</v>
      </c>
      <c r="M3799" s="39" t="n">
        <f aca="false">$C$3770*M3792+$C$3774*M3793+$C$3778*M3794</f>
        <v>781.77344</v>
      </c>
      <c r="N3799" s="39" t="n">
        <f aca="false">$C$3770*N3792+$C$3774*N3793+$C$3778*N3794</f>
        <v>781.77344</v>
      </c>
      <c r="P3799" s="40" t="n">
        <f aca="false">F3799</f>
        <v>211.19616</v>
      </c>
      <c r="Q3799" s="40" t="n">
        <f aca="false">J3799</f>
        <v>781.77344</v>
      </c>
      <c r="R3799" s="40" t="n">
        <f aca="false">N3799</f>
        <v>781.77344</v>
      </c>
      <c r="S3799" s="41" t="n">
        <f aca="false">R3799</f>
        <v>781.77344</v>
      </c>
    </row>
    <row r="3800" customFormat="false" ht="15" hidden="false" customHeight="false" outlineLevel="0" collapsed="false">
      <c r="A3800" s="4" t="s">
        <v>487</v>
      </c>
      <c r="B3800" s="36" t="s">
        <v>485</v>
      </c>
      <c r="C3800" s="39" t="n">
        <f aca="false">$C$3771*C3792+$C$3775*C3793+$C$3779*C3794</f>
        <v>24.76992</v>
      </c>
      <c r="D3800" s="39" t="n">
        <f aca="false">$C$3771*D3792+$C$3775*D3793+$C$3779*D3794</f>
        <v>49.53984</v>
      </c>
      <c r="E3800" s="39" t="n">
        <f aca="false">$C$3771*E3792+$C$3775*E3793+$C$3779*E3794</f>
        <v>49.53984</v>
      </c>
      <c r="F3800" s="39" t="n">
        <f aca="false">$C$3771*F3792+$C$3775*F3793+$C$3779*F3794</f>
        <v>49.53984</v>
      </c>
      <c r="G3800" s="39" t="n">
        <f aca="false">$C$3771*G3792+$C$3775*G3793+$C$3779*G3794</f>
        <v>61.9248</v>
      </c>
      <c r="H3800" s="39" t="n">
        <f aca="false">$C$3771*H3792+$C$3775*H3793+$C$3779*H3794</f>
        <v>74.30976</v>
      </c>
      <c r="I3800" s="39" t="n">
        <f aca="false">$C$3771*I3792+$C$3775*I3793+$C$3779*I3794</f>
        <v>114.072</v>
      </c>
      <c r="J3800" s="39" t="n">
        <f aca="false">$C$3771*J3792+$C$3775*J3793+$C$3779*J3794</f>
        <v>153.83424</v>
      </c>
      <c r="K3800" s="39" t="n">
        <f aca="false">$C$3771*K3792+$C$3775*K3793+$C$3779*K3794</f>
        <v>153.83424</v>
      </c>
      <c r="L3800" s="39" t="n">
        <f aca="false">$C$3771*L3792+$C$3775*L3793+$C$3779*L3794</f>
        <v>153.83424</v>
      </c>
      <c r="M3800" s="39" t="n">
        <f aca="false">$C$3771*M3792+$C$3775*M3793+$C$3779*M3794</f>
        <v>153.83424</v>
      </c>
      <c r="N3800" s="39" t="n">
        <f aca="false">$C$3771*N3792+$C$3775*N3793+$C$3779*N3794</f>
        <v>153.83424</v>
      </c>
      <c r="P3800" s="40" t="n">
        <f aca="false">F3800</f>
        <v>49.53984</v>
      </c>
      <c r="Q3800" s="40" t="n">
        <f aca="false">J3800</f>
        <v>153.83424</v>
      </c>
      <c r="R3800" s="40" t="n">
        <f aca="false">N3800</f>
        <v>153.83424</v>
      </c>
      <c r="S3800" s="41" t="n">
        <f aca="false">R3800</f>
        <v>153.83424</v>
      </c>
    </row>
    <row r="3801" customFormat="false" ht="15" hidden="false" customHeight="false" outlineLevel="0" collapsed="false">
      <c r="A3801" s="4" t="s">
        <v>488</v>
      </c>
      <c r="B3801" s="36" t="s">
        <v>485</v>
      </c>
      <c r="C3801" s="39" t="n">
        <f aca="false">C3798+C3799+C3800</f>
        <v>551.88772352</v>
      </c>
      <c r="D3801" s="39" t="n">
        <f aca="false">D3798+D3799+D3800</f>
        <v>1103.77544704</v>
      </c>
      <c r="E3801" s="39" t="n">
        <f aca="false">E3798+E3799+E3800</f>
        <v>1103.77544704</v>
      </c>
      <c r="F3801" s="39" t="n">
        <f aca="false">F3798+F3799+F3800</f>
        <v>1103.77544704</v>
      </c>
      <c r="G3801" s="39" t="n">
        <f aca="false">G3798+G3799+G3800</f>
        <v>1493.49950176</v>
      </c>
      <c r="H3801" s="39" t="n">
        <f aca="false">H3798+H3799+H3800</f>
        <v>1883.22355648</v>
      </c>
      <c r="I3801" s="39" t="n">
        <f aca="false">I3798+I3799+I3800</f>
        <v>3167.61039616</v>
      </c>
      <c r="J3801" s="39" t="n">
        <f aca="false">J3798+J3799+J3800</f>
        <v>4451.99723584</v>
      </c>
      <c r="K3801" s="39" t="n">
        <f aca="false">K3798+K3799+K3800</f>
        <v>4451.99723584</v>
      </c>
      <c r="L3801" s="39" t="n">
        <f aca="false">L3798+L3799+L3800</f>
        <v>4451.99723584</v>
      </c>
      <c r="M3801" s="39" t="n">
        <f aca="false">M3798+M3799+M3800</f>
        <v>4451.99723584</v>
      </c>
      <c r="N3801" s="39" t="n">
        <f aca="false">N3798+N3799+N3800</f>
        <v>4451.99723584</v>
      </c>
      <c r="P3801" s="40" t="n">
        <f aca="false">F3801</f>
        <v>1103.77544704</v>
      </c>
      <c r="Q3801" s="40" t="n">
        <f aca="false">J3801</f>
        <v>4451.99723584</v>
      </c>
      <c r="R3801" s="40" t="n">
        <f aca="false">N3801</f>
        <v>4451.99723584</v>
      </c>
      <c r="S3801" s="41" t="n">
        <f aca="false">R3801</f>
        <v>4451.99723584</v>
      </c>
    </row>
    <row r="3802" customFormat="false" ht="15" hidden="false" customHeight="false" outlineLevel="0" collapsed="false">
      <c r="A3802" s="4" t="s">
        <v>489</v>
      </c>
      <c r="B3802" s="36" t="s">
        <v>485</v>
      </c>
      <c r="C3802" s="39" t="n">
        <f aca="false">$C$3772*C3792*C3795+$C$3776*C3793*C3796+$C$3780*C3794*C3797</f>
        <v>551.88772352</v>
      </c>
      <c r="D3802" s="39" t="n">
        <f aca="false">$C$3772*D3792*D3795+$C$3776*D3793*D3796+$C$3780*D3794*D3797</f>
        <v>1059.82817441053</v>
      </c>
      <c r="E3802" s="39" t="n">
        <f aca="false">$C$3772*E3792*E3795+$C$3776*E3793*E3796+$C$3780*E3794*E3797</f>
        <v>1017.63068048536</v>
      </c>
      <c r="F3802" s="39" t="n">
        <f aca="false">$C$3772*F3792*F3795+$C$3776*F3793*F3796+$C$3780*F3794*F3797</f>
        <v>977.113297106941</v>
      </c>
      <c r="G3802" s="39" t="n">
        <f aca="false">$C$3772*G3792*G3795+$C$3776*G3793*G3796+$C$3780*G3794*G3797</f>
        <v>1327.933184704</v>
      </c>
      <c r="H3802" s="39" t="n">
        <f aca="false">$C$3772*H3792*H3795+$C$3776*H3793*H3796+$C$3780*H3794*H3797</f>
        <v>1649.26801117346</v>
      </c>
      <c r="I3802" s="39" t="n">
        <f aca="false">$C$3772*I3792*I3795+$C$3776*I3793*I3796+$C$3780*I3794*I3797</f>
        <v>2867.98856780605</v>
      </c>
      <c r="J3802" s="39" t="n">
        <f aca="false">$C$3772*J3792*J3795+$C$3776*J3793*J3796+$C$3780*J3794*J3797</f>
        <v>3987.04687568904</v>
      </c>
      <c r="K3802" s="39" t="n">
        <f aca="false">$C$3772*K3792*K3795+$C$3776*K3793*K3796+$C$3780*K3794*K3797</f>
        <v>3828.30096726874</v>
      </c>
      <c r="L3802" s="39" t="n">
        <f aca="false">$C$3772*L3792*L3795+$C$3776*L3793*L3796+$C$3780*L3794*L3797</f>
        <v>3675.87559237259</v>
      </c>
      <c r="M3802" s="39" t="n">
        <f aca="false">$C$3772*M3792*M3795+$C$3776*M3793*M3796+$C$3780*M3794*M3797</f>
        <v>3529.51909636315</v>
      </c>
      <c r="N3802" s="39" t="n">
        <f aca="false">$C$3772*N3792*N3795+$C$3776*N3793*N3796+$C$3780*N3794*N3797</f>
        <v>3388.98984433569</v>
      </c>
      <c r="P3802" s="40"/>
      <c r="Q3802" s="40"/>
      <c r="R3802" s="40"/>
      <c r="S3802" s="41"/>
    </row>
    <row r="3803" customFormat="false" ht="15" hidden="false" customHeight="false" outlineLevel="0" collapsed="false">
      <c r="A3803" s="4" t="s">
        <v>490</v>
      </c>
      <c r="B3803" s="36" t="s">
        <v>491</v>
      </c>
      <c r="C3803" s="48" t="n">
        <f aca="false">$C$3784*Assumptions!$E$20*C3791*C3802</f>
        <v>6.62265268224</v>
      </c>
      <c r="D3803" s="48" t="n">
        <f aca="false">$C$3784*Assumptions!$E$20*D3791*D3802</f>
        <v>12.7179380929263</v>
      </c>
      <c r="E3803" s="48" t="n">
        <f aca="false">$C$3784*Assumptions!$E$20*E3791*E3802</f>
        <v>12.2115681658243</v>
      </c>
      <c r="F3803" s="48" t="n">
        <f aca="false">$C$3784*Assumptions!$E$20*F3791*F3802</f>
        <v>11.7253595652833</v>
      </c>
      <c r="G3803" s="48" t="n">
        <f aca="false">$C$3784*Assumptions!$E$20*G3791*G3802</f>
        <v>15.935198216448</v>
      </c>
      <c r="H3803" s="48" t="n">
        <f aca="false">$C$3784*Assumptions!$E$20*H3791*H3802</f>
        <v>19.7912161340816</v>
      </c>
      <c r="I3803" s="48" t="n">
        <f aca="false">$C$3784*Assumptions!$E$20*I3791*I3802</f>
        <v>34.4158628136727</v>
      </c>
      <c r="J3803" s="48" t="n">
        <f aca="false">$C$3784*Assumptions!$E$20*J3791*J3802</f>
        <v>47.8445625082685</v>
      </c>
      <c r="K3803" s="48" t="n">
        <f aca="false">$C$3784*Assumptions!$E$20*K3791*K3802</f>
        <v>45.9396116072248</v>
      </c>
      <c r="L3803" s="48" t="n">
        <f aca="false">$C$3784*Assumptions!$E$20*L3791*L3802</f>
        <v>44.110507108471</v>
      </c>
      <c r="M3803" s="48" t="n">
        <f aca="false">$C$3784*Assumptions!$E$20*M3791*M3802</f>
        <v>42.3542291563578</v>
      </c>
      <c r="N3803" s="48" t="n">
        <f aca="false">$C$3784*Assumptions!$E$20*N3791*N3802</f>
        <v>40.6678781320283</v>
      </c>
      <c r="P3803" s="49" t="n">
        <f aca="false">SUM(C3803:F3803)</f>
        <v>43.2775185062739</v>
      </c>
      <c r="Q3803" s="49" t="n">
        <f aca="false">SUM(G3803:J3803)</f>
        <v>117.986839672471</v>
      </c>
      <c r="R3803" s="49" t="n">
        <f aca="false">SUM(K3803:N3803)</f>
        <v>173.072226004082</v>
      </c>
      <c r="S3803" s="50" t="n">
        <f aca="false">SUM(P3803:R3803)</f>
        <v>334.336584182827</v>
      </c>
    </row>
    <row r="3804" customFormat="false" ht="15" hidden="false" customHeight="false" outlineLevel="0" collapsed="false">
      <c r="A3804" s="4" t="s">
        <v>492</v>
      </c>
      <c r="B3804" s="36" t="s">
        <v>321</v>
      </c>
      <c r="C3804" s="48" t="n">
        <f aca="false">Assumptions!$D$111</f>
        <v>0</v>
      </c>
      <c r="D3804" s="48" t="n">
        <f aca="false">Assumptions!$E$111</f>
        <v>0</v>
      </c>
      <c r="E3804" s="48" t="n">
        <f aca="false">Assumptions!$F$111</f>
        <v>0</v>
      </c>
      <c r="F3804" s="48" t="n">
        <f aca="false">Assumptions!$G$111</f>
        <v>0</v>
      </c>
      <c r="G3804" s="48" t="n">
        <f aca="false">Assumptions!$H$111</f>
        <v>0</v>
      </c>
      <c r="H3804" s="48" t="n">
        <f aca="false">Assumptions!$I$111</f>
        <v>0</v>
      </c>
      <c r="I3804" s="48" t="n">
        <f aca="false">Assumptions!$J$111</f>
        <v>0</v>
      </c>
      <c r="J3804" s="48" t="n">
        <f aca="false">Assumptions!$K$111</f>
        <v>0</v>
      </c>
      <c r="K3804" s="48" t="n">
        <f aca="false">Assumptions!$L$111</f>
        <v>0</v>
      </c>
      <c r="L3804" s="48" t="n">
        <f aca="false">Assumptions!$M$111</f>
        <v>0</v>
      </c>
      <c r="M3804" s="48" t="n">
        <f aca="false">Assumptions!$N$111</f>
        <v>0</v>
      </c>
      <c r="N3804" s="48" t="n">
        <f aca="false">Assumptions!$O$111</f>
        <v>0</v>
      </c>
      <c r="P3804" s="49" t="n">
        <f aca="false">F3804</f>
        <v>0</v>
      </c>
      <c r="Q3804" s="49" t="n">
        <f aca="false">J3804</f>
        <v>0</v>
      </c>
      <c r="R3804" s="49" t="n">
        <f aca="false">N3804</f>
        <v>0</v>
      </c>
      <c r="S3804" s="50" t="n">
        <f aca="false">R3804</f>
        <v>0</v>
      </c>
    </row>
    <row r="3805" customFormat="false" ht="15" hidden="false" customHeight="false" outlineLevel="0" collapsed="false">
      <c r="A3805" s="4" t="s">
        <v>493</v>
      </c>
      <c r="B3805" s="36" t="s">
        <v>321</v>
      </c>
      <c r="C3805" s="48" t="n">
        <f aca="false">0</f>
        <v>0</v>
      </c>
      <c r="D3805" s="48" t="n">
        <f aca="false">0.5*C3804</f>
        <v>0</v>
      </c>
      <c r="E3805" s="48" t="n">
        <f aca="false">C3804+0.5*(D3804-C3804)</f>
        <v>0</v>
      </c>
      <c r="F3805" s="48" t="n">
        <f aca="false">D3804+0.5*(E3804-D3804)</f>
        <v>0</v>
      </c>
      <c r="G3805" s="48" t="n">
        <f aca="false">E3804+0.5*(F3804-E3804)</f>
        <v>0</v>
      </c>
      <c r="H3805" s="48" t="n">
        <f aca="false">F3804+0.5*(G3804-F3804)</f>
        <v>0</v>
      </c>
      <c r="I3805" s="48" t="n">
        <f aca="false">G3804+0.5*(H3804-G3804)</f>
        <v>0</v>
      </c>
      <c r="J3805" s="48" t="n">
        <f aca="false">H3804+0.5*(I3804-H3804)</f>
        <v>0</v>
      </c>
      <c r="K3805" s="48" t="n">
        <f aca="false">I3804+0.5*(J3804-I3804)</f>
        <v>0</v>
      </c>
      <c r="L3805" s="48" t="n">
        <f aca="false">J3804+0.5*(K3804-J3804)</f>
        <v>0</v>
      </c>
      <c r="M3805" s="48" t="n">
        <f aca="false">K3804+0.5*(L3804-K3804)</f>
        <v>0</v>
      </c>
      <c r="N3805" s="48" t="n">
        <f aca="false">L3804+0.5*(M3804-L3804)</f>
        <v>0</v>
      </c>
      <c r="P3805" s="49" t="n">
        <f aca="false">F3805</f>
        <v>0</v>
      </c>
      <c r="Q3805" s="49" t="n">
        <f aca="false">J3805</f>
        <v>0</v>
      </c>
      <c r="R3805" s="49" t="n">
        <f aca="false">N3805</f>
        <v>0</v>
      </c>
      <c r="S3805" s="50" t="n">
        <f aca="false">R3805</f>
        <v>0</v>
      </c>
    </row>
    <row r="3806" customFormat="false" ht="15" hidden="false" customHeight="false" outlineLevel="0" collapsed="false">
      <c r="A3806" s="4" t="s">
        <v>494</v>
      </c>
      <c r="B3806" s="36" t="s">
        <v>485</v>
      </c>
      <c r="C3806" s="39" t="n">
        <f aca="false">MIN(C3805*Assumptions!$E$38,C3801*(1-$C$3784))</f>
        <v>0</v>
      </c>
      <c r="D3806" s="39" t="n">
        <f aca="false">MIN(D3805*Assumptions!$E$38,D3801*(1-$C$3784))</f>
        <v>0</v>
      </c>
      <c r="E3806" s="39" t="n">
        <f aca="false">MIN(E3805*Assumptions!$E$38,E3801*(1-$C$3784))</f>
        <v>0</v>
      </c>
      <c r="F3806" s="39" t="n">
        <f aca="false">MIN(F3805*Assumptions!$E$38,F3801*(1-$C$3784))</f>
        <v>0</v>
      </c>
      <c r="G3806" s="39" t="n">
        <f aca="false">MIN(G3805*Assumptions!$E$38,G3801*(1-$C$3784))</f>
        <v>0</v>
      </c>
      <c r="H3806" s="39" t="n">
        <f aca="false">MIN(H3805*Assumptions!$E$38,H3801*(1-$C$3784))</f>
        <v>0</v>
      </c>
      <c r="I3806" s="39" t="n">
        <f aca="false">MIN(I3805*Assumptions!$E$38,I3801*(1-$C$3784))</f>
        <v>0</v>
      </c>
      <c r="J3806" s="39" t="n">
        <f aca="false">MIN(J3805*Assumptions!$E$38,J3801*(1-$C$3784))</f>
        <v>0</v>
      </c>
      <c r="K3806" s="39" t="n">
        <f aca="false">MIN(K3805*Assumptions!$E$38,K3801*(1-$C$3784))</f>
        <v>0</v>
      </c>
      <c r="L3806" s="39" t="n">
        <f aca="false">MIN(L3805*Assumptions!$E$38,L3801*(1-$C$3784))</f>
        <v>0</v>
      </c>
      <c r="M3806" s="39" t="n">
        <f aca="false">MIN(M3805*Assumptions!$E$38,M3801*(1-$C$3784))</f>
        <v>0</v>
      </c>
      <c r="N3806" s="39" t="n">
        <f aca="false">MIN(N3805*Assumptions!$E$38,N3801*(1-$C$3784))</f>
        <v>0</v>
      </c>
      <c r="P3806" s="40" t="n">
        <f aca="false">SUM(C3806:F3806)</f>
        <v>0</v>
      </c>
      <c r="Q3806" s="40" t="n">
        <f aca="false">SUM(G3806:J3806)</f>
        <v>0</v>
      </c>
      <c r="R3806" s="40" t="n">
        <f aca="false">SUM(K3806:N3806)</f>
        <v>0</v>
      </c>
      <c r="S3806" s="41" t="n">
        <f aca="false">SUM(P3806:R3806)</f>
        <v>0</v>
      </c>
    </row>
    <row r="3807" customFormat="false" ht="15" hidden="false" customHeight="false" outlineLevel="0" collapsed="false">
      <c r="A3807" s="4" t="s">
        <v>495</v>
      </c>
      <c r="B3807" s="36" t="s">
        <v>491</v>
      </c>
      <c r="C3807" s="48" t="n">
        <f aca="false">C3806*Assumptions!$E$20*Assumptions!$E$39*IF(C3801&gt;0,C3802/C3801,0)*C3791</f>
        <v>0</v>
      </c>
      <c r="D3807" s="48" t="n">
        <f aca="false">D3806*Assumptions!$E$20*Assumptions!$E$39*IF(D3801&gt;0,D3802/D3801,0)*D3791</f>
        <v>0</v>
      </c>
      <c r="E3807" s="48" t="n">
        <f aca="false">E3806*Assumptions!$E$20*Assumptions!$E$39*IF(E3801&gt;0,E3802/E3801,0)*E3791</f>
        <v>0</v>
      </c>
      <c r="F3807" s="48" t="n">
        <f aca="false">F3806*Assumptions!$E$20*Assumptions!$E$39*IF(F3801&gt;0,F3802/F3801,0)*F3791</f>
        <v>0</v>
      </c>
      <c r="G3807" s="48" t="n">
        <f aca="false">G3806*Assumptions!$E$20*Assumptions!$E$39*IF(G3801&gt;0,G3802/G3801,0)*G3791</f>
        <v>0</v>
      </c>
      <c r="H3807" s="48" t="n">
        <f aca="false">H3806*Assumptions!$E$20*Assumptions!$E$39*IF(H3801&gt;0,H3802/H3801,0)*H3791</f>
        <v>0</v>
      </c>
      <c r="I3807" s="48" t="n">
        <f aca="false">I3806*Assumptions!$E$20*Assumptions!$E$39*IF(I3801&gt;0,I3802/I3801,0)*I3791</f>
        <v>0</v>
      </c>
      <c r="J3807" s="48" t="n">
        <f aca="false">J3806*Assumptions!$E$20*Assumptions!$E$39*IF(J3801&gt;0,J3802/J3801,0)*J3791</f>
        <v>0</v>
      </c>
      <c r="K3807" s="48" t="n">
        <f aca="false">K3806*Assumptions!$E$20*Assumptions!$E$39*IF(K3801&gt;0,K3802/K3801,0)*K3791</f>
        <v>0</v>
      </c>
      <c r="L3807" s="48" t="n">
        <f aca="false">L3806*Assumptions!$E$20*Assumptions!$E$39*IF(L3801&gt;0,L3802/L3801,0)*L3791</f>
        <v>0</v>
      </c>
      <c r="M3807" s="48" t="n">
        <f aca="false">M3806*Assumptions!$E$20*Assumptions!$E$39*IF(M3801&gt;0,M3802/M3801,0)*M3791</f>
        <v>0</v>
      </c>
      <c r="N3807" s="48" t="n">
        <f aca="false">N3806*Assumptions!$E$20*Assumptions!$E$39*IF(N3801&gt;0,N3802/N3801,0)*N3791</f>
        <v>0</v>
      </c>
      <c r="P3807" s="49" t="n">
        <f aca="false">SUM(C3807:F3807)</f>
        <v>0</v>
      </c>
      <c r="Q3807" s="49" t="n">
        <f aca="false">SUM(G3807:J3807)</f>
        <v>0</v>
      </c>
      <c r="R3807" s="49" t="n">
        <f aca="false">SUM(K3807:N3807)</f>
        <v>0</v>
      </c>
      <c r="S3807" s="50" t="n">
        <f aca="false">SUM(P3807:R3807)</f>
        <v>0</v>
      </c>
    </row>
    <row r="3808" customFormat="false" ht="15" hidden="false" customHeight="false" outlineLevel="0" collapsed="false">
      <c r="A3808" s="4" t="s">
        <v>496</v>
      </c>
      <c r="B3808" s="36" t="s">
        <v>497</v>
      </c>
      <c r="C3808" s="48" t="n">
        <f aca="false">IF(AND(C3801&gt;0,$C$3788&gt;0),C3801*Assumptions!$E$24*(1-EXP(-$C$3788/(Assumptions!$E$23*C3801*Assumptions!$E$24))),0)</f>
        <v>0</v>
      </c>
      <c r="D3808" s="48" t="n">
        <f aca="false">IF(AND(D3801&gt;0,$C$3788&gt;0),D3801*Assumptions!$E$24*(1-EXP(-$C$3788/(Assumptions!$E$23*D3801*Assumptions!$E$24))),0)</f>
        <v>0</v>
      </c>
      <c r="E3808" s="48" t="n">
        <f aca="false">IF(AND(E3801&gt;0,$C$3788&gt;0),E3801*Assumptions!$E$24*(1-EXP(-$C$3788/(Assumptions!$E$23*E3801*Assumptions!$E$24))),0)</f>
        <v>0</v>
      </c>
      <c r="F3808" s="48" t="n">
        <f aca="false">IF(AND(F3801&gt;0,$C$3788&gt;0),F3801*Assumptions!$E$24*(1-EXP(-$C$3788/(Assumptions!$E$23*F3801*Assumptions!$E$24))),0)</f>
        <v>0</v>
      </c>
      <c r="G3808" s="48" t="n">
        <f aca="false">IF(AND(G3801&gt;0,$C$3788&gt;0),G3801*Assumptions!$E$24*(1-EXP(-$C$3788/(Assumptions!$E$23*G3801*Assumptions!$E$24))),0)</f>
        <v>0</v>
      </c>
      <c r="H3808" s="48" t="n">
        <f aca="false">IF(AND(H3801&gt;0,$C$3788&gt;0),H3801*Assumptions!$E$24*(1-EXP(-$C$3788/(Assumptions!$E$23*H3801*Assumptions!$E$24))),0)</f>
        <v>0</v>
      </c>
      <c r="I3808" s="48" t="n">
        <f aca="false">IF(AND(I3801&gt;0,$C$3788&gt;0),I3801*Assumptions!$E$24*(1-EXP(-$C$3788/(Assumptions!$E$23*I3801*Assumptions!$E$24))),0)</f>
        <v>0</v>
      </c>
      <c r="J3808" s="48" t="n">
        <f aca="false">IF(AND(J3801&gt;0,$C$3788&gt;0),J3801*Assumptions!$E$24*(1-EXP(-$C$3788/(Assumptions!$E$23*J3801*Assumptions!$E$24))),0)</f>
        <v>0</v>
      </c>
      <c r="K3808" s="48" t="n">
        <f aca="false">IF(AND(K3801&gt;0,$C$3788&gt;0),K3801*Assumptions!$E$24*(1-EXP(-$C$3788/(Assumptions!$E$23*K3801*Assumptions!$E$24))),0)</f>
        <v>0</v>
      </c>
      <c r="L3808" s="48" t="n">
        <f aca="false">IF(AND(L3801&gt;0,$C$3788&gt;0),L3801*Assumptions!$E$24*(1-EXP(-$C$3788/(Assumptions!$E$23*L3801*Assumptions!$E$24))),0)</f>
        <v>0</v>
      </c>
      <c r="M3808" s="48" t="n">
        <f aca="false">IF(AND(M3801&gt;0,$C$3788&gt;0),M3801*Assumptions!$E$24*(1-EXP(-$C$3788/(Assumptions!$E$23*M3801*Assumptions!$E$24))),0)</f>
        <v>0</v>
      </c>
      <c r="N3808" s="48" t="n">
        <f aca="false">IF(AND(N3801&gt;0,$C$3788&gt;0),N3801*Assumptions!$E$24*(1-EXP(-$C$3788/(Assumptions!$E$23*N3801*Assumptions!$E$24))),0)</f>
        <v>0</v>
      </c>
      <c r="P3808" s="49" t="n">
        <f aca="false">SUM(C3808:F3808)</f>
        <v>0</v>
      </c>
      <c r="Q3808" s="49" t="n">
        <f aca="false">SUM(G3808:J3808)</f>
        <v>0</v>
      </c>
      <c r="R3808" s="49" t="n">
        <f aca="false">SUM(K3808:N3808)</f>
        <v>0</v>
      </c>
      <c r="S3808" s="50" t="n">
        <f aca="false">SUM(P3808:R3808)</f>
        <v>0</v>
      </c>
    </row>
    <row r="3809" customFormat="false" ht="15" hidden="false" customHeight="false" outlineLevel="0" collapsed="false">
      <c r="A3809" s="4" t="s">
        <v>498</v>
      </c>
      <c r="B3809" s="36" t="s">
        <v>497</v>
      </c>
      <c r="C3809" s="48" t="n">
        <f aca="false">(C3801*Assumptions!$E$22*MIN(1,Assumptions!$D$103/Assumptions!$E$78)+C3808)*C3791</f>
        <v>5.5188772352</v>
      </c>
      <c r="D3809" s="48" t="n">
        <f aca="false">(D3801*Assumptions!$E$22*MIN(1,Assumptions!$D$103/Assumptions!$E$78)+D3808)*D3791</f>
        <v>11.0377544704</v>
      </c>
      <c r="E3809" s="48" t="n">
        <f aca="false">(E3801*Assumptions!$E$22*MIN(1,Assumptions!$D$103/Assumptions!$E$78)+E3808)*E3791</f>
        <v>11.0377544704</v>
      </c>
      <c r="F3809" s="48" t="n">
        <f aca="false">(F3801*Assumptions!$E$22*MIN(1,Assumptions!$D$103/Assumptions!$E$78)+F3808)*F3791</f>
        <v>11.0377544704</v>
      </c>
      <c r="G3809" s="48" t="n">
        <f aca="false">(G3801*Assumptions!$E$22*MIN(1,Assumptions!$D$103/Assumptions!$E$78)+G3808)*G3791</f>
        <v>14.9349950176</v>
      </c>
      <c r="H3809" s="48" t="n">
        <f aca="false">(H3801*Assumptions!$E$22*MIN(1,Assumptions!$D$103/Assumptions!$E$78)+H3808)*H3791</f>
        <v>18.8322355648</v>
      </c>
      <c r="I3809" s="48" t="n">
        <f aca="false">(I3801*Assumptions!$E$22*MIN(1,Assumptions!$D$103/Assumptions!$E$78)+I3808)*I3791</f>
        <v>31.6761039616</v>
      </c>
      <c r="J3809" s="48" t="n">
        <f aca="false">(J3801*Assumptions!$E$22*MIN(1,Assumptions!$D$103/Assumptions!$E$78)+J3808)*J3791</f>
        <v>44.5199723584</v>
      </c>
      <c r="K3809" s="48" t="n">
        <f aca="false">(K3801*Assumptions!$E$22*MIN(1,Assumptions!$D$103/Assumptions!$E$78)+K3808)*K3791</f>
        <v>44.5199723584</v>
      </c>
      <c r="L3809" s="48" t="n">
        <f aca="false">(L3801*Assumptions!$E$22*MIN(1,Assumptions!$D$103/Assumptions!$E$78)+L3808)*L3791</f>
        <v>44.5199723584</v>
      </c>
      <c r="M3809" s="48" t="n">
        <f aca="false">(M3801*Assumptions!$E$22*MIN(1,Assumptions!$D$103/Assumptions!$E$78)+M3808)*M3791</f>
        <v>44.5199723584</v>
      </c>
      <c r="N3809" s="48" t="n">
        <f aca="false">(N3801*Assumptions!$E$22*MIN(1,Assumptions!$D$103/Assumptions!$E$78)+N3808)*N3791</f>
        <v>44.5199723584</v>
      </c>
      <c r="P3809" s="49" t="n">
        <f aca="false">SUM(C3809:F3809)</f>
        <v>38.6321406464</v>
      </c>
      <c r="Q3809" s="49" t="n">
        <f aca="false">SUM(G3809:J3809)</f>
        <v>109.9633069024</v>
      </c>
      <c r="R3809" s="49" t="n">
        <f aca="false">SUM(K3809:N3809)</f>
        <v>178.0798894336</v>
      </c>
      <c r="S3809" s="50" t="n">
        <f aca="false">SUM(P3809:R3809)</f>
        <v>326.6753369824</v>
      </c>
    </row>
    <row r="3810" customFormat="false" ht="15" hidden="false" customHeight="false" outlineLevel="0" collapsed="false">
      <c r="A3810" s="4" t="s">
        <v>499</v>
      </c>
      <c r="B3810" s="36" t="s">
        <v>500</v>
      </c>
      <c r="C3810" s="48" t="n">
        <f aca="false">C3791*MIN(Assumptions!$E$27,Assumptions!$E$25+Assumptions!$E$26*(C3790-1))*Assumptions!$D$107</f>
        <v>2</v>
      </c>
      <c r="D3810" s="48" t="n">
        <f aca="false">D3791*MIN(Assumptions!$E$27,Assumptions!$E$25+Assumptions!$E$26*(D3790-1))*Assumptions!$D$107</f>
        <v>3</v>
      </c>
      <c r="E3810" s="48" t="n">
        <f aca="false">E3791*MIN(Assumptions!$E$27,Assumptions!$E$25+Assumptions!$E$26*(E3790-1))*Assumptions!$D$107</f>
        <v>4</v>
      </c>
      <c r="F3810" s="48" t="n">
        <f aca="false">F3791*MIN(Assumptions!$E$27,Assumptions!$E$25+Assumptions!$E$26*(F3790-1))*Assumptions!$D$107</f>
        <v>5</v>
      </c>
      <c r="G3810" s="48" t="n">
        <f aca="false">G3791*MIN(Assumptions!$E$27,Assumptions!$E$25+Assumptions!$E$26*(G3790-1))*Assumptions!$D$107</f>
        <v>6</v>
      </c>
      <c r="H3810" s="48" t="n">
        <f aca="false">H3791*MIN(Assumptions!$E$27,Assumptions!$E$25+Assumptions!$E$26*(H3790-1))*Assumptions!$D$107</f>
        <v>7</v>
      </c>
      <c r="I3810" s="48" t="n">
        <f aca="false">I3791*MIN(Assumptions!$E$27,Assumptions!$E$25+Assumptions!$E$26*(I3790-1))*Assumptions!$D$107</f>
        <v>8</v>
      </c>
      <c r="J3810" s="48" t="n">
        <f aca="false">J3791*MIN(Assumptions!$E$27,Assumptions!$E$25+Assumptions!$E$26*(J3790-1))*Assumptions!$D$107</f>
        <v>9</v>
      </c>
      <c r="K3810" s="48" t="n">
        <f aca="false">K3791*MIN(Assumptions!$E$27,Assumptions!$E$25+Assumptions!$E$26*(K3790-1))*Assumptions!$D$107</f>
        <v>10</v>
      </c>
      <c r="L3810" s="48" t="n">
        <f aca="false">L3791*MIN(Assumptions!$E$27,Assumptions!$E$25+Assumptions!$E$26*(L3790-1))*Assumptions!$D$107</f>
        <v>10</v>
      </c>
      <c r="M3810" s="48" t="n">
        <f aca="false">M3791*MIN(Assumptions!$E$27,Assumptions!$E$25+Assumptions!$E$26*(M3790-1))*Assumptions!$D$107</f>
        <v>10</v>
      </c>
      <c r="N3810" s="48" t="n">
        <f aca="false">N3791*MIN(Assumptions!$E$27,Assumptions!$E$25+Assumptions!$E$26*(N3790-1))*Assumptions!$D$107</f>
        <v>10</v>
      </c>
      <c r="P3810" s="49" t="n">
        <f aca="false">F3810</f>
        <v>5</v>
      </c>
      <c r="Q3810" s="49" t="n">
        <f aca="false">J3810</f>
        <v>9</v>
      </c>
      <c r="R3810" s="49" t="n">
        <f aca="false">N3810</f>
        <v>10</v>
      </c>
      <c r="S3810" s="50" t="n">
        <f aca="false">R3810</f>
        <v>10</v>
      </c>
    </row>
    <row r="3811" customFormat="false" ht="15" hidden="false" customHeight="false" outlineLevel="0" collapsed="false">
      <c r="A3811" s="4" t="s">
        <v>501</v>
      </c>
      <c r="B3811" s="36" t="s">
        <v>502</v>
      </c>
      <c r="C3811" s="48" t="n">
        <f aca="false">C3810*Assumptions!$E$28</f>
        <v>6</v>
      </c>
      <c r="D3811" s="48" t="n">
        <f aca="false">D3810*Assumptions!$E$28</f>
        <v>9</v>
      </c>
      <c r="E3811" s="48" t="n">
        <f aca="false">E3810*Assumptions!$E$28</f>
        <v>12</v>
      </c>
      <c r="F3811" s="48" t="n">
        <f aca="false">F3810*Assumptions!$E$28</f>
        <v>15</v>
      </c>
      <c r="G3811" s="48" t="n">
        <f aca="false">G3810*Assumptions!$E$28</f>
        <v>18</v>
      </c>
      <c r="H3811" s="48" t="n">
        <f aca="false">H3810*Assumptions!$E$28</f>
        <v>21</v>
      </c>
      <c r="I3811" s="48" t="n">
        <f aca="false">I3810*Assumptions!$E$28</f>
        <v>24</v>
      </c>
      <c r="J3811" s="48" t="n">
        <f aca="false">J3810*Assumptions!$E$28</f>
        <v>27</v>
      </c>
      <c r="K3811" s="48" t="n">
        <f aca="false">K3810*Assumptions!$E$28</f>
        <v>30</v>
      </c>
      <c r="L3811" s="48" t="n">
        <f aca="false">L3810*Assumptions!$E$28</f>
        <v>30</v>
      </c>
      <c r="M3811" s="48" t="n">
        <f aca="false">M3810*Assumptions!$E$28</f>
        <v>30</v>
      </c>
      <c r="N3811" s="48" t="n">
        <f aca="false">N3810*Assumptions!$E$28</f>
        <v>30</v>
      </c>
      <c r="P3811" s="49" t="n">
        <f aca="false">SUM(C3811:F3811)</f>
        <v>42</v>
      </c>
      <c r="Q3811" s="49" t="n">
        <f aca="false">SUM(G3811:J3811)</f>
        <v>90</v>
      </c>
      <c r="R3811" s="49" t="n">
        <f aca="false">SUM(K3811:N3811)</f>
        <v>120</v>
      </c>
      <c r="S3811" s="50" t="n">
        <f aca="false">SUM(P3811:R3811)</f>
        <v>252</v>
      </c>
    </row>
    <row r="3812" customFormat="false" ht="15" hidden="false" customHeight="false" outlineLevel="0" collapsed="false">
      <c r="A3812" s="4" t="s">
        <v>503</v>
      </c>
      <c r="B3812" s="36" t="s">
        <v>504</v>
      </c>
      <c r="C3812" s="48" t="n">
        <f aca="false">(C3803+C3807)*Assumptions!$E$29</f>
        <v>2.649061072896</v>
      </c>
      <c r="D3812" s="48" t="n">
        <f aca="false">(D3803+D3807)*Assumptions!$E$29</f>
        <v>5.08717523717053</v>
      </c>
      <c r="E3812" s="48" t="n">
        <f aca="false">(E3803+E3807)*Assumptions!$E$29</f>
        <v>4.88462726632973</v>
      </c>
      <c r="F3812" s="48" t="n">
        <f aca="false">(F3803+F3807)*Assumptions!$E$29</f>
        <v>4.69014382611332</v>
      </c>
      <c r="G3812" s="48" t="n">
        <f aca="false">(G3803+G3807)*Assumptions!$E$29</f>
        <v>6.3740792865792</v>
      </c>
      <c r="H3812" s="48" t="n">
        <f aca="false">(H3803+H3807)*Assumptions!$E$29</f>
        <v>7.91648645363263</v>
      </c>
      <c r="I3812" s="48" t="n">
        <f aca="false">(I3803+I3807)*Assumptions!$E$29</f>
        <v>13.7663451254691</v>
      </c>
      <c r="J3812" s="48" t="n">
        <f aca="false">(J3803+J3807)*Assumptions!$E$29</f>
        <v>19.1378250033074</v>
      </c>
      <c r="K3812" s="48" t="n">
        <f aca="false">(K3803+K3807)*Assumptions!$E$29</f>
        <v>18.3758446428899</v>
      </c>
      <c r="L3812" s="48" t="n">
        <f aca="false">(L3803+L3807)*Assumptions!$E$29</f>
        <v>17.6442028433884</v>
      </c>
      <c r="M3812" s="48" t="n">
        <f aca="false">(M3803+M3807)*Assumptions!$E$29</f>
        <v>16.9416916625431</v>
      </c>
      <c r="N3812" s="48" t="n">
        <f aca="false">(N3803+N3807)*Assumptions!$E$29</f>
        <v>16.2671512528113</v>
      </c>
      <c r="P3812" s="49" t="n">
        <f aca="false">SUM(C3812:F3812)</f>
        <v>17.3110074025096</v>
      </c>
      <c r="Q3812" s="49" t="n">
        <f aca="false">SUM(G3812:J3812)</f>
        <v>47.1947358689883</v>
      </c>
      <c r="R3812" s="49" t="n">
        <f aca="false">SUM(K3812:N3812)</f>
        <v>69.2288904016328</v>
      </c>
      <c r="S3812" s="50" t="n">
        <f aca="false">SUM(P3812:R3812)</f>
        <v>133.734633673131</v>
      </c>
    </row>
    <row r="3813" customFormat="false" ht="15" hidden="false" customHeight="false" outlineLevel="0" collapsed="false">
      <c r="A3813" s="4" t="s">
        <v>505</v>
      </c>
      <c r="B3813" s="36" t="s">
        <v>504</v>
      </c>
      <c r="C3813" s="48" t="n">
        <f aca="false">C3809*Assumptions!$E$31</f>
        <v>0.883020357632</v>
      </c>
      <c r="D3813" s="48" t="n">
        <f aca="false">D3809*Assumptions!$E$31</f>
        <v>1.766040715264</v>
      </c>
      <c r="E3813" s="48" t="n">
        <f aca="false">E3809*Assumptions!$E$31</f>
        <v>1.766040715264</v>
      </c>
      <c r="F3813" s="48" t="n">
        <f aca="false">F3809*Assumptions!$E$31</f>
        <v>1.766040715264</v>
      </c>
      <c r="G3813" s="48" t="n">
        <f aca="false">G3809*Assumptions!$E$31</f>
        <v>2.389599202816</v>
      </c>
      <c r="H3813" s="48" t="n">
        <f aca="false">H3809*Assumptions!$E$31</f>
        <v>3.013157690368</v>
      </c>
      <c r="I3813" s="48" t="n">
        <f aca="false">I3809*Assumptions!$E$31</f>
        <v>5.068176633856</v>
      </c>
      <c r="J3813" s="48" t="n">
        <f aca="false">J3809*Assumptions!$E$31</f>
        <v>7.123195577344</v>
      </c>
      <c r="K3813" s="48" t="n">
        <f aca="false">K3809*Assumptions!$E$31</f>
        <v>7.123195577344</v>
      </c>
      <c r="L3813" s="48" t="n">
        <f aca="false">L3809*Assumptions!$E$31</f>
        <v>7.123195577344</v>
      </c>
      <c r="M3813" s="48" t="n">
        <f aca="false">M3809*Assumptions!$E$31</f>
        <v>7.123195577344</v>
      </c>
      <c r="N3813" s="48" t="n">
        <f aca="false">N3809*Assumptions!$E$31</f>
        <v>7.123195577344</v>
      </c>
      <c r="P3813" s="49" t="n">
        <f aca="false">SUM(C3813:F3813)</f>
        <v>6.181142503424</v>
      </c>
      <c r="Q3813" s="49" t="n">
        <f aca="false">SUM(G3813:J3813)</f>
        <v>17.594129104384</v>
      </c>
      <c r="R3813" s="49" t="n">
        <f aca="false">SUM(K3813:N3813)</f>
        <v>28.492782309376</v>
      </c>
      <c r="S3813" s="50" t="n">
        <f aca="false">SUM(P3813:R3813)</f>
        <v>52.268053917184</v>
      </c>
    </row>
    <row r="3814" customFormat="false" ht="15" hidden="false" customHeight="false" outlineLevel="0" collapsed="false">
      <c r="A3814" s="4" t="s">
        <v>506</v>
      </c>
      <c r="B3814" s="36" t="s">
        <v>504</v>
      </c>
      <c r="C3814" s="48" t="n">
        <f aca="false">C3811*Assumptions!$E$30</f>
        <v>3</v>
      </c>
      <c r="D3814" s="48" t="n">
        <f aca="false">D3811*Assumptions!$E$30</f>
        <v>4.5</v>
      </c>
      <c r="E3814" s="48" t="n">
        <f aca="false">E3811*Assumptions!$E$30</f>
        <v>6</v>
      </c>
      <c r="F3814" s="48" t="n">
        <f aca="false">F3811*Assumptions!$E$30</f>
        <v>7.5</v>
      </c>
      <c r="G3814" s="48" t="n">
        <f aca="false">G3811*Assumptions!$E$30</f>
        <v>9</v>
      </c>
      <c r="H3814" s="48" t="n">
        <f aca="false">H3811*Assumptions!$E$30</f>
        <v>10.5</v>
      </c>
      <c r="I3814" s="48" t="n">
        <f aca="false">I3811*Assumptions!$E$30</f>
        <v>12</v>
      </c>
      <c r="J3814" s="48" t="n">
        <f aca="false">J3811*Assumptions!$E$30</f>
        <v>13.5</v>
      </c>
      <c r="K3814" s="48" t="n">
        <f aca="false">K3811*Assumptions!$E$30</f>
        <v>15</v>
      </c>
      <c r="L3814" s="48" t="n">
        <f aca="false">L3811*Assumptions!$E$30</f>
        <v>15</v>
      </c>
      <c r="M3814" s="48" t="n">
        <f aca="false">M3811*Assumptions!$E$30</f>
        <v>15</v>
      </c>
      <c r="N3814" s="48" t="n">
        <f aca="false">N3811*Assumptions!$E$30</f>
        <v>15</v>
      </c>
      <c r="P3814" s="49" t="n">
        <f aca="false">SUM(C3814:F3814)</f>
        <v>21</v>
      </c>
      <c r="Q3814" s="49" t="n">
        <f aca="false">SUM(G3814:J3814)</f>
        <v>45</v>
      </c>
      <c r="R3814" s="49" t="n">
        <f aca="false">SUM(K3814:N3814)</f>
        <v>60</v>
      </c>
      <c r="S3814" s="50" t="n">
        <f aca="false">SUM(P3814:R3814)</f>
        <v>126</v>
      </c>
    </row>
    <row r="3815" customFormat="false" ht="15" hidden="false" customHeight="false" outlineLevel="0" collapsed="false">
      <c r="A3815" s="9" t="s">
        <v>507</v>
      </c>
      <c r="B3815" s="36" t="s">
        <v>504</v>
      </c>
      <c r="C3815" s="49" t="n">
        <f aca="false">C3812+C3813+C3814</f>
        <v>6.532081430528</v>
      </c>
      <c r="D3815" s="49" t="n">
        <f aca="false">D3812+D3813+D3814</f>
        <v>11.3532159524345</v>
      </c>
      <c r="E3815" s="49" t="n">
        <f aca="false">E3812+E3813+E3814</f>
        <v>12.6506679815937</v>
      </c>
      <c r="F3815" s="49" t="n">
        <f aca="false">F3812+F3813+F3814</f>
        <v>13.9561845413773</v>
      </c>
      <c r="G3815" s="49" t="n">
        <f aca="false">G3812+G3813+G3814</f>
        <v>17.7636784893952</v>
      </c>
      <c r="H3815" s="49" t="n">
        <f aca="false">H3812+H3813+H3814</f>
        <v>21.4296441440006</v>
      </c>
      <c r="I3815" s="49" t="n">
        <f aca="false">I3812+I3813+I3814</f>
        <v>30.8345217593251</v>
      </c>
      <c r="J3815" s="49" t="n">
        <f aca="false">J3812+J3813+J3814</f>
        <v>39.7610205806514</v>
      </c>
      <c r="K3815" s="49" t="n">
        <f aca="false">K3812+K3813+K3814</f>
        <v>40.4990402202339</v>
      </c>
      <c r="L3815" s="49" t="n">
        <f aca="false">L3812+L3813+L3814</f>
        <v>39.7673984207324</v>
      </c>
      <c r="M3815" s="49" t="n">
        <f aca="false">M3812+M3813+M3814</f>
        <v>39.0648872398871</v>
      </c>
      <c r="N3815" s="49" t="n">
        <f aca="false">N3812+N3813+N3814</f>
        <v>38.3903468301553</v>
      </c>
      <c r="P3815" s="49" t="n">
        <f aca="false">SUM(C3815:F3815)</f>
        <v>44.4921499059336</v>
      </c>
      <c r="Q3815" s="49" t="n">
        <f aca="false">SUM(G3815:J3815)</f>
        <v>109.788864973372</v>
      </c>
      <c r="R3815" s="49" t="n">
        <f aca="false">SUM(K3815:N3815)</f>
        <v>157.721672711009</v>
      </c>
      <c r="S3815" s="50" t="n">
        <f aca="false">SUM(P3815:R3815)</f>
        <v>312.002687590315</v>
      </c>
    </row>
    <row r="3816" customFormat="false" ht="15" hidden="false" customHeight="false" outlineLevel="0" collapsed="false">
      <c r="A3816" s="4" t="s">
        <v>508</v>
      </c>
      <c r="B3816" s="36" t="s">
        <v>509</v>
      </c>
      <c r="C3816" s="48" t="n">
        <f aca="false">C3798</f>
        <v>421.51972352</v>
      </c>
      <c r="D3816" s="48" t="n">
        <f aca="false">D3798</f>
        <v>843.03944704</v>
      </c>
      <c r="E3816" s="48" t="n">
        <f aca="false">E3798</f>
        <v>843.03944704</v>
      </c>
      <c r="F3816" s="48" t="n">
        <f aca="false">F3798</f>
        <v>843.03944704</v>
      </c>
      <c r="G3816" s="48" t="n">
        <f aca="false">G3798</f>
        <v>1149.32798176</v>
      </c>
      <c r="H3816" s="48" t="n">
        <f aca="false">H3798</f>
        <v>1455.61651648</v>
      </c>
      <c r="I3816" s="48" t="n">
        <f aca="false">I3798</f>
        <v>2486.00303616</v>
      </c>
      <c r="J3816" s="48" t="n">
        <f aca="false">J3798</f>
        <v>3516.38955584</v>
      </c>
      <c r="K3816" s="48" t="n">
        <f aca="false">K3798</f>
        <v>3516.38955584</v>
      </c>
      <c r="L3816" s="48" t="n">
        <f aca="false">L3798</f>
        <v>3516.38955584</v>
      </c>
      <c r="M3816" s="48" t="n">
        <f aca="false">M3798</f>
        <v>3516.38955584</v>
      </c>
      <c r="N3816" s="48" t="n">
        <f aca="false">N3798</f>
        <v>3516.38955584</v>
      </c>
      <c r="P3816" s="49"/>
      <c r="Q3816" s="49"/>
      <c r="R3816" s="49"/>
      <c r="S3816" s="50"/>
    </row>
    <row r="3817" customFormat="false" ht="15" hidden="false" customHeight="false" outlineLevel="0" collapsed="false">
      <c r="A3817" s="4" t="s">
        <v>510</v>
      </c>
      <c r="B3817" s="36" t="s">
        <v>509</v>
      </c>
      <c r="C3817" s="48" t="n">
        <f aca="false">C3799*Assumptions!$E$18*Assumptions!$E$33</f>
        <v>211.19616</v>
      </c>
      <c r="D3817" s="48" t="n">
        <f aca="false">D3799*Assumptions!$E$18*Assumptions!$E$33</f>
        <v>422.39232</v>
      </c>
      <c r="E3817" s="48" t="n">
        <f aca="false">E3799*Assumptions!$E$18*Assumptions!$E$33</f>
        <v>422.39232</v>
      </c>
      <c r="F3817" s="48" t="n">
        <f aca="false">F3799*Assumptions!$E$18*Assumptions!$E$33</f>
        <v>422.39232</v>
      </c>
      <c r="G3817" s="48" t="n">
        <f aca="false">G3799*Assumptions!$E$18*Assumptions!$E$33</f>
        <v>564.49344</v>
      </c>
      <c r="H3817" s="48" t="n">
        <f aca="false">H3799*Assumptions!$E$18*Assumptions!$E$33</f>
        <v>706.59456</v>
      </c>
      <c r="I3817" s="48" t="n">
        <f aca="false">I3799*Assumptions!$E$18*Assumptions!$E$33</f>
        <v>1135.07072</v>
      </c>
      <c r="J3817" s="48" t="n">
        <f aca="false">J3799*Assumptions!$E$18*Assumptions!$E$33</f>
        <v>1563.54688</v>
      </c>
      <c r="K3817" s="48" t="n">
        <f aca="false">K3799*Assumptions!$E$18*Assumptions!$E$33</f>
        <v>1563.54688</v>
      </c>
      <c r="L3817" s="48" t="n">
        <f aca="false">L3799*Assumptions!$E$18*Assumptions!$E$33</f>
        <v>1563.54688</v>
      </c>
      <c r="M3817" s="48" t="n">
        <f aca="false">M3799*Assumptions!$E$18*Assumptions!$E$33</f>
        <v>1563.54688</v>
      </c>
      <c r="N3817" s="48" t="n">
        <f aca="false">N3799*Assumptions!$E$18*Assumptions!$E$33</f>
        <v>1563.54688</v>
      </c>
      <c r="P3817" s="49"/>
      <c r="Q3817" s="49"/>
      <c r="R3817" s="49"/>
      <c r="S3817" s="50"/>
    </row>
    <row r="3818" customFormat="false" ht="15" hidden="false" customHeight="false" outlineLevel="0" collapsed="false">
      <c r="A3818" s="4" t="s">
        <v>511</v>
      </c>
      <c r="B3818" s="36" t="s">
        <v>509</v>
      </c>
      <c r="C3818" s="48" t="n">
        <f aca="false">C3800*Assumptions!$E$19*Assumptions!$E$34</f>
        <v>34.677888</v>
      </c>
      <c r="D3818" s="48" t="n">
        <f aca="false">D3800*Assumptions!$E$19*Assumptions!$E$34</f>
        <v>69.355776</v>
      </c>
      <c r="E3818" s="48" t="n">
        <f aca="false">E3800*Assumptions!$E$19*Assumptions!$E$34</f>
        <v>69.355776</v>
      </c>
      <c r="F3818" s="48" t="n">
        <f aca="false">F3800*Assumptions!$E$19*Assumptions!$E$34</f>
        <v>69.355776</v>
      </c>
      <c r="G3818" s="48" t="n">
        <f aca="false">G3800*Assumptions!$E$19*Assumptions!$E$34</f>
        <v>86.69472</v>
      </c>
      <c r="H3818" s="48" t="n">
        <f aca="false">H3800*Assumptions!$E$19*Assumptions!$E$34</f>
        <v>104.033664</v>
      </c>
      <c r="I3818" s="48" t="n">
        <f aca="false">I3800*Assumptions!$E$19*Assumptions!$E$34</f>
        <v>159.7008</v>
      </c>
      <c r="J3818" s="48" t="n">
        <f aca="false">J3800*Assumptions!$E$19*Assumptions!$E$34</f>
        <v>215.367936</v>
      </c>
      <c r="K3818" s="48" t="n">
        <f aca="false">K3800*Assumptions!$E$19*Assumptions!$E$34</f>
        <v>215.367936</v>
      </c>
      <c r="L3818" s="48" t="n">
        <f aca="false">L3800*Assumptions!$E$19*Assumptions!$E$34</f>
        <v>215.367936</v>
      </c>
      <c r="M3818" s="48" t="n">
        <f aca="false">M3800*Assumptions!$E$19*Assumptions!$E$34</f>
        <v>215.367936</v>
      </c>
      <c r="N3818" s="48" t="n">
        <f aca="false">N3800*Assumptions!$E$19*Assumptions!$E$34</f>
        <v>215.367936</v>
      </c>
      <c r="P3818" s="49"/>
      <c r="Q3818" s="49"/>
      <c r="R3818" s="49"/>
      <c r="S3818" s="50"/>
    </row>
    <row r="3819" customFormat="false" ht="15" hidden="false" customHeight="false" outlineLevel="0" collapsed="false">
      <c r="A3819" s="4" t="s">
        <v>512</v>
      </c>
      <c r="B3819" s="36" t="s">
        <v>77</v>
      </c>
      <c r="C3819" s="51" t="n">
        <f aca="false">IFERROR(C3816/(C3816+C3817+C3818),0)</f>
        <v>0.631590736245533</v>
      </c>
      <c r="D3819" s="51" t="n">
        <f aca="false">IFERROR(D3816/(D3816+D3817+D3818),0)</f>
        <v>0.631590736245533</v>
      </c>
      <c r="E3819" s="51" t="n">
        <f aca="false">IFERROR(E3816/(E3816+E3817+E3818),0)</f>
        <v>0.631590736245533</v>
      </c>
      <c r="F3819" s="51" t="n">
        <f aca="false">IFERROR(F3816/(F3816+F3817+F3818),0)</f>
        <v>0.631590736245533</v>
      </c>
      <c r="G3819" s="51" t="n">
        <f aca="false">IFERROR(G3816/(G3816+G3817+G3818),0)</f>
        <v>0.638332506498128</v>
      </c>
      <c r="H3819" s="51" t="n">
        <f aca="false">IFERROR(H3816/(H3816+H3817+H3818),0)</f>
        <v>0.642303318118984</v>
      </c>
      <c r="I3819" s="51" t="n">
        <f aca="false">IFERROR(I3816/(I3816+I3817+I3818),0)</f>
        <v>0.657538025405288</v>
      </c>
      <c r="J3819" s="51" t="n">
        <f aca="false">IFERROR(J3816/(J3816+J3817+J3818),0)</f>
        <v>0.664058061428891</v>
      </c>
      <c r="K3819" s="51" t="n">
        <f aca="false">IFERROR(K3816/(K3816+K3817+K3818),0)</f>
        <v>0.664058061428891</v>
      </c>
      <c r="L3819" s="51" t="n">
        <f aca="false">IFERROR(L3816/(L3816+L3817+L3818),0)</f>
        <v>0.664058061428891</v>
      </c>
      <c r="M3819" s="51" t="n">
        <f aca="false">IFERROR(M3816/(M3816+M3817+M3818),0)</f>
        <v>0.664058061428891</v>
      </c>
      <c r="N3819" s="51" t="n">
        <f aca="false">IFERROR(N3816/(N3816+N3817+N3818),0)</f>
        <v>0.664058061428891</v>
      </c>
      <c r="P3819" s="52"/>
      <c r="Q3819" s="52"/>
      <c r="R3819" s="52"/>
      <c r="S3819" s="53"/>
    </row>
    <row r="3820" customFormat="false" ht="15" hidden="false" customHeight="false" outlineLevel="0" collapsed="false">
      <c r="A3820" s="4" t="s">
        <v>513</v>
      </c>
      <c r="B3820" s="36" t="s">
        <v>77</v>
      </c>
      <c r="C3820" s="51" t="n">
        <f aca="false">IFERROR(C3817/(C3816+C3817+C3818),0)</f>
        <v>0.316449102482628</v>
      </c>
      <c r="D3820" s="51" t="n">
        <f aca="false">IFERROR(D3817/(D3816+D3817+D3818),0)</f>
        <v>0.316449102482628</v>
      </c>
      <c r="E3820" s="51" t="n">
        <f aca="false">IFERROR(E3817/(E3816+E3817+E3818),0)</f>
        <v>0.316449102482628</v>
      </c>
      <c r="F3820" s="51" t="n">
        <f aca="false">IFERROR(F3817/(F3816+F3817+F3818),0)</f>
        <v>0.316449102482628</v>
      </c>
      <c r="G3820" s="51" t="n">
        <f aca="false">IFERROR(G3817/(G3816+G3817+G3818),0)</f>
        <v>0.313517566939561</v>
      </c>
      <c r="H3820" s="51" t="n">
        <f aca="false">IFERROR(H3817/(H3816+H3817+H3818),0)</f>
        <v>0.311790932099567</v>
      </c>
      <c r="I3820" s="51" t="n">
        <f aca="false">IFERROR(I3817/(I3816+I3817+I3818),0)</f>
        <v>0.300221741111391</v>
      </c>
      <c r="J3820" s="51" t="n">
        <f aca="false">IFERROR(J3817/(J3816+J3817+J3818),0)</f>
        <v>0.295270445324128</v>
      </c>
      <c r="K3820" s="51" t="n">
        <f aca="false">IFERROR(K3817/(K3816+K3817+K3818),0)</f>
        <v>0.295270445324128</v>
      </c>
      <c r="L3820" s="51" t="n">
        <f aca="false">IFERROR(L3817/(L3816+L3817+L3818),0)</f>
        <v>0.295270445324128</v>
      </c>
      <c r="M3820" s="51" t="n">
        <f aca="false">IFERROR(M3817/(M3816+M3817+M3818),0)</f>
        <v>0.295270445324128</v>
      </c>
      <c r="N3820" s="51" t="n">
        <f aca="false">IFERROR(N3817/(N3816+N3817+N3818),0)</f>
        <v>0.295270445324128</v>
      </c>
      <c r="P3820" s="52"/>
      <c r="Q3820" s="52"/>
      <c r="R3820" s="52"/>
      <c r="S3820" s="53"/>
    </row>
    <row r="3821" customFormat="false" ht="15" hidden="false" customHeight="false" outlineLevel="0" collapsed="false">
      <c r="A3821" s="4" t="s">
        <v>514</v>
      </c>
      <c r="B3821" s="36" t="s">
        <v>77</v>
      </c>
      <c r="C3821" s="51" t="n">
        <f aca="false">IFERROR(C3818/(C3816+C3817+C3818),0)</f>
        <v>0.0519601612718389</v>
      </c>
      <c r="D3821" s="51" t="n">
        <f aca="false">IFERROR(D3818/(D3816+D3817+D3818),0)</f>
        <v>0.0519601612718389</v>
      </c>
      <c r="E3821" s="51" t="n">
        <f aca="false">IFERROR(E3818/(E3816+E3817+E3818),0)</f>
        <v>0.0519601612718389</v>
      </c>
      <c r="F3821" s="51" t="n">
        <f aca="false">IFERROR(F3818/(F3816+F3817+F3818),0)</f>
        <v>0.0519601612718389</v>
      </c>
      <c r="G3821" s="51" t="n">
        <f aca="false">IFERROR(G3818/(G3816+G3817+G3818),0)</f>
        <v>0.0481499265623113</v>
      </c>
      <c r="H3821" s="51" t="n">
        <f aca="false">IFERROR(H3818/(H3816+H3817+H3818),0)</f>
        <v>0.0459057497814491</v>
      </c>
      <c r="I3821" s="51" t="n">
        <f aca="false">IFERROR(I3818/(I3816+I3817+I3818),0)</f>
        <v>0.0422402334833216</v>
      </c>
      <c r="J3821" s="51" t="n">
        <f aca="false">IFERROR(J3818/(J3816+J3817+J3818),0)</f>
        <v>0.0406714932469811</v>
      </c>
      <c r="K3821" s="51" t="n">
        <f aca="false">IFERROR(K3818/(K3816+K3817+K3818),0)</f>
        <v>0.0406714932469811</v>
      </c>
      <c r="L3821" s="51" t="n">
        <f aca="false">IFERROR(L3818/(L3816+L3817+L3818),0)</f>
        <v>0.0406714932469811</v>
      </c>
      <c r="M3821" s="51" t="n">
        <f aca="false">IFERROR(M3818/(M3816+M3817+M3818),0)</f>
        <v>0.0406714932469811</v>
      </c>
      <c r="N3821" s="51" t="n">
        <f aca="false">IFERROR(N3818/(N3816+N3817+N3818),0)</f>
        <v>0.0406714932469811</v>
      </c>
      <c r="P3821" s="52"/>
      <c r="Q3821" s="52"/>
      <c r="R3821" s="52"/>
      <c r="S3821" s="53"/>
    </row>
    <row r="3822" customFormat="false" ht="15" hidden="false" customHeight="false" outlineLevel="0" collapsed="false">
      <c r="A3822" s="4" t="s">
        <v>515</v>
      </c>
      <c r="B3822" s="36" t="s">
        <v>516</v>
      </c>
      <c r="C3822" s="48" t="n">
        <f aca="false">IF(C3790-Assumptions!$E$35&lt;1,0,INDEX($C$3815:$N$3815,1,C3790-Assumptions!$E$35)*INDEX($C$3819:$N$3819,1,C3790-Assumptions!$E$35)*Assumptions!$E$32)</f>
        <v>0</v>
      </c>
      <c r="D3822" s="48" t="n">
        <f aca="false">IF(D3790-Assumptions!$E$35&lt;1,0,INDEX($C$3815:$N$3815,1,D3790-Assumptions!$E$35)*INDEX($C$3819:$N$3819,1,D3790-Assumptions!$E$35)*Assumptions!$E$32)</f>
        <v>0.866376445183821</v>
      </c>
      <c r="E3822" s="48" t="n">
        <f aca="false">IF(E3790-Assumptions!$E$35&lt;1,0,INDEX($C$3815:$N$3815,1,E3790-Assumptions!$E$35)*INDEX($C$3819:$N$3819,1,E3790-Assumptions!$E$35)*Assumptions!$E$32)</f>
        <v>1.50582306465206</v>
      </c>
      <c r="F3822" s="48" t="n">
        <f aca="false">IF(F3790-Assumptions!$E$35&lt;1,0,INDEX($C$3815:$N$3815,1,F3790-Assumptions!$E$35)*INDEX($C$3819:$N$3819,1,F3790-Assumptions!$E$35)*Assumptions!$E$32)</f>
        <v>1.67790938794344</v>
      </c>
      <c r="G3822" s="48" t="n">
        <f aca="false">IF(G3790-Assumptions!$E$35&lt;1,0,INDEX($C$3815:$N$3815,1,G3790-Assumptions!$E$35)*INDEX($C$3819:$N$3819,1,G3790-Assumptions!$E$35)*Assumptions!$E$32)</f>
        <v>1.85106534263008</v>
      </c>
      <c r="H3822" s="48" t="n">
        <f aca="false">IF(H3790-Assumptions!$E$35&lt;1,0,INDEX($C$3815:$N$3815,1,H3790-Assumptions!$E$35)*INDEX($C$3819:$N$3819,1,H3790-Assumptions!$E$35)*Assumptions!$E$32)</f>
        <v>2.38121801710013</v>
      </c>
      <c r="I3822" s="48" t="n">
        <f aca="false">IF(I3790-Assumptions!$E$35&lt;1,0,INDEX($C$3815:$N$3815,1,I3790-Assumptions!$E$35)*INDEX($C$3819:$N$3819,1,I3790-Assumptions!$E$35)*Assumptions!$E$32)</f>
        <v>2.89050962335814</v>
      </c>
      <c r="J3822" s="48" t="n">
        <f aca="false">IF(J3790-Assumptions!$E$35&lt;1,0,INDEX($C$3815:$N$3815,1,J3790-Assumptions!$E$35)*INDEX($C$3819:$N$3819,1,J3790-Assumptions!$E$35)*Assumptions!$E$32)</f>
        <v>4.25772281590803</v>
      </c>
      <c r="K3822" s="48" t="n">
        <f aca="false">IF(K3790-Assumptions!$E$35&lt;1,0,INDEX($C$3815:$N$3815,1,K3790-Assumptions!$E$35)*INDEX($C$3819:$N$3819,1,K3790-Assumptions!$E$35)*Assumptions!$E$32)</f>
        <v>5.54476151191654</v>
      </c>
      <c r="L3822" s="48" t="n">
        <f aca="false">IF(L3790-Assumptions!$E$35&lt;1,0,INDEX($C$3815:$N$3815,1,L3790-Assumptions!$E$35)*INDEX($C$3819:$N$3819,1,L3790-Assumptions!$E$35)*Assumptions!$E$32)</f>
        <v>5.64767996905964</v>
      </c>
      <c r="M3822" s="48" t="n">
        <f aca="false">IF(M3790-Assumptions!$E$35&lt;1,0,INDEX($C$3815:$N$3815,1,M3790-Assumptions!$E$35)*INDEX($C$3819:$N$3819,1,M3790-Assumptions!$E$35)*Assumptions!$E$32)</f>
        <v>5.5456509157018</v>
      </c>
      <c r="N3822" s="48" t="n">
        <f aca="false">IF(N3790-Assumptions!$E$35&lt;1,0,INDEX($C$3815:$N$3815,1,N3790-Assumptions!$E$35)*INDEX($C$3819:$N$3819,1,N3790-Assumptions!$E$35)*Assumptions!$E$32)</f>
        <v>5.44768419099611</v>
      </c>
      <c r="P3822" s="49" t="n">
        <f aca="false">SUM(C3822:F3822)</f>
        <v>4.05010889777932</v>
      </c>
      <c r="Q3822" s="49" t="n">
        <f aca="false">SUM(G3822:J3822)</f>
        <v>11.3805157989964</v>
      </c>
      <c r="R3822" s="49" t="n">
        <f aca="false">SUM(K3822:N3822)</f>
        <v>22.1857765876741</v>
      </c>
      <c r="S3822" s="50" t="n">
        <f aca="false">SUM(P3822:R3822)</f>
        <v>37.6164012844498</v>
      </c>
    </row>
    <row r="3823" customFormat="false" ht="15" hidden="false" customHeight="false" outlineLevel="0" collapsed="false">
      <c r="A3823" s="4" t="s">
        <v>517</v>
      </c>
      <c r="B3823" s="36" t="s">
        <v>516</v>
      </c>
      <c r="C3823" s="48" t="n">
        <f aca="false">IF(C3790-Assumptions!$E$35&lt;1,0,INDEX($C$3815:$N$3815,1,C3790-Assumptions!$E$35)*INDEX($C$3820:$N$3820,1,C3790-Assumptions!$E$35)*Assumptions!$E$32)</f>
        <v>0</v>
      </c>
      <c r="D3823" s="48" t="n">
        <f aca="false">IF(D3790-Assumptions!$E$35&lt;1,0,INDEX($C$3815:$N$3815,1,D3790-Assumptions!$E$35)*INDEX($C$3820:$N$3820,1,D3790-Assumptions!$E$35)*Assumptions!$E$32)</f>
        <v>0.434084974267145</v>
      </c>
      <c r="E3823" s="48" t="n">
        <f aca="false">IF(E3790-Assumptions!$E$35&lt;1,0,INDEX($C$3815:$N$3815,1,E3790-Assumptions!$E$35)*INDEX($C$3820:$N$3820,1,E3790-Assumptions!$E$35)*Assumptions!$E$32)</f>
        <v>0.754470149672265</v>
      </c>
      <c r="F3823" s="48" t="n">
        <f aca="false">IF(F3790-Assumptions!$E$35&lt;1,0,INDEX($C$3815:$N$3815,1,F3790-Assumptions!$E$35)*INDEX($C$3820:$N$3820,1,F3790-Assumptions!$E$35)*Assumptions!$E$32)</f>
        <v>0.840691431002021</v>
      </c>
      <c r="G3823" s="48" t="n">
        <f aca="false">IF(G3790-Assumptions!$E$35&lt;1,0,INDEX($C$3815:$N$3815,1,G3790-Assumptions!$E$35)*INDEX($C$3820:$N$3820,1,G3790-Assumptions!$E$35)*Assumptions!$E$32)</f>
        <v>0.927448635162163</v>
      </c>
      <c r="H3823" s="48" t="n">
        <f aca="false">IF(H3790-Assumptions!$E$35&lt;1,0,INDEX($C$3815:$N$3815,1,H3790-Assumptions!$E$35)*INDEX($C$3820:$N$3820,1,H3790-Assumptions!$E$35)*Assumptions!$E$32)</f>
        <v>1.16953730457728</v>
      </c>
      <c r="I3823" s="48" t="n">
        <f aca="false">IF(I3790-Assumptions!$E$35&lt;1,0,INDEX($C$3815:$N$3815,1,I3790-Assumptions!$E$35)*INDEX($C$3820:$N$3820,1,I3790-Assumptions!$E$35)*Assumptions!$E$32)</f>
        <v>1.4031294316662</v>
      </c>
      <c r="J3823" s="48" t="n">
        <f aca="false">IF(J3790-Assumptions!$E$35&lt;1,0,INDEX($C$3815:$N$3815,1,J3790-Assumptions!$E$35)*INDEX($C$3820:$N$3820,1,J3790-Assumptions!$E$35)*Assumptions!$E$32)</f>
        <v>1.94401069987354</v>
      </c>
      <c r="K3823" s="48" t="n">
        <f aca="false">IF(K3790-Assumptions!$E$35&lt;1,0,INDEX($C$3815:$N$3815,1,K3790-Assumptions!$E$35)*INDEX($C$3820:$N$3820,1,K3790-Assumptions!$E$35)*Assumptions!$E$32)</f>
        <v>2.46545339321206</v>
      </c>
      <c r="L3823" s="48" t="n">
        <f aca="false">IF(L3790-Assumptions!$E$35&lt;1,0,INDEX($C$3815:$N$3815,1,L3790-Assumptions!$E$35)*INDEX($C$3820:$N$3820,1,L3790-Assumptions!$E$35)*Assumptions!$E$32)</f>
        <v>2.51121562461593</v>
      </c>
      <c r="M3823" s="48" t="n">
        <f aca="false">IF(M3790-Assumptions!$E$35&lt;1,0,INDEX($C$3815:$N$3815,1,M3790-Assumptions!$E$35)*INDEX($C$3820:$N$3820,1,M3790-Assumptions!$E$35)*Assumptions!$E$32)</f>
        <v>2.46584886262506</v>
      </c>
      <c r="N3823" s="48" t="n">
        <f aca="false">IF(N3790-Assumptions!$E$35&lt;1,0,INDEX($C$3815:$N$3815,1,N3790-Assumptions!$E$35)*INDEX($C$3820:$N$3820,1,N3790-Assumptions!$E$35)*Assumptions!$E$32)</f>
        <v>2.42228839689025</v>
      </c>
      <c r="P3823" s="49" t="n">
        <f aca="false">SUM(C3823:F3823)</f>
        <v>2.02924655494143</v>
      </c>
      <c r="Q3823" s="49" t="n">
        <f aca="false">SUM(G3823:J3823)</f>
        <v>5.44412607127918</v>
      </c>
      <c r="R3823" s="49" t="n">
        <f aca="false">SUM(K3823:N3823)</f>
        <v>9.8648062773433</v>
      </c>
      <c r="S3823" s="50" t="n">
        <f aca="false">SUM(P3823:R3823)</f>
        <v>17.3381789035639</v>
      </c>
    </row>
    <row r="3824" customFormat="false" ht="15" hidden="false" customHeight="false" outlineLevel="0" collapsed="false">
      <c r="A3824" s="4" t="s">
        <v>518</v>
      </c>
      <c r="B3824" s="36" t="s">
        <v>516</v>
      </c>
      <c r="C3824" s="48" t="n">
        <f aca="false">IF(C3790-Assumptions!$E$36&lt;1,0,INDEX($C$3815:$N$3815,1,C3790-Assumptions!$E$36)*INDEX($C$3821:$N$3821,1,C3790-Assumptions!$E$36)*Assumptions!$E$32)</f>
        <v>0</v>
      </c>
      <c r="D3824" s="48" t="n">
        <f aca="false">IF(D3790-Assumptions!$E$36&lt;1,0,INDEX($C$3815:$N$3815,1,D3790-Assumptions!$E$36)*INDEX($C$3821:$N$3821,1,D3790-Assumptions!$E$36)*Assumptions!$E$32)</f>
        <v>0</v>
      </c>
      <c r="E3824" s="48" t="n">
        <f aca="false">IF(E3790-Assumptions!$E$36&lt;1,0,INDEX($C$3815:$N$3815,1,E3790-Assumptions!$E$36)*INDEX($C$3821:$N$3821,1,E3790-Assumptions!$E$36)*Assumptions!$E$32)</f>
        <v>0.071275680959914</v>
      </c>
      <c r="F3824" s="48" t="n">
        <f aca="false">IF(F3790-Assumptions!$E$36&lt;1,0,INDEX($C$3815:$N$3815,1,F3790-Assumptions!$E$36)*INDEX($C$3821:$N$3821,1,F3790-Assumptions!$E$36)*Assumptions!$E$32)</f>
        <v>0.123882135686928</v>
      </c>
      <c r="G3824" s="48" t="n">
        <f aca="false">IF(G3790-Assumptions!$E$36&lt;1,0,INDEX($C$3815:$N$3815,1,G3790-Assumptions!$E$36)*INDEX($C$3821:$N$3821,1,G3790-Assumptions!$E$36)*Assumptions!$E$32)</f>
        <v>0.138039457189221</v>
      </c>
      <c r="H3824" s="48" t="n">
        <f aca="false">IF(H3790-Assumptions!$E$36&lt;1,0,INDEX($C$3815:$N$3815,1,H3790-Assumptions!$E$36)*INDEX($C$3821:$N$3821,1,H3790-Assumptions!$E$36)*Assumptions!$E$32)</f>
        <v>0.152284775896997</v>
      </c>
      <c r="I3824" s="48" t="n">
        <f aca="false">IF(I3790-Assumptions!$E$36&lt;1,0,INDEX($C$3815:$N$3815,1,I3790-Assumptions!$E$36)*INDEX($C$3821:$N$3821,1,I3790-Assumptions!$E$36)*Assumptions!$E$32)</f>
        <v>0.179617161095586</v>
      </c>
      <c r="J3824" s="48" t="n">
        <f aca="false">IF(J3790-Assumptions!$E$36&lt;1,0,INDEX($C$3815:$N$3815,1,J3790-Assumptions!$E$36)*INDEX($C$3821:$N$3821,1,J3790-Assumptions!$E$36)*Assumptions!$E$32)</f>
        <v>0.206586215215798</v>
      </c>
      <c r="K3824" s="48" t="n">
        <f aca="false">IF(K3790-Assumptions!$E$36&lt;1,0,INDEX($C$3815:$N$3815,1,K3790-Assumptions!$E$36)*INDEX($C$3821:$N$3821,1,K3790-Assumptions!$E$36)*Assumptions!$E$32)</f>
        <v>0.273516053676695</v>
      </c>
      <c r="L3824" s="48" t="n">
        <f aca="false">IF(L3790-Assumptions!$E$36&lt;1,0,INDEX($C$3815:$N$3815,1,L3790-Assumptions!$E$36)*INDEX($C$3821:$N$3821,1,L3790-Assumptions!$E$36)*Assumptions!$E$32)</f>
        <v>0.339599416808198</v>
      </c>
      <c r="M3824" s="48" t="n">
        <f aca="false">IF(M3790-Assumptions!$E$36&lt;1,0,INDEX($C$3815:$N$3815,1,M3790-Assumptions!$E$36)*INDEX($C$3821:$N$3821,1,M3790-Assumptions!$E$36)*Assumptions!$E$32)</f>
        <v>0.345902852573557</v>
      </c>
      <c r="N3824" s="48" t="n">
        <f aca="false">IF(N3790-Assumptions!$E$36&lt;1,0,INDEX($C$3815:$N$3815,1,N3790-Assumptions!$E$36)*INDEX($C$3821:$N$3821,1,N3790-Assumptions!$E$36)*Assumptions!$E$32)</f>
        <v>0.339653890026953</v>
      </c>
      <c r="P3824" s="49" t="n">
        <f aca="false">SUM(C3824:F3824)</f>
        <v>0.195157816646842</v>
      </c>
      <c r="Q3824" s="49" t="n">
        <f aca="false">SUM(G3824:J3824)</f>
        <v>0.676527609397602</v>
      </c>
      <c r="R3824" s="49" t="n">
        <f aca="false">SUM(K3824:N3824)</f>
        <v>1.2986722130854</v>
      </c>
      <c r="S3824" s="50" t="n">
        <f aca="false">SUM(P3824:R3824)</f>
        <v>2.17035763912985</v>
      </c>
    </row>
    <row r="3825" customFormat="false" ht="15" hidden="false" customHeight="false" outlineLevel="0" collapsed="false">
      <c r="A3825" s="4" t="s">
        <v>519</v>
      </c>
      <c r="B3825" s="36" t="s">
        <v>77</v>
      </c>
      <c r="C3825" s="51" t="n">
        <f aca="false">IF(C3790-Assumptions!$E$35&lt;1,0,IFERROR(INDEX($C$3814:$N$3814,1,C3790-Assumptions!$E$35)/INDEX($C$3815:$N$3815,1,C3790-Assumptions!$E$35),0))</f>
        <v>0</v>
      </c>
      <c r="D3825" s="51" t="n">
        <f aca="false">IF(D3790-Assumptions!$E$35&lt;1,0,IFERROR(INDEX($C$3814:$N$3814,1,D3790-Assumptions!$E$35)/INDEX($C$3815:$N$3815,1,D3790-Assumptions!$E$35),0))</f>
        <v>0.459271678087073</v>
      </c>
      <c r="E3825" s="51" t="n">
        <f aca="false">IF(E3790-Assumptions!$E$35&lt;1,0,IFERROR(INDEX($C$3814:$N$3814,1,E3790-Assumptions!$E$35)/INDEX($C$3815:$N$3815,1,E3790-Assumptions!$E$35),0))</f>
        <v>0.396363463784466</v>
      </c>
      <c r="F3825" s="51" t="n">
        <f aca="false">IF(F3790-Assumptions!$E$35&lt;1,0,IFERROR(INDEX($C$3814:$N$3814,1,F3790-Assumptions!$E$35)/INDEX($C$3815:$N$3815,1,F3790-Assumptions!$E$35),0))</f>
        <v>0.474283255930025</v>
      </c>
      <c r="G3825" s="51" t="n">
        <f aca="false">IF(G3790-Assumptions!$E$35&lt;1,0,IFERROR(INDEX($C$3814:$N$3814,1,G3790-Assumptions!$E$35)/INDEX($C$3815:$N$3815,1,G3790-Assumptions!$E$35),0))</f>
        <v>0.537396161376628</v>
      </c>
      <c r="H3825" s="51" t="n">
        <f aca="false">IF(H3790-Assumptions!$E$35&lt;1,0,IFERROR(INDEX($C$3814:$N$3814,1,H3790-Assumptions!$E$35)/INDEX($C$3815:$N$3815,1,H3790-Assumptions!$E$35),0))</f>
        <v>0.506651817942604</v>
      </c>
      <c r="I3825" s="51" t="n">
        <f aca="false">IF(I3790-Assumptions!$E$35&lt;1,0,IFERROR(INDEX($C$3814:$N$3814,1,I3790-Assumptions!$E$35)/INDEX($C$3815:$N$3815,1,I3790-Assumptions!$E$35),0))</f>
        <v>0.489975471801735</v>
      </c>
      <c r="J3825" s="51" t="n">
        <f aca="false">IF(J3790-Assumptions!$E$35&lt;1,0,IFERROR(INDEX($C$3814:$N$3814,1,J3790-Assumptions!$E$35)/INDEX($C$3815:$N$3815,1,J3790-Assumptions!$E$35),0))</f>
        <v>0.389174189036058</v>
      </c>
      <c r="K3825" s="51" t="n">
        <f aca="false">IF(K3790-Assumptions!$E$35&lt;1,0,IFERROR(INDEX($C$3814:$N$3814,1,K3790-Assumptions!$E$35)/INDEX($C$3815:$N$3815,1,K3790-Assumptions!$E$35),0))</f>
        <v>0.339528508143209</v>
      </c>
      <c r="L3825" s="51" t="n">
        <f aca="false">IF(L3790-Assumptions!$E$35&lt;1,0,IFERROR(INDEX($C$3814:$N$3814,1,L3790-Assumptions!$E$35)/INDEX($C$3815:$N$3815,1,L3790-Assumptions!$E$35),0))</f>
        <v>0.37037914771387</v>
      </c>
      <c r="M3825" s="51" t="n">
        <f aca="false">IF(M3790-Assumptions!$E$35&lt;1,0,IFERROR(INDEX($C$3814:$N$3814,1,M3790-Assumptions!$E$35)/INDEX($C$3815:$N$3815,1,M3790-Assumptions!$E$35),0))</f>
        <v>0.37719339448114</v>
      </c>
      <c r="N3825" s="51" t="n">
        <f aca="false">IF(N3790-Assumptions!$E$35&lt;1,0,IFERROR(INDEX($C$3814:$N$3814,1,N3790-Assumptions!$E$35)/INDEX($C$3815:$N$3815,1,N3790-Assumptions!$E$35),0))</f>
        <v>0.383976533911105</v>
      </c>
      <c r="P3825" s="52"/>
      <c r="Q3825" s="52"/>
      <c r="R3825" s="52"/>
      <c r="S3825" s="53"/>
    </row>
    <row r="3826" customFormat="false" ht="15" hidden="false" customHeight="false" outlineLevel="0" collapsed="false">
      <c r="A3826" s="4" t="s">
        <v>520</v>
      </c>
      <c r="B3826" s="36" t="s">
        <v>516</v>
      </c>
      <c r="C3826" s="48" t="n">
        <f aca="false">C3822*Assumptions!$E$37</f>
        <v>0</v>
      </c>
      <c r="D3826" s="48" t="n">
        <f aca="false">D3822*Assumptions!$E$37</f>
        <v>0.259912933555146</v>
      </c>
      <c r="E3826" s="48" t="n">
        <f aca="false">E3822*Assumptions!$E$37</f>
        <v>0.451746919395617</v>
      </c>
      <c r="F3826" s="48" t="n">
        <f aca="false">F3822*Assumptions!$E$37</f>
        <v>0.503372816383033</v>
      </c>
      <c r="G3826" s="48" t="n">
        <f aca="false">G3822*Assumptions!$E$37</f>
        <v>0.555319602789023</v>
      </c>
      <c r="H3826" s="48" t="n">
        <f aca="false">H3822*Assumptions!$E$37</f>
        <v>0.714365405130039</v>
      </c>
      <c r="I3826" s="48" t="n">
        <f aca="false">I3822*Assumptions!$E$37</f>
        <v>0.867152887007441</v>
      </c>
      <c r="J3826" s="48" t="n">
        <f aca="false">J3822*Assumptions!$E$37</f>
        <v>1.27731684477241</v>
      </c>
      <c r="K3826" s="48" t="n">
        <f aca="false">K3822*Assumptions!$E$37</f>
        <v>1.66342845357496</v>
      </c>
      <c r="L3826" s="48" t="n">
        <f aca="false">L3822*Assumptions!$E$37</f>
        <v>1.69430399071789</v>
      </c>
      <c r="M3826" s="48" t="n">
        <f aca="false">M3822*Assumptions!$E$37</f>
        <v>1.66369527471054</v>
      </c>
      <c r="N3826" s="48" t="n">
        <f aca="false">N3822*Assumptions!$E$37</f>
        <v>1.63430525729883</v>
      </c>
      <c r="P3826" s="49" t="n">
        <f aca="false">SUM(C3826:F3826)</f>
        <v>1.2150326693338</v>
      </c>
      <c r="Q3826" s="49" t="n">
        <f aca="false">SUM(G3826:J3826)</f>
        <v>3.41415473969891</v>
      </c>
      <c r="R3826" s="49" t="n">
        <f aca="false">SUM(K3826:N3826)</f>
        <v>6.65573297630222</v>
      </c>
      <c r="S3826" s="50" t="n">
        <f aca="false">SUM(P3826:R3826)</f>
        <v>11.2849203853349</v>
      </c>
    </row>
    <row r="3827" customFormat="false" ht="15" hidden="false" customHeight="false" outlineLevel="0" collapsed="false">
      <c r="A3827" s="4" t="s">
        <v>521</v>
      </c>
      <c r="B3827" s="36" t="s">
        <v>516</v>
      </c>
      <c r="C3827" s="48" t="n">
        <f aca="false">C3822*(1-Assumptions!$E$37)</f>
        <v>0</v>
      </c>
      <c r="D3827" s="48" t="n">
        <f aca="false">D3822*(1-Assumptions!$E$37)</f>
        <v>0.606463511628675</v>
      </c>
      <c r="E3827" s="48" t="n">
        <f aca="false">E3822*(1-Assumptions!$E$37)</f>
        <v>1.05407614525644</v>
      </c>
      <c r="F3827" s="48" t="n">
        <f aca="false">F3822*(1-Assumptions!$E$37)</f>
        <v>1.17453657156041</v>
      </c>
      <c r="G3827" s="48" t="n">
        <f aca="false">G3822*(1-Assumptions!$E$37)</f>
        <v>1.29574573984105</v>
      </c>
      <c r="H3827" s="48" t="n">
        <f aca="false">H3822*(1-Assumptions!$E$37)</f>
        <v>1.66685261197009</v>
      </c>
      <c r="I3827" s="48" t="n">
        <f aca="false">I3822*(1-Assumptions!$E$37)</f>
        <v>2.0233567363507</v>
      </c>
      <c r="J3827" s="48" t="n">
        <f aca="false">J3822*(1-Assumptions!$E$37)</f>
        <v>2.98040597113562</v>
      </c>
      <c r="K3827" s="48" t="n">
        <f aca="false">K3822*(1-Assumptions!$E$37)</f>
        <v>3.88133305834158</v>
      </c>
      <c r="L3827" s="48" t="n">
        <f aca="false">L3822*(1-Assumptions!$E$37)</f>
        <v>3.95337597834175</v>
      </c>
      <c r="M3827" s="48" t="n">
        <f aca="false">M3822*(1-Assumptions!$E$37)</f>
        <v>3.88195564099126</v>
      </c>
      <c r="N3827" s="48" t="n">
        <f aca="false">N3822*(1-Assumptions!$E$37)</f>
        <v>3.81337893369727</v>
      </c>
      <c r="P3827" s="49" t="n">
        <f aca="false">SUM(C3827:F3827)</f>
        <v>2.83507622844552</v>
      </c>
      <c r="Q3827" s="49" t="n">
        <f aca="false">SUM(G3827:J3827)</f>
        <v>7.96636105929746</v>
      </c>
      <c r="R3827" s="49" t="n">
        <f aca="false">SUM(K3827:N3827)</f>
        <v>15.5300436113719</v>
      </c>
      <c r="S3827" s="50" t="n">
        <f aca="false">SUM(P3827:R3827)</f>
        <v>26.3314808991148</v>
      </c>
    </row>
    <row r="3828" customFormat="false" ht="15" hidden="false" customHeight="false" outlineLevel="0" collapsed="false">
      <c r="A3828" s="4" t="s">
        <v>522</v>
      </c>
      <c r="B3828" s="36" t="s">
        <v>125</v>
      </c>
      <c r="C3828" s="54" t="n">
        <f aca="false">C3827*$C$3781+C3823*$C$3782+C3824*$C$3783</f>
        <v>0</v>
      </c>
      <c r="D3828" s="54" t="n">
        <f aca="false">D3827*$C$3781+D3823*$C$3782+D3824*$C$3783</f>
        <v>7485.37917000042</v>
      </c>
      <c r="E3828" s="54" t="n">
        <f aca="false">E3827*$C$3781+E3823*$C$3782+E3824*$C$3783</f>
        <v>17413.4016073157</v>
      </c>
      <c r="F3828" s="54" t="n">
        <f aca="false">F3827*$C$3781+F3823*$C$3782+F3824*$C$3783</f>
        <v>22150.1399717064</v>
      </c>
      <c r="G3828" s="54" t="n">
        <f aca="false">G3827*$C$3781+G3823*$C$3782+G3824*$C$3783</f>
        <v>24520.7994076792</v>
      </c>
      <c r="H3828" s="54" t="n">
        <f aca="false">H3827*$C$3781+H3823*$C$3782+H3824*$C$3783</f>
        <v>29751.4266168897</v>
      </c>
      <c r="I3828" s="54" t="n">
        <f aca="false">I3827*$C$3781+I3823*$C$3782+I3824*$C$3783</f>
        <v>35629.4127160189</v>
      </c>
      <c r="J3828" s="54" t="n">
        <f aca="false">J3827*$C$3781+J3823*$C$3782+J3824*$C$3783</f>
        <v>47700.2773254878</v>
      </c>
      <c r="K3828" s="54" t="n">
        <f aca="false">K3827*$C$3781+K3823*$C$3782+K3824*$C$3783</f>
        <v>61749.632654397</v>
      </c>
      <c r="L3828" s="54" t="n">
        <f aca="false">L3827*$C$3781+L3823*$C$3782+L3824*$C$3783</f>
        <v>66664.668208207</v>
      </c>
      <c r="M3828" s="54" t="n">
        <f aca="false">M3827*$C$3781+M3823*$C$3782+M3824*$C$3783</f>
        <v>66228.7573649696</v>
      </c>
      <c r="N3828" s="54" t="n">
        <f aca="false">N3827*$C$3781+N3823*$C$3782+N3824*$C$3783</f>
        <v>65050.2419407125</v>
      </c>
      <c r="P3828" s="55" t="n">
        <f aca="false">SUM(C3828:F3828)</f>
        <v>47048.9207490225</v>
      </c>
      <c r="Q3828" s="55" t="n">
        <f aca="false">SUM(G3828:J3828)</f>
        <v>137601.916066076</v>
      </c>
      <c r="R3828" s="55" t="n">
        <f aca="false">SUM(K3828:N3828)</f>
        <v>259693.300168286</v>
      </c>
      <c r="S3828" s="56" t="n">
        <f aca="false">SUM(P3828:R3828)</f>
        <v>444344.136983384</v>
      </c>
    </row>
    <row r="3829" customFormat="false" ht="15" hidden="false" customHeight="false" outlineLevel="0" collapsed="false">
      <c r="A3829" s="4" t="s">
        <v>523</v>
      </c>
      <c r="B3829" s="36" t="s">
        <v>125</v>
      </c>
      <c r="C3829" s="54" t="n">
        <f aca="false">(C3805+Assumptions!$D$104*C3791)*$C$3786</f>
        <v>306250</v>
      </c>
      <c r="D3829" s="54" t="n">
        <f aca="false">(D3805+Assumptions!$D$104*D3791)*$C$3786</f>
        <v>306250</v>
      </c>
      <c r="E3829" s="54" t="n">
        <f aca="false">(E3805+Assumptions!$D$104*E3791)*$C$3786</f>
        <v>306250</v>
      </c>
      <c r="F3829" s="54" t="n">
        <f aca="false">(F3805+Assumptions!$D$104*F3791)*$C$3786</f>
        <v>306250</v>
      </c>
      <c r="G3829" s="54" t="n">
        <f aca="false">(G3805+Assumptions!$D$104*G3791)*$C$3786</f>
        <v>306250</v>
      </c>
      <c r="H3829" s="54" t="n">
        <f aca="false">(H3805+Assumptions!$D$104*H3791)*$C$3786</f>
        <v>306250</v>
      </c>
      <c r="I3829" s="54" t="n">
        <f aca="false">(I3805+Assumptions!$D$104*I3791)*$C$3786</f>
        <v>306250</v>
      </c>
      <c r="J3829" s="54" t="n">
        <f aca="false">(J3805+Assumptions!$D$104*J3791)*$C$3786</f>
        <v>306250</v>
      </c>
      <c r="K3829" s="54" t="n">
        <f aca="false">(K3805+Assumptions!$D$104*K3791)*$C$3786</f>
        <v>306250</v>
      </c>
      <c r="L3829" s="54" t="n">
        <f aca="false">(L3805+Assumptions!$D$104*L3791)*$C$3786</f>
        <v>306250</v>
      </c>
      <c r="M3829" s="54" t="n">
        <f aca="false">(M3805+Assumptions!$D$104*M3791)*$C$3786</f>
        <v>306250</v>
      </c>
      <c r="N3829" s="54" t="n">
        <f aca="false">(N3805+Assumptions!$D$104*N3791)*$C$3786</f>
        <v>306250</v>
      </c>
      <c r="P3829" s="55" t="n">
        <f aca="false">SUM(C3829:F3829)</f>
        <v>1225000</v>
      </c>
      <c r="Q3829" s="55" t="n">
        <f aca="false">SUM(G3829:J3829)</f>
        <v>1225000</v>
      </c>
      <c r="R3829" s="55" t="n">
        <f aca="false">SUM(K3829:N3829)</f>
        <v>1225000</v>
      </c>
      <c r="S3829" s="56" t="n">
        <f aca="false">SUM(P3829:R3829)</f>
        <v>3675000</v>
      </c>
    </row>
    <row r="3830" customFormat="false" ht="15" hidden="false" customHeight="false" outlineLevel="0" collapsed="false">
      <c r="A3830" s="4" t="s">
        <v>524</v>
      </c>
      <c r="B3830" s="36" t="s">
        <v>77</v>
      </c>
      <c r="C3830" s="51" t="n">
        <f aca="false">IF(C3828&gt;0,MIN(1,C3829/C3828),1)</f>
        <v>1</v>
      </c>
      <c r="D3830" s="51" t="n">
        <f aca="false">IF(D3828&gt;0,MIN(1,D3829/D3828),1)</f>
        <v>1</v>
      </c>
      <c r="E3830" s="51" t="n">
        <f aca="false">IF(E3828&gt;0,MIN(1,E3829/E3828),1)</f>
        <v>1</v>
      </c>
      <c r="F3830" s="51" t="n">
        <f aca="false">IF(F3828&gt;0,MIN(1,F3829/F3828),1)</f>
        <v>1</v>
      </c>
      <c r="G3830" s="51" t="n">
        <f aca="false">IF(G3828&gt;0,MIN(1,G3829/G3828),1)</f>
        <v>1</v>
      </c>
      <c r="H3830" s="51" t="n">
        <f aca="false">IF(H3828&gt;0,MIN(1,H3829/H3828),1)</f>
        <v>1</v>
      </c>
      <c r="I3830" s="51" t="n">
        <f aca="false">IF(I3828&gt;0,MIN(1,I3829/I3828),1)</f>
        <v>1</v>
      </c>
      <c r="J3830" s="51" t="n">
        <f aca="false">IF(J3828&gt;0,MIN(1,J3829/J3828),1)</f>
        <v>1</v>
      </c>
      <c r="K3830" s="51" t="n">
        <f aca="false">IF(K3828&gt;0,MIN(1,K3829/K3828),1)</f>
        <v>1</v>
      </c>
      <c r="L3830" s="51" t="n">
        <f aca="false">IF(L3828&gt;0,MIN(1,L3829/L3828),1)</f>
        <v>1</v>
      </c>
      <c r="M3830" s="51" t="n">
        <f aca="false">IF(M3828&gt;0,MIN(1,M3829/M3828),1)</f>
        <v>1</v>
      </c>
      <c r="N3830" s="51" t="n">
        <f aca="false">IF(N3828&gt;0,MIN(1,N3829/N3828),1)</f>
        <v>1</v>
      </c>
      <c r="P3830" s="52"/>
      <c r="Q3830" s="52"/>
      <c r="R3830" s="52"/>
      <c r="S3830" s="53"/>
    </row>
    <row r="3831" customFormat="false" ht="15" hidden="false" customHeight="false" outlineLevel="0" collapsed="false">
      <c r="A3831" s="4" t="s">
        <v>525</v>
      </c>
      <c r="B3831" s="36" t="s">
        <v>125</v>
      </c>
      <c r="C3831" s="54" t="n">
        <f aca="false">C3828*(1-C3830)</f>
        <v>0</v>
      </c>
      <c r="D3831" s="54" t="n">
        <f aca="false">D3828*(1-D3830)</f>
        <v>0</v>
      </c>
      <c r="E3831" s="54" t="n">
        <f aca="false">E3828*(1-E3830)</f>
        <v>0</v>
      </c>
      <c r="F3831" s="54" t="n">
        <f aca="false">F3828*(1-F3830)</f>
        <v>0</v>
      </c>
      <c r="G3831" s="54" t="n">
        <f aca="false">G3828*(1-G3830)</f>
        <v>0</v>
      </c>
      <c r="H3831" s="54" t="n">
        <f aca="false">H3828*(1-H3830)</f>
        <v>0</v>
      </c>
      <c r="I3831" s="54" t="n">
        <f aca="false">I3828*(1-I3830)</f>
        <v>0</v>
      </c>
      <c r="J3831" s="54" t="n">
        <f aca="false">J3828*(1-J3830)</f>
        <v>0</v>
      </c>
      <c r="K3831" s="54" t="n">
        <f aca="false">K3828*(1-K3830)</f>
        <v>0</v>
      </c>
      <c r="L3831" s="54" t="n">
        <f aca="false">L3828*(1-L3830)</f>
        <v>0</v>
      </c>
      <c r="M3831" s="54" t="n">
        <f aca="false">M3828*(1-M3830)</f>
        <v>0</v>
      </c>
      <c r="N3831" s="54" t="n">
        <f aca="false">N3828*(1-N3830)</f>
        <v>0</v>
      </c>
      <c r="P3831" s="55" t="n">
        <f aca="false">SUM(C3831:F3831)</f>
        <v>0</v>
      </c>
      <c r="Q3831" s="55" t="n">
        <f aca="false">SUM(G3831:J3831)</f>
        <v>0</v>
      </c>
      <c r="R3831" s="55" t="n">
        <f aca="false">SUM(K3831:N3831)</f>
        <v>0</v>
      </c>
      <c r="S3831" s="56" t="n">
        <f aca="false">SUM(P3831:R3831)</f>
        <v>0</v>
      </c>
    </row>
    <row r="3832" customFormat="false" ht="15" hidden="false" customHeight="false" outlineLevel="0" collapsed="false">
      <c r="A3832" s="4" t="s">
        <v>526</v>
      </c>
      <c r="B3832" s="36" t="s">
        <v>527</v>
      </c>
      <c r="C3832" s="48" t="n">
        <f aca="false">C3826+C3827*C3830</f>
        <v>0</v>
      </c>
      <c r="D3832" s="48" t="n">
        <f aca="false">D3826+D3827*D3830</f>
        <v>0.866376445183821</v>
      </c>
      <c r="E3832" s="48" t="n">
        <f aca="false">E3826+E3827*E3830</f>
        <v>1.50582306465206</v>
      </c>
      <c r="F3832" s="48" t="n">
        <f aca="false">F3826+F3827*F3830</f>
        <v>1.67790938794344</v>
      </c>
      <c r="G3832" s="48" t="n">
        <f aca="false">G3826+G3827*G3830</f>
        <v>1.85106534263008</v>
      </c>
      <c r="H3832" s="48" t="n">
        <f aca="false">H3826+H3827*H3830</f>
        <v>2.38121801710013</v>
      </c>
      <c r="I3832" s="48" t="n">
        <f aca="false">I3826+I3827*I3830</f>
        <v>2.89050962335814</v>
      </c>
      <c r="J3832" s="48" t="n">
        <f aca="false">J3826+J3827*J3830</f>
        <v>4.25772281590803</v>
      </c>
      <c r="K3832" s="48" t="n">
        <f aca="false">K3826+K3827*K3830</f>
        <v>5.54476151191654</v>
      </c>
      <c r="L3832" s="48" t="n">
        <f aca="false">L3826+L3827*L3830</f>
        <v>5.64767996905964</v>
      </c>
      <c r="M3832" s="48" t="n">
        <f aca="false">M3826+M3827*M3830</f>
        <v>5.5456509157018</v>
      </c>
      <c r="N3832" s="48" t="n">
        <f aca="false">N3826+N3827*N3830</f>
        <v>5.44768419099611</v>
      </c>
      <c r="P3832" s="49" t="n">
        <f aca="false">SUM(C3832:F3832)</f>
        <v>4.05010889777932</v>
      </c>
      <c r="Q3832" s="49" t="n">
        <f aca="false">SUM(G3832:J3832)</f>
        <v>11.3805157989964</v>
      </c>
      <c r="R3832" s="49" t="n">
        <f aca="false">SUM(K3832:N3832)</f>
        <v>22.1857765876741</v>
      </c>
      <c r="S3832" s="50" t="n">
        <f aca="false">SUM(P3832:R3832)</f>
        <v>37.6164012844498</v>
      </c>
    </row>
    <row r="3833" customFormat="false" ht="15" hidden="false" customHeight="false" outlineLevel="0" collapsed="false">
      <c r="A3833" s="4" t="s">
        <v>528</v>
      </c>
      <c r="B3833" s="36" t="s">
        <v>527</v>
      </c>
      <c r="C3833" s="48" t="n">
        <f aca="false">C3823*C3830</f>
        <v>0</v>
      </c>
      <c r="D3833" s="48" t="n">
        <f aca="false">D3823*D3830</f>
        <v>0.434084974267145</v>
      </c>
      <c r="E3833" s="48" t="n">
        <f aca="false">E3823*E3830</f>
        <v>0.754470149672265</v>
      </c>
      <c r="F3833" s="48" t="n">
        <f aca="false">F3823*F3830</f>
        <v>0.840691431002021</v>
      </c>
      <c r="G3833" s="48" t="n">
        <f aca="false">G3823*G3830</f>
        <v>0.927448635162163</v>
      </c>
      <c r="H3833" s="48" t="n">
        <f aca="false">H3823*H3830</f>
        <v>1.16953730457728</v>
      </c>
      <c r="I3833" s="48" t="n">
        <f aca="false">I3823*I3830</f>
        <v>1.4031294316662</v>
      </c>
      <c r="J3833" s="48" t="n">
        <f aca="false">J3823*J3830</f>
        <v>1.94401069987354</v>
      </c>
      <c r="K3833" s="48" t="n">
        <f aca="false">K3823*K3830</f>
        <v>2.46545339321206</v>
      </c>
      <c r="L3833" s="48" t="n">
        <f aca="false">L3823*L3830</f>
        <v>2.51121562461593</v>
      </c>
      <c r="M3833" s="48" t="n">
        <f aca="false">M3823*M3830</f>
        <v>2.46584886262506</v>
      </c>
      <c r="N3833" s="48" t="n">
        <f aca="false">N3823*N3830</f>
        <v>2.42228839689025</v>
      </c>
      <c r="P3833" s="49" t="n">
        <f aca="false">SUM(C3833:F3833)</f>
        <v>2.02924655494143</v>
      </c>
      <c r="Q3833" s="49" t="n">
        <f aca="false">SUM(G3833:J3833)</f>
        <v>5.44412607127918</v>
      </c>
      <c r="R3833" s="49" t="n">
        <f aca="false">SUM(K3833:N3833)</f>
        <v>9.8648062773433</v>
      </c>
      <c r="S3833" s="50" t="n">
        <f aca="false">SUM(P3833:R3833)</f>
        <v>17.3381789035639</v>
      </c>
    </row>
    <row r="3834" customFormat="false" ht="15" hidden="false" customHeight="false" outlineLevel="0" collapsed="false">
      <c r="A3834" s="4" t="s">
        <v>529</v>
      </c>
      <c r="B3834" s="36" t="s">
        <v>527</v>
      </c>
      <c r="C3834" s="48" t="n">
        <f aca="false">C3824*C3830</f>
        <v>0</v>
      </c>
      <c r="D3834" s="48" t="n">
        <f aca="false">D3824*D3830</f>
        <v>0</v>
      </c>
      <c r="E3834" s="48" t="n">
        <f aca="false">E3824*E3830</f>
        <v>0.071275680959914</v>
      </c>
      <c r="F3834" s="48" t="n">
        <f aca="false">F3824*F3830</f>
        <v>0.123882135686928</v>
      </c>
      <c r="G3834" s="48" t="n">
        <f aca="false">G3824*G3830</f>
        <v>0.138039457189221</v>
      </c>
      <c r="H3834" s="48" t="n">
        <f aca="false">H3824*H3830</f>
        <v>0.152284775896997</v>
      </c>
      <c r="I3834" s="48" t="n">
        <f aca="false">I3824*I3830</f>
        <v>0.179617161095586</v>
      </c>
      <c r="J3834" s="48" t="n">
        <f aca="false">J3824*J3830</f>
        <v>0.206586215215798</v>
      </c>
      <c r="K3834" s="48" t="n">
        <f aca="false">K3824*K3830</f>
        <v>0.273516053676695</v>
      </c>
      <c r="L3834" s="48" t="n">
        <f aca="false">L3824*L3830</f>
        <v>0.339599416808198</v>
      </c>
      <c r="M3834" s="48" t="n">
        <f aca="false">M3824*M3830</f>
        <v>0.345902852573557</v>
      </c>
      <c r="N3834" s="48" t="n">
        <f aca="false">N3824*N3830</f>
        <v>0.339653890026953</v>
      </c>
      <c r="P3834" s="49" t="n">
        <f aca="false">SUM(C3834:F3834)</f>
        <v>0.195157816646842</v>
      </c>
      <c r="Q3834" s="49" t="n">
        <f aca="false">SUM(G3834:J3834)</f>
        <v>0.676527609397602</v>
      </c>
      <c r="R3834" s="49" t="n">
        <f aca="false">SUM(K3834:N3834)</f>
        <v>1.2986722130854</v>
      </c>
      <c r="S3834" s="50" t="n">
        <f aca="false">SUM(P3834:R3834)</f>
        <v>2.17035763912985</v>
      </c>
    </row>
    <row r="3835" customFormat="false" ht="15" hidden="false" customHeight="false" outlineLevel="0" collapsed="false">
      <c r="A3835" s="9" t="s">
        <v>530</v>
      </c>
      <c r="B3835" s="36" t="s">
        <v>527</v>
      </c>
      <c r="C3835" s="49" t="n">
        <f aca="false">C3832+C3833+C3834</f>
        <v>0</v>
      </c>
      <c r="D3835" s="49" t="n">
        <f aca="false">D3832+D3833+D3834</f>
        <v>1.30046141945097</v>
      </c>
      <c r="E3835" s="49" t="n">
        <f aca="false">E3832+E3833+E3834</f>
        <v>2.33156889528424</v>
      </c>
      <c r="F3835" s="49" t="n">
        <f aca="false">F3832+F3833+F3834</f>
        <v>2.64248295463239</v>
      </c>
      <c r="G3835" s="49" t="n">
        <f aca="false">G3832+G3833+G3834</f>
        <v>2.91655343498146</v>
      </c>
      <c r="H3835" s="49" t="n">
        <f aca="false">H3832+H3833+H3834</f>
        <v>3.7030400975744</v>
      </c>
      <c r="I3835" s="49" t="n">
        <f aca="false">I3832+I3833+I3834</f>
        <v>4.47325621611992</v>
      </c>
      <c r="J3835" s="49" t="n">
        <f aca="false">J3832+J3833+J3834</f>
        <v>6.40831973099737</v>
      </c>
      <c r="K3835" s="49" t="n">
        <f aca="false">K3832+K3833+K3834</f>
        <v>8.28373095880529</v>
      </c>
      <c r="L3835" s="49" t="n">
        <f aca="false">L3832+L3833+L3834</f>
        <v>8.49849501048377</v>
      </c>
      <c r="M3835" s="49" t="n">
        <f aca="false">M3832+M3833+M3834</f>
        <v>8.35740263090041</v>
      </c>
      <c r="N3835" s="49" t="n">
        <f aca="false">N3832+N3833+N3834</f>
        <v>8.20962647791331</v>
      </c>
      <c r="P3835" s="49" t="n">
        <f aca="false">SUM(C3835:F3835)</f>
        <v>6.2745132693676</v>
      </c>
      <c r="Q3835" s="49" t="n">
        <f aca="false">SUM(G3835:J3835)</f>
        <v>17.5011694796732</v>
      </c>
      <c r="R3835" s="49" t="n">
        <f aca="false">SUM(K3835:N3835)</f>
        <v>33.3492550781028</v>
      </c>
      <c r="S3835" s="50" t="n">
        <f aca="false">SUM(P3835:R3835)</f>
        <v>57.1249378271435</v>
      </c>
    </row>
    <row r="3836" customFormat="false" ht="15" hidden="false" customHeight="false" outlineLevel="0" collapsed="false">
      <c r="A3836" s="35" t="s">
        <v>533</v>
      </c>
      <c r="B3836" s="35" t="s">
        <v>444</v>
      </c>
      <c r="C3836" s="6" t="s">
        <v>354</v>
      </c>
      <c r="D3836" s="6" t="s">
        <v>355</v>
      </c>
      <c r="E3836" s="6" t="s">
        <v>356</v>
      </c>
      <c r="F3836" s="6" t="s">
        <v>357</v>
      </c>
      <c r="G3836" s="6" t="s">
        <v>358</v>
      </c>
      <c r="H3836" s="6" t="s">
        <v>359</v>
      </c>
      <c r="I3836" s="6" t="s">
        <v>360</v>
      </c>
      <c r="J3836" s="6" t="s">
        <v>361</v>
      </c>
      <c r="K3836" s="6" t="s">
        <v>362</v>
      </c>
      <c r="L3836" s="6" t="s">
        <v>363</v>
      </c>
      <c r="M3836" s="6" t="s">
        <v>364</v>
      </c>
      <c r="N3836" s="6" t="s">
        <v>365</v>
      </c>
      <c r="P3836" s="6" t="s">
        <v>445</v>
      </c>
      <c r="Q3836" s="6" t="s">
        <v>446</v>
      </c>
      <c r="R3836" s="6" t="s">
        <v>447</v>
      </c>
      <c r="S3836" s="6" t="s">
        <v>448</v>
      </c>
    </row>
    <row r="3837" customFormat="false" ht="15" hidden="false" customHeight="false" outlineLevel="0" collapsed="false">
      <c r="A3837" s="4" t="s">
        <v>534</v>
      </c>
      <c r="B3837" s="36" t="s">
        <v>527</v>
      </c>
      <c r="C3837" s="48" t="n">
        <f aca="false">0*Assumptions!$E$59^(1/4)+C3832</f>
        <v>0</v>
      </c>
      <c r="D3837" s="48" t="n">
        <f aca="false">C3837*Assumptions!$E$59^(1/4)+D3832</f>
        <v>0.866376445183821</v>
      </c>
      <c r="E3837" s="48" t="n">
        <f aca="false">D3837*Assumptions!$E$59^(1/4)+E3832</f>
        <v>2.34494930922769</v>
      </c>
      <c r="F3837" s="48" t="n">
        <f aca="false">E3837*Assumptions!$E$59^(1/4)+F3832</f>
        <v>3.94910283798577</v>
      </c>
      <c r="G3837" s="48" t="n">
        <f aca="false">F3837*Assumptions!$E$59^(1/4)+G3832</f>
        <v>5.67595676517893</v>
      </c>
      <c r="H3837" s="48" t="n">
        <f aca="false">G3837*Assumptions!$E$59^(1/4)+H3832</f>
        <v>7.87864850613853</v>
      </c>
      <c r="I3837" s="48" t="n">
        <f aca="false">H3837*Assumptions!$E$59^(1/4)+I3832</f>
        <v>10.5213504316914</v>
      </c>
      <c r="J3837" s="48" t="n">
        <f aca="false">I3837*Assumptions!$E$59^(1/4)+J3832</f>
        <v>14.4481444561642</v>
      </c>
      <c r="K3837" s="48" t="n">
        <f aca="false">J3837*Assumptions!$E$59^(1/4)+K3832</f>
        <v>19.5384674419236</v>
      </c>
      <c r="L3837" s="48" t="n">
        <f aca="false">K3837*Assumptions!$E$59^(1/4)+L3832</f>
        <v>24.5716025900468</v>
      </c>
      <c r="M3837" s="48" t="n">
        <f aca="false">L3837*Assumptions!$E$59^(1/4)+M3832</f>
        <v>29.3444011232009</v>
      </c>
      <c r="N3837" s="48" t="n">
        <f aca="false">M3837*Assumptions!$E$59^(1/4)+N3832</f>
        <v>33.8691137563025</v>
      </c>
      <c r="P3837" s="49" t="n">
        <f aca="false">F3837</f>
        <v>3.94910283798577</v>
      </c>
      <c r="Q3837" s="49" t="n">
        <f aca="false">J3837</f>
        <v>14.4481444561642</v>
      </c>
      <c r="R3837" s="49" t="n">
        <f aca="false">N3837</f>
        <v>33.8691137563025</v>
      </c>
      <c r="S3837" s="50" t="n">
        <f aca="false">R3837</f>
        <v>33.8691137563025</v>
      </c>
    </row>
    <row r="3838" customFormat="false" ht="15" hidden="false" customHeight="false" outlineLevel="0" collapsed="false">
      <c r="A3838" s="4" t="s">
        <v>535</v>
      </c>
      <c r="B3838" s="36" t="s">
        <v>527</v>
      </c>
      <c r="C3838" s="48" t="n">
        <f aca="false">0*Assumptions!$E$60^(1/4)+C3833</f>
        <v>0</v>
      </c>
      <c r="D3838" s="48" t="n">
        <f aca="false">C3838*Assumptions!$E$60^(1/4)+D3833</f>
        <v>0.434084974267145</v>
      </c>
      <c r="E3838" s="48" t="n">
        <f aca="false">D3838*Assumptions!$E$60^(1/4)+E3833</f>
        <v>1.17727054087539</v>
      </c>
      <c r="F3838" s="48" t="n">
        <f aca="false">E3838*Assumptions!$E$60^(1/4)+F3833</f>
        <v>1.98735734837079</v>
      </c>
      <c r="G3838" s="48" t="n">
        <f aca="false">F3838*Assumptions!$E$60^(1/4)+G3833</f>
        <v>2.86314213796116</v>
      </c>
      <c r="H3838" s="48" t="n">
        <f aca="false">G3838*Assumptions!$E$60^(1/4)+H3833</f>
        <v>3.95824847349958</v>
      </c>
      <c r="I3838" s="48" t="n">
        <f aca="false">H3838*Assumptions!$E$60^(1/4)+I3833</f>
        <v>5.25847827413699</v>
      </c>
      <c r="J3838" s="48" t="n">
        <f aca="false">I3838*Assumptions!$E$60^(1/4)+J3833</f>
        <v>7.065788239379</v>
      </c>
      <c r="K3838" s="48" t="n">
        <f aca="false">J3838*Assumptions!$E$60^(1/4)+K3833</f>
        <v>9.34755760981501</v>
      </c>
      <c r="L3838" s="48" t="n">
        <f aca="false">K3838*Assumptions!$E$60^(1/4)+L3833</f>
        <v>11.615771756502</v>
      </c>
      <c r="M3838" s="48" t="n">
        <f aca="false">L3838*Assumptions!$E$60^(1/4)+M3833</f>
        <v>13.7796540710792</v>
      </c>
      <c r="N3838" s="48" t="n">
        <f aca="false">M3838*Assumptions!$E$60^(1/4)+N3833</f>
        <v>15.843723086566</v>
      </c>
      <c r="P3838" s="49" t="n">
        <f aca="false">F3838</f>
        <v>1.98735734837079</v>
      </c>
      <c r="Q3838" s="49" t="n">
        <f aca="false">J3838</f>
        <v>7.065788239379</v>
      </c>
      <c r="R3838" s="49" t="n">
        <f aca="false">N3838</f>
        <v>15.843723086566</v>
      </c>
      <c r="S3838" s="50" t="n">
        <f aca="false">R3838</f>
        <v>15.843723086566</v>
      </c>
    </row>
    <row r="3839" customFormat="false" ht="15" hidden="false" customHeight="false" outlineLevel="0" collapsed="false">
      <c r="A3839" s="4" t="s">
        <v>536</v>
      </c>
      <c r="B3839" s="36" t="s">
        <v>527</v>
      </c>
      <c r="C3839" s="48" t="n">
        <f aca="false">0*Assumptions!$E$61^(1/4)+C3834</f>
        <v>0</v>
      </c>
      <c r="D3839" s="48" t="n">
        <f aca="false">C3839*Assumptions!$E$61^(1/4)+D3834</f>
        <v>0</v>
      </c>
      <c r="E3839" s="48" t="n">
        <f aca="false">D3839*Assumptions!$E$61^(1/4)+E3834</f>
        <v>0.071275680959914</v>
      </c>
      <c r="F3839" s="48" t="n">
        <f aca="false">E3839*Assumptions!$E$61^(1/4)+F3834</f>
        <v>0.193687425103077</v>
      </c>
      <c r="G3839" s="48" t="n">
        <f aca="false">F3839*Assumptions!$E$61^(1/4)+G3834</f>
        <v>0.327731180698575</v>
      </c>
      <c r="H3839" s="48" t="n">
        <f aca="false">G3839*Assumptions!$E$61^(1/4)+H3834</f>
        <v>0.47325498075869</v>
      </c>
      <c r="I3839" s="48" t="n">
        <f aca="false">H3839*Assumptions!$E$61^(1/4)+I3834</f>
        <v>0.643109062605078</v>
      </c>
      <c r="J3839" s="48" t="n">
        <f aca="false">I3839*Assumptions!$E$61^(1/4)+J3834</f>
        <v>0.836428170237506</v>
      </c>
      <c r="K3839" s="48" t="n">
        <f aca="false">J3839*Assumptions!$E$61^(1/4)+K3834</f>
        <v>1.09268901299344</v>
      </c>
      <c r="L3839" s="48" t="n">
        <f aca="false">K3839*Assumptions!$E$61^(1/4)+L3834</f>
        <v>1.40974665029098</v>
      </c>
      <c r="M3839" s="48" t="n">
        <f aca="false">L3839*Assumptions!$E$61^(1/4)+M3834</f>
        <v>1.72656693886063</v>
      </c>
      <c r="N3839" s="48" t="n">
        <f aca="false">M3839*Assumptions!$E$61^(1/4)+N3834</f>
        <v>2.03060237680892</v>
      </c>
      <c r="P3839" s="49" t="n">
        <f aca="false">F3839</f>
        <v>0.193687425103077</v>
      </c>
      <c r="Q3839" s="49" t="n">
        <f aca="false">J3839</f>
        <v>0.836428170237506</v>
      </c>
      <c r="R3839" s="49" t="n">
        <f aca="false">N3839</f>
        <v>2.03060237680892</v>
      </c>
      <c r="S3839" s="50" t="n">
        <f aca="false">R3839</f>
        <v>2.03060237680892</v>
      </c>
    </row>
    <row r="3840" customFormat="false" ht="15" hidden="false" customHeight="false" outlineLevel="0" collapsed="false">
      <c r="A3840" s="9" t="s">
        <v>537</v>
      </c>
      <c r="B3840" s="36" t="s">
        <v>527</v>
      </c>
      <c r="C3840" s="49" t="n">
        <f aca="false">C3837+C3838+C3839</f>
        <v>0</v>
      </c>
      <c r="D3840" s="49" t="n">
        <f aca="false">D3837+D3838+D3839</f>
        <v>1.30046141945097</v>
      </c>
      <c r="E3840" s="49" t="n">
        <f aca="false">E3837+E3838+E3839</f>
        <v>3.593495531063</v>
      </c>
      <c r="F3840" s="49" t="n">
        <f aca="false">F3837+F3838+F3839</f>
        <v>6.13014761145964</v>
      </c>
      <c r="G3840" s="49" t="n">
        <f aca="false">G3837+G3838+G3839</f>
        <v>8.86683008383866</v>
      </c>
      <c r="H3840" s="49" t="n">
        <f aca="false">H3837+H3838+H3839</f>
        <v>12.3101519603968</v>
      </c>
      <c r="I3840" s="49" t="n">
        <f aca="false">I3837+I3838+I3839</f>
        <v>16.4229377684335</v>
      </c>
      <c r="J3840" s="49" t="n">
        <f aca="false">J3837+J3838+J3839</f>
        <v>22.3503608657807</v>
      </c>
      <c r="K3840" s="49" t="n">
        <f aca="false">K3837+K3838+K3839</f>
        <v>29.9787140647321</v>
      </c>
      <c r="L3840" s="49" t="n">
        <f aca="false">L3837+L3838+L3839</f>
        <v>37.5971209968399</v>
      </c>
      <c r="M3840" s="49" t="n">
        <f aca="false">M3837+M3838+M3839</f>
        <v>44.8506221331408</v>
      </c>
      <c r="N3840" s="49" t="n">
        <f aca="false">N3837+N3838+N3839</f>
        <v>51.7434392196774</v>
      </c>
      <c r="P3840" s="49" t="n">
        <f aca="false">F3840</f>
        <v>6.13014761145964</v>
      </c>
      <c r="Q3840" s="49" t="n">
        <f aca="false">J3840</f>
        <v>22.3503608657807</v>
      </c>
      <c r="R3840" s="49" t="n">
        <f aca="false">N3840</f>
        <v>51.7434392196774</v>
      </c>
      <c r="S3840" s="50" t="n">
        <f aca="false">R3840</f>
        <v>51.7434392196774</v>
      </c>
    </row>
    <row r="3841" customFormat="false" ht="15" hidden="false" customHeight="false" outlineLevel="0" collapsed="false">
      <c r="A3841" s="4" t="s">
        <v>538</v>
      </c>
      <c r="B3841" s="36" t="s">
        <v>125</v>
      </c>
      <c r="C3841" s="54" t="n">
        <f aca="false">0*Assumptions!$E$62^(1/4)+C3832*$C$3781</f>
        <v>0</v>
      </c>
      <c r="D3841" s="54" t="n">
        <f aca="false">C3841*Assumptions!$E$62^(1/4)+D3832*$C$3781</f>
        <v>4636.84673462381</v>
      </c>
      <c r="E3841" s="54" t="n">
        <f aca="false">D3841*Assumptions!$E$62^(1/4)+E3832*$C$3781</f>
        <v>12696.0117766416</v>
      </c>
      <c r="F3841" s="54" t="n">
        <f aca="false">E3841*Assumptions!$E$62^(1/4)+F3832*$C$3781</f>
        <v>21676.1828209149</v>
      </c>
      <c r="G3841" s="54" t="n">
        <f aca="false">F3841*Assumptions!$E$62^(1/4)+G3832*$C$3781</f>
        <v>31583.0845346711</v>
      </c>
      <c r="H3841" s="54" t="n">
        <f aca="false">G3841*Assumptions!$E$62^(1/4)+H3832*$C$3781</f>
        <v>44327.363362191</v>
      </c>
      <c r="I3841" s="54" t="n">
        <f aca="false">H3841*Assumptions!$E$62^(1/4)+I3832*$C$3781</f>
        <v>59797.3708664037</v>
      </c>
      <c r="J3841" s="54" t="n">
        <f aca="false">I3841*Assumptions!$E$62^(1/4)+J3832*$C$3781</f>
        <v>82584.7033771435</v>
      </c>
      <c r="K3841" s="54" t="n">
        <f aca="false">J3841*Assumptions!$E$62^(1/4)+K3832*$C$3781</f>
        <v>112260.266988921</v>
      </c>
      <c r="L3841" s="54" t="n">
        <f aca="false">K3841*Assumptions!$E$62^(1/4)+L3832*$C$3781</f>
        <v>142486.650183328</v>
      </c>
      <c r="M3841" s="54" t="n">
        <f aca="false">L3841*Assumptions!$E$62^(1/4)+M3832*$C$3781</f>
        <v>172166.973884164</v>
      </c>
      <c r="N3841" s="54" t="n">
        <f aca="false">M3841*Assumptions!$E$62^(1/4)+N3832*$C$3781</f>
        <v>201322.979674375</v>
      </c>
      <c r="P3841" s="55" t="n">
        <f aca="false">F3841</f>
        <v>21676.1828209149</v>
      </c>
      <c r="Q3841" s="55" t="n">
        <f aca="false">J3841</f>
        <v>82584.7033771435</v>
      </c>
      <c r="R3841" s="55" t="n">
        <f aca="false">N3841</f>
        <v>201322.979674375</v>
      </c>
      <c r="S3841" s="56" t="n">
        <f aca="false">R3841</f>
        <v>201322.979674375</v>
      </c>
    </row>
    <row r="3842" customFormat="false" ht="15" hidden="false" customHeight="false" outlineLevel="0" collapsed="false">
      <c r="A3842" s="4" t="s">
        <v>539</v>
      </c>
      <c r="B3842" s="36" t="s">
        <v>125</v>
      </c>
      <c r="C3842" s="54" t="n">
        <f aca="false">0*Assumptions!$E$63^(1/4)+C3833*$C$3782</f>
        <v>0</v>
      </c>
      <c r="D3842" s="54" t="n">
        <f aca="false">C3842*Assumptions!$E$63^(1/4)+D3833*$C$3782</f>
        <v>4239.58645576376</v>
      </c>
      <c r="E3842" s="54" t="n">
        <f aca="false">D3842*Assumptions!$E$63^(1/4)+E3833*$C$3782</f>
        <v>11670.4962925811</v>
      </c>
      <c r="F3842" s="54" t="n">
        <f aca="false">E3842*Assumptions!$E$63^(1/4)+F3833*$C$3782</f>
        <v>20052.5452811272</v>
      </c>
      <c r="G3842" s="54" t="n">
        <f aca="false">F3842*Assumptions!$E$63^(1/4)+G3833*$C$3782</f>
        <v>29404.9244992944</v>
      </c>
      <c r="H3842" s="54" t="n">
        <f aca="false">G3842*Assumptions!$E$63^(1/4)+H3833*$C$3782</f>
        <v>41258.9513719395</v>
      </c>
      <c r="I3842" s="54" t="n">
        <f aca="false">H3842*Assumptions!$E$63^(1/4)+I3833*$C$3782</f>
        <v>55568.3513409502</v>
      </c>
      <c r="J3842" s="54" t="n">
        <f aca="false">I3842*Assumptions!$E$63^(1/4)+J3833*$C$3782</f>
        <v>75370.3612133376</v>
      </c>
      <c r="K3842" s="54" t="n">
        <f aca="false">J3842*Assumptions!$E$63^(1/4)+K3833*$C$3782</f>
        <v>100555.727581443</v>
      </c>
      <c r="L3842" s="54" t="n">
        <f aca="false">K3842*Assumptions!$E$63^(1/4)+L3833*$C$3782</f>
        <v>126557.607047924</v>
      </c>
      <c r="M3842" s="54" t="n">
        <f aca="false">L3842*Assumptions!$E$63^(1/4)+M3833*$C$3782</f>
        <v>152497.949626279</v>
      </c>
      <c r="N3842" s="54" t="n">
        <f aca="false">M3842*Assumptions!$E$63^(1/4)+N3833*$C$3782</f>
        <v>178393.493923682</v>
      </c>
      <c r="P3842" s="55" t="n">
        <f aca="false">F3842</f>
        <v>20052.5452811272</v>
      </c>
      <c r="Q3842" s="55" t="n">
        <f aca="false">J3842</f>
        <v>75370.3612133376</v>
      </c>
      <c r="R3842" s="55" t="n">
        <f aca="false">N3842</f>
        <v>178393.493923682</v>
      </c>
      <c r="S3842" s="56" t="n">
        <f aca="false">R3842</f>
        <v>178393.493923682</v>
      </c>
    </row>
    <row r="3843" customFormat="false" ht="15" hidden="false" customHeight="false" outlineLevel="0" collapsed="false">
      <c r="A3843" s="4" t="s">
        <v>540</v>
      </c>
      <c r="B3843" s="36" t="s">
        <v>125</v>
      </c>
      <c r="C3843" s="54" t="n">
        <f aca="false">0*Assumptions!$E$64^(1/4)+C3834*$C$3783</f>
        <v>0</v>
      </c>
      <c r="D3843" s="54" t="n">
        <f aca="false">C3843*Assumptions!$E$64^(1/4)+D3834*$C$3783</f>
        <v>0</v>
      </c>
      <c r="E3843" s="54" t="n">
        <f aca="false">D3843*Assumptions!$E$64^(1/4)+E3834*$C$3783</f>
        <v>4403.28728055653</v>
      </c>
      <c r="F3843" s="54" t="n">
        <f aca="false">E3843*Assumptions!$E$64^(1/4)+F3834*$C$3783</f>
        <v>12213.0820253109</v>
      </c>
      <c r="G3843" s="54" t="n">
        <f aca="false">F3843*Assumptions!$E$64^(1/4)+G3834*$C$3783</f>
        <v>21175.1926829613</v>
      </c>
      <c r="H3843" s="54" t="n">
        <f aca="false">G3843*Assumptions!$E$64^(1/4)+H3834*$C$3783</f>
        <v>31336.0297046151</v>
      </c>
      <c r="I3843" s="54" t="n">
        <f aca="false">H3843*Assumptions!$E$64^(1/4)+I3834*$C$3783</f>
        <v>43546.7136406664</v>
      </c>
      <c r="J3843" s="54" t="n">
        <f aca="false">I3843*Assumptions!$E$64^(1/4)+J3834*$C$3783</f>
        <v>57857.6871437336</v>
      </c>
      <c r="K3843" s="54" t="n">
        <f aca="false">J3843*Assumptions!$E$64^(1/4)+K3834*$C$3783</f>
        <v>76812.3400443087</v>
      </c>
      <c r="L3843" s="54" t="n">
        <f aca="false">K3843*Assumptions!$E$64^(1/4)+L3834*$C$3783</f>
        <v>100523.498879132</v>
      </c>
      <c r="M3843" s="54" t="n">
        <f aca="false">L3843*Assumptions!$E$64^(1/4)+M3834*$C$3783</f>
        <v>125467.196179727</v>
      </c>
      <c r="N3843" s="54" t="n">
        <f aca="false">M3843*Assumptions!$E$64^(1/4)+N3834*$C$3783</f>
        <v>150911.793363869</v>
      </c>
      <c r="P3843" s="55" t="n">
        <f aca="false">F3843</f>
        <v>12213.0820253109</v>
      </c>
      <c r="Q3843" s="55" t="n">
        <f aca="false">J3843</f>
        <v>57857.6871437336</v>
      </c>
      <c r="R3843" s="55" t="n">
        <f aca="false">N3843</f>
        <v>150911.793363869</v>
      </c>
      <c r="S3843" s="56" t="n">
        <f aca="false">R3843</f>
        <v>150911.793363869</v>
      </c>
    </row>
    <row r="3844" customFormat="false" ht="15" hidden="false" customHeight="false" outlineLevel="0" collapsed="false">
      <c r="A3844" s="9" t="s">
        <v>541</v>
      </c>
      <c r="B3844" s="36" t="s">
        <v>125</v>
      </c>
      <c r="C3844" s="55" t="n">
        <f aca="false">C3841+C3842+C3843</f>
        <v>0</v>
      </c>
      <c r="D3844" s="55" t="n">
        <f aca="false">D3841+D3842+D3843</f>
        <v>8876.43319038757</v>
      </c>
      <c r="E3844" s="55" t="n">
        <f aca="false">E3841+E3842+E3843</f>
        <v>28769.7953497792</v>
      </c>
      <c r="F3844" s="55" t="n">
        <f aca="false">F3841+F3842+F3843</f>
        <v>53941.810127353</v>
      </c>
      <c r="G3844" s="55" t="n">
        <f aca="false">G3841+G3842+G3843</f>
        <v>82163.2017169268</v>
      </c>
      <c r="H3844" s="55" t="n">
        <f aca="false">H3841+H3842+H3843</f>
        <v>116922.344438746</v>
      </c>
      <c r="I3844" s="55" t="n">
        <f aca="false">I3841+I3842+I3843</f>
        <v>158912.43584802</v>
      </c>
      <c r="J3844" s="55" t="n">
        <f aca="false">J3841+J3842+J3843</f>
        <v>215812.751734215</v>
      </c>
      <c r="K3844" s="55" t="n">
        <f aca="false">K3841+K3842+K3843</f>
        <v>289628.334614672</v>
      </c>
      <c r="L3844" s="55" t="n">
        <f aca="false">L3841+L3842+L3843</f>
        <v>369567.756110383</v>
      </c>
      <c r="M3844" s="55" t="n">
        <f aca="false">M3841+M3842+M3843</f>
        <v>450132.11969017</v>
      </c>
      <c r="N3844" s="55" t="n">
        <f aca="false">N3841+N3842+N3843</f>
        <v>530628.266961926</v>
      </c>
      <c r="P3844" s="55" t="n">
        <f aca="false">F3844</f>
        <v>53941.810127353</v>
      </c>
      <c r="Q3844" s="55" t="n">
        <f aca="false">J3844</f>
        <v>215812.751734215</v>
      </c>
      <c r="R3844" s="55" t="n">
        <f aca="false">N3844</f>
        <v>530628.266961926</v>
      </c>
      <c r="S3844" s="56" t="n">
        <f aca="false">R3844</f>
        <v>530628.266961926</v>
      </c>
    </row>
    <row r="3845" customFormat="false" ht="15" hidden="false" customHeight="false" outlineLevel="0" collapsed="false">
      <c r="A3845" s="4" t="s">
        <v>542</v>
      </c>
      <c r="B3845" s="36" t="s">
        <v>125</v>
      </c>
      <c r="C3845" s="54" t="n">
        <f aca="false">C3832*$C$3781+C3833*$C$3782+C3834*$C$3783</f>
        <v>0</v>
      </c>
      <c r="D3845" s="54" t="n">
        <f aca="false">D3832*$C$3781+D3833*$C$3782+D3834*$C$3783</f>
        <v>8876.43319038757</v>
      </c>
      <c r="E3845" s="54" t="n">
        <f aca="false">E3832*$C$3781+E3833*$C$3782+E3834*$C$3783</f>
        <v>19831.1511199211</v>
      </c>
      <c r="F3845" s="54" t="n">
        <f aca="false">F3832*$C$3781+F3833*$C$3782+F3834*$C$3783</f>
        <v>24844.1912849884</v>
      </c>
      <c r="G3845" s="54" t="n">
        <f aca="false">G3832*$C$3781+G3833*$C$3782+G3834*$C$3783</f>
        <v>27492.869921806</v>
      </c>
      <c r="H3845" s="54" t="n">
        <f aca="false">H3832*$C$3781+H3833*$C$3782+H3834*$C$3783</f>
        <v>33574.7102651457</v>
      </c>
      <c r="I3845" s="54" t="n">
        <f aca="false">I3832*$C$3781+I3833*$C$3782+I3834*$C$3783</f>
        <v>40270.4149672828</v>
      </c>
      <c r="J3845" s="54" t="n">
        <f aca="false">J3832*$C$3781+J3833*$C$3782+J3834*$C$3783</f>
        <v>54536.4770787097</v>
      </c>
      <c r="K3845" s="54" t="n">
        <f aca="false">K3832*$C$3781+K3833*$C$3782+K3834*$C$3783</f>
        <v>70652.3017379302</v>
      </c>
      <c r="L3845" s="54" t="n">
        <f aca="false">L3832*$C$3781+L3833*$C$3782+L3834*$C$3783</f>
        <v>75732.5831665291</v>
      </c>
      <c r="M3845" s="54" t="n">
        <f aca="false">M3832*$C$3781+M3833*$C$3782+M3834*$C$3783</f>
        <v>75132.8544752204</v>
      </c>
      <c r="N3845" s="54" t="n">
        <f aca="false">N3832*$C$3781+N3833*$C$3782+N3834*$C$3783</f>
        <v>73797.0436777759</v>
      </c>
      <c r="P3845" s="55" t="n">
        <f aca="false">SUM(C3845:F3845)</f>
        <v>53551.775595297</v>
      </c>
      <c r="Q3845" s="55" t="n">
        <f aca="false">SUM(G3845:J3845)</f>
        <v>155874.472232944</v>
      </c>
      <c r="R3845" s="55" t="n">
        <f aca="false">SUM(K3845:N3845)</f>
        <v>295314.783057456</v>
      </c>
      <c r="S3845" s="56" t="n">
        <f aca="false">SUM(P3845:R3845)</f>
        <v>504741.030885697</v>
      </c>
    </row>
    <row r="3846" customFormat="false" ht="15" hidden="false" customHeight="false" outlineLevel="0" collapsed="false">
      <c r="A3846" s="9" t="s">
        <v>543</v>
      </c>
      <c r="B3846" s="36" t="s">
        <v>125</v>
      </c>
      <c r="C3846" s="55" t="n">
        <f aca="false">(0+C3844)/8</f>
        <v>0</v>
      </c>
      <c r="D3846" s="55" t="n">
        <f aca="false">(C3844+D3844)/8</f>
        <v>1109.55414879845</v>
      </c>
      <c r="E3846" s="55" t="n">
        <f aca="false">(D3844+E3844)/8</f>
        <v>4705.77856752085</v>
      </c>
      <c r="F3846" s="55" t="n">
        <f aca="false">(E3844+F3844)/8</f>
        <v>10338.9506846415</v>
      </c>
      <c r="G3846" s="55" t="n">
        <f aca="false">(F3844+G3844)/8</f>
        <v>17013.126480535</v>
      </c>
      <c r="H3846" s="55" t="n">
        <f aca="false">(G3844+H3844)/8</f>
        <v>24885.693269459</v>
      </c>
      <c r="I3846" s="55" t="n">
        <f aca="false">(H3844+I3844)/8</f>
        <v>34479.3475358457</v>
      </c>
      <c r="J3846" s="55" t="n">
        <f aca="false">(I3844+J3844)/8</f>
        <v>46840.6484477794</v>
      </c>
      <c r="K3846" s="55" t="n">
        <f aca="false">(J3844+K3844)/8</f>
        <v>63180.1357936109</v>
      </c>
      <c r="L3846" s="55" t="n">
        <f aca="false">(K3844+L3844)/8</f>
        <v>82399.511340632</v>
      </c>
      <c r="M3846" s="55" t="n">
        <f aca="false">(L3844+M3844)/8</f>
        <v>102462.484475069</v>
      </c>
      <c r="N3846" s="55" t="n">
        <f aca="false">(M3844+N3844)/8</f>
        <v>122595.048331512</v>
      </c>
      <c r="P3846" s="55" t="n">
        <f aca="false">SUM(C3846:F3846)</f>
        <v>16154.2834009608</v>
      </c>
      <c r="Q3846" s="55" t="n">
        <f aca="false">SUM(G3846:J3846)</f>
        <v>123218.815733619</v>
      </c>
      <c r="R3846" s="55" t="n">
        <f aca="false">SUM(K3846:N3846)</f>
        <v>370637.179940824</v>
      </c>
      <c r="S3846" s="56" t="n">
        <f aca="false">SUM(P3846:R3846)</f>
        <v>510010.279075404</v>
      </c>
    </row>
    <row r="3847" customFormat="false" ht="15" hidden="false" customHeight="false" outlineLevel="0" collapsed="false">
      <c r="A3847" s="4" t="s">
        <v>544</v>
      </c>
      <c r="B3847" s="36" t="s">
        <v>125</v>
      </c>
      <c r="C3847" s="54" t="n">
        <f aca="false">C3846*Assumptions!$E$76</f>
        <v>0</v>
      </c>
      <c r="D3847" s="54" t="n">
        <f aca="false">D3846*Assumptions!$E$76</f>
        <v>721.21019671899</v>
      </c>
      <c r="E3847" s="54" t="n">
        <f aca="false">E3846*Assumptions!$E$76</f>
        <v>3058.75606888855</v>
      </c>
      <c r="F3847" s="54" t="n">
        <f aca="false">F3846*Assumptions!$E$76</f>
        <v>6720.31794501699</v>
      </c>
      <c r="G3847" s="54" t="n">
        <f aca="false">G3846*Assumptions!$E$76</f>
        <v>11058.5322123477</v>
      </c>
      <c r="H3847" s="54" t="n">
        <f aca="false">H3846*Assumptions!$E$76</f>
        <v>16175.7006251484</v>
      </c>
      <c r="I3847" s="54" t="n">
        <f aca="false">I3846*Assumptions!$E$76</f>
        <v>22411.5758982997</v>
      </c>
      <c r="J3847" s="54" t="n">
        <f aca="false">J3846*Assumptions!$E$76</f>
        <v>30446.4214910566</v>
      </c>
      <c r="K3847" s="54" t="n">
        <f aca="false">K3846*Assumptions!$E$76</f>
        <v>41067.0882658471</v>
      </c>
      <c r="L3847" s="54" t="n">
        <f aca="false">L3846*Assumptions!$E$76</f>
        <v>53559.6823714108</v>
      </c>
      <c r="M3847" s="54" t="n">
        <f aca="false">M3846*Assumptions!$E$76</f>
        <v>66600.614908795</v>
      </c>
      <c r="N3847" s="54" t="n">
        <f aca="false">N3846*Assumptions!$E$76</f>
        <v>79686.7814154828</v>
      </c>
      <c r="P3847" s="55" t="n">
        <f aca="false">SUM(C3847:F3847)</f>
        <v>10500.2842106245</v>
      </c>
      <c r="Q3847" s="55" t="n">
        <f aca="false">SUM(G3847:J3847)</f>
        <v>80092.2302268524</v>
      </c>
      <c r="R3847" s="55" t="n">
        <f aca="false">SUM(K3847:N3847)</f>
        <v>240914.166961536</v>
      </c>
      <c r="S3847" s="56" t="n">
        <f aca="false">SUM(P3847:R3847)</f>
        <v>331506.681399013</v>
      </c>
    </row>
    <row r="3848" customFormat="false" ht="15" hidden="false" customHeight="false" outlineLevel="0" collapsed="false">
      <c r="A3848" s="35" t="s">
        <v>547</v>
      </c>
      <c r="B3848" s="35" t="s">
        <v>444</v>
      </c>
      <c r="C3848" s="6" t="s">
        <v>354</v>
      </c>
      <c r="D3848" s="6" t="s">
        <v>355</v>
      </c>
      <c r="E3848" s="6" t="s">
        <v>356</v>
      </c>
      <c r="F3848" s="6" t="s">
        <v>357</v>
      </c>
      <c r="G3848" s="6" t="s">
        <v>358</v>
      </c>
      <c r="H3848" s="6" t="s">
        <v>359</v>
      </c>
      <c r="I3848" s="6" t="s">
        <v>360</v>
      </c>
      <c r="J3848" s="6" t="s">
        <v>361</v>
      </c>
      <c r="K3848" s="6" t="s">
        <v>362</v>
      </c>
      <c r="L3848" s="6" t="s">
        <v>363</v>
      </c>
      <c r="M3848" s="6" t="s">
        <v>364</v>
      </c>
      <c r="N3848" s="6" t="s">
        <v>365</v>
      </c>
      <c r="P3848" s="6" t="s">
        <v>445</v>
      </c>
      <c r="Q3848" s="6" t="s">
        <v>446</v>
      </c>
      <c r="R3848" s="6" t="s">
        <v>447</v>
      </c>
      <c r="S3848" s="6" t="s">
        <v>448</v>
      </c>
    </row>
    <row r="3849" customFormat="false" ht="15" hidden="false" customHeight="false" outlineLevel="0" collapsed="false">
      <c r="A3849" s="4" t="s">
        <v>548</v>
      </c>
      <c r="B3849" s="36" t="s">
        <v>321</v>
      </c>
      <c r="C3849" s="48" t="n">
        <f aca="false">Assumptions!$D$97*C3791</f>
        <v>1</v>
      </c>
      <c r="D3849" s="48" t="n">
        <f aca="false">Assumptions!$D$97*D3791</f>
        <v>1</v>
      </c>
      <c r="E3849" s="48" t="n">
        <f aca="false">Assumptions!$D$97*E3791</f>
        <v>1</v>
      </c>
      <c r="F3849" s="48" t="n">
        <f aca="false">Assumptions!$D$97*F3791</f>
        <v>1</v>
      </c>
      <c r="G3849" s="48" t="n">
        <f aca="false">Assumptions!$D$97*G3791</f>
        <v>1</v>
      </c>
      <c r="H3849" s="48" t="n">
        <f aca="false">Assumptions!$D$97*H3791</f>
        <v>1</v>
      </c>
      <c r="I3849" s="48" t="n">
        <f aca="false">Assumptions!$D$97*I3791</f>
        <v>1</v>
      </c>
      <c r="J3849" s="48" t="n">
        <f aca="false">Assumptions!$D$97*J3791</f>
        <v>1</v>
      </c>
      <c r="K3849" s="48" t="n">
        <f aca="false">Assumptions!$D$97*K3791</f>
        <v>1</v>
      </c>
      <c r="L3849" s="48" t="n">
        <f aca="false">Assumptions!$D$97*L3791</f>
        <v>1</v>
      </c>
      <c r="M3849" s="48" t="n">
        <f aca="false">Assumptions!$D$97*M3791</f>
        <v>1</v>
      </c>
      <c r="N3849" s="48" t="n">
        <f aca="false">Assumptions!$D$97*N3791</f>
        <v>1</v>
      </c>
      <c r="P3849" s="49" t="n">
        <f aca="false">AVERAGE(C3849:F3849)</f>
        <v>1</v>
      </c>
      <c r="Q3849" s="49" t="n">
        <f aca="false">AVERAGE(G3849:J3849)</f>
        <v>1</v>
      </c>
      <c r="R3849" s="49" t="n">
        <f aca="false">AVERAGE(K3849:N3849)</f>
        <v>1</v>
      </c>
      <c r="S3849" s="50"/>
    </row>
    <row r="3850" customFormat="false" ht="15" hidden="false" customHeight="false" outlineLevel="0" collapsed="false">
      <c r="A3850" s="4" t="s">
        <v>549</v>
      </c>
      <c r="B3850" s="36" t="s">
        <v>321</v>
      </c>
      <c r="C3850" s="48" t="n">
        <f aca="false">C3804*C3791</f>
        <v>0</v>
      </c>
      <c r="D3850" s="48" t="n">
        <f aca="false">D3804*D3791</f>
        <v>0</v>
      </c>
      <c r="E3850" s="48" t="n">
        <f aca="false">E3804*E3791</f>
        <v>0</v>
      </c>
      <c r="F3850" s="48" t="n">
        <f aca="false">F3804*F3791</f>
        <v>0</v>
      </c>
      <c r="G3850" s="48" t="n">
        <f aca="false">G3804*G3791</f>
        <v>0</v>
      </c>
      <c r="H3850" s="48" t="n">
        <f aca="false">H3804*H3791</f>
        <v>0</v>
      </c>
      <c r="I3850" s="48" t="n">
        <f aca="false">I3804*I3791</f>
        <v>0</v>
      </c>
      <c r="J3850" s="48" t="n">
        <f aca="false">J3804*J3791</f>
        <v>0</v>
      </c>
      <c r="K3850" s="48" t="n">
        <f aca="false">K3804*K3791</f>
        <v>0</v>
      </c>
      <c r="L3850" s="48" t="n">
        <f aca="false">L3804*L3791</f>
        <v>0</v>
      </c>
      <c r="M3850" s="48" t="n">
        <f aca="false">M3804*M3791</f>
        <v>0</v>
      </c>
      <c r="N3850" s="48" t="n">
        <f aca="false">N3804*N3791</f>
        <v>0</v>
      </c>
      <c r="P3850" s="49" t="n">
        <f aca="false">AVERAGE(C3850:F3850)</f>
        <v>0</v>
      </c>
      <c r="Q3850" s="49" t="n">
        <f aca="false">AVERAGE(G3850:J3850)</f>
        <v>0</v>
      </c>
      <c r="R3850" s="49" t="n">
        <f aca="false">AVERAGE(K3850:N3850)</f>
        <v>0</v>
      </c>
      <c r="S3850" s="50"/>
    </row>
    <row r="3851" customFormat="false" ht="15" hidden="false" customHeight="false" outlineLevel="0" collapsed="false">
      <c r="A3851" s="4" t="s">
        <v>550</v>
      </c>
      <c r="B3851" s="36" t="s">
        <v>321</v>
      </c>
      <c r="C3851" s="48" t="n">
        <f aca="false">IF(C3790&lt;=4,Assumptions!$D$98,Assumptions!$D$99)*C3791</f>
        <v>0</v>
      </c>
      <c r="D3851" s="48" t="n">
        <f aca="false">IF(D3790&lt;=4,Assumptions!$D$98,Assumptions!$D$99)*D3791</f>
        <v>0</v>
      </c>
      <c r="E3851" s="48" t="n">
        <f aca="false">IF(E3790&lt;=4,Assumptions!$D$98,Assumptions!$D$99)*E3791</f>
        <v>0</v>
      </c>
      <c r="F3851" s="48" t="n">
        <f aca="false">IF(F3790&lt;=4,Assumptions!$D$98,Assumptions!$D$99)*F3791</f>
        <v>0</v>
      </c>
      <c r="G3851" s="48" t="n">
        <f aca="false">IF(G3790&lt;=4,Assumptions!$D$98,Assumptions!$D$99)*G3791</f>
        <v>0.5</v>
      </c>
      <c r="H3851" s="48" t="n">
        <f aca="false">IF(H3790&lt;=4,Assumptions!$D$98,Assumptions!$D$99)*H3791</f>
        <v>0.5</v>
      </c>
      <c r="I3851" s="48" t="n">
        <f aca="false">IF(I3790&lt;=4,Assumptions!$D$98,Assumptions!$D$99)*I3791</f>
        <v>0.5</v>
      </c>
      <c r="J3851" s="48" t="n">
        <f aca="false">IF(J3790&lt;=4,Assumptions!$D$98,Assumptions!$D$99)*J3791</f>
        <v>0.5</v>
      </c>
      <c r="K3851" s="48" t="n">
        <f aca="false">IF(K3790&lt;=4,Assumptions!$D$98,Assumptions!$D$99)*K3791</f>
        <v>0.5</v>
      </c>
      <c r="L3851" s="48" t="n">
        <f aca="false">IF(L3790&lt;=4,Assumptions!$D$98,Assumptions!$D$99)*L3791</f>
        <v>0.5</v>
      </c>
      <c r="M3851" s="48" t="n">
        <f aca="false">IF(M3790&lt;=4,Assumptions!$D$98,Assumptions!$D$99)*M3791</f>
        <v>0.5</v>
      </c>
      <c r="N3851" s="48" t="n">
        <f aca="false">IF(N3790&lt;=4,Assumptions!$D$98,Assumptions!$D$99)*N3791</f>
        <v>0.5</v>
      </c>
      <c r="P3851" s="49" t="n">
        <f aca="false">AVERAGE(C3851:F3851)</f>
        <v>0</v>
      </c>
      <c r="Q3851" s="49" t="n">
        <f aca="false">AVERAGE(G3851:J3851)</f>
        <v>0.5</v>
      </c>
      <c r="R3851" s="49" t="n">
        <f aca="false">AVERAGE(K3851:N3851)</f>
        <v>0.5</v>
      </c>
      <c r="S3851" s="50"/>
    </row>
    <row r="3852" customFormat="false" ht="15" hidden="false" customHeight="false" outlineLevel="0" collapsed="false">
      <c r="A3852" s="4" t="s">
        <v>551</v>
      </c>
      <c r="B3852" s="36" t="s">
        <v>321</v>
      </c>
      <c r="C3852" s="48" t="n">
        <f aca="false">IF(C3790&lt;=4,Assumptions!$D$100,Assumptions!$D$101)*C3791</f>
        <v>1</v>
      </c>
      <c r="D3852" s="48" t="n">
        <f aca="false">IF(D3790&lt;=4,Assumptions!$D$100,Assumptions!$D$101)*D3791</f>
        <v>1</v>
      </c>
      <c r="E3852" s="48" t="n">
        <f aca="false">IF(E3790&lt;=4,Assumptions!$D$100,Assumptions!$D$101)*E3791</f>
        <v>1</v>
      </c>
      <c r="F3852" s="48" t="n">
        <f aca="false">IF(F3790&lt;=4,Assumptions!$D$100,Assumptions!$D$101)*F3791</f>
        <v>1</v>
      </c>
      <c r="G3852" s="48" t="n">
        <f aca="false">IF(G3790&lt;=4,Assumptions!$D$100,Assumptions!$D$101)*G3791</f>
        <v>0.5</v>
      </c>
      <c r="H3852" s="48" t="n">
        <f aca="false">IF(H3790&lt;=4,Assumptions!$D$100,Assumptions!$D$101)*H3791</f>
        <v>0.5</v>
      </c>
      <c r="I3852" s="48" t="n">
        <f aca="false">IF(I3790&lt;=4,Assumptions!$D$100,Assumptions!$D$101)*I3791</f>
        <v>0.5</v>
      </c>
      <c r="J3852" s="48" t="n">
        <f aca="false">IF(J3790&lt;=4,Assumptions!$D$100,Assumptions!$D$101)*J3791</f>
        <v>0.5</v>
      </c>
      <c r="K3852" s="48" t="n">
        <f aca="false">IF(K3790&lt;=4,Assumptions!$D$100,Assumptions!$D$101)*K3791</f>
        <v>0.5</v>
      </c>
      <c r="L3852" s="48" t="n">
        <f aca="false">IF(L3790&lt;=4,Assumptions!$D$100,Assumptions!$D$101)*L3791</f>
        <v>0.5</v>
      </c>
      <c r="M3852" s="48" t="n">
        <f aca="false">IF(M3790&lt;=4,Assumptions!$D$100,Assumptions!$D$101)*M3791</f>
        <v>0.5</v>
      </c>
      <c r="N3852" s="48" t="n">
        <f aca="false">IF(N3790&lt;=4,Assumptions!$D$100,Assumptions!$D$101)*N3791</f>
        <v>0.5</v>
      </c>
      <c r="P3852" s="49" t="n">
        <f aca="false">AVERAGE(C3852:F3852)</f>
        <v>1</v>
      </c>
      <c r="Q3852" s="49" t="n">
        <f aca="false">AVERAGE(G3852:J3852)</f>
        <v>0.5</v>
      </c>
      <c r="R3852" s="49" t="n">
        <f aca="false">AVERAGE(K3852:N3852)</f>
        <v>0.5</v>
      </c>
      <c r="S3852" s="50"/>
    </row>
    <row r="3853" customFormat="false" ht="15" hidden="false" customHeight="false" outlineLevel="0" collapsed="false">
      <c r="A3853" s="4" t="s">
        <v>552</v>
      </c>
      <c r="B3853" s="36" t="s">
        <v>321</v>
      </c>
      <c r="C3853" s="48" t="n">
        <f aca="false">Assumptions!$D$102*C3791</f>
        <v>0.25</v>
      </c>
      <c r="D3853" s="48" t="n">
        <f aca="false">Assumptions!$D$102*D3791</f>
        <v>0.25</v>
      </c>
      <c r="E3853" s="48" t="n">
        <f aca="false">Assumptions!$D$102*E3791</f>
        <v>0.25</v>
      </c>
      <c r="F3853" s="48" t="n">
        <f aca="false">Assumptions!$D$102*F3791</f>
        <v>0.25</v>
      </c>
      <c r="G3853" s="48" t="n">
        <f aca="false">Assumptions!$D$102*G3791</f>
        <v>0.25</v>
      </c>
      <c r="H3853" s="48" t="n">
        <f aca="false">Assumptions!$D$102*H3791</f>
        <v>0.25</v>
      </c>
      <c r="I3853" s="48" t="n">
        <f aca="false">Assumptions!$D$102*I3791</f>
        <v>0.25</v>
      </c>
      <c r="J3853" s="48" t="n">
        <f aca="false">Assumptions!$D$102*J3791</f>
        <v>0.25</v>
      </c>
      <c r="K3853" s="48" t="n">
        <f aca="false">Assumptions!$D$102*K3791</f>
        <v>0.25</v>
      </c>
      <c r="L3853" s="48" t="n">
        <f aca="false">Assumptions!$D$102*L3791</f>
        <v>0.25</v>
      </c>
      <c r="M3853" s="48" t="n">
        <f aca="false">Assumptions!$D$102*M3791</f>
        <v>0.25</v>
      </c>
      <c r="N3853" s="48" t="n">
        <f aca="false">Assumptions!$D$102*N3791</f>
        <v>0.25</v>
      </c>
      <c r="P3853" s="49" t="n">
        <f aca="false">AVERAGE(C3853:F3853)</f>
        <v>0.25</v>
      </c>
      <c r="Q3853" s="49" t="n">
        <f aca="false">AVERAGE(G3853:J3853)</f>
        <v>0.25</v>
      </c>
      <c r="R3853" s="49" t="n">
        <f aca="false">AVERAGE(K3853:N3853)</f>
        <v>0.25</v>
      </c>
      <c r="S3853" s="50"/>
    </row>
    <row r="3854" customFormat="false" ht="15" hidden="false" customHeight="false" outlineLevel="0" collapsed="false">
      <c r="A3854" s="4" t="s">
        <v>553</v>
      </c>
      <c r="B3854" s="36" t="s">
        <v>321</v>
      </c>
      <c r="C3854" s="48" t="n">
        <f aca="false">(C3838+C3839)/Assumptions!$E$74+C3837/Assumptions!$E$75</f>
        <v>0</v>
      </c>
      <c r="D3854" s="48" t="n">
        <f aca="false">(D3838+D3839)/Assumptions!$E$74+D3837/Assumptions!$E$75</f>
        <v>0.0143176301374139</v>
      </c>
      <c r="E3854" s="48" t="n">
        <f aca="false">(E3838+E3839)/Assumptions!$E$74+E3837/Assumptions!$E$75</f>
        <v>0.0405934527827934</v>
      </c>
      <c r="F3854" s="48" t="n">
        <f aca="false">(F3838+F3839)/Assumptions!$E$74+F3837/Assumptions!$E$75</f>
        <v>0.0703225306887897</v>
      </c>
      <c r="G3854" s="48" t="n">
        <f aca="false">(G3838+G3839)/Assumptions!$E$74+G3837/Assumptions!$E$75</f>
        <v>0.102475660027209</v>
      </c>
      <c r="H3854" s="48" t="n">
        <f aca="false">(H3838+H3839)/Assumptions!$E$74+H3837/Assumptions!$E$75</f>
        <v>0.142302180381011</v>
      </c>
      <c r="I3854" s="48" t="n">
        <f aca="false">(I3838+I3839)/Assumptions!$E$74+I3837/Assumptions!$E$75</f>
        <v>0.189625085145317</v>
      </c>
      <c r="J3854" s="48" t="n">
        <f aca="false">(J3838+J3839)/Assumptions!$E$74+J3837/Assumptions!$E$75</f>
        <v>0.255347988065069</v>
      </c>
      <c r="K3854" s="48" t="n">
        <f aca="false">(K3838+K3839)/Assumptions!$E$74+K3837/Assumptions!$E$75</f>
        <v>0.339160035337906</v>
      </c>
      <c r="L3854" s="48" t="n">
        <f aca="false">(L3838+L3839)/Assumptions!$E$74+L3837/Assumptions!$E$75</f>
        <v>0.423924370530013</v>
      </c>
      <c r="M3854" s="48" t="n">
        <f aca="false">(M3838+M3839)/Assumptions!$E$74+M3837/Assumptions!$E$75</f>
        <v>0.505033129741299</v>
      </c>
      <c r="N3854" s="48" t="n">
        <f aca="false">(N3838+N3839)/Assumptions!$E$74+N3837/Assumptions!$E$75</f>
        <v>0.582334591609583</v>
      </c>
      <c r="P3854" s="49" t="n">
        <f aca="false">AVERAGE(C3854:F3854)</f>
        <v>0.0313084034022493</v>
      </c>
      <c r="Q3854" s="49" t="n">
        <f aca="false">AVERAGE(G3854:J3854)</f>
        <v>0.172437728404652</v>
      </c>
      <c r="R3854" s="49" t="n">
        <f aca="false">AVERAGE(K3854:N3854)</f>
        <v>0.4626130318047</v>
      </c>
      <c r="S3854" s="50"/>
    </row>
    <row r="3855" customFormat="false" ht="15" hidden="false" customHeight="false" outlineLevel="0" collapsed="false">
      <c r="A3855" s="4" t="s">
        <v>554</v>
      </c>
      <c r="B3855" s="36" t="s">
        <v>125</v>
      </c>
      <c r="C3855" s="54" t="n">
        <f aca="false">(C3849+C3851)*Assumptions!$E$70/Assumptions!$E$69/4</f>
        <v>66753.5714285714</v>
      </c>
      <c r="D3855" s="54" t="n">
        <f aca="false">(D3849+D3851)*Assumptions!$E$70/Assumptions!$E$69/4</f>
        <v>66753.5714285714</v>
      </c>
      <c r="E3855" s="54" t="n">
        <f aca="false">(E3849+E3851)*Assumptions!$E$70/Assumptions!$E$69/4</f>
        <v>66753.5714285714</v>
      </c>
      <c r="F3855" s="54" t="n">
        <f aca="false">(F3849+F3851)*Assumptions!$E$70/Assumptions!$E$69/4</f>
        <v>66753.5714285714</v>
      </c>
      <c r="G3855" s="54" t="n">
        <f aca="false">(G3849+G3851)*Assumptions!$E$70/Assumptions!$E$69/4</f>
        <v>100130.357142857</v>
      </c>
      <c r="H3855" s="54" t="n">
        <f aca="false">(H3849+H3851)*Assumptions!$E$70/Assumptions!$E$69/4</f>
        <v>100130.357142857</v>
      </c>
      <c r="I3855" s="54" t="n">
        <f aca="false">(I3849+I3851)*Assumptions!$E$70/Assumptions!$E$69/4</f>
        <v>100130.357142857</v>
      </c>
      <c r="J3855" s="54" t="n">
        <f aca="false">(J3849+J3851)*Assumptions!$E$70/Assumptions!$E$69/4</f>
        <v>100130.357142857</v>
      </c>
      <c r="K3855" s="54" t="n">
        <f aca="false">(K3849+K3851)*Assumptions!$E$70/Assumptions!$E$69/4</f>
        <v>100130.357142857</v>
      </c>
      <c r="L3855" s="54" t="n">
        <f aca="false">(L3849+L3851)*Assumptions!$E$70/Assumptions!$E$69/4</f>
        <v>100130.357142857</v>
      </c>
      <c r="M3855" s="54" t="n">
        <f aca="false">(M3849+M3851)*Assumptions!$E$70/Assumptions!$E$69/4</f>
        <v>100130.357142857</v>
      </c>
      <c r="N3855" s="54" t="n">
        <f aca="false">(N3849+N3851)*Assumptions!$E$70/Assumptions!$E$69/4</f>
        <v>100130.357142857</v>
      </c>
      <c r="P3855" s="55" t="n">
        <f aca="false">SUM(C3855:F3855)</f>
        <v>267014.285714286</v>
      </c>
      <c r="Q3855" s="55" t="n">
        <f aca="false">SUM(G3855:J3855)</f>
        <v>400521.428571429</v>
      </c>
      <c r="R3855" s="55" t="n">
        <f aca="false">SUM(K3855:N3855)</f>
        <v>400521.428571429</v>
      </c>
      <c r="S3855" s="56" t="n">
        <f aca="false">SUM(P3855:R3855)</f>
        <v>1068057.14285714</v>
      </c>
    </row>
    <row r="3856" customFormat="false" ht="15" hidden="false" customHeight="false" outlineLevel="0" collapsed="false">
      <c r="A3856" s="4" t="s">
        <v>555</v>
      </c>
      <c r="B3856" s="36" t="s">
        <v>125</v>
      </c>
      <c r="C3856" s="54" t="n">
        <f aca="false">C3850*$C$3785/4</f>
        <v>0</v>
      </c>
      <c r="D3856" s="54" t="n">
        <f aca="false">D3850*$C$3785/4</f>
        <v>0</v>
      </c>
      <c r="E3856" s="54" t="n">
        <f aca="false">E3850*$C$3785/4</f>
        <v>0</v>
      </c>
      <c r="F3856" s="54" t="n">
        <f aca="false">F3850*$C$3785/4</f>
        <v>0</v>
      </c>
      <c r="G3856" s="54" t="n">
        <f aca="false">G3850*$C$3785/4</f>
        <v>0</v>
      </c>
      <c r="H3856" s="54" t="n">
        <f aca="false">H3850*$C$3785/4</f>
        <v>0</v>
      </c>
      <c r="I3856" s="54" t="n">
        <f aca="false">I3850*$C$3785/4</f>
        <v>0</v>
      </c>
      <c r="J3856" s="54" t="n">
        <f aca="false">J3850*$C$3785/4</f>
        <v>0</v>
      </c>
      <c r="K3856" s="54" t="n">
        <f aca="false">K3850*$C$3785/4</f>
        <v>0</v>
      </c>
      <c r="L3856" s="54" t="n">
        <f aca="false">L3850*$C$3785/4</f>
        <v>0</v>
      </c>
      <c r="M3856" s="54" t="n">
        <f aca="false">M3850*$C$3785/4</f>
        <v>0</v>
      </c>
      <c r="N3856" s="54" t="n">
        <f aca="false">N3850*$C$3785/4</f>
        <v>0</v>
      </c>
      <c r="P3856" s="55" t="n">
        <f aca="false">SUM(C3856:F3856)</f>
        <v>0</v>
      </c>
      <c r="Q3856" s="55" t="n">
        <f aca="false">SUM(G3856:J3856)</f>
        <v>0</v>
      </c>
      <c r="R3856" s="55" t="n">
        <f aca="false">SUM(K3856:N3856)</f>
        <v>0</v>
      </c>
      <c r="S3856" s="56" t="n">
        <f aca="false">SUM(P3856:R3856)</f>
        <v>0</v>
      </c>
    </row>
    <row r="3857" customFormat="false" ht="15" hidden="false" customHeight="false" outlineLevel="0" collapsed="false">
      <c r="A3857" s="4" t="s">
        <v>556</v>
      </c>
      <c r="B3857" s="36" t="s">
        <v>125</v>
      </c>
      <c r="C3857" s="54" t="n">
        <f aca="false">MAX(0,(C3845-C3826*$C$3781)-C3805*$C$3786)*$C$3787*Assumptions!$D$105</f>
        <v>0</v>
      </c>
      <c r="D3857" s="54" t="n">
        <f aca="false">MAX(0,(D3845-D3826*$C$3781)-D3805*$C$3786)*$C$3787*Assumptions!$D$105</f>
        <v>3491.72206180778</v>
      </c>
      <c r="E3857" s="54" t="n">
        <f aca="false">MAX(0,(E3845-E3826*$C$3781)-E3805*$C$3786)*$C$3787*Assumptions!$D$105</f>
        <v>8122.86955443299</v>
      </c>
      <c r="F3857" s="54" t="n">
        <f aca="false">MAX(0,(F3845-F3826*$C$3781)-F3805*$C$3786)*$C$3787*Assumptions!$D$105</f>
        <v>10332.4268089593</v>
      </c>
      <c r="G3857" s="54" t="n">
        <f aca="false">MAX(0,(G3845-G3826*$C$3781)-G3805*$C$3786)*$C$3787*Assumptions!$D$105</f>
        <v>11438.2737761769</v>
      </c>
      <c r="H3857" s="54" t="n">
        <f aca="false">MAX(0,(H3845-H3826*$C$3781)-H3805*$C$3786)*$C$3787*Assumptions!$D$105</f>
        <v>13878.2164976745</v>
      </c>
      <c r="I3857" s="54" t="n">
        <f aca="false">MAX(0,(I3845-I3826*$C$3781)-I3805*$C$3786)*$C$3787*Assumptions!$D$105</f>
        <v>16620.134211554</v>
      </c>
      <c r="J3857" s="54" t="n">
        <f aca="false">MAX(0,(J3845-J3826*$C$3781)-J3805*$C$3786)*$C$3787*Assumptions!$D$105</f>
        <v>22250.8582276328</v>
      </c>
      <c r="K3857" s="54" t="n">
        <f aca="false">MAX(0,(K3845-K3826*$C$3781)-K3805*$C$3786)*$C$3787*Assumptions!$D$105</f>
        <v>28804.4933664826</v>
      </c>
      <c r="L3857" s="54" t="n">
        <f aca="false">MAX(0,(L3845-L3826*$C$3781)-L3805*$C$3786)*$C$3787*Assumptions!$D$105</f>
        <v>31097.2213216126</v>
      </c>
      <c r="M3857" s="54" t="n">
        <f aca="false">MAX(0,(M3845-M3826*$C$3781)-M3805*$C$3786)*$C$3787*Assumptions!$D$105</f>
        <v>30893.8809865748</v>
      </c>
      <c r="N3857" s="54" t="n">
        <f aca="false">MAX(0,(N3845-N3826*$C$3781)-N3805*$C$3786)*$C$3787*Assumptions!$D$105</f>
        <v>30344.1361822566</v>
      </c>
      <c r="P3857" s="55" t="n">
        <f aca="false">SUM(C3857:F3857)</f>
        <v>21947.0184252</v>
      </c>
      <c r="Q3857" s="55" t="n">
        <f aca="false">SUM(G3857:J3857)</f>
        <v>64187.4827130382</v>
      </c>
      <c r="R3857" s="55" t="n">
        <f aca="false">SUM(K3857:N3857)</f>
        <v>121139.731856927</v>
      </c>
      <c r="S3857" s="56" t="n">
        <f aca="false">SUM(P3857:R3857)</f>
        <v>207274.232995165</v>
      </c>
    </row>
    <row r="3858" customFormat="false" ht="15" hidden="false" customHeight="false" outlineLevel="0" collapsed="false">
      <c r="A3858" s="4" t="s">
        <v>557</v>
      </c>
      <c r="B3858" s="36" t="s">
        <v>125</v>
      </c>
      <c r="C3858" s="54" t="n">
        <f aca="false">C3853*Assumptions!$E$71/Assumptions!$E$69/4</f>
        <v>18475.8928571429</v>
      </c>
      <c r="D3858" s="54" t="n">
        <f aca="false">D3853*Assumptions!$E$71/Assumptions!$E$69/4</f>
        <v>18475.8928571429</v>
      </c>
      <c r="E3858" s="54" t="n">
        <f aca="false">E3853*Assumptions!$E$71/Assumptions!$E$69/4</f>
        <v>18475.8928571429</v>
      </c>
      <c r="F3858" s="54" t="n">
        <f aca="false">F3853*Assumptions!$E$71/Assumptions!$E$69/4</f>
        <v>18475.8928571429</v>
      </c>
      <c r="G3858" s="54" t="n">
        <f aca="false">G3853*Assumptions!$E$71/Assumptions!$E$69/4</f>
        <v>18475.8928571429</v>
      </c>
      <c r="H3858" s="54" t="n">
        <f aca="false">H3853*Assumptions!$E$71/Assumptions!$E$69/4</f>
        <v>18475.8928571429</v>
      </c>
      <c r="I3858" s="54" t="n">
        <f aca="false">I3853*Assumptions!$E$71/Assumptions!$E$69/4</f>
        <v>18475.8928571429</v>
      </c>
      <c r="J3858" s="54" t="n">
        <f aca="false">J3853*Assumptions!$E$71/Assumptions!$E$69/4</f>
        <v>18475.8928571429</v>
      </c>
      <c r="K3858" s="54" t="n">
        <f aca="false">K3853*Assumptions!$E$71/Assumptions!$E$69/4</f>
        <v>18475.8928571429</v>
      </c>
      <c r="L3858" s="54" t="n">
        <f aca="false">L3853*Assumptions!$E$71/Assumptions!$E$69/4</f>
        <v>18475.8928571429</v>
      </c>
      <c r="M3858" s="54" t="n">
        <f aca="false">M3853*Assumptions!$E$71/Assumptions!$E$69/4</f>
        <v>18475.8928571429</v>
      </c>
      <c r="N3858" s="54" t="n">
        <f aca="false">N3853*Assumptions!$E$71/Assumptions!$E$69/4</f>
        <v>18475.8928571429</v>
      </c>
      <c r="P3858" s="55" t="n">
        <f aca="false">SUM(C3858:F3858)</f>
        <v>73903.5714285714</v>
      </c>
      <c r="Q3858" s="55" t="n">
        <f aca="false">SUM(G3858:J3858)</f>
        <v>73903.5714285714</v>
      </c>
      <c r="R3858" s="55" t="n">
        <f aca="false">SUM(K3858:N3858)</f>
        <v>73903.5714285714</v>
      </c>
      <c r="S3858" s="56" t="n">
        <f aca="false">SUM(P3858:R3858)</f>
        <v>221710.714285714</v>
      </c>
    </row>
    <row r="3859" customFormat="false" ht="15" hidden="false" customHeight="false" outlineLevel="0" collapsed="false">
      <c r="A3859" s="4" t="s">
        <v>558</v>
      </c>
      <c r="B3859" s="36" t="s">
        <v>125</v>
      </c>
      <c r="C3859" s="54" t="n">
        <f aca="false">(Assumptions!$D$103+Assumptions!$E$77*((C3790=Assumptions!$E$13)+(C3790=Assumptions!$E$14)+(C3790=Assumptions!$E$15)))*C3791</f>
        <v>65000</v>
      </c>
      <c r="D3859" s="54" t="n">
        <f aca="false">(Assumptions!$D$103+Assumptions!$E$77*((D3790=Assumptions!$E$13)+(D3790=Assumptions!$E$14)+(D3790=Assumptions!$E$15)))*D3791</f>
        <v>25000</v>
      </c>
      <c r="E3859" s="54" t="n">
        <f aca="false">(Assumptions!$D$103+Assumptions!$E$77*((E3790=Assumptions!$E$13)+(E3790=Assumptions!$E$14)+(E3790=Assumptions!$E$15)))*E3791</f>
        <v>25000</v>
      </c>
      <c r="F3859" s="54" t="n">
        <f aca="false">(Assumptions!$D$103+Assumptions!$E$77*((F3790=Assumptions!$E$13)+(F3790=Assumptions!$E$14)+(F3790=Assumptions!$E$15)))*F3791</f>
        <v>25000</v>
      </c>
      <c r="G3859" s="54" t="n">
        <f aca="false">(Assumptions!$D$103+Assumptions!$E$77*((G3790=Assumptions!$E$13)+(G3790=Assumptions!$E$14)+(G3790=Assumptions!$E$15)))*G3791</f>
        <v>65000</v>
      </c>
      <c r="H3859" s="54" t="n">
        <f aca="false">(Assumptions!$D$103+Assumptions!$E$77*((H3790=Assumptions!$E$13)+(H3790=Assumptions!$E$14)+(H3790=Assumptions!$E$15)))*H3791</f>
        <v>25000</v>
      </c>
      <c r="I3859" s="54" t="n">
        <f aca="false">(Assumptions!$D$103+Assumptions!$E$77*((I3790=Assumptions!$E$13)+(I3790=Assumptions!$E$14)+(I3790=Assumptions!$E$15)))*I3791</f>
        <v>65000</v>
      </c>
      <c r="J3859" s="54" t="n">
        <f aca="false">(Assumptions!$D$103+Assumptions!$E$77*((J3790=Assumptions!$E$13)+(J3790=Assumptions!$E$14)+(J3790=Assumptions!$E$15)))*J3791</f>
        <v>25000</v>
      </c>
      <c r="K3859" s="54" t="n">
        <f aca="false">(Assumptions!$D$103+Assumptions!$E$77*((K3790=Assumptions!$E$13)+(K3790=Assumptions!$E$14)+(K3790=Assumptions!$E$15)))*K3791</f>
        <v>25000</v>
      </c>
      <c r="L3859" s="54" t="n">
        <f aca="false">(Assumptions!$D$103+Assumptions!$E$77*((L3790=Assumptions!$E$13)+(L3790=Assumptions!$E$14)+(L3790=Assumptions!$E$15)))*L3791</f>
        <v>25000</v>
      </c>
      <c r="M3859" s="54" t="n">
        <f aca="false">(Assumptions!$D$103+Assumptions!$E$77*((M3790=Assumptions!$E$13)+(M3790=Assumptions!$E$14)+(M3790=Assumptions!$E$15)))*M3791</f>
        <v>25000</v>
      </c>
      <c r="N3859" s="54" t="n">
        <f aca="false">(Assumptions!$D$103+Assumptions!$E$77*((N3790=Assumptions!$E$13)+(N3790=Assumptions!$E$14)+(N3790=Assumptions!$E$15)))*N3791</f>
        <v>25000</v>
      </c>
      <c r="P3859" s="55" t="n">
        <f aca="false">SUM(C3859:F3859)</f>
        <v>140000</v>
      </c>
      <c r="Q3859" s="55" t="n">
        <f aca="false">SUM(G3859:J3859)</f>
        <v>180000</v>
      </c>
      <c r="R3859" s="55" t="n">
        <f aca="false">SUM(K3859:N3859)</f>
        <v>100000</v>
      </c>
      <c r="S3859" s="56" t="n">
        <f aca="false">SUM(P3859:R3859)</f>
        <v>420000</v>
      </c>
    </row>
    <row r="3860" customFormat="false" ht="15" hidden="false" customHeight="false" outlineLevel="0" collapsed="false">
      <c r="A3860" s="4" t="s">
        <v>559</v>
      </c>
      <c r="B3860" s="36" t="s">
        <v>125</v>
      </c>
      <c r="C3860" s="54" t="n">
        <f aca="false">C3845*C3825*Assumptions!$E$79</f>
        <v>0</v>
      </c>
      <c r="D3860" s="54" t="n">
        <f aca="false">D3845*D3825*Assumptions!$E$79</f>
        <v>815.338873355417</v>
      </c>
      <c r="E3860" s="54" t="n">
        <f aca="false">E3845*E3825*Assumptions!$E$79</f>
        <v>1572.06874974502</v>
      </c>
      <c r="F3860" s="54" t="n">
        <f aca="false">F3845*F3825*Assumptions!$E$79</f>
        <v>2356.63678671853</v>
      </c>
      <c r="G3860" s="54" t="n">
        <f aca="false">G3845*G3825*Assumptions!$E$79</f>
        <v>2954.9125522411</v>
      </c>
      <c r="H3860" s="54" t="n">
        <f aca="false">H3845*H3825*Assumptions!$E$79</f>
        <v>3402.13759854645</v>
      </c>
      <c r="I3860" s="54" t="n">
        <f aca="false">I3845*I3825*Assumptions!$E$79</f>
        <v>3946.30311464921</v>
      </c>
      <c r="J3860" s="54" t="n">
        <f aca="false">J3845*J3825*Assumptions!$E$79</f>
        <v>4244.83784799808</v>
      </c>
      <c r="K3860" s="54" t="n">
        <f aca="false">K3845*K3825*Assumptions!$E$79</f>
        <v>4797.69412119266</v>
      </c>
      <c r="L3860" s="54" t="n">
        <f aca="false">L3845*L3825*Assumptions!$E$79</f>
        <v>5609.95392147777</v>
      </c>
      <c r="M3860" s="54" t="n">
        <f aca="false">M3845*M3825*Assumptions!$E$79</f>
        <v>5667.92328331319</v>
      </c>
      <c r="N3860" s="54" t="n">
        <f aca="false">N3845*N3825*Assumptions!$E$79</f>
        <v>5667.26660885576</v>
      </c>
      <c r="P3860" s="55" t="n">
        <f aca="false">SUM(C3860:F3860)</f>
        <v>4744.04440981897</v>
      </c>
      <c r="Q3860" s="55" t="n">
        <f aca="false">SUM(G3860:J3860)</f>
        <v>14548.1911134348</v>
      </c>
      <c r="R3860" s="55" t="n">
        <f aca="false">SUM(K3860:N3860)</f>
        <v>21742.8379348394</v>
      </c>
      <c r="S3860" s="56" t="n">
        <f aca="false">SUM(P3860:R3860)</f>
        <v>41035.0734580932</v>
      </c>
    </row>
    <row r="3861" customFormat="false" ht="15" hidden="false" customHeight="false" outlineLevel="0" collapsed="false">
      <c r="A3861" s="4" t="s">
        <v>560</v>
      </c>
      <c r="B3861" s="36" t="s">
        <v>125</v>
      </c>
      <c r="C3861" s="54" t="n">
        <f aca="false">C3810*Assumptions!$E$80</f>
        <v>4000</v>
      </c>
      <c r="D3861" s="54" t="n">
        <f aca="false">D3810*Assumptions!$E$80</f>
        <v>6000</v>
      </c>
      <c r="E3861" s="54" t="n">
        <f aca="false">E3810*Assumptions!$E$80</f>
        <v>8000</v>
      </c>
      <c r="F3861" s="54" t="n">
        <f aca="false">F3810*Assumptions!$E$80</f>
        <v>10000</v>
      </c>
      <c r="G3861" s="54" t="n">
        <f aca="false">G3810*Assumptions!$E$80</f>
        <v>12000</v>
      </c>
      <c r="H3861" s="54" t="n">
        <f aca="false">H3810*Assumptions!$E$80</f>
        <v>14000</v>
      </c>
      <c r="I3861" s="54" t="n">
        <f aca="false">I3810*Assumptions!$E$80</f>
        <v>16000</v>
      </c>
      <c r="J3861" s="54" t="n">
        <f aca="false">J3810*Assumptions!$E$80</f>
        <v>18000</v>
      </c>
      <c r="K3861" s="54" t="n">
        <f aca="false">K3810*Assumptions!$E$80</f>
        <v>20000</v>
      </c>
      <c r="L3861" s="54" t="n">
        <f aca="false">L3810*Assumptions!$E$80</f>
        <v>20000</v>
      </c>
      <c r="M3861" s="54" t="n">
        <f aca="false">M3810*Assumptions!$E$80</f>
        <v>20000</v>
      </c>
      <c r="N3861" s="54" t="n">
        <f aca="false">N3810*Assumptions!$E$80</f>
        <v>20000</v>
      </c>
      <c r="P3861" s="55" t="n">
        <f aca="false">SUM(C3861:F3861)</f>
        <v>28000</v>
      </c>
      <c r="Q3861" s="55" t="n">
        <f aca="false">SUM(G3861:J3861)</f>
        <v>60000</v>
      </c>
      <c r="R3861" s="55" t="n">
        <f aca="false">SUM(K3861:N3861)</f>
        <v>80000</v>
      </c>
      <c r="S3861" s="56" t="n">
        <f aca="false">SUM(P3861:R3861)</f>
        <v>168000</v>
      </c>
    </row>
    <row r="3862" customFormat="false" ht="15" hidden="false" customHeight="false" outlineLevel="0" collapsed="false">
      <c r="A3862" s="4" t="s">
        <v>561</v>
      </c>
      <c r="B3862" s="36" t="s">
        <v>125</v>
      </c>
      <c r="C3862" s="54" t="n">
        <f aca="false">(C3833*$C$3782+C3834*$C$3783)*Assumptions!$E$81</f>
        <v>0</v>
      </c>
      <c r="D3862" s="54" t="n">
        <f aca="false">(D3833*$C$3782+D3834*$C$3783)*Assumptions!$E$81</f>
        <v>635.937968364564</v>
      </c>
      <c r="E3862" s="54" t="n">
        <f aca="false">(E3833*$C$3782+E3834*$C$3783)*Assumptions!$E$81</f>
        <v>1765.79791168549</v>
      </c>
      <c r="F3862" s="54" t="n">
        <f aca="false">(F3833*$C$3782+F3834*$C$3783)*Assumptions!$E$81</f>
        <v>2379.60303610726</v>
      </c>
      <c r="G3862" s="54" t="n">
        <f aca="false">(G3833*$C$3782+G3834*$C$3783)*Assumptions!$E$81</f>
        <v>2637.89523120748</v>
      </c>
      <c r="H3862" s="54" t="n">
        <f aca="false">(H3833*$C$3782+H3834*$C$3783)*Assumptions!$E$81</f>
        <v>3124.56471564387</v>
      </c>
      <c r="I3862" s="54" t="n">
        <f aca="false">(I3833*$C$3782+I3834*$C$3783)*Assumptions!$E$81</f>
        <v>3720.0611194605</v>
      </c>
      <c r="J3862" s="54" t="n">
        <f aca="false">(J3833*$C$3782+J3834*$C$3783)*Assumptions!$E$81</f>
        <v>4762.3716851955</v>
      </c>
      <c r="K3862" s="54" t="n">
        <f aca="false">(K3833*$C$3782+K3834*$C$3783)*Assumptions!$E$81</f>
        <v>6146.51071892294</v>
      </c>
      <c r="L3862" s="54" t="n">
        <f aca="false">(L3833*$C$3782+L3834*$C$3783)*Assumptions!$E$81</f>
        <v>6825.92999581829</v>
      </c>
      <c r="M3862" s="54" t="n">
        <f aca="false">(M3833*$C$3782+M3834*$C$3783)*Assumptions!$E$81</f>
        <v>6817.87961615766</v>
      </c>
      <c r="N3862" s="54" t="n">
        <f aca="false">(N3833*$C$3782+N3834*$C$3783)*Assumptions!$E$81</f>
        <v>6696.15568313471</v>
      </c>
      <c r="P3862" s="55" t="n">
        <f aca="false">SUM(C3862:F3862)</f>
        <v>4781.33891615731</v>
      </c>
      <c r="Q3862" s="55" t="n">
        <f aca="false">SUM(G3862:J3862)</f>
        <v>14244.8927515073</v>
      </c>
      <c r="R3862" s="55" t="n">
        <f aca="false">SUM(K3862:N3862)</f>
        <v>26486.4760140336</v>
      </c>
      <c r="S3862" s="56" t="n">
        <f aca="false">SUM(P3862:R3862)</f>
        <v>45512.7076816983</v>
      </c>
    </row>
    <row r="3863" customFormat="false" ht="15" hidden="false" customHeight="false" outlineLevel="0" collapsed="false">
      <c r="A3863" s="9" t="s">
        <v>562</v>
      </c>
      <c r="B3863" s="36" t="s">
        <v>125</v>
      </c>
      <c r="C3863" s="55" t="n">
        <f aca="false">C3855+C3856+C3857+C3858+C3859+C3860+C3861+C3862</f>
        <v>154229.464285714</v>
      </c>
      <c r="D3863" s="55" t="n">
        <f aca="false">D3855+D3856+D3857+D3858+D3859+D3860+D3861+D3862</f>
        <v>121172.463189242</v>
      </c>
      <c r="E3863" s="55" t="n">
        <f aca="false">E3855+E3856+E3857+E3858+E3859+E3860+E3861+E3862</f>
        <v>129690.200501578</v>
      </c>
      <c r="F3863" s="55" t="n">
        <f aca="false">F3855+F3856+F3857+F3858+F3859+F3860+F3861+F3862</f>
        <v>135298.130917499</v>
      </c>
      <c r="G3863" s="55" t="n">
        <f aca="false">G3855+G3856+G3857+G3858+G3859+G3860+G3861+G3862</f>
        <v>212637.331559625</v>
      </c>
      <c r="H3863" s="55" t="n">
        <f aca="false">H3855+H3856+H3857+H3858+H3859+H3860+H3861+H3862</f>
        <v>178011.168811865</v>
      </c>
      <c r="I3863" s="55" t="n">
        <f aca="false">I3855+I3856+I3857+I3858+I3859+I3860+I3861+I3862</f>
        <v>223892.748445664</v>
      </c>
      <c r="J3863" s="55" t="n">
        <f aca="false">J3855+J3856+J3857+J3858+J3859+J3860+J3861+J3862</f>
        <v>192864.317760826</v>
      </c>
      <c r="K3863" s="55" t="n">
        <f aca="false">K3855+K3856+K3857+K3858+K3859+K3860+K3861+K3862</f>
        <v>203354.948206598</v>
      </c>
      <c r="L3863" s="55" t="n">
        <f aca="false">L3855+L3856+L3857+L3858+L3859+L3860+L3861+L3862</f>
        <v>207139.355238909</v>
      </c>
      <c r="M3863" s="55" t="n">
        <f aca="false">M3855+M3856+M3857+M3858+M3859+M3860+M3861+M3862</f>
        <v>206985.933886046</v>
      </c>
      <c r="N3863" s="55" t="n">
        <f aca="false">N3855+N3856+N3857+N3858+N3859+N3860+N3861+N3862</f>
        <v>206313.808474247</v>
      </c>
      <c r="P3863" s="55" t="n">
        <f aca="false">SUM(C3863:F3863)</f>
        <v>540390.258894034</v>
      </c>
      <c r="Q3863" s="55" t="n">
        <f aca="false">SUM(G3863:J3863)</f>
        <v>807405.56657798</v>
      </c>
      <c r="R3863" s="55" t="n">
        <f aca="false">SUM(K3863:N3863)</f>
        <v>823794.0458058</v>
      </c>
      <c r="S3863" s="56" t="n">
        <f aca="false">SUM(P3863:R3863)</f>
        <v>2171589.87127781</v>
      </c>
    </row>
    <row r="3864" customFormat="false" ht="15" hidden="false" customHeight="false" outlineLevel="0" collapsed="false">
      <c r="A3864" s="4" t="s">
        <v>563</v>
      </c>
      <c r="B3864" s="36" t="s">
        <v>125</v>
      </c>
      <c r="C3864" s="54" t="n">
        <f aca="false">C3852*Assumptions!$E$72/Assumptions!$E$69/4</f>
        <v>56535.7142857143</v>
      </c>
      <c r="D3864" s="54" t="n">
        <f aca="false">D3852*Assumptions!$E$72/Assumptions!$E$69/4</f>
        <v>56535.7142857143</v>
      </c>
      <c r="E3864" s="54" t="n">
        <f aca="false">E3852*Assumptions!$E$72/Assumptions!$E$69/4</f>
        <v>56535.7142857143</v>
      </c>
      <c r="F3864" s="54" t="n">
        <f aca="false">F3852*Assumptions!$E$72/Assumptions!$E$69/4</f>
        <v>56535.7142857143</v>
      </c>
      <c r="G3864" s="54" t="n">
        <f aca="false">G3852*Assumptions!$E$72/Assumptions!$E$69/4</f>
        <v>28267.8571428571</v>
      </c>
      <c r="H3864" s="54" t="n">
        <f aca="false">H3852*Assumptions!$E$72/Assumptions!$E$69/4</f>
        <v>28267.8571428571</v>
      </c>
      <c r="I3864" s="54" t="n">
        <f aca="false">I3852*Assumptions!$E$72/Assumptions!$E$69/4</f>
        <v>28267.8571428571</v>
      </c>
      <c r="J3864" s="54" t="n">
        <f aca="false">J3852*Assumptions!$E$72/Assumptions!$E$69/4</f>
        <v>28267.8571428571</v>
      </c>
      <c r="K3864" s="54" t="n">
        <f aca="false">K3852*Assumptions!$E$72/Assumptions!$E$69/4</f>
        <v>28267.8571428571</v>
      </c>
      <c r="L3864" s="54" t="n">
        <f aca="false">L3852*Assumptions!$E$72/Assumptions!$E$69/4</f>
        <v>28267.8571428571</v>
      </c>
      <c r="M3864" s="54" t="n">
        <f aca="false">M3852*Assumptions!$E$72/Assumptions!$E$69/4</f>
        <v>28267.8571428571</v>
      </c>
      <c r="N3864" s="54" t="n">
        <f aca="false">N3852*Assumptions!$E$72/Assumptions!$E$69/4</f>
        <v>28267.8571428571</v>
      </c>
      <c r="P3864" s="55" t="n">
        <f aca="false">SUM(C3864:F3864)</f>
        <v>226142.857142857</v>
      </c>
      <c r="Q3864" s="55" t="n">
        <f aca="false">SUM(G3864:J3864)</f>
        <v>113071.428571429</v>
      </c>
      <c r="R3864" s="55" t="n">
        <f aca="false">SUM(K3864:N3864)</f>
        <v>113071.428571429</v>
      </c>
      <c r="S3864" s="56" t="n">
        <f aca="false">SUM(P3864:R3864)</f>
        <v>452285.714285714</v>
      </c>
    </row>
    <row r="3865" customFormat="false" ht="15" hidden="false" customHeight="false" outlineLevel="0" collapsed="false">
      <c r="A3865" s="4" t="s">
        <v>564</v>
      </c>
      <c r="B3865" s="36" t="s">
        <v>125</v>
      </c>
      <c r="C3865" s="54" t="n">
        <f aca="false">IF(C3790&lt;=Assumptions!$E$83,Assumptions!$E$82*Assumptions!$D$108/Assumptions!$E$83,0)</f>
        <v>62500</v>
      </c>
      <c r="D3865" s="54" t="n">
        <f aca="false">IF(D3790&lt;=Assumptions!$E$83,Assumptions!$E$82*Assumptions!$D$108/Assumptions!$E$83,0)</f>
        <v>62500</v>
      </c>
      <c r="E3865" s="54" t="n">
        <f aca="false">IF(E3790&lt;=Assumptions!$E$83,Assumptions!$E$82*Assumptions!$D$108/Assumptions!$E$83,0)</f>
        <v>62500</v>
      </c>
      <c r="F3865" s="54" t="n">
        <f aca="false">IF(F3790&lt;=Assumptions!$E$83,Assumptions!$E$82*Assumptions!$D$108/Assumptions!$E$83,0)</f>
        <v>62500</v>
      </c>
      <c r="G3865" s="54" t="n">
        <f aca="false">IF(G3790&lt;=Assumptions!$E$83,Assumptions!$E$82*Assumptions!$D$108/Assumptions!$E$83,0)</f>
        <v>0</v>
      </c>
      <c r="H3865" s="54" t="n">
        <f aca="false">IF(H3790&lt;=Assumptions!$E$83,Assumptions!$E$82*Assumptions!$D$108/Assumptions!$E$83,0)</f>
        <v>0</v>
      </c>
      <c r="I3865" s="54" t="n">
        <f aca="false">IF(I3790&lt;=Assumptions!$E$83,Assumptions!$E$82*Assumptions!$D$108/Assumptions!$E$83,0)</f>
        <v>0</v>
      </c>
      <c r="J3865" s="54" t="n">
        <f aca="false">IF(J3790&lt;=Assumptions!$E$83,Assumptions!$E$82*Assumptions!$D$108/Assumptions!$E$83,0)</f>
        <v>0</v>
      </c>
      <c r="K3865" s="54" t="n">
        <f aca="false">IF(K3790&lt;=Assumptions!$E$83,Assumptions!$E$82*Assumptions!$D$108/Assumptions!$E$83,0)</f>
        <v>0</v>
      </c>
      <c r="L3865" s="54" t="n">
        <f aca="false">IF(L3790&lt;=Assumptions!$E$83,Assumptions!$E$82*Assumptions!$D$108/Assumptions!$E$83,0)</f>
        <v>0</v>
      </c>
      <c r="M3865" s="54" t="n">
        <f aca="false">IF(M3790&lt;=Assumptions!$E$83,Assumptions!$E$82*Assumptions!$D$108/Assumptions!$E$83,0)</f>
        <v>0</v>
      </c>
      <c r="N3865" s="54" t="n">
        <f aca="false">IF(N3790&lt;=Assumptions!$E$83,Assumptions!$E$82*Assumptions!$D$108/Assumptions!$E$83,0)</f>
        <v>0</v>
      </c>
      <c r="P3865" s="55" t="n">
        <f aca="false">SUM(C3865:F3865)</f>
        <v>250000</v>
      </c>
      <c r="Q3865" s="55" t="n">
        <f aca="false">SUM(G3865:J3865)</f>
        <v>0</v>
      </c>
      <c r="R3865" s="55" t="n">
        <f aca="false">SUM(K3865:N3865)</f>
        <v>0</v>
      </c>
      <c r="S3865" s="56" t="n">
        <f aca="false">SUM(P3865:R3865)</f>
        <v>250000</v>
      </c>
    </row>
    <row r="3866" customFormat="false" ht="15" hidden="false" customHeight="false" outlineLevel="0" collapsed="false">
      <c r="A3866" s="4" t="s">
        <v>565</v>
      </c>
      <c r="B3866" s="36" t="s">
        <v>125</v>
      </c>
      <c r="C3866" s="54" t="n">
        <f aca="false">C3854*Assumptions!$E$73/Assumptions!$E$69/4</f>
        <v>0</v>
      </c>
      <c r="D3866" s="54" t="n">
        <f aca="false">D3854*Assumptions!$E$73/Assumptions!$E$69/4</f>
        <v>575.3130595573</v>
      </c>
      <c r="E3866" s="54" t="n">
        <f aca="false">E3854*Assumptions!$E$73/Assumptions!$E$69/4</f>
        <v>1631.13191878289</v>
      </c>
      <c r="F3866" s="54" t="n">
        <f aca="false">F3854*Assumptions!$E$73/Assumptions!$E$69/4</f>
        <v>2825.70997421276</v>
      </c>
      <c r="G3866" s="54" t="n">
        <f aca="false">G3854*Assumptions!$E$73/Assumptions!$E$69/4</f>
        <v>4117.69161059332</v>
      </c>
      <c r="H3866" s="54" t="n">
        <f aca="false">H3854*Assumptions!$E$73/Assumptions!$E$69/4</f>
        <v>5718.00654095269</v>
      </c>
      <c r="I3866" s="54" t="n">
        <f aca="false">I3854*Assumptions!$E$73/Assumptions!$E$69/4</f>
        <v>7619.54226060702</v>
      </c>
      <c r="J3866" s="54" t="n">
        <f aca="false">J3854*Assumptions!$E$73/Assumptions!$E$69/4</f>
        <v>10260.4293347146</v>
      </c>
      <c r="K3866" s="54" t="n">
        <f aca="false">K3854*Assumptions!$E$73/Assumptions!$E$69/4</f>
        <v>13628.1769913814</v>
      </c>
      <c r="L3866" s="54" t="n">
        <f aca="false">L3854*Assumptions!$E$73/Assumptions!$E$69/4</f>
        <v>17034.1896172613</v>
      </c>
      <c r="M3866" s="54" t="n">
        <f aca="false">M3854*Assumptions!$E$73/Assumptions!$E$69/4</f>
        <v>20293.3133668549</v>
      </c>
      <c r="N3866" s="54" t="n">
        <f aca="false">N3854*Assumptions!$E$73/Assumptions!$E$69/4</f>
        <v>23399.4517507122</v>
      </c>
      <c r="P3866" s="55" t="n">
        <f aca="false">SUM(C3866:F3866)</f>
        <v>5032.15495255295</v>
      </c>
      <c r="Q3866" s="55" t="n">
        <f aca="false">SUM(G3866:J3866)</f>
        <v>27715.6697468677</v>
      </c>
      <c r="R3866" s="55" t="n">
        <f aca="false">SUM(K3866:N3866)</f>
        <v>74355.1317262097</v>
      </c>
      <c r="S3866" s="56" t="n">
        <f aca="false">SUM(P3866:R3866)</f>
        <v>107102.95642563</v>
      </c>
    </row>
    <row r="3867" customFormat="false" ht="15" hidden="false" customHeight="false" outlineLevel="0" collapsed="false">
      <c r="A3867" s="9" t="s">
        <v>566</v>
      </c>
      <c r="B3867" s="36" t="s">
        <v>125</v>
      </c>
      <c r="C3867" s="55" t="n">
        <f aca="false">C3863+C3864+C3865+C3866</f>
        <v>273265.178571429</v>
      </c>
      <c r="D3867" s="55" t="n">
        <f aca="false">D3863+D3864+D3865+D3866</f>
        <v>240783.490534514</v>
      </c>
      <c r="E3867" s="55" t="n">
        <f aca="false">E3863+E3864+E3865+E3866</f>
        <v>250357.046706075</v>
      </c>
      <c r="F3867" s="55" t="n">
        <f aca="false">F3863+F3864+F3865+F3866</f>
        <v>257159.555177426</v>
      </c>
      <c r="G3867" s="55" t="n">
        <f aca="false">G3863+G3864+G3865+G3866</f>
        <v>245022.880313076</v>
      </c>
      <c r="H3867" s="55" t="n">
        <f aca="false">H3863+H3864+H3865+H3866</f>
        <v>211997.032495675</v>
      </c>
      <c r="I3867" s="55" t="n">
        <f aca="false">I3863+I3864+I3865+I3866</f>
        <v>259780.147849128</v>
      </c>
      <c r="J3867" s="55" t="n">
        <f aca="false">J3863+J3864+J3865+J3866</f>
        <v>231392.604238398</v>
      </c>
      <c r="K3867" s="55" t="n">
        <f aca="false">K3863+K3864+K3865+K3866</f>
        <v>245250.982340837</v>
      </c>
      <c r="L3867" s="55" t="n">
        <f aca="false">L3863+L3864+L3865+L3866</f>
        <v>252441.401999027</v>
      </c>
      <c r="M3867" s="55" t="n">
        <f aca="false">M3863+M3864+M3865+M3866</f>
        <v>255547.104395758</v>
      </c>
      <c r="N3867" s="55" t="n">
        <f aca="false">N3863+N3864+N3865+N3866</f>
        <v>257981.117367816</v>
      </c>
      <c r="P3867" s="55" t="n">
        <f aca="false">SUM(C3867:F3867)</f>
        <v>1021565.27098944</v>
      </c>
      <c r="Q3867" s="55" t="n">
        <f aca="false">SUM(G3867:J3867)</f>
        <v>948192.664896277</v>
      </c>
      <c r="R3867" s="55" t="n">
        <f aca="false">SUM(K3867:N3867)</f>
        <v>1011220.60610344</v>
      </c>
      <c r="S3867" s="56" t="n">
        <f aca="false">SUM(P3867:R3867)</f>
        <v>2980978.54198916</v>
      </c>
    </row>
    <row r="3868" customFormat="false" ht="15" hidden="false" customHeight="false" outlineLevel="0" collapsed="false">
      <c r="A3868" s="35" t="s">
        <v>567</v>
      </c>
      <c r="B3868" s="35" t="s">
        <v>444</v>
      </c>
      <c r="C3868" s="6" t="s">
        <v>354</v>
      </c>
      <c r="D3868" s="6" t="s">
        <v>355</v>
      </c>
      <c r="E3868" s="6" t="s">
        <v>356</v>
      </c>
      <c r="F3868" s="6" t="s">
        <v>357</v>
      </c>
      <c r="G3868" s="6" t="s">
        <v>358</v>
      </c>
      <c r="H3868" s="6" t="s">
        <v>359</v>
      </c>
      <c r="I3868" s="6" t="s">
        <v>360</v>
      </c>
      <c r="J3868" s="6" t="s">
        <v>361</v>
      </c>
      <c r="K3868" s="6" t="s">
        <v>362</v>
      </c>
      <c r="L3868" s="6" t="s">
        <v>363</v>
      </c>
      <c r="M3868" s="6" t="s">
        <v>364</v>
      </c>
      <c r="N3868" s="6" t="s">
        <v>365</v>
      </c>
      <c r="P3868" s="6" t="s">
        <v>445</v>
      </c>
      <c r="Q3868" s="6" t="s">
        <v>446</v>
      </c>
      <c r="R3868" s="6" t="s">
        <v>447</v>
      </c>
      <c r="S3868" s="6" t="s">
        <v>448</v>
      </c>
    </row>
    <row r="3869" customFormat="false" ht="15" hidden="false" customHeight="false" outlineLevel="0" collapsed="false">
      <c r="A3869" s="9" t="s">
        <v>568</v>
      </c>
      <c r="B3869" s="36" t="s">
        <v>125</v>
      </c>
      <c r="C3869" s="55" t="n">
        <f aca="false">C3847-C3867</f>
        <v>-273265.178571429</v>
      </c>
      <c r="D3869" s="55" t="n">
        <f aca="false">D3847-D3867</f>
        <v>-240062.280337795</v>
      </c>
      <c r="E3869" s="55" t="n">
        <f aca="false">E3847-E3867</f>
        <v>-247298.290637186</v>
      </c>
      <c r="F3869" s="55" t="n">
        <f aca="false">F3847-F3867</f>
        <v>-250439.237232409</v>
      </c>
      <c r="G3869" s="55" t="n">
        <f aca="false">G3847-G3867</f>
        <v>-233964.348100728</v>
      </c>
      <c r="H3869" s="55" t="n">
        <f aca="false">H3847-H3867</f>
        <v>-195821.331870526</v>
      </c>
      <c r="I3869" s="55" t="n">
        <f aca="false">I3847-I3867</f>
        <v>-237368.571950828</v>
      </c>
      <c r="J3869" s="55" t="n">
        <f aca="false">J3847-J3867</f>
        <v>-200946.182747342</v>
      </c>
      <c r="K3869" s="55" t="n">
        <f aca="false">K3847-K3867</f>
        <v>-204183.89407499</v>
      </c>
      <c r="L3869" s="55" t="n">
        <f aca="false">L3847-L3867</f>
        <v>-198881.719627616</v>
      </c>
      <c r="M3869" s="55" t="n">
        <f aca="false">M3847-M3867</f>
        <v>-188946.489486963</v>
      </c>
      <c r="N3869" s="55" t="n">
        <f aca="false">N3847-N3867</f>
        <v>-178294.335952334</v>
      </c>
      <c r="P3869" s="55" t="n">
        <f aca="false">SUM(C3869:F3869)</f>
        <v>-1011064.98677882</v>
      </c>
      <c r="Q3869" s="55" t="n">
        <f aca="false">SUM(G3869:J3869)</f>
        <v>-868100.434669424</v>
      </c>
      <c r="R3869" s="55" t="n">
        <f aca="false">SUM(K3869:N3869)</f>
        <v>-770306.439141902</v>
      </c>
      <c r="S3869" s="56" t="n">
        <f aca="false">SUM(P3869:R3869)</f>
        <v>-2649471.86059015</v>
      </c>
    </row>
    <row r="3870" customFormat="false" ht="15" hidden="false" customHeight="false" outlineLevel="0" collapsed="false">
      <c r="A3870" s="9" t="s">
        <v>569</v>
      </c>
      <c r="B3870" s="36" t="s">
        <v>125</v>
      </c>
      <c r="C3870" s="55" t="n">
        <f aca="false">0+C3869</f>
        <v>-273265.178571429</v>
      </c>
      <c r="D3870" s="55" t="n">
        <f aca="false">C3870+D3869</f>
        <v>-513327.458909223</v>
      </c>
      <c r="E3870" s="55" t="n">
        <f aca="false">D3870+E3869</f>
        <v>-760625.74954641</v>
      </c>
      <c r="F3870" s="55" t="n">
        <f aca="false">E3870+F3869</f>
        <v>-1011064.98677882</v>
      </c>
      <c r="G3870" s="55" t="n">
        <f aca="false">F3870+G3869</f>
        <v>-1245029.33487955</v>
      </c>
      <c r="H3870" s="55" t="n">
        <f aca="false">G3870+H3869</f>
        <v>-1440850.66675007</v>
      </c>
      <c r="I3870" s="55" t="n">
        <f aca="false">H3870+I3869</f>
        <v>-1678219.2387009</v>
      </c>
      <c r="J3870" s="55" t="n">
        <f aca="false">I3870+J3869</f>
        <v>-1879165.42144824</v>
      </c>
      <c r="K3870" s="55" t="n">
        <f aca="false">J3870+K3869</f>
        <v>-2083349.31552323</v>
      </c>
      <c r="L3870" s="55" t="n">
        <f aca="false">K3870+L3869</f>
        <v>-2282231.03515085</v>
      </c>
      <c r="M3870" s="55" t="n">
        <f aca="false">L3870+M3869</f>
        <v>-2471177.52463781</v>
      </c>
      <c r="N3870" s="55" t="n">
        <f aca="false">M3870+N3869</f>
        <v>-2649471.86059015</v>
      </c>
      <c r="P3870" s="55" t="n">
        <f aca="false">F3870</f>
        <v>-1011064.98677882</v>
      </c>
      <c r="Q3870" s="55" t="n">
        <f aca="false">J3870</f>
        <v>-1879165.42144824</v>
      </c>
      <c r="R3870" s="55" t="n">
        <f aca="false">N3870</f>
        <v>-2649471.86059015</v>
      </c>
      <c r="S3870" s="56" t="n">
        <f aca="false">R3870</f>
        <v>-2649471.86059015</v>
      </c>
    </row>
    <row r="3871" customFormat="false" ht="15" hidden="false" customHeight="false" outlineLevel="0" collapsed="false">
      <c r="A3871" s="4" t="s">
        <v>570</v>
      </c>
      <c r="B3871" s="36" t="s">
        <v>107</v>
      </c>
      <c r="C3871" s="57" t="n">
        <f aca="false">1/(1+Assumptions!$E$87)^(C3790/4)</f>
        <v>0.972065420906982</v>
      </c>
      <c r="D3871" s="57" t="n">
        <f aca="false">1/(1+Assumptions!$E$87)^(D3790/4)</f>
        <v>0.944911182523068</v>
      </c>
      <c r="E3871" s="57" t="n">
        <f aca="false">1/(1+Assumptions!$E$87)^(E3790/4)</f>
        <v>0.918515486359</v>
      </c>
      <c r="F3871" s="57" t="n">
        <f aca="false">1/(1+Assumptions!$E$87)^(F3790/4)</f>
        <v>0.892857142857143</v>
      </c>
      <c r="G3871" s="57" t="n">
        <f aca="false">1/(1+Assumptions!$E$87)^(G3790/4)</f>
        <v>0.867915554381234</v>
      </c>
      <c r="H3871" s="57" t="n">
        <f aca="false">1/(1+Assumptions!$E$87)^(H3790/4)</f>
        <v>0.843670698681311</v>
      </c>
      <c r="I3871" s="57" t="n">
        <f aca="false">1/(1+Assumptions!$E$87)^(I3790/4)</f>
        <v>0.820103112820536</v>
      </c>
      <c r="J3871" s="57" t="n">
        <f aca="false">1/(1+Assumptions!$E$87)^(J3790/4)</f>
        <v>0.79719387755102</v>
      </c>
      <c r="K3871" s="57" t="n">
        <f aca="false">1/(1+Assumptions!$E$87)^(K3790/4)</f>
        <v>0.774924602126102</v>
      </c>
      <c r="L3871" s="57" t="n">
        <f aca="false">1/(1+Assumptions!$E$87)^(L3790/4)</f>
        <v>0.753277409536885</v>
      </c>
      <c r="M3871" s="57" t="n">
        <f aca="false">1/(1+Assumptions!$E$87)^(M3790/4)</f>
        <v>0.732234922161193</v>
      </c>
      <c r="N3871" s="57" t="n">
        <f aca="false">1/(1+Assumptions!$E$87)^(N3790/4)</f>
        <v>0.711780247813411</v>
      </c>
      <c r="P3871" s="58"/>
      <c r="Q3871" s="58"/>
      <c r="R3871" s="58"/>
      <c r="S3871" s="59"/>
    </row>
    <row r="3872" customFormat="false" ht="15" hidden="false" customHeight="false" outlineLevel="0" collapsed="false">
      <c r="A3872" s="4" t="s">
        <v>571</v>
      </c>
      <c r="B3872" s="36" t="s">
        <v>125</v>
      </c>
      <c r="C3872" s="54" t="n">
        <f aca="false">(C3847*(1-Assumptions!$E$88)-C3867)*C3871</f>
        <v>-265631.630827257</v>
      </c>
      <c r="D3872" s="54" t="n">
        <f aca="false">(D3847*(1-Assumptions!$E$88)-D3867)*D3871</f>
        <v>-226973.829109136</v>
      </c>
      <c r="E3872" s="54" t="n">
        <f aca="false">(E3847*(1-Assumptions!$E$88)-E3867)*E3871</f>
        <v>-227709.212664018</v>
      </c>
      <c r="F3872" s="54" t="n">
        <f aca="false">(F3847*(1-Assumptions!$E$88)-F3867)*F3871</f>
        <v>-224806.518590547</v>
      </c>
      <c r="G3872" s="54" t="n">
        <f aca="false">(G3847*(1-Assumptions!$E$88)-G3867)*G3871</f>
        <v>-204980.871310432</v>
      </c>
      <c r="H3872" s="54" t="n">
        <f aca="false">(H3847*(1-Assumptions!$E$88)-H3867)*H3871</f>
        <v>-167938.112805527</v>
      </c>
      <c r="I3872" s="54" t="n">
        <f aca="false">(I3847*(1-Assumptions!$E$88)-I3867)*I3871</f>
        <v>-198342.665374121</v>
      </c>
      <c r="J3872" s="54" t="n">
        <f aca="false">(J3847*(1-Assumptions!$E$88)-J3867)*J3871</f>
        <v>-165047.406764631</v>
      </c>
      <c r="K3872" s="54" t="n">
        <f aca="false">(K3847*(1-Assumptions!$E$88)-K3867)*K3871</f>
        <v>-164591.902283597</v>
      </c>
      <c r="L3872" s="54" t="n">
        <f aca="false">(L3847*(1-Assumptions!$E$88)-L3867)*L3871</f>
        <v>-157882.166323803</v>
      </c>
      <c r="M3872" s="54" t="n">
        <f aca="false">(M3847*(1-Assumptions!$E$88)-M3867)*M3871</f>
        <v>-148106.677236843</v>
      </c>
      <c r="N3872" s="54" t="n">
        <f aca="false">(N3847*(1-Assumptions!$E$88)-N3867)*N3871</f>
        <v>-138250.282032553</v>
      </c>
      <c r="P3872" s="55" t="n">
        <f aca="false">SUM(C3872:F3872)</f>
        <v>-945121.191190959</v>
      </c>
      <c r="Q3872" s="55" t="n">
        <f aca="false">SUM(G3872:J3872)</f>
        <v>-736309.056254712</v>
      </c>
      <c r="R3872" s="55" t="n">
        <f aca="false">SUM(K3872:N3872)</f>
        <v>-608831.027876795</v>
      </c>
      <c r="S3872" s="56" t="n">
        <f aca="false">SUM(P3872:R3872)</f>
        <v>-2290261.27532247</v>
      </c>
    </row>
    <row r="3873" customFormat="false" ht="15" hidden="false" customHeight="false" outlineLevel="0" collapsed="false">
      <c r="A3873" s="4" t="s">
        <v>572</v>
      </c>
      <c r="B3873" s="36" t="s">
        <v>125</v>
      </c>
      <c r="C3873" s="54" t="n">
        <f aca="false">(C3867-C3866)*12/(Assumptions!$E$89*Assumptions!$E$76)*Assumptions!$E$90</f>
        <v>189183.585164835</v>
      </c>
      <c r="D3873" s="54" t="n">
        <f aca="false">(D3867-D3866)*12/(Assumptions!$E$89*Assumptions!$E$76)*Assumptions!$E$90</f>
        <v>166297.969021124</v>
      </c>
      <c r="E3873" s="54" t="n">
        <f aca="false">(E3867-E3866)*12/(Assumptions!$E$89*Assumptions!$E$76)*Assumptions!$E$90</f>
        <v>172194.86408351</v>
      </c>
      <c r="F3873" s="54" t="n">
        <f aca="false">(F3867-F3866)*12/(Assumptions!$E$89*Assumptions!$E$76)*Assumptions!$E$90</f>
        <v>176077.277448379</v>
      </c>
      <c r="G3873" s="54" t="n">
        <f aca="false">(G3867-G3866)*12/(Assumptions!$E$89*Assumptions!$E$76)*Assumptions!$E$90</f>
        <v>166780.515255565</v>
      </c>
      <c r="H3873" s="54" t="n">
        <f aca="false">(H3867-H3866)*12/(Assumptions!$E$89*Assumptions!$E$76)*Assumptions!$E$90</f>
        <v>142808.556430192</v>
      </c>
      <c r="I3873" s="54" t="n">
        <f aca="false">(I3867-I3866)*12/(Assumptions!$E$89*Assumptions!$E$76)*Assumptions!$E$90</f>
        <v>174572.726945899</v>
      </c>
      <c r="J3873" s="54" t="n">
        <f aca="false">(J3867-J3866)*12/(Assumptions!$E$89*Assumptions!$E$76)*Assumptions!$E$90</f>
        <v>153091.50570255</v>
      </c>
      <c r="K3873" s="54" t="n">
        <f aca="false">(K3867-K3866)*12/(Assumptions!$E$89*Assumptions!$E$76)*Assumptions!$E$90</f>
        <v>160354.249857315</v>
      </c>
      <c r="L3873" s="54" t="n">
        <f aca="false">(L3867-L3866)*12/(Assumptions!$E$89*Assumptions!$E$76)*Assumptions!$E$90</f>
        <v>162974.223956607</v>
      </c>
      <c r="M3873" s="54" t="n">
        <f aca="false">(M3867-M3866)*12/(Assumptions!$E$89*Assumptions!$E$76)*Assumptions!$E$90</f>
        <v>162868.009173856</v>
      </c>
      <c r="N3873" s="54" t="n">
        <f aca="false">(N3867-N3866)*12/(Assumptions!$E$89*Assumptions!$E$76)*Assumptions!$E$90</f>
        <v>162402.691581072</v>
      </c>
      <c r="P3873" s="55" t="n">
        <f aca="false">SUM(C3873:F3873)</f>
        <v>703753.695717847</v>
      </c>
      <c r="Q3873" s="55" t="n">
        <f aca="false">SUM(G3873:J3873)</f>
        <v>637253.304334206</v>
      </c>
      <c r="R3873" s="55" t="n">
        <f aca="false">SUM(K3873:N3873)</f>
        <v>648599.17456885</v>
      </c>
      <c r="S3873" s="56" t="n">
        <f aca="false">SUM(P3873:R3873)</f>
        <v>1989606.1746209</v>
      </c>
    </row>
    <row r="3874" customFormat="false" ht="15" hidden="false" customHeight="false" outlineLevel="0" collapsed="false">
      <c r="A3874" s="4" t="s">
        <v>573</v>
      </c>
      <c r="B3874" s="36" t="s">
        <v>125</v>
      </c>
      <c r="C3874" s="54" t="n">
        <f aca="false">0*Assumptions!$E$92^(1/4)+C3873</f>
        <v>189183.585164835</v>
      </c>
      <c r="D3874" s="54" t="n">
        <f aca="false">C3874*Assumptions!$E$92^(1/4)+D3873</f>
        <v>355952.749828138</v>
      </c>
      <c r="E3874" s="54" t="n">
        <f aca="false">D3874*Assumptions!$E$92^(1/4)+E3873</f>
        <v>529034.178062521</v>
      </c>
      <c r="F3874" s="54" t="n">
        <f aca="false">E3874*Assumptions!$E$92^(1/4)+F3873</f>
        <v>706429.109994768</v>
      </c>
      <c r="G3874" s="54" t="n">
        <f aca="false">F3874*Assumptions!$E$92^(1/4)+G3873</f>
        <v>874969.113621632</v>
      </c>
      <c r="H3874" s="54" t="n">
        <f aca="false">G3874*Assumptions!$E$92^(1/4)+H3873</f>
        <v>1019956.93752379</v>
      </c>
      <c r="I3874" s="54" t="n">
        <f aca="false">H3874*Assumptions!$E$92^(1/4)+I3873</f>
        <v>1197070.05011548</v>
      </c>
      <c r="J3874" s="54" t="n">
        <f aca="false">I3874*Assumptions!$E$92^(1/4)+J3873</f>
        <v>1353143.07342965</v>
      </c>
      <c r="K3874" s="54" t="n">
        <f aca="false">J3874*Assumptions!$E$92^(1/4)+K3873</f>
        <v>1516867.56874927</v>
      </c>
      <c r="L3874" s="54" t="n">
        <f aca="false">K3874*Assumptions!$E$92^(1/4)+L3873</f>
        <v>1683619.82338192</v>
      </c>
      <c r="M3874" s="54" t="n">
        <f aca="false">L3874*Assumptions!$E$92^(1/4)+M3873</f>
        <v>1850681.18962306</v>
      </c>
      <c r="N3874" s="54" t="n">
        <f aca="false">M3874*Assumptions!$E$92^(1/4)+N3873</f>
        <v>2017693.33456053</v>
      </c>
      <c r="P3874" s="55" t="n">
        <f aca="false">F3874</f>
        <v>706429.109994768</v>
      </c>
      <c r="Q3874" s="55" t="n">
        <f aca="false">J3874</f>
        <v>1353143.07342965</v>
      </c>
      <c r="R3874" s="55" t="n">
        <f aca="false">N3874</f>
        <v>2017693.33456053</v>
      </c>
      <c r="S3874" s="56" t="n">
        <f aca="false">R3874</f>
        <v>2017693.33456053</v>
      </c>
    </row>
    <row r="3875" customFormat="false" ht="15" hidden="false" customHeight="false" outlineLevel="0" collapsed="false">
      <c r="A3875" s="4" t="s">
        <v>574</v>
      </c>
      <c r="B3875" s="36" t="s">
        <v>125</v>
      </c>
      <c r="C3875" s="54" t="n">
        <f aca="false">(0+C3874)/8*Assumptions!$E$76-(C3867-C3866)-C3874*Assumptions!$E$93/4</f>
        <v>-260258.807091346</v>
      </c>
      <c r="D3875" s="54" t="n">
        <f aca="false">(C3874+D3874)/8*Assumptions!$E$76-(D3867-D3866)-D3874*Assumptions!$E$93/4</f>
        <v>-200365.259629629</v>
      </c>
      <c r="E3875" s="54" t="n">
        <f aca="false">(D3874+E3874)/8*Assumptions!$E$76-(E3867-E3866)-E3874*Assumptions!$E$93/4</f>
        <v>-183433.654121958</v>
      </c>
      <c r="F3875" s="54" t="n">
        <f aca="false">(E3874+F3874)/8*Assumptions!$E$76-(F3867-F3866)-F3874*Assumptions!$E$93/4</f>
        <v>-162782.816923494</v>
      </c>
      <c r="G3875" s="54" t="n">
        <f aca="false">(F3874+G3874)/8*Assumptions!$E$76-(G3867-G3866)-G3874*Assumptions!$E$93/4</f>
        <v>-123353.69695392</v>
      </c>
      <c r="H3875" s="54" t="n">
        <f aca="false">(G3874+H3874)/8*Assumptions!$E$76-(H3867-H3866)-H3874*Assumptions!$E$93/4</f>
        <v>-65065.7460182038</v>
      </c>
      <c r="I3875" s="54" t="n">
        <f aca="false">(H3874+I3874)/8*Assumptions!$E$76-(I3867-I3866)-I3874*Assumptions!$E$93/4</f>
        <v>-86990.5384692737</v>
      </c>
      <c r="J3875" s="54" t="n">
        <f aca="false">(I3874+J3874)/8*Assumptions!$E$76-(J3867-J3866)-J3874*Assumptions!$E$93/4</f>
        <v>-30841.6470335127</v>
      </c>
      <c r="K3875" s="54" t="n">
        <f aca="false">(J3874+K3874)/8*Assumptions!$E$76-(K3867-K3866)-K3874*Assumptions!$E$93/4</f>
        <v>-17395.2852817845</v>
      </c>
      <c r="L3875" s="54" t="n">
        <f aca="false">(K3874+L3874)/8*Assumptions!$E$76-(L3867-L3866)-L3874*Assumptions!$E$93/4</f>
        <v>3587.14043661952</v>
      </c>
      <c r="M3875" s="54" t="n">
        <f aca="false">(L3874+M3874)/8*Assumptions!$E$76-(M3867-M3866)-M3874*Assumptions!$E$93/4</f>
        <v>28774.6514074638</v>
      </c>
      <c r="N3875" s="54" t="n">
        <f aca="false">(M3874+N3874)/8*Assumptions!$E$76-(N3867-N3866)-N3874*Assumptions!$E$93/4</f>
        <v>54502.5977908056</v>
      </c>
      <c r="P3875" s="55" t="n">
        <f aca="false">SUM(C3875:F3875)</f>
        <v>-806840.537766426</v>
      </c>
      <c r="Q3875" s="55" t="n">
        <f aca="false">SUM(G3875:J3875)</f>
        <v>-306251.628474911</v>
      </c>
      <c r="R3875" s="55" t="n">
        <f aca="false">SUM(K3875:N3875)</f>
        <v>69469.1043531045</v>
      </c>
      <c r="S3875" s="56" t="n">
        <f aca="false">SUM(P3875:R3875)</f>
        <v>-1043623.06188823</v>
      </c>
    </row>
    <row r="3876" customFormat="false" ht="15" hidden="false" customHeight="false" outlineLevel="0" collapsed="false">
      <c r="A3876" s="4" t="s">
        <v>575</v>
      </c>
      <c r="B3876" s="36" t="s">
        <v>125</v>
      </c>
      <c r="C3876" s="54" t="n">
        <f aca="false">C3875*C3871</f>
        <v>-252988.586859998</v>
      </c>
      <c r="D3876" s="54" t="n">
        <f aca="false">D3875*D3871</f>
        <v>-189327.374413174</v>
      </c>
      <c r="E3876" s="54" t="n">
        <f aca="false">E3875*E3871</f>
        <v>-168486.652030439</v>
      </c>
      <c r="F3876" s="54" t="n">
        <f aca="false">F3875*F3871</f>
        <v>-145341.800824548</v>
      </c>
      <c r="G3876" s="54" t="n">
        <f aca="false">G3875*G3871</f>
        <v>-107060.592276737</v>
      </c>
      <c r="H3876" s="54" t="n">
        <f aca="false">H3875*H3871</f>
        <v>-54894.0634033987</v>
      </c>
      <c r="I3876" s="54" t="n">
        <f aca="false">I3875*I3871</f>
        <v>-71341.2113845859</v>
      </c>
      <c r="J3876" s="54" t="n">
        <f aca="false">J3875*J3871</f>
        <v>-24586.772188706</v>
      </c>
      <c r="K3876" s="54" t="n">
        <f aca="false">K3875*K3871</f>
        <v>-13480.0345258568</v>
      </c>
      <c r="L3876" s="54" t="n">
        <f aca="false">L3875*L3871</f>
        <v>2702.11185574176</v>
      </c>
      <c r="M3876" s="54" t="n">
        <f aca="false">M3875*M3871</f>
        <v>21069.8046335597</v>
      </c>
      <c r="N3876" s="54" t="n">
        <f aca="false">N3875*N3871</f>
        <v>38793.8725620143</v>
      </c>
      <c r="P3876" s="55" t="n">
        <f aca="false">SUM(C3876:F3876)</f>
        <v>-756144.414128159</v>
      </c>
      <c r="Q3876" s="55" t="n">
        <f aca="false">SUM(G3876:J3876)</f>
        <v>-257882.639253427</v>
      </c>
      <c r="R3876" s="55" t="n">
        <f aca="false">SUM(K3876:N3876)</f>
        <v>49085.7545254589</v>
      </c>
      <c r="S3876" s="56" t="n">
        <f aca="false">SUM(P3876:R3876)</f>
        <v>-964941.298856127</v>
      </c>
    </row>
    <row r="3877" customFormat="false" ht="15" hidden="false" customHeight="false" outlineLevel="0" collapsed="false">
      <c r="A3877" s="4" t="s">
        <v>576</v>
      </c>
      <c r="B3877" s="36"/>
      <c r="C3877" s="37" t="n">
        <f aca="false">IFERROR((S3832*$C$3781*Assumptions!$E$59+S3833*$C$3782*Assumptions!$E$60+S3834*$C$3783*Assumptions!$E$61)/(S3832*$C$3781+S3833*$C$3782+S3834*$C$3783),0.9)</f>
        <v>0.897335581407424</v>
      </c>
    </row>
    <row r="3878" customFormat="false" ht="15" hidden="false" customHeight="false" outlineLevel="0" collapsed="false">
      <c r="A3878" s="4" t="s">
        <v>577</v>
      </c>
      <c r="B3878" s="36"/>
      <c r="C3878" s="37" t="n">
        <f aca="false">IFERROR(N3866*4/N3844,0)</f>
        <v>0.176390540855911</v>
      </c>
    </row>
    <row r="3879" customFormat="false" ht="15" hidden="false" customHeight="false" outlineLevel="0" collapsed="false">
      <c r="A3879" s="4" t="s">
        <v>578</v>
      </c>
      <c r="B3879" s="36"/>
      <c r="C3879" s="60" t="n">
        <f aca="false">$C$3877/(1+Assumptions!$E$87)</f>
        <v>0.801192483399486</v>
      </c>
    </row>
    <row r="3880" customFormat="false" ht="15" hidden="false" customHeight="false" outlineLevel="0" collapsed="false">
      <c r="A3880" s="4" t="s">
        <v>579</v>
      </c>
      <c r="B3880" s="36"/>
      <c r="C3880" s="60" t="n">
        <f aca="false">Assumptions!$E$91/(1+Assumptions!$E$87)</f>
        <v>0.803571428571429</v>
      </c>
    </row>
    <row r="3881" customFormat="false" ht="15" hidden="false" customHeight="false" outlineLevel="0" collapsed="false">
      <c r="A3881" s="35" t="s">
        <v>580</v>
      </c>
      <c r="B3881" s="35" t="s">
        <v>444</v>
      </c>
      <c r="C3881" s="6" t="s">
        <v>354</v>
      </c>
      <c r="D3881" s="6" t="s">
        <v>355</v>
      </c>
      <c r="E3881" s="6" t="s">
        <v>356</v>
      </c>
      <c r="F3881" s="6" t="s">
        <v>357</v>
      </c>
      <c r="G3881" s="6" t="s">
        <v>358</v>
      </c>
      <c r="H3881" s="6" t="s">
        <v>359</v>
      </c>
      <c r="I3881" s="6" t="s">
        <v>360</v>
      </c>
      <c r="J3881" s="6" t="s">
        <v>361</v>
      </c>
      <c r="K3881" s="6" t="s">
        <v>362</v>
      </c>
      <c r="L3881" s="6" t="s">
        <v>363</v>
      </c>
      <c r="M3881" s="6" t="s">
        <v>364</v>
      </c>
      <c r="N3881" s="6" t="s">
        <v>365</v>
      </c>
      <c r="P3881" s="6" t="s">
        <v>445</v>
      </c>
      <c r="Q3881" s="6" t="s">
        <v>446</v>
      </c>
      <c r="R3881" s="6" t="s">
        <v>447</v>
      </c>
      <c r="S3881" s="6" t="s">
        <v>448</v>
      </c>
    </row>
    <row r="3882" customFormat="false" ht="15" hidden="false" customHeight="false" outlineLevel="0" collapsed="false">
      <c r="A3882" s="9" t="s">
        <v>581</v>
      </c>
      <c r="C3882" s="61" t="n">
        <f aca="false">N3844</f>
        <v>530628.266961926</v>
      </c>
      <c r="D3882" s="61"/>
    </row>
    <row r="3883" customFormat="false" ht="15" hidden="false" customHeight="false" outlineLevel="0" collapsed="false">
      <c r="A3883" s="9" t="s">
        <v>582</v>
      </c>
      <c r="C3883" s="62" t="n">
        <f aca="false">N3840</f>
        <v>51.7434392196774</v>
      </c>
      <c r="D3883" s="62"/>
    </row>
    <row r="3884" customFormat="false" ht="15" hidden="false" customHeight="false" outlineLevel="0" collapsed="false">
      <c r="A3884" s="9" t="s">
        <v>583</v>
      </c>
      <c r="C3884" s="63" t="n">
        <f aca="false">S3835</f>
        <v>57.1249378271435</v>
      </c>
      <c r="D3884" s="63"/>
    </row>
    <row r="3885" customFormat="false" ht="15" hidden="false" customHeight="false" outlineLevel="0" collapsed="false">
      <c r="A3885" s="9" t="s">
        <v>584</v>
      </c>
      <c r="C3885" s="61" t="n">
        <f aca="false">S3846</f>
        <v>510010.279075404</v>
      </c>
      <c r="D3885" s="61"/>
    </row>
    <row r="3886" customFormat="false" ht="15" hidden="false" customHeight="false" outlineLevel="0" collapsed="false">
      <c r="A3886" s="9" t="s">
        <v>22</v>
      </c>
      <c r="C3886" s="61" t="n">
        <f aca="false">IFERROR(S3845/S3835,0)</f>
        <v>8835.73882238632</v>
      </c>
      <c r="D3886" s="61"/>
    </row>
    <row r="3887" customFormat="false" ht="15" hidden="false" customHeight="false" outlineLevel="0" collapsed="false">
      <c r="A3887" s="9" t="s">
        <v>585</v>
      </c>
      <c r="C3887" s="61" t="n">
        <f aca="false">IFERROR(S3863/S3835,0)</f>
        <v>38014.743715764</v>
      </c>
      <c r="D3887" s="61"/>
    </row>
    <row r="3888" customFormat="false" ht="23.85" hidden="false" customHeight="false" outlineLevel="0" collapsed="false">
      <c r="A3888" s="9" t="s">
        <v>586</v>
      </c>
      <c r="C3888" s="61" t="n">
        <f aca="false">IFERROR((S3857+S3859+S3860+S3861+S3862)/S3835,0)</f>
        <v>15436.7260197866</v>
      </c>
      <c r="D3888" s="61"/>
    </row>
    <row r="3889" customFormat="false" ht="15" hidden="false" customHeight="false" outlineLevel="0" collapsed="false">
      <c r="A3889" s="9" t="s">
        <v>587</v>
      </c>
      <c r="C3889" s="64" t="n">
        <f aca="false">IFERROR('Engine Runs'!$C$3887/('Engine Runs'!$C$3886*Assumptions!$E$76/12),0)</f>
        <v>79.4286326612541</v>
      </c>
      <c r="D3889" s="64"/>
    </row>
    <row r="3890" customFormat="false" ht="15" hidden="false" customHeight="false" outlineLevel="0" collapsed="false">
      <c r="A3890" s="9" t="s">
        <v>588</v>
      </c>
      <c r="C3890" s="64" t="n">
        <f aca="false">IFERROR((R3863/R3835)/((R3845/R3835)*Assumptions!$E$76/12),0)</f>
        <v>51.4993028915563</v>
      </c>
      <c r="D3890" s="64"/>
    </row>
    <row r="3891" customFormat="false" ht="15" hidden="false" customHeight="false" outlineLevel="0" collapsed="false">
      <c r="A3891" s="9" t="s">
        <v>589</v>
      </c>
      <c r="C3891" s="61" t="n">
        <f aca="false">S3867</f>
        <v>2980978.54198916</v>
      </c>
      <c r="D3891" s="61"/>
    </row>
    <row r="3892" customFormat="false" ht="15" hidden="false" customHeight="false" outlineLevel="0" collapsed="false">
      <c r="A3892" s="9" t="s">
        <v>590</v>
      </c>
      <c r="C3892" s="61" t="n">
        <f aca="false">N3870</f>
        <v>-2649471.86059015</v>
      </c>
      <c r="D3892" s="61"/>
    </row>
    <row r="3893" customFormat="false" ht="15" hidden="false" customHeight="false" outlineLevel="0" collapsed="false">
      <c r="A3893" s="9" t="s">
        <v>591</v>
      </c>
      <c r="C3893" s="61" t="n">
        <f aca="false">MIN($C$3870:$N$3870)</f>
        <v>-2649471.86059015</v>
      </c>
      <c r="D3893" s="61"/>
    </row>
    <row r="3894" customFormat="false" ht="15" hidden="false" customHeight="false" outlineLevel="0" collapsed="false">
      <c r="A3894" s="9" t="s">
        <v>592</v>
      </c>
      <c r="C3894" s="61" t="n">
        <f aca="false">N3844*(Assumptions!$E$76-$C$3878)*$C$3877*(1-$C$3877^Assumptions!$E$85)/(1-$C$3877)</f>
        <v>918604.783391466</v>
      </c>
      <c r="D3894" s="61"/>
    </row>
    <row r="3895" customFormat="false" ht="15" hidden="false" customHeight="false" outlineLevel="0" collapsed="false">
      <c r="A3895" s="9" t="s">
        <v>593</v>
      </c>
      <c r="C3895" s="61" t="n">
        <f aca="false">N3844*(Assumptions!$E$76-$C$3878)*(1-Assumptions!$E$88)/(1+Assumptions!$E$87)^2.5*$C$3879*(1-$C$3879^Assumptions!$E$85)/(1-$C$3879)</f>
        <v>408837.382821355</v>
      </c>
      <c r="D3895" s="61"/>
    </row>
    <row r="3896" customFormat="false" ht="15" hidden="false" customHeight="false" outlineLevel="0" collapsed="false">
      <c r="A3896" s="9" t="s">
        <v>594</v>
      </c>
      <c r="C3896" s="61" t="n">
        <f aca="false">SUM($C$3872:$N$3872)+'Engine Runs'!$C$3895</f>
        <v>-1881423.89250111</v>
      </c>
      <c r="D3896" s="61"/>
    </row>
    <row r="3897" customFormat="false" ht="15" hidden="false" customHeight="false" outlineLevel="0" collapsed="false">
      <c r="A3897" s="9" t="s">
        <v>595</v>
      </c>
      <c r="C3897" s="61" t="n">
        <f aca="false">SUM($C$3876:$N$3876)+N3874*(Assumptions!$E$76-Assumptions!$E$93)/(1+Assumptions!$E$87)^2.5*$C$3880*(1-$C$3880^Assumptions!$E$85)/(1-$C$3880)</f>
        <v>1515698.55312035</v>
      </c>
      <c r="D3897" s="61"/>
    </row>
    <row r="3898" customFormat="false" ht="15" hidden="false" customHeight="false" outlineLevel="0" collapsed="false">
      <c r="A3898" s="9" t="s">
        <v>596</v>
      </c>
      <c r="C3898" s="61" t="n">
        <f aca="false">'Engine Runs'!$C$3896-'Engine Runs'!$C$3897</f>
        <v>-3397122.44562146</v>
      </c>
      <c r="D3898" s="61"/>
    </row>
    <row r="3899" customFormat="false" ht="15" hidden="false" customHeight="false" outlineLevel="0" collapsed="false">
      <c r="A3899" s="9" t="s">
        <v>597</v>
      </c>
      <c r="C3899" s="61" t="n">
        <f aca="false">S3831</f>
        <v>0</v>
      </c>
      <c r="D3899" s="61"/>
    </row>
    <row r="3900" customFormat="false" ht="15" hidden="false" customHeight="false" outlineLevel="0" collapsed="false">
      <c r="A3900" s="9" t="s">
        <v>598</v>
      </c>
      <c r="C3900" s="63" t="n">
        <f aca="false">P3815</f>
        <v>44.4921499059336</v>
      </c>
      <c r="D3900" s="63"/>
    </row>
    <row r="3901" customFormat="false" ht="15" hidden="false" customHeight="false" outlineLevel="0" collapsed="false">
      <c r="A3901" s="9" t="s">
        <v>599</v>
      </c>
      <c r="C3901" s="63" t="n">
        <f aca="false">P3835</f>
        <v>6.2745132693676</v>
      </c>
      <c r="D3901" s="63"/>
    </row>
    <row r="3902" customFormat="false" ht="15" hidden="false" customHeight="false" outlineLevel="0" collapsed="false">
      <c r="A3902" s="9" t="s">
        <v>600</v>
      </c>
      <c r="C3902" s="63" t="n">
        <f aca="false">P3811</f>
        <v>42</v>
      </c>
      <c r="D3902" s="63"/>
    </row>
    <row r="3903" customFormat="false" ht="15" hidden="false" customHeight="false" outlineLevel="0" collapsed="false">
      <c r="A3903" s="9" t="s">
        <v>601</v>
      </c>
      <c r="C3903" s="61" t="n">
        <f aca="false">IFERROR(P3845/P3835,0)</f>
        <v>8534.80952167856</v>
      </c>
      <c r="D3903" s="61"/>
    </row>
    <row r="3906" customFormat="false" ht="15" hidden="false" customHeight="true" outlineLevel="0" collapsed="false">
      <c r="A3906" s="78" t="s">
        <v>825</v>
      </c>
      <c r="B3906" s="78"/>
      <c r="C3906" s="78"/>
      <c r="D3906" s="78"/>
      <c r="E3906" s="78"/>
      <c r="F3906" s="78"/>
      <c r="G3906" s="78"/>
      <c r="H3906" s="78"/>
      <c r="I3906" s="78"/>
      <c r="J3906" s="78"/>
      <c r="K3906" s="78"/>
      <c r="L3906" s="78"/>
      <c r="M3906" s="78"/>
      <c r="N3906" s="78"/>
    </row>
    <row r="3907" customFormat="false" ht="15" hidden="false" customHeight="true" outlineLevel="0" collapsed="false">
      <c r="A3907" s="79" t="s">
        <v>826</v>
      </c>
      <c r="B3907" s="79"/>
      <c r="C3907" s="79"/>
      <c r="D3907" s="79"/>
      <c r="E3907" s="79"/>
      <c r="F3907" s="79"/>
      <c r="G3907" s="79"/>
      <c r="H3907" s="79"/>
      <c r="I3907" s="79"/>
      <c r="J3907" s="79"/>
      <c r="K3907" s="79"/>
      <c r="L3907" s="79"/>
      <c r="M3907" s="79"/>
      <c r="N3907" s="79"/>
    </row>
    <row r="3908" customFormat="false" ht="23.85" hidden="false" customHeight="false" outlineLevel="0" collapsed="false">
      <c r="A3908" s="35" t="s">
        <v>827</v>
      </c>
      <c r="B3908" s="35" t="s">
        <v>444</v>
      </c>
      <c r="C3908" s="6" t="s">
        <v>354</v>
      </c>
      <c r="D3908" s="6" t="s">
        <v>355</v>
      </c>
      <c r="E3908" s="6" t="s">
        <v>356</v>
      </c>
      <c r="F3908" s="6" t="s">
        <v>357</v>
      </c>
      <c r="G3908" s="6" t="s">
        <v>358</v>
      </c>
      <c r="H3908" s="6" t="s">
        <v>359</v>
      </c>
      <c r="I3908" s="6" t="s">
        <v>360</v>
      </c>
      <c r="J3908" s="6" t="s">
        <v>361</v>
      </c>
      <c r="K3908" s="6" t="s">
        <v>362</v>
      </c>
      <c r="L3908" s="6" t="s">
        <v>363</v>
      </c>
      <c r="M3908" s="6" t="s">
        <v>364</v>
      </c>
      <c r="N3908" s="6" t="s">
        <v>365</v>
      </c>
      <c r="P3908" s="6" t="s">
        <v>445</v>
      </c>
      <c r="Q3908" s="6" t="s">
        <v>446</v>
      </c>
      <c r="R3908" s="6" t="s">
        <v>447</v>
      </c>
      <c r="S3908" s="6" t="s">
        <v>448</v>
      </c>
    </row>
    <row r="3909" customFormat="false" ht="15" hidden="false" customHeight="false" outlineLevel="0" collapsed="false">
      <c r="A3909" s="4" t="s">
        <v>449</v>
      </c>
      <c r="B3909" s="36" t="s">
        <v>450</v>
      </c>
      <c r="C3909" s="34" t="n">
        <f aca="false">'Market Sizing'!$C$17*Assumptions!$E$10*Assumptions!$E$11*(1-Assumptions!$E$12)</f>
        <v>843.03944704</v>
      </c>
    </row>
    <row r="3910" customFormat="false" ht="15" hidden="false" customHeight="false" outlineLevel="0" collapsed="false">
      <c r="A3910" s="4" t="s">
        <v>451</v>
      </c>
      <c r="B3910" s="36" t="s">
        <v>450</v>
      </c>
      <c r="C3910" s="34" t="n">
        <f aca="false">'Market Sizing'!$D$17*Assumptions!$E$10*Assumptions!$E$11*(1-Assumptions!$E$12)</f>
        <v>211.19616</v>
      </c>
    </row>
    <row r="3911" customFormat="false" ht="15" hidden="false" customHeight="false" outlineLevel="0" collapsed="false">
      <c r="A3911" s="4" t="s">
        <v>452</v>
      </c>
      <c r="B3911" s="36" t="s">
        <v>450</v>
      </c>
      <c r="C3911" s="34" t="n">
        <f aca="false">'Market Sizing'!$E$17*Assumptions!$E$10*Assumptions!$E$11*(1-Assumptions!$E$12)</f>
        <v>49.53984</v>
      </c>
    </row>
    <row r="3912" customFormat="false" ht="15" hidden="false" customHeight="false" outlineLevel="0" collapsed="false">
      <c r="A3912" s="4" t="s">
        <v>453</v>
      </c>
      <c r="B3912" s="36"/>
      <c r="C3912" s="34" t="n">
        <f aca="false">$C$3909+$C$3910+$C$3911</f>
        <v>1103.77544704</v>
      </c>
    </row>
    <row r="3913" customFormat="false" ht="15" hidden="false" customHeight="false" outlineLevel="0" collapsed="false">
      <c r="A3913" s="4" t="s">
        <v>454</v>
      </c>
      <c r="B3913" s="36" t="s">
        <v>450</v>
      </c>
      <c r="C3913" s="34" t="n">
        <f aca="false">'Market Sizing'!$C$18*Assumptions!$E$10*Assumptions!$E$11*(1-Assumptions!$E$12)</f>
        <v>612.57706944</v>
      </c>
    </row>
    <row r="3914" customFormat="false" ht="15" hidden="false" customHeight="false" outlineLevel="0" collapsed="false">
      <c r="A3914" s="4" t="s">
        <v>455</v>
      </c>
      <c r="B3914" s="36" t="s">
        <v>450</v>
      </c>
      <c r="C3914" s="34" t="n">
        <f aca="false">'Market Sizing'!$D$18*Assumptions!$E$10*Assumptions!$E$11*(1-Assumptions!$E$12)</f>
        <v>142.10112</v>
      </c>
    </row>
    <row r="3915" customFormat="false" ht="15" hidden="false" customHeight="false" outlineLevel="0" collapsed="false">
      <c r="A3915" s="4" t="s">
        <v>456</v>
      </c>
      <c r="B3915" s="36" t="s">
        <v>450</v>
      </c>
      <c r="C3915" s="34" t="n">
        <f aca="false">'Market Sizing'!$E$18*Assumptions!$E$10*Assumptions!$E$11*(1-Assumptions!$E$12)</f>
        <v>24.76992</v>
      </c>
    </row>
    <row r="3916" customFormat="false" ht="15" hidden="false" customHeight="false" outlineLevel="0" collapsed="false">
      <c r="A3916" s="4" t="s">
        <v>457</v>
      </c>
      <c r="B3916" s="36"/>
      <c r="C3916" s="34" t="n">
        <f aca="false">$C$3913+$C$3914+$C$3915</f>
        <v>779.44810944</v>
      </c>
    </row>
    <row r="3917" customFormat="false" ht="15" hidden="false" customHeight="false" outlineLevel="0" collapsed="false">
      <c r="A3917" s="4" t="s">
        <v>458</v>
      </c>
      <c r="B3917" s="36" t="s">
        <v>450</v>
      </c>
      <c r="C3917" s="34" t="n">
        <f aca="false">'Market Sizing'!$C$19*Assumptions!$E$10*Assumptions!$E$11*(1-Assumptions!$E$12)</f>
        <v>2060.77303936</v>
      </c>
    </row>
    <row r="3918" customFormat="false" ht="15" hidden="false" customHeight="false" outlineLevel="0" collapsed="false">
      <c r="A3918" s="4" t="s">
        <v>459</v>
      </c>
      <c r="B3918" s="36" t="s">
        <v>450</v>
      </c>
      <c r="C3918" s="34" t="n">
        <f aca="false">'Market Sizing'!$D$19*Assumptions!$E$10*Assumptions!$E$11*(1-Assumptions!$E$12)</f>
        <v>428.47616</v>
      </c>
    </row>
    <row r="3919" customFormat="false" ht="15" hidden="false" customHeight="false" outlineLevel="0" collapsed="false">
      <c r="A3919" s="4" t="s">
        <v>460</v>
      </c>
      <c r="B3919" s="36" t="s">
        <v>450</v>
      </c>
      <c r="C3919" s="34" t="n">
        <f aca="false">'Market Sizing'!$E$19*Assumptions!$E$10*Assumptions!$E$11*(1-Assumptions!$E$12)</f>
        <v>79.52448</v>
      </c>
    </row>
    <row r="3920" customFormat="false" ht="15" hidden="false" customHeight="false" outlineLevel="0" collapsed="false">
      <c r="A3920" s="4" t="s">
        <v>461</v>
      </c>
      <c r="B3920" s="36"/>
      <c r="C3920" s="34" t="n">
        <f aca="false">$C$3917+$C$3918+$C$3919</f>
        <v>2568.77367936</v>
      </c>
    </row>
    <row r="3921" customFormat="false" ht="15" hidden="false" customHeight="false" outlineLevel="0" collapsed="false">
      <c r="A3921" s="4" t="s">
        <v>462</v>
      </c>
      <c r="B3921" s="36" t="s">
        <v>463</v>
      </c>
      <c r="C3921" s="33" t="n">
        <f aca="false">MAX((Assumptions!$E$51+Assumptions!$E$53)*12,(((('Market Sizing'!$E$25*Assumptions!$E$41*Assumptions!$E$42*Assumptions!$E$43)*Assumptions!$E$44)*Assumptions!$E$45*Assumptions!$E$46+('Market Sizing'!$E$25*Assumptions!$E$41*Assumptions!$E$42*Assumptions!$E$43)*Assumptions!$E$47+('Market Sizing'!$E$25*Assumptions!$E$41*Assumptions!$E$42*Assumptions!$E$43)*Assumptions!$E$48*Assumptions!$E$49)*(Assumptions!$E$51*12/Assumptions!$E$52)+((('Market Sizing'!$E$25*Assumptions!$E$41*Assumptions!$E$42*Assumptions!$E$43)*Assumptions!$E$44)*Assumptions!$E$45+('Market Sizing'!$E$25*Assumptions!$E$41*Assumptions!$E$42*Assumptions!$E$43)+('Market Sizing'!$E$25*Assumptions!$E$41*Assumptions!$E$42*Assumptions!$E$43)*Assumptions!$E$48)*Assumptions!$E$50*(Assumptions!$E$53*12/Assumptions!$E$54)))</f>
        <v>5352</v>
      </c>
    </row>
    <row r="3922" customFormat="false" ht="15" hidden="false" customHeight="false" outlineLevel="0" collapsed="false">
      <c r="A3922" s="4" t="s">
        <v>464</v>
      </c>
      <c r="B3922" s="36" t="s">
        <v>463</v>
      </c>
      <c r="C3922" s="33" t="n">
        <f aca="false">MAX((Assumptions!$E$51+Assumptions!$E$53)*12,(((('Market Sizing'!$E$26*Assumptions!$E$41*Assumptions!$E$42*Assumptions!$E$43)*Assumptions!$E$44)*Assumptions!$E$45*Assumptions!$E$46+('Market Sizing'!$E$26*Assumptions!$E$41*Assumptions!$E$42*Assumptions!$E$43)*Assumptions!$E$47+('Market Sizing'!$E$26*Assumptions!$E$41*Assumptions!$E$42*Assumptions!$E$43)*Assumptions!$E$48*Assumptions!$E$49)*(Assumptions!$E$51*12/Assumptions!$E$52)+((('Market Sizing'!$E$26*Assumptions!$E$41*Assumptions!$E$42*Assumptions!$E$43)*Assumptions!$E$44)*Assumptions!$E$45+('Market Sizing'!$E$26*Assumptions!$E$41*Assumptions!$E$42*Assumptions!$E$43)+('Market Sizing'!$E$26*Assumptions!$E$41*Assumptions!$E$42*Assumptions!$E$43)*Assumptions!$E$48)*Assumptions!$E$50*(Assumptions!$E$53*12/Assumptions!$E$54)))</f>
        <v>9766.72012875208</v>
      </c>
    </row>
    <row r="3923" customFormat="false" ht="15" hidden="false" customHeight="false" outlineLevel="0" collapsed="false">
      <c r="A3923" s="4" t="s">
        <v>465</v>
      </c>
      <c r="B3923" s="36" t="s">
        <v>463</v>
      </c>
      <c r="C3923" s="33" t="n">
        <f aca="false">MAX(Assumptions!$E$55*(Assumptions!$E$51*12/Assumptions!$E$52)+Assumptions!$E$56*(Assumptions!$E$53*12/Assumptions!$E$54),(((('Market Sizing'!$E$27*Assumptions!$E$41*Assumptions!$E$42*Assumptions!$E$43)*Assumptions!$E$44)*Assumptions!$E$45*Assumptions!$E$46+('Market Sizing'!$E$27*Assumptions!$E$41*Assumptions!$E$42*Assumptions!$E$43)*Assumptions!$E$47+('Market Sizing'!$E$27*Assumptions!$E$41*Assumptions!$E$42*Assumptions!$E$43)*Assumptions!$E$48*Assumptions!$E$49)*(Assumptions!$E$51*12/Assumptions!$E$52)+((('Market Sizing'!$E$27*Assumptions!$E$41*Assumptions!$E$42*Assumptions!$E$43)*Assumptions!$E$44)*Assumptions!$E$45+('Market Sizing'!$E$27*Assumptions!$E$41*Assumptions!$E$42*Assumptions!$E$43)+('Market Sizing'!$E$27*Assumptions!$E$41*Assumptions!$E$42*Assumptions!$E$43)*Assumptions!$E$48)*Assumptions!$E$50*(Assumptions!$E$53*12/Assumptions!$E$54)))*(1-Assumptions!$E$57)</f>
        <v>61778.2562194386</v>
      </c>
    </row>
    <row r="3924" customFormat="false" ht="23.85" hidden="false" customHeight="false" outlineLevel="0" collapsed="false">
      <c r="A3924" s="4" t="s">
        <v>466</v>
      </c>
      <c r="B3924" s="36" t="s">
        <v>467</v>
      </c>
      <c r="C3924" s="37" t="n">
        <f aca="false">Assumptions!$E$17*Assumptions!$D$106</f>
        <v>0.4</v>
      </c>
    </row>
    <row r="3925" customFormat="false" ht="23.85" hidden="false" customHeight="false" outlineLevel="0" collapsed="false">
      <c r="A3925" s="4" t="s">
        <v>468</v>
      </c>
      <c r="B3925" s="36" t="s">
        <v>469</v>
      </c>
      <c r="C3925" s="33" t="n">
        <f aca="false">Assumptions!$E$68/Assumptions!$E$69</f>
        <v>285714.285714286</v>
      </c>
    </row>
    <row r="3926" customFormat="false" ht="23.85" hidden="false" customHeight="false" outlineLevel="0" collapsed="false">
      <c r="A3926" s="4" t="s">
        <v>470</v>
      </c>
      <c r="B3926" s="36" t="s">
        <v>471</v>
      </c>
      <c r="C3926" s="33" t="n">
        <f aca="false">Assumptions!$E$66*Assumptions!$E$67/4</f>
        <v>153125</v>
      </c>
    </row>
    <row r="3927" customFormat="false" ht="15" hidden="false" customHeight="false" outlineLevel="0" collapsed="false">
      <c r="A3927" s="4" t="s">
        <v>472</v>
      </c>
      <c r="B3927" s="36"/>
      <c r="C3927" s="38" t="n">
        <f aca="false">$C$3925/Assumptions!$E$66/Assumptions!$E$67</f>
        <v>0.466472303206997</v>
      </c>
    </row>
    <row r="3928" customFormat="false" ht="15" hidden="false" customHeight="false" outlineLevel="0" collapsed="false">
      <c r="A3928" s="4" t="s">
        <v>473</v>
      </c>
      <c r="B3928" s="36"/>
      <c r="C3928" s="33" t="n">
        <f aca="false">MAX(0,Assumptions!$D$103-Assumptions!$E$78)</f>
        <v>0</v>
      </c>
    </row>
    <row r="3929" customFormat="false" ht="15" hidden="false" customHeight="false" outlineLevel="0" collapsed="false">
      <c r="A3929" s="35" t="s">
        <v>474</v>
      </c>
      <c r="B3929" s="35" t="s">
        <v>444</v>
      </c>
      <c r="C3929" s="6" t="s">
        <v>354</v>
      </c>
      <c r="D3929" s="6" t="s">
        <v>355</v>
      </c>
      <c r="E3929" s="6" t="s">
        <v>356</v>
      </c>
      <c r="F3929" s="6" t="s">
        <v>357</v>
      </c>
      <c r="G3929" s="6" t="s">
        <v>358</v>
      </c>
      <c r="H3929" s="6" t="s">
        <v>359</v>
      </c>
      <c r="I3929" s="6" t="s">
        <v>360</v>
      </c>
      <c r="J3929" s="6" t="s">
        <v>361</v>
      </c>
      <c r="K3929" s="6" t="s">
        <v>362</v>
      </c>
      <c r="L3929" s="6" t="s">
        <v>363</v>
      </c>
      <c r="M3929" s="6" t="s">
        <v>364</v>
      </c>
      <c r="N3929" s="6" t="s">
        <v>365</v>
      </c>
      <c r="P3929" s="6" t="s">
        <v>445</v>
      </c>
      <c r="Q3929" s="6" t="s">
        <v>446</v>
      </c>
      <c r="R3929" s="6" t="s">
        <v>447</v>
      </c>
      <c r="S3929" s="6" t="s">
        <v>448</v>
      </c>
    </row>
    <row r="3930" customFormat="false" ht="15" hidden="false" customHeight="false" outlineLevel="0" collapsed="false">
      <c r="A3930" s="4" t="s">
        <v>475</v>
      </c>
      <c r="B3930" s="36" t="s">
        <v>133</v>
      </c>
      <c r="C3930" s="39" t="n">
        <v>1</v>
      </c>
      <c r="D3930" s="39" t="n">
        <v>2</v>
      </c>
      <c r="E3930" s="39" t="n">
        <v>3</v>
      </c>
      <c r="F3930" s="39" t="n">
        <v>4</v>
      </c>
      <c r="G3930" s="39" t="n">
        <v>5</v>
      </c>
      <c r="H3930" s="39" t="n">
        <v>6</v>
      </c>
      <c r="I3930" s="39" t="n">
        <v>7</v>
      </c>
      <c r="J3930" s="39" t="n">
        <v>8</v>
      </c>
      <c r="K3930" s="39" t="n">
        <v>9</v>
      </c>
      <c r="L3930" s="39" t="n">
        <v>10</v>
      </c>
      <c r="M3930" s="39" t="n">
        <v>11</v>
      </c>
      <c r="N3930" s="39" t="n">
        <v>12</v>
      </c>
      <c r="P3930" s="40"/>
      <c r="Q3930" s="40"/>
      <c r="R3930" s="40"/>
      <c r="S3930" s="41"/>
    </row>
    <row r="3931" customFormat="false" ht="15" hidden="false" customHeight="false" outlineLevel="0" collapsed="false">
      <c r="A3931" s="4" t="s">
        <v>476</v>
      </c>
      <c r="B3931" s="36" t="s">
        <v>343</v>
      </c>
      <c r="C3931" s="39" t="n">
        <f aca="false">IF(C3930&lt;=Assumptions!$E$84,1,0)</f>
        <v>1</v>
      </c>
      <c r="D3931" s="39" t="n">
        <f aca="false">IF(D3930&lt;=Assumptions!$E$84,1,0)</f>
        <v>1</v>
      </c>
      <c r="E3931" s="39" t="n">
        <f aca="false">IF(E3930&lt;=Assumptions!$E$84,1,0)</f>
        <v>1</v>
      </c>
      <c r="F3931" s="39" t="n">
        <f aca="false">IF(F3930&lt;=Assumptions!$E$84,1,0)</f>
        <v>1</v>
      </c>
      <c r="G3931" s="39" t="n">
        <f aca="false">IF(G3930&lt;=Assumptions!$E$84,1,0)</f>
        <v>1</v>
      </c>
      <c r="H3931" s="39" t="n">
        <f aca="false">IF(H3930&lt;=Assumptions!$E$84,1,0)</f>
        <v>1</v>
      </c>
      <c r="I3931" s="39" t="n">
        <f aca="false">IF(I3930&lt;=Assumptions!$E$84,1,0)</f>
        <v>1</v>
      </c>
      <c r="J3931" s="39" t="n">
        <f aca="false">IF(J3930&lt;=Assumptions!$E$84,1,0)</f>
        <v>1</v>
      </c>
      <c r="K3931" s="39" t="n">
        <f aca="false">IF(K3930&lt;=Assumptions!$E$84,1,0)</f>
        <v>1</v>
      </c>
      <c r="L3931" s="39" t="n">
        <f aca="false">IF(L3930&lt;=Assumptions!$E$84,1,0)</f>
        <v>1</v>
      </c>
      <c r="M3931" s="39" t="n">
        <f aca="false">IF(M3930&lt;=Assumptions!$E$84,1,0)</f>
        <v>1</v>
      </c>
      <c r="N3931" s="39" t="n">
        <f aca="false">IF(N3930&lt;=Assumptions!$E$84,1,0)</f>
        <v>1</v>
      </c>
      <c r="P3931" s="40"/>
      <c r="Q3931" s="40"/>
      <c r="R3931" s="40"/>
      <c r="S3931" s="41"/>
    </row>
    <row r="3932" customFormat="false" ht="15" hidden="false" customHeight="false" outlineLevel="0" collapsed="false">
      <c r="A3932" s="4" t="s">
        <v>477</v>
      </c>
      <c r="B3932" s="36" t="s">
        <v>478</v>
      </c>
      <c r="C3932" s="42" t="n">
        <f aca="false">IF(C3930=Assumptions!$E$13,0.5,IF(C3930&gt;Assumptions!$E$13,1,0))</f>
        <v>0.5</v>
      </c>
      <c r="D3932" s="42" t="n">
        <f aca="false">IF(D3930=Assumptions!$E$13,0.5,IF(D3930&gt;Assumptions!$E$13,1,0))</f>
        <v>1</v>
      </c>
      <c r="E3932" s="42" t="n">
        <f aca="false">IF(E3930=Assumptions!$E$13,0.5,IF(E3930&gt;Assumptions!$E$13,1,0))</f>
        <v>1</v>
      </c>
      <c r="F3932" s="42" t="n">
        <f aca="false">IF(F3930=Assumptions!$E$13,0.5,IF(F3930&gt;Assumptions!$E$13,1,0))</f>
        <v>1</v>
      </c>
      <c r="G3932" s="42" t="n">
        <f aca="false">IF(G3930=Assumptions!$E$13,0.5,IF(G3930&gt;Assumptions!$E$13,1,0))</f>
        <v>1</v>
      </c>
      <c r="H3932" s="42" t="n">
        <f aca="false">IF(H3930=Assumptions!$E$13,0.5,IF(H3930&gt;Assumptions!$E$13,1,0))</f>
        <v>1</v>
      </c>
      <c r="I3932" s="42" t="n">
        <f aca="false">IF(I3930=Assumptions!$E$13,0.5,IF(I3930&gt;Assumptions!$E$13,1,0))</f>
        <v>1</v>
      </c>
      <c r="J3932" s="42" t="n">
        <f aca="false">IF(J3930=Assumptions!$E$13,0.5,IF(J3930&gt;Assumptions!$E$13,1,0))</f>
        <v>1</v>
      </c>
      <c r="K3932" s="42" t="n">
        <f aca="false">IF(K3930=Assumptions!$E$13,0.5,IF(K3930&gt;Assumptions!$E$13,1,0))</f>
        <v>1</v>
      </c>
      <c r="L3932" s="42" t="n">
        <f aca="false">IF(L3930=Assumptions!$E$13,0.5,IF(L3930&gt;Assumptions!$E$13,1,0))</f>
        <v>1</v>
      </c>
      <c r="M3932" s="42" t="n">
        <f aca="false">IF(M3930=Assumptions!$E$13,0.5,IF(M3930&gt;Assumptions!$E$13,1,0))</f>
        <v>1</v>
      </c>
      <c r="N3932" s="42" t="n">
        <f aca="false">IF(N3930=Assumptions!$E$13,0.5,IF(N3930&gt;Assumptions!$E$13,1,0))</f>
        <v>1</v>
      </c>
      <c r="P3932" s="43"/>
      <c r="Q3932" s="43"/>
      <c r="R3932" s="43"/>
      <c r="S3932" s="44"/>
    </row>
    <row r="3933" customFormat="false" ht="15" hidden="false" customHeight="false" outlineLevel="0" collapsed="false">
      <c r="A3933" s="4" t="s">
        <v>479</v>
      </c>
      <c r="B3933" s="36" t="s">
        <v>478</v>
      </c>
      <c r="C3933" s="42" t="n">
        <f aca="false">IF(C3930=Assumptions!$E$14,0.5,IF(C3930&gt;Assumptions!$E$14,1,0))</f>
        <v>0</v>
      </c>
      <c r="D3933" s="42" t="n">
        <f aca="false">IF(D3930=Assumptions!$E$14,0.5,IF(D3930&gt;Assumptions!$E$14,1,0))</f>
        <v>0</v>
      </c>
      <c r="E3933" s="42" t="n">
        <f aca="false">IF(E3930=Assumptions!$E$14,0.5,IF(E3930&gt;Assumptions!$E$14,1,0))</f>
        <v>0</v>
      </c>
      <c r="F3933" s="42" t="n">
        <f aca="false">IF(F3930=Assumptions!$E$14,0.5,IF(F3930&gt;Assumptions!$E$14,1,0))</f>
        <v>0</v>
      </c>
      <c r="G3933" s="42" t="n">
        <f aca="false">IF(G3930=Assumptions!$E$14,0.5,IF(G3930&gt;Assumptions!$E$14,1,0))</f>
        <v>0.5</v>
      </c>
      <c r="H3933" s="42" t="n">
        <f aca="false">IF(H3930=Assumptions!$E$14,0.5,IF(H3930&gt;Assumptions!$E$14,1,0))</f>
        <v>1</v>
      </c>
      <c r="I3933" s="42" t="n">
        <f aca="false">IF(I3930=Assumptions!$E$14,0.5,IF(I3930&gt;Assumptions!$E$14,1,0))</f>
        <v>1</v>
      </c>
      <c r="J3933" s="42" t="n">
        <f aca="false">IF(J3930=Assumptions!$E$14,0.5,IF(J3930&gt;Assumptions!$E$14,1,0))</f>
        <v>1</v>
      </c>
      <c r="K3933" s="42" t="n">
        <f aca="false">IF(K3930=Assumptions!$E$14,0.5,IF(K3930&gt;Assumptions!$E$14,1,0))</f>
        <v>1</v>
      </c>
      <c r="L3933" s="42" t="n">
        <f aca="false">IF(L3930=Assumptions!$E$14,0.5,IF(L3930&gt;Assumptions!$E$14,1,0))</f>
        <v>1</v>
      </c>
      <c r="M3933" s="42" t="n">
        <f aca="false">IF(M3930=Assumptions!$E$14,0.5,IF(M3930&gt;Assumptions!$E$14,1,0))</f>
        <v>1</v>
      </c>
      <c r="N3933" s="42" t="n">
        <f aca="false">IF(N3930=Assumptions!$E$14,0.5,IF(N3930&gt;Assumptions!$E$14,1,0))</f>
        <v>1</v>
      </c>
      <c r="P3933" s="43"/>
      <c r="Q3933" s="43"/>
      <c r="R3933" s="43"/>
      <c r="S3933" s="44"/>
    </row>
    <row r="3934" customFormat="false" ht="15" hidden="false" customHeight="false" outlineLevel="0" collapsed="false">
      <c r="A3934" s="4" t="s">
        <v>480</v>
      </c>
      <c r="B3934" s="36" t="s">
        <v>478</v>
      </c>
      <c r="C3934" s="42" t="n">
        <f aca="false">IF(C3930=Assumptions!$E$15,0.5,IF(C3930&gt;Assumptions!$E$15,1,0))</f>
        <v>0</v>
      </c>
      <c r="D3934" s="42" t="n">
        <f aca="false">IF(D3930=Assumptions!$E$15,0.5,IF(D3930&gt;Assumptions!$E$15,1,0))</f>
        <v>0</v>
      </c>
      <c r="E3934" s="42" t="n">
        <f aca="false">IF(E3930=Assumptions!$E$15,0.5,IF(E3930&gt;Assumptions!$E$15,1,0))</f>
        <v>0</v>
      </c>
      <c r="F3934" s="42" t="n">
        <f aca="false">IF(F3930=Assumptions!$E$15,0.5,IF(F3930&gt;Assumptions!$E$15,1,0))</f>
        <v>0</v>
      </c>
      <c r="G3934" s="42" t="n">
        <f aca="false">IF(G3930=Assumptions!$E$15,0.5,IF(G3930&gt;Assumptions!$E$15,1,0))</f>
        <v>0</v>
      </c>
      <c r="H3934" s="42" t="n">
        <f aca="false">IF(H3930=Assumptions!$E$15,0.5,IF(H3930&gt;Assumptions!$E$15,1,0))</f>
        <v>0</v>
      </c>
      <c r="I3934" s="42" t="n">
        <f aca="false">IF(I3930=Assumptions!$E$15,0.5,IF(I3930&gt;Assumptions!$E$15,1,0))</f>
        <v>0.5</v>
      </c>
      <c r="J3934" s="42" t="n">
        <f aca="false">IF(J3930=Assumptions!$E$15,0.5,IF(J3930&gt;Assumptions!$E$15,1,0))</f>
        <v>1</v>
      </c>
      <c r="K3934" s="42" t="n">
        <f aca="false">IF(K3930=Assumptions!$E$15,0.5,IF(K3930&gt;Assumptions!$E$15,1,0))</f>
        <v>1</v>
      </c>
      <c r="L3934" s="42" t="n">
        <f aca="false">IF(L3930=Assumptions!$E$15,0.5,IF(L3930&gt;Assumptions!$E$15,1,0))</f>
        <v>1</v>
      </c>
      <c r="M3934" s="42" t="n">
        <f aca="false">IF(M3930=Assumptions!$E$15,0.5,IF(M3930&gt;Assumptions!$E$15,1,0))</f>
        <v>1</v>
      </c>
      <c r="N3934" s="42" t="n">
        <f aca="false">IF(N3930=Assumptions!$E$15,0.5,IF(N3930&gt;Assumptions!$E$15,1,0))</f>
        <v>1</v>
      </c>
      <c r="P3934" s="43"/>
      <c r="Q3934" s="43"/>
      <c r="R3934" s="43"/>
      <c r="S3934" s="44"/>
    </row>
    <row r="3935" customFormat="false" ht="15" hidden="false" customHeight="false" outlineLevel="0" collapsed="false">
      <c r="A3935" s="4" t="s">
        <v>481</v>
      </c>
      <c r="B3935" s="36" t="s">
        <v>478</v>
      </c>
      <c r="C3935" s="45" t="n">
        <f aca="false">Assumptions!$E$21^(MAX(0,C3930-Assumptions!$E$13)/4)</f>
        <v>1</v>
      </c>
      <c r="D3935" s="45" t="n">
        <f aca="false">Assumptions!$E$21^(MAX(0,D3930-Assumptions!$E$13)/4)</f>
        <v>0.9306048591021</v>
      </c>
      <c r="E3935" s="45" t="n">
        <f aca="false">Assumptions!$E$21^(MAX(0,E3930-Assumptions!$E$13)/4)</f>
        <v>0.866025403784439</v>
      </c>
      <c r="F3935" s="45" t="n">
        <f aca="false">Assumptions!$E$21^(MAX(0,F3930-Assumptions!$E$13)/4)</f>
        <v>0.805927448867656</v>
      </c>
      <c r="G3935" s="45" t="n">
        <f aca="false">Assumptions!$E$21^(MAX(0,G3930-Assumptions!$E$13)/4)</f>
        <v>0.75</v>
      </c>
      <c r="H3935" s="45" t="n">
        <f aca="false">Assumptions!$E$21^(MAX(0,H3930-Assumptions!$E$13)/4)</f>
        <v>0.697953644326575</v>
      </c>
      <c r="I3935" s="45" t="n">
        <f aca="false">Assumptions!$E$21^(MAX(0,I3930-Assumptions!$E$13)/4)</f>
        <v>0.649519052838329</v>
      </c>
      <c r="J3935" s="45" t="n">
        <f aca="false">Assumptions!$E$21^(MAX(0,J3930-Assumptions!$E$13)/4)</f>
        <v>0.604445586650742</v>
      </c>
      <c r="K3935" s="45" t="n">
        <f aca="false">Assumptions!$E$21^(MAX(0,K3930-Assumptions!$E$13)/4)</f>
        <v>0.5625</v>
      </c>
      <c r="L3935" s="45" t="n">
        <f aca="false">Assumptions!$E$21^(MAX(0,L3930-Assumptions!$E$13)/4)</f>
        <v>0.523465233244931</v>
      </c>
      <c r="M3935" s="45" t="n">
        <f aca="false">Assumptions!$E$21^(MAX(0,M3930-Assumptions!$E$13)/4)</f>
        <v>0.487139289628747</v>
      </c>
      <c r="N3935" s="45" t="n">
        <f aca="false">Assumptions!$E$21^(MAX(0,N3930-Assumptions!$E$13)/4)</f>
        <v>0.453334189988057</v>
      </c>
      <c r="P3935" s="46"/>
      <c r="Q3935" s="46"/>
      <c r="R3935" s="46"/>
      <c r="S3935" s="47"/>
    </row>
    <row r="3936" customFormat="false" ht="15" hidden="false" customHeight="false" outlineLevel="0" collapsed="false">
      <c r="A3936" s="4" t="s">
        <v>482</v>
      </c>
      <c r="B3936" s="36" t="s">
        <v>478</v>
      </c>
      <c r="C3936" s="45" t="n">
        <f aca="false">Assumptions!$E$21^(MAX(0,C3930-Assumptions!$E$14)/4)</f>
        <v>1</v>
      </c>
      <c r="D3936" s="45" t="n">
        <f aca="false">Assumptions!$E$21^(MAX(0,D3930-Assumptions!$E$14)/4)</f>
        <v>1</v>
      </c>
      <c r="E3936" s="45" t="n">
        <f aca="false">Assumptions!$E$21^(MAX(0,E3930-Assumptions!$E$14)/4)</f>
        <v>1</v>
      </c>
      <c r="F3936" s="45" t="n">
        <f aca="false">Assumptions!$E$21^(MAX(0,F3930-Assumptions!$E$14)/4)</f>
        <v>1</v>
      </c>
      <c r="G3936" s="45" t="n">
        <f aca="false">Assumptions!$E$21^(MAX(0,G3930-Assumptions!$E$14)/4)</f>
        <v>1</v>
      </c>
      <c r="H3936" s="45" t="n">
        <f aca="false">Assumptions!$E$21^(MAX(0,H3930-Assumptions!$E$14)/4)</f>
        <v>0.9306048591021</v>
      </c>
      <c r="I3936" s="45" t="n">
        <f aca="false">Assumptions!$E$21^(MAX(0,I3930-Assumptions!$E$14)/4)</f>
        <v>0.866025403784439</v>
      </c>
      <c r="J3936" s="45" t="n">
        <f aca="false">Assumptions!$E$21^(MAX(0,J3930-Assumptions!$E$14)/4)</f>
        <v>0.805927448867656</v>
      </c>
      <c r="K3936" s="45" t="n">
        <f aca="false">Assumptions!$E$21^(MAX(0,K3930-Assumptions!$E$14)/4)</f>
        <v>0.75</v>
      </c>
      <c r="L3936" s="45" t="n">
        <f aca="false">Assumptions!$E$21^(MAX(0,L3930-Assumptions!$E$14)/4)</f>
        <v>0.697953644326575</v>
      </c>
      <c r="M3936" s="45" t="n">
        <f aca="false">Assumptions!$E$21^(MAX(0,M3930-Assumptions!$E$14)/4)</f>
        <v>0.649519052838329</v>
      </c>
      <c r="N3936" s="45" t="n">
        <f aca="false">Assumptions!$E$21^(MAX(0,N3930-Assumptions!$E$14)/4)</f>
        <v>0.604445586650742</v>
      </c>
      <c r="P3936" s="46"/>
      <c r="Q3936" s="46"/>
      <c r="R3936" s="46"/>
      <c r="S3936" s="47"/>
    </row>
    <row r="3937" customFormat="false" ht="15" hidden="false" customHeight="false" outlineLevel="0" collapsed="false">
      <c r="A3937" s="4" t="s">
        <v>483</v>
      </c>
      <c r="B3937" s="36" t="s">
        <v>478</v>
      </c>
      <c r="C3937" s="45" t="n">
        <f aca="false">Assumptions!$E$21^(MAX(0,C3930-Assumptions!$E$15)/4)</f>
        <v>1</v>
      </c>
      <c r="D3937" s="45" t="n">
        <f aca="false">Assumptions!$E$21^(MAX(0,D3930-Assumptions!$E$15)/4)</f>
        <v>1</v>
      </c>
      <c r="E3937" s="45" t="n">
        <f aca="false">Assumptions!$E$21^(MAX(0,E3930-Assumptions!$E$15)/4)</f>
        <v>1</v>
      </c>
      <c r="F3937" s="45" t="n">
        <f aca="false">Assumptions!$E$21^(MAX(0,F3930-Assumptions!$E$15)/4)</f>
        <v>1</v>
      </c>
      <c r="G3937" s="45" t="n">
        <f aca="false">Assumptions!$E$21^(MAX(0,G3930-Assumptions!$E$15)/4)</f>
        <v>1</v>
      </c>
      <c r="H3937" s="45" t="n">
        <f aca="false">Assumptions!$E$21^(MAX(0,H3930-Assumptions!$E$15)/4)</f>
        <v>1</v>
      </c>
      <c r="I3937" s="45" t="n">
        <f aca="false">Assumptions!$E$21^(MAX(0,I3930-Assumptions!$E$15)/4)</f>
        <v>1</v>
      </c>
      <c r="J3937" s="45" t="n">
        <f aca="false">Assumptions!$E$21^(MAX(0,J3930-Assumptions!$E$15)/4)</f>
        <v>0.9306048591021</v>
      </c>
      <c r="K3937" s="45" t="n">
        <f aca="false">Assumptions!$E$21^(MAX(0,K3930-Assumptions!$E$15)/4)</f>
        <v>0.866025403784439</v>
      </c>
      <c r="L3937" s="45" t="n">
        <f aca="false">Assumptions!$E$21^(MAX(0,L3930-Assumptions!$E$15)/4)</f>
        <v>0.805927448867656</v>
      </c>
      <c r="M3937" s="45" t="n">
        <f aca="false">Assumptions!$E$21^(MAX(0,M3930-Assumptions!$E$15)/4)</f>
        <v>0.75</v>
      </c>
      <c r="N3937" s="45" t="n">
        <f aca="false">Assumptions!$E$21^(MAX(0,N3930-Assumptions!$E$15)/4)</f>
        <v>0.697953644326575</v>
      </c>
      <c r="P3937" s="46"/>
      <c r="Q3937" s="46"/>
      <c r="R3937" s="46"/>
      <c r="S3937" s="47"/>
    </row>
    <row r="3938" customFormat="false" ht="15" hidden="false" customHeight="false" outlineLevel="0" collapsed="false">
      <c r="A3938" s="4" t="s">
        <v>484</v>
      </c>
      <c r="B3938" s="36" t="s">
        <v>485</v>
      </c>
      <c r="C3938" s="39" t="n">
        <f aca="false">$C$3909*C3932+$C$3913*C3933+$C$3917*C3934</f>
        <v>421.51972352</v>
      </c>
      <c r="D3938" s="39" t="n">
        <f aca="false">$C$3909*D3932+$C$3913*D3933+$C$3917*D3934</f>
        <v>843.03944704</v>
      </c>
      <c r="E3938" s="39" t="n">
        <f aca="false">$C$3909*E3932+$C$3913*E3933+$C$3917*E3934</f>
        <v>843.03944704</v>
      </c>
      <c r="F3938" s="39" t="n">
        <f aca="false">$C$3909*F3932+$C$3913*F3933+$C$3917*F3934</f>
        <v>843.03944704</v>
      </c>
      <c r="G3938" s="39" t="n">
        <f aca="false">$C$3909*G3932+$C$3913*G3933+$C$3917*G3934</f>
        <v>1149.32798176</v>
      </c>
      <c r="H3938" s="39" t="n">
        <f aca="false">$C$3909*H3932+$C$3913*H3933+$C$3917*H3934</f>
        <v>1455.61651648</v>
      </c>
      <c r="I3938" s="39" t="n">
        <f aca="false">$C$3909*I3932+$C$3913*I3933+$C$3917*I3934</f>
        <v>2486.00303616</v>
      </c>
      <c r="J3938" s="39" t="n">
        <f aca="false">$C$3909*J3932+$C$3913*J3933+$C$3917*J3934</f>
        <v>3516.38955584</v>
      </c>
      <c r="K3938" s="39" t="n">
        <f aca="false">$C$3909*K3932+$C$3913*K3933+$C$3917*K3934</f>
        <v>3516.38955584</v>
      </c>
      <c r="L3938" s="39" t="n">
        <f aca="false">$C$3909*L3932+$C$3913*L3933+$C$3917*L3934</f>
        <v>3516.38955584</v>
      </c>
      <c r="M3938" s="39" t="n">
        <f aca="false">$C$3909*M3932+$C$3913*M3933+$C$3917*M3934</f>
        <v>3516.38955584</v>
      </c>
      <c r="N3938" s="39" t="n">
        <f aca="false">$C$3909*N3932+$C$3913*N3933+$C$3917*N3934</f>
        <v>3516.38955584</v>
      </c>
      <c r="P3938" s="40" t="n">
        <f aca="false">F3938</f>
        <v>843.03944704</v>
      </c>
      <c r="Q3938" s="40" t="n">
        <f aca="false">J3938</f>
        <v>3516.38955584</v>
      </c>
      <c r="R3938" s="40" t="n">
        <f aca="false">N3938</f>
        <v>3516.38955584</v>
      </c>
      <c r="S3938" s="41" t="n">
        <f aca="false">R3938</f>
        <v>3516.38955584</v>
      </c>
    </row>
    <row r="3939" customFormat="false" ht="15" hidden="false" customHeight="false" outlineLevel="0" collapsed="false">
      <c r="A3939" s="4" t="s">
        <v>486</v>
      </c>
      <c r="B3939" s="36" t="s">
        <v>485</v>
      </c>
      <c r="C3939" s="39" t="n">
        <f aca="false">$C$3910*C3932+$C$3914*C3933+$C$3918*C3934</f>
        <v>105.59808</v>
      </c>
      <c r="D3939" s="39" t="n">
        <f aca="false">$C$3910*D3932+$C$3914*D3933+$C$3918*D3934</f>
        <v>211.19616</v>
      </c>
      <c r="E3939" s="39" t="n">
        <f aca="false">$C$3910*E3932+$C$3914*E3933+$C$3918*E3934</f>
        <v>211.19616</v>
      </c>
      <c r="F3939" s="39" t="n">
        <f aca="false">$C$3910*F3932+$C$3914*F3933+$C$3918*F3934</f>
        <v>211.19616</v>
      </c>
      <c r="G3939" s="39" t="n">
        <f aca="false">$C$3910*G3932+$C$3914*G3933+$C$3918*G3934</f>
        <v>282.24672</v>
      </c>
      <c r="H3939" s="39" t="n">
        <f aca="false">$C$3910*H3932+$C$3914*H3933+$C$3918*H3934</f>
        <v>353.29728</v>
      </c>
      <c r="I3939" s="39" t="n">
        <f aca="false">$C$3910*I3932+$C$3914*I3933+$C$3918*I3934</f>
        <v>567.53536</v>
      </c>
      <c r="J3939" s="39" t="n">
        <f aca="false">$C$3910*J3932+$C$3914*J3933+$C$3918*J3934</f>
        <v>781.77344</v>
      </c>
      <c r="K3939" s="39" t="n">
        <f aca="false">$C$3910*K3932+$C$3914*K3933+$C$3918*K3934</f>
        <v>781.77344</v>
      </c>
      <c r="L3939" s="39" t="n">
        <f aca="false">$C$3910*L3932+$C$3914*L3933+$C$3918*L3934</f>
        <v>781.77344</v>
      </c>
      <c r="M3939" s="39" t="n">
        <f aca="false">$C$3910*M3932+$C$3914*M3933+$C$3918*M3934</f>
        <v>781.77344</v>
      </c>
      <c r="N3939" s="39" t="n">
        <f aca="false">$C$3910*N3932+$C$3914*N3933+$C$3918*N3934</f>
        <v>781.77344</v>
      </c>
      <c r="P3939" s="40" t="n">
        <f aca="false">F3939</f>
        <v>211.19616</v>
      </c>
      <c r="Q3939" s="40" t="n">
        <f aca="false">J3939</f>
        <v>781.77344</v>
      </c>
      <c r="R3939" s="40" t="n">
        <f aca="false">N3939</f>
        <v>781.77344</v>
      </c>
      <c r="S3939" s="41" t="n">
        <f aca="false">R3939</f>
        <v>781.77344</v>
      </c>
    </row>
    <row r="3940" customFormat="false" ht="15" hidden="false" customHeight="false" outlineLevel="0" collapsed="false">
      <c r="A3940" s="4" t="s">
        <v>487</v>
      </c>
      <c r="B3940" s="36" t="s">
        <v>485</v>
      </c>
      <c r="C3940" s="39" t="n">
        <f aca="false">$C$3911*C3932+$C$3915*C3933+$C$3919*C3934</f>
        <v>24.76992</v>
      </c>
      <c r="D3940" s="39" t="n">
        <f aca="false">$C$3911*D3932+$C$3915*D3933+$C$3919*D3934</f>
        <v>49.53984</v>
      </c>
      <c r="E3940" s="39" t="n">
        <f aca="false">$C$3911*E3932+$C$3915*E3933+$C$3919*E3934</f>
        <v>49.53984</v>
      </c>
      <c r="F3940" s="39" t="n">
        <f aca="false">$C$3911*F3932+$C$3915*F3933+$C$3919*F3934</f>
        <v>49.53984</v>
      </c>
      <c r="G3940" s="39" t="n">
        <f aca="false">$C$3911*G3932+$C$3915*G3933+$C$3919*G3934</f>
        <v>61.9248</v>
      </c>
      <c r="H3940" s="39" t="n">
        <f aca="false">$C$3911*H3932+$C$3915*H3933+$C$3919*H3934</f>
        <v>74.30976</v>
      </c>
      <c r="I3940" s="39" t="n">
        <f aca="false">$C$3911*I3932+$C$3915*I3933+$C$3919*I3934</f>
        <v>114.072</v>
      </c>
      <c r="J3940" s="39" t="n">
        <f aca="false">$C$3911*J3932+$C$3915*J3933+$C$3919*J3934</f>
        <v>153.83424</v>
      </c>
      <c r="K3940" s="39" t="n">
        <f aca="false">$C$3911*K3932+$C$3915*K3933+$C$3919*K3934</f>
        <v>153.83424</v>
      </c>
      <c r="L3940" s="39" t="n">
        <f aca="false">$C$3911*L3932+$C$3915*L3933+$C$3919*L3934</f>
        <v>153.83424</v>
      </c>
      <c r="M3940" s="39" t="n">
        <f aca="false">$C$3911*M3932+$C$3915*M3933+$C$3919*M3934</f>
        <v>153.83424</v>
      </c>
      <c r="N3940" s="39" t="n">
        <f aca="false">$C$3911*N3932+$C$3915*N3933+$C$3919*N3934</f>
        <v>153.83424</v>
      </c>
      <c r="P3940" s="40" t="n">
        <f aca="false">F3940</f>
        <v>49.53984</v>
      </c>
      <c r="Q3940" s="40" t="n">
        <f aca="false">J3940</f>
        <v>153.83424</v>
      </c>
      <c r="R3940" s="40" t="n">
        <f aca="false">N3940</f>
        <v>153.83424</v>
      </c>
      <c r="S3940" s="41" t="n">
        <f aca="false">R3940</f>
        <v>153.83424</v>
      </c>
    </row>
    <row r="3941" customFormat="false" ht="15" hidden="false" customHeight="false" outlineLevel="0" collapsed="false">
      <c r="A3941" s="4" t="s">
        <v>488</v>
      </c>
      <c r="B3941" s="36" t="s">
        <v>485</v>
      </c>
      <c r="C3941" s="39" t="n">
        <f aca="false">C3938+C3939+C3940</f>
        <v>551.88772352</v>
      </c>
      <c r="D3941" s="39" t="n">
        <f aca="false">D3938+D3939+D3940</f>
        <v>1103.77544704</v>
      </c>
      <c r="E3941" s="39" t="n">
        <f aca="false">E3938+E3939+E3940</f>
        <v>1103.77544704</v>
      </c>
      <c r="F3941" s="39" t="n">
        <f aca="false">F3938+F3939+F3940</f>
        <v>1103.77544704</v>
      </c>
      <c r="G3941" s="39" t="n">
        <f aca="false">G3938+G3939+G3940</f>
        <v>1493.49950176</v>
      </c>
      <c r="H3941" s="39" t="n">
        <f aca="false">H3938+H3939+H3940</f>
        <v>1883.22355648</v>
      </c>
      <c r="I3941" s="39" t="n">
        <f aca="false">I3938+I3939+I3940</f>
        <v>3167.61039616</v>
      </c>
      <c r="J3941" s="39" t="n">
        <f aca="false">J3938+J3939+J3940</f>
        <v>4451.99723584</v>
      </c>
      <c r="K3941" s="39" t="n">
        <f aca="false">K3938+K3939+K3940</f>
        <v>4451.99723584</v>
      </c>
      <c r="L3941" s="39" t="n">
        <f aca="false">L3938+L3939+L3940</f>
        <v>4451.99723584</v>
      </c>
      <c r="M3941" s="39" t="n">
        <f aca="false">M3938+M3939+M3940</f>
        <v>4451.99723584</v>
      </c>
      <c r="N3941" s="39" t="n">
        <f aca="false">N3938+N3939+N3940</f>
        <v>4451.99723584</v>
      </c>
      <c r="P3941" s="40" t="n">
        <f aca="false">F3941</f>
        <v>1103.77544704</v>
      </c>
      <c r="Q3941" s="40" t="n">
        <f aca="false">J3941</f>
        <v>4451.99723584</v>
      </c>
      <c r="R3941" s="40" t="n">
        <f aca="false">N3941</f>
        <v>4451.99723584</v>
      </c>
      <c r="S3941" s="41" t="n">
        <f aca="false">R3941</f>
        <v>4451.99723584</v>
      </c>
    </row>
    <row r="3942" customFormat="false" ht="15" hidden="false" customHeight="false" outlineLevel="0" collapsed="false">
      <c r="A3942" s="4" t="s">
        <v>489</v>
      </c>
      <c r="B3942" s="36" t="s">
        <v>485</v>
      </c>
      <c r="C3942" s="39" t="n">
        <f aca="false">$C$3912*C3932*C3935+$C$3916*C3933*C3936+$C$3920*C3934*C3937</f>
        <v>551.88772352</v>
      </c>
      <c r="D3942" s="39" t="n">
        <f aca="false">$C$3912*D3932*D3935+$C$3916*D3933*D3936+$C$3920*D3934*D3937</f>
        <v>1027.17879437302</v>
      </c>
      <c r="E3942" s="39" t="n">
        <f aca="false">$C$3912*E3932*E3935+$C$3916*E3933*E3936+$C$3920*E3934*E3937</f>
        <v>955.897577210165</v>
      </c>
      <c r="F3942" s="39" t="n">
        <f aca="false">$C$3912*F3932*F3935+$C$3916*F3933*F3936+$C$3920*F3934*F3937</f>
        <v>889.562930155704</v>
      </c>
      <c r="G3942" s="39" t="n">
        <f aca="false">$C$3912*G3932*G3935+$C$3916*G3933*G3936+$C$3920*G3934*G3937</f>
        <v>1217.55564</v>
      </c>
      <c r="H3942" s="39" t="n">
        <f aca="false">$C$3912*H3932*H3935+$C$3916*H3933*H3936+$C$3920*H3934*H3937</f>
        <v>1495.74229384257</v>
      </c>
      <c r="I3942" s="39" t="n">
        <f aca="false">$C$3912*I3932*I3935+$C$3916*I3933*I3936+$C$3920*I3934*I3937</f>
        <v>2676.33188629442</v>
      </c>
      <c r="J3942" s="39" t="n">
        <f aca="false">$C$3912*J3932*J3935+$C$3916*J3933*J3936+$C$3920*J3934*J3937</f>
        <v>3685.86409192847</v>
      </c>
      <c r="K3942" s="39" t="n">
        <f aca="false">$C$3912*K3932*K3935+$C$3916*K3933*K3936+$C$3920*K3934*K3937</f>
        <v>3430.08303393858</v>
      </c>
      <c r="L3942" s="39" t="n">
        <f aca="false">$C$3912*L3932*L3935+$C$3916*L3933*L3936+$C$3920*L3934*L3937</f>
        <v>3192.05193850692</v>
      </c>
      <c r="M3942" s="39" t="n">
        <f aca="false">$C$3912*M3932*M3935+$C$3916*M3933*M3936+$C$3920*M3934*M3937</f>
        <v>2970.53904448081</v>
      </c>
      <c r="N3942" s="39" t="n">
        <f aca="false">$C$3912*N3932*N3935+$C$3916*N3933*N3936+$C$3920*N3934*N3937</f>
        <v>2764.39806894635</v>
      </c>
      <c r="P3942" s="40"/>
      <c r="Q3942" s="40"/>
      <c r="R3942" s="40"/>
      <c r="S3942" s="41"/>
    </row>
    <row r="3943" customFormat="false" ht="15" hidden="false" customHeight="false" outlineLevel="0" collapsed="false">
      <c r="A3943" s="4" t="s">
        <v>490</v>
      </c>
      <c r="B3943" s="36" t="s">
        <v>491</v>
      </c>
      <c r="C3943" s="48" t="n">
        <f aca="false">$C$3924*Assumptions!$E$20*C3931*C3942</f>
        <v>6.62265268224</v>
      </c>
      <c r="D3943" s="48" t="n">
        <f aca="false">$C$3924*Assumptions!$E$20*D3931*D3942</f>
        <v>12.3261455324762</v>
      </c>
      <c r="E3943" s="48" t="n">
        <f aca="false">$C$3924*Assumptions!$E$20*E3931*E3942</f>
        <v>11.470770926522</v>
      </c>
      <c r="F3943" s="48" t="n">
        <f aca="false">$C$3924*Assumptions!$E$20*F3931*F3942</f>
        <v>10.6747551618685</v>
      </c>
      <c r="G3943" s="48" t="n">
        <f aca="false">$C$3924*Assumptions!$E$20*G3931*G3942</f>
        <v>14.61066768</v>
      </c>
      <c r="H3943" s="48" t="n">
        <f aca="false">$C$3924*Assumptions!$E$20*H3931*H3942</f>
        <v>17.9489075261109</v>
      </c>
      <c r="I3943" s="48" t="n">
        <f aca="false">$C$3924*Assumptions!$E$20*I3931*I3942</f>
        <v>32.115982635533</v>
      </c>
      <c r="J3943" s="48" t="n">
        <f aca="false">$C$3924*Assumptions!$E$20*J3931*J3942</f>
        <v>44.2303691031417</v>
      </c>
      <c r="K3943" s="48" t="n">
        <f aca="false">$C$3924*Assumptions!$E$20*K3931*K3942</f>
        <v>41.160996407263</v>
      </c>
      <c r="L3943" s="48" t="n">
        <f aca="false">$C$3924*Assumptions!$E$20*L3931*L3942</f>
        <v>38.304623262083</v>
      </c>
      <c r="M3943" s="48" t="n">
        <f aca="false">$C$3924*Assumptions!$E$20*M3931*M3942</f>
        <v>35.6464685337698</v>
      </c>
      <c r="N3943" s="48" t="n">
        <f aca="false">$C$3924*Assumptions!$E$20*N3931*N3942</f>
        <v>33.1727768273562</v>
      </c>
      <c r="P3943" s="49" t="n">
        <f aca="false">SUM(C3943:F3943)</f>
        <v>41.0943243031066</v>
      </c>
      <c r="Q3943" s="49" t="n">
        <f aca="false">SUM(G3943:J3943)</f>
        <v>108.905926944786</v>
      </c>
      <c r="R3943" s="49" t="n">
        <f aca="false">SUM(K3943:N3943)</f>
        <v>148.284865030472</v>
      </c>
      <c r="S3943" s="50" t="n">
        <f aca="false">SUM(P3943:R3943)</f>
        <v>298.285116278364</v>
      </c>
    </row>
    <row r="3944" customFormat="false" ht="15" hidden="false" customHeight="false" outlineLevel="0" collapsed="false">
      <c r="A3944" s="4" t="s">
        <v>492</v>
      </c>
      <c r="B3944" s="36" t="s">
        <v>321</v>
      </c>
      <c r="C3944" s="48" t="n">
        <f aca="false">Assumptions!$D$111</f>
        <v>0</v>
      </c>
      <c r="D3944" s="48" t="n">
        <f aca="false">Assumptions!$E$111</f>
        <v>0</v>
      </c>
      <c r="E3944" s="48" t="n">
        <f aca="false">Assumptions!$F$111</f>
        <v>0</v>
      </c>
      <c r="F3944" s="48" t="n">
        <f aca="false">Assumptions!$G$111</f>
        <v>0</v>
      </c>
      <c r="G3944" s="48" t="n">
        <f aca="false">Assumptions!$H$111</f>
        <v>0</v>
      </c>
      <c r="H3944" s="48" t="n">
        <f aca="false">Assumptions!$I$111</f>
        <v>0</v>
      </c>
      <c r="I3944" s="48" t="n">
        <f aca="false">Assumptions!$J$111</f>
        <v>0</v>
      </c>
      <c r="J3944" s="48" t="n">
        <f aca="false">Assumptions!$K$111</f>
        <v>0</v>
      </c>
      <c r="K3944" s="48" t="n">
        <f aca="false">Assumptions!$L$111</f>
        <v>0</v>
      </c>
      <c r="L3944" s="48" t="n">
        <f aca="false">Assumptions!$M$111</f>
        <v>0</v>
      </c>
      <c r="M3944" s="48" t="n">
        <f aca="false">Assumptions!$N$111</f>
        <v>0</v>
      </c>
      <c r="N3944" s="48" t="n">
        <f aca="false">Assumptions!$O$111</f>
        <v>0</v>
      </c>
      <c r="P3944" s="49" t="n">
        <f aca="false">F3944</f>
        <v>0</v>
      </c>
      <c r="Q3944" s="49" t="n">
        <f aca="false">J3944</f>
        <v>0</v>
      </c>
      <c r="R3944" s="49" t="n">
        <f aca="false">N3944</f>
        <v>0</v>
      </c>
      <c r="S3944" s="50" t="n">
        <f aca="false">R3944</f>
        <v>0</v>
      </c>
    </row>
    <row r="3945" customFormat="false" ht="15" hidden="false" customHeight="false" outlineLevel="0" collapsed="false">
      <c r="A3945" s="4" t="s">
        <v>493</v>
      </c>
      <c r="B3945" s="36" t="s">
        <v>321</v>
      </c>
      <c r="C3945" s="48" t="n">
        <f aca="false">0</f>
        <v>0</v>
      </c>
      <c r="D3945" s="48" t="n">
        <f aca="false">0.5*C3944</f>
        <v>0</v>
      </c>
      <c r="E3945" s="48" t="n">
        <f aca="false">C3944+0.5*(D3944-C3944)</f>
        <v>0</v>
      </c>
      <c r="F3945" s="48" t="n">
        <f aca="false">D3944+0.5*(E3944-D3944)</f>
        <v>0</v>
      </c>
      <c r="G3945" s="48" t="n">
        <f aca="false">E3944+0.5*(F3944-E3944)</f>
        <v>0</v>
      </c>
      <c r="H3945" s="48" t="n">
        <f aca="false">F3944+0.5*(G3944-F3944)</f>
        <v>0</v>
      </c>
      <c r="I3945" s="48" t="n">
        <f aca="false">G3944+0.5*(H3944-G3944)</f>
        <v>0</v>
      </c>
      <c r="J3945" s="48" t="n">
        <f aca="false">H3944+0.5*(I3944-H3944)</f>
        <v>0</v>
      </c>
      <c r="K3945" s="48" t="n">
        <f aca="false">I3944+0.5*(J3944-I3944)</f>
        <v>0</v>
      </c>
      <c r="L3945" s="48" t="n">
        <f aca="false">J3944+0.5*(K3944-J3944)</f>
        <v>0</v>
      </c>
      <c r="M3945" s="48" t="n">
        <f aca="false">K3944+0.5*(L3944-K3944)</f>
        <v>0</v>
      </c>
      <c r="N3945" s="48" t="n">
        <f aca="false">L3944+0.5*(M3944-L3944)</f>
        <v>0</v>
      </c>
      <c r="P3945" s="49" t="n">
        <f aca="false">F3945</f>
        <v>0</v>
      </c>
      <c r="Q3945" s="49" t="n">
        <f aca="false">J3945</f>
        <v>0</v>
      </c>
      <c r="R3945" s="49" t="n">
        <f aca="false">N3945</f>
        <v>0</v>
      </c>
      <c r="S3945" s="50" t="n">
        <f aca="false">R3945</f>
        <v>0</v>
      </c>
    </row>
    <row r="3946" customFormat="false" ht="15" hidden="false" customHeight="false" outlineLevel="0" collapsed="false">
      <c r="A3946" s="4" t="s">
        <v>494</v>
      </c>
      <c r="B3946" s="36" t="s">
        <v>485</v>
      </c>
      <c r="C3946" s="39" t="n">
        <f aca="false">MIN(C3945*Assumptions!$E$38,C3941*(1-$C$3924))</f>
        <v>0</v>
      </c>
      <c r="D3946" s="39" t="n">
        <f aca="false">MIN(D3945*Assumptions!$E$38,D3941*(1-$C$3924))</f>
        <v>0</v>
      </c>
      <c r="E3946" s="39" t="n">
        <f aca="false">MIN(E3945*Assumptions!$E$38,E3941*(1-$C$3924))</f>
        <v>0</v>
      </c>
      <c r="F3946" s="39" t="n">
        <f aca="false">MIN(F3945*Assumptions!$E$38,F3941*(1-$C$3924))</f>
        <v>0</v>
      </c>
      <c r="G3946" s="39" t="n">
        <f aca="false">MIN(G3945*Assumptions!$E$38,G3941*(1-$C$3924))</f>
        <v>0</v>
      </c>
      <c r="H3946" s="39" t="n">
        <f aca="false">MIN(H3945*Assumptions!$E$38,H3941*(1-$C$3924))</f>
        <v>0</v>
      </c>
      <c r="I3946" s="39" t="n">
        <f aca="false">MIN(I3945*Assumptions!$E$38,I3941*(1-$C$3924))</f>
        <v>0</v>
      </c>
      <c r="J3946" s="39" t="n">
        <f aca="false">MIN(J3945*Assumptions!$E$38,J3941*(1-$C$3924))</f>
        <v>0</v>
      </c>
      <c r="K3946" s="39" t="n">
        <f aca="false">MIN(K3945*Assumptions!$E$38,K3941*(1-$C$3924))</f>
        <v>0</v>
      </c>
      <c r="L3946" s="39" t="n">
        <f aca="false">MIN(L3945*Assumptions!$E$38,L3941*(1-$C$3924))</f>
        <v>0</v>
      </c>
      <c r="M3946" s="39" t="n">
        <f aca="false">MIN(M3945*Assumptions!$E$38,M3941*(1-$C$3924))</f>
        <v>0</v>
      </c>
      <c r="N3946" s="39" t="n">
        <f aca="false">MIN(N3945*Assumptions!$E$38,N3941*(1-$C$3924))</f>
        <v>0</v>
      </c>
      <c r="P3946" s="40" t="n">
        <f aca="false">SUM(C3946:F3946)</f>
        <v>0</v>
      </c>
      <c r="Q3946" s="40" t="n">
        <f aca="false">SUM(G3946:J3946)</f>
        <v>0</v>
      </c>
      <c r="R3946" s="40" t="n">
        <f aca="false">SUM(K3946:N3946)</f>
        <v>0</v>
      </c>
      <c r="S3946" s="41" t="n">
        <f aca="false">SUM(P3946:R3946)</f>
        <v>0</v>
      </c>
    </row>
    <row r="3947" customFormat="false" ht="15" hidden="false" customHeight="false" outlineLevel="0" collapsed="false">
      <c r="A3947" s="4" t="s">
        <v>495</v>
      </c>
      <c r="B3947" s="36" t="s">
        <v>491</v>
      </c>
      <c r="C3947" s="48" t="n">
        <f aca="false">C3946*Assumptions!$E$20*Assumptions!$E$39*IF(C3941&gt;0,C3942/C3941,0)*C3931</f>
        <v>0</v>
      </c>
      <c r="D3947" s="48" t="n">
        <f aca="false">D3946*Assumptions!$E$20*Assumptions!$E$39*IF(D3941&gt;0,D3942/D3941,0)*D3931</f>
        <v>0</v>
      </c>
      <c r="E3947" s="48" t="n">
        <f aca="false">E3946*Assumptions!$E$20*Assumptions!$E$39*IF(E3941&gt;0,E3942/E3941,0)*E3931</f>
        <v>0</v>
      </c>
      <c r="F3947" s="48" t="n">
        <f aca="false">F3946*Assumptions!$E$20*Assumptions!$E$39*IF(F3941&gt;0,F3942/F3941,0)*F3931</f>
        <v>0</v>
      </c>
      <c r="G3947" s="48" t="n">
        <f aca="false">G3946*Assumptions!$E$20*Assumptions!$E$39*IF(G3941&gt;0,G3942/G3941,0)*G3931</f>
        <v>0</v>
      </c>
      <c r="H3947" s="48" t="n">
        <f aca="false">H3946*Assumptions!$E$20*Assumptions!$E$39*IF(H3941&gt;0,H3942/H3941,0)*H3931</f>
        <v>0</v>
      </c>
      <c r="I3947" s="48" t="n">
        <f aca="false">I3946*Assumptions!$E$20*Assumptions!$E$39*IF(I3941&gt;0,I3942/I3941,0)*I3931</f>
        <v>0</v>
      </c>
      <c r="J3947" s="48" t="n">
        <f aca="false">J3946*Assumptions!$E$20*Assumptions!$E$39*IF(J3941&gt;0,J3942/J3941,0)*J3931</f>
        <v>0</v>
      </c>
      <c r="K3947" s="48" t="n">
        <f aca="false">K3946*Assumptions!$E$20*Assumptions!$E$39*IF(K3941&gt;0,K3942/K3941,0)*K3931</f>
        <v>0</v>
      </c>
      <c r="L3947" s="48" t="n">
        <f aca="false">L3946*Assumptions!$E$20*Assumptions!$E$39*IF(L3941&gt;0,L3942/L3941,0)*L3931</f>
        <v>0</v>
      </c>
      <c r="M3947" s="48" t="n">
        <f aca="false">M3946*Assumptions!$E$20*Assumptions!$E$39*IF(M3941&gt;0,M3942/M3941,0)*M3931</f>
        <v>0</v>
      </c>
      <c r="N3947" s="48" t="n">
        <f aca="false">N3946*Assumptions!$E$20*Assumptions!$E$39*IF(N3941&gt;0,N3942/N3941,0)*N3931</f>
        <v>0</v>
      </c>
      <c r="P3947" s="49" t="n">
        <f aca="false">SUM(C3947:F3947)</f>
        <v>0</v>
      </c>
      <c r="Q3947" s="49" t="n">
        <f aca="false">SUM(G3947:J3947)</f>
        <v>0</v>
      </c>
      <c r="R3947" s="49" t="n">
        <f aca="false">SUM(K3947:N3947)</f>
        <v>0</v>
      </c>
      <c r="S3947" s="50" t="n">
        <f aca="false">SUM(P3947:R3947)</f>
        <v>0</v>
      </c>
    </row>
    <row r="3948" customFormat="false" ht="15" hidden="false" customHeight="false" outlineLevel="0" collapsed="false">
      <c r="A3948" s="4" t="s">
        <v>496</v>
      </c>
      <c r="B3948" s="36" t="s">
        <v>497</v>
      </c>
      <c r="C3948" s="48" t="n">
        <f aca="false">IF(AND(C3941&gt;0,$C$3928&gt;0),C3941*Assumptions!$E$24*(1-EXP(-$C$3928/(Assumptions!$E$23*C3941*Assumptions!$E$24))),0)</f>
        <v>0</v>
      </c>
      <c r="D3948" s="48" t="n">
        <f aca="false">IF(AND(D3941&gt;0,$C$3928&gt;0),D3941*Assumptions!$E$24*(1-EXP(-$C$3928/(Assumptions!$E$23*D3941*Assumptions!$E$24))),0)</f>
        <v>0</v>
      </c>
      <c r="E3948" s="48" t="n">
        <f aca="false">IF(AND(E3941&gt;0,$C$3928&gt;0),E3941*Assumptions!$E$24*(1-EXP(-$C$3928/(Assumptions!$E$23*E3941*Assumptions!$E$24))),0)</f>
        <v>0</v>
      </c>
      <c r="F3948" s="48" t="n">
        <f aca="false">IF(AND(F3941&gt;0,$C$3928&gt;0),F3941*Assumptions!$E$24*(1-EXP(-$C$3928/(Assumptions!$E$23*F3941*Assumptions!$E$24))),0)</f>
        <v>0</v>
      </c>
      <c r="G3948" s="48" t="n">
        <f aca="false">IF(AND(G3941&gt;0,$C$3928&gt;0),G3941*Assumptions!$E$24*(1-EXP(-$C$3928/(Assumptions!$E$23*G3941*Assumptions!$E$24))),0)</f>
        <v>0</v>
      </c>
      <c r="H3948" s="48" t="n">
        <f aca="false">IF(AND(H3941&gt;0,$C$3928&gt;0),H3941*Assumptions!$E$24*(1-EXP(-$C$3928/(Assumptions!$E$23*H3941*Assumptions!$E$24))),0)</f>
        <v>0</v>
      </c>
      <c r="I3948" s="48" t="n">
        <f aca="false">IF(AND(I3941&gt;0,$C$3928&gt;0),I3941*Assumptions!$E$24*(1-EXP(-$C$3928/(Assumptions!$E$23*I3941*Assumptions!$E$24))),0)</f>
        <v>0</v>
      </c>
      <c r="J3948" s="48" t="n">
        <f aca="false">IF(AND(J3941&gt;0,$C$3928&gt;0),J3941*Assumptions!$E$24*(1-EXP(-$C$3928/(Assumptions!$E$23*J3941*Assumptions!$E$24))),0)</f>
        <v>0</v>
      </c>
      <c r="K3948" s="48" t="n">
        <f aca="false">IF(AND(K3941&gt;0,$C$3928&gt;0),K3941*Assumptions!$E$24*(1-EXP(-$C$3928/(Assumptions!$E$23*K3941*Assumptions!$E$24))),0)</f>
        <v>0</v>
      </c>
      <c r="L3948" s="48" t="n">
        <f aca="false">IF(AND(L3941&gt;0,$C$3928&gt;0),L3941*Assumptions!$E$24*(1-EXP(-$C$3928/(Assumptions!$E$23*L3941*Assumptions!$E$24))),0)</f>
        <v>0</v>
      </c>
      <c r="M3948" s="48" t="n">
        <f aca="false">IF(AND(M3941&gt;0,$C$3928&gt;0),M3941*Assumptions!$E$24*(1-EXP(-$C$3928/(Assumptions!$E$23*M3941*Assumptions!$E$24))),0)</f>
        <v>0</v>
      </c>
      <c r="N3948" s="48" t="n">
        <f aca="false">IF(AND(N3941&gt;0,$C$3928&gt;0),N3941*Assumptions!$E$24*(1-EXP(-$C$3928/(Assumptions!$E$23*N3941*Assumptions!$E$24))),0)</f>
        <v>0</v>
      </c>
      <c r="P3948" s="49" t="n">
        <f aca="false">SUM(C3948:F3948)</f>
        <v>0</v>
      </c>
      <c r="Q3948" s="49" t="n">
        <f aca="false">SUM(G3948:J3948)</f>
        <v>0</v>
      </c>
      <c r="R3948" s="49" t="n">
        <f aca="false">SUM(K3948:N3948)</f>
        <v>0</v>
      </c>
      <c r="S3948" s="50" t="n">
        <f aca="false">SUM(P3948:R3948)</f>
        <v>0</v>
      </c>
    </row>
    <row r="3949" customFormat="false" ht="15" hidden="false" customHeight="false" outlineLevel="0" collapsed="false">
      <c r="A3949" s="4" t="s">
        <v>498</v>
      </c>
      <c r="B3949" s="36" t="s">
        <v>497</v>
      </c>
      <c r="C3949" s="48" t="n">
        <f aca="false">(C3941*Assumptions!$D$22*MIN(1,Assumptions!$D$103/Assumptions!$E$78)+C3948)*C3931</f>
        <v>2.7594386176</v>
      </c>
      <c r="D3949" s="48" t="n">
        <f aca="false">(D3941*Assumptions!$D$22*MIN(1,Assumptions!$D$103/Assumptions!$E$78)+D3948)*D3931</f>
        <v>5.5188772352</v>
      </c>
      <c r="E3949" s="48" t="n">
        <f aca="false">(E3941*Assumptions!$D$22*MIN(1,Assumptions!$D$103/Assumptions!$E$78)+E3948)*E3931</f>
        <v>5.5188772352</v>
      </c>
      <c r="F3949" s="48" t="n">
        <f aca="false">(F3941*Assumptions!$D$22*MIN(1,Assumptions!$D$103/Assumptions!$E$78)+F3948)*F3931</f>
        <v>5.5188772352</v>
      </c>
      <c r="G3949" s="48" t="n">
        <f aca="false">(G3941*Assumptions!$D$22*MIN(1,Assumptions!$D$103/Assumptions!$E$78)+G3948)*G3931</f>
        <v>7.4674975088</v>
      </c>
      <c r="H3949" s="48" t="n">
        <f aca="false">(H3941*Assumptions!$D$22*MIN(1,Assumptions!$D$103/Assumptions!$E$78)+H3948)*H3931</f>
        <v>9.4161177824</v>
      </c>
      <c r="I3949" s="48" t="n">
        <f aca="false">(I3941*Assumptions!$D$22*MIN(1,Assumptions!$D$103/Assumptions!$E$78)+I3948)*I3931</f>
        <v>15.8380519808</v>
      </c>
      <c r="J3949" s="48" t="n">
        <f aca="false">(J3941*Assumptions!$D$22*MIN(1,Assumptions!$D$103/Assumptions!$E$78)+J3948)*J3931</f>
        <v>22.2599861792</v>
      </c>
      <c r="K3949" s="48" t="n">
        <f aca="false">(K3941*Assumptions!$D$22*MIN(1,Assumptions!$D$103/Assumptions!$E$78)+K3948)*K3931</f>
        <v>22.2599861792</v>
      </c>
      <c r="L3949" s="48" t="n">
        <f aca="false">(L3941*Assumptions!$D$22*MIN(1,Assumptions!$D$103/Assumptions!$E$78)+L3948)*L3931</f>
        <v>22.2599861792</v>
      </c>
      <c r="M3949" s="48" t="n">
        <f aca="false">(M3941*Assumptions!$D$22*MIN(1,Assumptions!$D$103/Assumptions!$E$78)+M3948)*M3931</f>
        <v>22.2599861792</v>
      </c>
      <c r="N3949" s="48" t="n">
        <f aca="false">(N3941*Assumptions!$D$22*MIN(1,Assumptions!$D$103/Assumptions!$E$78)+N3948)*N3931</f>
        <v>22.2599861792</v>
      </c>
      <c r="P3949" s="49" t="n">
        <f aca="false">SUM(C3949:F3949)</f>
        <v>19.3160703232</v>
      </c>
      <c r="Q3949" s="49" t="n">
        <f aca="false">SUM(G3949:J3949)</f>
        <v>54.9816534512</v>
      </c>
      <c r="R3949" s="49" t="n">
        <f aca="false">SUM(K3949:N3949)</f>
        <v>89.0399447168</v>
      </c>
      <c r="S3949" s="50" t="n">
        <f aca="false">SUM(P3949:R3949)</f>
        <v>163.3376684912</v>
      </c>
    </row>
    <row r="3950" customFormat="false" ht="15" hidden="false" customHeight="false" outlineLevel="0" collapsed="false">
      <c r="A3950" s="4" t="s">
        <v>499</v>
      </c>
      <c r="B3950" s="36" t="s">
        <v>500</v>
      </c>
      <c r="C3950" s="48" t="n">
        <f aca="false">C3931*MIN(Assumptions!$E$27,Assumptions!$E$25+Assumptions!$E$26*(C3930-1))*Assumptions!$D$107</f>
        <v>2</v>
      </c>
      <c r="D3950" s="48" t="n">
        <f aca="false">D3931*MIN(Assumptions!$E$27,Assumptions!$E$25+Assumptions!$E$26*(D3930-1))*Assumptions!$D$107</f>
        <v>3</v>
      </c>
      <c r="E3950" s="48" t="n">
        <f aca="false">E3931*MIN(Assumptions!$E$27,Assumptions!$E$25+Assumptions!$E$26*(E3930-1))*Assumptions!$D$107</f>
        <v>4</v>
      </c>
      <c r="F3950" s="48" t="n">
        <f aca="false">F3931*MIN(Assumptions!$E$27,Assumptions!$E$25+Assumptions!$E$26*(F3930-1))*Assumptions!$D$107</f>
        <v>5</v>
      </c>
      <c r="G3950" s="48" t="n">
        <f aca="false">G3931*MIN(Assumptions!$E$27,Assumptions!$E$25+Assumptions!$E$26*(G3930-1))*Assumptions!$D$107</f>
        <v>6</v>
      </c>
      <c r="H3950" s="48" t="n">
        <f aca="false">H3931*MIN(Assumptions!$E$27,Assumptions!$E$25+Assumptions!$E$26*(H3930-1))*Assumptions!$D$107</f>
        <v>7</v>
      </c>
      <c r="I3950" s="48" t="n">
        <f aca="false">I3931*MIN(Assumptions!$E$27,Assumptions!$E$25+Assumptions!$E$26*(I3930-1))*Assumptions!$D$107</f>
        <v>8</v>
      </c>
      <c r="J3950" s="48" t="n">
        <f aca="false">J3931*MIN(Assumptions!$E$27,Assumptions!$E$25+Assumptions!$E$26*(J3930-1))*Assumptions!$D$107</f>
        <v>9</v>
      </c>
      <c r="K3950" s="48" t="n">
        <f aca="false">K3931*MIN(Assumptions!$E$27,Assumptions!$E$25+Assumptions!$E$26*(K3930-1))*Assumptions!$D$107</f>
        <v>10</v>
      </c>
      <c r="L3950" s="48" t="n">
        <f aca="false">L3931*MIN(Assumptions!$E$27,Assumptions!$E$25+Assumptions!$E$26*(L3930-1))*Assumptions!$D$107</f>
        <v>10</v>
      </c>
      <c r="M3950" s="48" t="n">
        <f aca="false">M3931*MIN(Assumptions!$E$27,Assumptions!$E$25+Assumptions!$E$26*(M3930-1))*Assumptions!$D$107</f>
        <v>10</v>
      </c>
      <c r="N3950" s="48" t="n">
        <f aca="false">N3931*MIN(Assumptions!$E$27,Assumptions!$E$25+Assumptions!$E$26*(N3930-1))*Assumptions!$D$107</f>
        <v>10</v>
      </c>
      <c r="P3950" s="49" t="n">
        <f aca="false">F3950</f>
        <v>5</v>
      </c>
      <c r="Q3950" s="49" t="n">
        <f aca="false">J3950</f>
        <v>9</v>
      </c>
      <c r="R3950" s="49" t="n">
        <f aca="false">N3950</f>
        <v>10</v>
      </c>
      <c r="S3950" s="50" t="n">
        <f aca="false">R3950</f>
        <v>10</v>
      </c>
    </row>
    <row r="3951" customFormat="false" ht="15" hidden="false" customHeight="false" outlineLevel="0" collapsed="false">
      <c r="A3951" s="4" t="s">
        <v>501</v>
      </c>
      <c r="B3951" s="36" t="s">
        <v>502</v>
      </c>
      <c r="C3951" s="48" t="n">
        <f aca="false">C3950*Assumptions!$E$28</f>
        <v>6</v>
      </c>
      <c r="D3951" s="48" t="n">
        <f aca="false">D3950*Assumptions!$E$28</f>
        <v>9</v>
      </c>
      <c r="E3951" s="48" t="n">
        <f aca="false">E3950*Assumptions!$E$28</f>
        <v>12</v>
      </c>
      <c r="F3951" s="48" t="n">
        <f aca="false">F3950*Assumptions!$E$28</f>
        <v>15</v>
      </c>
      <c r="G3951" s="48" t="n">
        <f aca="false">G3950*Assumptions!$E$28</f>
        <v>18</v>
      </c>
      <c r="H3951" s="48" t="n">
        <f aca="false">H3950*Assumptions!$E$28</f>
        <v>21</v>
      </c>
      <c r="I3951" s="48" t="n">
        <f aca="false">I3950*Assumptions!$E$28</f>
        <v>24</v>
      </c>
      <c r="J3951" s="48" t="n">
        <f aca="false">J3950*Assumptions!$E$28</f>
        <v>27</v>
      </c>
      <c r="K3951" s="48" t="n">
        <f aca="false">K3950*Assumptions!$E$28</f>
        <v>30</v>
      </c>
      <c r="L3951" s="48" t="n">
        <f aca="false">L3950*Assumptions!$E$28</f>
        <v>30</v>
      </c>
      <c r="M3951" s="48" t="n">
        <f aca="false">M3950*Assumptions!$E$28</f>
        <v>30</v>
      </c>
      <c r="N3951" s="48" t="n">
        <f aca="false">N3950*Assumptions!$E$28</f>
        <v>30</v>
      </c>
      <c r="P3951" s="49" t="n">
        <f aca="false">SUM(C3951:F3951)</f>
        <v>42</v>
      </c>
      <c r="Q3951" s="49" t="n">
        <f aca="false">SUM(G3951:J3951)</f>
        <v>90</v>
      </c>
      <c r="R3951" s="49" t="n">
        <f aca="false">SUM(K3951:N3951)</f>
        <v>120</v>
      </c>
      <c r="S3951" s="50" t="n">
        <f aca="false">SUM(P3951:R3951)</f>
        <v>252</v>
      </c>
    </row>
    <row r="3952" customFormat="false" ht="15" hidden="false" customHeight="false" outlineLevel="0" collapsed="false">
      <c r="A3952" s="4" t="s">
        <v>503</v>
      </c>
      <c r="B3952" s="36" t="s">
        <v>504</v>
      </c>
      <c r="C3952" s="48" t="n">
        <f aca="false">(C3943+C3947)*Assumptions!$E$29</f>
        <v>2.649061072896</v>
      </c>
      <c r="D3952" s="48" t="n">
        <f aca="false">(D3943+D3947)*Assumptions!$E$29</f>
        <v>4.93045821299048</v>
      </c>
      <c r="E3952" s="48" t="n">
        <f aca="false">(E3943+E3947)*Assumptions!$E$29</f>
        <v>4.58830837060879</v>
      </c>
      <c r="F3952" s="48" t="n">
        <f aca="false">(F3943+F3947)*Assumptions!$E$29</f>
        <v>4.26990206474738</v>
      </c>
      <c r="G3952" s="48" t="n">
        <f aca="false">(G3943+G3947)*Assumptions!$E$29</f>
        <v>5.844267072</v>
      </c>
      <c r="H3952" s="48" t="n">
        <f aca="false">(H3943+H3947)*Assumptions!$E$29</f>
        <v>7.17956301044434</v>
      </c>
      <c r="I3952" s="48" t="n">
        <f aca="false">(I3943+I3947)*Assumptions!$E$29</f>
        <v>12.8463930542132</v>
      </c>
      <c r="J3952" s="48" t="n">
        <f aca="false">(J3943+J3947)*Assumptions!$E$29</f>
        <v>17.6921476412567</v>
      </c>
      <c r="K3952" s="48" t="n">
        <f aca="false">(K3943+K3947)*Assumptions!$E$29</f>
        <v>16.4643985629052</v>
      </c>
      <c r="L3952" s="48" t="n">
        <f aca="false">(L3943+L3947)*Assumptions!$E$29</f>
        <v>15.3218493048332</v>
      </c>
      <c r="M3952" s="48" t="n">
        <f aca="false">(M3943+M3947)*Assumptions!$E$29</f>
        <v>14.2585874135079</v>
      </c>
      <c r="N3952" s="48" t="n">
        <f aca="false">(N3943+N3947)*Assumptions!$E$29</f>
        <v>13.2691107309425</v>
      </c>
      <c r="P3952" s="49" t="n">
        <f aca="false">SUM(C3952:F3952)</f>
        <v>16.4377297212427</v>
      </c>
      <c r="Q3952" s="49" t="n">
        <f aca="false">SUM(G3952:J3952)</f>
        <v>43.5623707779142</v>
      </c>
      <c r="R3952" s="49" t="n">
        <f aca="false">SUM(K3952:N3952)</f>
        <v>59.3139460121888</v>
      </c>
      <c r="S3952" s="50" t="n">
        <f aca="false">SUM(P3952:R3952)</f>
        <v>119.314046511346</v>
      </c>
    </row>
    <row r="3953" customFormat="false" ht="15" hidden="false" customHeight="false" outlineLevel="0" collapsed="false">
      <c r="A3953" s="4" t="s">
        <v>505</v>
      </c>
      <c r="B3953" s="36" t="s">
        <v>504</v>
      </c>
      <c r="C3953" s="48" t="n">
        <f aca="false">C3949*Assumptions!$E$31</f>
        <v>0.441510178816</v>
      </c>
      <c r="D3953" s="48" t="n">
        <f aca="false">D3949*Assumptions!$E$31</f>
        <v>0.883020357632</v>
      </c>
      <c r="E3953" s="48" t="n">
        <f aca="false">E3949*Assumptions!$E$31</f>
        <v>0.883020357632</v>
      </c>
      <c r="F3953" s="48" t="n">
        <f aca="false">F3949*Assumptions!$E$31</f>
        <v>0.883020357632</v>
      </c>
      <c r="G3953" s="48" t="n">
        <f aca="false">G3949*Assumptions!$E$31</f>
        <v>1.194799601408</v>
      </c>
      <c r="H3953" s="48" t="n">
        <f aca="false">H3949*Assumptions!$E$31</f>
        <v>1.506578845184</v>
      </c>
      <c r="I3953" s="48" t="n">
        <f aca="false">I3949*Assumptions!$E$31</f>
        <v>2.534088316928</v>
      </c>
      <c r="J3953" s="48" t="n">
        <f aca="false">J3949*Assumptions!$E$31</f>
        <v>3.561597788672</v>
      </c>
      <c r="K3953" s="48" t="n">
        <f aca="false">K3949*Assumptions!$E$31</f>
        <v>3.561597788672</v>
      </c>
      <c r="L3953" s="48" t="n">
        <f aca="false">L3949*Assumptions!$E$31</f>
        <v>3.561597788672</v>
      </c>
      <c r="M3953" s="48" t="n">
        <f aca="false">M3949*Assumptions!$E$31</f>
        <v>3.561597788672</v>
      </c>
      <c r="N3953" s="48" t="n">
        <f aca="false">N3949*Assumptions!$E$31</f>
        <v>3.561597788672</v>
      </c>
      <c r="P3953" s="49" t="n">
        <f aca="false">SUM(C3953:F3953)</f>
        <v>3.090571251712</v>
      </c>
      <c r="Q3953" s="49" t="n">
        <f aca="false">SUM(G3953:J3953)</f>
        <v>8.797064552192</v>
      </c>
      <c r="R3953" s="49" t="n">
        <f aca="false">SUM(K3953:N3953)</f>
        <v>14.246391154688</v>
      </c>
      <c r="S3953" s="50" t="n">
        <f aca="false">SUM(P3953:R3953)</f>
        <v>26.134026958592</v>
      </c>
    </row>
    <row r="3954" customFormat="false" ht="15" hidden="false" customHeight="false" outlineLevel="0" collapsed="false">
      <c r="A3954" s="4" t="s">
        <v>506</v>
      </c>
      <c r="B3954" s="36" t="s">
        <v>504</v>
      </c>
      <c r="C3954" s="48" t="n">
        <f aca="false">C3951*Assumptions!$E$30</f>
        <v>3</v>
      </c>
      <c r="D3954" s="48" t="n">
        <f aca="false">D3951*Assumptions!$E$30</f>
        <v>4.5</v>
      </c>
      <c r="E3954" s="48" t="n">
        <f aca="false">E3951*Assumptions!$E$30</f>
        <v>6</v>
      </c>
      <c r="F3954" s="48" t="n">
        <f aca="false">F3951*Assumptions!$E$30</f>
        <v>7.5</v>
      </c>
      <c r="G3954" s="48" t="n">
        <f aca="false">G3951*Assumptions!$E$30</f>
        <v>9</v>
      </c>
      <c r="H3954" s="48" t="n">
        <f aca="false">H3951*Assumptions!$E$30</f>
        <v>10.5</v>
      </c>
      <c r="I3954" s="48" t="n">
        <f aca="false">I3951*Assumptions!$E$30</f>
        <v>12</v>
      </c>
      <c r="J3954" s="48" t="n">
        <f aca="false">J3951*Assumptions!$E$30</f>
        <v>13.5</v>
      </c>
      <c r="K3954" s="48" t="n">
        <f aca="false">K3951*Assumptions!$E$30</f>
        <v>15</v>
      </c>
      <c r="L3954" s="48" t="n">
        <f aca="false">L3951*Assumptions!$E$30</f>
        <v>15</v>
      </c>
      <c r="M3954" s="48" t="n">
        <f aca="false">M3951*Assumptions!$E$30</f>
        <v>15</v>
      </c>
      <c r="N3954" s="48" t="n">
        <f aca="false">N3951*Assumptions!$E$30</f>
        <v>15</v>
      </c>
      <c r="P3954" s="49" t="n">
        <f aca="false">SUM(C3954:F3954)</f>
        <v>21</v>
      </c>
      <c r="Q3954" s="49" t="n">
        <f aca="false">SUM(G3954:J3954)</f>
        <v>45</v>
      </c>
      <c r="R3954" s="49" t="n">
        <f aca="false">SUM(K3954:N3954)</f>
        <v>60</v>
      </c>
      <c r="S3954" s="50" t="n">
        <f aca="false">SUM(P3954:R3954)</f>
        <v>126</v>
      </c>
    </row>
    <row r="3955" customFormat="false" ht="15" hidden="false" customHeight="false" outlineLevel="0" collapsed="false">
      <c r="A3955" s="9" t="s">
        <v>507</v>
      </c>
      <c r="B3955" s="36" t="s">
        <v>504</v>
      </c>
      <c r="C3955" s="49" t="n">
        <f aca="false">C3952+C3953+C3954</f>
        <v>6.090571251712</v>
      </c>
      <c r="D3955" s="49" t="n">
        <f aca="false">D3952+D3953+D3954</f>
        <v>10.3134785706225</v>
      </c>
      <c r="E3955" s="49" t="n">
        <f aca="false">E3952+E3953+E3954</f>
        <v>11.4713287282408</v>
      </c>
      <c r="F3955" s="49" t="n">
        <f aca="false">F3952+F3953+F3954</f>
        <v>12.6529224223794</v>
      </c>
      <c r="G3955" s="49" t="n">
        <f aca="false">G3952+G3953+G3954</f>
        <v>16.039066673408</v>
      </c>
      <c r="H3955" s="49" t="n">
        <f aca="false">H3952+H3953+H3954</f>
        <v>19.1861418556283</v>
      </c>
      <c r="I3955" s="49" t="n">
        <f aca="false">I3952+I3953+I3954</f>
        <v>27.3804813711412</v>
      </c>
      <c r="J3955" s="49" t="n">
        <f aca="false">J3952+J3953+J3954</f>
        <v>34.7537454299287</v>
      </c>
      <c r="K3955" s="49" t="n">
        <f aca="false">K3952+K3953+K3954</f>
        <v>35.0259963515772</v>
      </c>
      <c r="L3955" s="49" t="n">
        <f aca="false">L3952+L3953+L3954</f>
        <v>33.8834470935052</v>
      </c>
      <c r="M3955" s="49" t="n">
        <f aca="false">M3952+M3953+M3954</f>
        <v>32.8201852021799</v>
      </c>
      <c r="N3955" s="49" t="n">
        <f aca="false">N3952+N3953+N3954</f>
        <v>31.8307085196145</v>
      </c>
      <c r="P3955" s="49" t="n">
        <f aca="false">SUM(C3955:F3955)</f>
        <v>40.5283009729547</v>
      </c>
      <c r="Q3955" s="49" t="n">
        <f aca="false">SUM(G3955:J3955)</f>
        <v>97.3594353301062</v>
      </c>
      <c r="R3955" s="49" t="n">
        <f aca="false">SUM(K3955:N3955)</f>
        <v>133.560337166877</v>
      </c>
      <c r="S3955" s="50" t="n">
        <f aca="false">SUM(P3955:R3955)</f>
        <v>271.448073469938</v>
      </c>
    </row>
    <row r="3956" customFormat="false" ht="15" hidden="false" customHeight="false" outlineLevel="0" collapsed="false">
      <c r="A3956" s="4" t="s">
        <v>508</v>
      </c>
      <c r="B3956" s="36" t="s">
        <v>509</v>
      </c>
      <c r="C3956" s="48" t="n">
        <f aca="false">C3938</f>
        <v>421.51972352</v>
      </c>
      <c r="D3956" s="48" t="n">
        <f aca="false">D3938</f>
        <v>843.03944704</v>
      </c>
      <c r="E3956" s="48" t="n">
        <f aca="false">E3938</f>
        <v>843.03944704</v>
      </c>
      <c r="F3956" s="48" t="n">
        <f aca="false">F3938</f>
        <v>843.03944704</v>
      </c>
      <c r="G3956" s="48" t="n">
        <f aca="false">G3938</f>
        <v>1149.32798176</v>
      </c>
      <c r="H3956" s="48" t="n">
        <f aca="false">H3938</f>
        <v>1455.61651648</v>
      </c>
      <c r="I3956" s="48" t="n">
        <f aca="false">I3938</f>
        <v>2486.00303616</v>
      </c>
      <c r="J3956" s="48" t="n">
        <f aca="false">J3938</f>
        <v>3516.38955584</v>
      </c>
      <c r="K3956" s="48" t="n">
        <f aca="false">K3938</f>
        <v>3516.38955584</v>
      </c>
      <c r="L3956" s="48" t="n">
        <f aca="false">L3938</f>
        <v>3516.38955584</v>
      </c>
      <c r="M3956" s="48" t="n">
        <f aca="false">M3938</f>
        <v>3516.38955584</v>
      </c>
      <c r="N3956" s="48" t="n">
        <f aca="false">N3938</f>
        <v>3516.38955584</v>
      </c>
      <c r="P3956" s="49"/>
      <c r="Q3956" s="49"/>
      <c r="R3956" s="49"/>
      <c r="S3956" s="50"/>
    </row>
    <row r="3957" customFormat="false" ht="15" hidden="false" customHeight="false" outlineLevel="0" collapsed="false">
      <c r="A3957" s="4" t="s">
        <v>510</v>
      </c>
      <c r="B3957" s="36" t="s">
        <v>509</v>
      </c>
      <c r="C3957" s="48" t="n">
        <f aca="false">C3939*Assumptions!$E$18*Assumptions!$E$33</f>
        <v>211.19616</v>
      </c>
      <c r="D3957" s="48" t="n">
        <f aca="false">D3939*Assumptions!$E$18*Assumptions!$E$33</f>
        <v>422.39232</v>
      </c>
      <c r="E3957" s="48" t="n">
        <f aca="false">E3939*Assumptions!$E$18*Assumptions!$E$33</f>
        <v>422.39232</v>
      </c>
      <c r="F3957" s="48" t="n">
        <f aca="false">F3939*Assumptions!$E$18*Assumptions!$E$33</f>
        <v>422.39232</v>
      </c>
      <c r="G3957" s="48" t="n">
        <f aca="false">G3939*Assumptions!$E$18*Assumptions!$E$33</f>
        <v>564.49344</v>
      </c>
      <c r="H3957" s="48" t="n">
        <f aca="false">H3939*Assumptions!$E$18*Assumptions!$E$33</f>
        <v>706.59456</v>
      </c>
      <c r="I3957" s="48" t="n">
        <f aca="false">I3939*Assumptions!$E$18*Assumptions!$E$33</f>
        <v>1135.07072</v>
      </c>
      <c r="J3957" s="48" t="n">
        <f aca="false">J3939*Assumptions!$E$18*Assumptions!$E$33</f>
        <v>1563.54688</v>
      </c>
      <c r="K3957" s="48" t="n">
        <f aca="false">K3939*Assumptions!$E$18*Assumptions!$E$33</f>
        <v>1563.54688</v>
      </c>
      <c r="L3957" s="48" t="n">
        <f aca="false">L3939*Assumptions!$E$18*Assumptions!$E$33</f>
        <v>1563.54688</v>
      </c>
      <c r="M3957" s="48" t="n">
        <f aca="false">M3939*Assumptions!$E$18*Assumptions!$E$33</f>
        <v>1563.54688</v>
      </c>
      <c r="N3957" s="48" t="n">
        <f aca="false">N3939*Assumptions!$E$18*Assumptions!$E$33</f>
        <v>1563.54688</v>
      </c>
      <c r="P3957" s="49"/>
      <c r="Q3957" s="49"/>
      <c r="R3957" s="49"/>
      <c r="S3957" s="50"/>
    </row>
    <row r="3958" customFormat="false" ht="15" hidden="false" customHeight="false" outlineLevel="0" collapsed="false">
      <c r="A3958" s="4" t="s">
        <v>511</v>
      </c>
      <c r="B3958" s="36" t="s">
        <v>509</v>
      </c>
      <c r="C3958" s="48" t="n">
        <f aca="false">C3940*Assumptions!$E$19*Assumptions!$E$34</f>
        <v>34.677888</v>
      </c>
      <c r="D3958" s="48" t="n">
        <f aca="false">D3940*Assumptions!$E$19*Assumptions!$E$34</f>
        <v>69.355776</v>
      </c>
      <c r="E3958" s="48" t="n">
        <f aca="false">E3940*Assumptions!$E$19*Assumptions!$E$34</f>
        <v>69.355776</v>
      </c>
      <c r="F3958" s="48" t="n">
        <f aca="false">F3940*Assumptions!$E$19*Assumptions!$E$34</f>
        <v>69.355776</v>
      </c>
      <c r="G3958" s="48" t="n">
        <f aca="false">G3940*Assumptions!$E$19*Assumptions!$E$34</f>
        <v>86.69472</v>
      </c>
      <c r="H3958" s="48" t="n">
        <f aca="false">H3940*Assumptions!$E$19*Assumptions!$E$34</f>
        <v>104.033664</v>
      </c>
      <c r="I3958" s="48" t="n">
        <f aca="false">I3940*Assumptions!$E$19*Assumptions!$E$34</f>
        <v>159.7008</v>
      </c>
      <c r="J3958" s="48" t="n">
        <f aca="false">J3940*Assumptions!$E$19*Assumptions!$E$34</f>
        <v>215.367936</v>
      </c>
      <c r="K3958" s="48" t="n">
        <f aca="false">K3940*Assumptions!$E$19*Assumptions!$E$34</f>
        <v>215.367936</v>
      </c>
      <c r="L3958" s="48" t="n">
        <f aca="false">L3940*Assumptions!$E$19*Assumptions!$E$34</f>
        <v>215.367936</v>
      </c>
      <c r="M3958" s="48" t="n">
        <f aca="false">M3940*Assumptions!$E$19*Assumptions!$E$34</f>
        <v>215.367936</v>
      </c>
      <c r="N3958" s="48" t="n">
        <f aca="false">N3940*Assumptions!$E$19*Assumptions!$E$34</f>
        <v>215.367936</v>
      </c>
      <c r="P3958" s="49"/>
      <c r="Q3958" s="49"/>
      <c r="R3958" s="49"/>
      <c r="S3958" s="50"/>
    </row>
    <row r="3959" customFormat="false" ht="15" hidden="false" customHeight="false" outlineLevel="0" collapsed="false">
      <c r="A3959" s="4" t="s">
        <v>512</v>
      </c>
      <c r="B3959" s="36" t="s">
        <v>77</v>
      </c>
      <c r="C3959" s="51" t="n">
        <f aca="false">IFERROR(C3956/(C3956+C3957+C3958),0)</f>
        <v>0.631590736245533</v>
      </c>
      <c r="D3959" s="51" t="n">
        <f aca="false">IFERROR(D3956/(D3956+D3957+D3958),0)</f>
        <v>0.631590736245533</v>
      </c>
      <c r="E3959" s="51" t="n">
        <f aca="false">IFERROR(E3956/(E3956+E3957+E3958),0)</f>
        <v>0.631590736245533</v>
      </c>
      <c r="F3959" s="51" t="n">
        <f aca="false">IFERROR(F3956/(F3956+F3957+F3958),0)</f>
        <v>0.631590736245533</v>
      </c>
      <c r="G3959" s="51" t="n">
        <f aca="false">IFERROR(G3956/(G3956+G3957+G3958),0)</f>
        <v>0.638332506498128</v>
      </c>
      <c r="H3959" s="51" t="n">
        <f aca="false">IFERROR(H3956/(H3956+H3957+H3958),0)</f>
        <v>0.642303318118984</v>
      </c>
      <c r="I3959" s="51" t="n">
        <f aca="false">IFERROR(I3956/(I3956+I3957+I3958),0)</f>
        <v>0.657538025405288</v>
      </c>
      <c r="J3959" s="51" t="n">
        <f aca="false">IFERROR(J3956/(J3956+J3957+J3958),0)</f>
        <v>0.664058061428891</v>
      </c>
      <c r="K3959" s="51" t="n">
        <f aca="false">IFERROR(K3956/(K3956+K3957+K3958),0)</f>
        <v>0.664058061428891</v>
      </c>
      <c r="L3959" s="51" t="n">
        <f aca="false">IFERROR(L3956/(L3956+L3957+L3958),0)</f>
        <v>0.664058061428891</v>
      </c>
      <c r="M3959" s="51" t="n">
        <f aca="false">IFERROR(M3956/(M3956+M3957+M3958),0)</f>
        <v>0.664058061428891</v>
      </c>
      <c r="N3959" s="51" t="n">
        <f aca="false">IFERROR(N3956/(N3956+N3957+N3958),0)</f>
        <v>0.664058061428891</v>
      </c>
      <c r="P3959" s="52"/>
      <c r="Q3959" s="52"/>
      <c r="R3959" s="52"/>
      <c r="S3959" s="53"/>
    </row>
    <row r="3960" customFormat="false" ht="15" hidden="false" customHeight="false" outlineLevel="0" collapsed="false">
      <c r="A3960" s="4" t="s">
        <v>513</v>
      </c>
      <c r="B3960" s="36" t="s">
        <v>77</v>
      </c>
      <c r="C3960" s="51" t="n">
        <f aca="false">IFERROR(C3957/(C3956+C3957+C3958),0)</f>
        <v>0.316449102482628</v>
      </c>
      <c r="D3960" s="51" t="n">
        <f aca="false">IFERROR(D3957/(D3956+D3957+D3958),0)</f>
        <v>0.316449102482628</v>
      </c>
      <c r="E3960" s="51" t="n">
        <f aca="false">IFERROR(E3957/(E3956+E3957+E3958),0)</f>
        <v>0.316449102482628</v>
      </c>
      <c r="F3960" s="51" t="n">
        <f aca="false">IFERROR(F3957/(F3956+F3957+F3958),0)</f>
        <v>0.316449102482628</v>
      </c>
      <c r="G3960" s="51" t="n">
        <f aca="false">IFERROR(G3957/(G3956+G3957+G3958),0)</f>
        <v>0.313517566939561</v>
      </c>
      <c r="H3960" s="51" t="n">
        <f aca="false">IFERROR(H3957/(H3956+H3957+H3958),0)</f>
        <v>0.311790932099567</v>
      </c>
      <c r="I3960" s="51" t="n">
        <f aca="false">IFERROR(I3957/(I3956+I3957+I3958),0)</f>
        <v>0.300221741111391</v>
      </c>
      <c r="J3960" s="51" t="n">
        <f aca="false">IFERROR(J3957/(J3956+J3957+J3958),0)</f>
        <v>0.295270445324128</v>
      </c>
      <c r="K3960" s="51" t="n">
        <f aca="false">IFERROR(K3957/(K3956+K3957+K3958),0)</f>
        <v>0.295270445324128</v>
      </c>
      <c r="L3960" s="51" t="n">
        <f aca="false">IFERROR(L3957/(L3956+L3957+L3958),0)</f>
        <v>0.295270445324128</v>
      </c>
      <c r="M3960" s="51" t="n">
        <f aca="false">IFERROR(M3957/(M3956+M3957+M3958),0)</f>
        <v>0.295270445324128</v>
      </c>
      <c r="N3960" s="51" t="n">
        <f aca="false">IFERROR(N3957/(N3956+N3957+N3958),0)</f>
        <v>0.295270445324128</v>
      </c>
      <c r="P3960" s="52"/>
      <c r="Q3960" s="52"/>
      <c r="R3960" s="52"/>
      <c r="S3960" s="53"/>
    </row>
    <row r="3961" customFormat="false" ht="15" hidden="false" customHeight="false" outlineLevel="0" collapsed="false">
      <c r="A3961" s="4" t="s">
        <v>514</v>
      </c>
      <c r="B3961" s="36" t="s">
        <v>77</v>
      </c>
      <c r="C3961" s="51" t="n">
        <f aca="false">IFERROR(C3958/(C3956+C3957+C3958),0)</f>
        <v>0.0519601612718389</v>
      </c>
      <c r="D3961" s="51" t="n">
        <f aca="false">IFERROR(D3958/(D3956+D3957+D3958),0)</f>
        <v>0.0519601612718389</v>
      </c>
      <c r="E3961" s="51" t="n">
        <f aca="false">IFERROR(E3958/(E3956+E3957+E3958),0)</f>
        <v>0.0519601612718389</v>
      </c>
      <c r="F3961" s="51" t="n">
        <f aca="false">IFERROR(F3958/(F3956+F3957+F3958),0)</f>
        <v>0.0519601612718389</v>
      </c>
      <c r="G3961" s="51" t="n">
        <f aca="false">IFERROR(G3958/(G3956+G3957+G3958),0)</f>
        <v>0.0481499265623113</v>
      </c>
      <c r="H3961" s="51" t="n">
        <f aca="false">IFERROR(H3958/(H3956+H3957+H3958),0)</f>
        <v>0.0459057497814491</v>
      </c>
      <c r="I3961" s="51" t="n">
        <f aca="false">IFERROR(I3958/(I3956+I3957+I3958),0)</f>
        <v>0.0422402334833216</v>
      </c>
      <c r="J3961" s="51" t="n">
        <f aca="false">IFERROR(J3958/(J3956+J3957+J3958),0)</f>
        <v>0.0406714932469811</v>
      </c>
      <c r="K3961" s="51" t="n">
        <f aca="false">IFERROR(K3958/(K3956+K3957+K3958),0)</f>
        <v>0.0406714932469811</v>
      </c>
      <c r="L3961" s="51" t="n">
        <f aca="false">IFERROR(L3958/(L3956+L3957+L3958),0)</f>
        <v>0.0406714932469811</v>
      </c>
      <c r="M3961" s="51" t="n">
        <f aca="false">IFERROR(M3958/(M3956+M3957+M3958),0)</f>
        <v>0.0406714932469811</v>
      </c>
      <c r="N3961" s="51" t="n">
        <f aca="false">IFERROR(N3958/(N3956+N3957+N3958),0)</f>
        <v>0.0406714932469811</v>
      </c>
      <c r="P3961" s="52"/>
      <c r="Q3961" s="52"/>
      <c r="R3961" s="52"/>
      <c r="S3961" s="53"/>
    </row>
    <row r="3962" customFormat="false" ht="15" hidden="false" customHeight="false" outlineLevel="0" collapsed="false">
      <c r="A3962" s="4" t="s">
        <v>515</v>
      </c>
      <c r="B3962" s="36" t="s">
        <v>516</v>
      </c>
      <c r="C3962" s="48" t="n">
        <f aca="false">IF(C3930-Assumptions!$E$35&lt;1,0,INDEX($C$3955:$N$3955,1,C3930-Assumptions!$E$35)*INDEX($C$3959:$N$3959,1,C3930-Assumptions!$E$35)*Assumptions!$E$32)</f>
        <v>0</v>
      </c>
      <c r="D3962" s="48" t="n">
        <f aca="false">IF(D3930-Assumptions!$E$35&lt;1,0,INDEX($C$3955:$N$3955,1,D3930-Assumptions!$E$35)*INDEX($C$3959:$N$3959,1,D3930-Assumptions!$E$35)*Assumptions!$E$32)</f>
        <v>0.807817160015179</v>
      </c>
      <c r="E3962" s="48" t="n">
        <f aca="false">IF(E3930-Assumptions!$E$35&lt;1,0,INDEX($C$3955:$N$3955,1,E3930-Assumptions!$E$35)*INDEX($C$3959:$N$3959,1,E3930-Assumptions!$E$35)*Assumptions!$E$32)</f>
        <v>1.36791847997112</v>
      </c>
      <c r="F3962" s="48" t="n">
        <f aca="false">IF(F3930-Assumptions!$E$35&lt;1,0,INDEX($C$3955:$N$3955,1,F3930-Assumptions!$E$35)*INDEX($C$3959:$N$3959,1,F3930-Assumptions!$E$35)*Assumptions!$E$32)</f>
        <v>1.52148884100867</v>
      </c>
      <c r="G3962" s="48" t="n">
        <f aca="false">IF(G3930-Assumptions!$E$35&lt;1,0,INDEX($C$3955:$N$3955,1,G3930-Assumptions!$E$35)*INDEX($C$3959:$N$3959,1,G3930-Assumptions!$E$35)*Assumptions!$E$32)</f>
        <v>1.67820840356572</v>
      </c>
      <c r="H3962" s="48" t="n">
        <f aca="false">IF(H3930-Assumptions!$E$35&lt;1,0,INDEX($C$3955:$N$3955,1,H3930-Assumptions!$E$35)*INDEX($C$3959:$N$3959,1,H3930-Assumptions!$E$35)*Assumptions!$E$32)</f>
        <v>2.1500341026207</v>
      </c>
      <c r="I3962" s="48" t="n">
        <f aca="false">IF(I3930-Assumptions!$E$35&lt;1,0,INDEX($C$3955:$N$3955,1,I3930-Assumptions!$E$35)*INDEX($C$3959:$N$3959,1,I3930-Assumptions!$E$35)*Assumptions!$E$32)</f>
        <v>2.58789774091204</v>
      </c>
      <c r="J3962" s="48" t="n">
        <f aca="false">IF(J3930-Assumptions!$E$35&lt;1,0,INDEX($C$3955:$N$3955,1,J3930-Assumptions!$E$35)*INDEX($C$3959:$N$3959,1,J3930-Assumptions!$E$35)*Assumptions!$E$32)</f>
        <v>3.78077860763956</v>
      </c>
      <c r="K3962" s="48" t="n">
        <f aca="false">IF(K3930-Assumptions!$E$35&lt;1,0,INDEX($C$3955:$N$3955,1,K3930-Assumptions!$E$35)*INDEX($C$3959:$N$3959,1,K3930-Assumptions!$E$35)*Assumptions!$E$32)</f>
        <v>4.84648601169423</v>
      </c>
      <c r="L3962" s="48" t="n">
        <f aca="false">IF(L3930-Assumptions!$E$35&lt;1,0,INDEX($C$3955:$N$3955,1,L3930-Assumptions!$E$35)*INDEX($C$3959:$N$3959,1,L3930-Assumptions!$E$35)*Assumptions!$E$32)</f>
        <v>4.88445199973719</v>
      </c>
      <c r="M3962" s="48" t="n">
        <f aca="false">IF(M3930-Assumptions!$E$35&lt;1,0,INDEX($C$3955:$N$3955,1,M3930-Assumptions!$E$35)*INDEX($C$3959:$N$3959,1,M3930-Assumptions!$E$35)*Assumptions!$E$32)</f>
        <v>4.7251210002027</v>
      </c>
      <c r="N3962" s="48" t="n">
        <f aca="false">IF(N3930-Assumptions!$E$35&lt;1,0,INDEX($C$3955:$N$3955,1,N3930-Assumptions!$E$35)*INDEX($C$3959:$N$3959,1,N3930-Assumptions!$E$35)*Assumptions!$E$32)</f>
        <v>4.57684679783032</v>
      </c>
      <c r="P3962" s="49" t="n">
        <f aca="false">SUM(C3962:F3962)</f>
        <v>3.69722448099496</v>
      </c>
      <c r="Q3962" s="49" t="n">
        <f aca="false">SUM(G3962:J3962)</f>
        <v>10.196918854738</v>
      </c>
      <c r="R3962" s="49" t="n">
        <f aca="false">SUM(K3962:N3962)</f>
        <v>19.0329058094644</v>
      </c>
      <c r="S3962" s="50" t="n">
        <f aca="false">SUM(P3962:R3962)</f>
        <v>32.9270491451974</v>
      </c>
    </row>
    <row r="3963" customFormat="false" ht="15" hidden="false" customHeight="false" outlineLevel="0" collapsed="false">
      <c r="A3963" s="4" t="s">
        <v>517</v>
      </c>
      <c r="B3963" s="36" t="s">
        <v>516</v>
      </c>
      <c r="C3963" s="48" t="n">
        <f aca="false">IF(C3930-Assumptions!$E$35&lt;1,0,INDEX($C$3955:$N$3955,1,C3930-Assumptions!$E$35)*INDEX($C$3960:$N$3960,1,C3930-Assumptions!$E$35)*Assumptions!$E$32)</f>
        <v>0</v>
      </c>
      <c r="D3963" s="48" t="n">
        <f aca="false">IF(D3930-Assumptions!$E$35&lt;1,0,INDEX($C$3955:$N$3955,1,D3930-Assumptions!$E$35)*INDEX($C$3960:$N$3960,1,D3930-Assumptions!$E$35)*Assumptions!$E$32)</f>
        <v>0.404744719304259</v>
      </c>
      <c r="E3963" s="48" t="n">
        <f aca="false">IF(E3930-Assumptions!$E$35&lt;1,0,INDEX($C$3955:$N$3955,1,E3930-Assumptions!$E$35)*INDEX($C$3960:$N$3960,1,E3930-Assumptions!$E$35)*Assumptions!$E$32)</f>
        <v>0.685375117800933</v>
      </c>
      <c r="F3963" s="48" t="n">
        <f aca="false">IF(F3930-Assumptions!$E$35&lt;1,0,INDEX($C$3955:$N$3955,1,F3930-Assumptions!$E$35)*INDEX($C$3960:$N$3960,1,F3930-Assumptions!$E$35)*Assumptions!$E$32)</f>
        <v>0.762319252870347</v>
      </c>
      <c r="G3963" s="48" t="n">
        <f aca="false">IF(G3930-Assumptions!$E$35&lt;1,0,INDEX($C$3955:$N$3955,1,G3930-Assumptions!$E$35)*INDEX($C$3960:$N$3960,1,G3930-Assumptions!$E$35)*Assumptions!$E$32)</f>
        <v>0.840841248312297</v>
      </c>
      <c r="H3963" s="48" t="n">
        <f aca="false">IF(H3930-Assumptions!$E$35&lt;1,0,INDEX($C$3955:$N$3955,1,H3930-Assumptions!$E$35)*INDEX($C$3960:$N$3960,1,H3930-Assumptions!$E$35)*Assumptions!$E$32)</f>
        <v>1.05599112347994</v>
      </c>
      <c r="I3963" s="48" t="n">
        <f aca="false">IF(I3930-Assumptions!$E$35&lt;1,0,INDEX($C$3955:$N$3955,1,I3930-Assumptions!$E$35)*INDEX($C$3960:$N$3960,1,I3930-Assumptions!$E$35)*Assumptions!$E$32)</f>
        <v>1.25623366103778</v>
      </c>
      <c r="J3963" s="48" t="n">
        <f aca="false">IF(J3930-Assumptions!$E$35&lt;1,0,INDEX($C$3955:$N$3955,1,J3930-Assumptions!$E$35)*INDEX($C$3960:$N$3960,1,J3930-Assumptions!$E$35)*Assumptions!$E$32)</f>
        <v>1.72624531583952</v>
      </c>
      <c r="K3963" s="48" t="n">
        <f aca="false">IF(K3930-Assumptions!$E$35&lt;1,0,INDEX($C$3955:$N$3955,1,K3930-Assumptions!$E$35)*INDEX($C$3960:$N$3960,1,K3930-Assumptions!$E$35)*Assumptions!$E$32)</f>
        <v>2.15496831685305</v>
      </c>
      <c r="L3963" s="48" t="n">
        <f aca="false">IF(L3930-Assumptions!$E$35&lt;1,0,INDEX($C$3955:$N$3955,1,L3930-Assumptions!$E$35)*INDEX($C$3960:$N$3960,1,L3930-Assumptions!$E$35)*Assumptions!$E$32)</f>
        <v>2.17184972353681</v>
      </c>
      <c r="M3963" s="48" t="n">
        <f aca="false">IF(M3930-Assumptions!$E$35&lt;1,0,INDEX($C$3955:$N$3955,1,M3930-Assumptions!$E$35)*INDEX($C$3960:$N$3960,1,M3930-Assumptions!$E$35)*Assumptions!$E$32)</f>
        <v>2.10100390760732</v>
      </c>
      <c r="N3963" s="48" t="n">
        <f aca="false">IF(N3930-Assumptions!$E$35&lt;1,0,INDEX($C$3955:$N$3955,1,N3930-Assumptions!$E$35)*INDEX($C$3960:$N$3960,1,N3930-Assumptions!$E$35)*Assumptions!$E$32)</f>
        <v>2.03507444705629</v>
      </c>
      <c r="P3963" s="49" t="n">
        <f aca="false">SUM(C3963:F3963)</f>
        <v>1.85243908997554</v>
      </c>
      <c r="Q3963" s="49" t="n">
        <f aca="false">SUM(G3963:J3963)</f>
        <v>4.87931134866954</v>
      </c>
      <c r="R3963" s="49" t="n">
        <f aca="false">SUM(K3963:N3963)</f>
        <v>8.46289639505347</v>
      </c>
      <c r="S3963" s="50" t="n">
        <f aca="false">SUM(P3963:R3963)</f>
        <v>15.1946468336985</v>
      </c>
    </row>
    <row r="3964" customFormat="false" ht="15" hidden="false" customHeight="false" outlineLevel="0" collapsed="false">
      <c r="A3964" s="4" t="s">
        <v>518</v>
      </c>
      <c r="B3964" s="36" t="s">
        <v>516</v>
      </c>
      <c r="C3964" s="48" t="n">
        <f aca="false">IF(C3930-Assumptions!$E$36&lt;1,0,INDEX($C$3955:$N$3955,1,C3930-Assumptions!$E$36)*INDEX($C$3961:$N$3961,1,C3930-Assumptions!$E$36)*Assumptions!$E$32)</f>
        <v>0</v>
      </c>
      <c r="D3964" s="48" t="n">
        <f aca="false">IF(D3930-Assumptions!$E$36&lt;1,0,INDEX($C$3955:$N$3955,1,D3930-Assumptions!$E$36)*INDEX($C$3961:$N$3961,1,D3930-Assumptions!$E$36)*Assumptions!$E$32)</f>
        <v>0</v>
      </c>
      <c r="E3964" s="48" t="n">
        <f aca="false">IF(E3930-Assumptions!$E$36&lt;1,0,INDEX($C$3955:$N$3955,1,E3930-Assumptions!$E$36)*INDEX($C$3961:$N$3961,1,E3930-Assumptions!$E$36)*Assumptions!$E$32)</f>
        <v>0.0664580835400821</v>
      </c>
      <c r="F3964" s="48" t="n">
        <f aca="false">IF(F3930-Assumptions!$E$36&lt;1,0,INDEX($C$3955:$N$3955,1,F3930-Assumptions!$E$36)*INDEX($C$3961:$N$3961,1,F3930-Assumptions!$E$36)*Assumptions!$E$32)</f>
        <v>0.112536902058672</v>
      </c>
      <c r="G3964" s="48" t="n">
        <f aca="false">IF(G3930-Assumptions!$E$36&lt;1,0,INDEX($C$3955:$N$3955,1,G3930-Assumptions!$E$36)*INDEX($C$3961:$N$3961,1,G3930-Assumptions!$E$36)*Assumptions!$E$32)</f>
        <v>0.125170939051551</v>
      </c>
      <c r="H3964" s="48" t="n">
        <f aca="false">IF(H3930-Assumptions!$E$36&lt;1,0,INDEX($C$3955:$N$3955,1,H3930-Assumptions!$E$36)*INDEX($C$3961:$N$3961,1,H3930-Assumptions!$E$36)*Assumptions!$E$32)</f>
        <v>0.138064056821649</v>
      </c>
      <c r="I3964" s="48" t="n">
        <f aca="false">IF(I3930-Assumptions!$E$36&lt;1,0,INDEX($C$3955:$N$3955,1,I3930-Assumptions!$E$36)*INDEX($C$3961:$N$3961,1,I3930-Assumptions!$E$36)*Assumptions!$E$32)</f>
        <v>0.162178775315048</v>
      </c>
      <c r="J3964" s="48" t="n">
        <f aca="false">IF(J3930-Assumptions!$E$36&lt;1,0,INDEX($C$3955:$N$3955,1,J3930-Assumptions!$E$36)*INDEX($C$3961:$N$3961,1,J3930-Assumptions!$E$36)*Assumptions!$E$32)</f>
        <v>0.184958387732131</v>
      </c>
      <c r="K3964" s="48" t="n">
        <f aca="false">IF(K3930-Assumptions!$E$36&lt;1,0,INDEX($C$3955:$N$3955,1,K3930-Assumptions!$E$36)*INDEX($C$3961:$N$3961,1,K3930-Assumptions!$E$36)*Assumptions!$E$32)</f>
        <v>0.242877164460576</v>
      </c>
      <c r="L3964" s="48" t="n">
        <f aca="false">IF(L3930-Assumptions!$E$36&lt;1,0,INDEX($C$3955:$N$3955,1,L3930-Assumptions!$E$36)*INDEX($C$3961:$N$3961,1,L3930-Assumptions!$E$36)*Assumptions!$E$32)</f>
        <v>0.296832211737735</v>
      </c>
      <c r="M3964" s="48" t="n">
        <f aca="false">IF(M3930-Assumptions!$E$36&lt;1,0,INDEX($C$3955:$N$3955,1,M3930-Assumptions!$E$36)*INDEX($C$3961:$N$3961,1,M3930-Assumptions!$E$36)*Assumptions!$E$32)</f>
        <v>0.299157510557211</v>
      </c>
      <c r="N3964" s="48" t="n">
        <f aca="false">IF(N3930-Assumptions!$E$36&lt;1,0,INDEX($C$3955:$N$3955,1,N3930-Assumptions!$E$36)*INDEX($C$3961:$N$3961,1,N3930-Assumptions!$E$36)*Assumptions!$E$32)</f>
        <v>0.289398981826067</v>
      </c>
      <c r="P3964" s="49" t="n">
        <f aca="false">SUM(C3964:F3964)</f>
        <v>0.178994985598754</v>
      </c>
      <c r="Q3964" s="49" t="n">
        <f aca="false">SUM(G3964:J3964)</f>
        <v>0.610372158920379</v>
      </c>
      <c r="R3964" s="49" t="n">
        <f aca="false">SUM(K3964:N3964)</f>
        <v>1.12826586858159</v>
      </c>
      <c r="S3964" s="50" t="n">
        <f aca="false">SUM(P3964:R3964)</f>
        <v>1.91763301310072</v>
      </c>
    </row>
    <row r="3965" customFormat="false" ht="15" hidden="false" customHeight="false" outlineLevel="0" collapsed="false">
      <c r="A3965" s="4" t="s">
        <v>519</v>
      </c>
      <c r="B3965" s="36" t="s">
        <v>77</v>
      </c>
      <c r="C3965" s="51" t="n">
        <f aca="false">IF(C3930-Assumptions!$E$35&lt;1,0,IFERROR(INDEX($C$3954:$N$3954,1,C3930-Assumptions!$E$35)/INDEX($C$3955:$N$3955,1,C3930-Assumptions!$E$35),0))</f>
        <v>0</v>
      </c>
      <c r="D3965" s="51" t="n">
        <f aca="false">IF(D3930-Assumptions!$E$35&lt;1,0,IFERROR(INDEX($C$3954:$N$3954,1,D3930-Assumptions!$E$35)/INDEX($C$3955:$N$3955,1,D3930-Assumptions!$E$35),0))</f>
        <v>0.492564634090231</v>
      </c>
      <c r="E3965" s="51" t="n">
        <f aca="false">IF(E3930-Assumptions!$E$35&lt;1,0,IFERROR(INDEX($C$3954:$N$3954,1,E3930-Assumptions!$E$35)/INDEX($C$3955:$N$3955,1,E3930-Assumptions!$E$35),0))</f>
        <v>0.436322233006627</v>
      </c>
      <c r="F3965" s="51" t="n">
        <f aca="false">IF(F3930-Assumptions!$E$35&lt;1,0,IFERROR(INDEX($C$3954:$N$3954,1,F3930-Assumptions!$E$35)/INDEX($C$3955:$N$3955,1,F3930-Assumptions!$E$35),0))</f>
        <v>0.523043157609881</v>
      </c>
      <c r="G3965" s="51" t="n">
        <f aca="false">IF(G3930-Assumptions!$E$35&lt;1,0,IFERROR(INDEX($C$3954:$N$3954,1,G3930-Assumptions!$E$35)/INDEX($C$3955:$N$3955,1,G3930-Assumptions!$E$35),0))</f>
        <v>0.59274843784189</v>
      </c>
      <c r="H3965" s="51" t="n">
        <f aca="false">IF(H3930-Assumptions!$E$35&lt;1,0,IFERROR(INDEX($C$3954:$N$3954,1,H3930-Assumptions!$E$35)/INDEX($C$3955:$N$3955,1,H3930-Assumptions!$E$35),0))</f>
        <v>0.561129907572588</v>
      </c>
      <c r="I3965" s="51" t="n">
        <f aca="false">IF(I3930-Assumptions!$E$35&lt;1,0,IFERROR(INDEX($C$3954:$N$3954,1,I3930-Assumptions!$E$35)/INDEX($C$3955:$N$3955,1,I3930-Assumptions!$E$35),0))</f>
        <v>0.547270007644595</v>
      </c>
      <c r="J3965" s="51" t="n">
        <f aca="false">IF(J3930-Assumptions!$E$35&lt;1,0,IFERROR(INDEX($C$3954:$N$3954,1,J3930-Assumptions!$E$35)/INDEX($C$3955:$N$3955,1,J3930-Assumptions!$E$35),0))</f>
        <v>0.438268408701094</v>
      </c>
      <c r="K3965" s="51" t="n">
        <f aca="false">IF(K3930-Assumptions!$E$35&lt;1,0,IFERROR(INDEX($C$3954:$N$3954,1,K3930-Assumptions!$E$35)/INDEX($C$3955:$N$3955,1,K3930-Assumptions!$E$35),0))</f>
        <v>0.388447340941109</v>
      </c>
      <c r="L3965" s="51" t="n">
        <f aca="false">IF(L3930-Assumptions!$E$35&lt;1,0,IFERROR(INDEX($C$3954:$N$3954,1,L3930-Assumptions!$E$35)/INDEX($C$3955:$N$3955,1,L3930-Assumptions!$E$35),0))</f>
        <v>0.428253342158661</v>
      </c>
      <c r="M3965" s="51" t="n">
        <f aca="false">IF(M3930-Assumptions!$E$35&lt;1,0,IFERROR(INDEX($C$3954:$N$3954,1,M3930-Assumptions!$E$35)/INDEX($C$3955:$N$3955,1,M3930-Assumptions!$E$35),0))</f>
        <v>0.4426940375519</v>
      </c>
      <c r="N3965" s="51" t="n">
        <f aca="false">IF(N3930-Assumptions!$E$35&lt;1,0,IFERROR(INDEX($C$3954:$N$3954,1,N3930-Assumptions!$E$35)/INDEX($C$3955:$N$3955,1,N3930-Assumptions!$E$35),0))</f>
        <v>0.457035812186816</v>
      </c>
      <c r="P3965" s="52"/>
      <c r="Q3965" s="52"/>
      <c r="R3965" s="52"/>
      <c r="S3965" s="53"/>
    </row>
    <row r="3966" customFormat="false" ht="15" hidden="false" customHeight="false" outlineLevel="0" collapsed="false">
      <c r="A3966" s="4" t="s">
        <v>520</v>
      </c>
      <c r="B3966" s="36" t="s">
        <v>516</v>
      </c>
      <c r="C3966" s="48" t="n">
        <f aca="false">C3962*Assumptions!$E$37</f>
        <v>0</v>
      </c>
      <c r="D3966" s="48" t="n">
        <f aca="false">D3962*Assumptions!$E$37</f>
        <v>0.242345148004554</v>
      </c>
      <c r="E3966" s="48" t="n">
        <f aca="false">E3962*Assumptions!$E$37</f>
        <v>0.410375543991335</v>
      </c>
      <c r="F3966" s="48" t="n">
        <f aca="false">F3962*Assumptions!$E$37</f>
        <v>0.456446652302601</v>
      </c>
      <c r="G3966" s="48" t="n">
        <f aca="false">G3962*Assumptions!$E$37</f>
        <v>0.503462521069717</v>
      </c>
      <c r="H3966" s="48" t="n">
        <f aca="false">H3962*Assumptions!$E$37</f>
        <v>0.645010230786209</v>
      </c>
      <c r="I3966" s="48" t="n">
        <f aca="false">I3962*Assumptions!$E$37</f>
        <v>0.776369322273611</v>
      </c>
      <c r="J3966" s="48" t="n">
        <f aca="false">J3962*Assumptions!$E$37</f>
        <v>1.13423358229187</v>
      </c>
      <c r="K3966" s="48" t="n">
        <f aca="false">K3962*Assumptions!$E$37</f>
        <v>1.45394580350827</v>
      </c>
      <c r="L3966" s="48" t="n">
        <f aca="false">L3962*Assumptions!$E$37</f>
        <v>1.46533559992116</v>
      </c>
      <c r="M3966" s="48" t="n">
        <f aca="false">M3962*Assumptions!$E$37</f>
        <v>1.41753630006081</v>
      </c>
      <c r="N3966" s="48" t="n">
        <f aca="false">N3962*Assumptions!$E$37</f>
        <v>1.3730540393491</v>
      </c>
      <c r="P3966" s="49" t="n">
        <f aca="false">SUM(C3966:F3966)</f>
        <v>1.10916734429849</v>
      </c>
      <c r="Q3966" s="49" t="n">
        <f aca="false">SUM(G3966:J3966)</f>
        <v>3.0590756564214</v>
      </c>
      <c r="R3966" s="49" t="n">
        <f aca="false">SUM(K3966:N3966)</f>
        <v>5.70987174283933</v>
      </c>
      <c r="S3966" s="50" t="n">
        <f aca="false">SUM(P3966:R3966)</f>
        <v>9.87811474355923</v>
      </c>
    </row>
    <row r="3967" customFormat="false" ht="15" hidden="false" customHeight="false" outlineLevel="0" collapsed="false">
      <c r="A3967" s="4" t="s">
        <v>521</v>
      </c>
      <c r="B3967" s="36" t="s">
        <v>516</v>
      </c>
      <c r="C3967" s="48" t="n">
        <f aca="false">C3962*(1-Assumptions!$E$37)</f>
        <v>0</v>
      </c>
      <c r="D3967" s="48" t="n">
        <f aca="false">D3962*(1-Assumptions!$E$37)</f>
        <v>0.565472012010625</v>
      </c>
      <c r="E3967" s="48" t="n">
        <f aca="false">E3962*(1-Assumptions!$E$37)</f>
        <v>0.957542935979781</v>
      </c>
      <c r="F3967" s="48" t="n">
        <f aca="false">F3962*(1-Assumptions!$E$37)</f>
        <v>1.06504218870607</v>
      </c>
      <c r="G3967" s="48" t="n">
        <f aca="false">G3962*(1-Assumptions!$E$37)</f>
        <v>1.17474588249601</v>
      </c>
      <c r="H3967" s="48" t="n">
        <f aca="false">H3962*(1-Assumptions!$E$37)</f>
        <v>1.50502387183449</v>
      </c>
      <c r="I3967" s="48" t="n">
        <f aca="false">I3962*(1-Assumptions!$E$37)</f>
        <v>1.81152841863843</v>
      </c>
      <c r="J3967" s="48" t="n">
        <f aca="false">J3962*(1-Assumptions!$E$37)</f>
        <v>2.64654502534769</v>
      </c>
      <c r="K3967" s="48" t="n">
        <f aca="false">K3962*(1-Assumptions!$E$37)</f>
        <v>3.39254020818596</v>
      </c>
      <c r="L3967" s="48" t="n">
        <f aca="false">L3962*(1-Assumptions!$E$37)</f>
        <v>3.41911639981603</v>
      </c>
      <c r="M3967" s="48" t="n">
        <f aca="false">M3962*(1-Assumptions!$E$37)</f>
        <v>3.30758470014189</v>
      </c>
      <c r="N3967" s="48" t="n">
        <f aca="false">N3962*(1-Assumptions!$E$37)</f>
        <v>3.20379275848122</v>
      </c>
      <c r="P3967" s="49" t="n">
        <f aca="false">SUM(C3967:F3967)</f>
        <v>2.58805713669647</v>
      </c>
      <c r="Q3967" s="49" t="n">
        <f aca="false">SUM(G3967:J3967)</f>
        <v>7.13784319831661</v>
      </c>
      <c r="R3967" s="49" t="n">
        <f aca="false">SUM(K3967:N3967)</f>
        <v>13.3230340666251</v>
      </c>
      <c r="S3967" s="50" t="n">
        <f aca="false">SUM(P3967:R3967)</f>
        <v>23.0489344016382</v>
      </c>
    </row>
    <row r="3968" customFormat="false" ht="15" hidden="false" customHeight="false" outlineLevel="0" collapsed="false">
      <c r="A3968" s="4" t="s">
        <v>522</v>
      </c>
      <c r="B3968" s="36" t="s">
        <v>125</v>
      </c>
      <c r="C3968" s="54" t="n">
        <f aca="false">C3967*$C$3921+C3963*$C$3922+C3964*$C$3923</f>
        <v>0</v>
      </c>
      <c r="D3968" s="54" t="n">
        <f aca="false">D3967*$C$3921+D3963*$C$3922+D3964*$C$3923</f>
        <v>6979.43460531589</v>
      </c>
      <c r="E3968" s="54" t="n">
        <f aca="false">E3967*$C$3921+E3963*$C$3922+E3964*$C$3923</f>
        <v>15924.301264928</v>
      </c>
      <c r="F3968" s="54" t="n">
        <f aca="false">F3967*$C$3921+F3963*$C$3922+F3964*$C$3923</f>
        <v>20097.7981550214</v>
      </c>
      <c r="G3968" s="54" t="n">
        <f aca="false">G3967*$C$3921+G3963*$C$3922+G3964*$C$3923</f>
        <v>22232.3434520498</v>
      </c>
      <c r="H3968" s="54" t="n">
        <f aca="false">H3967*$C$3921+H3963*$C$3922+H3964*$C$3923</f>
        <v>26897.8142005561</v>
      </c>
      <c r="I3968" s="54" t="n">
        <f aca="false">I3967*$C$3921+I3963*$C$3922+I3964*$C$3923</f>
        <v>31983.7046149943</v>
      </c>
      <c r="J3968" s="54" t="n">
        <f aca="false">J3967*$C$3921+J3963*$C$3922+J3964*$C$3923</f>
        <v>42450.4705162845</v>
      </c>
      <c r="K3968" s="54" t="n">
        <f aca="false">K3967*$C$3921+K3963*$C$3922+K3964*$C$3923</f>
        <v>54208.3753271391</v>
      </c>
      <c r="L3968" s="54" t="n">
        <f aca="false">L3967*$C$3921+L3963*$C$3922+L3964*$C$3923</f>
        <v>57848.7358142235</v>
      </c>
      <c r="M3968" s="54" t="n">
        <f aca="false">M3967*$C$3921+M3963*$C$3922+M3964*$C$3923</f>
        <v>56703.5398073474</v>
      </c>
      <c r="N3968" s="54" t="n">
        <f aca="false">N3967*$C$3921+N3963*$C$3922+N3964*$C$3923</f>
        <v>54901.2658578605</v>
      </c>
      <c r="P3968" s="55" t="n">
        <f aca="false">SUM(C3968:F3968)</f>
        <v>43001.5340252653</v>
      </c>
      <c r="Q3968" s="55" t="n">
        <f aca="false">SUM(G3968:J3968)</f>
        <v>123564.332783885</v>
      </c>
      <c r="R3968" s="55" t="n">
        <f aca="false">SUM(K3968:N3968)</f>
        <v>223661.916806571</v>
      </c>
      <c r="S3968" s="56" t="n">
        <f aca="false">SUM(P3968:R3968)</f>
        <v>390227.783615721</v>
      </c>
    </row>
    <row r="3969" customFormat="false" ht="15" hidden="false" customHeight="false" outlineLevel="0" collapsed="false">
      <c r="A3969" s="4" t="s">
        <v>523</v>
      </c>
      <c r="B3969" s="36" t="s">
        <v>125</v>
      </c>
      <c r="C3969" s="54" t="n">
        <f aca="false">(C3945+Assumptions!$D$104*C3931)*$C$3926</f>
        <v>306250</v>
      </c>
      <c r="D3969" s="54" t="n">
        <f aca="false">(D3945+Assumptions!$D$104*D3931)*$C$3926</f>
        <v>306250</v>
      </c>
      <c r="E3969" s="54" t="n">
        <f aca="false">(E3945+Assumptions!$D$104*E3931)*$C$3926</f>
        <v>306250</v>
      </c>
      <c r="F3969" s="54" t="n">
        <f aca="false">(F3945+Assumptions!$D$104*F3931)*$C$3926</f>
        <v>306250</v>
      </c>
      <c r="G3969" s="54" t="n">
        <f aca="false">(G3945+Assumptions!$D$104*G3931)*$C$3926</f>
        <v>306250</v>
      </c>
      <c r="H3969" s="54" t="n">
        <f aca="false">(H3945+Assumptions!$D$104*H3931)*$C$3926</f>
        <v>306250</v>
      </c>
      <c r="I3969" s="54" t="n">
        <f aca="false">(I3945+Assumptions!$D$104*I3931)*$C$3926</f>
        <v>306250</v>
      </c>
      <c r="J3969" s="54" t="n">
        <f aca="false">(J3945+Assumptions!$D$104*J3931)*$C$3926</f>
        <v>306250</v>
      </c>
      <c r="K3969" s="54" t="n">
        <f aca="false">(K3945+Assumptions!$D$104*K3931)*$C$3926</f>
        <v>306250</v>
      </c>
      <c r="L3969" s="54" t="n">
        <f aca="false">(L3945+Assumptions!$D$104*L3931)*$C$3926</f>
        <v>306250</v>
      </c>
      <c r="M3969" s="54" t="n">
        <f aca="false">(M3945+Assumptions!$D$104*M3931)*$C$3926</f>
        <v>306250</v>
      </c>
      <c r="N3969" s="54" t="n">
        <f aca="false">(N3945+Assumptions!$D$104*N3931)*$C$3926</f>
        <v>306250</v>
      </c>
      <c r="P3969" s="55" t="n">
        <f aca="false">SUM(C3969:F3969)</f>
        <v>1225000</v>
      </c>
      <c r="Q3969" s="55" t="n">
        <f aca="false">SUM(G3969:J3969)</f>
        <v>1225000</v>
      </c>
      <c r="R3969" s="55" t="n">
        <f aca="false">SUM(K3969:N3969)</f>
        <v>1225000</v>
      </c>
      <c r="S3969" s="56" t="n">
        <f aca="false">SUM(P3969:R3969)</f>
        <v>3675000</v>
      </c>
    </row>
    <row r="3970" customFormat="false" ht="15" hidden="false" customHeight="false" outlineLevel="0" collapsed="false">
      <c r="A3970" s="4" t="s">
        <v>524</v>
      </c>
      <c r="B3970" s="36" t="s">
        <v>77</v>
      </c>
      <c r="C3970" s="51" t="n">
        <f aca="false">IF(C3968&gt;0,MIN(1,C3969/C3968),1)</f>
        <v>1</v>
      </c>
      <c r="D3970" s="51" t="n">
        <f aca="false">IF(D3968&gt;0,MIN(1,D3969/D3968),1)</f>
        <v>1</v>
      </c>
      <c r="E3970" s="51" t="n">
        <f aca="false">IF(E3968&gt;0,MIN(1,E3969/E3968),1)</f>
        <v>1</v>
      </c>
      <c r="F3970" s="51" t="n">
        <f aca="false">IF(F3968&gt;0,MIN(1,F3969/F3968),1)</f>
        <v>1</v>
      </c>
      <c r="G3970" s="51" t="n">
        <f aca="false">IF(G3968&gt;0,MIN(1,G3969/G3968),1)</f>
        <v>1</v>
      </c>
      <c r="H3970" s="51" t="n">
        <f aca="false">IF(H3968&gt;0,MIN(1,H3969/H3968),1)</f>
        <v>1</v>
      </c>
      <c r="I3970" s="51" t="n">
        <f aca="false">IF(I3968&gt;0,MIN(1,I3969/I3968),1)</f>
        <v>1</v>
      </c>
      <c r="J3970" s="51" t="n">
        <f aca="false">IF(J3968&gt;0,MIN(1,J3969/J3968),1)</f>
        <v>1</v>
      </c>
      <c r="K3970" s="51" t="n">
        <f aca="false">IF(K3968&gt;0,MIN(1,K3969/K3968),1)</f>
        <v>1</v>
      </c>
      <c r="L3970" s="51" t="n">
        <f aca="false">IF(L3968&gt;0,MIN(1,L3969/L3968),1)</f>
        <v>1</v>
      </c>
      <c r="M3970" s="51" t="n">
        <f aca="false">IF(M3968&gt;0,MIN(1,M3969/M3968),1)</f>
        <v>1</v>
      </c>
      <c r="N3970" s="51" t="n">
        <f aca="false">IF(N3968&gt;0,MIN(1,N3969/N3968),1)</f>
        <v>1</v>
      </c>
      <c r="P3970" s="52"/>
      <c r="Q3970" s="52"/>
      <c r="R3970" s="52"/>
      <c r="S3970" s="53"/>
    </row>
    <row r="3971" customFormat="false" ht="15" hidden="false" customHeight="false" outlineLevel="0" collapsed="false">
      <c r="A3971" s="4" t="s">
        <v>525</v>
      </c>
      <c r="B3971" s="36" t="s">
        <v>125</v>
      </c>
      <c r="C3971" s="54" t="n">
        <f aca="false">C3968*(1-C3970)</f>
        <v>0</v>
      </c>
      <c r="D3971" s="54" t="n">
        <f aca="false">D3968*(1-D3970)</f>
        <v>0</v>
      </c>
      <c r="E3971" s="54" t="n">
        <f aca="false">E3968*(1-E3970)</f>
        <v>0</v>
      </c>
      <c r="F3971" s="54" t="n">
        <f aca="false">F3968*(1-F3970)</f>
        <v>0</v>
      </c>
      <c r="G3971" s="54" t="n">
        <f aca="false">G3968*(1-G3970)</f>
        <v>0</v>
      </c>
      <c r="H3971" s="54" t="n">
        <f aca="false">H3968*(1-H3970)</f>
        <v>0</v>
      </c>
      <c r="I3971" s="54" t="n">
        <f aca="false">I3968*(1-I3970)</f>
        <v>0</v>
      </c>
      <c r="J3971" s="54" t="n">
        <f aca="false">J3968*(1-J3970)</f>
        <v>0</v>
      </c>
      <c r="K3971" s="54" t="n">
        <f aca="false">K3968*(1-K3970)</f>
        <v>0</v>
      </c>
      <c r="L3971" s="54" t="n">
        <f aca="false">L3968*(1-L3970)</f>
        <v>0</v>
      </c>
      <c r="M3971" s="54" t="n">
        <f aca="false">M3968*(1-M3970)</f>
        <v>0</v>
      </c>
      <c r="N3971" s="54" t="n">
        <f aca="false">N3968*(1-N3970)</f>
        <v>0</v>
      </c>
      <c r="P3971" s="55" t="n">
        <f aca="false">SUM(C3971:F3971)</f>
        <v>0</v>
      </c>
      <c r="Q3971" s="55" t="n">
        <f aca="false">SUM(G3971:J3971)</f>
        <v>0</v>
      </c>
      <c r="R3971" s="55" t="n">
        <f aca="false">SUM(K3971:N3971)</f>
        <v>0</v>
      </c>
      <c r="S3971" s="56" t="n">
        <f aca="false">SUM(P3971:R3971)</f>
        <v>0</v>
      </c>
    </row>
    <row r="3972" customFormat="false" ht="15" hidden="false" customHeight="false" outlineLevel="0" collapsed="false">
      <c r="A3972" s="4" t="s">
        <v>526</v>
      </c>
      <c r="B3972" s="36" t="s">
        <v>527</v>
      </c>
      <c r="C3972" s="48" t="n">
        <f aca="false">C3966+C3967*C3970</f>
        <v>0</v>
      </c>
      <c r="D3972" s="48" t="n">
        <f aca="false">D3966+D3967*D3970</f>
        <v>0.807817160015179</v>
      </c>
      <c r="E3972" s="48" t="n">
        <f aca="false">E3966+E3967*E3970</f>
        <v>1.36791847997112</v>
      </c>
      <c r="F3972" s="48" t="n">
        <f aca="false">F3966+F3967*F3970</f>
        <v>1.52148884100867</v>
      </c>
      <c r="G3972" s="48" t="n">
        <f aca="false">G3966+G3967*G3970</f>
        <v>1.67820840356572</v>
      </c>
      <c r="H3972" s="48" t="n">
        <f aca="false">H3966+H3967*H3970</f>
        <v>2.1500341026207</v>
      </c>
      <c r="I3972" s="48" t="n">
        <f aca="false">I3966+I3967*I3970</f>
        <v>2.58789774091204</v>
      </c>
      <c r="J3972" s="48" t="n">
        <f aca="false">J3966+J3967*J3970</f>
        <v>3.78077860763956</v>
      </c>
      <c r="K3972" s="48" t="n">
        <f aca="false">K3966+K3967*K3970</f>
        <v>4.84648601169423</v>
      </c>
      <c r="L3972" s="48" t="n">
        <f aca="false">L3966+L3967*L3970</f>
        <v>4.88445199973719</v>
      </c>
      <c r="M3972" s="48" t="n">
        <f aca="false">M3966+M3967*M3970</f>
        <v>4.7251210002027</v>
      </c>
      <c r="N3972" s="48" t="n">
        <f aca="false">N3966+N3967*N3970</f>
        <v>4.57684679783032</v>
      </c>
      <c r="P3972" s="49" t="n">
        <f aca="false">SUM(C3972:F3972)</f>
        <v>3.69722448099496</v>
      </c>
      <c r="Q3972" s="49" t="n">
        <f aca="false">SUM(G3972:J3972)</f>
        <v>10.196918854738</v>
      </c>
      <c r="R3972" s="49" t="n">
        <f aca="false">SUM(K3972:N3972)</f>
        <v>19.0329058094644</v>
      </c>
      <c r="S3972" s="50" t="n">
        <f aca="false">SUM(P3972:R3972)</f>
        <v>32.9270491451974</v>
      </c>
    </row>
    <row r="3973" customFormat="false" ht="15" hidden="false" customHeight="false" outlineLevel="0" collapsed="false">
      <c r="A3973" s="4" t="s">
        <v>528</v>
      </c>
      <c r="B3973" s="36" t="s">
        <v>527</v>
      </c>
      <c r="C3973" s="48" t="n">
        <f aca="false">C3963*C3970</f>
        <v>0</v>
      </c>
      <c r="D3973" s="48" t="n">
        <f aca="false">D3963*D3970</f>
        <v>0.404744719304259</v>
      </c>
      <c r="E3973" s="48" t="n">
        <f aca="false">E3963*E3970</f>
        <v>0.685375117800933</v>
      </c>
      <c r="F3973" s="48" t="n">
        <f aca="false">F3963*F3970</f>
        <v>0.762319252870347</v>
      </c>
      <c r="G3973" s="48" t="n">
        <f aca="false">G3963*G3970</f>
        <v>0.840841248312297</v>
      </c>
      <c r="H3973" s="48" t="n">
        <f aca="false">H3963*H3970</f>
        <v>1.05599112347994</v>
      </c>
      <c r="I3973" s="48" t="n">
        <f aca="false">I3963*I3970</f>
        <v>1.25623366103778</v>
      </c>
      <c r="J3973" s="48" t="n">
        <f aca="false">J3963*J3970</f>
        <v>1.72624531583952</v>
      </c>
      <c r="K3973" s="48" t="n">
        <f aca="false">K3963*K3970</f>
        <v>2.15496831685305</v>
      </c>
      <c r="L3973" s="48" t="n">
        <f aca="false">L3963*L3970</f>
        <v>2.17184972353681</v>
      </c>
      <c r="M3973" s="48" t="n">
        <f aca="false">M3963*M3970</f>
        <v>2.10100390760732</v>
      </c>
      <c r="N3973" s="48" t="n">
        <f aca="false">N3963*N3970</f>
        <v>2.03507444705629</v>
      </c>
      <c r="P3973" s="49" t="n">
        <f aca="false">SUM(C3973:F3973)</f>
        <v>1.85243908997554</v>
      </c>
      <c r="Q3973" s="49" t="n">
        <f aca="false">SUM(G3973:J3973)</f>
        <v>4.87931134866954</v>
      </c>
      <c r="R3973" s="49" t="n">
        <f aca="false">SUM(K3973:N3973)</f>
        <v>8.46289639505347</v>
      </c>
      <c r="S3973" s="50" t="n">
        <f aca="false">SUM(P3973:R3973)</f>
        <v>15.1946468336985</v>
      </c>
    </row>
    <row r="3974" customFormat="false" ht="15" hidden="false" customHeight="false" outlineLevel="0" collapsed="false">
      <c r="A3974" s="4" t="s">
        <v>529</v>
      </c>
      <c r="B3974" s="36" t="s">
        <v>527</v>
      </c>
      <c r="C3974" s="48" t="n">
        <f aca="false">C3964*C3970</f>
        <v>0</v>
      </c>
      <c r="D3974" s="48" t="n">
        <f aca="false">D3964*D3970</f>
        <v>0</v>
      </c>
      <c r="E3974" s="48" t="n">
        <f aca="false">E3964*E3970</f>
        <v>0.0664580835400821</v>
      </c>
      <c r="F3974" s="48" t="n">
        <f aca="false">F3964*F3970</f>
        <v>0.112536902058672</v>
      </c>
      <c r="G3974" s="48" t="n">
        <f aca="false">G3964*G3970</f>
        <v>0.125170939051551</v>
      </c>
      <c r="H3974" s="48" t="n">
        <f aca="false">H3964*H3970</f>
        <v>0.138064056821649</v>
      </c>
      <c r="I3974" s="48" t="n">
        <f aca="false">I3964*I3970</f>
        <v>0.162178775315048</v>
      </c>
      <c r="J3974" s="48" t="n">
        <f aca="false">J3964*J3970</f>
        <v>0.184958387732131</v>
      </c>
      <c r="K3974" s="48" t="n">
        <f aca="false">K3964*K3970</f>
        <v>0.242877164460576</v>
      </c>
      <c r="L3974" s="48" t="n">
        <f aca="false">L3964*L3970</f>
        <v>0.296832211737735</v>
      </c>
      <c r="M3974" s="48" t="n">
        <f aca="false">M3964*M3970</f>
        <v>0.299157510557211</v>
      </c>
      <c r="N3974" s="48" t="n">
        <f aca="false">N3964*N3970</f>
        <v>0.289398981826067</v>
      </c>
      <c r="P3974" s="49" t="n">
        <f aca="false">SUM(C3974:F3974)</f>
        <v>0.178994985598754</v>
      </c>
      <c r="Q3974" s="49" t="n">
        <f aca="false">SUM(G3974:J3974)</f>
        <v>0.610372158920379</v>
      </c>
      <c r="R3974" s="49" t="n">
        <f aca="false">SUM(K3974:N3974)</f>
        <v>1.12826586858159</v>
      </c>
      <c r="S3974" s="50" t="n">
        <f aca="false">SUM(P3974:R3974)</f>
        <v>1.91763301310072</v>
      </c>
    </row>
    <row r="3975" customFormat="false" ht="15" hidden="false" customHeight="false" outlineLevel="0" collapsed="false">
      <c r="A3975" s="9" t="s">
        <v>530</v>
      </c>
      <c r="B3975" s="36" t="s">
        <v>527</v>
      </c>
      <c r="C3975" s="49" t="n">
        <f aca="false">C3972+C3973+C3974</f>
        <v>0</v>
      </c>
      <c r="D3975" s="49" t="n">
        <f aca="false">D3972+D3973+D3974</f>
        <v>1.21256187931944</v>
      </c>
      <c r="E3975" s="49" t="n">
        <f aca="false">E3972+E3973+E3974</f>
        <v>2.11975168131213</v>
      </c>
      <c r="F3975" s="49" t="n">
        <f aca="false">F3972+F3973+F3974</f>
        <v>2.39634499593769</v>
      </c>
      <c r="G3975" s="49" t="n">
        <f aca="false">G3972+G3973+G3974</f>
        <v>2.64422059092957</v>
      </c>
      <c r="H3975" s="49" t="n">
        <f aca="false">H3972+H3973+H3974</f>
        <v>3.34408928292228</v>
      </c>
      <c r="I3975" s="49" t="n">
        <f aca="false">I3972+I3973+I3974</f>
        <v>4.00631017726487</v>
      </c>
      <c r="J3975" s="49" t="n">
        <f aca="false">J3972+J3973+J3974</f>
        <v>5.69198231121121</v>
      </c>
      <c r="K3975" s="49" t="n">
        <f aca="false">K3972+K3973+K3974</f>
        <v>7.24433149300786</v>
      </c>
      <c r="L3975" s="49" t="n">
        <f aca="false">L3972+L3973+L3974</f>
        <v>7.35313393501174</v>
      </c>
      <c r="M3975" s="49" t="n">
        <f aca="false">M3972+M3973+M3974</f>
        <v>7.12528241836724</v>
      </c>
      <c r="N3975" s="49" t="n">
        <f aca="false">N3972+N3973+N3974</f>
        <v>6.90132022671267</v>
      </c>
      <c r="P3975" s="49" t="n">
        <f aca="false">SUM(C3975:F3975)</f>
        <v>5.72865855656926</v>
      </c>
      <c r="Q3975" s="49" t="n">
        <f aca="false">SUM(G3975:J3975)</f>
        <v>15.6866023623279</v>
      </c>
      <c r="R3975" s="49" t="n">
        <f aca="false">SUM(K3975:N3975)</f>
        <v>28.6240680730995</v>
      </c>
      <c r="S3975" s="50" t="n">
        <f aca="false">SUM(P3975:R3975)</f>
        <v>50.0393289919967</v>
      </c>
    </row>
    <row r="3976" customFormat="false" ht="15" hidden="false" customHeight="false" outlineLevel="0" collapsed="false">
      <c r="A3976" s="35" t="s">
        <v>533</v>
      </c>
      <c r="B3976" s="35" t="s">
        <v>444</v>
      </c>
      <c r="C3976" s="6" t="s">
        <v>354</v>
      </c>
      <c r="D3976" s="6" t="s">
        <v>355</v>
      </c>
      <c r="E3976" s="6" t="s">
        <v>356</v>
      </c>
      <c r="F3976" s="6" t="s">
        <v>357</v>
      </c>
      <c r="G3976" s="6" t="s">
        <v>358</v>
      </c>
      <c r="H3976" s="6" t="s">
        <v>359</v>
      </c>
      <c r="I3976" s="6" t="s">
        <v>360</v>
      </c>
      <c r="J3976" s="6" t="s">
        <v>361</v>
      </c>
      <c r="K3976" s="6" t="s">
        <v>362</v>
      </c>
      <c r="L3976" s="6" t="s">
        <v>363</v>
      </c>
      <c r="M3976" s="6" t="s">
        <v>364</v>
      </c>
      <c r="N3976" s="6" t="s">
        <v>365</v>
      </c>
      <c r="P3976" s="6" t="s">
        <v>445</v>
      </c>
      <c r="Q3976" s="6" t="s">
        <v>446</v>
      </c>
      <c r="R3976" s="6" t="s">
        <v>447</v>
      </c>
      <c r="S3976" s="6" t="s">
        <v>448</v>
      </c>
    </row>
    <row r="3977" customFormat="false" ht="15" hidden="false" customHeight="false" outlineLevel="0" collapsed="false">
      <c r="A3977" s="4" t="s">
        <v>534</v>
      </c>
      <c r="B3977" s="36" t="s">
        <v>527</v>
      </c>
      <c r="C3977" s="48" t="n">
        <f aca="false">0*Assumptions!$E$59^(1/4)+C3972</f>
        <v>0</v>
      </c>
      <c r="D3977" s="48" t="n">
        <f aca="false">C3977*Assumptions!$E$59^(1/4)+D3972</f>
        <v>0.807817160015179</v>
      </c>
      <c r="E3977" s="48" t="n">
        <f aca="false">D3977*Assumptions!$E$59^(1/4)+E3972</f>
        <v>2.15032730878394</v>
      </c>
      <c r="F3977" s="48" t="n">
        <f aca="false">E3977*Assumptions!$E$59^(1/4)+F3972</f>
        <v>3.60418175037723</v>
      </c>
      <c r="G3977" s="48" t="n">
        <f aca="false">F3977*Assumptions!$E$59^(1/4)+G3972</f>
        <v>5.16902756626859</v>
      </c>
      <c r="H3977" s="48" t="n">
        <f aca="false">G3977*Assumptions!$E$59^(1/4)+H3972</f>
        <v>7.15647987328172</v>
      </c>
      <c r="I3977" s="48" t="n">
        <f aca="false">H3977*Assumptions!$E$59^(1/4)+I3972</f>
        <v>9.51928433830948</v>
      </c>
      <c r="J3977" s="48" t="n">
        <f aca="false">I3977*Assumptions!$E$59^(1/4)+J3972</f>
        <v>13.0006522113805</v>
      </c>
      <c r="K3977" s="48" t="n">
        <f aca="false">J3977*Assumptions!$E$59^(1/4)+K3972</f>
        <v>17.438227774543</v>
      </c>
      <c r="L3977" s="48" t="n">
        <f aca="false">K3977*Assumptions!$E$59^(1/4)+L3972</f>
        <v>21.7741939425737</v>
      </c>
      <c r="M3977" s="48" t="n">
        <f aca="false">L3977*Assumptions!$E$59^(1/4)+M3972</f>
        <v>25.8144496555041</v>
      </c>
      <c r="N3977" s="48" t="n">
        <f aca="false">M3977*Assumptions!$E$59^(1/4)+N3972</f>
        <v>29.5793527126972</v>
      </c>
      <c r="P3977" s="49" t="n">
        <f aca="false">F3977</f>
        <v>3.60418175037723</v>
      </c>
      <c r="Q3977" s="49" t="n">
        <f aca="false">J3977</f>
        <v>13.0006522113805</v>
      </c>
      <c r="R3977" s="49" t="n">
        <f aca="false">N3977</f>
        <v>29.5793527126972</v>
      </c>
      <c r="S3977" s="50" t="n">
        <f aca="false">R3977</f>
        <v>29.5793527126972</v>
      </c>
    </row>
    <row r="3978" customFormat="false" ht="15" hidden="false" customHeight="false" outlineLevel="0" collapsed="false">
      <c r="A3978" s="4" t="s">
        <v>535</v>
      </c>
      <c r="B3978" s="36" t="s">
        <v>527</v>
      </c>
      <c r="C3978" s="48" t="n">
        <f aca="false">0*Assumptions!$E$60^(1/4)+C3973</f>
        <v>0</v>
      </c>
      <c r="D3978" s="48" t="n">
        <f aca="false">C3978*Assumptions!$E$60^(1/4)+D3973</f>
        <v>0.404744719304259</v>
      </c>
      <c r="E3978" s="48" t="n">
        <f aca="false">D3978*Assumptions!$E$60^(1/4)+E3973</f>
        <v>1.07959799074914</v>
      </c>
      <c r="F3978" s="48" t="n">
        <f aca="false">E3978*Assumptions!$E$60^(1/4)+F3973</f>
        <v>1.81385174049323</v>
      </c>
      <c r="G3978" s="48" t="n">
        <f aca="false">F3978*Assumptions!$E$60^(1/4)+G3973</f>
        <v>2.60753963901275</v>
      </c>
      <c r="H3978" s="48" t="n">
        <f aca="false">G3978*Assumptions!$E$60^(1/4)+H3973</f>
        <v>3.59574450083082</v>
      </c>
      <c r="I3978" s="48" t="n">
        <f aca="false">H3978*Assumptions!$E$60^(1/4)+I3973</f>
        <v>4.75850227603516</v>
      </c>
      <c r="J3978" s="48" t="n">
        <f aca="false">I3978*Assumptions!$E$60^(1/4)+J3973</f>
        <v>6.36104436007107</v>
      </c>
      <c r="K3978" s="48" t="n">
        <f aca="false">J3978*Assumptions!$E$60^(1/4)+K3973</f>
        <v>8.35064935473977</v>
      </c>
      <c r="L3978" s="48" t="n">
        <f aca="false">K3978*Assumptions!$E$60^(1/4)+L3973</f>
        <v>10.3054134801373</v>
      </c>
      <c r="M3978" s="48" t="n">
        <f aca="false">L3978*Assumptions!$E$60^(1/4)+M3973</f>
        <v>12.1385152457228</v>
      </c>
      <c r="N3978" s="48" t="n">
        <f aca="false">M3978*Assumptions!$E$60^(1/4)+N3973</f>
        <v>13.8580337724309</v>
      </c>
      <c r="P3978" s="49" t="n">
        <f aca="false">F3978</f>
        <v>1.81385174049323</v>
      </c>
      <c r="Q3978" s="49" t="n">
        <f aca="false">J3978</f>
        <v>6.36104436007107</v>
      </c>
      <c r="R3978" s="49" t="n">
        <f aca="false">N3978</f>
        <v>13.8580337724309</v>
      </c>
      <c r="S3978" s="50" t="n">
        <f aca="false">R3978</f>
        <v>13.8580337724309</v>
      </c>
    </row>
    <row r="3979" customFormat="false" ht="15" hidden="false" customHeight="false" outlineLevel="0" collapsed="false">
      <c r="A3979" s="4" t="s">
        <v>536</v>
      </c>
      <c r="B3979" s="36" t="s">
        <v>527</v>
      </c>
      <c r="C3979" s="48" t="n">
        <f aca="false">0*Assumptions!$E$61^(1/4)+C3974</f>
        <v>0</v>
      </c>
      <c r="D3979" s="48" t="n">
        <f aca="false">C3979*Assumptions!$E$61^(1/4)+D3974</f>
        <v>0</v>
      </c>
      <c r="E3979" s="48" t="n">
        <f aca="false">D3979*Assumptions!$E$61^(1/4)+E3974</f>
        <v>0.0664580835400821</v>
      </c>
      <c r="F3979" s="48" t="n">
        <f aca="false">E3979*Assumptions!$E$61^(1/4)+F3974</f>
        <v>0.177623979348991</v>
      </c>
      <c r="G3979" s="48" t="n">
        <f aca="false">F3979*Assumptions!$E$61^(1/4)+G3974</f>
        <v>0.299130599888432</v>
      </c>
      <c r="H3979" s="48" t="n">
        <f aca="false">G3979*Assumptions!$E$61^(1/4)+H3974</f>
        <v>0.431023700520905</v>
      </c>
      <c r="I3979" s="48" t="n">
        <f aca="false">H3979*Assumptions!$E$61^(1/4)+I3974</f>
        <v>0.584310612638396</v>
      </c>
      <c r="J3979" s="48" t="n">
        <f aca="false">I3979*Assumptions!$E$61^(1/4)+J3974</f>
        <v>0.757214883563999</v>
      </c>
      <c r="K3979" s="48" t="n">
        <f aca="false">J3979*Assumptions!$E$61^(1/4)+K3974</f>
        <v>0.984470978585313</v>
      </c>
      <c r="L3979" s="48" t="n">
        <f aca="false">K3979*Assumptions!$E$61^(1/4)+L3974</f>
        <v>1.26099390975921</v>
      </c>
      <c r="M3979" s="48" t="n">
        <f aca="false">L3979*Assumptions!$E$61^(1/4)+M3974</f>
        <v>1.53413757160002</v>
      </c>
      <c r="N3979" s="48" t="n">
        <f aca="false">M3979*Assumptions!$E$61^(1/4)+N3974</f>
        <v>1.79188784966244</v>
      </c>
      <c r="P3979" s="49" t="n">
        <f aca="false">F3979</f>
        <v>0.177623979348991</v>
      </c>
      <c r="Q3979" s="49" t="n">
        <f aca="false">J3979</f>
        <v>0.757214883563999</v>
      </c>
      <c r="R3979" s="49" t="n">
        <f aca="false">N3979</f>
        <v>1.79188784966244</v>
      </c>
      <c r="S3979" s="50" t="n">
        <f aca="false">R3979</f>
        <v>1.79188784966244</v>
      </c>
    </row>
    <row r="3980" customFormat="false" ht="15" hidden="false" customHeight="false" outlineLevel="0" collapsed="false">
      <c r="A3980" s="9" t="s">
        <v>537</v>
      </c>
      <c r="B3980" s="36" t="s">
        <v>527</v>
      </c>
      <c r="C3980" s="49" t="n">
        <f aca="false">C3977+C3978+C3979</f>
        <v>0</v>
      </c>
      <c r="D3980" s="49" t="n">
        <f aca="false">D3977+D3978+D3979</f>
        <v>1.21256187931944</v>
      </c>
      <c r="E3980" s="49" t="n">
        <f aca="false">E3977+E3978+E3979</f>
        <v>3.29638338307316</v>
      </c>
      <c r="F3980" s="49" t="n">
        <f aca="false">F3977+F3978+F3979</f>
        <v>5.59565747021945</v>
      </c>
      <c r="G3980" s="49" t="n">
        <f aca="false">G3977+G3978+G3979</f>
        <v>8.07569780516977</v>
      </c>
      <c r="H3980" s="49" t="n">
        <f aca="false">H3977+H3978+H3979</f>
        <v>11.1832480746334</v>
      </c>
      <c r="I3980" s="49" t="n">
        <f aca="false">I3977+I3978+I3979</f>
        <v>14.862097226983</v>
      </c>
      <c r="J3980" s="49" t="n">
        <f aca="false">J3977+J3978+J3979</f>
        <v>20.1189114550156</v>
      </c>
      <c r="K3980" s="49" t="n">
        <f aca="false">K3977+K3978+K3979</f>
        <v>26.7733481078681</v>
      </c>
      <c r="L3980" s="49" t="n">
        <f aca="false">L3977+L3978+L3979</f>
        <v>33.3406013324702</v>
      </c>
      <c r="M3980" s="49" t="n">
        <f aca="false">M3977+M3978+M3979</f>
        <v>39.487102472827</v>
      </c>
      <c r="N3980" s="49" t="n">
        <f aca="false">N3977+N3978+N3979</f>
        <v>45.2292743347906</v>
      </c>
      <c r="P3980" s="49" t="n">
        <f aca="false">F3980</f>
        <v>5.59565747021945</v>
      </c>
      <c r="Q3980" s="49" t="n">
        <f aca="false">J3980</f>
        <v>20.1189114550156</v>
      </c>
      <c r="R3980" s="49" t="n">
        <f aca="false">N3980</f>
        <v>45.2292743347906</v>
      </c>
      <c r="S3980" s="50" t="n">
        <f aca="false">R3980</f>
        <v>45.2292743347906</v>
      </c>
    </row>
    <row r="3981" customFormat="false" ht="15" hidden="false" customHeight="false" outlineLevel="0" collapsed="false">
      <c r="A3981" s="4" t="s">
        <v>538</v>
      </c>
      <c r="B3981" s="36" t="s">
        <v>125</v>
      </c>
      <c r="C3981" s="54" t="n">
        <f aca="false">0*Assumptions!$E$62^(1/4)+C3972*$C$3921</f>
        <v>0</v>
      </c>
      <c r="D3981" s="54" t="n">
        <f aca="false">C3981*Assumptions!$E$62^(1/4)+D3972*$C$3921</f>
        <v>4323.43744040124</v>
      </c>
      <c r="E3981" s="54" t="n">
        <f aca="false">D3981*Assumptions!$E$62^(1/4)+E3972*$C$3921</f>
        <v>11644.5371452067</v>
      </c>
      <c r="F3981" s="54" t="n">
        <f aca="false">E3981*Assumptions!$E$62^(1/4)+F3972*$C$3921</f>
        <v>19787.545422285</v>
      </c>
      <c r="G3981" s="54" t="n">
        <f aca="false">F3981*Assumptions!$E$62^(1/4)+G3972*$C$3921</f>
        <v>28769.3167981688</v>
      </c>
      <c r="H3981" s="54" t="n">
        <f aca="false">G3981*Assumptions!$E$62^(1/4)+H3972*$C$3921</f>
        <v>40276.2993153948</v>
      </c>
      <c r="I3981" s="54" t="n">
        <f aca="false">H3981*Assumptions!$E$62^(1/4)+I3972*$C$3921</f>
        <v>54126.728024756</v>
      </c>
      <c r="J3981" s="54" t="n">
        <f aca="false">I3981*Assumptions!$E$62^(1/4)+J3972*$C$3921</f>
        <v>74361.4551328429</v>
      </c>
      <c r="K3981" s="54" t="n">
        <f aca="false">J3981*Assumptions!$E$62^(1/4)+K3972*$C$3921</f>
        <v>100299.84826743</v>
      </c>
      <c r="L3981" s="54" t="n">
        <f aca="false">K3981*Assumptions!$E$62^(1/4)+L3972*$C$3921</f>
        <v>126441.435370024</v>
      </c>
      <c r="M3981" s="54" t="n">
        <f aca="false">L3981*Assumptions!$E$62^(1/4)+M3972*$C$3921</f>
        <v>151730.282963109</v>
      </c>
      <c r="N3981" s="54" t="n">
        <f aca="false">M3981*Assumptions!$E$62^(1/4)+N3972*$C$3921</f>
        <v>176225.567025097</v>
      </c>
      <c r="P3981" s="55" t="n">
        <f aca="false">F3981</f>
        <v>19787.545422285</v>
      </c>
      <c r="Q3981" s="55" t="n">
        <f aca="false">J3981</f>
        <v>74361.4551328429</v>
      </c>
      <c r="R3981" s="55" t="n">
        <f aca="false">N3981</f>
        <v>176225.567025097</v>
      </c>
      <c r="S3981" s="56" t="n">
        <f aca="false">R3981</f>
        <v>176225.567025097</v>
      </c>
    </row>
    <row r="3982" customFormat="false" ht="15" hidden="false" customHeight="false" outlineLevel="0" collapsed="false">
      <c r="A3982" s="4" t="s">
        <v>539</v>
      </c>
      <c r="B3982" s="36" t="s">
        <v>125</v>
      </c>
      <c r="C3982" s="54" t="n">
        <f aca="false">0*Assumptions!$E$63^(1/4)+C3973*$C$3922</f>
        <v>0</v>
      </c>
      <c r="D3982" s="54" t="n">
        <f aca="false">C3982*Assumptions!$E$63^(1/4)+D3973*$C$3922</f>
        <v>3953.02839703502</v>
      </c>
      <c r="E3982" s="54" t="n">
        <f aca="false">D3982*Assumptions!$E$63^(1/4)+E3973*$C$3922</f>
        <v>10704.9014864057</v>
      </c>
      <c r="F3982" s="54" t="n">
        <f aca="false">E3982*Assumptions!$E$63^(1/4)+F3973*$C$3922</f>
        <v>18307.3423556119</v>
      </c>
      <c r="G3982" s="54" t="n">
        <f aca="false">F3982*Assumptions!$E$63^(1/4)+G3973*$C$3922</f>
        <v>26788.2426260719</v>
      </c>
      <c r="H3982" s="54" t="n">
        <f aca="false">G3982*Assumptions!$E$63^(1/4)+H3973*$C$3922</f>
        <v>37494.8989389706</v>
      </c>
      <c r="I3982" s="54" t="n">
        <f aca="false">H3982*Assumptions!$E$63^(1/4)+I3973*$C$3922</f>
        <v>50314.3759017841</v>
      </c>
      <c r="J3982" s="54" t="n">
        <f aca="false">I3982*Assumptions!$E$63^(1/4)+J3973*$C$3922</f>
        <v>67912.4361872128</v>
      </c>
      <c r="K3982" s="54" t="n">
        <f aca="false">J3982*Assumptions!$E$63^(1/4)+K3973*$C$3922</f>
        <v>89955.9452657945</v>
      </c>
      <c r="L3982" s="54" t="n">
        <f aca="false">K3982*Assumptions!$E$63^(1/4)+L3973*$C$3922</f>
        <v>112487.793380073</v>
      </c>
      <c r="M3982" s="54" t="n">
        <f aca="false">L3982*Assumptions!$E$63^(1/4)+M3973*$C$3922</f>
        <v>134658.339110999</v>
      </c>
      <c r="N3982" s="54" t="n">
        <f aca="false">M3982*Assumptions!$E$63^(1/4)+N3973*$C$3922</f>
        <v>156510.297430015</v>
      </c>
      <c r="P3982" s="55" t="n">
        <f aca="false">F3982</f>
        <v>18307.3423556119</v>
      </c>
      <c r="Q3982" s="55" t="n">
        <f aca="false">J3982</f>
        <v>67912.4361872128</v>
      </c>
      <c r="R3982" s="55" t="n">
        <f aca="false">N3982</f>
        <v>156510.297430015</v>
      </c>
      <c r="S3982" s="56" t="n">
        <f aca="false">R3982</f>
        <v>156510.297430015</v>
      </c>
    </row>
    <row r="3983" customFormat="false" ht="15" hidden="false" customHeight="false" outlineLevel="0" collapsed="false">
      <c r="A3983" s="4" t="s">
        <v>540</v>
      </c>
      <c r="B3983" s="36" t="s">
        <v>125</v>
      </c>
      <c r="C3983" s="54" t="n">
        <f aca="false">0*Assumptions!$E$64^(1/4)+C3974*$C$3923</f>
        <v>0</v>
      </c>
      <c r="D3983" s="54" t="n">
        <f aca="false">C3983*Assumptions!$E$64^(1/4)+D3974*$C$3923</f>
        <v>0</v>
      </c>
      <c r="E3983" s="54" t="n">
        <f aca="false">D3983*Assumptions!$E$64^(1/4)+E3974*$C$3923</f>
        <v>4105.66451279204</v>
      </c>
      <c r="F3983" s="54" t="n">
        <f aca="false">E3983*Assumptions!$E$64^(1/4)+F3974*$C$3923</f>
        <v>11203.9876144935</v>
      </c>
      <c r="G3983" s="54" t="n">
        <f aca="false">F3983*Assumptions!$E$64^(1/4)+G3974*$C$3923</f>
        <v>19335.2222053747</v>
      </c>
      <c r="H3983" s="54" t="n">
        <f aca="false">G3983*Assumptions!$E$64^(1/4)+H3974*$C$3923</f>
        <v>28552.1021896585</v>
      </c>
      <c r="I3983" s="54" t="n">
        <f aca="false">H3983*Assumptions!$E$64^(1/4)+I3974*$C$3923</f>
        <v>39586.4819538</v>
      </c>
      <c r="J3983" s="54" t="n">
        <f aca="false">I3983*Assumptions!$E$64^(1/4)+J3974*$C$3923</f>
        <v>52420.5077684593</v>
      </c>
      <c r="K3983" s="54" t="n">
        <f aca="false">J3983*Assumptions!$E$64^(1/4)+K3974*$C$3923</f>
        <v>69289.007881453</v>
      </c>
      <c r="L3983" s="54" t="n">
        <f aca="false">K3983*Assumptions!$E$64^(1/4)+L3974*$C$3923</f>
        <v>90090.5681442534</v>
      </c>
      <c r="M3983" s="54" t="n">
        <f aca="false">L3983*Assumptions!$E$64^(1/4)+M3974*$C$3923</f>
        <v>111775.44478116</v>
      </c>
      <c r="N3983" s="54" t="n">
        <f aca="false">M3983*Assumptions!$E$64^(1/4)+N3974*$C$3923</f>
        <v>133628.529028702</v>
      </c>
      <c r="P3983" s="55" t="n">
        <f aca="false">F3983</f>
        <v>11203.9876144935</v>
      </c>
      <c r="Q3983" s="55" t="n">
        <f aca="false">J3983</f>
        <v>52420.5077684593</v>
      </c>
      <c r="R3983" s="55" t="n">
        <f aca="false">N3983</f>
        <v>133628.529028702</v>
      </c>
      <c r="S3983" s="56" t="n">
        <f aca="false">R3983</f>
        <v>133628.529028702</v>
      </c>
    </row>
    <row r="3984" customFormat="false" ht="15" hidden="false" customHeight="false" outlineLevel="0" collapsed="false">
      <c r="A3984" s="9" t="s">
        <v>541</v>
      </c>
      <c r="B3984" s="36" t="s">
        <v>125</v>
      </c>
      <c r="C3984" s="55" t="n">
        <f aca="false">C3981+C3982+C3983</f>
        <v>0</v>
      </c>
      <c r="D3984" s="55" t="n">
        <f aca="false">D3981+D3982+D3983</f>
        <v>8276.46583743626</v>
      </c>
      <c r="E3984" s="55" t="n">
        <f aca="false">E3981+E3982+E3983</f>
        <v>26455.1031444043</v>
      </c>
      <c r="F3984" s="55" t="n">
        <f aca="false">F3981+F3982+F3983</f>
        <v>49298.8753923904</v>
      </c>
      <c r="G3984" s="55" t="n">
        <f aca="false">G3981+G3982+G3983</f>
        <v>74892.7816296153</v>
      </c>
      <c r="H3984" s="55" t="n">
        <f aca="false">H3981+H3982+H3983</f>
        <v>106323.300444024</v>
      </c>
      <c r="I3984" s="55" t="n">
        <f aca="false">I3981+I3982+I3983</f>
        <v>144027.58588034</v>
      </c>
      <c r="J3984" s="55" t="n">
        <f aca="false">J3981+J3982+J3983</f>
        <v>194694.399088515</v>
      </c>
      <c r="K3984" s="55" t="n">
        <f aca="false">K3981+K3982+K3983</f>
        <v>259544.801414678</v>
      </c>
      <c r="L3984" s="55" t="n">
        <f aca="false">L3981+L3982+L3983</f>
        <v>329019.79689435</v>
      </c>
      <c r="M3984" s="55" t="n">
        <f aca="false">M3981+M3982+M3983</f>
        <v>398164.066855267</v>
      </c>
      <c r="N3984" s="55" t="n">
        <f aca="false">N3981+N3982+N3983</f>
        <v>466364.393483814</v>
      </c>
      <c r="P3984" s="55" t="n">
        <f aca="false">F3984</f>
        <v>49298.8753923904</v>
      </c>
      <c r="Q3984" s="55" t="n">
        <f aca="false">J3984</f>
        <v>194694.399088515</v>
      </c>
      <c r="R3984" s="55" t="n">
        <f aca="false">N3984</f>
        <v>466364.393483814</v>
      </c>
      <c r="S3984" s="56" t="n">
        <f aca="false">R3984</f>
        <v>466364.393483814</v>
      </c>
    </row>
    <row r="3985" customFormat="false" ht="15" hidden="false" customHeight="false" outlineLevel="0" collapsed="false">
      <c r="A3985" s="4" t="s">
        <v>542</v>
      </c>
      <c r="B3985" s="36" t="s">
        <v>125</v>
      </c>
      <c r="C3985" s="54" t="n">
        <f aca="false">C3972*$C$3921+C3973*$C$3922+C3974*$C$3923</f>
        <v>0</v>
      </c>
      <c r="D3985" s="54" t="n">
        <f aca="false">D3972*$C$3921+D3973*$C$3922+D3974*$C$3923</f>
        <v>8276.46583743626</v>
      </c>
      <c r="E3985" s="54" t="n">
        <f aca="false">E3972*$C$3921+E3973*$C$3922+E3974*$C$3923</f>
        <v>18120.6311763697</v>
      </c>
      <c r="F3985" s="54" t="n">
        <f aca="false">F3972*$C$3921+F3973*$C$3922+F3974*$C$3923</f>
        <v>22540.7006381449</v>
      </c>
      <c r="G3985" s="54" t="n">
        <f aca="false">G3972*$C$3921+G3973*$C$3922+G3974*$C$3923</f>
        <v>24926.8748648149</v>
      </c>
      <c r="H3985" s="54" t="n">
        <f aca="false">H3972*$C$3921+H3973*$C$3922+H3974*$C$3923</f>
        <v>30349.9089557239</v>
      </c>
      <c r="I3985" s="54" t="n">
        <f aca="false">I3972*$C$3921+I3973*$C$3922+I3974*$C$3923</f>
        <v>36138.8332278027</v>
      </c>
      <c r="J3985" s="54" t="n">
        <f aca="false">J3972*$C$3921+J3973*$C$3922+J3974*$C$3923</f>
        <v>48520.8886487106</v>
      </c>
      <c r="K3985" s="54" t="n">
        <f aca="false">K3972*$C$3921+K3973*$C$3922+K3974*$C$3923</f>
        <v>61989.8932675154</v>
      </c>
      <c r="L3985" s="54" t="n">
        <f aca="false">L3972*$C$3921+L3973*$C$3922+L3974*$C$3923</f>
        <v>65691.2119450015</v>
      </c>
      <c r="M3985" s="54" t="n">
        <f aca="false">M3972*$C$3921+M3973*$C$3922+M3974*$C$3923</f>
        <v>64290.1940852729</v>
      </c>
      <c r="N3985" s="54" t="n">
        <f aca="false">N3972*$C$3921+N3973*$C$3922+N3974*$C$3923</f>
        <v>62249.8510764569</v>
      </c>
      <c r="P3985" s="55" t="n">
        <f aca="false">SUM(C3985:F3985)</f>
        <v>48937.7976519509</v>
      </c>
      <c r="Q3985" s="55" t="n">
        <f aca="false">SUM(G3985:J3985)</f>
        <v>139936.505697052</v>
      </c>
      <c r="R3985" s="55" t="n">
        <f aca="false">SUM(K3985:N3985)</f>
        <v>254221.150374247</v>
      </c>
      <c r="S3985" s="56" t="n">
        <f aca="false">SUM(P3985:R3985)</f>
        <v>443095.45372325</v>
      </c>
    </row>
    <row r="3986" customFormat="false" ht="15" hidden="false" customHeight="false" outlineLevel="0" collapsed="false">
      <c r="A3986" s="9" t="s">
        <v>543</v>
      </c>
      <c r="B3986" s="36" t="s">
        <v>125</v>
      </c>
      <c r="C3986" s="55" t="n">
        <f aca="false">(0+C3984)/8</f>
        <v>0</v>
      </c>
      <c r="D3986" s="55" t="n">
        <f aca="false">(C3984+D3984)/8</f>
        <v>1034.55822967953</v>
      </c>
      <c r="E3986" s="55" t="n">
        <f aca="false">(D3984+E3984)/8</f>
        <v>4341.44612273007</v>
      </c>
      <c r="F3986" s="55" t="n">
        <f aca="false">(E3984+F3984)/8</f>
        <v>9469.24731709934</v>
      </c>
      <c r="G3986" s="55" t="n">
        <f aca="false">(F3984+G3984)/8</f>
        <v>15523.9571277507</v>
      </c>
      <c r="H3986" s="55" t="n">
        <f aca="false">(G3984+H3984)/8</f>
        <v>22652.0102592049</v>
      </c>
      <c r="I3986" s="55" t="n">
        <f aca="false">(H3984+I3984)/8</f>
        <v>31293.8607905455</v>
      </c>
      <c r="J3986" s="55" t="n">
        <f aca="false">(I3984+J3984)/8</f>
        <v>42340.2481211069</v>
      </c>
      <c r="K3986" s="55" t="n">
        <f aca="false">(J3984+K3984)/8</f>
        <v>56779.9000628991</v>
      </c>
      <c r="L3986" s="55" t="n">
        <f aca="false">(K3984+L3984)/8</f>
        <v>73570.5747886285</v>
      </c>
      <c r="M3986" s="55" t="n">
        <f aca="false">(L3984+M3984)/8</f>
        <v>90897.9829687022</v>
      </c>
      <c r="N3986" s="55" t="n">
        <f aca="false">(M3984+N3984)/8</f>
        <v>108066.057542385</v>
      </c>
      <c r="P3986" s="55" t="n">
        <f aca="false">SUM(C3986:F3986)</f>
        <v>14845.251669509</v>
      </c>
      <c r="Q3986" s="55" t="n">
        <f aca="false">SUM(G3986:J3986)</f>
        <v>111810.076298608</v>
      </c>
      <c r="R3986" s="55" t="n">
        <f aca="false">SUM(K3986:N3986)</f>
        <v>329314.515362615</v>
      </c>
      <c r="S3986" s="56" t="n">
        <f aca="false">SUM(P3986:R3986)</f>
        <v>455969.843330732</v>
      </c>
    </row>
    <row r="3987" customFormat="false" ht="15" hidden="false" customHeight="false" outlineLevel="0" collapsed="false">
      <c r="A3987" s="4" t="s">
        <v>544</v>
      </c>
      <c r="B3987" s="36" t="s">
        <v>125</v>
      </c>
      <c r="C3987" s="54" t="n">
        <f aca="false">C3986*Assumptions!$E$76</f>
        <v>0</v>
      </c>
      <c r="D3987" s="54" t="n">
        <f aca="false">D3986*Assumptions!$E$76</f>
        <v>672.462849291696</v>
      </c>
      <c r="E3987" s="54" t="n">
        <f aca="false">E3986*Assumptions!$E$76</f>
        <v>2821.93997977455</v>
      </c>
      <c r="F3987" s="54" t="n">
        <f aca="false">F3986*Assumptions!$E$76</f>
        <v>6155.01075611457</v>
      </c>
      <c r="G3987" s="54" t="n">
        <f aca="false">G3986*Assumptions!$E$76</f>
        <v>10090.572133038</v>
      </c>
      <c r="H3987" s="54" t="n">
        <f aca="false">H3986*Assumptions!$E$76</f>
        <v>14723.8066684832</v>
      </c>
      <c r="I3987" s="54" t="n">
        <f aca="false">I3986*Assumptions!$E$76</f>
        <v>20341.0095138546</v>
      </c>
      <c r="J3987" s="54" t="n">
        <f aca="false">J3986*Assumptions!$E$76</f>
        <v>27521.1612787195</v>
      </c>
      <c r="K3987" s="54" t="n">
        <f aca="false">K3986*Assumptions!$E$76</f>
        <v>36906.9350408844</v>
      </c>
      <c r="L3987" s="54" t="n">
        <f aca="false">L3986*Assumptions!$E$76</f>
        <v>47820.8736126085</v>
      </c>
      <c r="M3987" s="54" t="n">
        <f aca="false">M3986*Assumptions!$E$76</f>
        <v>59083.6889296564</v>
      </c>
      <c r="N3987" s="54" t="n">
        <f aca="false">N3986*Assumptions!$E$76</f>
        <v>70242.9374025503</v>
      </c>
      <c r="P3987" s="55" t="n">
        <f aca="false">SUM(C3987:F3987)</f>
        <v>9649.41358518082</v>
      </c>
      <c r="Q3987" s="55" t="n">
        <f aca="false">SUM(G3987:J3987)</f>
        <v>72676.5495940952</v>
      </c>
      <c r="R3987" s="55" t="n">
        <f aca="false">SUM(K3987:N3987)</f>
        <v>214054.4349857</v>
      </c>
      <c r="S3987" s="56" t="n">
        <f aca="false">SUM(P3987:R3987)</f>
        <v>296380.398164976</v>
      </c>
    </row>
    <row r="3988" customFormat="false" ht="15" hidden="false" customHeight="false" outlineLevel="0" collapsed="false">
      <c r="A3988" s="35" t="s">
        <v>547</v>
      </c>
      <c r="B3988" s="35" t="s">
        <v>444</v>
      </c>
      <c r="C3988" s="6" t="s">
        <v>354</v>
      </c>
      <c r="D3988" s="6" t="s">
        <v>355</v>
      </c>
      <c r="E3988" s="6" t="s">
        <v>356</v>
      </c>
      <c r="F3988" s="6" t="s">
        <v>357</v>
      </c>
      <c r="G3988" s="6" t="s">
        <v>358</v>
      </c>
      <c r="H3988" s="6" t="s">
        <v>359</v>
      </c>
      <c r="I3988" s="6" t="s">
        <v>360</v>
      </c>
      <c r="J3988" s="6" t="s">
        <v>361</v>
      </c>
      <c r="K3988" s="6" t="s">
        <v>362</v>
      </c>
      <c r="L3988" s="6" t="s">
        <v>363</v>
      </c>
      <c r="M3988" s="6" t="s">
        <v>364</v>
      </c>
      <c r="N3988" s="6" t="s">
        <v>365</v>
      </c>
      <c r="P3988" s="6" t="s">
        <v>445</v>
      </c>
      <c r="Q3988" s="6" t="s">
        <v>446</v>
      </c>
      <c r="R3988" s="6" t="s">
        <v>447</v>
      </c>
      <c r="S3988" s="6" t="s">
        <v>448</v>
      </c>
    </row>
    <row r="3989" customFormat="false" ht="15" hidden="false" customHeight="false" outlineLevel="0" collapsed="false">
      <c r="A3989" s="4" t="s">
        <v>548</v>
      </c>
      <c r="B3989" s="36" t="s">
        <v>321</v>
      </c>
      <c r="C3989" s="48" t="n">
        <f aca="false">Assumptions!$D$97*C3931</f>
        <v>1</v>
      </c>
      <c r="D3989" s="48" t="n">
        <f aca="false">Assumptions!$D$97*D3931</f>
        <v>1</v>
      </c>
      <c r="E3989" s="48" t="n">
        <f aca="false">Assumptions!$D$97*E3931</f>
        <v>1</v>
      </c>
      <c r="F3989" s="48" t="n">
        <f aca="false">Assumptions!$D$97*F3931</f>
        <v>1</v>
      </c>
      <c r="G3989" s="48" t="n">
        <f aca="false">Assumptions!$D$97*G3931</f>
        <v>1</v>
      </c>
      <c r="H3989" s="48" t="n">
        <f aca="false">Assumptions!$D$97*H3931</f>
        <v>1</v>
      </c>
      <c r="I3989" s="48" t="n">
        <f aca="false">Assumptions!$D$97*I3931</f>
        <v>1</v>
      </c>
      <c r="J3989" s="48" t="n">
        <f aca="false">Assumptions!$D$97*J3931</f>
        <v>1</v>
      </c>
      <c r="K3989" s="48" t="n">
        <f aca="false">Assumptions!$D$97*K3931</f>
        <v>1</v>
      </c>
      <c r="L3989" s="48" t="n">
        <f aca="false">Assumptions!$D$97*L3931</f>
        <v>1</v>
      </c>
      <c r="M3989" s="48" t="n">
        <f aca="false">Assumptions!$D$97*M3931</f>
        <v>1</v>
      </c>
      <c r="N3989" s="48" t="n">
        <f aca="false">Assumptions!$D$97*N3931</f>
        <v>1</v>
      </c>
      <c r="P3989" s="49" t="n">
        <f aca="false">AVERAGE(C3989:F3989)</f>
        <v>1</v>
      </c>
      <c r="Q3989" s="49" t="n">
        <f aca="false">AVERAGE(G3989:J3989)</f>
        <v>1</v>
      </c>
      <c r="R3989" s="49" t="n">
        <f aca="false">AVERAGE(K3989:N3989)</f>
        <v>1</v>
      </c>
      <c r="S3989" s="50"/>
    </row>
    <row r="3990" customFormat="false" ht="15" hidden="false" customHeight="false" outlineLevel="0" collapsed="false">
      <c r="A3990" s="4" t="s">
        <v>549</v>
      </c>
      <c r="B3990" s="36" t="s">
        <v>321</v>
      </c>
      <c r="C3990" s="48" t="n">
        <f aca="false">C3944*C3931</f>
        <v>0</v>
      </c>
      <c r="D3990" s="48" t="n">
        <f aca="false">D3944*D3931</f>
        <v>0</v>
      </c>
      <c r="E3990" s="48" t="n">
        <f aca="false">E3944*E3931</f>
        <v>0</v>
      </c>
      <c r="F3990" s="48" t="n">
        <f aca="false">F3944*F3931</f>
        <v>0</v>
      </c>
      <c r="G3990" s="48" t="n">
        <f aca="false">G3944*G3931</f>
        <v>0</v>
      </c>
      <c r="H3990" s="48" t="n">
        <f aca="false">H3944*H3931</f>
        <v>0</v>
      </c>
      <c r="I3990" s="48" t="n">
        <f aca="false">I3944*I3931</f>
        <v>0</v>
      </c>
      <c r="J3990" s="48" t="n">
        <f aca="false">J3944*J3931</f>
        <v>0</v>
      </c>
      <c r="K3990" s="48" t="n">
        <f aca="false">K3944*K3931</f>
        <v>0</v>
      </c>
      <c r="L3990" s="48" t="n">
        <f aca="false">L3944*L3931</f>
        <v>0</v>
      </c>
      <c r="M3990" s="48" t="n">
        <f aca="false">M3944*M3931</f>
        <v>0</v>
      </c>
      <c r="N3990" s="48" t="n">
        <f aca="false">N3944*N3931</f>
        <v>0</v>
      </c>
      <c r="P3990" s="49" t="n">
        <f aca="false">AVERAGE(C3990:F3990)</f>
        <v>0</v>
      </c>
      <c r="Q3990" s="49" t="n">
        <f aca="false">AVERAGE(G3990:J3990)</f>
        <v>0</v>
      </c>
      <c r="R3990" s="49" t="n">
        <f aca="false">AVERAGE(K3990:N3990)</f>
        <v>0</v>
      </c>
      <c r="S3990" s="50"/>
    </row>
    <row r="3991" customFormat="false" ht="15" hidden="false" customHeight="false" outlineLevel="0" collapsed="false">
      <c r="A3991" s="4" t="s">
        <v>550</v>
      </c>
      <c r="B3991" s="36" t="s">
        <v>321</v>
      </c>
      <c r="C3991" s="48" t="n">
        <f aca="false">IF(C3930&lt;=4,Assumptions!$D$98,Assumptions!$D$99)*C3931</f>
        <v>0</v>
      </c>
      <c r="D3991" s="48" t="n">
        <f aca="false">IF(D3930&lt;=4,Assumptions!$D$98,Assumptions!$D$99)*D3931</f>
        <v>0</v>
      </c>
      <c r="E3991" s="48" t="n">
        <f aca="false">IF(E3930&lt;=4,Assumptions!$D$98,Assumptions!$D$99)*E3931</f>
        <v>0</v>
      </c>
      <c r="F3991" s="48" t="n">
        <f aca="false">IF(F3930&lt;=4,Assumptions!$D$98,Assumptions!$D$99)*F3931</f>
        <v>0</v>
      </c>
      <c r="G3991" s="48" t="n">
        <f aca="false">IF(G3930&lt;=4,Assumptions!$D$98,Assumptions!$D$99)*G3931</f>
        <v>0.5</v>
      </c>
      <c r="H3991" s="48" t="n">
        <f aca="false">IF(H3930&lt;=4,Assumptions!$D$98,Assumptions!$D$99)*H3931</f>
        <v>0.5</v>
      </c>
      <c r="I3991" s="48" t="n">
        <f aca="false">IF(I3930&lt;=4,Assumptions!$D$98,Assumptions!$D$99)*I3931</f>
        <v>0.5</v>
      </c>
      <c r="J3991" s="48" t="n">
        <f aca="false">IF(J3930&lt;=4,Assumptions!$D$98,Assumptions!$D$99)*J3931</f>
        <v>0.5</v>
      </c>
      <c r="K3991" s="48" t="n">
        <f aca="false">IF(K3930&lt;=4,Assumptions!$D$98,Assumptions!$D$99)*K3931</f>
        <v>0.5</v>
      </c>
      <c r="L3991" s="48" t="n">
        <f aca="false">IF(L3930&lt;=4,Assumptions!$D$98,Assumptions!$D$99)*L3931</f>
        <v>0.5</v>
      </c>
      <c r="M3991" s="48" t="n">
        <f aca="false">IF(M3930&lt;=4,Assumptions!$D$98,Assumptions!$D$99)*M3931</f>
        <v>0.5</v>
      </c>
      <c r="N3991" s="48" t="n">
        <f aca="false">IF(N3930&lt;=4,Assumptions!$D$98,Assumptions!$D$99)*N3931</f>
        <v>0.5</v>
      </c>
      <c r="P3991" s="49" t="n">
        <f aca="false">AVERAGE(C3991:F3991)</f>
        <v>0</v>
      </c>
      <c r="Q3991" s="49" t="n">
        <f aca="false">AVERAGE(G3991:J3991)</f>
        <v>0.5</v>
      </c>
      <c r="R3991" s="49" t="n">
        <f aca="false">AVERAGE(K3991:N3991)</f>
        <v>0.5</v>
      </c>
      <c r="S3991" s="50"/>
    </row>
    <row r="3992" customFormat="false" ht="15" hidden="false" customHeight="false" outlineLevel="0" collapsed="false">
      <c r="A3992" s="4" t="s">
        <v>551</v>
      </c>
      <c r="B3992" s="36" t="s">
        <v>321</v>
      </c>
      <c r="C3992" s="48" t="n">
        <f aca="false">IF(C3930&lt;=4,Assumptions!$D$100,Assumptions!$D$101)*C3931</f>
        <v>1</v>
      </c>
      <c r="D3992" s="48" t="n">
        <f aca="false">IF(D3930&lt;=4,Assumptions!$D$100,Assumptions!$D$101)*D3931</f>
        <v>1</v>
      </c>
      <c r="E3992" s="48" t="n">
        <f aca="false">IF(E3930&lt;=4,Assumptions!$D$100,Assumptions!$D$101)*E3931</f>
        <v>1</v>
      </c>
      <c r="F3992" s="48" t="n">
        <f aca="false">IF(F3930&lt;=4,Assumptions!$D$100,Assumptions!$D$101)*F3931</f>
        <v>1</v>
      </c>
      <c r="G3992" s="48" t="n">
        <f aca="false">IF(G3930&lt;=4,Assumptions!$D$100,Assumptions!$D$101)*G3931</f>
        <v>0.5</v>
      </c>
      <c r="H3992" s="48" t="n">
        <f aca="false">IF(H3930&lt;=4,Assumptions!$D$100,Assumptions!$D$101)*H3931</f>
        <v>0.5</v>
      </c>
      <c r="I3992" s="48" t="n">
        <f aca="false">IF(I3930&lt;=4,Assumptions!$D$100,Assumptions!$D$101)*I3931</f>
        <v>0.5</v>
      </c>
      <c r="J3992" s="48" t="n">
        <f aca="false">IF(J3930&lt;=4,Assumptions!$D$100,Assumptions!$D$101)*J3931</f>
        <v>0.5</v>
      </c>
      <c r="K3992" s="48" t="n">
        <f aca="false">IF(K3930&lt;=4,Assumptions!$D$100,Assumptions!$D$101)*K3931</f>
        <v>0.5</v>
      </c>
      <c r="L3992" s="48" t="n">
        <f aca="false">IF(L3930&lt;=4,Assumptions!$D$100,Assumptions!$D$101)*L3931</f>
        <v>0.5</v>
      </c>
      <c r="M3992" s="48" t="n">
        <f aca="false">IF(M3930&lt;=4,Assumptions!$D$100,Assumptions!$D$101)*M3931</f>
        <v>0.5</v>
      </c>
      <c r="N3992" s="48" t="n">
        <f aca="false">IF(N3930&lt;=4,Assumptions!$D$100,Assumptions!$D$101)*N3931</f>
        <v>0.5</v>
      </c>
      <c r="P3992" s="49" t="n">
        <f aca="false">AVERAGE(C3992:F3992)</f>
        <v>1</v>
      </c>
      <c r="Q3992" s="49" t="n">
        <f aca="false">AVERAGE(G3992:J3992)</f>
        <v>0.5</v>
      </c>
      <c r="R3992" s="49" t="n">
        <f aca="false">AVERAGE(K3992:N3992)</f>
        <v>0.5</v>
      </c>
      <c r="S3992" s="50"/>
    </row>
    <row r="3993" customFormat="false" ht="15" hidden="false" customHeight="false" outlineLevel="0" collapsed="false">
      <c r="A3993" s="4" t="s">
        <v>552</v>
      </c>
      <c r="B3993" s="36" t="s">
        <v>321</v>
      </c>
      <c r="C3993" s="48" t="n">
        <f aca="false">Assumptions!$D$102*C3931</f>
        <v>0.25</v>
      </c>
      <c r="D3993" s="48" t="n">
        <f aca="false">Assumptions!$D$102*D3931</f>
        <v>0.25</v>
      </c>
      <c r="E3993" s="48" t="n">
        <f aca="false">Assumptions!$D$102*E3931</f>
        <v>0.25</v>
      </c>
      <c r="F3993" s="48" t="n">
        <f aca="false">Assumptions!$D$102*F3931</f>
        <v>0.25</v>
      </c>
      <c r="G3993" s="48" t="n">
        <f aca="false">Assumptions!$D$102*G3931</f>
        <v>0.25</v>
      </c>
      <c r="H3993" s="48" t="n">
        <f aca="false">Assumptions!$D$102*H3931</f>
        <v>0.25</v>
      </c>
      <c r="I3993" s="48" t="n">
        <f aca="false">Assumptions!$D$102*I3931</f>
        <v>0.25</v>
      </c>
      <c r="J3993" s="48" t="n">
        <f aca="false">Assumptions!$D$102*J3931</f>
        <v>0.25</v>
      </c>
      <c r="K3993" s="48" t="n">
        <f aca="false">Assumptions!$D$102*K3931</f>
        <v>0.25</v>
      </c>
      <c r="L3993" s="48" t="n">
        <f aca="false">Assumptions!$D$102*L3931</f>
        <v>0.25</v>
      </c>
      <c r="M3993" s="48" t="n">
        <f aca="false">Assumptions!$D$102*M3931</f>
        <v>0.25</v>
      </c>
      <c r="N3993" s="48" t="n">
        <f aca="false">Assumptions!$D$102*N3931</f>
        <v>0.25</v>
      </c>
      <c r="P3993" s="49" t="n">
        <f aca="false">AVERAGE(C3993:F3993)</f>
        <v>0.25</v>
      </c>
      <c r="Q3993" s="49" t="n">
        <f aca="false">AVERAGE(G3993:J3993)</f>
        <v>0.25</v>
      </c>
      <c r="R3993" s="49" t="n">
        <f aca="false">AVERAGE(K3993:N3993)</f>
        <v>0.25</v>
      </c>
      <c r="S3993" s="50"/>
    </row>
    <row r="3994" customFormat="false" ht="15" hidden="false" customHeight="false" outlineLevel="0" collapsed="false">
      <c r="A3994" s="4" t="s">
        <v>553</v>
      </c>
      <c r="B3994" s="36" t="s">
        <v>321</v>
      </c>
      <c r="C3994" s="48" t="n">
        <f aca="false">(C3978+C3979)/Assumptions!$E$74+C3977/Assumptions!$E$75</f>
        <v>0</v>
      </c>
      <c r="D3994" s="48" t="n">
        <f aca="false">(D3978+D3979)/Assumptions!$E$74+D3977/Assumptions!$E$75</f>
        <v>0.0133498866226672</v>
      </c>
      <c r="E3994" s="48" t="n">
        <f aca="false">(E3978+E3979)/Assumptions!$E$74+E3977/Assumptions!$E$75</f>
        <v>0.0372527110923662</v>
      </c>
      <c r="F3994" s="48" t="n">
        <f aca="false">(F3978+F3979)/Assumptions!$E$74+F3977/Assumptions!$E$75</f>
        <v>0.0642036199975644</v>
      </c>
      <c r="G3994" s="48" t="n">
        <f aca="false">(G3978+G3979)/Assumptions!$E$74+G3977/Assumptions!$E$75</f>
        <v>0.0933428662376038</v>
      </c>
      <c r="H3994" s="48" t="n">
        <f aca="false">(H3978+H3979)/Assumptions!$E$74+H3977/Assumptions!$E$75</f>
        <v>0.12929512452692</v>
      </c>
      <c r="I3994" s="48" t="n">
        <f aca="false">(I3978+I3979)/Assumptions!$E$74+I3977/Assumptions!$E$75</f>
        <v>0.171647459570077</v>
      </c>
      <c r="J3994" s="48" t="n">
        <f aca="false">(J3978+J3979)/Assumptions!$E$74+J3977/Assumptions!$E$75</f>
        <v>0.229959089936399</v>
      </c>
      <c r="K3994" s="48" t="n">
        <f aca="false">(K3978+K3979)/Assumptions!$E$74+K3977/Assumptions!$E$75</f>
        <v>0.303130919431299</v>
      </c>
      <c r="L3994" s="48" t="n">
        <f aca="false">(L3978+L3979)/Assumptions!$E$74+L3977/Assumptions!$E$75</f>
        <v>0.376256960517708</v>
      </c>
      <c r="M3994" s="48" t="n">
        <f aca="false">(M3978+M3979)/Assumptions!$E$74+M3977/Assumptions!$E$75</f>
        <v>0.445074119055088</v>
      </c>
      <c r="N3994" s="48" t="n">
        <f aca="false">(N3978+N3979)/Assumptions!$E$74+N3977/Assumptions!$E$75</f>
        <v>0.509565451403123</v>
      </c>
      <c r="P3994" s="49" t="n">
        <f aca="false">AVERAGE(C3994:F3994)</f>
        <v>0.0287015544281495</v>
      </c>
      <c r="Q3994" s="49" t="n">
        <f aca="false">AVERAGE(G3994:J3994)</f>
        <v>0.15606113506775</v>
      </c>
      <c r="R3994" s="49" t="n">
        <f aca="false">AVERAGE(K3994:N3994)</f>
        <v>0.408506862601805</v>
      </c>
      <c r="S3994" s="50"/>
    </row>
    <row r="3995" customFormat="false" ht="15" hidden="false" customHeight="false" outlineLevel="0" collapsed="false">
      <c r="A3995" s="4" t="s">
        <v>554</v>
      </c>
      <c r="B3995" s="36" t="s">
        <v>125</v>
      </c>
      <c r="C3995" s="54" t="n">
        <f aca="false">(C3989+C3991)*Assumptions!$E$70/Assumptions!$E$69/4</f>
        <v>66753.5714285714</v>
      </c>
      <c r="D3995" s="54" t="n">
        <f aca="false">(D3989+D3991)*Assumptions!$E$70/Assumptions!$E$69/4</f>
        <v>66753.5714285714</v>
      </c>
      <c r="E3995" s="54" t="n">
        <f aca="false">(E3989+E3991)*Assumptions!$E$70/Assumptions!$E$69/4</f>
        <v>66753.5714285714</v>
      </c>
      <c r="F3995" s="54" t="n">
        <f aca="false">(F3989+F3991)*Assumptions!$E$70/Assumptions!$E$69/4</f>
        <v>66753.5714285714</v>
      </c>
      <c r="G3995" s="54" t="n">
        <f aca="false">(G3989+G3991)*Assumptions!$E$70/Assumptions!$E$69/4</f>
        <v>100130.357142857</v>
      </c>
      <c r="H3995" s="54" t="n">
        <f aca="false">(H3989+H3991)*Assumptions!$E$70/Assumptions!$E$69/4</f>
        <v>100130.357142857</v>
      </c>
      <c r="I3995" s="54" t="n">
        <f aca="false">(I3989+I3991)*Assumptions!$E$70/Assumptions!$E$69/4</f>
        <v>100130.357142857</v>
      </c>
      <c r="J3995" s="54" t="n">
        <f aca="false">(J3989+J3991)*Assumptions!$E$70/Assumptions!$E$69/4</f>
        <v>100130.357142857</v>
      </c>
      <c r="K3995" s="54" t="n">
        <f aca="false">(K3989+K3991)*Assumptions!$E$70/Assumptions!$E$69/4</f>
        <v>100130.357142857</v>
      </c>
      <c r="L3995" s="54" t="n">
        <f aca="false">(L3989+L3991)*Assumptions!$E$70/Assumptions!$E$69/4</f>
        <v>100130.357142857</v>
      </c>
      <c r="M3995" s="54" t="n">
        <f aca="false">(M3989+M3991)*Assumptions!$E$70/Assumptions!$E$69/4</f>
        <v>100130.357142857</v>
      </c>
      <c r="N3995" s="54" t="n">
        <f aca="false">(N3989+N3991)*Assumptions!$E$70/Assumptions!$E$69/4</f>
        <v>100130.357142857</v>
      </c>
      <c r="P3995" s="55" t="n">
        <f aca="false">SUM(C3995:F3995)</f>
        <v>267014.285714286</v>
      </c>
      <c r="Q3995" s="55" t="n">
        <f aca="false">SUM(G3995:J3995)</f>
        <v>400521.428571429</v>
      </c>
      <c r="R3995" s="55" t="n">
        <f aca="false">SUM(K3995:N3995)</f>
        <v>400521.428571429</v>
      </c>
      <c r="S3995" s="56" t="n">
        <f aca="false">SUM(P3995:R3995)</f>
        <v>1068057.14285714</v>
      </c>
    </row>
    <row r="3996" customFormat="false" ht="15" hidden="false" customHeight="false" outlineLevel="0" collapsed="false">
      <c r="A3996" s="4" t="s">
        <v>555</v>
      </c>
      <c r="B3996" s="36" t="s">
        <v>125</v>
      </c>
      <c r="C3996" s="54" t="n">
        <f aca="false">C3990*$C$3925/4</f>
        <v>0</v>
      </c>
      <c r="D3996" s="54" t="n">
        <f aca="false">D3990*$C$3925/4</f>
        <v>0</v>
      </c>
      <c r="E3996" s="54" t="n">
        <f aca="false">E3990*$C$3925/4</f>
        <v>0</v>
      </c>
      <c r="F3996" s="54" t="n">
        <f aca="false">F3990*$C$3925/4</f>
        <v>0</v>
      </c>
      <c r="G3996" s="54" t="n">
        <f aca="false">G3990*$C$3925/4</f>
        <v>0</v>
      </c>
      <c r="H3996" s="54" t="n">
        <f aca="false">H3990*$C$3925/4</f>
        <v>0</v>
      </c>
      <c r="I3996" s="54" t="n">
        <f aca="false">I3990*$C$3925/4</f>
        <v>0</v>
      </c>
      <c r="J3996" s="54" t="n">
        <f aca="false">J3990*$C$3925/4</f>
        <v>0</v>
      </c>
      <c r="K3996" s="54" t="n">
        <f aca="false">K3990*$C$3925/4</f>
        <v>0</v>
      </c>
      <c r="L3996" s="54" t="n">
        <f aca="false">L3990*$C$3925/4</f>
        <v>0</v>
      </c>
      <c r="M3996" s="54" t="n">
        <f aca="false">M3990*$C$3925/4</f>
        <v>0</v>
      </c>
      <c r="N3996" s="54" t="n">
        <f aca="false">N3990*$C$3925/4</f>
        <v>0</v>
      </c>
      <c r="P3996" s="55" t="n">
        <f aca="false">SUM(C3996:F3996)</f>
        <v>0</v>
      </c>
      <c r="Q3996" s="55" t="n">
        <f aca="false">SUM(G3996:J3996)</f>
        <v>0</v>
      </c>
      <c r="R3996" s="55" t="n">
        <f aca="false">SUM(K3996:N3996)</f>
        <v>0</v>
      </c>
      <c r="S3996" s="56" t="n">
        <f aca="false">SUM(P3996:R3996)</f>
        <v>0</v>
      </c>
    </row>
    <row r="3997" customFormat="false" ht="15" hidden="false" customHeight="false" outlineLevel="0" collapsed="false">
      <c r="A3997" s="4" t="s">
        <v>556</v>
      </c>
      <c r="B3997" s="36" t="s">
        <v>125</v>
      </c>
      <c r="C3997" s="54" t="n">
        <f aca="false">MAX(0,(C3985-C3966*$C$3921)-C3945*$C$3926)*$C$3927*Assumptions!$D$105</f>
        <v>0</v>
      </c>
      <c r="D3997" s="54" t="n">
        <f aca="false">MAX(0,(D3985-D3966*$C$3921)-D3945*$C$3926)*$C$3927*Assumptions!$D$105</f>
        <v>3255.71293542432</v>
      </c>
      <c r="E3997" s="54" t="n">
        <f aca="false">MAX(0,(E3985-E3966*$C$3921)-E3945*$C$3926)*$C$3927*Assumptions!$D$105</f>
        <v>7428.24548801308</v>
      </c>
      <c r="F3997" s="54" t="n">
        <f aca="false">MAX(0,(F3985-F3966*$C$3921)-F3945*$C$3926)*$C$3927*Assumptions!$D$105</f>
        <v>9375.06619476218</v>
      </c>
      <c r="G3997" s="54" t="n">
        <f aca="false">MAX(0,(G3985-G3966*$C$3921)-G3945*$C$3926)*$C$3927*Assumptions!$D$105</f>
        <v>10370.7724557667</v>
      </c>
      <c r="H3997" s="54" t="n">
        <f aca="false">MAX(0,(H3985-H3966*$C$3921)-H3945*$C$3926)*$C$3927*Assumptions!$D$105</f>
        <v>12547.0853413673</v>
      </c>
      <c r="I3997" s="54" t="n">
        <f aca="false">MAX(0,(I3985-I3966*$C$3921)-I3945*$C$3926)*$C$3927*Assumptions!$D$105</f>
        <v>14919.5123568486</v>
      </c>
      <c r="J3997" s="54" t="n">
        <f aca="false">MAX(0,(J3985-J3966*$C$3921)-J3945*$C$3926)*$C$3927*Assumptions!$D$105</f>
        <v>19801.968753952</v>
      </c>
      <c r="K3997" s="54" t="n">
        <f aca="false">MAX(0,(K3985-K3966*$C$3921)-K3945*$C$3926)*$C$3927*Assumptions!$D$105</f>
        <v>25286.7056919599</v>
      </c>
      <c r="L3997" s="54" t="n">
        <f aca="false">MAX(0,(L3985-L3966*$C$3921)-L3945*$C$3926)*$C$3927*Assumptions!$D$105</f>
        <v>26984.8330328739</v>
      </c>
      <c r="M3997" s="54" t="n">
        <f aca="false">MAX(0,(M3985-M3966*$C$3921)-M3945*$C$3926)*$C$3927*Assumptions!$D$105</f>
        <v>26450.630813923</v>
      </c>
      <c r="N3997" s="54" t="n">
        <f aca="false">MAX(0,(N3985-N3966*$C$3921)-N3945*$C$3926)*$C$3927*Assumptions!$D$105</f>
        <v>25609.9199336959</v>
      </c>
      <c r="P3997" s="55" t="n">
        <f aca="false">SUM(C3997:F3997)</f>
        <v>20059.0246181996</v>
      </c>
      <c r="Q3997" s="55" t="n">
        <f aca="false">SUM(G3997:J3997)</f>
        <v>57639.3389079346</v>
      </c>
      <c r="R3997" s="55" t="n">
        <f aca="false">SUM(K3997:N3997)</f>
        <v>104332.089472453</v>
      </c>
      <c r="S3997" s="56" t="n">
        <f aca="false">SUM(P3997:R3997)</f>
        <v>182030.452998587</v>
      </c>
    </row>
    <row r="3998" customFormat="false" ht="15" hidden="false" customHeight="false" outlineLevel="0" collapsed="false">
      <c r="A3998" s="4" t="s">
        <v>557</v>
      </c>
      <c r="B3998" s="36" t="s">
        <v>125</v>
      </c>
      <c r="C3998" s="54" t="n">
        <f aca="false">C3993*Assumptions!$E$71/Assumptions!$E$69/4</f>
        <v>18475.8928571429</v>
      </c>
      <c r="D3998" s="54" t="n">
        <f aca="false">D3993*Assumptions!$E$71/Assumptions!$E$69/4</f>
        <v>18475.8928571429</v>
      </c>
      <c r="E3998" s="54" t="n">
        <f aca="false">E3993*Assumptions!$E$71/Assumptions!$E$69/4</f>
        <v>18475.8928571429</v>
      </c>
      <c r="F3998" s="54" t="n">
        <f aca="false">F3993*Assumptions!$E$71/Assumptions!$E$69/4</f>
        <v>18475.8928571429</v>
      </c>
      <c r="G3998" s="54" t="n">
        <f aca="false">G3993*Assumptions!$E$71/Assumptions!$E$69/4</f>
        <v>18475.8928571429</v>
      </c>
      <c r="H3998" s="54" t="n">
        <f aca="false">H3993*Assumptions!$E$71/Assumptions!$E$69/4</f>
        <v>18475.8928571429</v>
      </c>
      <c r="I3998" s="54" t="n">
        <f aca="false">I3993*Assumptions!$E$71/Assumptions!$E$69/4</f>
        <v>18475.8928571429</v>
      </c>
      <c r="J3998" s="54" t="n">
        <f aca="false">J3993*Assumptions!$E$71/Assumptions!$E$69/4</f>
        <v>18475.8928571429</v>
      </c>
      <c r="K3998" s="54" t="n">
        <f aca="false">K3993*Assumptions!$E$71/Assumptions!$E$69/4</f>
        <v>18475.8928571429</v>
      </c>
      <c r="L3998" s="54" t="n">
        <f aca="false">L3993*Assumptions!$E$71/Assumptions!$E$69/4</f>
        <v>18475.8928571429</v>
      </c>
      <c r="M3998" s="54" t="n">
        <f aca="false">M3993*Assumptions!$E$71/Assumptions!$E$69/4</f>
        <v>18475.8928571429</v>
      </c>
      <c r="N3998" s="54" t="n">
        <f aca="false">N3993*Assumptions!$E$71/Assumptions!$E$69/4</f>
        <v>18475.8928571429</v>
      </c>
      <c r="P3998" s="55" t="n">
        <f aca="false">SUM(C3998:F3998)</f>
        <v>73903.5714285714</v>
      </c>
      <c r="Q3998" s="55" t="n">
        <f aca="false">SUM(G3998:J3998)</f>
        <v>73903.5714285714</v>
      </c>
      <c r="R3998" s="55" t="n">
        <f aca="false">SUM(K3998:N3998)</f>
        <v>73903.5714285714</v>
      </c>
      <c r="S3998" s="56" t="n">
        <f aca="false">SUM(P3998:R3998)</f>
        <v>221710.714285714</v>
      </c>
    </row>
    <row r="3999" customFormat="false" ht="15" hidden="false" customHeight="false" outlineLevel="0" collapsed="false">
      <c r="A3999" s="4" t="s">
        <v>558</v>
      </c>
      <c r="B3999" s="36" t="s">
        <v>125</v>
      </c>
      <c r="C3999" s="54" t="n">
        <f aca="false">(Assumptions!$D$103+Assumptions!$E$77*((C3930=Assumptions!$E$13)+(C3930=Assumptions!$E$14)+(C3930=Assumptions!$E$15)))*C3931</f>
        <v>65000</v>
      </c>
      <c r="D3999" s="54" t="n">
        <f aca="false">(Assumptions!$D$103+Assumptions!$E$77*((D3930=Assumptions!$E$13)+(D3930=Assumptions!$E$14)+(D3930=Assumptions!$E$15)))*D3931</f>
        <v>25000</v>
      </c>
      <c r="E3999" s="54" t="n">
        <f aca="false">(Assumptions!$D$103+Assumptions!$E$77*((E3930=Assumptions!$E$13)+(E3930=Assumptions!$E$14)+(E3930=Assumptions!$E$15)))*E3931</f>
        <v>25000</v>
      </c>
      <c r="F3999" s="54" t="n">
        <f aca="false">(Assumptions!$D$103+Assumptions!$E$77*((F3930=Assumptions!$E$13)+(F3930=Assumptions!$E$14)+(F3930=Assumptions!$E$15)))*F3931</f>
        <v>25000</v>
      </c>
      <c r="G3999" s="54" t="n">
        <f aca="false">(Assumptions!$D$103+Assumptions!$E$77*((G3930=Assumptions!$E$13)+(G3930=Assumptions!$E$14)+(G3930=Assumptions!$E$15)))*G3931</f>
        <v>65000</v>
      </c>
      <c r="H3999" s="54" t="n">
        <f aca="false">(Assumptions!$D$103+Assumptions!$E$77*((H3930=Assumptions!$E$13)+(H3930=Assumptions!$E$14)+(H3930=Assumptions!$E$15)))*H3931</f>
        <v>25000</v>
      </c>
      <c r="I3999" s="54" t="n">
        <f aca="false">(Assumptions!$D$103+Assumptions!$E$77*((I3930=Assumptions!$E$13)+(I3930=Assumptions!$E$14)+(I3930=Assumptions!$E$15)))*I3931</f>
        <v>65000</v>
      </c>
      <c r="J3999" s="54" t="n">
        <f aca="false">(Assumptions!$D$103+Assumptions!$E$77*((J3930=Assumptions!$E$13)+(J3930=Assumptions!$E$14)+(J3930=Assumptions!$E$15)))*J3931</f>
        <v>25000</v>
      </c>
      <c r="K3999" s="54" t="n">
        <f aca="false">(Assumptions!$D$103+Assumptions!$E$77*((K3930=Assumptions!$E$13)+(K3930=Assumptions!$E$14)+(K3930=Assumptions!$E$15)))*K3931</f>
        <v>25000</v>
      </c>
      <c r="L3999" s="54" t="n">
        <f aca="false">(Assumptions!$D$103+Assumptions!$E$77*((L3930=Assumptions!$E$13)+(L3930=Assumptions!$E$14)+(L3930=Assumptions!$E$15)))*L3931</f>
        <v>25000</v>
      </c>
      <c r="M3999" s="54" t="n">
        <f aca="false">(Assumptions!$D$103+Assumptions!$E$77*((M3930=Assumptions!$E$13)+(M3930=Assumptions!$E$14)+(M3930=Assumptions!$E$15)))*M3931</f>
        <v>25000</v>
      </c>
      <c r="N3999" s="54" t="n">
        <f aca="false">(Assumptions!$D$103+Assumptions!$E$77*((N3930=Assumptions!$E$13)+(N3930=Assumptions!$E$14)+(N3930=Assumptions!$E$15)))*N3931</f>
        <v>25000</v>
      </c>
      <c r="P3999" s="55" t="n">
        <f aca="false">SUM(C3999:F3999)</f>
        <v>140000</v>
      </c>
      <c r="Q3999" s="55" t="n">
        <f aca="false">SUM(G3999:J3999)</f>
        <v>180000</v>
      </c>
      <c r="R3999" s="55" t="n">
        <f aca="false">SUM(K3999:N3999)</f>
        <v>100000</v>
      </c>
      <c r="S3999" s="56" t="n">
        <f aca="false">SUM(P3999:R3999)</f>
        <v>420000</v>
      </c>
    </row>
    <row r="4000" customFormat="false" ht="15" hidden="false" customHeight="false" outlineLevel="0" collapsed="false">
      <c r="A4000" s="4" t="s">
        <v>559</v>
      </c>
      <c r="B4000" s="36" t="s">
        <v>125</v>
      </c>
      <c r="C4000" s="54" t="n">
        <f aca="false">C3985*C3965*Assumptions!$E$79</f>
        <v>0</v>
      </c>
      <c r="D4000" s="54" t="n">
        <f aca="false">D3985*D3965*Assumptions!$E$79</f>
        <v>815.338873355417</v>
      </c>
      <c r="E4000" s="54" t="n">
        <f aca="false">E3985*E3965*Assumptions!$E$79</f>
        <v>1581.28685167262</v>
      </c>
      <c r="F4000" s="54" t="n">
        <f aca="false">F3985*F3965*Assumptions!$E$79</f>
        <v>2357.95184730288</v>
      </c>
      <c r="G4000" s="54" t="n">
        <f aca="false">G3985*G3965*Assumptions!$E$79</f>
        <v>2955.07322727986</v>
      </c>
      <c r="H4000" s="54" t="n">
        <f aca="false">H3985*H3965*Assumptions!$E$79</f>
        <v>3406.04832143236</v>
      </c>
      <c r="I4000" s="54" t="n">
        <f aca="false">I3985*I3965*Assumptions!$E$79</f>
        <v>3955.53990736926</v>
      </c>
      <c r="J4000" s="54" t="n">
        <f aca="false">J3985*J3965*Assumptions!$E$79</f>
        <v>4253.03453136667</v>
      </c>
      <c r="K4000" s="54" t="n">
        <f aca="false">K3985*K3965*Assumptions!$E$79</f>
        <v>4815.9618409979</v>
      </c>
      <c r="L4000" s="54" t="n">
        <f aca="false">L3985*L3965*Assumptions!$E$79</f>
        <v>5626.49621317997</v>
      </c>
      <c r="M4000" s="54" t="n">
        <f aca="false">M3985*M3965*Assumptions!$E$79</f>
        <v>5692.17711892094</v>
      </c>
      <c r="N4000" s="54" t="n">
        <f aca="false">N3985*N3965*Assumptions!$E$79</f>
        <v>5690.08224904736</v>
      </c>
      <c r="P4000" s="55" t="n">
        <f aca="false">SUM(C4000:F4000)</f>
        <v>4754.57757233092</v>
      </c>
      <c r="Q4000" s="55" t="n">
        <f aca="false">SUM(G4000:J4000)</f>
        <v>14569.6959874482</v>
      </c>
      <c r="R4000" s="55" t="n">
        <f aca="false">SUM(K4000:N4000)</f>
        <v>21824.7174221462</v>
      </c>
      <c r="S4000" s="56" t="n">
        <f aca="false">SUM(P4000:R4000)</f>
        <v>41148.9909819252</v>
      </c>
    </row>
    <row r="4001" customFormat="false" ht="15" hidden="false" customHeight="false" outlineLevel="0" collapsed="false">
      <c r="A4001" s="4" t="s">
        <v>560</v>
      </c>
      <c r="B4001" s="36" t="s">
        <v>125</v>
      </c>
      <c r="C4001" s="54" t="n">
        <f aca="false">C3950*Assumptions!$E$80</f>
        <v>4000</v>
      </c>
      <c r="D4001" s="54" t="n">
        <f aca="false">D3950*Assumptions!$E$80</f>
        <v>6000</v>
      </c>
      <c r="E4001" s="54" t="n">
        <f aca="false">E3950*Assumptions!$E$80</f>
        <v>8000</v>
      </c>
      <c r="F4001" s="54" t="n">
        <f aca="false">F3950*Assumptions!$E$80</f>
        <v>10000</v>
      </c>
      <c r="G4001" s="54" t="n">
        <f aca="false">G3950*Assumptions!$E$80</f>
        <v>12000</v>
      </c>
      <c r="H4001" s="54" t="n">
        <f aca="false">H3950*Assumptions!$E$80</f>
        <v>14000</v>
      </c>
      <c r="I4001" s="54" t="n">
        <f aca="false">I3950*Assumptions!$E$80</f>
        <v>16000</v>
      </c>
      <c r="J4001" s="54" t="n">
        <f aca="false">J3950*Assumptions!$E$80</f>
        <v>18000</v>
      </c>
      <c r="K4001" s="54" t="n">
        <f aca="false">K3950*Assumptions!$E$80</f>
        <v>20000</v>
      </c>
      <c r="L4001" s="54" t="n">
        <f aca="false">L3950*Assumptions!$E$80</f>
        <v>20000</v>
      </c>
      <c r="M4001" s="54" t="n">
        <f aca="false">M3950*Assumptions!$E$80</f>
        <v>20000</v>
      </c>
      <c r="N4001" s="54" t="n">
        <f aca="false">N3950*Assumptions!$E$80</f>
        <v>20000</v>
      </c>
      <c r="P4001" s="55" t="n">
        <f aca="false">SUM(C4001:F4001)</f>
        <v>28000</v>
      </c>
      <c r="Q4001" s="55" t="n">
        <f aca="false">SUM(G4001:J4001)</f>
        <v>60000</v>
      </c>
      <c r="R4001" s="55" t="n">
        <f aca="false">SUM(K4001:N4001)</f>
        <v>80000</v>
      </c>
      <c r="S4001" s="56" t="n">
        <f aca="false">SUM(P4001:R4001)</f>
        <v>168000</v>
      </c>
    </row>
    <row r="4002" customFormat="false" ht="15" hidden="false" customHeight="false" outlineLevel="0" collapsed="false">
      <c r="A4002" s="4" t="s">
        <v>561</v>
      </c>
      <c r="B4002" s="36" t="s">
        <v>125</v>
      </c>
      <c r="C4002" s="54" t="n">
        <f aca="false">(C3973*$C$3922+C3974*$C$3923)*Assumptions!$E$81</f>
        <v>0</v>
      </c>
      <c r="D4002" s="54" t="n">
        <f aca="false">(D3973*$C$3922+D3974*$C$3923)*Assumptions!$E$81</f>
        <v>592.954259555253</v>
      </c>
      <c r="E4002" s="54" t="n">
        <f aca="false">(E3973*$C$3922+E3974*$C$3923)*Assumptions!$E$81</f>
        <v>1619.92972073464</v>
      </c>
      <c r="F4002" s="54" t="n">
        <f aca="false">(F3973*$C$3922+F3974*$C$3923)*Assumptions!$E$81</f>
        <v>2159.65385415998</v>
      </c>
      <c r="G4002" s="54" t="n">
        <f aca="false">(G3973*$C$3922+G3974*$C$3923)*Assumptions!$E$81</f>
        <v>2391.76552333968</v>
      </c>
      <c r="H4002" s="54" t="n">
        <f aca="false">(H3973*$C$3922+H3974*$C$3923)*Assumptions!$E$81</f>
        <v>2826.43896577469</v>
      </c>
      <c r="I4002" s="54" t="n">
        <f aca="false">(I3973*$C$3922+I3974*$C$3923)*Assumptions!$E$81</f>
        <v>3343.26067776621</v>
      </c>
      <c r="J4002" s="54" t="n">
        <f aca="false">(J3973*$C$3922+J3974*$C$3923)*Assumptions!$E$81</f>
        <v>4242.92423109356</v>
      </c>
      <c r="K4002" s="54" t="n">
        <f aca="false">(K3973*$C$3922+K3974*$C$3923)*Assumptions!$E$81</f>
        <v>5407.72501993918</v>
      </c>
      <c r="L4002" s="54" t="n">
        <f aca="false">(L3973*$C$3922+L3974*$C$3923)*Assumptions!$E$81</f>
        <v>5932.44372636121</v>
      </c>
      <c r="M4002" s="54" t="n">
        <f aca="false">(M3973*$C$3922+M3974*$C$3923)*Assumptions!$E$81</f>
        <v>5850.2019738282</v>
      </c>
      <c r="N4002" s="54" t="n">
        <f aca="false">(N3973*$C$3922+N3974*$C$3923)*Assumptions!$E$81</f>
        <v>5663.18505217036</v>
      </c>
      <c r="P4002" s="55" t="n">
        <f aca="false">SUM(C4002:F4002)</f>
        <v>4372.53783444987</v>
      </c>
      <c r="Q4002" s="55" t="n">
        <f aca="false">SUM(G4002:J4002)</f>
        <v>12804.3893979741</v>
      </c>
      <c r="R4002" s="55" t="n">
        <f aca="false">SUM(K4002:N4002)</f>
        <v>22853.5557722989</v>
      </c>
      <c r="S4002" s="56" t="n">
        <f aca="false">SUM(P4002:R4002)</f>
        <v>40030.483004723</v>
      </c>
    </row>
    <row r="4003" customFormat="false" ht="15" hidden="false" customHeight="false" outlineLevel="0" collapsed="false">
      <c r="A4003" s="9" t="s">
        <v>562</v>
      </c>
      <c r="B4003" s="36" t="s">
        <v>125</v>
      </c>
      <c r="C4003" s="55" t="n">
        <f aca="false">C3995+C3996+C3997+C3998+C3999+C4000+C4001+C4002</f>
        <v>154229.464285714</v>
      </c>
      <c r="D4003" s="55" t="n">
        <f aca="false">D3995+D3996+D3997+D3998+D3999+D4000+D4001+D4002</f>
        <v>120893.470354049</v>
      </c>
      <c r="E4003" s="55" t="n">
        <f aca="false">E3995+E3996+E3997+E3998+E3999+E4000+E4001+E4002</f>
        <v>128858.926346135</v>
      </c>
      <c r="F4003" s="55" t="n">
        <f aca="false">F3995+F3996+F3997+F3998+F3999+F4000+F4001+F4002</f>
        <v>134122.136181939</v>
      </c>
      <c r="G4003" s="55" t="n">
        <f aca="false">G3995+G3996+G3997+G3998+G3999+G4000+G4001+G4002</f>
        <v>211323.861206386</v>
      </c>
      <c r="H4003" s="55" t="n">
        <f aca="false">H3995+H3996+H3997+H3998+H3999+H4000+H4001+H4002</f>
        <v>176385.822628574</v>
      </c>
      <c r="I4003" s="55" t="n">
        <f aca="false">I3995+I3996+I3997+I3998+I3999+I4000+I4001+I4002</f>
        <v>221824.562941984</v>
      </c>
      <c r="J4003" s="55" t="n">
        <f aca="false">J3995+J3996+J3997+J3998+J3999+J4000+J4001+J4002</f>
        <v>189904.177516412</v>
      </c>
      <c r="K4003" s="55" t="n">
        <f aca="false">K3995+K3996+K3997+K3998+K3999+K4000+K4001+K4002</f>
        <v>199116.642552897</v>
      </c>
      <c r="L4003" s="55" t="n">
        <f aca="false">L3995+L3996+L3997+L3998+L3999+L4000+L4001+L4002</f>
        <v>202150.022972415</v>
      </c>
      <c r="M4003" s="55" t="n">
        <f aca="false">M3995+M3996+M3997+M3998+M3999+M4000+M4001+M4002</f>
        <v>201599.259906672</v>
      </c>
      <c r="N4003" s="55" t="n">
        <f aca="false">N3995+N3996+N3997+N3998+N3999+N4000+N4001+N4002</f>
        <v>200569.437234914</v>
      </c>
      <c r="P4003" s="55" t="n">
        <f aca="false">SUM(C4003:F4003)</f>
        <v>538103.997167838</v>
      </c>
      <c r="Q4003" s="55" t="n">
        <f aca="false">SUM(G4003:J4003)</f>
        <v>799438.424293357</v>
      </c>
      <c r="R4003" s="55" t="n">
        <f aca="false">SUM(K4003:N4003)</f>
        <v>803435.362666898</v>
      </c>
      <c r="S4003" s="56" t="n">
        <f aca="false">SUM(P4003:R4003)</f>
        <v>2140977.78412809</v>
      </c>
    </row>
    <row r="4004" customFormat="false" ht="15" hidden="false" customHeight="false" outlineLevel="0" collapsed="false">
      <c r="A4004" s="4" t="s">
        <v>563</v>
      </c>
      <c r="B4004" s="36" t="s">
        <v>125</v>
      </c>
      <c r="C4004" s="54" t="n">
        <f aca="false">C3992*Assumptions!$E$72/Assumptions!$E$69/4</f>
        <v>56535.7142857143</v>
      </c>
      <c r="D4004" s="54" t="n">
        <f aca="false">D3992*Assumptions!$E$72/Assumptions!$E$69/4</f>
        <v>56535.7142857143</v>
      </c>
      <c r="E4004" s="54" t="n">
        <f aca="false">E3992*Assumptions!$E$72/Assumptions!$E$69/4</f>
        <v>56535.7142857143</v>
      </c>
      <c r="F4004" s="54" t="n">
        <f aca="false">F3992*Assumptions!$E$72/Assumptions!$E$69/4</f>
        <v>56535.7142857143</v>
      </c>
      <c r="G4004" s="54" t="n">
        <f aca="false">G3992*Assumptions!$E$72/Assumptions!$E$69/4</f>
        <v>28267.8571428571</v>
      </c>
      <c r="H4004" s="54" t="n">
        <f aca="false">H3992*Assumptions!$E$72/Assumptions!$E$69/4</f>
        <v>28267.8571428571</v>
      </c>
      <c r="I4004" s="54" t="n">
        <f aca="false">I3992*Assumptions!$E$72/Assumptions!$E$69/4</f>
        <v>28267.8571428571</v>
      </c>
      <c r="J4004" s="54" t="n">
        <f aca="false">J3992*Assumptions!$E$72/Assumptions!$E$69/4</f>
        <v>28267.8571428571</v>
      </c>
      <c r="K4004" s="54" t="n">
        <f aca="false">K3992*Assumptions!$E$72/Assumptions!$E$69/4</f>
        <v>28267.8571428571</v>
      </c>
      <c r="L4004" s="54" t="n">
        <f aca="false">L3992*Assumptions!$E$72/Assumptions!$E$69/4</f>
        <v>28267.8571428571</v>
      </c>
      <c r="M4004" s="54" t="n">
        <f aca="false">M3992*Assumptions!$E$72/Assumptions!$E$69/4</f>
        <v>28267.8571428571</v>
      </c>
      <c r="N4004" s="54" t="n">
        <f aca="false">N3992*Assumptions!$E$72/Assumptions!$E$69/4</f>
        <v>28267.8571428571</v>
      </c>
      <c r="P4004" s="55" t="n">
        <f aca="false">SUM(C4004:F4004)</f>
        <v>226142.857142857</v>
      </c>
      <c r="Q4004" s="55" t="n">
        <f aca="false">SUM(G4004:J4004)</f>
        <v>113071.428571429</v>
      </c>
      <c r="R4004" s="55" t="n">
        <f aca="false">SUM(K4004:N4004)</f>
        <v>113071.428571429</v>
      </c>
      <c r="S4004" s="56" t="n">
        <f aca="false">SUM(P4004:R4004)</f>
        <v>452285.714285714</v>
      </c>
    </row>
    <row r="4005" customFormat="false" ht="15" hidden="false" customHeight="false" outlineLevel="0" collapsed="false">
      <c r="A4005" s="4" t="s">
        <v>564</v>
      </c>
      <c r="B4005" s="36" t="s">
        <v>125</v>
      </c>
      <c r="C4005" s="54" t="n">
        <f aca="false">IF(C3930&lt;=Assumptions!$E$83,Assumptions!$E$82*Assumptions!$D$108/Assumptions!$E$83,0)</f>
        <v>62500</v>
      </c>
      <c r="D4005" s="54" t="n">
        <f aca="false">IF(D3930&lt;=Assumptions!$E$83,Assumptions!$E$82*Assumptions!$D$108/Assumptions!$E$83,0)</f>
        <v>62500</v>
      </c>
      <c r="E4005" s="54" t="n">
        <f aca="false">IF(E3930&lt;=Assumptions!$E$83,Assumptions!$E$82*Assumptions!$D$108/Assumptions!$E$83,0)</f>
        <v>62500</v>
      </c>
      <c r="F4005" s="54" t="n">
        <f aca="false">IF(F3930&lt;=Assumptions!$E$83,Assumptions!$E$82*Assumptions!$D$108/Assumptions!$E$83,0)</f>
        <v>62500</v>
      </c>
      <c r="G4005" s="54" t="n">
        <f aca="false">IF(G3930&lt;=Assumptions!$E$83,Assumptions!$E$82*Assumptions!$D$108/Assumptions!$E$83,0)</f>
        <v>0</v>
      </c>
      <c r="H4005" s="54" t="n">
        <f aca="false">IF(H3930&lt;=Assumptions!$E$83,Assumptions!$E$82*Assumptions!$D$108/Assumptions!$E$83,0)</f>
        <v>0</v>
      </c>
      <c r="I4005" s="54" t="n">
        <f aca="false">IF(I3930&lt;=Assumptions!$E$83,Assumptions!$E$82*Assumptions!$D$108/Assumptions!$E$83,0)</f>
        <v>0</v>
      </c>
      <c r="J4005" s="54" t="n">
        <f aca="false">IF(J3930&lt;=Assumptions!$E$83,Assumptions!$E$82*Assumptions!$D$108/Assumptions!$E$83,0)</f>
        <v>0</v>
      </c>
      <c r="K4005" s="54" t="n">
        <f aca="false">IF(K3930&lt;=Assumptions!$E$83,Assumptions!$E$82*Assumptions!$D$108/Assumptions!$E$83,0)</f>
        <v>0</v>
      </c>
      <c r="L4005" s="54" t="n">
        <f aca="false">IF(L3930&lt;=Assumptions!$E$83,Assumptions!$E$82*Assumptions!$D$108/Assumptions!$E$83,0)</f>
        <v>0</v>
      </c>
      <c r="M4005" s="54" t="n">
        <f aca="false">IF(M3930&lt;=Assumptions!$E$83,Assumptions!$E$82*Assumptions!$D$108/Assumptions!$E$83,0)</f>
        <v>0</v>
      </c>
      <c r="N4005" s="54" t="n">
        <f aca="false">IF(N3930&lt;=Assumptions!$E$83,Assumptions!$E$82*Assumptions!$D$108/Assumptions!$E$83,0)</f>
        <v>0</v>
      </c>
      <c r="P4005" s="55" t="n">
        <f aca="false">SUM(C4005:F4005)</f>
        <v>250000</v>
      </c>
      <c r="Q4005" s="55" t="n">
        <f aca="false">SUM(G4005:J4005)</f>
        <v>0</v>
      </c>
      <c r="R4005" s="55" t="n">
        <f aca="false">SUM(K4005:N4005)</f>
        <v>0</v>
      </c>
      <c r="S4005" s="56" t="n">
        <f aca="false">SUM(P4005:R4005)</f>
        <v>250000</v>
      </c>
    </row>
    <row r="4006" customFormat="false" ht="15" hidden="false" customHeight="false" outlineLevel="0" collapsed="false">
      <c r="A4006" s="4" t="s">
        <v>565</v>
      </c>
      <c r="B4006" s="36" t="s">
        <v>125</v>
      </c>
      <c r="C4006" s="54" t="n">
        <f aca="false">C3994*Assumptions!$E$73/Assumptions!$E$69/4</f>
        <v>0</v>
      </c>
      <c r="D4006" s="54" t="n">
        <f aca="false">D3994*Assumptions!$E$73/Assumptions!$E$69/4</f>
        <v>536.427051398674</v>
      </c>
      <c r="E4006" s="54" t="n">
        <f aca="false">E3994*Assumptions!$E$73/Assumptions!$E$69/4</f>
        <v>1496.89375892933</v>
      </c>
      <c r="F4006" s="54" t="n">
        <f aca="false">F3994*Assumptions!$E$73/Assumptions!$E$69/4</f>
        <v>2579.83903068785</v>
      </c>
      <c r="G4006" s="54" t="n">
        <f aca="false">G3994*Assumptions!$E$73/Assumptions!$E$69/4</f>
        <v>3750.71638585457</v>
      </c>
      <c r="H4006" s="54" t="n">
        <f aca="false">H3994*Assumptions!$E$73/Assumptions!$E$69/4</f>
        <v>5195.35516447277</v>
      </c>
      <c r="I4006" s="54" t="n">
        <f aca="false">I3994*Assumptions!$E$73/Assumptions!$E$69/4</f>
        <v>6897.16274151048</v>
      </c>
      <c r="J4006" s="54" t="n">
        <f aca="false">J3994*Assumptions!$E$73/Assumptions!$E$69/4</f>
        <v>9240.24900312294</v>
      </c>
      <c r="K4006" s="54" t="n">
        <f aca="false">K3994*Assumptions!$E$73/Assumptions!$E$69/4</f>
        <v>12180.4499090055</v>
      </c>
      <c r="L4006" s="54" t="n">
        <f aca="false">L3994*Assumptions!$E$73/Assumptions!$E$69/4</f>
        <v>15118.8109385169</v>
      </c>
      <c r="M4006" s="54" t="n">
        <f aca="false">M3994*Assumptions!$E$73/Assumptions!$E$69/4</f>
        <v>17884.0318338886</v>
      </c>
      <c r="N4006" s="54" t="n">
        <f aca="false">N3994*Assumptions!$E$73/Assumptions!$E$69/4</f>
        <v>20475.4317633448</v>
      </c>
      <c r="P4006" s="55" t="n">
        <f aca="false">SUM(C4006:F4006)</f>
        <v>4613.15984101585</v>
      </c>
      <c r="Q4006" s="55" t="n">
        <f aca="false">SUM(G4006:J4006)</f>
        <v>25083.4832949608</v>
      </c>
      <c r="R4006" s="55" t="n">
        <f aca="false">SUM(K4006:N4006)</f>
        <v>65658.7244447558</v>
      </c>
      <c r="S4006" s="56" t="n">
        <f aca="false">SUM(P4006:R4006)</f>
        <v>95355.3675807324</v>
      </c>
    </row>
    <row r="4007" customFormat="false" ht="15" hidden="false" customHeight="false" outlineLevel="0" collapsed="false">
      <c r="A4007" s="9" t="s">
        <v>566</v>
      </c>
      <c r="B4007" s="36" t="s">
        <v>125</v>
      </c>
      <c r="C4007" s="55" t="n">
        <f aca="false">C4003+C4004+C4005+C4006</f>
        <v>273265.178571429</v>
      </c>
      <c r="D4007" s="55" t="n">
        <f aca="false">D4003+D4004+D4005+D4006</f>
        <v>240465.611691162</v>
      </c>
      <c r="E4007" s="55" t="n">
        <f aca="false">E4003+E4004+E4005+E4006</f>
        <v>249391.534390778</v>
      </c>
      <c r="F4007" s="55" t="n">
        <f aca="false">F4003+F4004+F4005+F4006</f>
        <v>255737.689498341</v>
      </c>
      <c r="G4007" s="55" t="n">
        <f aca="false">G4003+G4004+G4005+G4006</f>
        <v>243342.434735098</v>
      </c>
      <c r="H4007" s="55" t="n">
        <f aca="false">H4003+H4004+H4005+H4006</f>
        <v>209849.034935904</v>
      </c>
      <c r="I4007" s="55" t="n">
        <f aca="false">I4003+I4004+I4005+I4006</f>
        <v>256989.582826352</v>
      </c>
      <c r="J4007" s="55" t="n">
        <f aca="false">J4003+J4004+J4005+J4006</f>
        <v>227412.283662392</v>
      </c>
      <c r="K4007" s="55" t="n">
        <f aca="false">K4003+K4004+K4005+K4006</f>
        <v>239564.94960476</v>
      </c>
      <c r="L4007" s="55" t="n">
        <f aca="false">L4003+L4004+L4005+L4006</f>
        <v>245536.691053789</v>
      </c>
      <c r="M4007" s="55" t="n">
        <f aca="false">M4003+M4004+M4005+M4006</f>
        <v>247751.148883418</v>
      </c>
      <c r="N4007" s="55" t="n">
        <f aca="false">N4003+N4004+N4005+N4006</f>
        <v>249312.726141116</v>
      </c>
      <c r="P4007" s="55" t="n">
        <f aca="false">SUM(C4007:F4007)</f>
        <v>1018860.01415171</v>
      </c>
      <c r="Q4007" s="55" t="n">
        <f aca="false">SUM(G4007:J4007)</f>
        <v>937593.336159746</v>
      </c>
      <c r="R4007" s="55" t="n">
        <f aca="false">SUM(K4007:N4007)</f>
        <v>982165.515683082</v>
      </c>
      <c r="S4007" s="56" t="n">
        <f aca="false">SUM(P4007:R4007)</f>
        <v>2938618.86599454</v>
      </c>
    </row>
    <row r="4008" customFormat="false" ht="15" hidden="false" customHeight="false" outlineLevel="0" collapsed="false">
      <c r="A4008" s="35" t="s">
        <v>567</v>
      </c>
      <c r="B4008" s="35" t="s">
        <v>444</v>
      </c>
      <c r="C4008" s="6" t="s">
        <v>354</v>
      </c>
      <c r="D4008" s="6" t="s">
        <v>355</v>
      </c>
      <c r="E4008" s="6" t="s">
        <v>356</v>
      </c>
      <c r="F4008" s="6" t="s">
        <v>357</v>
      </c>
      <c r="G4008" s="6" t="s">
        <v>358</v>
      </c>
      <c r="H4008" s="6" t="s">
        <v>359</v>
      </c>
      <c r="I4008" s="6" t="s">
        <v>360</v>
      </c>
      <c r="J4008" s="6" t="s">
        <v>361</v>
      </c>
      <c r="K4008" s="6" t="s">
        <v>362</v>
      </c>
      <c r="L4008" s="6" t="s">
        <v>363</v>
      </c>
      <c r="M4008" s="6" t="s">
        <v>364</v>
      </c>
      <c r="N4008" s="6" t="s">
        <v>365</v>
      </c>
      <c r="P4008" s="6" t="s">
        <v>445</v>
      </c>
      <c r="Q4008" s="6" t="s">
        <v>446</v>
      </c>
      <c r="R4008" s="6" t="s">
        <v>447</v>
      </c>
      <c r="S4008" s="6" t="s">
        <v>448</v>
      </c>
    </row>
    <row r="4009" customFormat="false" ht="15" hidden="false" customHeight="false" outlineLevel="0" collapsed="false">
      <c r="A4009" s="9" t="s">
        <v>568</v>
      </c>
      <c r="B4009" s="36" t="s">
        <v>125</v>
      </c>
      <c r="C4009" s="55" t="n">
        <f aca="false">C3987-C4007</f>
        <v>-273265.178571429</v>
      </c>
      <c r="D4009" s="55" t="n">
        <f aca="false">D3987-D4007</f>
        <v>-239793.148841871</v>
      </c>
      <c r="E4009" s="55" t="n">
        <f aca="false">E3987-E4007</f>
        <v>-246569.594411004</v>
      </c>
      <c r="F4009" s="55" t="n">
        <f aca="false">F3987-F4007</f>
        <v>-249582.678742227</v>
      </c>
      <c r="G4009" s="55" t="n">
        <f aca="false">G3987-G4007</f>
        <v>-233251.86260206</v>
      </c>
      <c r="H4009" s="55" t="n">
        <f aca="false">H3987-H4007</f>
        <v>-195125.228267421</v>
      </c>
      <c r="I4009" s="55" t="n">
        <f aca="false">I3987-I4007</f>
        <v>-236648.573312497</v>
      </c>
      <c r="J4009" s="55" t="n">
        <f aca="false">J3987-J4007</f>
        <v>-199891.122383673</v>
      </c>
      <c r="K4009" s="55" t="n">
        <f aca="false">K3987-K4007</f>
        <v>-202658.014563875</v>
      </c>
      <c r="L4009" s="55" t="n">
        <f aca="false">L3987-L4007</f>
        <v>-197715.817441181</v>
      </c>
      <c r="M4009" s="55" t="n">
        <f aca="false">M3987-M4007</f>
        <v>-188667.459953761</v>
      </c>
      <c r="N4009" s="55" t="n">
        <f aca="false">N3987-N4007</f>
        <v>-179069.788738565</v>
      </c>
      <c r="P4009" s="55" t="n">
        <f aca="false">SUM(C4009:F4009)</f>
        <v>-1009210.60056653</v>
      </c>
      <c r="Q4009" s="55" t="n">
        <f aca="false">SUM(G4009:J4009)</f>
        <v>-864916.786565651</v>
      </c>
      <c r="R4009" s="55" t="n">
        <f aca="false">SUM(K4009:N4009)</f>
        <v>-768111.080697383</v>
      </c>
      <c r="S4009" s="56" t="n">
        <f aca="false">SUM(P4009:R4009)</f>
        <v>-2642238.46782956</v>
      </c>
    </row>
    <row r="4010" customFormat="false" ht="15" hidden="false" customHeight="false" outlineLevel="0" collapsed="false">
      <c r="A4010" s="9" t="s">
        <v>569</v>
      </c>
      <c r="B4010" s="36" t="s">
        <v>125</v>
      </c>
      <c r="C4010" s="55" t="n">
        <f aca="false">0+C4009</f>
        <v>-273265.178571429</v>
      </c>
      <c r="D4010" s="55" t="n">
        <f aca="false">C4010+D4009</f>
        <v>-513058.327413299</v>
      </c>
      <c r="E4010" s="55" t="n">
        <f aca="false">D4010+E4009</f>
        <v>-759627.921824303</v>
      </c>
      <c r="F4010" s="55" t="n">
        <f aca="false">E4010+F4009</f>
        <v>-1009210.60056653</v>
      </c>
      <c r="G4010" s="55" t="n">
        <f aca="false">F4010+G4009</f>
        <v>-1242462.46316859</v>
      </c>
      <c r="H4010" s="55" t="n">
        <f aca="false">G4010+H4009</f>
        <v>-1437587.69143601</v>
      </c>
      <c r="I4010" s="55" t="n">
        <f aca="false">H4010+I4009</f>
        <v>-1674236.26474851</v>
      </c>
      <c r="J4010" s="55" t="n">
        <f aca="false">I4010+J4009</f>
        <v>-1874127.38713218</v>
      </c>
      <c r="K4010" s="55" t="n">
        <f aca="false">J4010+K4009</f>
        <v>-2076785.40169606</v>
      </c>
      <c r="L4010" s="55" t="n">
        <f aca="false">K4010+L4009</f>
        <v>-2274501.21913724</v>
      </c>
      <c r="M4010" s="55" t="n">
        <f aca="false">L4010+M4009</f>
        <v>-2463168.679091</v>
      </c>
      <c r="N4010" s="55" t="n">
        <f aca="false">M4010+N4009</f>
        <v>-2642238.46782956</v>
      </c>
      <c r="P4010" s="55" t="n">
        <f aca="false">F4010</f>
        <v>-1009210.60056653</v>
      </c>
      <c r="Q4010" s="55" t="n">
        <f aca="false">J4010</f>
        <v>-1874127.38713218</v>
      </c>
      <c r="R4010" s="55" t="n">
        <f aca="false">N4010</f>
        <v>-2642238.46782956</v>
      </c>
      <c r="S4010" s="56" t="n">
        <f aca="false">R4010</f>
        <v>-2642238.46782956</v>
      </c>
    </row>
    <row r="4011" customFormat="false" ht="15" hidden="false" customHeight="false" outlineLevel="0" collapsed="false">
      <c r="A4011" s="4" t="s">
        <v>570</v>
      </c>
      <c r="B4011" s="36" t="s">
        <v>107</v>
      </c>
      <c r="C4011" s="57" t="n">
        <f aca="false">1/(1+Assumptions!$E$87)^(C3930/4)</f>
        <v>0.972065420906982</v>
      </c>
      <c r="D4011" s="57" t="n">
        <f aca="false">1/(1+Assumptions!$E$87)^(D3930/4)</f>
        <v>0.944911182523068</v>
      </c>
      <c r="E4011" s="57" t="n">
        <f aca="false">1/(1+Assumptions!$E$87)^(E3930/4)</f>
        <v>0.918515486359</v>
      </c>
      <c r="F4011" s="57" t="n">
        <f aca="false">1/(1+Assumptions!$E$87)^(F3930/4)</f>
        <v>0.892857142857143</v>
      </c>
      <c r="G4011" s="57" t="n">
        <f aca="false">1/(1+Assumptions!$E$87)^(G3930/4)</f>
        <v>0.867915554381234</v>
      </c>
      <c r="H4011" s="57" t="n">
        <f aca="false">1/(1+Assumptions!$E$87)^(H3930/4)</f>
        <v>0.843670698681311</v>
      </c>
      <c r="I4011" s="57" t="n">
        <f aca="false">1/(1+Assumptions!$E$87)^(I3930/4)</f>
        <v>0.820103112820536</v>
      </c>
      <c r="J4011" s="57" t="n">
        <f aca="false">1/(1+Assumptions!$E$87)^(J3930/4)</f>
        <v>0.79719387755102</v>
      </c>
      <c r="K4011" s="57" t="n">
        <f aca="false">1/(1+Assumptions!$E$87)^(K3930/4)</f>
        <v>0.774924602126102</v>
      </c>
      <c r="L4011" s="57" t="n">
        <f aca="false">1/(1+Assumptions!$E$87)^(L3930/4)</f>
        <v>0.753277409536885</v>
      </c>
      <c r="M4011" s="57" t="n">
        <f aca="false">1/(1+Assumptions!$E$87)^(M3930/4)</f>
        <v>0.732234922161193</v>
      </c>
      <c r="N4011" s="57" t="n">
        <f aca="false">1/(1+Assumptions!$E$87)^(N3930/4)</f>
        <v>0.711780247813411</v>
      </c>
      <c r="P4011" s="58"/>
      <c r="Q4011" s="58"/>
      <c r="R4011" s="58"/>
      <c r="S4011" s="59"/>
    </row>
    <row r="4012" customFormat="false" ht="15" hidden="false" customHeight="false" outlineLevel="0" collapsed="false">
      <c r="A4012" s="4" t="s">
        <v>571</v>
      </c>
      <c r="B4012" s="36" t="s">
        <v>125</v>
      </c>
      <c r="C4012" s="54" t="n">
        <f aca="false">(C3987*(1-Assumptions!$E$88)-C4007)*C4011</f>
        <v>-265631.630827257</v>
      </c>
      <c r="D4012" s="54" t="n">
        <f aca="false">(D3987*(1-Assumptions!$E$88)-D4007)*D4011</f>
        <v>-226710.311366327</v>
      </c>
      <c r="E4012" s="54" t="n">
        <f aca="false">(E3987*(1-Assumptions!$E$88)-E4007)*E4011</f>
        <v>-226996.390046364</v>
      </c>
      <c r="F4012" s="54" t="n">
        <f aca="false">(F3987*(1-Assumptions!$E$88)-F4007)*F4011</f>
        <v>-223940.786512009</v>
      </c>
      <c r="G4012" s="54" t="n">
        <f aca="false">(G3987*(1-Assumptions!$E$88)-G4007)*G4011</f>
        <v>-204194.472542096</v>
      </c>
      <c r="H4012" s="54" t="n">
        <f aca="false">(H3987*(1-Assumptions!$E$88)-H4007)*H4011</f>
        <v>-167105.846514575</v>
      </c>
      <c r="I4012" s="54" t="n">
        <f aca="false">(I3987*(1-Assumptions!$E$88)-I4007)*I4011</f>
        <v>-197412.576662163</v>
      </c>
      <c r="J4012" s="54" t="n">
        <f aca="false">(J3987*(1-Assumptions!$E$88)-J4007)*J4011</f>
        <v>-163739.919195964</v>
      </c>
      <c r="K4012" s="54" t="n">
        <f aca="false">(K3987*(1-Assumptions!$E$88)-K4007)*K4011</f>
        <v>-162764.699694027</v>
      </c>
      <c r="L4012" s="54" t="n">
        <f aca="false">(L3987*(1-Assumptions!$E$88)-L4007)*L4011</f>
        <v>-156139.335545899</v>
      </c>
      <c r="M4012" s="54" t="n">
        <f aca="false">(M3987*(1-Assumptions!$E$88)-M4007)*M4011</f>
        <v>-146801.530926473</v>
      </c>
      <c r="N4012" s="54" t="n">
        <f aca="false">(N3987*(1-Assumptions!$E$88)-N4007)*N4011</f>
        <v>-137457.845682537</v>
      </c>
      <c r="P4012" s="55" t="n">
        <f aca="false">SUM(C4012:F4012)</f>
        <v>-943279.118751958</v>
      </c>
      <c r="Q4012" s="55" t="n">
        <f aca="false">SUM(G4012:J4012)</f>
        <v>-732452.814914797</v>
      </c>
      <c r="R4012" s="55" t="n">
        <f aca="false">SUM(K4012:N4012)</f>
        <v>-603163.411848936</v>
      </c>
      <c r="S4012" s="56" t="n">
        <f aca="false">SUM(P4012:R4012)</f>
        <v>-2278895.34551569</v>
      </c>
    </row>
    <row r="4013" customFormat="false" ht="15" hidden="false" customHeight="false" outlineLevel="0" collapsed="false">
      <c r="A4013" s="4" t="s">
        <v>572</v>
      </c>
      <c r="B4013" s="36" t="s">
        <v>125</v>
      </c>
      <c r="C4013" s="54" t="n">
        <f aca="false">(C4007-C4006)*12/(Assumptions!$E$89*Assumptions!$E$76)*Assumptions!$E$90</f>
        <v>189183.585164835</v>
      </c>
      <c r="D4013" s="54" t="n">
        <f aca="false">(D4007-D4006)*12/(Assumptions!$E$89*Assumptions!$E$76)*Assumptions!$E$90</f>
        <v>166104.820135221</v>
      </c>
      <c r="E4013" s="54" t="n">
        <f aca="false">(E4007-E4006)*12/(Assumptions!$E$89*Assumptions!$E$76)*Assumptions!$E$90</f>
        <v>171619.36659128</v>
      </c>
      <c r="F4013" s="54" t="n">
        <f aca="false">(F4007-F4006)*12/(Assumptions!$E$89*Assumptions!$E$76)*Assumptions!$E$90</f>
        <v>175263.127246837</v>
      </c>
      <c r="G4013" s="54" t="n">
        <f aca="false">(G4007-G4006)*12/(Assumptions!$E$89*Assumptions!$E$76)*Assumptions!$E$90</f>
        <v>165871.189626399</v>
      </c>
      <c r="H4013" s="54" t="n">
        <f aca="false">(H4007-H4006)*12/(Assumptions!$E$89*Assumptions!$E$76)*Assumptions!$E$90</f>
        <v>141683.316764837</v>
      </c>
      <c r="I4013" s="54" t="n">
        <f aca="false">(I4007-I4006)*12/(Assumptions!$E$89*Assumptions!$E$76)*Assumptions!$E$90</f>
        <v>173140.906212582</v>
      </c>
      <c r="J4013" s="54" t="n">
        <f aca="false">(J4007-J4006)*12/(Assumptions!$E$89*Assumptions!$E$76)*Assumptions!$E$90</f>
        <v>151042.177841033</v>
      </c>
      <c r="K4013" s="54" t="n">
        <f aca="false">(K4007-K4006)*12/(Assumptions!$E$89*Assumptions!$E$76)*Assumptions!$E$90</f>
        <v>157420.038250907</v>
      </c>
      <c r="L4013" s="54" t="n">
        <f aca="false">(L4007-L4006)*12/(Assumptions!$E$89*Assumptions!$E$76)*Assumptions!$E$90</f>
        <v>159520.070849035</v>
      </c>
      <c r="M4013" s="54" t="n">
        <f aca="false">(M4007-M4006)*12/(Assumptions!$E$89*Assumptions!$E$76)*Assumptions!$E$90</f>
        <v>159138.773341982</v>
      </c>
      <c r="N4013" s="54" t="n">
        <f aca="false">(N4007-N4006)*12/(Assumptions!$E$89*Assumptions!$E$76)*Assumptions!$E$90</f>
        <v>158425.819184611</v>
      </c>
      <c r="P4013" s="55" t="n">
        <f aca="false">SUM(C4013:F4013)</f>
        <v>702170.899138173</v>
      </c>
      <c r="Q4013" s="55" t="n">
        <f aca="false">SUM(G4013:J4013)</f>
        <v>631737.590444851</v>
      </c>
      <c r="R4013" s="55" t="n">
        <f aca="false">SUM(K4013:N4013)</f>
        <v>634504.701626534</v>
      </c>
      <c r="S4013" s="56" t="n">
        <f aca="false">SUM(P4013:R4013)</f>
        <v>1968413.19120956</v>
      </c>
    </row>
    <row r="4014" customFormat="false" ht="15" hidden="false" customHeight="false" outlineLevel="0" collapsed="false">
      <c r="A4014" s="4" t="s">
        <v>573</v>
      </c>
      <c r="B4014" s="36" t="s">
        <v>125</v>
      </c>
      <c r="C4014" s="54" t="n">
        <f aca="false">0*Assumptions!$E$92^(1/4)+C4013</f>
        <v>189183.585164835</v>
      </c>
      <c r="D4014" s="54" t="n">
        <f aca="false">C4014*Assumptions!$E$92^(1/4)+D4013</f>
        <v>355759.600942235</v>
      </c>
      <c r="E4014" s="54" t="n">
        <f aca="false">D4014*Assumptions!$E$92^(1/4)+E4013</f>
        <v>528265.050612453</v>
      </c>
      <c r="F4014" s="54" t="n">
        <f aca="false">E4014*Assumptions!$E$92^(1/4)+F4013</f>
        <v>704843.91669333</v>
      </c>
      <c r="G4014" s="54" t="n">
        <f aca="false">F4014*Assumptions!$E$92^(1/4)+G4013</f>
        <v>872470.646482862</v>
      </c>
      <c r="H4014" s="54" t="n">
        <f aca="false">G4014*Assumptions!$E$92^(1/4)+H4013</f>
        <v>1016327.00783925</v>
      </c>
      <c r="I4014" s="54" t="n">
        <f aca="false">H4014*Assumptions!$E$92^(1/4)+I4013</f>
        <v>1191999.25870684</v>
      </c>
      <c r="J4014" s="54" t="n">
        <f aca="false">I4014*Assumptions!$E$92^(1/4)+J4013</f>
        <v>1346010.32444422</v>
      </c>
      <c r="K4014" s="54" t="n">
        <f aca="false">J4014*Assumptions!$E$92^(1/4)+K4013</f>
        <v>1506782.84276708</v>
      </c>
      <c r="L4014" s="54" t="n">
        <f aca="false">K4014*Assumptions!$E$92^(1/4)+L4013</f>
        <v>1670055.82647377</v>
      </c>
      <c r="M4014" s="54" t="n">
        <f aca="false">L4014*Assumptions!$E$92^(1/4)+M4013</f>
        <v>1833354.17331651</v>
      </c>
      <c r="N4014" s="54" t="n">
        <f aca="false">M4014*Assumptions!$E$92^(1/4)+N4013</f>
        <v>1996346.28981643</v>
      </c>
      <c r="P4014" s="55" t="n">
        <f aca="false">F4014</f>
        <v>704843.91669333</v>
      </c>
      <c r="Q4014" s="55" t="n">
        <f aca="false">J4014</f>
        <v>1346010.32444422</v>
      </c>
      <c r="R4014" s="55" t="n">
        <f aca="false">N4014</f>
        <v>1996346.28981643</v>
      </c>
      <c r="S4014" s="56" t="n">
        <f aca="false">R4014</f>
        <v>1996346.28981643</v>
      </c>
    </row>
    <row r="4015" customFormat="false" ht="15" hidden="false" customHeight="false" outlineLevel="0" collapsed="false">
      <c r="A4015" s="4" t="s">
        <v>574</v>
      </c>
      <c r="B4015" s="36" t="s">
        <v>125</v>
      </c>
      <c r="C4015" s="54" t="n">
        <f aca="false">(0+C4014)/8*Assumptions!$E$76-(C4007-C4006)-C4014*Assumptions!$E$93/4</f>
        <v>-260258.807091346</v>
      </c>
      <c r="D4015" s="54" t="n">
        <f aca="false">(C4014+D4014)/8*Assumptions!$E$76-(D4007-D4006)-D4014*Assumptions!$E$93/4</f>
        <v>-200099.545780342</v>
      </c>
      <c r="E4015" s="54" t="n">
        <f aca="false">(D4014+E4014)/8*Assumptions!$E$76-(E4007-E4006)-E4014*Assumptions!$E$93/4</f>
        <v>-182670.950825686</v>
      </c>
      <c r="F4015" s="54" t="n">
        <f aca="false">(E4014+F4014)/8*Assumptions!$E$76-(F4007-F4006)-F4014*Assumptions!$E$93/4</f>
        <v>-161778.295832725</v>
      </c>
      <c r="G4015" s="54" t="n">
        <f aca="false">(F4014+G4014)/8*Assumptions!$E$76-(G4007-G4006)-G4014*Assumptions!$E$93/4</f>
        <v>-122340.793172214</v>
      </c>
      <c r="H4015" s="54" t="n">
        <f aca="false">(G4014+H4014)/8*Assumptions!$E$76-(H4007-H4006)-H4014*Assumptions!$E$93/4</f>
        <v>-63892.9579557508</v>
      </c>
      <c r="I4015" s="54" t="n">
        <f aca="false">(H4014+I4014)/8*Assumptions!$E$76-(I4007-I4006)-I4014*Assumptions!$E$93/4</f>
        <v>-85565.9016618073</v>
      </c>
      <c r="J4015" s="54" t="n">
        <f aca="false">(I4014+J4014)/8*Assumptions!$E$76-(J4007-J4006)-J4014*Assumptions!$E$93/4</f>
        <v>-28783.8850837985</v>
      </c>
      <c r="K4015" s="54" t="n">
        <f aca="false">(J4014+K4014)/8*Assumptions!$E$76-(K4007-K4006)-K4014*Assumptions!$E$93/4</f>
        <v>-14429.8403944244</v>
      </c>
      <c r="L4015" s="54" t="n">
        <f aca="false">(K4014+L4014)/8*Assumptions!$E$76-(L4007-L4006)-L4014*Assumptions!$E$93/4</f>
        <v>6824.56392962492</v>
      </c>
      <c r="M4015" s="54" t="n">
        <f aca="false">(L4014+M4014)/8*Assumptions!$E$76-(M4007-M4006)-M4014*Assumptions!$E$93/4</f>
        <v>31868.0182669748</v>
      </c>
      <c r="N4015" s="54" t="n">
        <f aca="false">(M4014+N4014)/8*Assumptions!$E$76-(N4007-N4006)-N4014*Assumptions!$E$93/4</f>
        <v>57371.5396290752</v>
      </c>
      <c r="P4015" s="55" t="n">
        <f aca="false">SUM(C4015:F4015)</f>
        <v>-804807.5995301</v>
      </c>
      <c r="Q4015" s="55" t="n">
        <f aca="false">SUM(G4015:J4015)</f>
        <v>-300583.53787357</v>
      </c>
      <c r="R4015" s="55" t="n">
        <f aca="false">SUM(K4015:N4015)</f>
        <v>81634.2814312506</v>
      </c>
      <c r="S4015" s="56" t="n">
        <f aca="false">SUM(P4015:R4015)</f>
        <v>-1023756.85597242</v>
      </c>
    </row>
    <row r="4016" customFormat="false" ht="15" hidden="false" customHeight="false" outlineLevel="0" collapsed="false">
      <c r="A4016" s="4" t="s">
        <v>575</v>
      </c>
      <c r="B4016" s="36" t="s">
        <v>125</v>
      </c>
      <c r="C4016" s="54" t="n">
        <f aca="false">C4015*C4011</f>
        <v>-252988.586859998</v>
      </c>
      <c r="D4016" s="54" t="n">
        <f aca="false">D4015*D4011</f>
        <v>-189076.298425632</v>
      </c>
      <c r="E4016" s="54" t="n">
        <f aca="false">E4015*E4011</f>
        <v>-167786.097241316</v>
      </c>
      <c r="F4016" s="54" t="n">
        <f aca="false">F4015*F4011</f>
        <v>-144444.906993505</v>
      </c>
      <c r="G4016" s="54" t="n">
        <f aca="false">G4015*G4011</f>
        <v>-106181.477329502</v>
      </c>
      <c r="H4016" s="54" t="n">
        <f aca="false">H4015*H4011</f>
        <v>-53904.6164793439</v>
      </c>
      <c r="I4016" s="54" t="n">
        <f aca="false">I4015*I4011</f>
        <v>-70172.862304144</v>
      </c>
      <c r="J4016" s="54" t="n">
        <f aca="false">J4015*J4011</f>
        <v>-22946.3369609363</v>
      </c>
      <c r="K4016" s="54" t="n">
        <f aca="false">K4015*K4011</f>
        <v>-11182.0383263925</v>
      </c>
      <c r="L4016" s="54" t="n">
        <f aca="false">L4015*L4011</f>
        <v>5140.78983812672</v>
      </c>
      <c r="M4016" s="54" t="n">
        <f aca="false">M4015*M4011</f>
        <v>23334.8758751498</v>
      </c>
      <c r="N4016" s="54" t="n">
        <f aca="false">N4015*N4011</f>
        <v>40835.9286946201</v>
      </c>
      <c r="P4016" s="55" t="n">
        <f aca="false">SUM(C4016:F4016)</f>
        <v>-754295.889520451</v>
      </c>
      <c r="Q4016" s="55" t="n">
        <f aca="false">SUM(G4016:J4016)</f>
        <v>-253205.293073926</v>
      </c>
      <c r="R4016" s="55" t="n">
        <f aca="false">SUM(K4016:N4016)</f>
        <v>58129.5560815041</v>
      </c>
      <c r="S4016" s="56" t="n">
        <f aca="false">SUM(P4016:R4016)</f>
        <v>-949371.626512873</v>
      </c>
    </row>
    <row r="4017" customFormat="false" ht="15" hidden="false" customHeight="false" outlineLevel="0" collapsed="false">
      <c r="A4017" s="4" t="s">
        <v>576</v>
      </c>
      <c r="B4017" s="36"/>
      <c r="C4017" s="37" t="n">
        <f aca="false">IFERROR((S3972*$C$3921*Assumptions!$E$59+S3973*$C$3922*Assumptions!$E$60+S3974*$C$3923*Assumptions!$E$61)/(S3972*$C$3921+S3973*$C$3922+S3974*$C$3923),0.9)</f>
        <v>0.897392997697378</v>
      </c>
    </row>
    <row r="4018" customFormat="false" ht="15" hidden="false" customHeight="false" outlineLevel="0" collapsed="false">
      <c r="A4018" s="4" t="s">
        <v>577</v>
      </c>
      <c r="B4018" s="36"/>
      <c r="C4018" s="37" t="n">
        <f aca="false">IFERROR(N4006*4/N3984,0)</f>
        <v>0.175617453214129</v>
      </c>
    </row>
    <row r="4019" customFormat="false" ht="15" hidden="false" customHeight="false" outlineLevel="0" collapsed="false">
      <c r="A4019" s="4" t="s">
        <v>578</v>
      </c>
      <c r="B4019" s="36"/>
      <c r="C4019" s="60" t="n">
        <f aca="false">$C$4017/(1+Assumptions!$E$87)</f>
        <v>0.801243747944087</v>
      </c>
    </row>
    <row r="4020" customFormat="false" ht="15" hidden="false" customHeight="false" outlineLevel="0" collapsed="false">
      <c r="A4020" s="4" t="s">
        <v>579</v>
      </c>
      <c r="B4020" s="36"/>
      <c r="C4020" s="60" t="n">
        <f aca="false">Assumptions!$E$91/(1+Assumptions!$E$87)</f>
        <v>0.803571428571429</v>
      </c>
    </row>
    <row r="4021" customFormat="false" ht="15" hidden="false" customHeight="false" outlineLevel="0" collapsed="false">
      <c r="A4021" s="35" t="s">
        <v>580</v>
      </c>
      <c r="B4021" s="35" t="s">
        <v>444</v>
      </c>
      <c r="C4021" s="6" t="s">
        <v>354</v>
      </c>
      <c r="D4021" s="6" t="s">
        <v>355</v>
      </c>
      <c r="E4021" s="6" t="s">
        <v>356</v>
      </c>
      <c r="F4021" s="6" t="s">
        <v>357</v>
      </c>
      <c r="G4021" s="6" t="s">
        <v>358</v>
      </c>
      <c r="H4021" s="6" t="s">
        <v>359</v>
      </c>
      <c r="I4021" s="6" t="s">
        <v>360</v>
      </c>
      <c r="J4021" s="6" t="s">
        <v>361</v>
      </c>
      <c r="K4021" s="6" t="s">
        <v>362</v>
      </c>
      <c r="L4021" s="6" t="s">
        <v>363</v>
      </c>
      <c r="M4021" s="6" t="s">
        <v>364</v>
      </c>
      <c r="N4021" s="6" t="s">
        <v>365</v>
      </c>
      <c r="P4021" s="6" t="s">
        <v>445</v>
      </c>
      <c r="Q4021" s="6" t="s">
        <v>446</v>
      </c>
      <c r="R4021" s="6" t="s">
        <v>447</v>
      </c>
      <c r="S4021" s="6" t="s">
        <v>448</v>
      </c>
    </row>
    <row r="4022" customFormat="false" ht="15" hidden="false" customHeight="false" outlineLevel="0" collapsed="false">
      <c r="A4022" s="9" t="s">
        <v>581</v>
      </c>
      <c r="C4022" s="61" t="n">
        <f aca="false">N3984</f>
        <v>466364.393483814</v>
      </c>
      <c r="D4022" s="61"/>
    </row>
    <row r="4023" customFormat="false" ht="15" hidden="false" customHeight="false" outlineLevel="0" collapsed="false">
      <c r="A4023" s="9" t="s">
        <v>582</v>
      </c>
      <c r="C4023" s="62" t="n">
        <f aca="false">N3980</f>
        <v>45.2292743347906</v>
      </c>
      <c r="D4023" s="62"/>
    </row>
    <row r="4024" customFormat="false" ht="15" hidden="false" customHeight="false" outlineLevel="0" collapsed="false">
      <c r="A4024" s="9" t="s">
        <v>583</v>
      </c>
      <c r="C4024" s="63" t="n">
        <f aca="false">S3975</f>
        <v>50.0393289919967</v>
      </c>
      <c r="D4024" s="63"/>
    </row>
    <row r="4025" customFormat="false" ht="15" hidden="false" customHeight="false" outlineLevel="0" collapsed="false">
      <c r="A4025" s="9" t="s">
        <v>584</v>
      </c>
      <c r="C4025" s="61" t="n">
        <f aca="false">S3986</f>
        <v>455969.843330732</v>
      </c>
      <c r="D4025" s="61"/>
    </row>
    <row r="4026" customFormat="false" ht="15" hidden="false" customHeight="false" outlineLevel="0" collapsed="false">
      <c r="A4026" s="9" t="s">
        <v>22</v>
      </c>
      <c r="C4026" s="61" t="n">
        <f aca="false">IFERROR(S3985/S3975,0)</f>
        <v>8854.94395406698</v>
      </c>
      <c r="D4026" s="61"/>
    </row>
    <row r="4027" customFormat="false" ht="15" hidden="false" customHeight="false" outlineLevel="0" collapsed="false">
      <c r="A4027" s="9" t="s">
        <v>585</v>
      </c>
      <c r="C4027" s="61" t="n">
        <f aca="false">IFERROR(S4003/S3975,0)</f>
        <v>42785.9011552797</v>
      </c>
      <c r="D4027" s="61"/>
    </row>
    <row r="4028" customFormat="false" ht="23.85" hidden="false" customHeight="false" outlineLevel="0" collapsed="false">
      <c r="A4028" s="9" t="s">
        <v>586</v>
      </c>
      <c r="C4028" s="61" t="n">
        <f aca="false">IFERROR((S3997+S3999+S4000+S4001+S4002)/S3975,0)</f>
        <v>17010.818173069</v>
      </c>
      <c r="D4028" s="61"/>
    </row>
    <row r="4029" customFormat="false" ht="15" hidden="false" customHeight="false" outlineLevel="0" collapsed="false">
      <c r="A4029" s="9" t="s">
        <v>587</v>
      </c>
      <c r="C4029" s="64" t="n">
        <f aca="false">IFERROR('Engine Runs'!$C$4027/('Engine Runs'!$C$4026*Assumptions!$E$76/12),0)</f>
        <v>89.2036769388009</v>
      </c>
      <c r="D4029" s="64"/>
    </row>
    <row r="4030" customFormat="false" ht="15" hidden="false" customHeight="false" outlineLevel="0" collapsed="false">
      <c r="A4030" s="9" t="s">
        <v>588</v>
      </c>
      <c r="C4030" s="64" t="n">
        <f aca="false">IFERROR((R4003/R3975)/((R3985/R3975)*Assumptions!$E$76/12),0)</f>
        <v>58.3454713638084</v>
      </c>
      <c r="D4030" s="64"/>
    </row>
    <row r="4031" customFormat="false" ht="15" hidden="false" customHeight="false" outlineLevel="0" collapsed="false">
      <c r="A4031" s="9" t="s">
        <v>589</v>
      </c>
      <c r="C4031" s="61" t="n">
        <f aca="false">S4007</f>
        <v>2938618.86599454</v>
      </c>
      <c r="D4031" s="61"/>
    </row>
    <row r="4032" customFormat="false" ht="15" hidden="false" customHeight="false" outlineLevel="0" collapsed="false">
      <c r="A4032" s="9" t="s">
        <v>590</v>
      </c>
      <c r="C4032" s="61" t="n">
        <f aca="false">N4010</f>
        <v>-2642238.46782956</v>
      </c>
      <c r="D4032" s="61"/>
    </row>
    <row r="4033" customFormat="false" ht="15" hidden="false" customHeight="false" outlineLevel="0" collapsed="false">
      <c r="A4033" s="9" t="s">
        <v>591</v>
      </c>
      <c r="C4033" s="61" t="n">
        <f aca="false">MIN($C$4010:$N$4010)</f>
        <v>-2642238.46782956</v>
      </c>
      <c r="D4033" s="61"/>
    </row>
    <row r="4034" customFormat="false" ht="15" hidden="false" customHeight="false" outlineLevel="0" collapsed="false">
      <c r="A4034" s="9" t="s">
        <v>592</v>
      </c>
      <c r="C4034" s="61" t="n">
        <f aca="false">N3984*(Assumptions!$E$76-$C$4018)*$C$4017*(1-$C$4017^Assumptions!$E$85)/(1-$C$4017)</f>
        <v>808815.406873174</v>
      </c>
      <c r="D4034" s="61"/>
    </row>
    <row r="4035" customFormat="false" ht="15" hidden="false" customHeight="false" outlineLevel="0" collapsed="false">
      <c r="A4035" s="9" t="s">
        <v>593</v>
      </c>
      <c r="C4035" s="61" t="n">
        <f aca="false">N3984*(Assumptions!$E$76-$C$4018)*(1-Assumptions!$E$88)/(1+Assumptions!$E$87)^2.5*$C$4019*(1-$C$4019^Assumptions!$E$85)/(1-$C$4019)</f>
        <v>359969.113398115</v>
      </c>
      <c r="D4035" s="61"/>
    </row>
    <row r="4036" customFormat="false" ht="15" hidden="false" customHeight="false" outlineLevel="0" collapsed="false">
      <c r="A4036" s="9" t="s">
        <v>594</v>
      </c>
      <c r="C4036" s="61" t="n">
        <f aca="false">SUM($C$4012:$N$4012)+'Engine Runs'!$C$4035</f>
        <v>-1918926.23211758</v>
      </c>
      <c r="D4036" s="61"/>
    </row>
    <row r="4037" customFormat="false" ht="15" hidden="false" customHeight="false" outlineLevel="0" collapsed="false">
      <c r="A4037" s="9" t="s">
        <v>595</v>
      </c>
      <c r="C4037" s="61" t="n">
        <f aca="false">SUM($C$4016:$N$4016)+N4014*(Assumptions!$E$76-Assumptions!$E$93)/(1+Assumptions!$E$87)^2.5*$C$4020*(1-$C$4020^Assumptions!$E$85)/(1-$C$4020)</f>
        <v>1505023.24115053</v>
      </c>
      <c r="D4037" s="61"/>
    </row>
    <row r="4038" customFormat="false" ht="15" hidden="false" customHeight="false" outlineLevel="0" collapsed="false">
      <c r="A4038" s="9" t="s">
        <v>596</v>
      </c>
      <c r="C4038" s="61" t="n">
        <f aca="false">'Engine Runs'!$C$4036-'Engine Runs'!$C$4037</f>
        <v>-3423949.4732681</v>
      </c>
      <c r="D4038" s="61"/>
    </row>
    <row r="4039" customFormat="false" ht="15" hidden="false" customHeight="false" outlineLevel="0" collapsed="false">
      <c r="A4039" s="9" t="s">
        <v>597</v>
      </c>
      <c r="C4039" s="61" t="n">
        <f aca="false">S3971</f>
        <v>0</v>
      </c>
      <c r="D4039" s="61"/>
    </row>
    <row r="4040" customFormat="false" ht="15" hidden="false" customHeight="false" outlineLevel="0" collapsed="false">
      <c r="A4040" s="9" t="s">
        <v>598</v>
      </c>
      <c r="C4040" s="63" t="n">
        <f aca="false">P3955</f>
        <v>40.5283009729547</v>
      </c>
      <c r="D4040" s="63"/>
    </row>
    <row r="4041" customFormat="false" ht="15" hidden="false" customHeight="false" outlineLevel="0" collapsed="false">
      <c r="A4041" s="9" t="s">
        <v>599</v>
      </c>
      <c r="C4041" s="63" t="n">
        <f aca="false">P3975</f>
        <v>5.72865855656926</v>
      </c>
      <c r="D4041" s="63"/>
    </row>
    <row r="4042" customFormat="false" ht="15" hidden="false" customHeight="false" outlineLevel="0" collapsed="false">
      <c r="A4042" s="9" t="s">
        <v>600</v>
      </c>
      <c r="C4042" s="63" t="n">
        <f aca="false">P3951</f>
        <v>42</v>
      </c>
      <c r="D4042" s="63"/>
    </row>
    <row r="4043" customFormat="false" ht="15" hidden="false" customHeight="false" outlineLevel="0" collapsed="false">
      <c r="A4043" s="9" t="s">
        <v>601</v>
      </c>
      <c r="C4043" s="61" t="n">
        <f aca="false">IFERROR(P3985/P3975,0)</f>
        <v>8542.627766815</v>
      </c>
      <c r="D4043" s="61"/>
    </row>
    <row r="4046" customFormat="false" ht="15" hidden="false" customHeight="true" outlineLevel="0" collapsed="false">
      <c r="A4046" s="78" t="s">
        <v>828</v>
      </c>
      <c r="B4046" s="78"/>
      <c r="C4046" s="78"/>
      <c r="D4046" s="78"/>
      <c r="E4046" s="78"/>
      <c r="F4046" s="78"/>
      <c r="G4046" s="78"/>
      <c r="H4046" s="78"/>
      <c r="I4046" s="78"/>
      <c r="J4046" s="78"/>
      <c r="K4046" s="78"/>
      <c r="L4046" s="78"/>
      <c r="M4046" s="78"/>
      <c r="N4046" s="78"/>
    </row>
    <row r="4047" customFormat="false" ht="15" hidden="false" customHeight="true" outlineLevel="0" collapsed="false">
      <c r="A4047" s="79" t="s">
        <v>829</v>
      </c>
      <c r="B4047" s="79"/>
      <c r="C4047" s="79"/>
      <c r="D4047" s="79"/>
      <c r="E4047" s="79"/>
      <c r="F4047" s="79"/>
      <c r="G4047" s="79"/>
      <c r="H4047" s="79"/>
      <c r="I4047" s="79"/>
      <c r="J4047" s="79"/>
      <c r="K4047" s="79"/>
      <c r="L4047" s="79"/>
      <c r="M4047" s="79"/>
      <c r="N4047" s="79"/>
    </row>
    <row r="4048" customFormat="false" ht="23.85" hidden="false" customHeight="false" outlineLevel="0" collapsed="false">
      <c r="A4048" s="35" t="s">
        <v>830</v>
      </c>
      <c r="B4048" s="35" t="s">
        <v>444</v>
      </c>
      <c r="C4048" s="6" t="s">
        <v>354</v>
      </c>
      <c r="D4048" s="6" t="s">
        <v>355</v>
      </c>
      <c r="E4048" s="6" t="s">
        <v>356</v>
      </c>
      <c r="F4048" s="6" t="s">
        <v>357</v>
      </c>
      <c r="G4048" s="6" t="s">
        <v>358</v>
      </c>
      <c r="H4048" s="6" t="s">
        <v>359</v>
      </c>
      <c r="I4048" s="6" t="s">
        <v>360</v>
      </c>
      <c r="J4048" s="6" t="s">
        <v>361</v>
      </c>
      <c r="K4048" s="6" t="s">
        <v>362</v>
      </c>
      <c r="L4048" s="6" t="s">
        <v>363</v>
      </c>
      <c r="M4048" s="6" t="s">
        <v>364</v>
      </c>
      <c r="N4048" s="6" t="s">
        <v>365</v>
      </c>
      <c r="P4048" s="6" t="s">
        <v>445</v>
      </c>
      <c r="Q4048" s="6" t="s">
        <v>446</v>
      </c>
      <c r="R4048" s="6" t="s">
        <v>447</v>
      </c>
      <c r="S4048" s="6" t="s">
        <v>448</v>
      </c>
    </row>
    <row r="4049" customFormat="false" ht="15" hidden="false" customHeight="false" outlineLevel="0" collapsed="false">
      <c r="A4049" s="4" t="s">
        <v>449</v>
      </c>
      <c r="B4049" s="36" t="s">
        <v>450</v>
      </c>
      <c r="C4049" s="34" t="n">
        <f aca="false">'Market Sizing'!$C$17*Assumptions!$E$10*Assumptions!$E$11*(1-Assumptions!$E$12)</f>
        <v>843.03944704</v>
      </c>
    </row>
    <row r="4050" customFormat="false" ht="15" hidden="false" customHeight="false" outlineLevel="0" collapsed="false">
      <c r="A4050" s="4" t="s">
        <v>451</v>
      </c>
      <c r="B4050" s="36" t="s">
        <v>450</v>
      </c>
      <c r="C4050" s="34" t="n">
        <f aca="false">'Market Sizing'!$D$17*Assumptions!$E$10*Assumptions!$E$11*(1-Assumptions!$E$12)</f>
        <v>211.19616</v>
      </c>
    </row>
    <row r="4051" customFormat="false" ht="15" hidden="false" customHeight="false" outlineLevel="0" collapsed="false">
      <c r="A4051" s="4" t="s">
        <v>452</v>
      </c>
      <c r="B4051" s="36" t="s">
        <v>450</v>
      </c>
      <c r="C4051" s="34" t="n">
        <f aca="false">'Market Sizing'!$E$17*Assumptions!$E$10*Assumptions!$E$11*(1-Assumptions!$E$12)</f>
        <v>49.53984</v>
      </c>
    </row>
    <row r="4052" customFormat="false" ht="15" hidden="false" customHeight="false" outlineLevel="0" collapsed="false">
      <c r="A4052" s="4" t="s">
        <v>453</v>
      </c>
      <c r="B4052" s="36"/>
      <c r="C4052" s="34" t="n">
        <f aca="false">$C$4049+$C$4050+$C$4051</f>
        <v>1103.77544704</v>
      </c>
    </row>
    <row r="4053" customFormat="false" ht="15" hidden="false" customHeight="false" outlineLevel="0" collapsed="false">
      <c r="A4053" s="4" t="s">
        <v>454</v>
      </c>
      <c r="B4053" s="36" t="s">
        <v>450</v>
      </c>
      <c r="C4053" s="34" t="n">
        <f aca="false">'Market Sizing'!$C$18*Assumptions!$E$10*Assumptions!$E$11*(1-Assumptions!$E$12)</f>
        <v>612.57706944</v>
      </c>
    </row>
    <row r="4054" customFormat="false" ht="15" hidden="false" customHeight="false" outlineLevel="0" collapsed="false">
      <c r="A4054" s="4" t="s">
        <v>455</v>
      </c>
      <c r="B4054" s="36" t="s">
        <v>450</v>
      </c>
      <c r="C4054" s="34" t="n">
        <f aca="false">'Market Sizing'!$D$18*Assumptions!$E$10*Assumptions!$E$11*(1-Assumptions!$E$12)</f>
        <v>142.10112</v>
      </c>
    </row>
    <row r="4055" customFormat="false" ht="15" hidden="false" customHeight="false" outlineLevel="0" collapsed="false">
      <c r="A4055" s="4" t="s">
        <v>456</v>
      </c>
      <c r="B4055" s="36" t="s">
        <v>450</v>
      </c>
      <c r="C4055" s="34" t="n">
        <f aca="false">'Market Sizing'!$E$18*Assumptions!$E$10*Assumptions!$E$11*(1-Assumptions!$E$12)</f>
        <v>24.76992</v>
      </c>
    </row>
    <row r="4056" customFormat="false" ht="15" hidden="false" customHeight="false" outlineLevel="0" collapsed="false">
      <c r="A4056" s="4" t="s">
        <v>457</v>
      </c>
      <c r="B4056" s="36"/>
      <c r="C4056" s="34" t="n">
        <f aca="false">$C$4053+$C$4054+$C$4055</f>
        <v>779.44810944</v>
      </c>
    </row>
    <row r="4057" customFormat="false" ht="15" hidden="false" customHeight="false" outlineLevel="0" collapsed="false">
      <c r="A4057" s="4" t="s">
        <v>458</v>
      </c>
      <c r="B4057" s="36" t="s">
        <v>450</v>
      </c>
      <c r="C4057" s="34" t="n">
        <f aca="false">'Market Sizing'!$C$19*Assumptions!$E$10*Assumptions!$E$11*(1-Assumptions!$E$12)</f>
        <v>2060.77303936</v>
      </c>
    </row>
    <row r="4058" customFormat="false" ht="15" hidden="false" customHeight="false" outlineLevel="0" collapsed="false">
      <c r="A4058" s="4" t="s">
        <v>459</v>
      </c>
      <c r="B4058" s="36" t="s">
        <v>450</v>
      </c>
      <c r="C4058" s="34" t="n">
        <f aca="false">'Market Sizing'!$D$19*Assumptions!$E$10*Assumptions!$E$11*(1-Assumptions!$E$12)</f>
        <v>428.47616</v>
      </c>
    </row>
    <row r="4059" customFormat="false" ht="15" hidden="false" customHeight="false" outlineLevel="0" collapsed="false">
      <c r="A4059" s="4" t="s">
        <v>460</v>
      </c>
      <c r="B4059" s="36" t="s">
        <v>450</v>
      </c>
      <c r="C4059" s="34" t="n">
        <f aca="false">'Market Sizing'!$E$19*Assumptions!$E$10*Assumptions!$E$11*(1-Assumptions!$E$12)</f>
        <v>79.52448</v>
      </c>
    </row>
    <row r="4060" customFormat="false" ht="15" hidden="false" customHeight="false" outlineLevel="0" collapsed="false">
      <c r="A4060" s="4" t="s">
        <v>461</v>
      </c>
      <c r="B4060" s="36"/>
      <c r="C4060" s="34" t="n">
        <f aca="false">$C$4057+$C$4058+$C$4059</f>
        <v>2568.77367936</v>
      </c>
    </row>
    <row r="4061" customFormat="false" ht="15" hidden="false" customHeight="false" outlineLevel="0" collapsed="false">
      <c r="A4061" s="4" t="s">
        <v>462</v>
      </c>
      <c r="B4061" s="36" t="s">
        <v>463</v>
      </c>
      <c r="C4061" s="33" t="n">
        <f aca="false">MAX((Assumptions!$E$51+Assumptions!$E$53)*12,(((('Market Sizing'!$E$25*Assumptions!$E$41*Assumptions!$E$42*Assumptions!$E$43)*Assumptions!$E$44)*Assumptions!$E$45*Assumptions!$E$46+('Market Sizing'!$E$25*Assumptions!$E$41*Assumptions!$E$42*Assumptions!$E$43)*Assumptions!$E$47+('Market Sizing'!$E$25*Assumptions!$E$41*Assumptions!$E$42*Assumptions!$E$43)*Assumptions!$E$48*Assumptions!$E$49)*(Assumptions!$E$51*12/Assumptions!$E$52)+((('Market Sizing'!$E$25*Assumptions!$E$41*Assumptions!$E$42*Assumptions!$E$43)*Assumptions!$E$44)*Assumptions!$E$45+('Market Sizing'!$E$25*Assumptions!$E$41*Assumptions!$E$42*Assumptions!$E$43)+('Market Sizing'!$E$25*Assumptions!$E$41*Assumptions!$E$42*Assumptions!$E$43)*Assumptions!$E$48)*Assumptions!$E$50*(Assumptions!$E$53*12/Assumptions!$E$54)))</f>
        <v>5352</v>
      </c>
    </row>
    <row r="4062" customFormat="false" ht="15" hidden="false" customHeight="false" outlineLevel="0" collapsed="false">
      <c r="A4062" s="4" t="s">
        <v>464</v>
      </c>
      <c r="B4062" s="36" t="s">
        <v>463</v>
      </c>
      <c r="C4062" s="33" t="n">
        <f aca="false">MAX((Assumptions!$E$51+Assumptions!$E$53)*12,(((('Market Sizing'!$E$26*Assumptions!$E$41*Assumptions!$E$42*Assumptions!$E$43)*Assumptions!$E$44)*Assumptions!$E$45*Assumptions!$E$46+('Market Sizing'!$E$26*Assumptions!$E$41*Assumptions!$E$42*Assumptions!$E$43)*Assumptions!$E$47+('Market Sizing'!$E$26*Assumptions!$E$41*Assumptions!$E$42*Assumptions!$E$43)*Assumptions!$E$48*Assumptions!$E$49)*(Assumptions!$E$51*12/Assumptions!$E$52)+((('Market Sizing'!$E$26*Assumptions!$E$41*Assumptions!$E$42*Assumptions!$E$43)*Assumptions!$E$44)*Assumptions!$E$45+('Market Sizing'!$E$26*Assumptions!$E$41*Assumptions!$E$42*Assumptions!$E$43)+('Market Sizing'!$E$26*Assumptions!$E$41*Assumptions!$E$42*Assumptions!$E$43)*Assumptions!$E$48)*Assumptions!$E$50*(Assumptions!$E$53*12/Assumptions!$E$54)))</f>
        <v>9766.72012875208</v>
      </c>
    </row>
    <row r="4063" customFormat="false" ht="15" hidden="false" customHeight="false" outlineLevel="0" collapsed="false">
      <c r="A4063" s="4" t="s">
        <v>465</v>
      </c>
      <c r="B4063" s="36" t="s">
        <v>463</v>
      </c>
      <c r="C4063" s="33" t="n">
        <f aca="false">MAX(Assumptions!$E$55*(Assumptions!$E$51*12/Assumptions!$E$52)+Assumptions!$E$56*(Assumptions!$E$53*12/Assumptions!$E$54),(((('Market Sizing'!$E$27*Assumptions!$E$41*Assumptions!$E$42*Assumptions!$E$43)*Assumptions!$E$44)*Assumptions!$E$45*Assumptions!$E$46+('Market Sizing'!$E$27*Assumptions!$E$41*Assumptions!$E$42*Assumptions!$E$43)*Assumptions!$E$47+('Market Sizing'!$E$27*Assumptions!$E$41*Assumptions!$E$42*Assumptions!$E$43)*Assumptions!$E$48*Assumptions!$E$49)*(Assumptions!$E$51*12/Assumptions!$E$52)+((('Market Sizing'!$E$27*Assumptions!$E$41*Assumptions!$E$42*Assumptions!$E$43)*Assumptions!$E$44)*Assumptions!$E$45+('Market Sizing'!$E$27*Assumptions!$E$41*Assumptions!$E$42*Assumptions!$E$43)+('Market Sizing'!$E$27*Assumptions!$E$41*Assumptions!$E$42*Assumptions!$E$43)*Assumptions!$E$48)*Assumptions!$E$50*(Assumptions!$E$53*12/Assumptions!$E$54)))*(1-Assumptions!$E$57)</f>
        <v>61778.2562194386</v>
      </c>
    </row>
    <row r="4064" customFormat="false" ht="23.85" hidden="false" customHeight="false" outlineLevel="0" collapsed="false">
      <c r="A4064" s="4" t="s">
        <v>466</v>
      </c>
      <c r="B4064" s="36" t="s">
        <v>467</v>
      </c>
      <c r="C4064" s="37" t="n">
        <f aca="false">Assumptions!$E$17*Assumptions!$D$106</f>
        <v>0.4</v>
      </c>
    </row>
    <row r="4065" customFormat="false" ht="23.85" hidden="false" customHeight="false" outlineLevel="0" collapsed="false">
      <c r="A4065" s="4" t="s">
        <v>468</v>
      </c>
      <c r="B4065" s="36" t="s">
        <v>469</v>
      </c>
      <c r="C4065" s="33" t="n">
        <f aca="false">Assumptions!$E$68/Assumptions!$E$69</f>
        <v>285714.285714286</v>
      </c>
    </row>
    <row r="4066" customFormat="false" ht="23.85" hidden="false" customHeight="false" outlineLevel="0" collapsed="false">
      <c r="A4066" s="4" t="s">
        <v>470</v>
      </c>
      <c r="B4066" s="36" t="s">
        <v>471</v>
      </c>
      <c r="C4066" s="33" t="n">
        <f aca="false">Assumptions!$E$66*Assumptions!$E$67/4</f>
        <v>153125</v>
      </c>
    </row>
    <row r="4067" customFormat="false" ht="15" hidden="false" customHeight="false" outlineLevel="0" collapsed="false">
      <c r="A4067" s="4" t="s">
        <v>472</v>
      </c>
      <c r="B4067" s="36"/>
      <c r="C4067" s="38" t="n">
        <f aca="false">$C$4065/Assumptions!$E$66/Assumptions!$E$67</f>
        <v>0.466472303206997</v>
      </c>
    </row>
    <row r="4068" customFormat="false" ht="15" hidden="false" customHeight="false" outlineLevel="0" collapsed="false">
      <c r="A4068" s="4" t="s">
        <v>473</v>
      </c>
      <c r="B4068" s="36"/>
      <c r="C4068" s="33" t="n">
        <f aca="false">MAX(0,Assumptions!$D$103-Assumptions!$E$78)</f>
        <v>0</v>
      </c>
    </row>
    <row r="4069" customFormat="false" ht="15" hidden="false" customHeight="false" outlineLevel="0" collapsed="false">
      <c r="A4069" s="35" t="s">
        <v>474</v>
      </c>
      <c r="B4069" s="35" t="s">
        <v>444</v>
      </c>
      <c r="C4069" s="6" t="s">
        <v>354</v>
      </c>
      <c r="D4069" s="6" t="s">
        <v>355</v>
      </c>
      <c r="E4069" s="6" t="s">
        <v>356</v>
      </c>
      <c r="F4069" s="6" t="s">
        <v>357</v>
      </c>
      <c r="G4069" s="6" t="s">
        <v>358</v>
      </c>
      <c r="H4069" s="6" t="s">
        <v>359</v>
      </c>
      <c r="I4069" s="6" t="s">
        <v>360</v>
      </c>
      <c r="J4069" s="6" t="s">
        <v>361</v>
      </c>
      <c r="K4069" s="6" t="s">
        <v>362</v>
      </c>
      <c r="L4069" s="6" t="s">
        <v>363</v>
      </c>
      <c r="M4069" s="6" t="s">
        <v>364</v>
      </c>
      <c r="N4069" s="6" t="s">
        <v>365</v>
      </c>
      <c r="P4069" s="6" t="s">
        <v>445</v>
      </c>
      <c r="Q4069" s="6" t="s">
        <v>446</v>
      </c>
      <c r="R4069" s="6" t="s">
        <v>447</v>
      </c>
      <c r="S4069" s="6" t="s">
        <v>448</v>
      </c>
    </row>
    <row r="4070" customFormat="false" ht="15" hidden="false" customHeight="false" outlineLevel="0" collapsed="false">
      <c r="A4070" s="4" t="s">
        <v>475</v>
      </c>
      <c r="B4070" s="36" t="s">
        <v>133</v>
      </c>
      <c r="C4070" s="39" t="n">
        <v>1</v>
      </c>
      <c r="D4070" s="39" t="n">
        <v>2</v>
      </c>
      <c r="E4070" s="39" t="n">
        <v>3</v>
      </c>
      <c r="F4070" s="39" t="n">
        <v>4</v>
      </c>
      <c r="G4070" s="39" t="n">
        <v>5</v>
      </c>
      <c r="H4070" s="39" t="n">
        <v>6</v>
      </c>
      <c r="I4070" s="39" t="n">
        <v>7</v>
      </c>
      <c r="J4070" s="39" t="n">
        <v>8</v>
      </c>
      <c r="K4070" s="39" t="n">
        <v>9</v>
      </c>
      <c r="L4070" s="39" t="n">
        <v>10</v>
      </c>
      <c r="M4070" s="39" t="n">
        <v>11</v>
      </c>
      <c r="N4070" s="39" t="n">
        <v>12</v>
      </c>
      <c r="P4070" s="40"/>
      <c r="Q4070" s="40"/>
      <c r="R4070" s="40"/>
      <c r="S4070" s="41"/>
    </row>
    <row r="4071" customFormat="false" ht="15" hidden="false" customHeight="false" outlineLevel="0" collapsed="false">
      <c r="A4071" s="4" t="s">
        <v>476</v>
      </c>
      <c r="B4071" s="36" t="s">
        <v>343</v>
      </c>
      <c r="C4071" s="39" t="n">
        <f aca="false">IF(C4070&lt;=Assumptions!$E$84,1,0)</f>
        <v>1</v>
      </c>
      <c r="D4071" s="39" t="n">
        <f aca="false">IF(D4070&lt;=Assumptions!$E$84,1,0)</f>
        <v>1</v>
      </c>
      <c r="E4071" s="39" t="n">
        <f aca="false">IF(E4070&lt;=Assumptions!$E$84,1,0)</f>
        <v>1</v>
      </c>
      <c r="F4071" s="39" t="n">
        <f aca="false">IF(F4070&lt;=Assumptions!$E$84,1,0)</f>
        <v>1</v>
      </c>
      <c r="G4071" s="39" t="n">
        <f aca="false">IF(G4070&lt;=Assumptions!$E$84,1,0)</f>
        <v>1</v>
      </c>
      <c r="H4071" s="39" t="n">
        <f aca="false">IF(H4070&lt;=Assumptions!$E$84,1,0)</f>
        <v>1</v>
      </c>
      <c r="I4071" s="39" t="n">
        <f aca="false">IF(I4070&lt;=Assumptions!$E$84,1,0)</f>
        <v>1</v>
      </c>
      <c r="J4071" s="39" t="n">
        <f aca="false">IF(J4070&lt;=Assumptions!$E$84,1,0)</f>
        <v>1</v>
      </c>
      <c r="K4071" s="39" t="n">
        <f aca="false">IF(K4070&lt;=Assumptions!$E$84,1,0)</f>
        <v>1</v>
      </c>
      <c r="L4071" s="39" t="n">
        <f aca="false">IF(L4070&lt;=Assumptions!$E$84,1,0)</f>
        <v>1</v>
      </c>
      <c r="M4071" s="39" t="n">
        <f aca="false">IF(M4070&lt;=Assumptions!$E$84,1,0)</f>
        <v>1</v>
      </c>
      <c r="N4071" s="39" t="n">
        <f aca="false">IF(N4070&lt;=Assumptions!$E$84,1,0)</f>
        <v>1</v>
      </c>
      <c r="P4071" s="40"/>
      <c r="Q4071" s="40"/>
      <c r="R4071" s="40"/>
      <c r="S4071" s="41"/>
    </row>
    <row r="4072" customFormat="false" ht="15" hidden="false" customHeight="false" outlineLevel="0" collapsed="false">
      <c r="A4072" s="4" t="s">
        <v>477</v>
      </c>
      <c r="B4072" s="36" t="s">
        <v>478</v>
      </c>
      <c r="C4072" s="42" t="n">
        <f aca="false">IF(C4070=Assumptions!$E$13,0.5,IF(C4070&gt;Assumptions!$E$13,1,0))</f>
        <v>0.5</v>
      </c>
      <c r="D4072" s="42" t="n">
        <f aca="false">IF(D4070=Assumptions!$E$13,0.5,IF(D4070&gt;Assumptions!$E$13,1,0))</f>
        <v>1</v>
      </c>
      <c r="E4072" s="42" t="n">
        <f aca="false">IF(E4070=Assumptions!$E$13,0.5,IF(E4070&gt;Assumptions!$E$13,1,0))</f>
        <v>1</v>
      </c>
      <c r="F4072" s="42" t="n">
        <f aca="false">IF(F4070=Assumptions!$E$13,0.5,IF(F4070&gt;Assumptions!$E$13,1,0))</f>
        <v>1</v>
      </c>
      <c r="G4072" s="42" t="n">
        <f aca="false">IF(G4070=Assumptions!$E$13,0.5,IF(G4070&gt;Assumptions!$E$13,1,0))</f>
        <v>1</v>
      </c>
      <c r="H4072" s="42" t="n">
        <f aca="false">IF(H4070=Assumptions!$E$13,0.5,IF(H4070&gt;Assumptions!$E$13,1,0))</f>
        <v>1</v>
      </c>
      <c r="I4072" s="42" t="n">
        <f aca="false">IF(I4070=Assumptions!$E$13,0.5,IF(I4070&gt;Assumptions!$E$13,1,0))</f>
        <v>1</v>
      </c>
      <c r="J4072" s="42" t="n">
        <f aca="false">IF(J4070=Assumptions!$E$13,0.5,IF(J4070&gt;Assumptions!$E$13,1,0))</f>
        <v>1</v>
      </c>
      <c r="K4072" s="42" t="n">
        <f aca="false">IF(K4070=Assumptions!$E$13,0.5,IF(K4070&gt;Assumptions!$E$13,1,0))</f>
        <v>1</v>
      </c>
      <c r="L4072" s="42" t="n">
        <f aca="false">IF(L4070=Assumptions!$E$13,0.5,IF(L4070&gt;Assumptions!$E$13,1,0))</f>
        <v>1</v>
      </c>
      <c r="M4072" s="42" t="n">
        <f aca="false">IF(M4070=Assumptions!$E$13,0.5,IF(M4070&gt;Assumptions!$E$13,1,0))</f>
        <v>1</v>
      </c>
      <c r="N4072" s="42" t="n">
        <f aca="false">IF(N4070=Assumptions!$E$13,0.5,IF(N4070&gt;Assumptions!$E$13,1,0))</f>
        <v>1</v>
      </c>
      <c r="P4072" s="43"/>
      <c r="Q4072" s="43"/>
      <c r="R4072" s="43"/>
      <c r="S4072" s="44"/>
    </row>
    <row r="4073" customFormat="false" ht="15" hidden="false" customHeight="false" outlineLevel="0" collapsed="false">
      <c r="A4073" s="4" t="s">
        <v>479</v>
      </c>
      <c r="B4073" s="36" t="s">
        <v>478</v>
      </c>
      <c r="C4073" s="42" t="n">
        <f aca="false">IF(C4070=Assumptions!$E$14,0.5,IF(C4070&gt;Assumptions!$E$14,1,0))</f>
        <v>0</v>
      </c>
      <c r="D4073" s="42" t="n">
        <f aca="false">IF(D4070=Assumptions!$E$14,0.5,IF(D4070&gt;Assumptions!$E$14,1,0))</f>
        <v>0</v>
      </c>
      <c r="E4073" s="42" t="n">
        <f aca="false">IF(E4070=Assumptions!$E$14,0.5,IF(E4070&gt;Assumptions!$E$14,1,0))</f>
        <v>0</v>
      </c>
      <c r="F4073" s="42" t="n">
        <f aca="false">IF(F4070=Assumptions!$E$14,0.5,IF(F4070&gt;Assumptions!$E$14,1,0))</f>
        <v>0</v>
      </c>
      <c r="G4073" s="42" t="n">
        <f aca="false">IF(G4070=Assumptions!$E$14,0.5,IF(G4070&gt;Assumptions!$E$14,1,0))</f>
        <v>0.5</v>
      </c>
      <c r="H4073" s="42" t="n">
        <f aca="false">IF(H4070=Assumptions!$E$14,0.5,IF(H4070&gt;Assumptions!$E$14,1,0))</f>
        <v>1</v>
      </c>
      <c r="I4073" s="42" t="n">
        <f aca="false">IF(I4070=Assumptions!$E$14,0.5,IF(I4070&gt;Assumptions!$E$14,1,0))</f>
        <v>1</v>
      </c>
      <c r="J4073" s="42" t="n">
        <f aca="false">IF(J4070=Assumptions!$E$14,0.5,IF(J4070&gt;Assumptions!$E$14,1,0))</f>
        <v>1</v>
      </c>
      <c r="K4073" s="42" t="n">
        <f aca="false">IF(K4070=Assumptions!$E$14,0.5,IF(K4070&gt;Assumptions!$E$14,1,0))</f>
        <v>1</v>
      </c>
      <c r="L4073" s="42" t="n">
        <f aca="false">IF(L4070=Assumptions!$E$14,0.5,IF(L4070&gt;Assumptions!$E$14,1,0))</f>
        <v>1</v>
      </c>
      <c r="M4073" s="42" t="n">
        <f aca="false">IF(M4070=Assumptions!$E$14,0.5,IF(M4070&gt;Assumptions!$E$14,1,0))</f>
        <v>1</v>
      </c>
      <c r="N4073" s="42" t="n">
        <f aca="false">IF(N4070=Assumptions!$E$14,0.5,IF(N4070&gt;Assumptions!$E$14,1,0))</f>
        <v>1</v>
      </c>
      <c r="P4073" s="43"/>
      <c r="Q4073" s="43"/>
      <c r="R4073" s="43"/>
      <c r="S4073" s="44"/>
    </row>
    <row r="4074" customFormat="false" ht="15" hidden="false" customHeight="false" outlineLevel="0" collapsed="false">
      <c r="A4074" s="4" t="s">
        <v>480</v>
      </c>
      <c r="B4074" s="36" t="s">
        <v>478</v>
      </c>
      <c r="C4074" s="42" t="n">
        <f aca="false">IF(C4070=Assumptions!$E$15,0.5,IF(C4070&gt;Assumptions!$E$15,1,0))</f>
        <v>0</v>
      </c>
      <c r="D4074" s="42" t="n">
        <f aca="false">IF(D4070=Assumptions!$E$15,0.5,IF(D4070&gt;Assumptions!$E$15,1,0))</f>
        <v>0</v>
      </c>
      <c r="E4074" s="42" t="n">
        <f aca="false">IF(E4070=Assumptions!$E$15,0.5,IF(E4070&gt;Assumptions!$E$15,1,0))</f>
        <v>0</v>
      </c>
      <c r="F4074" s="42" t="n">
        <f aca="false">IF(F4070=Assumptions!$E$15,0.5,IF(F4070&gt;Assumptions!$E$15,1,0))</f>
        <v>0</v>
      </c>
      <c r="G4074" s="42" t="n">
        <f aca="false">IF(G4070=Assumptions!$E$15,0.5,IF(G4070&gt;Assumptions!$E$15,1,0))</f>
        <v>0</v>
      </c>
      <c r="H4074" s="42" t="n">
        <f aca="false">IF(H4070=Assumptions!$E$15,0.5,IF(H4070&gt;Assumptions!$E$15,1,0))</f>
        <v>0</v>
      </c>
      <c r="I4074" s="42" t="n">
        <f aca="false">IF(I4070=Assumptions!$E$15,0.5,IF(I4070&gt;Assumptions!$E$15,1,0))</f>
        <v>0.5</v>
      </c>
      <c r="J4074" s="42" t="n">
        <f aca="false">IF(J4070=Assumptions!$E$15,0.5,IF(J4070&gt;Assumptions!$E$15,1,0))</f>
        <v>1</v>
      </c>
      <c r="K4074" s="42" t="n">
        <f aca="false">IF(K4070=Assumptions!$E$15,0.5,IF(K4070&gt;Assumptions!$E$15,1,0))</f>
        <v>1</v>
      </c>
      <c r="L4074" s="42" t="n">
        <f aca="false">IF(L4070=Assumptions!$E$15,0.5,IF(L4070&gt;Assumptions!$E$15,1,0))</f>
        <v>1</v>
      </c>
      <c r="M4074" s="42" t="n">
        <f aca="false">IF(M4070=Assumptions!$E$15,0.5,IF(M4070&gt;Assumptions!$E$15,1,0))</f>
        <v>1</v>
      </c>
      <c r="N4074" s="42" t="n">
        <f aca="false">IF(N4070=Assumptions!$E$15,0.5,IF(N4070&gt;Assumptions!$E$15,1,0))</f>
        <v>1</v>
      </c>
      <c r="P4074" s="43"/>
      <c r="Q4074" s="43"/>
      <c r="R4074" s="43"/>
      <c r="S4074" s="44"/>
    </row>
    <row r="4075" customFormat="false" ht="15" hidden="false" customHeight="false" outlineLevel="0" collapsed="false">
      <c r="A4075" s="4" t="s">
        <v>481</v>
      </c>
      <c r="B4075" s="36" t="s">
        <v>478</v>
      </c>
      <c r="C4075" s="45" t="n">
        <f aca="false">Assumptions!$E$21^(MAX(0,C4070-Assumptions!$E$13)/4)</f>
        <v>1</v>
      </c>
      <c r="D4075" s="45" t="n">
        <f aca="false">Assumptions!$E$21^(MAX(0,D4070-Assumptions!$E$13)/4)</f>
        <v>0.9306048591021</v>
      </c>
      <c r="E4075" s="45" t="n">
        <f aca="false">Assumptions!$E$21^(MAX(0,E4070-Assumptions!$E$13)/4)</f>
        <v>0.866025403784439</v>
      </c>
      <c r="F4075" s="45" t="n">
        <f aca="false">Assumptions!$E$21^(MAX(0,F4070-Assumptions!$E$13)/4)</f>
        <v>0.805927448867656</v>
      </c>
      <c r="G4075" s="45" t="n">
        <f aca="false">Assumptions!$E$21^(MAX(0,G4070-Assumptions!$E$13)/4)</f>
        <v>0.75</v>
      </c>
      <c r="H4075" s="45" t="n">
        <f aca="false">Assumptions!$E$21^(MAX(0,H4070-Assumptions!$E$13)/4)</f>
        <v>0.697953644326575</v>
      </c>
      <c r="I4075" s="45" t="n">
        <f aca="false">Assumptions!$E$21^(MAX(0,I4070-Assumptions!$E$13)/4)</f>
        <v>0.649519052838329</v>
      </c>
      <c r="J4075" s="45" t="n">
        <f aca="false">Assumptions!$E$21^(MAX(0,J4070-Assumptions!$E$13)/4)</f>
        <v>0.604445586650742</v>
      </c>
      <c r="K4075" s="45" t="n">
        <f aca="false">Assumptions!$E$21^(MAX(0,K4070-Assumptions!$E$13)/4)</f>
        <v>0.5625</v>
      </c>
      <c r="L4075" s="45" t="n">
        <f aca="false">Assumptions!$E$21^(MAX(0,L4070-Assumptions!$E$13)/4)</f>
        <v>0.523465233244931</v>
      </c>
      <c r="M4075" s="45" t="n">
        <f aca="false">Assumptions!$E$21^(MAX(0,M4070-Assumptions!$E$13)/4)</f>
        <v>0.487139289628747</v>
      </c>
      <c r="N4075" s="45" t="n">
        <f aca="false">Assumptions!$E$21^(MAX(0,N4070-Assumptions!$E$13)/4)</f>
        <v>0.453334189988057</v>
      </c>
      <c r="P4075" s="46"/>
      <c r="Q4075" s="46"/>
      <c r="R4075" s="46"/>
      <c r="S4075" s="47"/>
    </row>
    <row r="4076" customFormat="false" ht="15" hidden="false" customHeight="false" outlineLevel="0" collapsed="false">
      <c r="A4076" s="4" t="s">
        <v>482</v>
      </c>
      <c r="B4076" s="36" t="s">
        <v>478</v>
      </c>
      <c r="C4076" s="45" t="n">
        <f aca="false">Assumptions!$E$21^(MAX(0,C4070-Assumptions!$E$14)/4)</f>
        <v>1</v>
      </c>
      <c r="D4076" s="45" t="n">
        <f aca="false">Assumptions!$E$21^(MAX(0,D4070-Assumptions!$E$14)/4)</f>
        <v>1</v>
      </c>
      <c r="E4076" s="45" t="n">
        <f aca="false">Assumptions!$E$21^(MAX(0,E4070-Assumptions!$E$14)/4)</f>
        <v>1</v>
      </c>
      <c r="F4076" s="45" t="n">
        <f aca="false">Assumptions!$E$21^(MAX(0,F4070-Assumptions!$E$14)/4)</f>
        <v>1</v>
      </c>
      <c r="G4076" s="45" t="n">
        <f aca="false">Assumptions!$E$21^(MAX(0,G4070-Assumptions!$E$14)/4)</f>
        <v>1</v>
      </c>
      <c r="H4076" s="45" t="n">
        <f aca="false">Assumptions!$E$21^(MAX(0,H4070-Assumptions!$E$14)/4)</f>
        <v>0.9306048591021</v>
      </c>
      <c r="I4076" s="45" t="n">
        <f aca="false">Assumptions!$E$21^(MAX(0,I4070-Assumptions!$E$14)/4)</f>
        <v>0.866025403784439</v>
      </c>
      <c r="J4076" s="45" t="n">
        <f aca="false">Assumptions!$E$21^(MAX(0,J4070-Assumptions!$E$14)/4)</f>
        <v>0.805927448867656</v>
      </c>
      <c r="K4076" s="45" t="n">
        <f aca="false">Assumptions!$E$21^(MAX(0,K4070-Assumptions!$E$14)/4)</f>
        <v>0.75</v>
      </c>
      <c r="L4076" s="45" t="n">
        <f aca="false">Assumptions!$E$21^(MAX(0,L4070-Assumptions!$E$14)/4)</f>
        <v>0.697953644326575</v>
      </c>
      <c r="M4076" s="45" t="n">
        <f aca="false">Assumptions!$E$21^(MAX(0,M4070-Assumptions!$E$14)/4)</f>
        <v>0.649519052838329</v>
      </c>
      <c r="N4076" s="45" t="n">
        <f aca="false">Assumptions!$E$21^(MAX(0,N4070-Assumptions!$E$14)/4)</f>
        <v>0.604445586650742</v>
      </c>
      <c r="P4076" s="46"/>
      <c r="Q4076" s="46"/>
      <c r="R4076" s="46"/>
      <c r="S4076" s="47"/>
    </row>
    <row r="4077" customFormat="false" ht="15" hidden="false" customHeight="false" outlineLevel="0" collapsed="false">
      <c r="A4077" s="4" t="s">
        <v>483</v>
      </c>
      <c r="B4077" s="36" t="s">
        <v>478</v>
      </c>
      <c r="C4077" s="45" t="n">
        <f aca="false">Assumptions!$E$21^(MAX(0,C4070-Assumptions!$E$15)/4)</f>
        <v>1</v>
      </c>
      <c r="D4077" s="45" t="n">
        <f aca="false">Assumptions!$E$21^(MAX(0,D4070-Assumptions!$E$15)/4)</f>
        <v>1</v>
      </c>
      <c r="E4077" s="45" t="n">
        <f aca="false">Assumptions!$E$21^(MAX(0,E4070-Assumptions!$E$15)/4)</f>
        <v>1</v>
      </c>
      <c r="F4077" s="45" t="n">
        <f aca="false">Assumptions!$E$21^(MAX(0,F4070-Assumptions!$E$15)/4)</f>
        <v>1</v>
      </c>
      <c r="G4077" s="45" t="n">
        <f aca="false">Assumptions!$E$21^(MAX(0,G4070-Assumptions!$E$15)/4)</f>
        <v>1</v>
      </c>
      <c r="H4077" s="45" t="n">
        <f aca="false">Assumptions!$E$21^(MAX(0,H4070-Assumptions!$E$15)/4)</f>
        <v>1</v>
      </c>
      <c r="I4077" s="45" t="n">
        <f aca="false">Assumptions!$E$21^(MAX(0,I4070-Assumptions!$E$15)/4)</f>
        <v>1</v>
      </c>
      <c r="J4077" s="45" t="n">
        <f aca="false">Assumptions!$E$21^(MAX(0,J4070-Assumptions!$E$15)/4)</f>
        <v>0.9306048591021</v>
      </c>
      <c r="K4077" s="45" t="n">
        <f aca="false">Assumptions!$E$21^(MAX(0,K4070-Assumptions!$E$15)/4)</f>
        <v>0.866025403784439</v>
      </c>
      <c r="L4077" s="45" t="n">
        <f aca="false">Assumptions!$E$21^(MAX(0,L4070-Assumptions!$E$15)/4)</f>
        <v>0.805927448867656</v>
      </c>
      <c r="M4077" s="45" t="n">
        <f aca="false">Assumptions!$E$21^(MAX(0,M4070-Assumptions!$E$15)/4)</f>
        <v>0.75</v>
      </c>
      <c r="N4077" s="45" t="n">
        <f aca="false">Assumptions!$E$21^(MAX(0,N4070-Assumptions!$E$15)/4)</f>
        <v>0.697953644326575</v>
      </c>
      <c r="P4077" s="46"/>
      <c r="Q4077" s="46"/>
      <c r="R4077" s="46"/>
      <c r="S4077" s="47"/>
    </row>
    <row r="4078" customFormat="false" ht="15" hidden="false" customHeight="false" outlineLevel="0" collapsed="false">
      <c r="A4078" s="4" t="s">
        <v>484</v>
      </c>
      <c r="B4078" s="36" t="s">
        <v>485</v>
      </c>
      <c r="C4078" s="39" t="n">
        <f aca="false">$C$4049*C4072+$C$4053*C4073+$C$4057*C4074</f>
        <v>421.51972352</v>
      </c>
      <c r="D4078" s="39" t="n">
        <f aca="false">$C$4049*D4072+$C$4053*D4073+$C$4057*D4074</f>
        <v>843.03944704</v>
      </c>
      <c r="E4078" s="39" t="n">
        <f aca="false">$C$4049*E4072+$C$4053*E4073+$C$4057*E4074</f>
        <v>843.03944704</v>
      </c>
      <c r="F4078" s="39" t="n">
        <f aca="false">$C$4049*F4072+$C$4053*F4073+$C$4057*F4074</f>
        <v>843.03944704</v>
      </c>
      <c r="G4078" s="39" t="n">
        <f aca="false">$C$4049*G4072+$C$4053*G4073+$C$4057*G4074</f>
        <v>1149.32798176</v>
      </c>
      <c r="H4078" s="39" t="n">
        <f aca="false">$C$4049*H4072+$C$4053*H4073+$C$4057*H4074</f>
        <v>1455.61651648</v>
      </c>
      <c r="I4078" s="39" t="n">
        <f aca="false">$C$4049*I4072+$C$4053*I4073+$C$4057*I4074</f>
        <v>2486.00303616</v>
      </c>
      <c r="J4078" s="39" t="n">
        <f aca="false">$C$4049*J4072+$C$4053*J4073+$C$4057*J4074</f>
        <v>3516.38955584</v>
      </c>
      <c r="K4078" s="39" t="n">
        <f aca="false">$C$4049*K4072+$C$4053*K4073+$C$4057*K4074</f>
        <v>3516.38955584</v>
      </c>
      <c r="L4078" s="39" t="n">
        <f aca="false">$C$4049*L4072+$C$4053*L4073+$C$4057*L4074</f>
        <v>3516.38955584</v>
      </c>
      <c r="M4078" s="39" t="n">
        <f aca="false">$C$4049*M4072+$C$4053*M4073+$C$4057*M4074</f>
        <v>3516.38955584</v>
      </c>
      <c r="N4078" s="39" t="n">
        <f aca="false">$C$4049*N4072+$C$4053*N4073+$C$4057*N4074</f>
        <v>3516.38955584</v>
      </c>
      <c r="P4078" s="40" t="n">
        <f aca="false">F4078</f>
        <v>843.03944704</v>
      </c>
      <c r="Q4078" s="40" t="n">
        <f aca="false">J4078</f>
        <v>3516.38955584</v>
      </c>
      <c r="R4078" s="40" t="n">
        <f aca="false">N4078</f>
        <v>3516.38955584</v>
      </c>
      <c r="S4078" s="41" t="n">
        <f aca="false">R4078</f>
        <v>3516.38955584</v>
      </c>
    </row>
    <row r="4079" customFormat="false" ht="15" hidden="false" customHeight="false" outlineLevel="0" collapsed="false">
      <c r="A4079" s="4" t="s">
        <v>486</v>
      </c>
      <c r="B4079" s="36" t="s">
        <v>485</v>
      </c>
      <c r="C4079" s="39" t="n">
        <f aca="false">$C$4050*C4072+$C$4054*C4073+$C$4058*C4074</f>
        <v>105.59808</v>
      </c>
      <c r="D4079" s="39" t="n">
        <f aca="false">$C$4050*D4072+$C$4054*D4073+$C$4058*D4074</f>
        <v>211.19616</v>
      </c>
      <c r="E4079" s="39" t="n">
        <f aca="false">$C$4050*E4072+$C$4054*E4073+$C$4058*E4074</f>
        <v>211.19616</v>
      </c>
      <c r="F4079" s="39" t="n">
        <f aca="false">$C$4050*F4072+$C$4054*F4073+$C$4058*F4074</f>
        <v>211.19616</v>
      </c>
      <c r="G4079" s="39" t="n">
        <f aca="false">$C$4050*G4072+$C$4054*G4073+$C$4058*G4074</f>
        <v>282.24672</v>
      </c>
      <c r="H4079" s="39" t="n">
        <f aca="false">$C$4050*H4072+$C$4054*H4073+$C$4058*H4074</f>
        <v>353.29728</v>
      </c>
      <c r="I4079" s="39" t="n">
        <f aca="false">$C$4050*I4072+$C$4054*I4073+$C$4058*I4074</f>
        <v>567.53536</v>
      </c>
      <c r="J4079" s="39" t="n">
        <f aca="false">$C$4050*J4072+$C$4054*J4073+$C$4058*J4074</f>
        <v>781.77344</v>
      </c>
      <c r="K4079" s="39" t="n">
        <f aca="false">$C$4050*K4072+$C$4054*K4073+$C$4058*K4074</f>
        <v>781.77344</v>
      </c>
      <c r="L4079" s="39" t="n">
        <f aca="false">$C$4050*L4072+$C$4054*L4073+$C$4058*L4074</f>
        <v>781.77344</v>
      </c>
      <c r="M4079" s="39" t="n">
        <f aca="false">$C$4050*M4072+$C$4054*M4073+$C$4058*M4074</f>
        <v>781.77344</v>
      </c>
      <c r="N4079" s="39" t="n">
        <f aca="false">$C$4050*N4072+$C$4054*N4073+$C$4058*N4074</f>
        <v>781.77344</v>
      </c>
      <c r="P4079" s="40" t="n">
        <f aca="false">F4079</f>
        <v>211.19616</v>
      </c>
      <c r="Q4079" s="40" t="n">
        <f aca="false">J4079</f>
        <v>781.77344</v>
      </c>
      <c r="R4079" s="40" t="n">
        <f aca="false">N4079</f>
        <v>781.77344</v>
      </c>
      <c r="S4079" s="41" t="n">
        <f aca="false">R4079</f>
        <v>781.77344</v>
      </c>
    </row>
    <row r="4080" customFormat="false" ht="15" hidden="false" customHeight="false" outlineLevel="0" collapsed="false">
      <c r="A4080" s="4" t="s">
        <v>487</v>
      </c>
      <c r="B4080" s="36" t="s">
        <v>485</v>
      </c>
      <c r="C4080" s="39" t="n">
        <f aca="false">$C$4051*C4072+$C$4055*C4073+$C$4059*C4074</f>
        <v>24.76992</v>
      </c>
      <c r="D4080" s="39" t="n">
        <f aca="false">$C$4051*D4072+$C$4055*D4073+$C$4059*D4074</f>
        <v>49.53984</v>
      </c>
      <c r="E4080" s="39" t="n">
        <f aca="false">$C$4051*E4072+$C$4055*E4073+$C$4059*E4074</f>
        <v>49.53984</v>
      </c>
      <c r="F4080" s="39" t="n">
        <f aca="false">$C$4051*F4072+$C$4055*F4073+$C$4059*F4074</f>
        <v>49.53984</v>
      </c>
      <c r="G4080" s="39" t="n">
        <f aca="false">$C$4051*G4072+$C$4055*G4073+$C$4059*G4074</f>
        <v>61.9248</v>
      </c>
      <c r="H4080" s="39" t="n">
        <f aca="false">$C$4051*H4072+$C$4055*H4073+$C$4059*H4074</f>
        <v>74.30976</v>
      </c>
      <c r="I4080" s="39" t="n">
        <f aca="false">$C$4051*I4072+$C$4055*I4073+$C$4059*I4074</f>
        <v>114.072</v>
      </c>
      <c r="J4080" s="39" t="n">
        <f aca="false">$C$4051*J4072+$C$4055*J4073+$C$4059*J4074</f>
        <v>153.83424</v>
      </c>
      <c r="K4080" s="39" t="n">
        <f aca="false">$C$4051*K4072+$C$4055*K4073+$C$4059*K4074</f>
        <v>153.83424</v>
      </c>
      <c r="L4080" s="39" t="n">
        <f aca="false">$C$4051*L4072+$C$4055*L4073+$C$4059*L4074</f>
        <v>153.83424</v>
      </c>
      <c r="M4080" s="39" t="n">
        <f aca="false">$C$4051*M4072+$C$4055*M4073+$C$4059*M4074</f>
        <v>153.83424</v>
      </c>
      <c r="N4080" s="39" t="n">
        <f aca="false">$C$4051*N4072+$C$4055*N4073+$C$4059*N4074</f>
        <v>153.83424</v>
      </c>
      <c r="P4080" s="40" t="n">
        <f aca="false">F4080</f>
        <v>49.53984</v>
      </c>
      <c r="Q4080" s="40" t="n">
        <f aca="false">J4080</f>
        <v>153.83424</v>
      </c>
      <c r="R4080" s="40" t="n">
        <f aca="false">N4080</f>
        <v>153.83424</v>
      </c>
      <c r="S4080" s="41" t="n">
        <f aca="false">R4080</f>
        <v>153.83424</v>
      </c>
    </row>
    <row r="4081" customFormat="false" ht="15" hidden="false" customHeight="false" outlineLevel="0" collapsed="false">
      <c r="A4081" s="4" t="s">
        <v>488</v>
      </c>
      <c r="B4081" s="36" t="s">
        <v>485</v>
      </c>
      <c r="C4081" s="39" t="n">
        <f aca="false">C4078+C4079+C4080</f>
        <v>551.88772352</v>
      </c>
      <c r="D4081" s="39" t="n">
        <f aca="false">D4078+D4079+D4080</f>
        <v>1103.77544704</v>
      </c>
      <c r="E4081" s="39" t="n">
        <f aca="false">E4078+E4079+E4080</f>
        <v>1103.77544704</v>
      </c>
      <c r="F4081" s="39" t="n">
        <f aca="false">F4078+F4079+F4080</f>
        <v>1103.77544704</v>
      </c>
      <c r="G4081" s="39" t="n">
        <f aca="false">G4078+G4079+G4080</f>
        <v>1493.49950176</v>
      </c>
      <c r="H4081" s="39" t="n">
        <f aca="false">H4078+H4079+H4080</f>
        <v>1883.22355648</v>
      </c>
      <c r="I4081" s="39" t="n">
        <f aca="false">I4078+I4079+I4080</f>
        <v>3167.61039616</v>
      </c>
      <c r="J4081" s="39" t="n">
        <f aca="false">J4078+J4079+J4080</f>
        <v>4451.99723584</v>
      </c>
      <c r="K4081" s="39" t="n">
        <f aca="false">K4078+K4079+K4080</f>
        <v>4451.99723584</v>
      </c>
      <c r="L4081" s="39" t="n">
        <f aca="false">L4078+L4079+L4080</f>
        <v>4451.99723584</v>
      </c>
      <c r="M4081" s="39" t="n">
        <f aca="false">M4078+M4079+M4080</f>
        <v>4451.99723584</v>
      </c>
      <c r="N4081" s="39" t="n">
        <f aca="false">N4078+N4079+N4080</f>
        <v>4451.99723584</v>
      </c>
      <c r="P4081" s="40" t="n">
        <f aca="false">F4081</f>
        <v>1103.77544704</v>
      </c>
      <c r="Q4081" s="40" t="n">
        <f aca="false">J4081</f>
        <v>4451.99723584</v>
      </c>
      <c r="R4081" s="40" t="n">
        <f aca="false">N4081</f>
        <v>4451.99723584</v>
      </c>
      <c r="S4081" s="41" t="n">
        <f aca="false">R4081</f>
        <v>4451.99723584</v>
      </c>
    </row>
    <row r="4082" customFormat="false" ht="15" hidden="false" customHeight="false" outlineLevel="0" collapsed="false">
      <c r="A4082" s="4" t="s">
        <v>489</v>
      </c>
      <c r="B4082" s="36" t="s">
        <v>485</v>
      </c>
      <c r="C4082" s="39" t="n">
        <f aca="false">$C$4052*C4072*C4075+$C$4056*C4073*C4076+$C$4060*C4074*C4077</f>
        <v>551.88772352</v>
      </c>
      <c r="D4082" s="39" t="n">
        <f aca="false">$C$4052*D4072*D4075+$C$4056*D4073*D4076+$C$4060*D4074*D4077</f>
        <v>1027.17879437302</v>
      </c>
      <c r="E4082" s="39" t="n">
        <f aca="false">$C$4052*E4072*E4075+$C$4056*E4073*E4076+$C$4060*E4074*E4077</f>
        <v>955.897577210165</v>
      </c>
      <c r="F4082" s="39" t="n">
        <f aca="false">$C$4052*F4072*F4075+$C$4056*F4073*F4076+$C$4060*F4074*F4077</f>
        <v>889.562930155704</v>
      </c>
      <c r="G4082" s="39" t="n">
        <f aca="false">$C$4052*G4072*G4075+$C$4056*G4073*G4076+$C$4060*G4074*G4077</f>
        <v>1217.55564</v>
      </c>
      <c r="H4082" s="39" t="n">
        <f aca="false">$C$4052*H4072*H4075+$C$4056*H4073*H4076+$C$4060*H4074*H4077</f>
        <v>1495.74229384257</v>
      </c>
      <c r="I4082" s="39" t="n">
        <f aca="false">$C$4052*I4072*I4075+$C$4056*I4073*I4076+$C$4060*I4074*I4077</f>
        <v>2676.33188629442</v>
      </c>
      <c r="J4082" s="39" t="n">
        <f aca="false">$C$4052*J4072*J4075+$C$4056*J4073*J4076+$C$4060*J4074*J4077</f>
        <v>3685.86409192847</v>
      </c>
      <c r="K4082" s="39" t="n">
        <f aca="false">$C$4052*K4072*K4075+$C$4056*K4073*K4076+$C$4060*K4074*K4077</f>
        <v>3430.08303393858</v>
      </c>
      <c r="L4082" s="39" t="n">
        <f aca="false">$C$4052*L4072*L4075+$C$4056*L4073*L4076+$C$4060*L4074*L4077</f>
        <v>3192.05193850692</v>
      </c>
      <c r="M4082" s="39" t="n">
        <f aca="false">$C$4052*M4072*M4075+$C$4056*M4073*M4076+$C$4060*M4074*M4077</f>
        <v>2970.53904448081</v>
      </c>
      <c r="N4082" s="39" t="n">
        <f aca="false">$C$4052*N4072*N4075+$C$4056*N4073*N4076+$C$4060*N4074*N4077</f>
        <v>2764.39806894635</v>
      </c>
      <c r="P4082" s="40"/>
      <c r="Q4082" s="40"/>
      <c r="R4082" s="40"/>
      <c r="S4082" s="41"/>
    </row>
    <row r="4083" customFormat="false" ht="15" hidden="false" customHeight="false" outlineLevel="0" collapsed="false">
      <c r="A4083" s="4" t="s">
        <v>490</v>
      </c>
      <c r="B4083" s="36" t="s">
        <v>491</v>
      </c>
      <c r="C4083" s="48" t="n">
        <f aca="false">$C$4064*Assumptions!$E$20*C4071*C4082</f>
        <v>6.62265268224</v>
      </c>
      <c r="D4083" s="48" t="n">
        <f aca="false">$C$4064*Assumptions!$E$20*D4071*D4082</f>
        <v>12.3261455324762</v>
      </c>
      <c r="E4083" s="48" t="n">
        <f aca="false">$C$4064*Assumptions!$E$20*E4071*E4082</f>
        <v>11.470770926522</v>
      </c>
      <c r="F4083" s="48" t="n">
        <f aca="false">$C$4064*Assumptions!$E$20*F4071*F4082</f>
        <v>10.6747551618685</v>
      </c>
      <c r="G4083" s="48" t="n">
        <f aca="false">$C$4064*Assumptions!$E$20*G4071*G4082</f>
        <v>14.61066768</v>
      </c>
      <c r="H4083" s="48" t="n">
        <f aca="false">$C$4064*Assumptions!$E$20*H4071*H4082</f>
        <v>17.9489075261109</v>
      </c>
      <c r="I4083" s="48" t="n">
        <f aca="false">$C$4064*Assumptions!$E$20*I4071*I4082</f>
        <v>32.115982635533</v>
      </c>
      <c r="J4083" s="48" t="n">
        <f aca="false">$C$4064*Assumptions!$E$20*J4071*J4082</f>
        <v>44.2303691031417</v>
      </c>
      <c r="K4083" s="48" t="n">
        <f aca="false">$C$4064*Assumptions!$E$20*K4071*K4082</f>
        <v>41.160996407263</v>
      </c>
      <c r="L4083" s="48" t="n">
        <f aca="false">$C$4064*Assumptions!$E$20*L4071*L4082</f>
        <v>38.304623262083</v>
      </c>
      <c r="M4083" s="48" t="n">
        <f aca="false">$C$4064*Assumptions!$E$20*M4071*M4082</f>
        <v>35.6464685337698</v>
      </c>
      <c r="N4083" s="48" t="n">
        <f aca="false">$C$4064*Assumptions!$E$20*N4071*N4082</f>
        <v>33.1727768273562</v>
      </c>
      <c r="P4083" s="49" t="n">
        <f aca="false">SUM(C4083:F4083)</f>
        <v>41.0943243031066</v>
      </c>
      <c r="Q4083" s="49" t="n">
        <f aca="false">SUM(G4083:J4083)</f>
        <v>108.905926944786</v>
      </c>
      <c r="R4083" s="49" t="n">
        <f aca="false">SUM(K4083:N4083)</f>
        <v>148.284865030472</v>
      </c>
      <c r="S4083" s="50" t="n">
        <f aca="false">SUM(P4083:R4083)</f>
        <v>298.285116278364</v>
      </c>
    </row>
    <row r="4084" customFormat="false" ht="15" hidden="false" customHeight="false" outlineLevel="0" collapsed="false">
      <c r="A4084" s="4" t="s">
        <v>492</v>
      </c>
      <c r="B4084" s="36" t="s">
        <v>321</v>
      </c>
      <c r="C4084" s="48" t="n">
        <f aca="false">Assumptions!$D$111</f>
        <v>0</v>
      </c>
      <c r="D4084" s="48" t="n">
        <f aca="false">Assumptions!$E$111</f>
        <v>0</v>
      </c>
      <c r="E4084" s="48" t="n">
        <f aca="false">Assumptions!$F$111</f>
        <v>0</v>
      </c>
      <c r="F4084" s="48" t="n">
        <f aca="false">Assumptions!$G$111</f>
        <v>0</v>
      </c>
      <c r="G4084" s="48" t="n">
        <f aca="false">Assumptions!$H$111</f>
        <v>0</v>
      </c>
      <c r="H4084" s="48" t="n">
        <f aca="false">Assumptions!$I$111</f>
        <v>0</v>
      </c>
      <c r="I4084" s="48" t="n">
        <f aca="false">Assumptions!$J$111</f>
        <v>0</v>
      </c>
      <c r="J4084" s="48" t="n">
        <f aca="false">Assumptions!$K$111</f>
        <v>0</v>
      </c>
      <c r="K4084" s="48" t="n">
        <f aca="false">Assumptions!$L$111</f>
        <v>0</v>
      </c>
      <c r="L4084" s="48" t="n">
        <f aca="false">Assumptions!$M$111</f>
        <v>0</v>
      </c>
      <c r="M4084" s="48" t="n">
        <f aca="false">Assumptions!$N$111</f>
        <v>0</v>
      </c>
      <c r="N4084" s="48" t="n">
        <f aca="false">Assumptions!$O$111</f>
        <v>0</v>
      </c>
      <c r="P4084" s="49" t="n">
        <f aca="false">F4084</f>
        <v>0</v>
      </c>
      <c r="Q4084" s="49" t="n">
        <f aca="false">J4084</f>
        <v>0</v>
      </c>
      <c r="R4084" s="49" t="n">
        <f aca="false">N4084</f>
        <v>0</v>
      </c>
      <c r="S4084" s="50" t="n">
        <f aca="false">R4084</f>
        <v>0</v>
      </c>
    </row>
    <row r="4085" customFormat="false" ht="15" hidden="false" customHeight="false" outlineLevel="0" collapsed="false">
      <c r="A4085" s="4" t="s">
        <v>493</v>
      </c>
      <c r="B4085" s="36" t="s">
        <v>321</v>
      </c>
      <c r="C4085" s="48" t="n">
        <f aca="false">0</f>
        <v>0</v>
      </c>
      <c r="D4085" s="48" t="n">
        <f aca="false">0.5*C4084</f>
        <v>0</v>
      </c>
      <c r="E4085" s="48" t="n">
        <f aca="false">C4084+0.5*(D4084-C4084)</f>
        <v>0</v>
      </c>
      <c r="F4085" s="48" t="n">
        <f aca="false">D4084+0.5*(E4084-D4084)</f>
        <v>0</v>
      </c>
      <c r="G4085" s="48" t="n">
        <f aca="false">E4084+0.5*(F4084-E4084)</f>
        <v>0</v>
      </c>
      <c r="H4085" s="48" t="n">
        <f aca="false">F4084+0.5*(G4084-F4084)</f>
        <v>0</v>
      </c>
      <c r="I4085" s="48" t="n">
        <f aca="false">G4084+0.5*(H4084-G4084)</f>
        <v>0</v>
      </c>
      <c r="J4085" s="48" t="n">
        <f aca="false">H4084+0.5*(I4084-H4084)</f>
        <v>0</v>
      </c>
      <c r="K4085" s="48" t="n">
        <f aca="false">I4084+0.5*(J4084-I4084)</f>
        <v>0</v>
      </c>
      <c r="L4085" s="48" t="n">
        <f aca="false">J4084+0.5*(K4084-J4084)</f>
        <v>0</v>
      </c>
      <c r="M4085" s="48" t="n">
        <f aca="false">K4084+0.5*(L4084-K4084)</f>
        <v>0</v>
      </c>
      <c r="N4085" s="48" t="n">
        <f aca="false">L4084+0.5*(M4084-L4084)</f>
        <v>0</v>
      </c>
      <c r="P4085" s="49" t="n">
        <f aca="false">F4085</f>
        <v>0</v>
      </c>
      <c r="Q4085" s="49" t="n">
        <f aca="false">J4085</f>
        <v>0</v>
      </c>
      <c r="R4085" s="49" t="n">
        <f aca="false">N4085</f>
        <v>0</v>
      </c>
      <c r="S4085" s="50" t="n">
        <f aca="false">R4085</f>
        <v>0</v>
      </c>
    </row>
    <row r="4086" customFormat="false" ht="15" hidden="false" customHeight="false" outlineLevel="0" collapsed="false">
      <c r="A4086" s="4" t="s">
        <v>494</v>
      </c>
      <c r="B4086" s="36" t="s">
        <v>485</v>
      </c>
      <c r="C4086" s="39" t="n">
        <f aca="false">MIN(C4085*Assumptions!$E$38,C4081*(1-$C$4064))</f>
        <v>0</v>
      </c>
      <c r="D4086" s="39" t="n">
        <f aca="false">MIN(D4085*Assumptions!$E$38,D4081*(1-$C$4064))</f>
        <v>0</v>
      </c>
      <c r="E4086" s="39" t="n">
        <f aca="false">MIN(E4085*Assumptions!$E$38,E4081*(1-$C$4064))</f>
        <v>0</v>
      </c>
      <c r="F4086" s="39" t="n">
        <f aca="false">MIN(F4085*Assumptions!$E$38,F4081*(1-$C$4064))</f>
        <v>0</v>
      </c>
      <c r="G4086" s="39" t="n">
        <f aca="false">MIN(G4085*Assumptions!$E$38,G4081*(1-$C$4064))</f>
        <v>0</v>
      </c>
      <c r="H4086" s="39" t="n">
        <f aca="false">MIN(H4085*Assumptions!$E$38,H4081*(1-$C$4064))</f>
        <v>0</v>
      </c>
      <c r="I4086" s="39" t="n">
        <f aca="false">MIN(I4085*Assumptions!$E$38,I4081*(1-$C$4064))</f>
        <v>0</v>
      </c>
      <c r="J4086" s="39" t="n">
        <f aca="false">MIN(J4085*Assumptions!$E$38,J4081*(1-$C$4064))</f>
        <v>0</v>
      </c>
      <c r="K4086" s="39" t="n">
        <f aca="false">MIN(K4085*Assumptions!$E$38,K4081*(1-$C$4064))</f>
        <v>0</v>
      </c>
      <c r="L4086" s="39" t="n">
        <f aca="false">MIN(L4085*Assumptions!$E$38,L4081*(1-$C$4064))</f>
        <v>0</v>
      </c>
      <c r="M4086" s="39" t="n">
        <f aca="false">MIN(M4085*Assumptions!$E$38,M4081*(1-$C$4064))</f>
        <v>0</v>
      </c>
      <c r="N4086" s="39" t="n">
        <f aca="false">MIN(N4085*Assumptions!$E$38,N4081*(1-$C$4064))</f>
        <v>0</v>
      </c>
      <c r="P4086" s="40" t="n">
        <f aca="false">SUM(C4086:F4086)</f>
        <v>0</v>
      </c>
      <c r="Q4086" s="40" t="n">
        <f aca="false">SUM(G4086:J4086)</f>
        <v>0</v>
      </c>
      <c r="R4086" s="40" t="n">
        <f aca="false">SUM(K4086:N4086)</f>
        <v>0</v>
      </c>
      <c r="S4086" s="41" t="n">
        <f aca="false">SUM(P4086:R4086)</f>
        <v>0</v>
      </c>
    </row>
    <row r="4087" customFormat="false" ht="15" hidden="false" customHeight="false" outlineLevel="0" collapsed="false">
      <c r="A4087" s="4" t="s">
        <v>495</v>
      </c>
      <c r="B4087" s="36" t="s">
        <v>491</v>
      </c>
      <c r="C4087" s="48" t="n">
        <f aca="false">C4086*Assumptions!$E$20*Assumptions!$E$39*IF(C4081&gt;0,C4082/C4081,0)*C4071</f>
        <v>0</v>
      </c>
      <c r="D4087" s="48" t="n">
        <f aca="false">D4086*Assumptions!$E$20*Assumptions!$E$39*IF(D4081&gt;0,D4082/D4081,0)*D4071</f>
        <v>0</v>
      </c>
      <c r="E4087" s="48" t="n">
        <f aca="false">E4086*Assumptions!$E$20*Assumptions!$E$39*IF(E4081&gt;0,E4082/E4081,0)*E4071</f>
        <v>0</v>
      </c>
      <c r="F4087" s="48" t="n">
        <f aca="false">F4086*Assumptions!$E$20*Assumptions!$E$39*IF(F4081&gt;0,F4082/F4081,0)*F4071</f>
        <v>0</v>
      </c>
      <c r="G4087" s="48" t="n">
        <f aca="false">G4086*Assumptions!$E$20*Assumptions!$E$39*IF(G4081&gt;0,G4082/G4081,0)*G4071</f>
        <v>0</v>
      </c>
      <c r="H4087" s="48" t="n">
        <f aca="false">H4086*Assumptions!$E$20*Assumptions!$E$39*IF(H4081&gt;0,H4082/H4081,0)*H4071</f>
        <v>0</v>
      </c>
      <c r="I4087" s="48" t="n">
        <f aca="false">I4086*Assumptions!$E$20*Assumptions!$E$39*IF(I4081&gt;0,I4082/I4081,0)*I4071</f>
        <v>0</v>
      </c>
      <c r="J4087" s="48" t="n">
        <f aca="false">J4086*Assumptions!$E$20*Assumptions!$E$39*IF(J4081&gt;0,J4082/J4081,0)*J4071</f>
        <v>0</v>
      </c>
      <c r="K4087" s="48" t="n">
        <f aca="false">K4086*Assumptions!$E$20*Assumptions!$E$39*IF(K4081&gt;0,K4082/K4081,0)*K4071</f>
        <v>0</v>
      </c>
      <c r="L4087" s="48" t="n">
        <f aca="false">L4086*Assumptions!$E$20*Assumptions!$E$39*IF(L4081&gt;0,L4082/L4081,0)*L4071</f>
        <v>0</v>
      </c>
      <c r="M4087" s="48" t="n">
        <f aca="false">M4086*Assumptions!$E$20*Assumptions!$E$39*IF(M4081&gt;0,M4082/M4081,0)*M4071</f>
        <v>0</v>
      </c>
      <c r="N4087" s="48" t="n">
        <f aca="false">N4086*Assumptions!$E$20*Assumptions!$E$39*IF(N4081&gt;0,N4082/N4081,0)*N4071</f>
        <v>0</v>
      </c>
      <c r="P4087" s="49" t="n">
        <f aca="false">SUM(C4087:F4087)</f>
        <v>0</v>
      </c>
      <c r="Q4087" s="49" t="n">
        <f aca="false">SUM(G4087:J4087)</f>
        <v>0</v>
      </c>
      <c r="R4087" s="49" t="n">
        <f aca="false">SUM(K4087:N4087)</f>
        <v>0</v>
      </c>
      <c r="S4087" s="50" t="n">
        <f aca="false">SUM(P4087:R4087)</f>
        <v>0</v>
      </c>
    </row>
    <row r="4088" customFormat="false" ht="15" hidden="false" customHeight="false" outlineLevel="0" collapsed="false">
      <c r="A4088" s="4" t="s">
        <v>496</v>
      </c>
      <c r="B4088" s="36" t="s">
        <v>497</v>
      </c>
      <c r="C4088" s="48" t="n">
        <f aca="false">IF(AND(C4081&gt;0,$C$4068&gt;0),C4081*Assumptions!$E$24*(1-EXP(-$C$4068/(Assumptions!$E$23*C4081*Assumptions!$E$24))),0)</f>
        <v>0</v>
      </c>
      <c r="D4088" s="48" t="n">
        <f aca="false">IF(AND(D4081&gt;0,$C$4068&gt;0),D4081*Assumptions!$E$24*(1-EXP(-$C$4068/(Assumptions!$E$23*D4081*Assumptions!$E$24))),0)</f>
        <v>0</v>
      </c>
      <c r="E4088" s="48" t="n">
        <f aca="false">IF(AND(E4081&gt;0,$C$4068&gt;0),E4081*Assumptions!$E$24*(1-EXP(-$C$4068/(Assumptions!$E$23*E4081*Assumptions!$E$24))),0)</f>
        <v>0</v>
      </c>
      <c r="F4088" s="48" t="n">
        <f aca="false">IF(AND(F4081&gt;0,$C$4068&gt;0),F4081*Assumptions!$E$24*(1-EXP(-$C$4068/(Assumptions!$E$23*F4081*Assumptions!$E$24))),0)</f>
        <v>0</v>
      </c>
      <c r="G4088" s="48" t="n">
        <f aca="false">IF(AND(G4081&gt;0,$C$4068&gt;0),G4081*Assumptions!$E$24*(1-EXP(-$C$4068/(Assumptions!$E$23*G4081*Assumptions!$E$24))),0)</f>
        <v>0</v>
      </c>
      <c r="H4088" s="48" t="n">
        <f aca="false">IF(AND(H4081&gt;0,$C$4068&gt;0),H4081*Assumptions!$E$24*(1-EXP(-$C$4068/(Assumptions!$E$23*H4081*Assumptions!$E$24))),0)</f>
        <v>0</v>
      </c>
      <c r="I4088" s="48" t="n">
        <f aca="false">IF(AND(I4081&gt;0,$C$4068&gt;0),I4081*Assumptions!$E$24*(1-EXP(-$C$4068/(Assumptions!$E$23*I4081*Assumptions!$E$24))),0)</f>
        <v>0</v>
      </c>
      <c r="J4088" s="48" t="n">
        <f aca="false">IF(AND(J4081&gt;0,$C$4068&gt;0),J4081*Assumptions!$E$24*(1-EXP(-$C$4068/(Assumptions!$E$23*J4081*Assumptions!$E$24))),0)</f>
        <v>0</v>
      </c>
      <c r="K4088" s="48" t="n">
        <f aca="false">IF(AND(K4081&gt;0,$C$4068&gt;0),K4081*Assumptions!$E$24*(1-EXP(-$C$4068/(Assumptions!$E$23*K4081*Assumptions!$E$24))),0)</f>
        <v>0</v>
      </c>
      <c r="L4088" s="48" t="n">
        <f aca="false">IF(AND(L4081&gt;0,$C$4068&gt;0),L4081*Assumptions!$E$24*(1-EXP(-$C$4068/(Assumptions!$E$23*L4081*Assumptions!$E$24))),0)</f>
        <v>0</v>
      </c>
      <c r="M4088" s="48" t="n">
        <f aca="false">IF(AND(M4081&gt;0,$C$4068&gt;0),M4081*Assumptions!$E$24*(1-EXP(-$C$4068/(Assumptions!$E$23*M4081*Assumptions!$E$24))),0)</f>
        <v>0</v>
      </c>
      <c r="N4088" s="48" t="n">
        <f aca="false">IF(AND(N4081&gt;0,$C$4068&gt;0),N4081*Assumptions!$E$24*(1-EXP(-$C$4068/(Assumptions!$E$23*N4081*Assumptions!$E$24))),0)</f>
        <v>0</v>
      </c>
      <c r="P4088" s="49" t="n">
        <f aca="false">SUM(C4088:F4088)</f>
        <v>0</v>
      </c>
      <c r="Q4088" s="49" t="n">
        <f aca="false">SUM(G4088:J4088)</f>
        <v>0</v>
      </c>
      <c r="R4088" s="49" t="n">
        <f aca="false">SUM(K4088:N4088)</f>
        <v>0</v>
      </c>
      <c r="S4088" s="50" t="n">
        <f aca="false">SUM(P4088:R4088)</f>
        <v>0</v>
      </c>
    </row>
    <row r="4089" customFormat="false" ht="15" hidden="false" customHeight="false" outlineLevel="0" collapsed="false">
      <c r="A4089" s="4" t="s">
        <v>498</v>
      </c>
      <c r="B4089" s="36" t="s">
        <v>497</v>
      </c>
      <c r="C4089" s="48" t="n">
        <f aca="false">(C4081*Assumptions!$F$22*MIN(1,Assumptions!$D$103/Assumptions!$E$78)+C4088)*C4071</f>
        <v>8.2783158528</v>
      </c>
      <c r="D4089" s="48" t="n">
        <f aca="false">(D4081*Assumptions!$F$22*MIN(1,Assumptions!$D$103/Assumptions!$E$78)+D4088)*D4071</f>
        <v>16.5566317056</v>
      </c>
      <c r="E4089" s="48" t="n">
        <f aca="false">(E4081*Assumptions!$F$22*MIN(1,Assumptions!$D$103/Assumptions!$E$78)+E4088)*E4071</f>
        <v>16.5566317056</v>
      </c>
      <c r="F4089" s="48" t="n">
        <f aca="false">(F4081*Assumptions!$F$22*MIN(1,Assumptions!$D$103/Assumptions!$E$78)+F4088)*F4071</f>
        <v>16.5566317056</v>
      </c>
      <c r="G4089" s="48" t="n">
        <f aca="false">(G4081*Assumptions!$F$22*MIN(1,Assumptions!$D$103/Assumptions!$E$78)+G4088)*G4071</f>
        <v>22.4024925264</v>
      </c>
      <c r="H4089" s="48" t="n">
        <f aca="false">(H4081*Assumptions!$F$22*MIN(1,Assumptions!$D$103/Assumptions!$E$78)+H4088)*H4071</f>
        <v>28.2483533472</v>
      </c>
      <c r="I4089" s="48" t="n">
        <f aca="false">(I4081*Assumptions!$F$22*MIN(1,Assumptions!$D$103/Assumptions!$E$78)+I4088)*I4071</f>
        <v>47.5141559424</v>
      </c>
      <c r="J4089" s="48" t="n">
        <f aca="false">(J4081*Assumptions!$F$22*MIN(1,Assumptions!$D$103/Assumptions!$E$78)+J4088)*J4071</f>
        <v>66.7799585376</v>
      </c>
      <c r="K4089" s="48" t="n">
        <f aca="false">(K4081*Assumptions!$F$22*MIN(1,Assumptions!$D$103/Assumptions!$E$78)+K4088)*K4071</f>
        <v>66.7799585376</v>
      </c>
      <c r="L4089" s="48" t="n">
        <f aca="false">(L4081*Assumptions!$F$22*MIN(1,Assumptions!$D$103/Assumptions!$E$78)+L4088)*L4071</f>
        <v>66.7799585376</v>
      </c>
      <c r="M4089" s="48" t="n">
        <f aca="false">(M4081*Assumptions!$F$22*MIN(1,Assumptions!$D$103/Assumptions!$E$78)+M4088)*M4071</f>
        <v>66.7799585376</v>
      </c>
      <c r="N4089" s="48" t="n">
        <f aca="false">(N4081*Assumptions!$F$22*MIN(1,Assumptions!$D$103/Assumptions!$E$78)+N4088)*N4071</f>
        <v>66.7799585376</v>
      </c>
      <c r="P4089" s="49" t="n">
        <f aca="false">SUM(C4089:F4089)</f>
        <v>57.9482109696</v>
      </c>
      <c r="Q4089" s="49" t="n">
        <f aca="false">SUM(G4089:J4089)</f>
        <v>164.9449603536</v>
      </c>
      <c r="R4089" s="49" t="n">
        <f aca="false">SUM(K4089:N4089)</f>
        <v>267.1198341504</v>
      </c>
      <c r="S4089" s="50" t="n">
        <f aca="false">SUM(P4089:R4089)</f>
        <v>490.0130054736</v>
      </c>
    </row>
    <row r="4090" customFormat="false" ht="15" hidden="false" customHeight="false" outlineLevel="0" collapsed="false">
      <c r="A4090" s="4" t="s">
        <v>499</v>
      </c>
      <c r="B4090" s="36" t="s">
        <v>500</v>
      </c>
      <c r="C4090" s="48" t="n">
        <f aca="false">C4071*MIN(Assumptions!$E$27,Assumptions!$E$25+Assumptions!$E$26*(C4070-1))*Assumptions!$D$107</f>
        <v>2</v>
      </c>
      <c r="D4090" s="48" t="n">
        <f aca="false">D4071*MIN(Assumptions!$E$27,Assumptions!$E$25+Assumptions!$E$26*(D4070-1))*Assumptions!$D$107</f>
        <v>3</v>
      </c>
      <c r="E4090" s="48" t="n">
        <f aca="false">E4071*MIN(Assumptions!$E$27,Assumptions!$E$25+Assumptions!$E$26*(E4070-1))*Assumptions!$D$107</f>
        <v>4</v>
      </c>
      <c r="F4090" s="48" t="n">
        <f aca="false">F4071*MIN(Assumptions!$E$27,Assumptions!$E$25+Assumptions!$E$26*(F4070-1))*Assumptions!$D$107</f>
        <v>5</v>
      </c>
      <c r="G4090" s="48" t="n">
        <f aca="false">G4071*MIN(Assumptions!$E$27,Assumptions!$E$25+Assumptions!$E$26*(G4070-1))*Assumptions!$D$107</f>
        <v>6</v>
      </c>
      <c r="H4090" s="48" t="n">
        <f aca="false">H4071*MIN(Assumptions!$E$27,Assumptions!$E$25+Assumptions!$E$26*(H4070-1))*Assumptions!$D$107</f>
        <v>7</v>
      </c>
      <c r="I4090" s="48" t="n">
        <f aca="false">I4071*MIN(Assumptions!$E$27,Assumptions!$E$25+Assumptions!$E$26*(I4070-1))*Assumptions!$D$107</f>
        <v>8</v>
      </c>
      <c r="J4090" s="48" t="n">
        <f aca="false">J4071*MIN(Assumptions!$E$27,Assumptions!$E$25+Assumptions!$E$26*(J4070-1))*Assumptions!$D$107</f>
        <v>9</v>
      </c>
      <c r="K4090" s="48" t="n">
        <f aca="false">K4071*MIN(Assumptions!$E$27,Assumptions!$E$25+Assumptions!$E$26*(K4070-1))*Assumptions!$D$107</f>
        <v>10</v>
      </c>
      <c r="L4090" s="48" t="n">
        <f aca="false">L4071*MIN(Assumptions!$E$27,Assumptions!$E$25+Assumptions!$E$26*(L4070-1))*Assumptions!$D$107</f>
        <v>10</v>
      </c>
      <c r="M4090" s="48" t="n">
        <f aca="false">M4071*MIN(Assumptions!$E$27,Assumptions!$E$25+Assumptions!$E$26*(M4070-1))*Assumptions!$D$107</f>
        <v>10</v>
      </c>
      <c r="N4090" s="48" t="n">
        <f aca="false">N4071*MIN(Assumptions!$E$27,Assumptions!$E$25+Assumptions!$E$26*(N4070-1))*Assumptions!$D$107</f>
        <v>10</v>
      </c>
      <c r="P4090" s="49" t="n">
        <f aca="false">F4090</f>
        <v>5</v>
      </c>
      <c r="Q4090" s="49" t="n">
        <f aca="false">J4090</f>
        <v>9</v>
      </c>
      <c r="R4090" s="49" t="n">
        <f aca="false">N4090</f>
        <v>10</v>
      </c>
      <c r="S4090" s="50" t="n">
        <f aca="false">R4090</f>
        <v>10</v>
      </c>
    </row>
    <row r="4091" customFormat="false" ht="15" hidden="false" customHeight="false" outlineLevel="0" collapsed="false">
      <c r="A4091" s="4" t="s">
        <v>501</v>
      </c>
      <c r="B4091" s="36" t="s">
        <v>502</v>
      </c>
      <c r="C4091" s="48" t="n">
        <f aca="false">C4090*Assumptions!$E$28</f>
        <v>6</v>
      </c>
      <c r="D4091" s="48" t="n">
        <f aca="false">D4090*Assumptions!$E$28</f>
        <v>9</v>
      </c>
      <c r="E4091" s="48" t="n">
        <f aca="false">E4090*Assumptions!$E$28</f>
        <v>12</v>
      </c>
      <c r="F4091" s="48" t="n">
        <f aca="false">F4090*Assumptions!$E$28</f>
        <v>15</v>
      </c>
      <c r="G4091" s="48" t="n">
        <f aca="false">G4090*Assumptions!$E$28</f>
        <v>18</v>
      </c>
      <c r="H4091" s="48" t="n">
        <f aca="false">H4090*Assumptions!$E$28</f>
        <v>21</v>
      </c>
      <c r="I4091" s="48" t="n">
        <f aca="false">I4090*Assumptions!$E$28</f>
        <v>24</v>
      </c>
      <c r="J4091" s="48" t="n">
        <f aca="false">J4090*Assumptions!$E$28</f>
        <v>27</v>
      </c>
      <c r="K4091" s="48" t="n">
        <f aca="false">K4090*Assumptions!$E$28</f>
        <v>30</v>
      </c>
      <c r="L4091" s="48" t="n">
        <f aca="false">L4090*Assumptions!$E$28</f>
        <v>30</v>
      </c>
      <c r="M4091" s="48" t="n">
        <f aca="false">M4090*Assumptions!$E$28</f>
        <v>30</v>
      </c>
      <c r="N4091" s="48" t="n">
        <f aca="false">N4090*Assumptions!$E$28</f>
        <v>30</v>
      </c>
      <c r="P4091" s="49" t="n">
        <f aca="false">SUM(C4091:F4091)</f>
        <v>42</v>
      </c>
      <c r="Q4091" s="49" t="n">
        <f aca="false">SUM(G4091:J4091)</f>
        <v>90</v>
      </c>
      <c r="R4091" s="49" t="n">
        <f aca="false">SUM(K4091:N4091)</f>
        <v>120</v>
      </c>
      <c r="S4091" s="50" t="n">
        <f aca="false">SUM(P4091:R4091)</f>
        <v>252</v>
      </c>
    </row>
    <row r="4092" customFormat="false" ht="15" hidden="false" customHeight="false" outlineLevel="0" collapsed="false">
      <c r="A4092" s="4" t="s">
        <v>503</v>
      </c>
      <c r="B4092" s="36" t="s">
        <v>504</v>
      </c>
      <c r="C4092" s="48" t="n">
        <f aca="false">(C4083+C4087)*Assumptions!$E$29</f>
        <v>2.649061072896</v>
      </c>
      <c r="D4092" s="48" t="n">
        <f aca="false">(D4083+D4087)*Assumptions!$E$29</f>
        <v>4.93045821299048</v>
      </c>
      <c r="E4092" s="48" t="n">
        <f aca="false">(E4083+E4087)*Assumptions!$E$29</f>
        <v>4.58830837060879</v>
      </c>
      <c r="F4092" s="48" t="n">
        <f aca="false">(F4083+F4087)*Assumptions!$E$29</f>
        <v>4.26990206474738</v>
      </c>
      <c r="G4092" s="48" t="n">
        <f aca="false">(G4083+G4087)*Assumptions!$E$29</f>
        <v>5.844267072</v>
      </c>
      <c r="H4092" s="48" t="n">
        <f aca="false">(H4083+H4087)*Assumptions!$E$29</f>
        <v>7.17956301044434</v>
      </c>
      <c r="I4092" s="48" t="n">
        <f aca="false">(I4083+I4087)*Assumptions!$E$29</f>
        <v>12.8463930542132</v>
      </c>
      <c r="J4092" s="48" t="n">
        <f aca="false">(J4083+J4087)*Assumptions!$E$29</f>
        <v>17.6921476412567</v>
      </c>
      <c r="K4092" s="48" t="n">
        <f aca="false">(K4083+K4087)*Assumptions!$E$29</f>
        <v>16.4643985629052</v>
      </c>
      <c r="L4092" s="48" t="n">
        <f aca="false">(L4083+L4087)*Assumptions!$E$29</f>
        <v>15.3218493048332</v>
      </c>
      <c r="M4092" s="48" t="n">
        <f aca="false">(M4083+M4087)*Assumptions!$E$29</f>
        <v>14.2585874135079</v>
      </c>
      <c r="N4092" s="48" t="n">
        <f aca="false">(N4083+N4087)*Assumptions!$E$29</f>
        <v>13.2691107309425</v>
      </c>
      <c r="P4092" s="49" t="n">
        <f aca="false">SUM(C4092:F4092)</f>
        <v>16.4377297212427</v>
      </c>
      <c r="Q4092" s="49" t="n">
        <f aca="false">SUM(G4092:J4092)</f>
        <v>43.5623707779142</v>
      </c>
      <c r="R4092" s="49" t="n">
        <f aca="false">SUM(K4092:N4092)</f>
        <v>59.3139460121888</v>
      </c>
      <c r="S4092" s="50" t="n">
        <f aca="false">SUM(P4092:R4092)</f>
        <v>119.314046511346</v>
      </c>
    </row>
    <row r="4093" customFormat="false" ht="15" hidden="false" customHeight="false" outlineLevel="0" collapsed="false">
      <c r="A4093" s="4" t="s">
        <v>505</v>
      </c>
      <c r="B4093" s="36" t="s">
        <v>504</v>
      </c>
      <c r="C4093" s="48" t="n">
        <f aca="false">C4089*Assumptions!$E$31</f>
        <v>1.324530536448</v>
      </c>
      <c r="D4093" s="48" t="n">
        <f aca="false">D4089*Assumptions!$E$31</f>
        <v>2.649061072896</v>
      </c>
      <c r="E4093" s="48" t="n">
        <f aca="false">E4089*Assumptions!$E$31</f>
        <v>2.649061072896</v>
      </c>
      <c r="F4093" s="48" t="n">
        <f aca="false">F4089*Assumptions!$E$31</f>
        <v>2.649061072896</v>
      </c>
      <c r="G4093" s="48" t="n">
        <f aca="false">G4089*Assumptions!$E$31</f>
        <v>3.584398804224</v>
      </c>
      <c r="H4093" s="48" t="n">
        <f aca="false">H4089*Assumptions!$E$31</f>
        <v>4.519736535552</v>
      </c>
      <c r="I4093" s="48" t="n">
        <f aca="false">I4089*Assumptions!$E$31</f>
        <v>7.602264950784</v>
      </c>
      <c r="J4093" s="48" t="n">
        <f aca="false">J4089*Assumptions!$E$31</f>
        <v>10.684793366016</v>
      </c>
      <c r="K4093" s="48" t="n">
        <f aca="false">K4089*Assumptions!$E$31</f>
        <v>10.684793366016</v>
      </c>
      <c r="L4093" s="48" t="n">
        <f aca="false">L4089*Assumptions!$E$31</f>
        <v>10.684793366016</v>
      </c>
      <c r="M4093" s="48" t="n">
        <f aca="false">M4089*Assumptions!$E$31</f>
        <v>10.684793366016</v>
      </c>
      <c r="N4093" s="48" t="n">
        <f aca="false">N4089*Assumptions!$E$31</f>
        <v>10.684793366016</v>
      </c>
      <c r="P4093" s="49" t="n">
        <f aca="false">SUM(C4093:F4093)</f>
        <v>9.271713755136</v>
      </c>
      <c r="Q4093" s="49" t="n">
        <f aca="false">SUM(G4093:J4093)</f>
        <v>26.391193656576</v>
      </c>
      <c r="R4093" s="49" t="n">
        <f aca="false">SUM(K4093:N4093)</f>
        <v>42.739173464064</v>
      </c>
      <c r="S4093" s="50" t="n">
        <f aca="false">SUM(P4093:R4093)</f>
        <v>78.402080875776</v>
      </c>
    </row>
    <row r="4094" customFormat="false" ht="15" hidden="false" customHeight="false" outlineLevel="0" collapsed="false">
      <c r="A4094" s="4" t="s">
        <v>506</v>
      </c>
      <c r="B4094" s="36" t="s">
        <v>504</v>
      </c>
      <c r="C4094" s="48" t="n">
        <f aca="false">C4091*Assumptions!$E$30</f>
        <v>3</v>
      </c>
      <c r="D4094" s="48" t="n">
        <f aca="false">D4091*Assumptions!$E$30</f>
        <v>4.5</v>
      </c>
      <c r="E4094" s="48" t="n">
        <f aca="false">E4091*Assumptions!$E$30</f>
        <v>6</v>
      </c>
      <c r="F4094" s="48" t="n">
        <f aca="false">F4091*Assumptions!$E$30</f>
        <v>7.5</v>
      </c>
      <c r="G4094" s="48" t="n">
        <f aca="false">G4091*Assumptions!$E$30</f>
        <v>9</v>
      </c>
      <c r="H4094" s="48" t="n">
        <f aca="false">H4091*Assumptions!$E$30</f>
        <v>10.5</v>
      </c>
      <c r="I4094" s="48" t="n">
        <f aca="false">I4091*Assumptions!$E$30</f>
        <v>12</v>
      </c>
      <c r="J4094" s="48" t="n">
        <f aca="false">J4091*Assumptions!$E$30</f>
        <v>13.5</v>
      </c>
      <c r="K4094" s="48" t="n">
        <f aca="false">K4091*Assumptions!$E$30</f>
        <v>15</v>
      </c>
      <c r="L4094" s="48" t="n">
        <f aca="false">L4091*Assumptions!$E$30</f>
        <v>15</v>
      </c>
      <c r="M4094" s="48" t="n">
        <f aca="false">M4091*Assumptions!$E$30</f>
        <v>15</v>
      </c>
      <c r="N4094" s="48" t="n">
        <f aca="false">N4091*Assumptions!$E$30</f>
        <v>15</v>
      </c>
      <c r="P4094" s="49" t="n">
        <f aca="false">SUM(C4094:F4094)</f>
        <v>21</v>
      </c>
      <c r="Q4094" s="49" t="n">
        <f aca="false">SUM(G4094:J4094)</f>
        <v>45</v>
      </c>
      <c r="R4094" s="49" t="n">
        <f aca="false">SUM(K4094:N4094)</f>
        <v>60</v>
      </c>
      <c r="S4094" s="50" t="n">
        <f aca="false">SUM(P4094:R4094)</f>
        <v>126</v>
      </c>
    </row>
    <row r="4095" customFormat="false" ht="15" hidden="false" customHeight="false" outlineLevel="0" collapsed="false">
      <c r="A4095" s="9" t="s">
        <v>507</v>
      </c>
      <c r="B4095" s="36" t="s">
        <v>504</v>
      </c>
      <c r="C4095" s="49" t="n">
        <f aca="false">C4092+C4093+C4094</f>
        <v>6.973591609344</v>
      </c>
      <c r="D4095" s="49" t="n">
        <f aca="false">D4092+D4093+D4094</f>
        <v>12.0795192858865</v>
      </c>
      <c r="E4095" s="49" t="n">
        <f aca="false">E4092+E4093+E4094</f>
        <v>13.2373694435048</v>
      </c>
      <c r="F4095" s="49" t="n">
        <f aca="false">F4092+F4093+F4094</f>
        <v>14.4189631376434</v>
      </c>
      <c r="G4095" s="49" t="n">
        <f aca="false">G4092+G4093+G4094</f>
        <v>18.428665876224</v>
      </c>
      <c r="H4095" s="49" t="n">
        <f aca="false">H4092+H4093+H4094</f>
        <v>22.1992995459963</v>
      </c>
      <c r="I4095" s="49" t="n">
        <f aca="false">I4092+I4093+I4094</f>
        <v>32.4486580049972</v>
      </c>
      <c r="J4095" s="49" t="n">
        <f aca="false">J4092+J4093+J4094</f>
        <v>41.8769410072727</v>
      </c>
      <c r="K4095" s="49" t="n">
        <f aca="false">K4092+K4093+K4094</f>
        <v>42.1491919289212</v>
      </c>
      <c r="L4095" s="49" t="n">
        <f aca="false">L4092+L4093+L4094</f>
        <v>41.0066426708492</v>
      </c>
      <c r="M4095" s="49" t="n">
        <f aca="false">M4092+M4093+M4094</f>
        <v>39.9433807795239</v>
      </c>
      <c r="N4095" s="49" t="n">
        <f aca="false">N4092+N4093+N4094</f>
        <v>38.9539040969585</v>
      </c>
      <c r="P4095" s="49" t="n">
        <f aca="false">SUM(C4095:F4095)</f>
        <v>46.7094434763787</v>
      </c>
      <c r="Q4095" s="49" t="n">
        <f aca="false">SUM(G4095:J4095)</f>
        <v>114.95356443449</v>
      </c>
      <c r="R4095" s="49" t="n">
        <f aca="false">SUM(K4095:N4095)</f>
        <v>162.053119476253</v>
      </c>
      <c r="S4095" s="50" t="n">
        <f aca="false">SUM(P4095:R4095)</f>
        <v>323.716127387122</v>
      </c>
    </row>
    <row r="4096" customFormat="false" ht="15" hidden="false" customHeight="false" outlineLevel="0" collapsed="false">
      <c r="A4096" s="4" t="s">
        <v>508</v>
      </c>
      <c r="B4096" s="36" t="s">
        <v>509</v>
      </c>
      <c r="C4096" s="48" t="n">
        <f aca="false">C4078</f>
        <v>421.51972352</v>
      </c>
      <c r="D4096" s="48" t="n">
        <f aca="false">D4078</f>
        <v>843.03944704</v>
      </c>
      <c r="E4096" s="48" t="n">
        <f aca="false">E4078</f>
        <v>843.03944704</v>
      </c>
      <c r="F4096" s="48" t="n">
        <f aca="false">F4078</f>
        <v>843.03944704</v>
      </c>
      <c r="G4096" s="48" t="n">
        <f aca="false">G4078</f>
        <v>1149.32798176</v>
      </c>
      <c r="H4096" s="48" t="n">
        <f aca="false">H4078</f>
        <v>1455.61651648</v>
      </c>
      <c r="I4096" s="48" t="n">
        <f aca="false">I4078</f>
        <v>2486.00303616</v>
      </c>
      <c r="J4096" s="48" t="n">
        <f aca="false">J4078</f>
        <v>3516.38955584</v>
      </c>
      <c r="K4096" s="48" t="n">
        <f aca="false">K4078</f>
        <v>3516.38955584</v>
      </c>
      <c r="L4096" s="48" t="n">
        <f aca="false">L4078</f>
        <v>3516.38955584</v>
      </c>
      <c r="M4096" s="48" t="n">
        <f aca="false">M4078</f>
        <v>3516.38955584</v>
      </c>
      <c r="N4096" s="48" t="n">
        <f aca="false">N4078</f>
        <v>3516.38955584</v>
      </c>
      <c r="P4096" s="49"/>
      <c r="Q4096" s="49"/>
      <c r="R4096" s="49"/>
      <c r="S4096" s="50"/>
    </row>
    <row r="4097" customFormat="false" ht="15" hidden="false" customHeight="false" outlineLevel="0" collapsed="false">
      <c r="A4097" s="4" t="s">
        <v>510</v>
      </c>
      <c r="B4097" s="36" t="s">
        <v>509</v>
      </c>
      <c r="C4097" s="48" t="n">
        <f aca="false">C4079*Assumptions!$E$18*Assumptions!$E$33</f>
        <v>211.19616</v>
      </c>
      <c r="D4097" s="48" t="n">
        <f aca="false">D4079*Assumptions!$E$18*Assumptions!$E$33</f>
        <v>422.39232</v>
      </c>
      <c r="E4097" s="48" t="n">
        <f aca="false">E4079*Assumptions!$E$18*Assumptions!$E$33</f>
        <v>422.39232</v>
      </c>
      <c r="F4097" s="48" t="n">
        <f aca="false">F4079*Assumptions!$E$18*Assumptions!$E$33</f>
        <v>422.39232</v>
      </c>
      <c r="G4097" s="48" t="n">
        <f aca="false">G4079*Assumptions!$E$18*Assumptions!$E$33</f>
        <v>564.49344</v>
      </c>
      <c r="H4097" s="48" t="n">
        <f aca="false">H4079*Assumptions!$E$18*Assumptions!$E$33</f>
        <v>706.59456</v>
      </c>
      <c r="I4097" s="48" t="n">
        <f aca="false">I4079*Assumptions!$E$18*Assumptions!$E$33</f>
        <v>1135.07072</v>
      </c>
      <c r="J4097" s="48" t="n">
        <f aca="false">J4079*Assumptions!$E$18*Assumptions!$E$33</f>
        <v>1563.54688</v>
      </c>
      <c r="K4097" s="48" t="n">
        <f aca="false">K4079*Assumptions!$E$18*Assumptions!$E$33</f>
        <v>1563.54688</v>
      </c>
      <c r="L4097" s="48" t="n">
        <f aca="false">L4079*Assumptions!$E$18*Assumptions!$E$33</f>
        <v>1563.54688</v>
      </c>
      <c r="M4097" s="48" t="n">
        <f aca="false">M4079*Assumptions!$E$18*Assumptions!$E$33</f>
        <v>1563.54688</v>
      </c>
      <c r="N4097" s="48" t="n">
        <f aca="false">N4079*Assumptions!$E$18*Assumptions!$E$33</f>
        <v>1563.54688</v>
      </c>
      <c r="P4097" s="49"/>
      <c r="Q4097" s="49"/>
      <c r="R4097" s="49"/>
      <c r="S4097" s="50"/>
    </row>
    <row r="4098" customFormat="false" ht="15" hidden="false" customHeight="false" outlineLevel="0" collapsed="false">
      <c r="A4098" s="4" t="s">
        <v>511</v>
      </c>
      <c r="B4098" s="36" t="s">
        <v>509</v>
      </c>
      <c r="C4098" s="48" t="n">
        <f aca="false">C4080*Assumptions!$E$19*Assumptions!$E$34</f>
        <v>34.677888</v>
      </c>
      <c r="D4098" s="48" t="n">
        <f aca="false">D4080*Assumptions!$E$19*Assumptions!$E$34</f>
        <v>69.355776</v>
      </c>
      <c r="E4098" s="48" t="n">
        <f aca="false">E4080*Assumptions!$E$19*Assumptions!$E$34</f>
        <v>69.355776</v>
      </c>
      <c r="F4098" s="48" t="n">
        <f aca="false">F4080*Assumptions!$E$19*Assumptions!$E$34</f>
        <v>69.355776</v>
      </c>
      <c r="G4098" s="48" t="n">
        <f aca="false">G4080*Assumptions!$E$19*Assumptions!$E$34</f>
        <v>86.69472</v>
      </c>
      <c r="H4098" s="48" t="n">
        <f aca="false">H4080*Assumptions!$E$19*Assumptions!$E$34</f>
        <v>104.033664</v>
      </c>
      <c r="I4098" s="48" t="n">
        <f aca="false">I4080*Assumptions!$E$19*Assumptions!$E$34</f>
        <v>159.7008</v>
      </c>
      <c r="J4098" s="48" t="n">
        <f aca="false">J4080*Assumptions!$E$19*Assumptions!$E$34</f>
        <v>215.367936</v>
      </c>
      <c r="K4098" s="48" t="n">
        <f aca="false">K4080*Assumptions!$E$19*Assumptions!$E$34</f>
        <v>215.367936</v>
      </c>
      <c r="L4098" s="48" t="n">
        <f aca="false">L4080*Assumptions!$E$19*Assumptions!$E$34</f>
        <v>215.367936</v>
      </c>
      <c r="M4098" s="48" t="n">
        <f aca="false">M4080*Assumptions!$E$19*Assumptions!$E$34</f>
        <v>215.367936</v>
      </c>
      <c r="N4098" s="48" t="n">
        <f aca="false">N4080*Assumptions!$E$19*Assumptions!$E$34</f>
        <v>215.367936</v>
      </c>
      <c r="P4098" s="49"/>
      <c r="Q4098" s="49"/>
      <c r="R4098" s="49"/>
      <c r="S4098" s="50"/>
    </row>
    <row r="4099" customFormat="false" ht="15" hidden="false" customHeight="false" outlineLevel="0" collapsed="false">
      <c r="A4099" s="4" t="s">
        <v>512</v>
      </c>
      <c r="B4099" s="36" t="s">
        <v>77</v>
      </c>
      <c r="C4099" s="51" t="n">
        <f aca="false">IFERROR(C4096/(C4096+C4097+C4098),0)</f>
        <v>0.631590736245533</v>
      </c>
      <c r="D4099" s="51" t="n">
        <f aca="false">IFERROR(D4096/(D4096+D4097+D4098),0)</f>
        <v>0.631590736245533</v>
      </c>
      <c r="E4099" s="51" t="n">
        <f aca="false">IFERROR(E4096/(E4096+E4097+E4098),0)</f>
        <v>0.631590736245533</v>
      </c>
      <c r="F4099" s="51" t="n">
        <f aca="false">IFERROR(F4096/(F4096+F4097+F4098),0)</f>
        <v>0.631590736245533</v>
      </c>
      <c r="G4099" s="51" t="n">
        <f aca="false">IFERROR(G4096/(G4096+G4097+G4098),0)</f>
        <v>0.638332506498128</v>
      </c>
      <c r="H4099" s="51" t="n">
        <f aca="false">IFERROR(H4096/(H4096+H4097+H4098),0)</f>
        <v>0.642303318118984</v>
      </c>
      <c r="I4099" s="51" t="n">
        <f aca="false">IFERROR(I4096/(I4096+I4097+I4098),0)</f>
        <v>0.657538025405288</v>
      </c>
      <c r="J4099" s="51" t="n">
        <f aca="false">IFERROR(J4096/(J4096+J4097+J4098),0)</f>
        <v>0.664058061428891</v>
      </c>
      <c r="K4099" s="51" t="n">
        <f aca="false">IFERROR(K4096/(K4096+K4097+K4098),0)</f>
        <v>0.664058061428891</v>
      </c>
      <c r="L4099" s="51" t="n">
        <f aca="false">IFERROR(L4096/(L4096+L4097+L4098),0)</f>
        <v>0.664058061428891</v>
      </c>
      <c r="M4099" s="51" t="n">
        <f aca="false">IFERROR(M4096/(M4096+M4097+M4098),0)</f>
        <v>0.664058061428891</v>
      </c>
      <c r="N4099" s="51" t="n">
        <f aca="false">IFERROR(N4096/(N4096+N4097+N4098),0)</f>
        <v>0.664058061428891</v>
      </c>
      <c r="P4099" s="52"/>
      <c r="Q4099" s="52"/>
      <c r="R4099" s="52"/>
      <c r="S4099" s="53"/>
    </row>
    <row r="4100" customFormat="false" ht="15" hidden="false" customHeight="false" outlineLevel="0" collapsed="false">
      <c r="A4100" s="4" t="s">
        <v>513</v>
      </c>
      <c r="B4100" s="36" t="s">
        <v>77</v>
      </c>
      <c r="C4100" s="51" t="n">
        <f aca="false">IFERROR(C4097/(C4096+C4097+C4098),0)</f>
        <v>0.316449102482628</v>
      </c>
      <c r="D4100" s="51" t="n">
        <f aca="false">IFERROR(D4097/(D4096+D4097+D4098),0)</f>
        <v>0.316449102482628</v>
      </c>
      <c r="E4100" s="51" t="n">
        <f aca="false">IFERROR(E4097/(E4096+E4097+E4098),0)</f>
        <v>0.316449102482628</v>
      </c>
      <c r="F4100" s="51" t="n">
        <f aca="false">IFERROR(F4097/(F4096+F4097+F4098),0)</f>
        <v>0.316449102482628</v>
      </c>
      <c r="G4100" s="51" t="n">
        <f aca="false">IFERROR(G4097/(G4096+G4097+G4098),0)</f>
        <v>0.313517566939561</v>
      </c>
      <c r="H4100" s="51" t="n">
        <f aca="false">IFERROR(H4097/(H4096+H4097+H4098),0)</f>
        <v>0.311790932099567</v>
      </c>
      <c r="I4100" s="51" t="n">
        <f aca="false">IFERROR(I4097/(I4096+I4097+I4098),0)</f>
        <v>0.300221741111391</v>
      </c>
      <c r="J4100" s="51" t="n">
        <f aca="false">IFERROR(J4097/(J4096+J4097+J4098),0)</f>
        <v>0.295270445324128</v>
      </c>
      <c r="K4100" s="51" t="n">
        <f aca="false">IFERROR(K4097/(K4096+K4097+K4098),0)</f>
        <v>0.295270445324128</v>
      </c>
      <c r="L4100" s="51" t="n">
        <f aca="false">IFERROR(L4097/(L4096+L4097+L4098),0)</f>
        <v>0.295270445324128</v>
      </c>
      <c r="M4100" s="51" t="n">
        <f aca="false">IFERROR(M4097/(M4096+M4097+M4098),0)</f>
        <v>0.295270445324128</v>
      </c>
      <c r="N4100" s="51" t="n">
        <f aca="false">IFERROR(N4097/(N4096+N4097+N4098),0)</f>
        <v>0.295270445324128</v>
      </c>
      <c r="P4100" s="52"/>
      <c r="Q4100" s="52"/>
      <c r="R4100" s="52"/>
      <c r="S4100" s="53"/>
    </row>
    <row r="4101" customFormat="false" ht="15" hidden="false" customHeight="false" outlineLevel="0" collapsed="false">
      <c r="A4101" s="4" t="s">
        <v>514</v>
      </c>
      <c r="B4101" s="36" t="s">
        <v>77</v>
      </c>
      <c r="C4101" s="51" t="n">
        <f aca="false">IFERROR(C4098/(C4096+C4097+C4098),0)</f>
        <v>0.0519601612718389</v>
      </c>
      <c r="D4101" s="51" t="n">
        <f aca="false">IFERROR(D4098/(D4096+D4097+D4098),0)</f>
        <v>0.0519601612718389</v>
      </c>
      <c r="E4101" s="51" t="n">
        <f aca="false">IFERROR(E4098/(E4096+E4097+E4098),0)</f>
        <v>0.0519601612718389</v>
      </c>
      <c r="F4101" s="51" t="n">
        <f aca="false">IFERROR(F4098/(F4096+F4097+F4098),0)</f>
        <v>0.0519601612718389</v>
      </c>
      <c r="G4101" s="51" t="n">
        <f aca="false">IFERROR(G4098/(G4096+G4097+G4098),0)</f>
        <v>0.0481499265623113</v>
      </c>
      <c r="H4101" s="51" t="n">
        <f aca="false">IFERROR(H4098/(H4096+H4097+H4098),0)</f>
        <v>0.0459057497814491</v>
      </c>
      <c r="I4101" s="51" t="n">
        <f aca="false">IFERROR(I4098/(I4096+I4097+I4098),0)</f>
        <v>0.0422402334833216</v>
      </c>
      <c r="J4101" s="51" t="n">
        <f aca="false">IFERROR(J4098/(J4096+J4097+J4098),0)</f>
        <v>0.0406714932469811</v>
      </c>
      <c r="K4101" s="51" t="n">
        <f aca="false">IFERROR(K4098/(K4096+K4097+K4098),0)</f>
        <v>0.0406714932469811</v>
      </c>
      <c r="L4101" s="51" t="n">
        <f aca="false">IFERROR(L4098/(L4096+L4097+L4098),0)</f>
        <v>0.0406714932469811</v>
      </c>
      <c r="M4101" s="51" t="n">
        <f aca="false">IFERROR(M4098/(M4096+M4097+M4098),0)</f>
        <v>0.0406714932469811</v>
      </c>
      <c r="N4101" s="51" t="n">
        <f aca="false">IFERROR(N4098/(N4096+N4097+N4098),0)</f>
        <v>0.0406714932469811</v>
      </c>
      <c r="P4101" s="52"/>
      <c r="Q4101" s="52"/>
      <c r="R4101" s="52"/>
      <c r="S4101" s="53"/>
    </row>
    <row r="4102" customFormat="false" ht="15" hidden="false" customHeight="false" outlineLevel="0" collapsed="false">
      <c r="A4102" s="4" t="s">
        <v>515</v>
      </c>
      <c r="B4102" s="36" t="s">
        <v>516</v>
      </c>
      <c r="C4102" s="48" t="n">
        <f aca="false">IF(C4070-Assumptions!$E$35&lt;1,0,INDEX($C$4095:$N$4095,1,C4070-Assumptions!$E$35)*INDEX($C$4099:$N$4099,1,C4070-Assumptions!$E$35)*Assumptions!$E$32)</f>
        <v>0</v>
      </c>
      <c r="D4102" s="48" t="n">
        <f aca="false">IF(D4070-Assumptions!$E$35&lt;1,0,INDEX($C$4095:$N$4095,1,D4070-Assumptions!$E$35)*INDEX($C$4099:$N$4099,1,D4070-Assumptions!$E$35)*Assumptions!$E$32)</f>
        <v>0.924935730352463</v>
      </c>
      <c r="E4102" s="48" t="n">
        <f aca="false">IF(E4070-Assumptions!$E$35&lt;1,0,INDEX($C$4095:$N$4095,1,E4070-Assumptions!$E$35)*INDEX($C$4099:$N$4099,1,E4070-Assumptions!$E$35)*Assumptions!$E$32)</f>
        <v>1.60215562064568</v>
      </c>
      <c r="F4102" s="48" t="n">
        <f aca="false">IF(F4070-Assumptions!$E$35&lt;1,0,INDEX($C$4095:$N$4095,1,F4070-Assumptions!$E$35)*INDEX($C$4099:$N$4099,1,F4070-Assumptions!$E$35)*Assumptions!$E$32)</f>
        <v>1.75572598168324</v>
      </c>
      <c r="G4102" s="48" t="n">
        <f aca="false">IF(G4070-Assumptions!$E$35&lt;1,0,INDEX($C$4095:$N$4095,1,G4070-Assumptions!$E$35)*INDEX($C$4099:$N$4099,1,G4070-Assumptions!$E$35)*Assumptions!$E$32)</f>
        <v>1.91244554424029</v>
      </c>
      <c r="H4102" s="48" t="n">
        <f aca="false">IF(H4070-Assumptions!$E$35&lt;1,0,INDEX($C$4095:$N$4095,1,H4070-Assumptions!$E$35)*INDEX($C$4099:$N$4099,1,H4070-Assumptions!$E$35)*Assumptions!$E$32)</f>
        <v>2.47035946083918</v>
      </c>
      <c r="I4102" s="48" t="n">
        <f aca="false">IF(I4070-Assumptions!$E$35&lt;1,0,INDEX($C$4095:$N$4095,1,I4070-Assumptions!$E$35)*INDEX($C$4099:$N$4099,1,I4070-Assumptions!$E$35)*Assumptions!$E$32)</f>
        <v>2.99432358924525</v>
      </c>
      <c r="J4102" s="48" t="n">
        <f aca="false">IF(J4070-Assumptions!$E$35&lt;1,0,INDEX($C$4095:$N$4095,1,J4070-Assumptions!$E$35)*INDEX($C$4099:$N$4099,1,J4070-Assumptions!$E$35)*Assumptions!$E$32)</f>
        <v>4.48060756744804</v>
      </c>
      <c r="K4102" s="48" t="n">
        <f aca="false">IF(K4070-Assumptions!$E$35&lt;1,0,INDEX($C$4095:$N$4095,1,K4070-Assumptions!$E$35)*INDEX($C$4099:$N$4099,1,K4070-Assumptions!$E$35)*Assumptions!$E$32)</f>
        <v>5.83983125541092</v>
      </c>
      <c r="L4102" s="48" t="n">
        <f aca="false">IF(L4070-Assumptions!$E$35&lt;1,0,INDEX($C$4095:$N$4095,1,L4070-Assumptions!$E$35)*INDEX($C$4099:$N$4099,1,L4070-Assumptions!$E$35)*Assumptions!$E$32)</f>
        <v>5.87779724345387</v>
      </c>
      <c r="M4102" s="48" t="n">
        <f aca="false">IF(M4070-Assumptions!$E$35&lt;1,0,INDEX($C$4095:$N$4095,1,M4070-Assumptions!$E$35)*INDEX($C$4099:$N$4099,1,M4070-Assumptions!$E$35)*Assumptions!$E$32)</f>
        <v>5.71846624391938</v>
      </c>
      <c r="N4102" s="48" t="n">
        <f aca="false">IF(N4070-Assumptions!$E$35&lt;1,0,INDEX($C$4095:$N$4095,1,N4070-Assumptions!$E$35)*INDEX($C$4099:$N$4099,1,N4070-Assumptions!$E$35)*Assumptions!$E$32)</f>
        <v>5.570192041547</v>
      </c>
      <c r="P4102" s="49" t="n">
        <f aca="false">SUM(C4102:F4102)</f>
        <v>4.28281733268138</v>
      </c>
      <c r="Q4102" s="49" t="n">
        <f aca="false">SUM(G4102:J4102)</f>
        <v>11.8577361617728</v>
      </c>
      <c r="R4102" s="49" t="n">
        <f aca="false">SUM(K4102:N4102)</f>
        <v>23.0062867843312</v>
      </c>
      <c r="S4102" s="50" t="n">
        <f aca="false">SUM(P4102:R4102)</f>
        <v>39.1468402787853</v>
      </c>
    </row>
    <row r="4103" customFormat="false" ht="15" hidden="false" customHeight="false" outlineLevel="0" collapsed="false">
      <c r="A4103" s="4" t="s">
        <v>517</v>
      </c>
      <c r="B4103" s="36" t="s">
        <v>516</v>
      </c>
      <c r="C4103" s="48" t="n">
        <f aca="false">IF(C4070-Assumptions!$E$35&lt;1,0,INDEX($C$4095:$N$4095,1,C4070-Assumptions!$E$35)*INDEX($C$4100:$N$4100,1,C4070-Assumptions!$E$35)*Assumptions!$E$32)</f>
        <v>0</v>
      </c>
      <c r="D4103" s="48" t="n">
        <f aca="false">IF(D4070-Assumptions!$E$35&lt;1,0,INDEX($C$4095:$N$4095,1,D4070-Assumptions!$E$35)*INDEX($C$4100:$N$4100,1,D4070-Assumptions!$E$35)*Assumptions!$E$32)</f>
        <v>0.463425229230032</v>
      </c>
      <c r="E4103" s="48" t="n">
        <f aca="false">IF(E4070-Assumptions!$E$35&lt;1,0,INDEX($C$4095:$N$4095,1,E4070-Assumptions!$E$35)*INDEX($C$4100:$N$4100,1,E4070-Assumptions!$E$35)*Assumptions!$E$32)</f>
        <v>0.802736137652478</v>
      </c>
      <c r="F4103" s="48" t="n">
        <f aca="false">IF(F4070-Assumptions!$E$35&lt;1,0,INDEX($C$4095:$N$4095,1,F4070-Assumptions!$E$35)*INDEX($C$4100:$N$4100,1,F4070-Assumptions!$E$35)*Assumptions!$E$32)</f>
        <v>0.879680272721892</v>
      </c>
      <c r="G4103" s="48" t="n">
        <f aca="false">IF(G4070-Assumptions!$E$35&lt;1,0,INDEX($C$4095:$N$4095,1,G4070-Assumptions!$E$35)*INDEX($C$4100:$N$4100,1,G4070-Assumptions!$E$35)*Assumptions!$E$32)</f>
        <v>0.958202268163842</v>
      </c>
      <c r="H4103" s="48" t="n">
        <f aca="false">IF(H4070-Assumptions!$E$35&lt;1,0,INDEX($C$4095:$N$4095,1,H4070-Assumptions!$E$35)*INDEX($C$4100:$N$4100,1,H4070-Assumptions!$E$35)*Assumptions!$E$32)</f>
        <v>1.21331920236573</v>
      </c>
      <c r="I4103" s="48" t="n">
        <f aca="false">IF(I4070-Assumptions!$E$35&lt;1,0,INDEX($C$4095:$N$4095,1,I4070-Assumptions!$E$35)*INDEX($C$4100:$N$4100,1,I4070-Assumptions!$E$35)*Assumptions!$E$32)</f>
        <v>1.45352346245477</v>
      </c>
      <c r="J4103" s="48" t="n">
        <f aca="false">IF(J4070-Assumptions!$E$35&lt;1,0,INDEX($C$4095:$N$4095,1,J4070-Assumptions!$E$35)*INDEX($C$4100:$N$4100,1,J4070-Assumptions!$E$35)*Assumptions!$E$32)</f>
        <v>2.04577644662755</v>
      </c>
      <c r="K4103" s="48" t="n">
        <f aca="false">IF(K4070-Assumptions!$E$35&lt;1,0,INDEX($C$4095:$N$4095,1,K4070-Assumptions!$E$35)*INDEX($C$4100:$N$4100,1,K4070-Assumptions!$E$35)*Assumptions!$E$32)</f>
        <v>2.59665483420623</v>
      </c>
      <c r="L4103" s="48" t="n">
        <f aca="false">IF(L4070-Assumptions!$E$35&lt;1,0,INDEX($C$4095:$N$4095,1,L4070-Assumptions!$E$35)*INDEX($C$4100:$N$4100,1,L4070-Assumptions!$E$35)*Assumptions!$E$32)</f>
        <v>2.61353624088999</v>
      </c>
      <c r="M4103" s="48" t="n">
        <f aca="false">IF(M4070-Assumptions!$E$35&lt;1,0,INDEX($C$4095:$N$4095,1,M4070-Assumptions!$E$35)*INDEX($C$4100:$N$4100,1,M4070-Assumptions!$E$35)*Assumptions!$E$32)</f>
        <v>2.5426904249605</v>
      </c>
      <c r="N4103" s="48" t="n">
        <f aca="false">IF(N4070-Assumptions!$E$35&lt;1,0,INDEX($C$4095:$N$4095,1,N4070-Assumptions!$E$35)*INDEX($C$4100:$N$4100,1,N4070-Assumptions!$E$35)*Assumptions!$E$32)</f>
        <v>2.47676096440946</v>
      </c>
      <c r="P4103" s="49" t="n">
        <f aca="false">SUM(C4103:F4103)</f>
        <v>2.1458416396044</v>
      </c>
      <c r="Q4103" s="49" t="n">
        <f aca="false">SUM(G4103:J4103)</f>
        <v>5.67082137961189</v>
      </c>
      <c r="R4103" s="49" t="n">
        <f aca="false">SUM(K4103:N4103)</f>
        <v>10.2296424644662</v>
      </c>
      <c r="S4103" s="50" t="n">
        <f aca="false">SUM(P4103:R4103)</f>
        <v>18.0463054836825</v>
      </c>
    </row>
    <row r="4104" customFormat="false" ht="15" hidden="false" customHeight="false" outlineLevel="0" collapsed="false">
      <c r="A4104" s="4" t="s">
        <v>518</v>
      </c>
      <c r="B4104" s="36" t="s">
        <v>516</v>
      </c>
      <c r="C4104" s="48" t="n">
        <f aca="false">IF(C4070-Assumptions!$E$36&lt;1,0,INDEX($C$4095:$N$4095,1,C4070-Assumptions!$E$36)*INDEX($C$4101:$N$4101,1,C4070-Assumptions!$E$36)*Assumptions!$E$32)</f>
        <v>0</v>
      </c>
      <c r="D4104" s="48" t="n">
        <f aca="false">IF(D4070-Assumptions!$E$36&lt;1,0,INDEX($C$4095:$N$4095,1,D4070-Assumptions!$E$36)*INDEX($C$4101:$N$4101,1,D4070-Assumptions!$E$36)*Assumptions!$E$32)</f>
        <v>0</v>
      </c>
      <c r="E4104" s="48" t="n">
        <f aca="false">IF(E4070-Assumptions!$E$36&lt;1,0,INDEX($C$4095:$N$4095,1,E4070-Assumptions!$E$36)*INDEX($C$4101:$N$4101,1,E4070-Assumptions!$E$36)*Assumptions!$E$32)</f>
        <v>0.0760932783797459</v>
      </c>
      <c r="F4104" s="48" t="n">
        <f aca="false">IF(F4070-Assumptions!$E$36&lt;1,0,INDEX($C$4095:$N$4095,1,F4070-Assumptions!$E$36)*INDEX($C$4101:$N$4101,1,F4070-Assumptions!$E$36)*Assumptions!$E$32)</f>
        <v>0.131807291737999</v>
      </c>
      <c r="G4104" s="48" t="n">
        <f aca="false">IF(G4070-Assumptions!$E$36&lt;1,0,INDEX($C$4095:$N$4095,1,G4070-Assumptions!$E$36)*INDEX($C$4101:$N$4101,1,G4070-Assumptions!$E$36)*Assumptions!$E$32)</f>
        <v>0.144441328730878</v>
      </c>
      <c r="H4104" s="48" t="n">
        <f aca="false">IF(H4070-Assumptions!$E$36&lt;1,0,INDEX($C$4095:$N$4095,1,H4070-Assumptions!$E$36)*INDEX($C$4101:$N$4101,1,H4070-Assumptions!$E$36)*Assumptions!$E$32)</f>
        <v>0.157334446500977</v>
      </c>
      <c r="I4104" s="48" t="n">
        <f aca="false">IF(I4070-Assumptions!$E$36&lt;1,0,INDEX($C$4095:$N$4095,1,I4070-Assumptions!$E$36)*INDEX($C$4101:$N$4101,1,I4070-Assumptions!$E$36)*Assumptions!$E$32)</f>
        <v>0.186341170802127</v>
      </c>
      <c r="J4104" s="48" t="n">
        <f aca="false">IF(J4070-Assumptions!$E$36&lt;1,0,INDEX($C$4095:$N$4095,1,J4070-Assumptions!$E$36)*INDEX($C$4101:$N$4101,1,J4070-Assumptions!$E$36)*Assumptions!$E$32)</f>
        <v>0.214005852959209</v>
      </c>
      <c r="K4104" s="48" t="n">
        <f aca="false">IF(K4070-Assumptions!$E$36&lt;1,0,INDEX($C$4095:$N$4095,1,K4070-Assumptions!$E$36)*INDEX($C$4101:$N$4101,1,K4070-Assumptions!$E$36)*Assumptions!$E$32)</f>
        <v>0.287834166973822</v>
      </c>
      <c r="L4104" s="48" t="n">
        <f aca="false">IF(L4070-Assumptions!$E$36&lt;1,0,INDEX($C$4095:$N$4095,1,L4070-Assumptions!$E$36)*INDEX($C$4101:$N$4101,1,L4070-Assumptions!$E$36)*Assumptions!$E$32)</f>
        <v>0.357671521910118</v>
      </c>
      <c r="M4104" s="48" t="n">
        <f aca="false">IF(M4070-Assumptions!$E$36&lt;1,0,INDEX($C$4095:$N$4095,1,M4070-Assumptions!$E$36)*INDEX($C$4101:$N$4101,1,M4070-Assumptions!$E$36)*Assumptions!$E$32)</f>
        <v>0.359996820729594</v>
      </c>
      <c r="N4104" s="48" t="n">
        <f aca="false">IF(N4070-Assumptions!$E$36&lt;1,0,INDEX($C$4095:$N$4095,1,N4070-Assumptions!$E$36)*INDEX($C$4101:$N$4101,1,N4070-Assumptions!$E$36)*Assumptions!$E$32)</f>
        <v>0.35023829199845</v>
      </c>
      <c r="P4104" s="49" t="n">
        <f aca="false">SUM(C4104:F4104)</f>
        <v>0.207900570117745</v>
      </c>
      <c r="Q4104" s="49" t="n">
        <f aca="false">SUM(G4104:J4104)</f>
        <v>0.70212279899319</v>
      </c>
      <c r="R4104" s="49" t="n">
        <f aca="false">SUM(K4104:N4104)</f>
        <v>1.35574080161198</v>
      </c>
      <c r="S4104" s="50" t="n">
        <f aca="false">SUM(P4104:R4104)</f>
        <v>2.26576417072292</v>
      </c>
    </row>
    <row r="4105" customFormat="false" ht="15" hidden="false" customHeight="false" outlineLevel="0" collapsed="false">
      <c r="A4105" s="4" t="s">
        <v>519</v>
      </c>
      <c r="B4105" s="36" t="s">
        <v>77</v>
      </c>
      <c r="C4105" s="51" t="n">
        <f aca="false">IF(C4070-Assumptions!$E$35&lt;1,0,IFERROR(INDEX($C$4094:$N$4094,1,C4070-Assumptions!$E$35)/INDEX($C$4095:$N$4095,1,C4070-Assumptions!$E$35),0))</f>
        <v>0</v>
      </c>
      <c r="D4105" s="51" t="n">
        <f aca="false">IF(D4070-Assumptions!$E$35&lt;1,0,IFERROR(INDEX($C$4094:$N$4094,1,D4070-Assumptions!$E$35)/INDEX($C$4095:$N$4095,1,D4070-Assumptions!$E$35),0))</f>
        <v>0.430194391650389</v>
      </c>
      <c r="E4105" s="51" t="n">
        <f aca="false">IF(E4070-Assumptions!$E$35&lt;1,0,IFERROR(INDEX($C$4094:$N$4094,1,E4070-Assumptions!$E$35)/INDEX($C$4095:$N$4095,1,E4070-Assumptions!$E$35),0))</f>
        <v>0.372531380885143</v>
      </c>
      <c r="F4105" s="51" t="n">
        <f aca="false">IF(F4070-Assumptions!$E$35&lt;1,0,IFERROR(INDEX($C$4094:$N$4094,1,F4070-Assumptions!$E$35)/INDEX($C$4095:$N$4095,1,F4070-Assumptions!$E$35),0))</f>
        <v>0.453262260723866</v>
      </c>
      <c r="G4105" s="51" t="n">
        <f aca="false">IF(G4070-Assumptions!$E$35&lt;1,0,IFERROR(INDEX($C$4094:$N$4094,1,G4070-Assumptions!$E$35)/INDEX($C$4095:$N$4095,1,G4070-Assumptions!$E$35),0))</f>
        <v>0.520148357992529</v>
      </c>
      <c r="H4105" s="51" t="n">
        <f aca="false">IF(H4070-Assumptions!$E$35&lt;1,0,IFERROR(INDEX($C$4094:$N$4094,1,H4070-Assumptions!$E$35)/INDEX($C$4095:$N$4095,1,H4070-Assumptions!$E$35),0))</f>
        <v>0.48836959009667</v>
      </c>
      <c r="I4105" s="51" t="n">
        <f aca="false">IF(I4070-Assumptions!$E$35&lt;1,0,IFERROR(INDEX($C$4094:$N$4094,1,I4070-Assumptions!$E$35)/INDEX($C$4095:$N$4095,1,I4070-Assumptions!$E$35),0))</f>
        <v>0.472987896678645</v>
      </c>
      <c r="J4105" s="51" t="n">
        <f aca="false">IF(J4070-Assumptions!$E$35&lt;1,0,IFERROR(INDEX($C$4094:$N$4094,1,J4070-Assumptions!$E$35)/INDEX($C$4095:$N$4095,1,J4070-Assumptions!$E$35),0))</f>
        <v>0.369814985820121</v>
      </c>
      <c r="K4105" s="51" t="n">
        <f aca="false">IF(K4070-Assumptions!$E$35&lt;1,0,IFERROR(INDEX($C$4094:$N$4094,1,K4070-Assumptions!$E$35)/INDEX($C$4095:$N$4095,1,K4070-Assumptions!$E$35),0))</f>
        <v>0.322373116929804</v>
      </c>
      <c r="L4105" s="51" t="n">
        <f aca="false">IF(L4070-Assumptions!$E$35&lt;1,0,IFERROR(INDEX($C$4094:$N$4094,1,L4070-Assumptions!$E$35)/INDEX($C$4095:$N$4095,1,L4070-Assumptions!$E$35),0))</f>
        <v>0.355878708785104</v>
      </c>
      <c r="M4105" s="51" t="n">
        <f aca="false">IF(M4070-Assumptions!$E$35&lt;1,0,IFERROR(INDEX($C$4094:$N$4094,1,M4070-Assumptions!$E$35)/INDEX($C$4095:$N$4095,1,M4070-Assumptions!$E$35),0))</f>
        <v>0.365794393859588</v>
      </c>
      <c r="N4105" s="51" t="n">
        <f aca="false">IF(N4070-Assumptions!$E$35&lt;1,0,IFERROR(INDEX($C$4094:$N$4094,1,N4070-Assumptions!$E$35)/INDEX($C$4095:$N$4095,1,N4070-Assumptions!$E$35),0))</f>
        <v>0.375531557601389</v>
      </c>
      <c r="P4105" s="52"/>
      <c r="Q4105" s="52"/>
      <c r="R4105" s="52"/>
      <c r="S4105" s="53"/>
    </row>
    <row r="4106" customFormat="false" ht="15" hidden="false" customHeight="false" outlineLevel="0" collapsed="false">
      <c r="A4106" s="4" t="s">
        <v>520</v>
      </c>
      <c r="B4106" s="36" t="s">
        <v>516</v>
      </c>
      <c r="C4106" s="48" t="n">
        <f aca="false">C4102*Assumptions!$E$37</f>
        <v>0</v>
      </c>
      <c r="D4106" s="48" t="n">
        <f aca="false">D4102*Assumptions!$E$37</f>
        <v>0.277480719105739</v>
      </c>
      <c r="E4106" s="48" t="n">
        <f aca="false">E4102*Assumptions!$E$37</f>
        <v>0.480646686193705</v>
      </c>
      <c r="F4106" s="48" t="n">
        <f aca="false">F4102*Assumptions!$E$37</f>
        <v>0.526717794504971</v>
      </c>
      <c r="G4106" s="48" t="n">
        <f aca="false">G4102*Assumptions!$E$37</f>
        <v>0.573733663272087</v>
      </c>
      <c r="H4106" s="48" t="n">
        <f aca="false">H4102*Assumptions!$E$37</f>
        <v>0.741107838251755</v>
      </c>
      <c r="I4106" s="48" t="n">
        <f aca="false">I4102*Assumptions!$E$37</f>
        <v>0.898297076773574</v>
      </c>
      <c r="J4106" s="48" t="n">
        <f aca="false">J4102*Assumptions!$E$37</f>
        <v>1.34418227023441</v>
      </c>
      <c r="K4106" s="48" t="n">
        <f aca="false">K4102*Assumptions!$E$37</f>
        <v>1.75194937662327</v>
      </c>
      <c r="L4106" s="48" t="n">
        <f aca="false">L4102*Assumptions!$E$37</f>
        <v>1.76333917303616</v>
      </c>
      <c r="M4106" s="48" t="n">
        <f aca="false">M4102*Assumptions!$E$37</f>
        <v>1.71553987317582</v>
      </c>
      <c r="N4106" s="48" t="n">
        <f aca="false">N4102*Assumptions!$E$37</f>
        <v>1.6710576124641</v>
      </c>
      <c r="P4106" s="49" t="n">
        <f aca="false">SUM(C4106:F4106)</f>
        <v>1.28484519980441</v>
      </c>
      <c r="Q4106" s="49" t="n">
        <f aca="false">SUM(G4106:J4106)</f>
        <v>3.55732084853183</v>
      </c>
      <c r="R4106" s="49" t="n">
        <f aca="false">SUM(K4106:N4106)</f>
        <v>6.90188603529935</v>
      </c>
      <c r="S4106" s="50" t="n">
        <f aca="false">SUM(P4106:R4106)</f>
        <v>11.7440520836356</v>
      </c>
    </row>
    <row r="4107" customFormat="false" ht="15" hidden="false" customHeight="false" outlineLevel="0" collapsed="false">
      <c r="A4107" s="4" t="s">
        <v>521</v>
      </c>
      <c r="B4107" s="36" t="s">
        <v>516</v>
      </c>
      <c r="C4107" s="48" t="n">
        <f aca="false">C4102*(1-Assumptions!$E$37)</f>
        <v>0</v>
      </c>
      <c r="D4107" s="48" t="n">
        <f aca="false">D4102*(1-Assumptions!$E$37)</f>
        <v>0.647455011246724</v>
      </c>
      <c r="E4107" s="48" t="n">
        <f aca="false">E4102*(1-Assumptions!$E$37)</f>
        <v>1.12150893445198</v>
      </c>
      <c r="F4107" s="48" t="n">
        <f aca="false">F4102*(1-Assumptions!$E$37)</f>
        <v>1.22900818717827</v>
      </c>
      <c r="G4107" s="48" t="n">
        <f aca="false">G4102*(1-Assumptions!$E$37)</f>
        <v>1.3387118809682</v>
      </c>
      <c r="H4107" s="48" t="n">
        <f aca="false">H4102*(1-Assumptions!$E$37)</f>
        <v>1.72925162258743</v>
      </c>
      <c r="I4107" s="48" t="n">
        <f aca="false">I4102*(1-Assumptions!$E$37)</f>
        <v>2.09602651247167</v>
      </c>
      <c r="J4107" s="48" t="n">
        <f aca="false">J4102*(1-Assumptions!$E$37)</f>
        <v>3.13642529721363</v>
      </c>
      <c r="K4107" s="48" t="n">
        <f aca="false">K4102*(1-Assumptions!$E$37)</f>
        <v>4.08788187878764</v>
      </c>
      <c r="L4107" s="48" t="n">
        <f aca="false">L4102*(1-Assumptions!$E$37)</f>
        <v>4.11445807041771</v>
      </c>
      <c r="M4107" s="48" t="n">
        <f aca="false">M4102*(1-Assumptions!$E$37)</f>
        <v>4.00292637074357</v>
      </c>
      <c r="N4107" s="48" t="n">
        <f aca="false">N4102*(1-Assumptions!$E$37)</f>
        <v>3.8991344290829</v>
      </c>
      <c r="P4107" s="49" t="n">
        <f aca="false">SUM(C4107:F4107)</f>
        <v>2.99797213287697</v>
      </c>
      <c r="Q4107" s="49" t="n">
        <f aca="false">SUM(G4107:J4107)</f>
        <v>8.30041531324094</v>
      </c>
      <c r="R4107" s="49" t="n">
        <f aca="false">SUM(K4107:N4107)</f>
        <v>16.1044007490318</v>
      </c>
      <c r="S4107" s="50" t="n">
        <f aca="false">SUM(P4107:R4107)</f>
        <v>27.4027881951497</v>
      </c>
    </row>
    <row r="4108" customFormat="false" ht="15" hidden="false" customHeight="false" outlineLevel="0" collapsed="false">
      <c r="A4108" s="4" t="s">
        <v>522</v>
      </c>
      <c r="B4108" s="36" t="s">
        <v>125</v>
      </c>
      <c r="C4108" s="54" t="n">
        <f aca="false">C4107*$C$4061+C4103*$C$4062+C4104*$C$4063</f>
        <v>0</v>
      </c>
      <c r="D4108" s="54" t="n">
        <f aca="false">D4107*$C$4061+D4103*$C$4062+D4104*$C$4063</f>
        <v>7991.32373468496</v>
      </c>
      <c r="E4108" s="54" t="n">
        <f aca="false">E4107*$C$4061+E4103*$C$4062+E4104*$C$4063</f>
        <v>18543.3250591952</v>
      </c>
      <c r="F4108" s="54" t="n">
        <f aca="false">F4107*$C$4061+F4103*$C$4062+F4104*$C$4063</f>
        <v>23312.0674848175</v>
      </c>
      <c r="G4108" s="54" t="n">
        <f aca="false">G4107*$C$4061+G4103*$C$4062+G4104*$C$4063</f>
        <v>25446.6127818459</v>
      </c>
      <c r="H4108" s="54" t="n">
        <f aca="false">H4107*$C$4061+H4103*$C$4062+H4104*$C$4063</f>
        <v>30824.9515085156</v>
      </c>
      <c r="I4108" s="54" t="n">
        <f aca="false">I4107*$C$4061+I4103*$C$4062+I4104*$C$4063</f>
        <v>36925.9233471628</v>
      </c>
      <c r="J4108" s="54" t="n">
        <f aca="false">J4107*$C$4061+J4103*$C$4062+J4104*$C$4063</f>
        <v>49987.582607465</v>
      </c>
      <c r="K4108" s="54" t="n">
        <f aca="false">K4107*$C$4061+K4103*$C$4062+K4104*$C$4063</f>
        <v>65021.0377679523</v>
      </c>
      <c r="L4108" s="54" t="n">
        <f aca="false">L4107*$C$4061+L4103*$C$4062+L4104*$C$4063</f>
        <v>69642.5795269587</v>
      </c>
      <c r="M4108" s="54" t="n">
        <f aca="false">M4107*$C$4061+M4103*$C$4062+M4104*$C$4063</f>
        <v>68497.3835200826</v>
      </c>
      <c r="N4108" s="54" t="n">
        <f aca="false">N4107*$C$4061+N4103*$C$4062+N4104*$C$4063</f>
        <v>66695.1095705958</v>
      </c>
      <c r="P4108" s="55" t="n">
        <f aca="false">SUM(C4108:F4108)</f>
        <v>49846.7162786976</v>
      </c>
      <c r="Q4108" s="55" t="n">
        <f aca="false">SUM(G4108:J4108)</f>
        <v>143185.070244989</v>
      </c>
      <c r="R4108" s="55" t="n">
        <f aca="false">SUM(K4108:N4108)</f>
        <v>269856.110385589</v>
      </c>
      <c r="S4108" s="56" t="n">
        <f aca="false">SUM(P4108:R4108)</f>
        <v>462887.896909276</v>
      </c>
    </row>
    <row r="4109" customFormat="false" ht="15" hidden="false" customHeight="false" outlineLevel="0" collapsed="false">
      <c r="A4109" s="4" t="s">
        <v>523</v>
      </c>
      <c r="B4109" s="36" t="s">
        <v>125</v>
      </c>
      <c r="C4109" s="54" t="n">
        <f aca="false">(C4085+Assumptions!$D$104*C4071)*$C$4066</f>
        <v>306250</v>
      </c>
      <c r="D4109" s="54" t="n">
        <f aca="false">(D4085+Assumptions!$D$104*D4071)*$C$4066</f>
        <v>306250</v>
      </c>
      <c r="E4109" s="54" t="n">
        <f aca="false">(E4085+Assumptions!$D$104*E4071)*$C$4066</f>
        <v>306250</v>
      </c>
      <c r="F4109" s="54" t="n">
        <f aca="false">(F4085+Assumptions!$D$104*F4071)*$C$4066</f>
        <v>306250</v>
      </c>
      <c r="G4109" s="54" t="n">
        <f aca="false">(G4085+Assumptions!$D$104*G4071)*$C$4066</f>
        <v>306250</v>
      </c>
      <c r="H4109" s="54" t="n">
        <f aca="false">(H4085+Assumptions!$D$104*H4071)*$C$4066</f>
        <v>306250</v>
      </c>
      <c r="I4109" s="54" t="n">
        <f aca="false">(I4085+Assumptions!$D$104*I4071)*$C$4066</f>
        <v>306250</v>
      </c>
      <c r="J4109" s="54" t="n">
        <f aca="false">(J4085+Assumptions!$D$104*J4071)*$C$4066</f>
        <v>306250</v>
      </c>
      <c r="K4109" s="54" t="n">
        <f aca="false">(K4085+Assumptions!$D$104*K4071)*$C$4066</f>
        <v>306250</v>
      </c>
      <c r="L4109" s="54" t="n">
        <f aca="false">(L4085+Assumptions!$D$104*L4071)*$C$4066</f>
        <v>306250</v>
      </c>
      <c r="M4109" s="54" t="n">
        <f aca="false">(M4085+Assumptions!$D$104*M4071)*$C$4066</f>
        <v>306250</v>
      </c>
      <c r="N4109" s="54" t="n">
        <f aca="false">(N4085+Assumptions!$D$104*N4071)*$C$4066</f>
        <v>306250</v>
      </c>
      <c r="P4109" s="55" t="n">
        <f aca="false">SUM(C4109:F4109)</f>
        <v>1225000</v>
      </c>
      <c r="Q4109" s="55" t="n">
        <f aca="false">SUM(G4109:J4109)</f>
        <v>1225000</v>
      </c>
      <c r="R4109" s="55" t="n">
        <f aca="false">SUM(K4109:N4109)</f>
        <v>1225000</v>
      </c>
      <c r="S4109" s="56" t="n">
        <f aca="false">SUM(P4109:R4109)</f>
        <v>3675000</v>
      </c>
    </row>
    <row r="4110" customFormat="false" ht="15" hidden="false" customHeight="false" outlineLevel="0" collapsed="false">
      <c r="A4110" s="4" t="s">
        <v>524</v>
      </c>
      <c r="B4110" s="36" t="s">
        <v>77</v>
      </c>
      <c r="C4110" s="51" t="n">
        <f aca="false">IF(C4108&gt;0,MIN(1,C4109/C4108),1)</f>
        <v>1</v>
      </c>
      <c r="D4110" s="51" t="n">
        <f aca="false">IF(D4108&gt;0,MIN(1,D4109/D4108),1)</f>
        <v>1</v>
      </c>
      <c r="E4110" s="51" t="n">
        <f aca="false">IF(E4108&gt;0,MIN(1,E4109/E4108),1)</f>
        <v>1</v>
      </c>
      <c r="F4110" s="51" t="n">
        <f aca="false">IF(F4108&gt;0,MIN(1,F4109/F4108),1)</f>
        <v>1</v>
      </c>
      <c r="G4110" s="51" t="n">
        <f aca="false">IF(G4108&gt;0,MIN(1,G4109/G4108),1)</f>
        <v>1</v>
      </c>
      <c r="H4110" s="51" t="n">
        <f aca="false">IF(H4108&gt;0,MIN(1,H4109/H4108),1)</f>
        <v>1</v>
      </c>
      <c r="I4110" s="51" t="n">
        <f aca="false">IF(I4108&gt;0,MIN(1,I4109/I4108),1)</f>
        <v>1</v>
      </c>
      <c r="J4110" s="51" t="n">
        <f aca="false">IF(J4108&gt;0,MIN(1,J4109/J4108),1)</f>
        <v>1</v>
      </c>
      <c r="K4110" s="51" t="n">
        <f aca="false">IF(K4108&gt;0,MIN(1,K4109/K4108),1)</f>
        <v>1</v>
      </c>
      <c r="L4110" s="51" t="n">
        <f aca="false">IF(L4108&gt;0,MIN(1,L4109/L4108),1)</f>
        <v>1</v>
      </c>
      <c r="M4110" s="51" t="n">
        <f aca="false">IF(M4108&gt;0,MIN(1,M4109/M4108),1)</f>
        <v>1</v>
      </c>
      <c r="N4110" s="51" t="n">
        <f aca="false">IF(N4108&gt;0,MIN(1,N4109/N4108),1)</f>
        <v>1</v>
      </c>
      <c r="P4110" s="52"/>
      <c r="Q4110" s="52"/>
      <c r="R4110" s="52"/>
      <c r="S4110" s="53"/>
    </row>
    <row r="4111" customFormat="false" ht="15" hidden="false" customHeight="false" outlineLevel="0" collapsed="false">
      <c r="A4111" s="4" t="s">
        <v>525</v>
      </c>
      <c r="B4111" s="36" t="s">
        <v>125</v>
      </c>
      <c r="C4111" s="54" t="n">
        <f aca="false">C4108*(1-C4110)</f>
        <v>0</v>
      </c>
      <c r="D4111" s="54" t="n">
        <f aca="false">D4108*(1-D4110)</f>
        <v>0</v>
      </c>
      <c r="E4111" s="54" t="n">
        <f aca="false">E4108*(1-E4110)</f>
        <v>0</v>
      </c>
      <c r="F4111" s="54" t="n">
        <f aca="false">F4108*(1-F4110)</f>
        <v>0</v>
      </c>
      <c r="G4111" s="54" t="n">
        <f aca="false">G4108*(1-G4110)</f>
        <v>0</v>
      </c>
      <c r="H4111" s="54" t="n">
        <f aca="false">H4108*(1-H4110)</f>
        <v>0</v>
      </c>
      <c r="I4111" s="54" t="n">
        <f aca="false">I4108*(1-I4110)</f>
        <v>0</v>
      </c>
      <c r="J4111" s="54" t="n">
        <f aca="false">J4108*(1-J4110)</f>
        <v>0</v>
      </c>
      <c r="K4111" s="54" t="n">
        <f aca="false">K4108*(1-K4110)</f>
        <v>0</v>
      </c>
      <c r="L4111" s="54" t="n">
        <f aca="false">L4108*(1-L4110)</f>
        <v>0</v>
      </c>
      <c r="M4111" s="54" t="n">
        <f aca="false">M4108*(1-M4110)</f>
        <v>0</v>
      </c>
      <c r="N4111" s="54" t="n">
        <f aca="false">N4108*(1-N4110)</f>
        <v>0</v>
      </c>
      <c r="P4111" s="55" t="n">
        <f aca="false">SUM(C4111:F4111)</f>
        <v>0</v>
      </c>
      <c r="Q4111" s="55" t="n">
        <f aca="false">SUM(G4111:J4111)</f>
        <v>0</v>
      </c>
      <c r="R4111" s="55" t="n">
        <f aca="false">SUM(K4111:N4111)</f>
        <v>0</v>
      </c>
      <c r="S4111" s="56" t="n">
        <f aca="false">SUM(P4111:R4111)</f>
        <v>0</v>
      </c>
    </row>
    <row r="4112" customFormat="false" ht="15" hidden="false" customHeight="false" outlineLevel="0" collapsed="false">
      <c r="A4112" s="4" t="s">
        <v>526</v>
      </c>
      <c r="B4112" s="36" t="s">
        <v>527</v>
      </c>
      <c r="C4112" s="48" t="n">
        <f aca="false">C4106+C4107*C4110</f>
        <v>0</v>
      </c>
      <c r="D4112" s="48" t="n">
        <f aca="false">D4106+D4107*D4110</f>
        <v>0.924935730352462</v>
      </c>
      <c r="E4112" s="48" t="n">
        <f aca="false">E4106+E4107*E4110</f>
        <v>1.60215562064568</v>
      </c>
      <c r="F4112" s="48" t="n">
        <f aca="false">F4106+F4107*F4110</f>
        <v>1.75572598168324</v>
      </c>
      <c r="G4112" s="48" t="n">
        <f aca="false">G4106+G4107*G4110</f>
        <v>1.91244554424029</v>
      </c>
      <c r="H4112" s="48" t="n">
        <f aca="false">H4106+H4107*H4110</f>
        <v>2.47035946083918</v>
      </c>
      <c r="I4112" s="48" t="n">
        <f aca="false">I4106+I4107*I4110</f>
        <v>2.99432358924525</v>
      </c>
      <c r="J4112" s="48" t="n">
        <f aca="false">J4106+J4107*J4110</f>
        <v>4.48060756744804</v>
      </c>
      <c r="K4112" s="48" t="n">
        <f aca="false">K4106+K4107*K4110</f>
        <v>5.83983125541092</v>
      </c>
      <c r="L4112" s="48" t="n">
        <f aca="false">L4106+L4107*L4110</f>
        <v>5.87779724345387</v>
      </c>
      <c r="M4112" s="48" t="n">
        <f aca="false">M4106+M4107*M4110</f>
        <v>5.71846624391938</v>
      </c>
      <c r="N4112" s="48" t="n">
        <f aca="false">N4106+N4107*N4110</f>
        <v>5.570192041547</v>
      </c>
      <c r="P4112" s="49" t="n">
        <f aca="false">SUM(C4112:F4112)</f>
        <v>4.28281733268138</v>
      </c>
      <c r="Q4112" s="49" t="n">
        <f aca="false">SUM(G4112:J4112)</f>
        <v>11.8577361617728</v>
      </c>
      <c r="R4112" s="49" t="n">
        <f aca="false">SUM(K4112:N4112)</f>
        <v>23.0062867843312</v>
      </c>
      <c r="S4112" s="50" t="n">
        <f aca="false">SUM(P4112:R4112)</f>
        <v>39.1468402787853</v>
      </c>
    </row>
    <row r="4113" customFormat="false" ht="15" hidden="false" customHeight="false" outlineLevel="0" collapsed="false">
      <c r="A4113" s="4" t="s">
        <v>528</v>
      </c>
      <c r="B4113" s="36" t="s">
        <v>527</v>
      </c>
      <c r="C4113" s="48" t="n">
        <f aca="false">C4103*C4110</f>
        <v>0</v>
      </c>
      <c r="D4113" s="48" t="n">
        <f aca="false">D4103*D4110</f>
        <v>0.463425229230032</v>
      </c>
      <c r="E4113" s="48" t="n">
        <f aca="false">E4103*E4110</f>
        <v>0.802736137652478</v>
      </c>
      <c r="F4113" s="48" t="n">
        <f aca="false">F4103*F4110</f>
        <v>0.879680272721892</v>
      </c>
      <c r="G4113" s="48" t="n">
        <f aca="false">G4103*G4110</f>
        <v>0.958202268163842</v>
      </c>
      <c r="H4113" s="48" t="n">
        <f aca="false">H4103*H4110</f>
        <v>1.21331920236573</v>
      </c>
      <c r="I4113" s="48" t="n">
        <f aca="false">I4103*I4110</f>
        <v>1.45352346245477</v>
      </c>
      <c r="J4113" s="48" t="n">
        <f aca="false">J4103*J4110</f>
        <v>2.04577644662755</v>
      </c>
      <c r="K4113" s="48" t="n">
        <f aca="false">K4103*K4110</f>
        <v>2.59665483420623</v>
      </c>
      <c r="L4113" s="48" t="n">
        <f aca="false">L4103*L4110</f>
        <v>2.61353624088999</v>
      </c>
      <c r="M4113" s="48" t="n">
        <f aca="false">M4103*M4110</f>
        <v>2.5426904249605</v>
      </c>
      <c r="N4113" s="48" t="n">
        <f aca="false">N4103*N4110</f>
        <v>2.47676096440946</v>
      </c>
      <c r="P4113" s="49" t="n">
        <f aca="false">SUM(C4113:F4113)</f>
        <v>2.1458416396044</v>
      </c>
      <c r="Q4113" s="49" t="n">
        <f aca="false">SUM(G4113:J4113)</f>
        <v>5.67082137961189</v>
      </c>
      <c r="R4113" s="49" t="n">
        <f aca="false">SUM(K4113:N4113)</f>
        <v>10.2296424644662</v>
      </c>
      <c r="S4113" s="50" t="n">
        <f aca="false">SUM(P4113:R4113)</f>
        <v>18.0463054836825</v>
      </c>
    </row>
    <row r="4114" customFormat="false" ht="15" hidden="false" customHeight="false" outlineLevel="0" collapsed="false">
      <c r="A4114" s="4" t="s">
        <v>529</v>
      </c>
      <c r="B4114" s="36" t="s">
        <v>527</v>
      </c>
      <c r="C4114" s="48" t="n">
        <f aca="false">C4104*C4110</f>
        <v>0</v>
      </c>
      <c r="D4114" s="48" t="n">
        <f aca="false">D4104*D4110</f>
        <v>0</v>
      </c>
      <c r="E4114" s="48" t="n">
        <f aca="false">E4104*E4110</f>
        <v>0.0760932783797459</v>
      </c>
      <c r="F4114" s="48" t="n">
        <f aca="false">F4104*F4110</f>
        <v>0.131807291737999</v>
      </c>
      <c r="G4114" s="48" t="n">
        <f aca="false">G4104*G4110</f>
        <v>0.144441328730878</v>
      </c>
      <c r="H4114" s="48" t="n">
        <f aca="false">H4104*H4110</f>
        <v>0.157334446500977</v>
      </c>
      <c r="I4114" s="48" t="n">
        <f aca="false">I4104*I4110</f>
        <v>0.186341170802127</v>
      </c>
      <c r="J4114" s="48" t="n">
        <f aca="false">J4104*J4110</f>
        <v>0.214005852959209</v>
      </c>
      <c r="K4114" s="48" t="n">
        <f aca="false">K4104*K4110</f>
        <v>0.287834166973822</v>
      </c>
      <c r="L4114" s="48" t="n">
        <f aca="false">L4104*L4110</f>
        <v>0.357671521910118</v>
      </c>
      <c r="M4114" s="48" t="n">
        <f aca="false">M4104*M4110</f>
        <v>0.359996820729594</v>
      </c>
      <c r="N4114" s="48" t="n">
        <f aca="false">N4104*N4110</f>
        <v>0.35023829199845</v>
      </c>
      <c r="P4114" s="49" t="n">
        <f aca="false">SUM(C4114:F4114)</f>
        <v>0.207900570117745</v>
      </c>
      <c r="Q4114" s="49" t="n">
        <f aca="false">SUM(G4114:J4114)</f>
        <v>0.70212279899319</v>
      </c>
      <c r="R4114" s="49" t="n">
        <f aca="false">SUM(K4114:N4114)</f>
        <v>1.35574080161198</v>
      </c>
      <c r="S4114" s="50" t="n">
        <f aca="false">SUM(P4114:R4114)</f>
        <v>2.26576417072292</v>
      </c>
    </row>
    <row r="4115" customFormat="false" ht="15" hidden="false" customHeight="false" outlineLevel="0" collapsed="false">
      <c r="A4115" s="9" t="s">
        <v>530</v>
      </c>
      <c r="B4115" s="36" t="s">
        <v>527</v>
      </c>
      <c r="C4115" s="49" t="n">
        <f aca="false">C4112+C4113+C4114</f>
        <v>0</v>
      </c>
      <c r="D4115" s="49" t="n">
        <f aca="false">D4112+D4113+D4114</f>
        <v>1.38836095958249</v>
      </c>
      <c r="E4115" s="49" t="n">
        <f aca="false">E4112+E4113+E4114</f>
        <v>2.48098503667791</v>
      </c>
      <c r="F4115" s="49" t="n">
        <f aca="false">F4112+F4113+F4114</f>
        <v>2.76721354614313</v>
      </c>
      <c r="G4115" s="49" t="n">
        <f aca="false">G4112+G4113+G4114</f>
        <v>3.01508914113501</v>
      </c>
      <c r="H4115" s="49" t="n">
        <f aca="false">H4112+H4113+H4114</f>
        <v>3.84101310970589</v>
      </c>
      <c r="I4115" s="49" t="n">
        <f aca="false">I4112+I4113+I4114</f>
        <v>4.63418822250215</v>
      </c>
      <c r="J4115" s="49" t="n">
        <f aca="false">J4112+J4113+J4114</f>
        <v>6.7403898670348</v>
      </c>
      <c r="K4115" s="49" t="n">
        <f aca="false">K4112+K4113+K4114</f>
        <v>8.72432025659096</v>
      </c>
      <c r="L4115" s="49" t="n">
        <f aca="false">L4112+L4113+L4114</f>
        <v>8.84900500625398</v>
      </c>
      <c r="M4115" s="49" t="n">
        <f aca="false">M4112+M4113+M4114</f>
        <v>8.62115348960948</v>
      </c>
      <c r="N4115" s="49" t="n">
        <f aca="false">N4112+N4113+N4114</f>
        <v>8.39719129795491</v>
      </c>
      <c r="P4115" s="49" t="n">
        <f aca="false">SUM(C4115:F4115)</f>
        <v>6.63655954240353</v>
      </c>
      <c r="Q4115" s="49" t="n">
        <f aca="false">SUM(G4115:J4115)</f>
        <v>18.2306803403779</v>
      </c>
      <c r="R4115" s="49" t="n">
        <f aca="false">SUM(K4115:N4115)</f>
        <v>34.5916700504093</v>
      </c>
      <c r="S4115" s="50" t="n">
        <f aca="false">SUM(P4115:R4115)</f>
        <v>59.4589099331907</v>
      </c>
    </row>
    <row r="4116" customFormat="false" ht="15" hidden="false" customHeight="false" outlineLevel="0" collapsed="false">
      <c r="A4116" s="35" t="s">
        <v>533</v>
      </c>
      <c r="B4116" s="35" t="s">
        <v>444</v>
      </c>
      <c r="C4116" s="6" t="s">
        <v>354</v>
      </c>
      <c r="D4116" s="6" t="s">
        <v>355</v>
      </c>
      <c r="E4116" s="6" t="s">
        <v>356</v>
      </c>
      <c r="F4116" s="6" t="s">
        <v>357</v>
      </c>
      <c r="G4116" s="6" t="s">
        <v>358</v>
      </c>
      <c r="H4116" s="6" t="s">
        <v>359</v>
      </c>
      <c r="I4116" s="6" t="s">
        <v>360</v>
      </c>
      <c r="J4116" s="6" t="s">
        <v>361</v>
      </c>
      <c r="K4116" s="6" t="s">
        <v>362</v>
      </c>
      <c r="L4116" s="6" t="s">
        <v>363</v>
      </c>
      <c r="M4116" s="6" t="s">
        <v>364</v>
      </c>
      <c r="N4116" s="6" t="s">
        <v>365</v>
      </c>
      <c r="P4116" s="6" t="s">
        <v>445</v>
      </c>
      <c r="Q4116" s="6" t="s">
        <v>446</v>
      </c>
      <c r="R4116" s="6" t="s">
        <v>447</v>
      </c>
      <c r="S4116" s="6" t="s">
        <v>448</v>
      </c>
    </row>
    <row r="4117" customFormat="false" ht="15" hidden="false" customHeight="false" outlineLevel="0" collapsed="false">
      <c r="A4117" s="4" t="s">
        <v>534</v>
      </c>
      <c r="B4117" s="36" t="s">
        <v>527</v>
      </c>
      <c r="C4117" s="48" t="n">
        <f aca="false">0*Assumptions!$E$59^(1/4)+C4112</f>
        <v>0</v>
      </c>
      <c r="D4117" s="48" t="n">
        <f aca="false">C4117*Assumptions!$E$59^(1/4)+D4112</f>
        <v>0.924935730352462</v>
      </c>
      <c r="E4117" s="48" t="n">
        <f aca="false">D4117*Assumptions!$E$59^(1/4)+E4112</f>
        <v>2.49799928098412</v>
      </c>
      <c r="F4117" s="48" t="n">
        <f aca="false">E4117*Assumptions!$E$59^(1/4)+F4112</f>
        <v>4.17515551171864</v>
      </c>
      <c r="G4117" s="48" t="n">
        <f aca="false">F4117*Assumptions!$E$59^(1/4)+G4112</f>
        <v>5.95627958952573</v>
      </c>
      <c r="H4117" s="48" t="n">
        <f aca="false">G4117*Assumptions!$E$59^(1/4)+H4112</f>
        <v>8.23929576027972</v>
      </c>
      <c r="I4117" s="48" t="n">
        <f aca="false">H4117*Assumptions!$E$59^(1/4)+I4112</f>
        <v>10.9744681877108</v>
      </c>
      <c r="J4117" s="48" t="n">
        <f aca="false">I4117*Assumptions!$E$59^(1/4)+J4112</f>
        <v>15.109895018372</v>
      </c>
      <c r="K4117" s="48" t="n">
        <f aca="false">J4117*Assumptions!$E$59^(1/4)+K4112</f>
        <v>20.474473659624</v>
      </c>
      <c r="L4117" s="48" t="n">
        <f aca="false">K4117*Assumptions!$E$59^(1/4)+L4112</f>
        <v>25.7082858112931</v>
      </c>
      <c r="M4117" s="48" t="n">
        <f aca="false">L4117*Assumptions!$E$59^(1/4)+M4112</f>
        <v>30.6181474935986</v>
      </c>
      <c r="N4117" s="48" t="n">
        <f aca="false">M4117*Assumptions!$E$59^(1/4)+N4112</f>
        <v>35.2253047411021</v>
      </c>
      <c r="P4117" s="49" t="n">
        <f aca="false">F4117</f>
        <v>4.17515551171864</v>
      </c>
      <c r="Q4117" s="49" t="n">
        <f aca="false">J4117</f>
        <v>15.109895018372</v>
      </c>
      <c r="R4117" s="49" t="n">
        <f aca="false">N4117</f>
        <v>35.2253047411021</v>
      </c>
      <c r="S4117" s="50" t="n">
        <f aca="false">R4117</f>
        <v>35.2253047411021</v>
      </c>
    </row>
    <row r="4118" customFormat="false" ht="15" hidden="false" customHeight="false" outlineLevel="0" collapsed="false">
      <c r="A4118" s="4" t="s">
        <v>535</v>
      </c>
      <c r="B4118" s="36" t="s">
        <v>527</v>
      </c>
      <c r="C4118" s="48" t="n">
        <f aca="false">0*Assumptions!$E$60^(1/4)+C4113</f>
        <v>0</v>
      </c>
      <c r="D4118" s="48" t="n">
        <f aca="false">C4118*Assumptions!$E$60^(1/4)+D4113</f>
        <v>0.463425229230032</v>
      </c>
      <c r="E4118" s="48" t="n">
        <f aca="false">D4118*Assumptions!$E$60^(1/4)+E4113</f>
        <v>1.25411404711053</v>
      </c>
      <c r="F4118" s="48" t="n">
        <f aca="false">E4118*Assumptions!$E$60^(1/4)+F4113</f>
        <v>2.10119205305214</v>
      </c>
      <c r="G4118" s="48" t="n">
        <f aca="false">F4118*Assumptions!$E$60^(1/4)+G4113</f>
        <v>3.00477119979569</v>
      </c>
      <c r="H4118" s="48" t="n">
        <f aca="false">G4118*Assumptions!$E$60^(1/4)+H4113</f>
        <v>4.13997760811756</v>
      </c>
      <c r="I4118" s="48" t="n">
        <f aca="false">H4118*Assumptions!$E$60^(1/4)+I4113</f>
        <v>5.48587716287812</v>
      </c>
      <c r="J4118" s="48" t="n">
        <f aca="false">I4118*Assumptions!$E$60^(1/4)+J4113</f>
        <v>7.38904135569981</v>
      </c>
      <c r="K4118" s="48" t="n">
        <f aca="false">J4118*Assumptions!$E$60^(1/4)+K4113</f>
        <v>9.7936087971493</v>
      </c>
      <c r="L4118" s="48" t="n">
        <f aca="false">K4118*Assumptions!$E$60^(1/4)+L4113</f>
        <v>12.1525479003371</v>
      </c>
      <c r="M4118" s="48" t="n">
        <f aca="false">L4118*Assumptions!$E$60^(1/4)+M4113</f>
        <v>14.3793176085018</v>
      </c>
      <c r="N4118" s="48" t="n">
        <f aca="false">M4118*Assumptions!$E$60^(1/4)+N4113</f>
        <v>16.4822701861294</v>
      </c>
      <c r="P4118" s="49" t="n">
        <f aca="false">F4118</f>
        <v>2.10119205305214</v>
      </c>
      <c r="Q4118" s="49" t="n">
        <f aca="false">J4118</f>
        <v>7.38904135569981</v>
      </c>
      <c r="R4118" s="49" t="n">
        <f aca="false">N4118</f>
        <v>16.4822701861294</v>
      </c>
      <c r="S4118" s="50" t="n">
        <f aca="false">R4118</f>
        <v>16.4822701861294</v>
      </c>
    </row>
    <row r="4119" customFormat="false" ht="15" hidden="false" customHeight="false" outlineLevel="0" collapsed="false">
      <c r="A4119" s="4" t="s">
        <v>536</v>
      </c>
      <c r="B4119" s="36" t="s">
        <v>527</v>
      </c>
      <c r="C4119" s="48" t="n">
        <f aca="false">0*Assumptions!$E$61^(1/4)+C4114</f>
        <v>0</v>
      </c>
      <c r="D4119" s="48" t="n">
        <f aca="false">C4119*Assumptions!$E$61^(1/4)+D4114</f>
        <v>0</v>
      </c>
      <c r="E4119" s="48" t="n">
        <f aca="false">D4119*Assumptions!$E$61^(1/4)+E4114</f>
        <v>0.0760932783797459</v>
      </c>
      <c r="F4119" s="48" t="n">
        <f aca="false">E4119*Assumptions!$E$61^(1/4)+F4114</f>
        <v>0.206330793279978</v>
      </c>
      <c r="G4119" s="48" t="n">
        <f aca="false">F4119*Assumptions!$E$61^(1/4)+G4114</f>
        <v>0.346515592300144</v>
      </c>
      <c r="H4119" s="48" t="n">
        <f aca="false">G4119*Assumptions!$E$61^(1/4)+H4114</f>
        <v>0.496701547340374</v>
      </c>
      <c r="I4119" s="48" t="n">
        <f aca="false">H4119*Assumptions!$E$61^(1/4)+I4114</f>
        <v>0.6727959446968</v>
      </c>
      <c r="J4119" s="48" t="n">
        <f aca="false">I4119*Assumptions!$E$61^(1/4)+J4114</f>
        <v>0.872922260422013</v>
      </c>
      <c r="K4119" s="48" t="n">
        <f aca="false">J4119*Assumptions!$E$61^(1/4)+K4114</f>
        <v>1.14274835658118</v>
      </c>
      <c r="L4119" s="48" t="n">
        <f aca="false">K4119*Assumptions!$E$61^(1/4)+L4114</f>
        <v>1.47684539281065</v>
      </c>
      <c r="M4119" s="48" t="n">
        <f aca="false">L4119*Assumptions!$E$61^(1/4)+M4114</f>
        <v>1.80637542672331</v>
      </c>
      <c r="N4119" s="48" t="n">
        <f aca="false">M4119*Assumptions!$E$61^(1/4)+N4114</f>
        <v>2.11934884637614</v>
      </c>
      <c r="P4119" s="49" t="n">
        <f aca="false">F4119</f>
        <v>0.206330793279978</v>
      </c>
      <c r="Q4119" s="49" t="n">
        <f aca="false">J4119</f>
        <v>0.872922260422013</v>
      </c>
      <c r="R4119" s="49" t="n">
        <f aca="false">N4119</f>
        <v>2.11934884637614</v>
      </c>
      <c r="S4119" s="50" t="n">
        <f aca="false">R4119</f>
        <v>2.11934884637614</v>
      </c>
    </row>
    <row r="4120" customFormat="false" ht="15" hidden="false" customHeight="false" outlineLevel="0" collapsed="false">
      <c r="A4120" s="9" t="s">
        <v>537</v>
      </c>
      <c r="B4120" s="36" t="s">
        <v>527</v>
      </c>
      <c r="C4120" s="49" t="n">
        <f aca="false">C4117+C4118+C4119</f>
        <v>0</v>
      </c>
      <c r="D4120" s="49" t="n">
        <f aca="false">D4117+D4118+D4119</f>
        <v>1.38836095958249</v>
      </c>
      <c r="E4120" s="49" t="n">
        <f aca="false">E4117+E4118+E4119</f>
        <v>3.8282066064744</v>
      </c>
      <c r="F4120" s="49" t="n">
        <f aca="false">F4117+F4118+F4119</f>
        <v>6.48267835805075</v>
      </c>
      <c r="G4120" s="49" t="n">
        <f aca="false">G4117+G4118+G4119</f>
        <v>9.30756638162156</v>
      </c>
      <c r="H4120" s="49" t="n">
        <f aca="false">H4117+H4118+H4119</f>
        <v>12.8759749157377</v>
      </c>
      <c r="I4120" s="49" t="n">
        <f aca="false">I4117+I4118+I4119</f>
        <v>17.1331412952857</v>
      </c>
      <c r="J4120" s="49" t="n">
        <f aca="false">J4117+J4118+J4119</f>
        <v>23.3718586344938</v>
      </c>
      <c r="K4120" s="49" t="n">
        <f aca="false">K4117+K4118+K4119</f>
        <v>31.4108308133544</v>
      </c>
      <c r="L4120" s="49" t="n">
        <f aca="false">L4117+L4118+L4119</f>
        <v>39.3376791044409</v>
      </c>
      <c r="M4120" s="49" t="n">
        <f aca="false">M4117+M4118+M4119</f>
        <v>46.8038405288237</v>
      </c>
      <c r="N4120" s="49" t="n">
        <f aca="false">N4117+N4118+N4119</f>
        <v>53.8269237736077</v>
      </c>
      <c r="P4120" s="49" t="n">
        <f aca="false">F4120</f>
        <v>6.48267835805075</v>
      </c>
      <c r="Q4120" s="49" t="n">
        <f aca="false">J4120</f>
        <v>23.3718586344938</v>
      </c>
      <c r="R4120" s="49" t="n">
        <f aca="false">N4120</f>
        <v>53.8269237736077</v>
      </c>
      <c r="S4120" s="50" t="n">
        <f aca="false">R4120</f>
        <v>53.8269237736077</v>
      </c>
    </row>
    <row r="4121" customFormat="false" ht="15" hidden="false" customHeight="false" outlineLevel="0" collapsed="false">
      <c r="A4121" s="4" t="s">
        <v>538</v>
      </c>
      <c r="B4121" s="36" t="s">
        <v>125</v>
      </c>
      <c r="C4121" s="54" t="n">
        <f aca="false">0*Assumptions!$E$62^(1/4)+C4112*$C$4061</f>
        <v>0</v>
      </c>
      <c r="D4121" s="54" t="n">
        <f aca="false">C4121*Assumptions!$E$62^(1/4)+D4112*$C$4061</f>
        <v>4950.25602884638</v>
      </c>
      <c r="E4121" s="54" t="n">
        <f aca="false">D4121*Assumptions!$E$62^(1/4)+E4112*$C$4061</f>
        <v>13524.9929105421</v>
      </c>
      <c r="F4121" s="54" t="n">
        <f aca="false">E4121*Assumptions!$E$62^(1/4)+F4112*$C$4061</f>
        <v>22921.6383645108</v>
      </c>
      <c r="G4121" s="54" t="n">
        <f aca="false">F4121*Assumptions!$E$62^(1/4)+G4112*$C$4061</f>
        <v>33157.0469172848</v>
      </c>
      <c r="H4121" s="54" t="n">
        <f aca="false">G4121*Assumptions!$E$62^(1/4)+H4112*$C$4061</f>
        <v>46378.4107516961</v>
      </c>
      <c r="I4121" s="54" t="n">
        <f aca="false">H4121*Assumptions!$E$62^(1/4)+I4112*$C$4061</f>
        <v>62404.0306013367</v>
      </c>
      <c r="J4121" s="54" t="n">
        <f aca="false">I4121*Assumptions!$E$62^(1/4)+J4112*$C$4061</f>
        <v>86384.2423023186</v>
      </c>
      <c r="K4121" s="54" t="n">
        <f aca="false">J4121*Assumptions!$E$62^(1/4)+K4112*$C$4061</f>
        <v>117639.019181278</v>
      </c>
      <c r="L4121" s="54" t="n">
        <f aca="false">K4121*Assumptions!$E$62^(1/4)+L4112*$C$4061</f>
        <v>149096.990028243</v>
      </c>
      <c r="M4121" s="54" t="n">
        <f aca="false">L4121*Assumptions!$E$62^(1/4)+M4112*$C$4061</f>
        <v>179702.2213657</v>
      </c>
      <c r="N4121" s="54" t="n">
        <f aca="false">M4121*Assumptions!$E$62^(1/4)+N4112*$C$4061</f>
        <v>209513.889172059</v>
      </c>
      <c r="P4121" s="55" t="n">
        <f aca="false">F4121</f>
        <v>22921.6383645108</v>
      </c>
      <c r="Q4121" s="55" t="n">
        <f aca="false">J4121</f>
        <v>86384.2423023186</v>
      </c>
      <c r="R4121" s="55" t="n">
        <f aca="false">N4121</f>
        <v>209513.889172059</v>
      </c>
      <c r="S4121" s="56" t="n">
        <f aca="false">R4121</f>
        <v>209513.889172059</v>
      </c>
    </row>
    <row r="4122" customFormat="false" ht="15" hidden="false" customHeight="false" outlineLevel="0" collapsed="false">
      <c r="A4122" s="4" t="s">
        <v>539</v>
      </c>
      <c r="B4122" s="36" t="s">
        <v>125</v>
      </c>
      <c r="C4122" s="54" t="n">
        <f aca="false">0*Assumptions!$E$63^(1/4)+C4113*$C$4062</f>
        <v>0</v>
      </c>
      <c r="D4122" s="54" t="n">
        <f aca="false">C4122*Assumptions!$E$63^(1/4)+D4113*$C$4062</f>
        <v>4526.1445144925</v>
      </c>
      <c r="E4122" s="54" t="n">
        <f aca="false">D4122*Assumptions!$E$63^(1/4)+E4113*$C$4062</f>
        <v>12432.6596565224</v>
      </c>
      <c r="F4122" s="54" t="n">
        <f aca="false">E4122*Assumptions!$E$63^(1/4)+F4113*$C$4062</f>
        <v>21206.6856182486</v>
      </c>
      <c r="G4122" s="54" t="n">
        <f aca="false">F4122*Assumptions!$E$63^(1/4)+G4113*$C$4062</f>
        <v>30876.3626406496</v>
      </c>
      <c r="H4122" s="54" t="n">
        <f aca="false">G4122*Assumptions!$E$63^(1/4)+H4113*$C$4062</f>
        <v>43179.586712633</v>
      </c>
      <c r="I4122" s="54" t="n">
        <f aca="false">H4122*Assumptions!$E$63^(1/4)+I4113*$C$4062</f>
        <v>58009.3541840509</v>
      </c>
      <c r="J4122" s="54" t="n">
        <f aca="false">I4122*Assumptions!$E$63^(1/4)+J4113*$C$4062</f>
        <v>78841.1005238951</v>
      </c>
      <c r="K4122" s="54" t="n">
        <f aca="false">J4122*Assumptions!$E$63^(1/4)+K4113*$C$4062</f>
        <v>105358.803741414</v>
      </c>
      <c r="L4122" s="54" t="n">
        <f aca="false">K4122*Assumptions!$E$63^(1/4)+L4113*$C$4062</f>
        <v>132430.499631153</v>
      </c>
      <c r="M4122" s="54" t="n">
        <f aca="false">L4122*Assumptions!$E$63^(1/4)+M4113*$C$4062</f>
        <v>159207.510165426</v>
      </c>
      <c r="N4122" s="54" t="n">
        <f aca="false">M4122*Assumptions!$E$63^(1/4)+N4113*$C$4062</f>
        <v>185733.527843694</v>
      </c>
      <c r="P4122" s="55" t="n">
        <f aca="false">F4122</f>
        <v>21206.6856182486</v>
      </c>
      <c r="Q4122" s="55" t="n">
        <f aca="false">J4122</f>
        <v>78841.1005238951</v>
      </c>
      <c r="R4122" s="55" t="n">
        <f aca="false">N4122</f>
        <v>185733.527843694</v>
      </c>
      <c r="S4122" s="56" t="n">
        <f aca="false">R4122</f>
        <v>185733.527843694</v>
      </c>
    </row>
    <row r="4123" customFormat="false" ht="15" hidden="false" customHeight="false" outlineLevel="0" collapsed="false">
      <c r="A4123" s="4" t="s">
        <v>540</v>
      </c>
      <c r="B4123" s="36" t="s">
        <v>125</v>
      </c>
      <c r="C4123" s="54" t="n">
        <f aca="false">0*Assumptions!$E$64^(1/4)+C4114*$C$4063</f>
        <v>0</v>
      </c>
      <c r="D4123" s="54" t="n">
        <f aca="false">C4123*Assumptions!$E$64^(1/4)+D4114*$C$4063</f>
        <v>0</v>
      </c>
      <c r="E4123" s="54" t="n">
        <f aca="false">D4123*Assumptions!$E$64^(1/4)+E4114*$C$4063</f>
        <v>4700.91004832101</v>
      </c>
      <c r="F4123" s="54" t="n">
        <f aca="false">E4123*Assumptions!$E$64^(1/4)+F4114*$C$4063</f>
        <v>13010.8900072747</v>
      </c>
      <c r="G4123" s="54" t="n">
        <f aca="false">F4123*Assumptions!$E$64^(1/4)+G4114*$C$4063</f>
        <v>22396.8656424382</v>
      </c>
      <c r="H4123" s="54" t="n">
        <f aca="false">G4123*Assumptions!$E$64^(1/4)+H4114*$C$4063</f>
        <v>32913.102848846</v>
      </c>
      <c r="I4123" s="54" t="n">
        <f aca="false">H4123*Assumptions!$E$64^(1/4)+I4114*$C$4063</f>
        <v>45595.2620666288</v>
      </c>
      <c r="J4123" s="54" t="n">
        <f aca="false">I4123*Assumptions!$E$64^(1/4)+J4114*$C$4063</f>
        <v>60437.4502925838</v>
      </c>
      <c r="K4123" s="54" t="n">
        <f aca="false">J4123*Assumptions!$E$64^(1/4)+K4114*$C$4063</f>
        <v>80368.3826799979</v>
      </c>
      <c r="L4123" s="54" t="n">
        <f aca="false">K4123*Assumptions!$E$64^(1/4)+L4114*$C$4063</f>
        <v>105322.450689746</v>
      </c>
      <c r="M4123" s="54" t="n">
        <f aca="false">L4123*Assumptions!$E$64^(1/4)+M4114*$C$4063</f>
        <v>131307.490261075</v>
      </c>
      <c r="N4123" s="54" t="n">
        <f aca="false">M4123*Assumptions!$E$64^(1/4)+N4114*$C$4063</f>
        <v>157613.642964944</v>
      </c>
      <c r="P4123" s="55" t="n">
        <f aca="false">F4123</f>
        <v>13010.8900072747</v>
      </c>
      <c r="Q4123" s="55" t="n">
        <f aca="false">J4123</f>
        <v>60437.4502925838</v>
      </c>
      <c r="R4123" s="55" t="n">
        <f aca="false">N4123</f>
        <v>157613.642964944</v>
      </c>
      <c r="S4123" s="56" t="n">
        <f aca="false">R4123</f>
        <v>157613.642964944</v>
      </c>
    </row>
    <row r="4124" customFormat="false" ht="15" hidden="false" customHeight="false" outlineLevel="0" collapsed="false">
      <c r="A4124" s="9" t="s">
        <v>541</v>
      </c>
      <c r="B4124" s="36" t="s">
        <v>125</v>
      </c>
      <c r="C4124" s="55" t="n">
        <f aca="false">C4121+C4122+C4123</f>
        <v>0</v>
      </c>
      <c r="D4124" s="55" t="n">
        <f aca="false">D4121+D4122+D4123</f>
        <v>9476.40054333887</v>
      </c>
      <c r="E4124" s="55" t="n">
        <f aca="false">E4121+E4122+E4123</f>
        <v>30658.5626153855</v>
      </c>
      <c r="F4124" s="55" t="n">
        <f aca="false">F4121+F4122+F4123</f>
        <v>57139.213990034</v>
      </c>
      <c r="G4124" s="55" t="n">
        <f aca="false">G4121+G4122+G4123</f>
        <v>86430.2752003726</v>
      </c>
      <c r="H4124" s="55" t="n">
        <f aca="false">H4121+H4122+H4123</f>
        <v>122471.100313175</v>
      </c>
      <c r="I4124" s="55" t="n">
        <f aca="false">I4121+I4122+I4123</f>
        <v>166008.646852016</v>
      </c>
      <c r="J4124" s="55" t="n">
        <f aca="false">J4121+J4122+J4123</f>
        <v>225662.793118797</v>
      </c>
      <c r="K4124" s="55" t="n">
        <f aca="false">K4121+K4122+K4123</f>
        <v>303366.20560269</v>
      </c>
      <c r="L4124" s="55" t="n">
        <f aca="false">L4121+L4122+L4123</f>
        <v>386849.940349142</v>
      </c>
      <c r="M4124" s="55" t="n">
        <f aca="false">M4121+M4122+M4123</f>
        <v>470217.2217922</v>
      </c>
      <c r="N4124" s="55" t="n">
        <f aca="false">N4121+N4122+N4123</f>
        <v>552861.059980696</v>
      </c>
      <c r="P4124" s="55" t="n">
        <f aca="false">F4124</f>
        <v>57139.213990034</v>
      </c>
      <c r="Q4124" s="55" t="n">
        <f aca="false">J4124</f>
        <v>225662.793118797</v>
      </c>
      <c r="R4124" s="55" t="n">
        <f aca="false">N4124</f>
        <v>552861.059980696</v>
      </c>
      <c r="S4124" s="56" t="n">
        <f aca="false">R4124</f>
        <v>552861.059980696</v>
      </c>
    </row>
    <row r="4125" customFormat="false" ht="15" hidden="false" customHeight="false" outlineLevel="0" collapsed="false">
      <c r="A4125" s="4" t="s">
        <v>542</v>
      </c>
      <c r="B4125" s="36" t="s">
        <v>125</v>
      </c>
      <c r="C4125" s="54" t="n">
        <f aca="false">C4112*$C$4061+C4113*$C$4062+C4114*$C$4063</f>
        <v>0</v>
      </c>
      <c r="D4125" s="54" t="n">
        <f aca="false">D4112*$C$4061+D4113*$C$4062+D4114*$C$4063</f>
        <v>9476.40054333887</v>
      </c>
      <c r="E4125" s="54" t="n">
        <f aca="false">E4112*$C$4061+E4113*$C$4062+E4114*$C$4063</f>
        <v>21115.7461237039</v>
      </c>
      <c r="F4125" s="54" t="n">
        <f aca="false">F4112*$C$4061+F4113*$C$4062+F4114*$C$4063</f>
        <v>26131.0611210081</v>
      </c>
      <c r="G4125" s="54" t="n">
        <f aca="false">G4112*$C$4061+G4113*$C$4062+G4114*$C$4063</f>
        <v>28517.2353476781</v>
      </c>
      <c r="H4125" s="54" t="n">
        <f aca="false">H4112*$C$4061+H4113*$C$4062+H4114*$C$4063</f>
        <v>34791.360658839</v>
      </c>
      <c r="I4125" s="54" t="n">
        <f aca="false">I4112*$C$4061+I4113*$C$4062+I4114*$C$4063</f>
        <v>41733.609302055</v>
      </c>
      <c r="J4125" s="54" t="n">
        <f aca="false">J4112*$C$4061+J4113*$C$4062+J4114*$C$4063</f>
        <v>57181.6461177596</v>
      </c>
      <c r="K4125" s="54" t="n">
        <f aca="false">K4112*$C$4061+K4113*$C$4062+K4114*$C$4063</f>
        <v>74397.47083164</v>
      </c>
      <c r="L4125" s="54" t="n">
        <f aca="false">L4112*$C$4061+L4113*$C$4062+L4114*$C$4063</f>
        <v>79079.9707810482</v>
      </c>
      <c r="M4125" s="54" t="n">
        <f aca="false">M4112*$C$4061+M4113*$C$4062+M4114*$C$4063</f>
        <v>77678.9529213196</v>
      </c>
      <c r="N4125" s="54" t="n">
        <f aca="false">N4112*$C$4061+N4113*$C$4062+N4114*$C$4063</f>
        <v>75638.6099125036</v>
      </c>
      <c r="P4125" s="55" t="n">
        <f aca="false">SUM(C4125:F4125)</f>
        <v>56723.2077880509</v>
      </c>
      <c r="Q4125" s="55" t="n">
        <f aca="false">SUM(G4125:J4125)</f>
        <v>162223.851426332</v>
      </c>
      <c r="R4125" s="55" t="n">
        <f aca="false">SUM(K4125:N4125)</f>
        <v>306795.004446511</v>
      </c>
      <c r="S4125" s="56" t="n">
        <f aca="false">SUM(P4125:R4125)</f>
        <v>525742.063660894</v>
      </c>
    </row>
    <row r="4126" customFormat="false" ht="15" hidden="false" customHeight="false" outlineLevel="0" collapsed="false">
      <c r="A4126" s="9" t="s">
        <v>543</v>
      </c>
      <c r="B4126" s="36" t="s">
        <v>125</v>
      </c>
      <c r="C4126" s="55" t="n">
        <f aca="false">(0+C4124)/8</f>
        <v>0</v>
      </c>
      <c r="D4126" s="55" t="n">
        <f aca="false">(C4124+D4124)/8</f>
        <v>1184.55006791736</v>
      </c>
      <c r="E4126" s="55" t="n">
        <f aca="false">(D4124+E4124)/8</f>
        <v>5016.87039484055</v>
      </c>
      <c r="F4126" s="55" t="n">
        <f aca="false">(E4124+F4124)/8</f>
        <v>10974.7220756774</v>
      </c>
      <c r="G4126" s="55" t="n">
        <f aca="false">(F4124+G4124)/8</f>
        <v>17946.1861488008</v>
      </c>
      <c r="H4126" s="55" t="n">
        <f aca="false">(G4124+H4124)/8</f>
        <v>26112.6719391935</v>
      </c>
      <c r="I4126" s="55" t="n">
        <f aca="false">(H4124+I4124)/8</f>
        <v>36059.9683956489</v>
      </c>
      <c r="J4126" s="55" t="n">
        <f aca="false">(I4124+J4124)/8</f>
        <v>48958.9299963517</v>
      </c>
      <c r="K4126" s="55" t="n">
        <f aca="false">(J4124+K4124)/8</f>
        <v>66128.6248401859</v>
      </c>
      <c r="L4126" s="55" t="n">
        <f aca="false">(K4124+L4124)/8</f>
        <v>86277.0182439789</v>
      </c>
      <c r="M4126" s="55" t="n">
        <f aca="false">(L4124+M4124)/8</f>
        <v>107133.395267668</v>
      </c>
      <c r="N4126" s="55" t="n">
        <f aca="false">(M4124+N4124)/8</f>
        <v>127884.785221612</v>
      </c>
      <c r="P4126" s="55" t="n">
        <f aca="false">SUM(C4126:F4126)</f>
        <v>17176.1425384354</v>
      </c>
      <c r="Q4126" s="55" t="n">
        <f aca="false">SUM(G4126:J4126)</f>
        <v>129077.756479995</v>
      </c>
      <c r="R4126" s="55" t="n">
        <f aca="false">SUM(K4126:N4126)</f>
        <v>387423.823573445</v>
      </c>
      <c r="S4126" s="56" t="n">
        <f aca="false">SUM(P4126:R4126)</f>
        <v>533677.722591875</v>
      </c>
    </row>
    <row r="4127" customFormat="false" ht="15" hidden="false" customHeight="false" outlineLevel="0" collapsed="false">
      <c r="A4127" s="4" t="s">
        <v>544</v>
      </c>
      <c r="B4127" s="36" t="s">
        <v>125</v>
      </c>
      <c r="C4127" s="54" t="n">
        <f aca="false">C4126*Assumptions!$E$76</f>
        <v>0</v>
      </c>
      <c r="D4127" s="54" t="n">
        <f aca="false">D4126*Assumptions!$E$76</f>
        <v>769.957544146284</v>
      </c>
      <c r="E4127" s="54" t="n">
        <f aca="false">E4126*Assumptions!$E$76</f>
        <v>3260.96575664636</v>
      </c>
      <c r="F4127" s="54" t="n">
        <f aca="false">F4126*Assumptions!$E$76</f>
        <v>7133.56934919034</v>
      </c>
      <c r="G4127" s="54" t="n">
        <f aca="false">G4126*Assumptions!$E$76</f>
        <v>11665.0209967205</v>
      </c>
      <c r="H4127" s="54" t="n">
        <f aca="false">H4126*Assumptions!$E$76</f>
        <v>16973.2367604757</v>
      </c>
      <c r="I4127" s="54" t="n">
        <f aca="false">I4126*Assumptions!$E$76</f>
        <v>23438.9794571718</v>
      </c>
      <c r="J4127" s="54" t="n">
        <f aca="false">J4126*Assumptions!$E$76</f>
        <v>31823.3044976286</v>
      </c>
      <c r="K4127" s="54" t="n">
        <f aca="false">K4126*Assumptions!$E$76</f>
        <v>42983.6061461208</v>
      </c>
      <c r="L4127" s="54" t="n">
        <f aca="false">L4126*Assumptions!$E$76</f>
        <v>56080.0618585863</v>
      </c>
      <c r="M4127" s="54" t="n">
        <f aca="false">M4126*Assumptions!$E$76</f>
        <v>69636.706923984</v>
      </c>
      <c r="N4127" s="54" t="n">
        <f aca="false">N4126*Assumptions!$E$76</f>
        <v>83125.1103940478</v>
      </c>
      <c r="P4127" s="55" t="n">
        <f aca="false">SUM(C4127:F4127)</f>
        <v>11164.492649983</v>
      </c>
      <c r="Q4127" s="55" t="n">
        <f aca="false">SUM(G4127:J4127)</f>
        <v>83900.5417119967</v>
      </c>
      <c r="R4127" s="55" t="n">
        <f aca="false">SUM(K4127:N4127)</f>
        <v>251825.485322739</v>
      </c>
      <c r="S4127" s="56" t="n">
        <f aca="false">SUM(P4127:R4127)</f>
        <v>346890.519684719</v>
      </c>
    </row>
    <row r="4128" customFormat="false" ht="15" hidden="false" customHeight="false" outlineLevel="0" collapsed="false">
      <c r="A4128" s="35" t="s">
        <v>547</v>
      </c>
      <c r="B4128" s="35" t="s">
        <v>444</v>
      </c>
      <c r="C4128" s="6" t="s">
        <v>354</v>
      </c>
      <c r="D4128" s="6" t="s">
        <v>355</v>
      </c>
      <c r="E4128" s="6" t="s">
        <v>356</v>
      </c>
      <c r="F4128" s="6" t="s">
        <v>357</v>
      </c>
      <c r="G4128" s="6" t="s">
        <v>358</v>
      </c>
      <c r="H4128" s="6" t="s">
        <v>359</v>
      </c>
      <c r="I4128" s="6" t="s">
        <v>360</v>
      </c>
      <c r="J4128" s="6" t="s">
        <v>361</v>
      </c>
      <c r="K4128" s="6" t="s">
        <v>362</v>
      </c>
      <c r="L4128" s="6" t="s">
        <v>363</v>
      </c>
      <c r="M4128" s="6" t="s">
        <v>364</v>
      </c>
      <c r="N4128" s="6" t="s">
        <v>365</v>
      </c>
      <c r="P4128" s="6" t="s">
        <v>445</v>
      </c>
      <c r="Q4128" s="6" t="s">
        <v>446</v>
      </c>
      <c r="R4128" s="6" t="s">
        <v>447</v>
      </c>
      <c r="S4128" s="6" t="s">
        <v>448</v>
      </c>
    </row>
    <row r="4129" customFormat="false" ht="15" hidden="false" customHeight="false" outlineLevel="0" collapsed="false">
      <c r="A4129" s="4" t="s">
        <v>548</v>
      </c>
      <c r="B4129" s="36" t="s">
        <v>321</v>
      </c>
      <c r="C4129" s="48" t="n">
        <f aca="false">Assumptions!$D$97*C4071</f>
        <v>1</v>
      </c>
      <c r="D4129" s="48" t="n">
        <f aca="false">Assumptions!$D$97*D4071</f>
        <v>1</v>
      </c>
      <c r="E4129" s="48" t="n">
        <f aca="false">Assumptions!$D$97*E4071</f>
        <v>1</v>
      </c>
      <c r="F4129" s="48" t="n">
        <f aca="false">Assumptions!$D$97*F4071</f>
        <v>1</v>
      </c>
      <c r="G4129" s="48" t="n">
        <f aca="false">Assumptions!$D$97*G4071</f>
        <v>1</v>
      </c>
      <c r="H4129" s="48" t="n">
        <f aca="false">Assumptions!$D$97*H4071</f>
        <v>1</v>
      </c>
      <c r="I4129" s="48" t="n">
        <f aca="false">Assumptions!$D$97*I4071</f>
        <v>1</v>
      </c>
      <c r="J4129" s="48" t="n">
        <f aca="false">Assumptions!$D$97*J4071</f>
        <v>1</v>
      </c>
      <c r="K4129" s="48" t="n">
        <f aca="false">Assumptions!$D$97*K4071</f>
        <v>1</v>
      </c>
      <c r="L4129" s="48" t="n">
        <f aca="false">Assumptions!$D$97*L4071</f>
        <v>1</v>
      </c>
      <c r="M4129" s="48" t="n">
        <f aca="false">Assumptions!$D$97*M4071</f>
        <v>1</v>
      </c>
      <c r="N4129" s="48" t="n">
        <f aca="false">Assumptions!$D$97*N4071</f>
        <v>1</v>
      </c>
      <c r="P4129" s="49" t="n">
        <f aca="false">AVERAGE(C4129:F4129)</f>
        <v>1</v>
      </c>
      <c r="Q4129" s="49" t="n">
        <f aca="false">AVERAGE(G4129:J4129)</f>
        <v>1</v>
      </c>
      <c r="R4129" s="49" t="n">
        <f aca="false">AVERAGE(K4129:N4129)</f>
        <v>1</v>
      </c>
      <c r="S4129" s="50"/>
    </row>
    <row r="4130" customFormat="false" ht="15" hidden="false" customHeight="false" outlineLevel="0" collapsed="false">
      <c r="A4130" s="4" t="s">
        <v>549</v>
      </c>
      <c r="B4130" s="36" t="s">
        <v>321</v>
      </c>
      <c r="C4130" s="48" t="n">
        <f aca="false">C4084*C4071</f>
        <v>0</v>
      </c>
      <c r="D4130" s="48" t="n">
        <f aca="false">D4084*D4071</f>
        <v>0</v>
      </c>
      <c r="E4130" s="48" t="n">
        <f aca="false">E4084*E4071</f>
        <v>0</v>
      </c>
      <c r="F4130" s="48" t="n">
        <f aca="false">F4084*F4071</f>
        <v>0</v>
      </c>
      <c r="G4130" s="48" t="n">
        <f aca="false">G4084*G4071</f>
        <v>0</v>
      </c>
      <c r="H4130" s="48" t="n">
        <f aca="false">H4084*H4071</f>
        <v>0</v>
      </c>
      <c r="I4130" s="48" t="n">
        <f aca="false">I4084*I4071</f>
        <v>0</v>
      </c>
      <c r="J4130" s="48" t="n">
        <f aca="false">J4084*J4071</f>
        <v>0</v>
      </c>
      <c r="K4130" s="48" t="n">
        <f aca="false">K4084*K4071</f>
        <v>0</v>
      </c>
      <c r="L4130" s="48" t="n">
        <f aca="false">L4084*L4071</f>
        <v>0</v>
      </c>
      <c r="M4130" s="48" t="n">
        <f aca="false">M4084*M4071</f>
        <v>0</v>
      </c>
      <c r="N4130" s="48" t="n">
        <f aca="false">N4084*N4071</f>
        <v>0</v>
      </c>
      <c r="P4130" s="49" t="n">
        <f aca="false">AVERAGE(C4130:F4130)</f>
        <v>0</v>
      </c>
      <c r="Q4130" s="49" t="n">
        <f aca="false">AVERAGE(G4130:J4130)</f>
        <v>0</v>
      </c>
      <c r="R4130" s="49" t="n">
        <f aca="false">AVERAGE(K4130:N4130)</f>
        <v>0</v>
      </c>
      <c r="S4130" s="50"/>
    </row>
    <row r="4131" customFormat="false" ht="15" hidden="false" customHeight="false" outlineLevel="0" collapsed="false">
      <c r="A4131" s="4" t="s">
        <v>550</v>
      </c>
      <c r="B4131" s="36" t="s">
        <v>321</v>
      </c>
      <c r="C4131" s="48" t="n">
        <f aca="false">IF(C4070&lt;=4,Assumptions!$D$98,Assumptions!$D$99)*C4071</f>
        <v>0</v>
      </c>
      <c r="D4131" s="48" t="n">
        <f aca="false">IF(D4070&lt;=4,Assumptions!$D$98,Assumptions!$D$99)*D4071</f>
        <v>0</v>
      </c>
      <c r="E4131" s="48" t="n">
        <f aca="false">IF(E4070&lt;=4,Assumptions!$D$98,Assumptions!$D$99)*E4071</f>
        <v>0</v>
      </c>
      <c r="F4131" s="48" t="n">
        <f aca="false">IF(F4070&lt;=4,Assumptions!$D$98,Assumptions!$D$99)*F4071</f>
        <v>0</v>
      </c>
      <c r="G4131" s="48" t="n">
        <f aca="false">IF(G4070&lt;=4,Assumptions!$D$98,Assumptions!$D$99)*G4071</f>
        <v>0.5</v>
      </c>
      <c r="H4131" s="48" t="n">
        <f aca="false">IF(H4070&lt;=4,Assumptions!$D$98,Assumptions!$D$99)*H4071</f>
        <v>0.5</v>
      </c>
      <c r="I4131" s="48" t="n">
        <f aca="false">IF(I4070&lt;=4,Assumptions!$D$98,Assumptions!$D$99)*I4071</f>
        <v>0.5</v>
      </c>
      <c r="J4131" s="48" t="n">
        <f aca="false">IF(J4070&lt;=4,Assumptions!$D$98,Assumptions!$D$99)*J4071</f>
        <v>0.5</v>
      </c>
      <c r="K4131" s="48" t="n">
        <f aca="false">IF(K4070&lt;=4,Assumptions!$D$98,Assumptions!$D$99)*K4071</f>
        <v>0.5</v>
      </c>
      <c r="L4131" s="48" t="n">
        <f aca="false">IF(L4070&lt;=4,Assumptions!$D$98,Assumptions!$D$99)*L4071</f>
        <v>0.5</v>
      </c>
      <c r="M4131" s="48" t="n">
        <f aca="false">IF(M4070&lt;=4,Assumptions!$D$98,Assumptions!$D$99)*M4071</f>
        <v>0.5</v>
      </c>
      <c r="N4131" s="48" t="n">
        <f aca="false">IF(N4070&lt;=4,Assumptions!$D$98,Assumptions!$D$99)*N4071</f>
        <v>0.5</v>
      </c>
      <c r="P4131" s="49" t="n">
        <f aca="false">AVERAGE(C4131:F4131)</f>
        <v>0</v>
      </c>
      <c r="Q4131" s="49" t="n">
        <f aca="false">AVERAGE(G4131:J4131)</f>
        <v>0.5</v>
      </c>
      <c r="R4131" s="49" t="n">
        <f aca="false">AVERAGE(K4131:N4131)</f>
        <v>0.5</v>
      </c>
      <c r="S4131" s="50"/>
    </row>
    <row r="4132" customFormat="false" ht="15" hidden="false" customHeight="false" outlineLevel="0" collapsed="false">
      <c r="A4132" s="4" t="s">
        <v>551</v>
      </c>
      <c r="B4132" s="36" t="s">
        <v>321</v>
      </c>
      <c r="C4132" s="48" t="n">
        <f aca="false">IF(C4070&lt;=4,Assumptions!$D$100,Assumptions!$D$101)*C4071</f>
        <v>1</v>
      </c>
      <c r="D4132" s="48" t="n">
        <f aca="false">IF(D4070&lt;=4,Assumptions!$D$100,Assumptions!$D$101)*D4071</f>
        <v>1</v>
      </c>
      <c r="E4132" s="48" t="n">
        <f aca="false">IF(E4070&lt;=4,Assumptions!$D$100,Assumptions!$D$101)*E4071</f>
        <v>1</v>
      </c>
      <c r="F4132" s="48" t="n">
        <f aca="false">IF(F4070&lt;=4,Assumptions!$D$100,Assumptions!$D$101)*F4071</f>
        <v>1</v>
      </c>
      <c r="G4132" s="48" t="n">
        <f aca="false">IF(G4070&lt;=4,Assumptions!$D$100,Assumptions!$D$101)*G4071</f>
        <v>0.5</v>
      </c>
      <c r="H4132" s="48" t="n">
        <f aca="false">IF(H4070&lt;=4,Assumptions!$D$100,Assumptions!$D$101)*H4071</f>
        <v>0.5</v>
      </c>
      <c r="I4132" s="48" t="n">
        <f aca="false">IF(I4070&lt;=4,Assumptions!$D$100,Assumptions!$D$101)*I4071</f>
        <v>0.5</v>
      </c>
      <c r="J4132" s="48" t="n">
        <f aca="false">IF(J4070&lt;=4,Assumptions!$D$100,Assumptions!$D$101)*J4071</f>
        <v>0.5</v>
      </c>
      <c r="K4132" s="48" t="n">
        <f aca="false">IF(K4070&lt;=4,Assumptions!$D$100,Assumptions!$D$101)*K4071</f>
        <v>0.5</v>
      </c>
      <c r="L4132" s="48" t="n">
        <f aca="false">IF(L4070&lt;=4,Assumptions!$D$100,Assumptions!$D$101)*L4071</f>
        <v>0.5</v>
      </c>
      <c r="M4132" s="48" t="n">
        <f aca="false">IF(M4070&lt;=4,Assumptions!$D$100,Assumptions!$D$101)*M4071</f>
        <v>0.5</v>
      </c>
      <c r="N4132" s="48" t="n">
        <f aca="false">IF(N4070&lt;=4,Assumptions!$D$100,Assumptions!$D$101)*N4071</f>
        <v>0.5</v>
      </c>
      <c r="P4132" s="49" t="n">
        <f aca="false">AVERAGE(C4132:F4132)</f>
        <v>1</v>
      </c>
      <c r="Q4132" s="49" t="n">
        <f aca="false">AVERAGE(G4132:J4132)</f>
        <v>0.5</v>
      </c>
      <c r="R4132" s="49" t="n">
        <f aca="false">AVERAGE(K4132:N4132)</f>
        <v>0.5</v>
      </c>
      <c r="S4132" s="50"/>
    </row>
    <row r="4133" customFormat="false" ht="15" hidden="false" customHeight="false" outlineLevel="0" collapsed="false">
      <c r="A4133" s="4" t="s">
        <v>552</v>
      </c>
      <c r="B4133" s="36" t="s">
        <v>321</v>
      </c>
      <c r="C4133" s="48" t="n">
        <f aca="false">Assumptions!$D$102*C4071</f>
        <v>0.25</v>
      </c>
      <c r="D4133" s="48" t="n">
        <f aca="false">Assumptions!$D$102*D4071</f>
        <v>0.25</v>
      </c>
      <c r="E4133" s="48" t="n">
        <f aca="false">Assumptions!$D$102*E4071</f>
        <v>0.25</v>
      </c>
      <c r="F4133" s="48" t="n">
        <f aca="false">Assumptions!$D$102*F4071</f>
        <v>0.25</v>
      </c>
      <c r="G4133" s="48" t="n">
        <f aca="false">Assumptions!$D$102*G4071</f>
        <v>0.25</v>
      </c>
      <c r="H4133" s="48" t="n">
        <f aca="false">Assumptions!$D$102*H4071</f>
        <v>0.25</v>
      </c>
      <c r="I4133" s="48" t="n">
        <f aca="false">Assumptions!$D$102*I4071</f>
        <v>0.25</v>
      </c>
      <c r="J4133" s="48" t="n">
        <f aca="false">Assumptions!$D$102*J4071</f>
        <v>0.25</v>
      </c>
      <c r="K4133" s="48" t="n">
        <f aca="false">Assumptions!$D$102*K4071</f>
        <v>0.25</v>
      </c>
      <c r="L4133" s="48" t="n">
        <f aca="false">Assumptions!$D$102*L4071</f>
        <v>0.25</v>
      </c>
      <c r="M4133" s="48" t="n">
        <f aca="false">Assumptions!$D$102*M4071</f>
        <v>0.25</v>
      </c>
      <c r="N4133" s="48" t="n">
        <f aca="false">Assumptions!$D$102*N4071</f>
        <v>0.25</v>
      </c>
      <c r="P4133" s="49" t="n">
        <f aca="false">AVERAGE(C4133:F4133)</f>
        <v>0.25</v>
      </c>
      <c r="Q4133" s="49" t="n">
        <f aca="false">AVERAGE(G4133:J4133)</f>
        <v>0.25</v>
      </c>
      <c r="R4133" s="49" t="n">
        <f aca="false">AVERAGE(K4133:N4133)</f>
        <v>0.25</v>
      </c>
      <c r="S4133" s="50"/>
    </row>
    <row r="4134" customFormat="false" ht="15" hidden="false" customHeight="false" outlineLevel="0" collapsed="false">
      <c r="A4134" s="4" t="s">
        <v>553</v>
      </c>
      <c r="B4134" s="36" t="s">
        <v>321</v>
      </c>
      <c r="C4134" s="48" t="n">
        <f aca="false">(C4118+C4119)/Assumptions!$E$74+C4117/Assumptions!$E$75</f>
        <v>0</v>
      </c>
      <c r="D4134" s="48" t="n">
        <f aca="false">(D4118+D4119)/Assumptions!$E$74+D4117/Assumptions!$E$75</f>
        <v>0.0152853736521606</v>
      </c>
      <c r="E4134" s="48" t="n">
        <f aca="false">(E4118+E4119)/Assumptions!$E$74+E4117/Assumptions!$E$75</f>
        <v>0.0432471802611934</v>
      </c>
      <c r="F4134" s="48" t="n">
        <f aca="false">(F4118+F4119)/Assumptions!$E$74+F4117/Assumptions!$E$75</f>
        <v>0.0743886932051775</v>
      </c>
      <c r="G4134" s="48" t="n">
        <f aca="false">(G4118+G4119)/Assumptions!$E$74+G4117/Assumptions!$E$75</f>
        <v>0.107607288160499</v>
      </c>
      <c r="H4134" s="48" t="n">
        <f aca="false">(H4118+H4119)/Assumptions!$E$74+H4117/Assumptions!$E$75</f>
        <v>0.148874161927567</v>
      </c>
      <c r="I4134" s="48" t="n">
        <f aca="false">(I4118+I4119)/Assumptions!$E$74+I4117/Assumptions!$E$75</f>
        <v>0.197864700440216</v>
      </c>
      <c r="J4134" s="48" t="n">
        <f aca="false">(J4118+J4119)/Assumptions!$E$74+J4117/Assumptions!$E$75</f>
        <v>0.266988670476534</v>
      </c>
      <c r="K4134" s="48" t="n">
        <f aca="false">(K4118+K4119)/Assumptions!$E$74+K4117/Assumptions!$E$75</f>
        <v>0.355306823481758</v>
      </c>
      <c r="L4134" s="48" t="n">
        <f aca="false">(L4118+L4119)/Assumptions!$E$74+L4117/Assumptions!$E$75</f>
        <v>0.443567975573867</v>
      </c>
      <c r="M4134" s="48" t="n">
        <f aca="false">(M4118+M4119)/Assumptions!$E$74+M4117/Assumptions!$E$75</f>
        <v>0.527114915855021</v>
      </c>
      <c r="N4134" s="48" t="n">
        <f aca="false">(N4118+N4119)/Assumptions!$E$74+N4117/Assumptions!$E$75</f>
        <v>0.605941694777047</v>
      </c>
      <c r="P4134" s="49" t="n">
        <f aca="false">AVERAGE(C4134:F4134)</f>
        <v>0.0332303117796329</v>
      </c>
      <c r="Q4134" s="49" t="n">
        <f aca="false">AVERAGE(G4134:J4134)</f>
        <v>0.180333705251204</v>
      </c>
      <c r="R4134" s="49" t="n">
        <f aca="false">AVERAGE(K4134:N4134)</f>
        <v>0.482982852421923</v>
      </c>
      <c r="S4134" s="50"/>
    </row>
    <row r="4135" customFormat="false" ht="15" hidden="false" customHeight="false" outlineLevel="0" collapsed="false">
      <c r="A4135" s="4" t="s">
        <v>554</v>
      </c>
      <c r="B4135" s="36" t="s">
        <v>125</v>
      </c>
      <c r="C4135" s="54" t="n">
        <f aca="false">(C4129+C4131)*Assumptions!$E$70/Assumptions!$E$69/4</f>
        <v>66753.5714285714</v>
      </c>
      <c r="D4135" s="54" t="n">
        <f aca="false">(D4129+D4131)*Assumptions!$E$70/Assumptions!$E$69/4</f>
        <v>66753.5714285714</v>
      </c>
      <c r="E4135" s="54" t="n">
        <f aca="false">(E4129+E4131)*Assumptions!$E$70/Assumptions!$E$69/4</f>
        <v>66753.5714285714</v>
      </c>
      <c r="F4135" s="54" t="n">
        <f aca="false">(F4129+F4131)*Assumptions!$E$70/Assumptions!$E$69/4</f>
        <v>66753.5714285714</v>
      </c>
      <c r="G4135" s="54" t="n">
        <f aca="false">(G4129+G4131)*Assumptions!$E$70/Assumptions!$E$69/4</f>
        <v>100130.357142857</v>
      </c>
      <c r="H4135" s="54" t="n">
        <f aca="false">(H4129+H4131)*Assumptions!$E$70/Assumptions!$E$69/4</f>
        <v>100130.357142857</v>
      </c>
      <c r="I4135" s="54" t="n">
        <f aca="false">(I4129+I4131)*Assumptions!$E$70/Assumptions!$E$69/4</f>
        <v>100130.357142857</v>
      </c>
      <c r="J4135" s="54" t="n">
        <f aca="false">(J4129+J4131)*Assumptions!$E$70/Assumptions!$E$69/4</f>
        <v>100130.357142857</v>
      </c>
      <c r="K4135" s="54" t="n">
        <f aca="false">(K4129+K4131)*Assumptions!$E$70/Assumptions!$E$69/4</f>
        <v>100130.357142857</v>
      </c>
      <c r="L4135" s="54" t="n">
        <f aca="false">(L4129+L4131)*Assumptions!$E$70/Assumptions!$E$69/4</f>
        <v>100130.357142857</v>
      </c>
      <c r="M4135" s="54" t="n">
        <f aca="false">(M4129+M4131)*Assumptions!$E$70/Assumptions!$E$69/4</f>
        <v>100130.357142857</v>
      </c>
      <c r="N4135" s="54" t="n">
        <f aca="false">(N4129+N4131)*Assumptions!$E$70/Assumptions!$E$69/4</f>
        <v>100130.357142857</v>
      </c>
      <c r="P4135" s="55" t="n">
        <f aca="false">SUM(C4135:F4135)</f>
        <v>267014.285714286</v>
      </c>
      <c r="Q4135" s="55" t="n">
        <f aca="false">SUM(G4135:J4135)</f>
        <v>400521.428571429</v>
      </c>
      <c r="R4135" s="55" t="n">
        <f aca="false">SUM(K4135:N4135)</f>
        <v>400521.428571429</v>
      </c>
      <c r="S4135" s="56" t="n">
        <f aca="false">SUM(P4135:R4135)</f>
        <v>1068057.14285714</v>
      </c>
    </row>
    <row r="4136" customFormat="false" ht="15" hidden="false" customHeight="false" outlineLevel="0" collapsed="false">
      <c r="A4136" s="4" t="s">
        <v>555</v>
      </c>
      <c r="B4136" s="36" t="s">
        <v>125</v>
      </c>
      <c r="C4136" s="54" t="n">
        <f aca="false">C4130*$C$4065/4</f>
        <v>0</v>
      </c>
      <c r="D4136" s="54" t="n">
        <f aca="false">D4130*$C$4065/4</f>
        <v>0</v>
      </c>
      <c r="E4136" s="54" t="n">
        <f aca="false">E4130*$C$4065/4</f>
        <v>0</v>
      </c>
      <c r="F4136" s="54" t="n">
        <f aca="false">F4130*$C$4065/4</f>
        <v>0</v>
      </c>
      <c r="G4136" s="54" t="n">
        <f aca="false">G4130*$C$4065/4</f>
        <v>0</v>
      </c>
      <c r="H4136" s="54" t="n">
        <f aca="false">H4130*$C$4065/4</f>
        <v>0</v>
      </c>
      <c r="I4136" s="54" t="n">
        <f aca="false">I4130*$C$4065/4</f>
        <v>0</v>
      </c>
      <c r="J4136" s="54" t="n">
        <f aca="false">J4130*$C$4065/4</f>
        <v>0</v>
      </c>
      <c r="K4136" s="54" t="n">
        <f aca="false">K4130*$C$4065/4</f>
        <v>0</v>
      </c>
      <c r="L4136" s="54" t="n">
        <f aca="false">L4130*$C$4065/4</f>
        <v>0</v>
      </c>
      <c r="M4136" s="54" t="n">
        <f aca="false">M4130*$C$4065/4</f>
        <v>0</v>
      </c>
      <c r="N4136" s="54" t="n">
        <f aca="false">N4130*$C$4065/4</f>
        <v>0</v>
      </c>
      <c r="P4136" s="55" t="n">
        <f aca="false">SUM(C4136:F4136)</f>
        <v>0</v>
      </c>
      <c r="Q4136" s="55" t="n">
        <f aca="false">SUM(G4136:J4136)</f>
        <v>0</v>
      </c>
      <c r="R4136" s="55" t="n">
        <f aca="false">SUM(K4136:N4136)</f>
        <v>0</v>
      </c>
      <c r="S4136" s="56" t="n">
        <f aca="false">SUM(P4136:R4136)</f>
        <v>0</v>
      </c>
    </row>
    <row r="4137" customFormat="false" ht="15" hidden="false" customHeight="false" outlineLevel="0" collapsed="false">
      <c r="A4137" s="4" t="s">
        <v>556</v>
      </c>
      <c r="B4137" s="36" t="s">
        <v>125</v>
      </c>
      <c r="C4137" s="54" t="n">
        <f aca="false">MAX(0,(C4125-C4106*$C$4061)-C4085*$C$4066)*$C$4067*Assumptions!$D$105</f>
        <v>0</v>
      </c>
      <c r="D4137" s="54" t="n">
        <f aca="false">MAX(0,(D4125-D4106*$C$4061)-D4085*$C$4066)*$C$4067*Assumptions!$D$105</f>
        <v>3727.73118819124</v>
      </c>
      <c r="E4137" s="54" t="n">
        <f aca="false">MAX(0,(E4125-E4106*$C$4061)-E4085*$C$4066)*$C$4067*Assumptions!$D$105</f>
        <v>8649.94754947879</v>
      </c>
      <c r="F4137" s="54" t="n">
        <f aca="false">MAX(0,(F4125-F4106*$C$4061)-F4085*$C$4066)*$C$4067*Assumptions!$D$105</f>
        <v>10874.4338121598</v>
      </c>
      <c r="G4137" s="54" t="n">
        <f aca="false">MAX(0,(G4125-G4106*$C$4061)-G4085*$C$4066)*$C$4067*Assumptions!$D$105</f>
        <v>11870.1400731643</v>
      </c>
      <c r="H4137" s="54" t="n">
        <f aca="false">MAX(0,(H4125-H4106*$C$4061)-H4085*$C$4066)*$C$4067*Assumptions!$D$105</f>
        <v>14378.9861264213</v>
      </c>
      <c r="I4137" s="54" t="n">
        <f aca="false">MAX(0,(I4125-I4106*$C$4061)-I4085*$C$4066)*$C$4067*Assumptions!$D$105</f>
        <v>17224.9205117961</v>
      </c>
      <c r="J4137" s="54" t="n">
        <f aca="false">MAX(0,(J4125-J4106*$C$4061)-J4085*$C$4066)*$C$4067*Assumptions!$D$105</f>
        <v>23317.8227906542</v>
      </c>
      <c r="K4137" s="54" t="n">
        <f aca="false">MAX(0,(K4125-K4106*$C$4061)-K4085*$C$4066)*$C$4067*Assumptions!$D$105</f>
        <v>30330.5132445258</v>
      </c>
      <c r="L4137" s="54" t="n">
        <f aca="false">MAX(0,(L4125-L4106*$C$4061)-L4085*$C$4066)*$C$4067*Assumptions!$D$105</f>
        <v>32486.3344732169</v>
      </c>
      <c r="M4137" s="54" t="n">
        <f aca="false">MAX(0,(M4125-M4106*$C$4061)-M4085*$C$4066)*$C$4067*Assumptions!$D$105</f>
        <v>31952.1322542659</v>
      </c>
      <c r="N4137" s="54" t="n">
        <f aca="false">MAX(0,(N4125-N4106*$C$4061)-N4085*$C$4066)*$C$4067*Assumptions!$D$105</f>
        <v>31111.4213740388</v>
      </c>
      <c r="P4137" s="55" t="n">
        <f aca="false">SUM(C4137:F4137)</f>
        <v>23252.1125498298</v>
      </c>
      <c r="Q4137" s="55" t="n">
        <f aca="false">SUM(G4137:J4137)</f>
        <v>66791.8695020359</v>
      </c>
      <c r="R4137" s="55" t="n">
        <f aca="false">SUM(K4137:N4137)</f>
        <v>125880.401346048</v>
      </c>
      <c r="S4137" s="56" t="n">
        <f aca="false">SUM(P4137:R4137)</f>
        <v>215924.383397913</v>
      </c>
    </row>
    <row r="4138" customFormat="false" ht="15" hidden="false" customHeight="false" outlineLevel="0" collapsed="false">
      <c r="A4138" s="4" t="s">
        <v>557</v>
      </c>
      <c r="B4138" s="36" t="s">
        <v>125</v>
      </c>
      <c r="C4138" s="54" t="n">
        <f aca="false">C4133*Assumptions!$E$71/Assumptions!$E$69/4</f>
        <v>18475.8928571429</v>
      </c>
      <c r="D4138" s="54" t="n">
        <f aca="false">D4133*Assumptions!$E$71/Assumptions!$E$69/4</f>
        <v>18475.8928571429</v>
      </c>
      <c r="E4138" s="54" t="n">
        <f aca="false">E4133*Assumptions!$E$71/Assumptions!$E$69/4</f>
        <v>18475.8928571429</v>
      </c>
      <c r="F4138" s="54" t="n">
        <f aca="false">F4133*Assumptions!$E$71/Assumptions!$E$69/4</f>
        <v>18475.8928571429</v>
      </c>
      <c r="G4138" s="54" t="n">
        <f aca="false">G4133*Assumptions!$E$71/Assumptions!$E$69/4</f>
        <v>18475.8928571429</v>
      </c>
      <c r="H4138" s="54" t="n">
        <f aca="false">H4133*Assumptions!$E$71/Assumptions!$E$69/4</f>
        <v>18475.8928571429</v>
      </c>
      <c r="I4138" s="54" t="n">
        <f aca="false">I4133*Assumptions!$E$71/Assumptions!$E$69/4</f>
        <v>18475.8928571429</v>
      </c>
      <c r="J4138" s="54" t="n">
        <f aca="false">J4133*Assumptions!$E$71/Assumptions!$E$69/4</f>
        <v>18475.8928571429</v>
      </c>
      <c r="K4138" s="54" t="n">
        <f aca="false">K4133*Assumptions!$E$71/Assumptions!$E$69/4</f>
        <v>18475.8928571429</v>
      </c>
      <c r="L4138" s="54" t="n">
        <f aca="false">L4133*Assumptions!$E$71/Assumptions!$E$69/4</f>
        <v>18475.8928571429</v>
      </c>
      <c r="M4138" s="54" t="n">
        <f aca="false">M4133*Assumptions!$E$71/Assumptions!$E$69/4</f>
        <v>18475.8928571429</v>
      </c>
      <c r="N4138" s="54" t="n">
        <f aca="false">N4133*Assumptions!$E$71/Assumptions!$E$69/4</f>
        <v>18475.8928571429</v>
      </c>
      <c r="P4138" s="55" t="n">
        <f aca="false">SUM(C4138:F4138)</f>
        <v>73903.5714285714</v>
      </c>
      <c r="Q4138" s="55" t="n">
        <f aca="false">SUM(G4138:J4138)</f>
        <v>73903.5714285714</v>
      </c>
      <c r="R4138" s="55" t="n">
        <f aca="false">SUM(K4138:N4138)</f>
        <v>73903.5714285714</v>
      </c>
      <c r="S4138" s="56" t="n">
        <f aca="false">SUM(P4138:R4138)</f>
        <v>221710.714285714</v>
      </c>
    </row>
    <row r="4139" customFormat="false" ht="15" hidden="false" customHeight="false" outlineLevel="0" collapsed="false">
      <c r="A4139" s="4" t="s">
        <v>558</v>
      </c>
      <c r="B4139" s="36" t="s">
        <v>125</v>
      </c>
      <c r="C4139" s="54" t="n">
        <f aca="false">(Assumptions!$D$103+Assumptions!$E$77*((C4070=Assumptions!$E$13)+(C4070=Assumptions!$E$14)+(C4070=Assumptions!$E$15)))*C4071</f>
        <v>65000</v>
      </c>
      <c r="D4139" s="54" t="n">
        <f aca="false">(Assumptions!$D$103+Assumptions!$E$77*((D4070=Assumptions!$E$13)+(D4070=Assumptions!$E$14)+(D4070=Assumptions!$E$15)))*D4071</f>
        <v>25000</v>
      </c>
      <c r="E4139" s="54" t="n">
        <f aca="false">(Assumptions!$D$103+Assumptions!$E$77*((E4070=Assumptions!$E$13)+(E4070=Assumptions!$E$14)+(E4070=Assumptions!$E$15)))*E4071</f>
        <v>25000</v>
      </c>
      <c r="F4139" s="54" t="n">
        <f aca="false">(Assumptions!$D$103+Assumptions!$E$77*((F4070=Assumptions!$E$13)+(F4070=Assumptions!$E$14)+(F4070=Assumptions!$E$15)))*F4071</f>
        <v>25000</v>
      </c>
      <c r="G4139" s="54" t="n">
        <f aca="false">(Assumptions!$D$103+Assumptions!$E$77*((G4070=Assumptions!$E$13)+(G4070=Assumptions!$E$14)+(G4070=Assumptions!$E$15)))*G4071</f>
        <v>65000</v>
      </c>
      <c r="H4139" s="54" t="n">
        <f aca="false">(Assumptions!$D$103+Assumptions!$E$77*((H4070=Assumptions!$E$13)+(H4070=Assumptions!$E$14)+(H4070=Assumptions!$E$15)))*H4071</f>
        <v>25000</v>
      </c>
      <c r="I4139" s="54" t="n">
        <f aca="false">(Assumptions!$D$103+Assumptions!$E$77*((I4070=Assumptions!$E$13)+(I4070=Assumptions!$E$14)+(I4070=Assumptions!$E$15)))*I4071</f>
        <v>65000</v>
      </c>
      <c r="J4139" s="54" t="n">
        <f aca="false">(Assumptions!$D$103+Assumptions!$E$77*((J4070=Assumptions!$E$13)+(J4070=Assumptions!$E$14)+(J4070=Assumptions!$E$15)))*J4071</f>
        <v>25000</v>
      </c>
      <c r="K4139" s="54" t="n">
        <f aca="false">(Assumptions!$D$103+Assumptions!$E$77*((K4070=Assumptions!$E$13)+(K4070=Assumptions!$E$14)+(K4070=Assumptions!$E$15)))*K4071</f>
        <v>25000</v>
      </c>
      <c r="L4139" s="54" t="n">
        <f aca="false">(Assumptions!$D$103+Assumptions!$E$77*((L4070=Assumptions!$E$13)+(L4070=Assumptions!$E$14)+(L4070=Assumptions!$E$15)))*L4071</f>
        <v>25000</v>
      </c>
      <c r="M4139" s="54" t="n">
        <f aca="false">(Assumptions!$D$103+Assumptions!$E$77*((M4070=Assumptions!$E$13)+(M4070=Assumptions!$E$14)+(M4070=Assumptions!$E$15)))*M4071</f>
        <v>25000</v>
      </c>
      <c r="N4139" s="54" t="n">
        <f aca="false">(Assumptions!$D$103+Assumptions!$E$77*((N4070=Assumptions!$E$13)+(N4070=Assumptions!$E$14)+(N4070=Assumptions!$E$15)))*N4071</f>
        <v>25000</v>
      </c>
      <c r="P4139" s="55" t="n">
        <f aca="false">SUM(C4139:F4139)</f>
        <v>140000</v>
      </c>
      <c r="Q4139" s="55" t="n">
        <f aca="false">SUM(G4139:J4139)</f>
        <v>180000</v>
      </c>
      <c r="R4139" s="55" t="n">
        <f aca="false">SUM(K4139:N4139)</f>
        <v>100000</v>
      </c>
      <c r="S4139" s="56" t="n">
        <f aca="false">SUM(P4139:R4139)</f>
        <v>420000</v>
      </c>
    </row>
    <row r="4140" customFormat="false" ht="15" hidden="false" customHeight="false" outlineLevel="0" collapsed="false">
      <c r="A4140" s="4" t="s">
        <v>559</v>
      </c>
      <c r="B4140" s="36" t="s">
        <v>125</v>
      </c>
      <c r="C4140" s="54" t="n">
        <f aca="false">C4125*C4105*Assumptions!$E$79</f>
        <v>0</v>
      </c>
      <c r="D4140" s="54" t="n">
        <f aca="false">D4125*D4105*Assumptions!$E$79</f>
        <v>815.338873355417</v>
      </c>
      <c r="E4140" s="54" t="n">
        <f aca="false">E4125*E4105*Assumptions!$E$79</f>
        <v>1573.2556123767</v>
      </c>
      <c r="F4140" s="54" t="n">
        <f aca="false">F4125*F4105*Assumptions!$E$79</f>
        <v>2368.84476776433</v>
      </c>
      <c r="G4140" s="54" t="n">
        <f aca="false">G4125*G4105*Assumptions!$E$79</f>
        <v>2966.63862811625</v>
      </c>
      <c r="H4140" s="54" t="n">
        <f aca="false">H4125*H4105*Assumptions!$E$79</f>
        <v>3398.20850877252</v>
      </c>
      <c r="I4140" s="54" t="n">
        <f aca="false">I4125*I4105*Assumptions!$E$79</f>
        <v>3947.89841691746</v>
      </c>
      <c r="J4140" s="54" t="n">
        <f aca="false">J4125*J4105*Assumptions!$E$79</f>
        <v>4229.32592964209</v>
      </c>
      <c r="K4140" s="54" t="n">
        <f aca="false">K4125*K4105*Assumptions!$E$79</f>
        <v>4796.74891273799</v>
      </c>
      <c r="L4140" s="54" t="n">
        <f aca="false">L4125*L4105*Assumptions!$E$79</f>
        <v>5628.57557846464</v>
      </c>
      <c r="M4140" s="54" t="n">
        <f aca="false">M4125*M4105*Assumptions!$E$79</f>
        <v>5682.90509990031</v>
      </c>
      <c r="N4140" s="54" t="n">
        <f aca="false">N4125*N4105*Assumptions!$E$79</f>
        <v>5680.93699904927</v>
      </c>
      <c r="P4140" s="55" t="n">
        <f aca="false">SUM(C4140:F4140)</f>
        <v>4757.43925349644</v>
      </c>
      <c r="Q4140" s="55" t="n">
        <f aca="false">SUM(G4140:J4140)</f>
        <v>14542.0714834483</v>
      </c>
      <c r="R4140" s="55" t="n">
        <f aca="false">SUM(K4140:N4140)</f>
        <v>21789.1665901522</v>
      </c>
      <c r="S4140" s="56" t="n">
        <f aca="false">SUM(P4140:R4140)</f>
        <v>41088.677327097</v>
      </c>
    </row>
    <row r="4141" customFormat="false" ht="15" hidden="false" customHeight="false" outlineLevel="0" collapsed="false">
      <c r="A4141" s="4" t="s">
        <v>560</v>
      </c>
      <c r="B4141" s="36" t="s">
        <v>125</v>
      </c>
      <c r="C4141" s="54" t="n">
        <f aca="false">C4090*Assumptions!$E$80</f>
        <v>4000</v>
      </c>
      <c r="D4141" s="54" t="n">
        <f aca="false">D4090*Assumptions!$E$80</f>
        <v>6000</v>
      </c>
      <c r="E4141" s="54" t="n">
        <f aca="false">E4090*Assumptions!$E$80</f>
        <v>8000</v>
      </c>
      <c r="F4141" s="54" t="n">
        <f aca="false">F4090*Assumptions!$E$80</f>
        <v>10000</v>
      </c>
      <c r="G4141" s="54" t="n">
        <f aca="false">G4090*Assumptions!$E$80</f>
        <v>12000</v>
      </c>
      <c r="H4141" s="54" t="n">
        <f aca="false">H4090*Assumptions!$E$80</f>
        <v>14000</v>
      </c>
      <c r="I4141" s="54" t="n">
        <f aca="false">I4090*Assumptions!$E$80</f>
        <v>16000</v>
      </c>
      <c r="J4141" s="54" t="n">
        <f aca="false">J4090*Assumptions!$E$80</f>
        <v>18000</v>
      </c>
      <c r="K4141" s="54" t="n">
        <f aca="false">K4090*Assumptions!$E$80</f>
        <v>20000</v>
      </c>
      <c r="L4141" s="54" t="n">
        <f aca="false">L4090*Assumptions!$E$80</f>
        <v>20000</v>
      </c>
      <c r="M4141" s="54" t="n">
        <f aca="false">M4090*Assumptions!$E$80</f>
        <v>20000</v>
      </c>
      <c r="N4141" s="54" t="n">
        <f aca="false">N4090*Assumptions!$E$80</f>
        <v>20000</v>
      </c>
      <c r="P4141" s="55" t="n">
        <f aca="false">SUM(C4141:F4141)</f>
        <v>28000</v>
      </c>
      <c r="Q4141" s="55" t="n">
        <f aca="false">SUM(G4141:J4141)</f>
        <v>60000</v>
      </c>
      <c r="R4141" s="55" t="n">
        <f aca="false">SUM(K4141:N4141)</f>
        <v>80000</v>
      </c>
      <c r="S4141" s="56" t="n">
        <f aca="false">SUM(P4141:R4141)</f>
        <v>168000</v>
      </c>
    </row>
    <row r="4142" customFormat="false" ht="15" hidden="false" customHeight="false" outlineLevel="0" collapsed="false">
      <c r="A4142" s="4" t="s">
        <v>561</v>
      </c>
      <c r="B4142" s="36" t="s">
        <v>125</v>
      </c>
      <c r="C4142" s="54" t="n">
        <f aca="false">(C4113*$C$4062+C4114*$C$4063)*Assumptions!$E$81</f>
        <v>0</v>
      </c>
      <c r="D4142" s="54" t="n">
        <f aca="false">(D4113*$C$4062+D4114*$C$4063)*Assumptions!$E$81</f>
        <v>678.921677173874</v>
      </c>
      <c r="E4142" s="54" t="n">
        <f aca="false">(E4113*$C$4062+E4114*$C$4063)*Assumptions!$E$81</f>
        <v>1881.15138630122</v>
      </c>
      <c r="F4142" s="54" t="n">
        <f aca="false">(F4113*$C$4062+F4114*$C$4063)*Assumptions!$E$81</f>
        <v>2510.16235005592</v>
      </c>
      <c r="G4142" s="54" t="n">
        <f aca="false">(G4113*$C$4062+G4114*$C$4063)*Assumptions!$E$81</f>
        <v>2742.27401923561</v>
      </c>
      <c r="H4142" s="54" t="n">
        <f aca="false">(H4113*$C$4062+H4114*$C$4063)*Assumptions!$E$81</f>
        <v>3235.49952366415</v>
      </c>
      <c r="I4142" s="54" t="n">
        <f aca="false">(I4113*$C$4062+I4114*$C$4063)*Assumptions!$E$81</f>
        <v>3856.19841786216</v>
      </c>
      <c r="J4142" s="54" t="n">
        <f aca="false">(J4113*$C$4062+J4114*$C$4063)*Assumptions!$E$81</f>
        <v>4980.21516251665</v>
      </c>
      <c r="K4142" s="54" t="n">
        <f aca="false">(K4113*$C$4062+K4114*$C$4063)*Assumptions!$E$81</f>
        <v>6471.40409290212</v>
      </c>
      <c r="L4142" s="54" t="n">
        <f aca="false">(L4113*$C$4062+L4114*$C$4063)*Assumptions!$E$81</f>
        <v>7143.29999011247</v>
      </c>
      <c r="M4142" s="54" t="n">
        <f aca="false">(M4113*$C$4062+M4114*$C$4063)*Assumptions!$E$81</f>
        <v>7061.05823757946</v>
      </c>
      <c r="N4142" s="54" t="n">
        <f aca="false">(N4113*$C$4062+N4114*$C$4063)*Assumptions!$E$81</f>
        <v>6874.04131592161</v>
      </c>
      <c r="P4142" s="55" t="n">
        <f aca="false">SUM(C4142:F4142)</f>
        <v>5070.23541353101</v>
      </c>
      <c r="Q4142" s="55" t="n">
        <f aca="false">SUM(G4142:J4142)</f>
        <v>14814.1871232786</v>
      </c>
      <c r="R4142" s="55" t="n">
        <f aca="false">SUM(K4142:N4142)</f>
        <v>27549.8036365157</v>
      </c>
      <c r="S4142" s="56" t="n">
        <f aca="false">SUM(P4142:R4142)</f>
        <v>47434.2261733252</v>
      </c>
    </row>
    <row r="4143" customFormat="false" ht="15" hidden="false" customHeight="false" outlineLevel="0" collapsed="false">
      <c r="A4143" s="9" t="s">
        <v>562</v>
      </c>
      <c r="B4143" s="36" t="s">
        <v>125</v>
      </c>
      <c r="C4143" s="55" t="n">
        <f aca="false">C4135+C4136+C4137+C4138+C4139+C4140+C4141+C4142</f>
        <v>154229.464285714</v>
      </c>
      <c r="D4143" s="55" t="n">
        <f aca="false">D4135+D4136+D4137+D4138+D4139+D4140+D4141+D4142</f>
        <v>121451.456024435</v>
      </c>
      <c r="E4143" s="55" t="n">
        <f aca="false">E4135+E4136+E4137+E4138+E4139+E4140+E4141+E4142</f>
        <v>130333.818833871</v>
      </c>
      <c r="F4143" s="55" t="n">
        <f aca="false">F4135+F4136+F4137+F4138+F4139+F4140+F4141+F4142</f>
        <v>135982.905215694</v>
      </c>
      <c r="G4143" s="55" t="n">
        <f aca="false">G4135+G4136+G4137+G4138+G4139+G4140+G4141+G4142</f>
        <v>213185.302720516</v>
      </c>
      <c r="H4143" s="55" t="n">
        <f aca="false">H4135+H4136+H4137+H4138+H4139+H4140+H4141+H4142</f>
        <v>178618.944158858</v>
      </c>
      <c r="I4143" s="55" t="n">
        <f aca="false">I4135+I4136+I4137+I4138+I4139+I4140+I4141+I4142</f>
        <v>224635.267346576</v>
      </c>
      <c r="J4143" s="55" t="n">
        <f aca="false">J4135+J4136+J4137+J4138+J4139+J4140+J4141+J4142</f>
        <v>194133.613882813</v>
      </c>
      <c r="K4143" s="55" t="n">
        <f aca="false">K4135+K4136+K4137+K4138+K4139+K4140+K4141+K4142</f>
        <v>205204.916250166</v>
      </c>
      <c r="L4143" s="55" t="n">
        <f aca="false">L4135+L4136+L4137+L4138+L4139+L4140+L4141+L4142</f>
        <v>208864.460041794</v>
      </c>
      <c r="M4143" s="55" t="n">
        <f aca="false">M4135+M4136+M4137+M4138+M4139+M4140+M4141+M4142</f>
        <v>208302.345591746</v>
      </c>
      <c r="N4143" s="55" t="n">
        <f aca="false">N4135+N4136+N4137+N4138+N4139+N4140+N4141+N4142</f>
        <v>207272.64968901</v>
      </c>
      <c r="P4143" s="55" t="n">
        <f aca="false">SUM(C4143:F4143)</f>
        <v>541997.644359715</v>
      </c>
      <c r="Q4143" s="55" t="n">
        <f aca="false">SUM(G4143:J4143)</f>
        <v>810573.128108763</v>
      </c>
      <c r="R4143" s="55" t="n">
        <f aca="false">SUM(K4143:N4143)</f>
        <v>829644.371572716</v>
      </c>
      <c r="S4143" s="56" t="n">
        <f aca="false">SUM(P4143:R4143)</f>
        <v>2182215.14404119</v>
      </c>
    </row>
    <row r="4144" customFormat="false" ht="15" hidden="false" customHeight="false" outlineLevel="0" collapsed="false">
      <c r="A4144" s="4" t="s">
        <v>563</v>
      </c>
      <c r="B4144" s="36" t="s">
        <v>125</v>
      </c>
      <c r="C4144" s="54" t="n">
        <f aca="false">C4132*Assumptions!$E$72/Assumptions!$E$69/4</f>
        <v>56535.7142857143</v>
      </c>
      <c r="D4144" s="54" t="n">
        <f aca="false">D4132*Assumptions!$E$72/Assumptions!$E$69/4</f>
        <v>56535.7142857143</v>
      </c>
      <c r="E4144" s="54" t="n">
        <f aca="false">E4132*Assumptions!$E$72/Assumptions!$E$69/4</f>
        <v>56535.7142857143</v>
      </c>
      <c r="F4144" s="54" t="n">
        <f aca="false">F4132*Assumptions!$E$72/Assumptions!$E$69/4</f>
        <v>56535.7142857143</v>
      </c>
      <c r="G4144" s="54" t="n">
        <f aca="false">G4132*Assumptions!$E$72/Assumptions!$E$69/4</f>
        <v>28267.8571428571</v>
      </c>
      <c r="H4144" s="54" t="n">
        <f aca="false">H4132*Assumptions!$E$72/Assumptions!$E$69/4</f>
        <v>28267.8571428571</v>
      </c>
      <c r="I4144" s="54" t="n">
        <f aca="false">I4132*Assumptions!$E$72/Assumptions!$E$69/4</f>
        <v>28267.8571428571</v>
      </c>
      <c r="J4144" s="54" t="n">
        <f aca="false">J4132*Assumptions!$E$72/Assumptions!$E$69/4</f>
        <v>28267.8571428571</v>
      </c>
      <c r="K4144" s="54" t="n">
        <f aca="false">K4132*Assumptions!$E$72/Assumptions!$E$69/4</f>
        <v>28267.8571428571</v>
      </c>
      <c r="L4144" s="54" t="n">
        <f aca="false">L4132*Assumptions!$E$72/Assumptions!$E$69/4</f>
        <v>28267.8571428571</v>
      </c>
      <c r="M4144" s="54" t="n">
        <f aca="false">M4132*Assumptions!$E$72/Assumptions!$E$69/4</f>
        <v>28267.8571428571</v>
      </c>
      <c r="N4144" s="54" t="n">
        <f aca="false">N4132*Assumptions!$E$72/Assumptions!$E$69/4</f>
        <v>28267.8571428571</v>
      </c>
      <c r="P4144" s="55" t="n">
        <f aca="false">SUM(C4144:F4144)</f>
        <v>226142.857142857</v>
      </c>
      <c r="Q4144" s="55" t="n">
        <f aca="false">SUM(G4144:J4144)</f>
        <v>113071.428571429</v>
      </c>
      <c r="R4144" s="55" t="n">
        <f aca="false">SUM(K4144:N4144)</f>
        <v>113071.428571429</v>
      </c>
      <c r="S4144" s="56" t="n">
        <f aca="false">SUM(P4144:R4144)</f>
        <v>452285.714285714</v>
      </c>
    </row>
    <row r="4145" customFormat="false" ht="15" hidden="false" customHeight="false" outlineLevel="0" collapsed="false">
      <c r="A4145" s="4" t="s">
        <v>564</v>
      </c>
      <c r="B4145" s="36" t="s">
        <v>125</v>
      </c>
      <c r="C4145" s="54" t="n">
        <f aca="false">IF(C4070&lt;=Assumptions!$E$83,Assumptions!$E$82*Assumptions!$D$108/Assumptions!$E$83,0)</f>
        <v>62500</v>
      </c>
      <c r="D4145" s="54" t="n">
        <f aca="false">IF(D4070&lt;=Assumptions!$E$83,Assumptions!$E$82*Assumptions!$D$108/Assumptions!$E$83,0)</f>
        <v>62500</v>
      </c>
      <c r="E4145" s="54" t="n">
        <f aca="false">IF(E4070&lt;=Assumptions!$E$83,Assumptions!$E$82*Assumptions!$D$108/Assumptions!$E$83,0)</f>
        <v>62500</v>
      </c>
      <c r="F4145" s="54" t="n">
        <f aca="false">IF(F4070&lt;=Assumptions!$E$83,Assumptions!$E$82*Assumptions!$D$108/Assumptions!$E$83,0)</f>
        <v>62500</v>
      </c>
      <c r="G4145" s="54" t="n">
        <f aca="false">IF(G4070&lt;=Assumptions!$E$83,Assumptions!$E$82*Assumptions!$D$108/Assumptions!$E$83,0)</f>
        <v>0</v>
      </c>
      <c r="H4145" s="54" t="n">
        <f aca="false">IF(H4070&lt;=Assumptions!$E$83,Assumptions!$E$82*Assumptions!$D$108/Assumptions!$E$83,0)</f>
        <v>0</v>
      </c>
      <c r="I4145" s="54" t="n">
        <f aca="false">IF(I4070&lt;=Assumptions!$E$83,Assumptions!$E$82*Assumptions!$D$108/Assumptions!$E$83,0)</f>
        <v>0</v>
      </c>
      <c r="J4145" s="54" t="n">
        <f aca="false">IF(J4070&lt;=Assumptions!$E$83,Assumptions!$E$82*Assumptions!$D$108/Assumptions!$E$83,0)</f>
        <v>0</v>
      </c>
      <c r="K4145" s="54" t="n">
        <f aca="false">IF(K4070&lt;=Assumptions!$E$83,Assumptions!$E$82*Assumptions!$D$108/Assumptions!$E$83,0)</f>
        <v>0</v>
      </c>
      <c r="L4145" s="54" t="n">
        <f aca="false">IF(L4070&lt;=Assumptions!$E$83,Assumptions!$E$82*Assumptions!$D$108/Assumptions!$E$83,0)</f>
        <v>0</v>
      </c>
      <c r="M4145" s="54" t="n">
        <f aca="false">IF(M4070&lt;=Assumptions!$E$83,Assumptions!$E$82*Assumptions!$D$108/Assumptions!$E$83,0)</f>
        <v>0</v>
      </c>
      <c r="N4145" s="54" t="n">
        <f aca="false">IF(N4070&lt;=Assumptions!$E$83,Assumptions!$E$82*Assumptions!$D$108/Assumptions!$E$83,0)</f>
        <v>0</v>
      </c>
      <c r="P4145" s="55" t="n">
        <f aca="false">SUM(C4145:F4145)</f>
        <v>250000</v>
      </c>
      <c r="Q4145" s="55" t="n">
        <f aca="false">SUM(G4145:J4145)</f>
        <v>0</v>
      </c>
      <c r="R4145" s="55" t="n">
        <f aca="false">SUM(K4145:N4145)</f>
        <v>0</v>
      </c>
      <c r="S4145" s="56" t="n">
        <f aca="false">SUM(P4145:R4145)</f>
        <v>250000</v>
      </c>
    </row>
    <row r="4146" customFormat="false" ht="15" hidden="false" customHeight="false" outlineLevel="0" collapsed="false">
      <c r="A4146" s="4" t="s">
        <v>565</v>
      </c>
      <c r="B4146" s="36" t="s">
        <v>125</v>
      </c>
      <c r="C4146" s="54" t="n">
        <f aca="false">C4134*Assumptions!$E$73/Assumptions!$E$69/4</f>
        <v>0</v>
      </c>
      <c r="D4146" s="54" t="n">
        <f aca="false">D4134*Assumptions!$E$73/Assumptions!$E$69/4</f>
        <v>614.199067715926</v>
      </c>
      <c r="E4146" s="54" t="n">
        <f aca="false">E4134*Assumptions!$E$73/Assumptions!$E$69/4</f>
        <v>1737.76437542388</v>
      </c>
      <c r="F4146" s="54" t="n">
        <f aca="false">F4134*Assumptions!$E$73/Assumptions!$E$69/4</f>
        <v>2989.09709732661</v>
      </c>
      <c r="G4146" s="54" t="n">
        <f aca="false">G4134*Assumptions!$E$73/Assumptions!$E$69/4</f>
        <v>4323.89142533489</v>
      </c>
      <c r="H4146" s="54" t="n">
        <f aca="false">H4134*Assumptions!$E$73/Assumptions!$E$69/4</f>
        <v>5982.08284231093</v>
      </c>
      <c r="I4146" s="54" t="n">
        <f aca="false">I4134*Assumptions!$E$73/Assumptions!$E$69/4</f>
        <v>7950.62765947454</v>
      </c>
      <c r="J4146" s="54" t="n">
        <f aca="false">J4134*Assumptions!$E$73/Assumptions!$E$69/4</f>
        <v>10728.1768983267</v>
      </c>
      <c r="K4146" s="54" t="n">
        <f aca="false">K4134*Assumptions!$E$73/Assumptions!$E$69/4</f>
        <v>14276.9895392616</v>
      </c>
      <c r="L4146" s="54" t="n">
        <f aca="false">L4134*Assumptions!$E$73/Assumptions!$E$69/4</f>
        <v>17823.5117613628</v>
      </c>
      <c r="M4146" s="54" t="n">
        <f aca="false">M4134*Assumptions!$E$73/Assumptions!$E$69/4</f>
        <v>21180.6068510173</v>
      </c>
      <c r="N4146" s="54" t="n">
        <f aca="false">N4134*Assumptions!$E$73/Assumptions!$E$69/4</f>
        <v>24348.0357426306</v>
      </c>
      <c r="P4146" s="55" t="n">
        <f aca="false">SUM(C4146:F4146)</f>
        <v>5341.06054046642</v>
      </c>
      <c r="Q4146" s="55" t="n">
        <f aca="false">SUM(G4146:J4146)</f>
        <v>28984.7788254471</v>
      </c>
      <c r="R4146" s="55" t="n">
        <f aca="false">SUM(K4146:N4146)</f>
        <v>77629.1438942723</v>
      </c>
      <c r="S4146" s="56" t="n">
        <f aca="false">SUM(P4146:R4146)</f>
        <v>111954.983260186</v>
      </c>
    </row>
    <row r="4147" customFormat="false" ht="15" hidden="false" customHeight="false" outlineLevel="0" collapsed="false">
      <c r="A4147" s="9" t="s">
        <v>566</v>
      </c>
      <c r="B4147" s="36" t="s">
        <v>125</v>
      </c>
      <c r="C4147" s="55" t="n">
        <f aca="false">C4143+C4144+C4145+C4146</f>
        <v>273265.178571429</v>
      </c>
      <c r="D4147" s="55" t="n">
        <f aca="false">D4143+D4144+D4145+D4146</f>
        <v>241101.369377865</v>
      </c>
      <c r="E4147" s="55" t="n">
        <f aca="false">E4143+E4144+E4145+E4146</f>
        <v>251107.297495009</v>
      </c>
      <c r="F4147" s="55" t="n">
        <f aca="false">F4143+F4144+F4145+F4146</f>
        <v>258007.716598735</v>
      </c>
      <c r="G4147" s="55" t="n">
        <f aca="false">G4143+G4144+G4145+G4146</f>
        <v>245777.051288708</v>
      </c>
      <c r="H4147" s="55" t="n">
        <f aca="false">H4143+H4144+H4145+H4146</f>
        <v>212868.884144026</v>
      </c>
      <c r="I4147" s="55" t="n">
        <f aca="false">I4143+I4144+I4145+I4146</f>
        <v>260853.752148907</v>
      </c>
      <c r="J4147" s="55" t="n">
        <f aca="false">J4143+J4144+J4145+J4146</f>
        <v>233129.647923997</v>
      </c>
      <c r="K4147" s="55" t="n">
        <f aca="false">K4143+K4144+K4145+K4146</f>
        <v>247749.762932285</v>
      </c>
      <c r="L4147" s="55" t="n">
        <f aca="false">L4143+L4144+L4145+L4146</f>
        <v>254955.828946014</v>
      </c>
      <c r="M4147" s="55" t="n">
        <f aca="false">M4143+M4144+M4145+M4146</f>
        <v>257750.80958562</v>
      </c>
      <c r="N4147" s="55" t="n">
        <f aca="false">N4143+N4144+N4145+N4146</f>
        <v>259888.542574497</v>
      </c>
      <c r="P4147" s="55" t="n">
        <f aca="false">SUM(C4147:F4147)</f>
        <v>1023481.56204304</v>
      </c>
      <c r="Q4147" s="55" t="n">
        <f aca="false">SUM(G4147:J4147)</f>
        <v>952629.335505639</v>
      </c>
      <c r="R4147" s="55" t="n">
        <f aca="false">SUM(K4147:N4147)</f>
        <v>1020344.94403842</v>
      </c>
      <c r="S4147" s="56" t="n">
        <f aca="false">SUM(P4147:R4147)</f>
        <v>2996455.84158709</v>
      </c>
    </row>
    <row r="4148" customFormat="false" ht="15" hidden="false" customHeight="false" outlineLevel="0" collapsed="false">
      <c r="A4148" s="35" t="s">
        <v>567</v>
      </c>
      <c r="B4148" s="35" t="s">
        <v>444</v>
      </c>
      <c r="C4148" s="6" t="s">
        <v>354</v>
      </c>
      <c r="D4148" s="6" t="s">
        <v>355</v>
      </c>
      <c r="E4148" s="6" t="s">
        <v>356</v>
      </c>
      <c r="F4148" s="6" t="s">
        <v>357</v>
      </c>
      <c r="G4148" s="6" t="s">
        <v>358</v>
      </c>
      <c r="H4148" s="6" t="s">
        <v>359</v>
      </c>
      <c r="I4148" s="6" t="s">
        <v>360</v>
      </c>
      <c r="J4148" s="6" t="s">
        <v>361</v>
      </c>
      <c r="K4148" s="6" t="s">
        <v>362</v>
      </c>
      <c r="L4148" s="6" t="s">
        <v>363</v>
      </c>
      <c r="M4148" s="6" t="s">
        <v>364</v>
      </c>
      <c r="N4148" s="6" t="s">
        <v>365</v>
      </c>
      <c r="P4148" s="6" t="s">
        <v>445</v>
      </c>
      <c r="Q4148" s="6" t="s">
        <v>446</v>
      </c>
      <c r="R4148" s="6" t="s">
        <v>447</v>
      </c>
      <c r="S4148" s="6" t="s">
        <v>448</v>
      </c>
    </row>
    <row r="4149" customFormat="false" ht="15" hidden="false" customHeight="false" outlineLevel="0" collapsed="false">
      <c r="A4149" s="9" t="s">
        <v>568</v>
      </c>
      <c r="B4149" s="36" t="s">
        <v>125</v>
      </c>
      <c r="C4149" s="55" t="n">
        <f aca="false">C4127-C4147</f>
        <v>-273265.178571429</v>
      </c>
      <c r="D4149" s="55" t="n">
        <f aca="false">D4127-D4147</f>
        <v>-240331.411833719</v>
      </c>
      <c r="E4149" s="55" t="n">
        <f aca="false">E4127-E4147</f>
        <v>-247846.331738363</v>
      </c>
      <c r="F4149" s="55" t="n">
        <f aca="false">F4127-F4147</f>
        <v>-250874.147249545</v>
      </c>
      <c r="G4149" s="55" t="n">
        <f aca="false">G4127-G4147</f>
        <v>-234112.030291988</v>
      </c>
      <c r="H4149" s="55" t="n">
        <f aca="false">H4127-H4147</f>
        <v>-195895.64738355</v>
      </c>
      <c r="I4149" s="55" t="n">
        <f aca="false">I4127-I4147</f>
        <v>-237414.772691736</v>
      </c>
      <c r="J4149" s="55" t="n">
        <f aca="false">J4127-J4147</f>
        <v>-201306.343426368</v>
      </c>
      <c r="K4149" s="55" t="n">
        <f aca="false">K4127-K4147</f>
        <v>-204766.156786164</v>
      </c>
      <c r="L4149" s="55" t="n">
        <f aca="false">L4127-L4147</f>
        <v>-198875.767087428</v>
      </c>
      <c r="M4149" s="55" t="n">
        <f aca="false">M4127-M4147</f>
        <v>-188114.102661636</v>
      </c>
      <c r="N4149" s="55" t="n">
        <f aca="false">N4127-N4147</f>
        <v>-176763.43218045</v>
      </c>
      <c r="P4149" s="55" t="n">
        <f aca="false">SUM(C4149:F4149)</f>
        <v>-1012317.06939306</v>
      </c>
      <c r="Q4149" s="55" t="n">
        <f aca="false">SUM(G4149:J4149)</f>
        <v>-868728.793793642</v>
      </c>
      <c r="R4149" s="55" t="n">
        <f aca="false">SUM(K4149:N4149)</f>
        <v>-768519.458715677</v>
      </c>
      <c r="S4149" s="56" t="n">
        <f aca="false">SUM(P4149:R4149)</f>
        <v>-2649565.32190237</v>
      </c>
    </row>
    <row r="4150" customFormat="false" ht="15" hidden="false" customHeight="false" outlineLevel="0" collapsed="false">
      <c r="A4150" s="9" t="s">
        <v>569</v>
      </c>
      <c r="B4150" s="36" t="s">
        <v>125</v>
      </c>
      <c r="C4150" s="55" t="n">
        <f aca="false">0+C4149</f>
        <v>-273265.178571429</v>
      </c>
      <c r="D4150" s="55" t="n">
        <f aca="false">C4150+D4149</f>
        <v>-513596.590405147</v>
      </c>
      <c r="E4150" s="55" t="n">
        <f aca="false">D4150+E4149</f>
        <v>-761442.92214351</v>
      </c>
      <c r="F4150" s="55" t="n">
        <f aca="false">E4150+F4149</f>
        <v>-1012317.06939305</v>
      </c>
      <c r="G4150" s="55" t="n">
        <f aca="false">F4150+G4149</f>
        <v>-1246429.09968504</v>
      </c>
      <c r="H4150" s="55" t="n">
        <f aca="false">G4150+H4149</f>
        <v>-1442324.74706859</v>
      </c>
      <c r="I4150" s="55" t="n">
        <f aca="false">H4150+I4149</f>
        <v>-1679739.51976033</v>
      </c>
      <c r="J4150" s="55" t="n">
        <f aca="false">I4150+J4149</f>
        <v>-1881045.8631867</v>
      </c>
      <c r="K4150" s="55" t="n">
        <f aca="false">J4150+K4149</f>
        <v>-2085812.01997286</v>
      </c>
      <c r="L4150" s="55" t="n">
        <f aca="false">K4150+L4149</f>
        <v>-2284687.78706029</v>
      </c>
      <c r="M4150" s="55" t="n">
        <f aca="false">L4150+M4149</f>
        <v>-2472801.88972192</v>
      </c>
      <c r="N4150" s="55" t="n">
        <f aca="false">M4150+N4149</f>
        <v>-2649565.32190237</v>
      </c>
      <c r="P4150" s="55" t="n">
        <f aca="false">F4150</f>
        <v>-1012317.06939305</v>
      </c>
      <c r="Q4150" s="55" t="n">
        <f aca="false">J4150</f>
        <v>-1881045.8631867</v>
      </c>
      <c r="R4150" s="55" t="n">
        <f aca="false">N4150</f>
        <v>-2649565.32190237</v>
      </c>
      <c r="S4150" s="56" t="n">
        <f aca="false">R4150</f>
        <v>-2649565.32190237</v>
      </c>
    </row>
    <row r="4151" customFormat="false" ht="15" hidden="false" customHeight="false" outlineLevel="0" collapsed="false">
      <c r="A4151" s="4" t="s">
        <v>570</v>
      </c>
      <c r="B4151" s="36" t="s">
        <v>107</v>
      </c>
      <c r="C4151" s="57" t="n">
        <f aca="false">1/(1+Assumptions!$E$87)^(C4070/4)</f>
        <v>0.972065420906982</v>
      </c>
      <c r="D4151" s="57" t="n">
        <f aca="false">1/(1+Assumptions!$E$87)^(D4070/4)</f>
        <v>0.944911182523068</v>
      </c>
      <c r="E4151" s="57" t="n">
        <f aca="false">1/(1+Assumptions!$E$87)^(E4070/4)</f>
        <v>0.918515486359</v>
      </c>
      <c r="F4151" s="57" t="n">
        <f aca="false">1/(1+Assumptions!$E$87)^(F4070/4)</f>
        <v>0.892857142857143</v>
      </c>
      <c r="G4151" s="57" t="n">
        <f aca="false">1/(1+Assumptions!$E$87)^(G4070/4)</f>
        <v>0.867915554381234</v>
      </c>
      <c r="H4151" s="57" t="n">
        <f aca="false">1/(1+Assumptions!$E$87)^(H4070/4)</f>
        <v>0.843670698681311</v>
      </c>
      <c r="I4151" s="57" t="n">
        <f aca="false">1/(1+Assumptions!$E$87)^(I4070/4)</f>
        <v>0.820103112820536</v>
      </c>
      <c r="J4151" s="57" t="n">
        <f aca="false">1/(1+Assumptions!$E$87)^(J4070/4)</f>
        <v>0.79719387755102</v>
      </c>
      <c r="K4151" s="57" t="n">
        <f aca="false">1/(1+Assumptions!$E$87)^(K4070/4)</f>
        <v>0.774924602126102</v>
      </c>
      <c r="L4151" s="57" t="n">
        <f aca="false">1/(1+Assumptions!$E$87)^(L4070/4)</f>
        <v>0.753277409536885</v>
      </c>
      <c r="M4151" s="57" t="n">
        <f aca="false">1/(1+Assumptions!$E$87)^(M4070/4)</f>
        <v>0.732234922161193</v>
      </c>
      <c r="N4151" s="57" t="n">
        <f aca="false">1/(1+Assumptions!$E$87)^(N4070/4)</f>
        <v>0.711780247813411</v>
      </c>
      <c r="P4151" s="58"/>
      <c r="Q4151" s="58"/>
      <c r="R4151" s="58"/>
      <c r="S4151" s="59"/>
    </row>
    <row r="4152" customFormat="false" ht="15" hidden="false" customHeight="false" outlineLevel="0" collapsed="false">
      <c r="A4152" s="4" t="s">
        <v>571</v>
      </c>
      <c r="B4152" s="36" t="s">
        <v>125</v>
      </c>
      <c r="C4152" s="54" t="n">
        <f aca="false">(C4127*(1-Assumptions!$E$88)-C4147)*C4151</f>
        <v>-265631.630827257</v>
      </c>
      <c r="D4152" s="54" t="n">
        <f aca="false">(D4127*(1-Assumptions!$E$88)-D4147)*D4151</f>
        <v>-227237.346851944</v>
      </c>
      <c r="E4152" s="54" t="n">
        <f aca="false">(E4127*(1-Assumptions!$E$88)-E4147)*E4151</f>
        <v>-228249.74344855</v>
      </c>
      <c r="F4152" s="54" t="n">
        <f aca="false">(F4127*(1-Assumptions!$E$88)-F4147)*F4151</f>
        <v>-225268.625999449</v>
      </c>
      <c r="G4152" s="54" t="n">
        <f aca="false">(G4127*(1-Assumptions!$E$88)-G4147)*G4151</f>
        <v>-205214.323191234</v>
      </c>
      <c r="H4152" s="54" t="n">
        <f aca="false">(H4127*(1-Assumptions!$E$88)-H4147)*H4151</f>
        <v>-168135.382200026</v>
      </c>
      <c r="I4152" s="54" t="n">
        <f aca="false">(I4127*(1-Assumptions!$E$88)-I4147)*I4151</f>
        <v>-198549.070116905</v>
      </c>
      <c r="J4152" s="54" t="n">
        <f aca="false">(J4127*(1-Assumptions!$E$88)-J4147)*J4151</f>
        <v>-165554.053193474</v>
      </c>
      <c r="K4152" s="54" t="n">
        <f aca="false">(K4127*(1-Assumptions!$E$88)-K4147)*K4151</f>
        <v>-165340.143354555</v>
      </c>
      <c r="L4152" s="54" t="n">
        <f aca="false">(L4127*(1-Assumptions!$E$88)-L4147)*L4151</f>
        <v>-158257.391395979</v>
      </c>
      <c r="M4152" s="54" t="n">
        <f aca="false">(M4127*(1-Assumptions!$E$88)-M4147)*M4151</f>
        <v>-147941.801054675</v>
      </c>
      <c r="N4152" s="54" t="n">
        <f aca="false">(N4127*(1-Assumptions!$E$88)-N4147)*N4151</f>
        <v>-137650.081896908</v>
      </c>
      <c r="P4152" s="55" t="n">
        <f aca="false">SUM(C4152:F4152)</f>
        <v>-946387.3471272</v>
      </c>
      <c r="Q4152" s="55" t="n">
        <f aca="false">SUM(G4152:J4152)</f>
        <v>-737452.82870164</v>
      </c>
      <c r="R4152" s="55" t="n">
        <f aca="false">SUM(K4152:N4152)</f>
        <v>-609189.417702117</v>
      </c>
      <c r="S4152" s="56" t="n">
        <f aca="false">SUM(P4152:R4152)</f>
        <v>-2293029.59353096</v>
      </c>
    </row>
    <row r="4153" customFormat="false" ht="15" hidden="false" customHeight="false" outlineLevel="0" collapsed="false">
      <c r="A4153" s="4" t="s">
        <v>572</v>
      </c>
      <c r="B4153" s="36" t="s">
        <v>125</v>
      </c>
      <c r="C4153" s="54" t="n">
        <f aca="false">(C4147-C4146)*12/(Assumptions!$E$89*Assumptions!$E$76)*Assumptions!$E$90</f>
        <v>189183.585164835</v>
      </c>
      <c r="D4153" s="54" t="n">
        <f aca="false">(D4147-D4146)*12/(Assumptions!$E$89*Assumptions!$E$76)*Assumptions!$E$90</f>
        <v>166491.117907026</v>
      </c>
      <c r="E4153" s="54" t="n">
        <f aca="false">(E4147-E4146)*12/(Assumptions!$E$89*Assumptions!$E$76)*Assumptions!$E$90</f>
        <v>172640.446005867</v>
      </c>
      <c r="F4153" s="54" t="n">
        <f aca="false">(F4147-F4146)*12/(Assumptions!$E$89*Assumptions!$E$76)*Assumptions!$E$90</f>
        <v>176551.351962514</v>
      </c>
      <c r="G4153" s="54" t="n">
        <f aca="false">(G4147-G4146)*12/(Assumptions!$E$89*Assumptions!$E$76)*Assumptions!$E$90</f>
        <v>167159.879905412</v>
      </c>
      <c r="H4153" s="54" t="n">
        <f aca="false">(H4147-H4146)*12/(Assumptions!$E$89*Assumptions!$E$76)*Assumptions!$E$90</f>
        <v>143229.32397811</v>
      </c>
      <c r="I4153" s="54" t="n">
        <f aca="false">(I4147-I4146)*12/(Assumptions!$E$89*Assumptions!$E$76)*Assumptions!$E$90</f>
        <v>175086.778492684</v>
      </c>
      <c r="J4153" s="54" t="n">
        <f aca="false">(J4147-J4146)*12/(Assumptions!$E$89*Assumptions!$E$76)*Assumptions!$E$90</f>
        <v>153970.249171618</v>
      </c>
      <c r="K4153" s="54" t="n">
        <f aca="false">(K4147-K4146)*12/(Assumptions!$E$89*Assumptions!$E$76)*Assumptions!$E$90</f>
        <v>161634.996964401</v>
      </c>
      <c r="L4153" s="54" t="n">
        <f aca="false">(L4147-L4146)*12/(Assumptions!$E$89*Assumptions!$E$76)*Assumptions!$E$90</f>
        <v>164168.527281682</v>
      </c>
      <c r="M4153" s="54" t="n">
        <f aca="false">(M4147-M4146)*12/(Assumptions!$E$89*Assumptions!$E$76)*Assumptions!$E$90</f>
        <v>163779.371123956</v>
      </c>
      <c r="N4153" s="54" t="n">
        <f aca="false">(N4147-N4146)*12/(Assumptions!$E$89*Assumptions!$E$76)*Assumptions!$E$90</f>
        <v>163066.504729754</v>
      </c>
      <c r="P4153" s="55" t="n">
        <f aca="false">SUM(C4153:F4153)</f>
        <v>704866.501040242</v>
      </c>
      <c r="Q4153" s="55" t="n">
        <f aca="false">SUM(G4153:J4153)</f>
        <v>639446.231547825</v>
      </c>
      <c r="R4153" s="55" t="n">
        <f aca="false">SUM(K4153:N4153)</f>
        <v>652649.400099792</v>
      </c>
      <c r="S4153" s="56" t="n">
        <f aca="false">SUM(P4153:R4153)</f>
        <v>1996962.13268786</v>
      </c>
    </row>
    <row r="4154" customFormat="false" ht="15" hidden="false" customHeight="false" outlineLevel="0" collapsed="false">
      <c r="A4154" s="4" t="s">
        <v>573</v>
      </c>
      <c r="B4154" s="36" t="s">
        <v>125</v>
      </c>
      <c r="C4154" s="54" t="n">
        <f aca="false">0*Assumptions!$E$92^(1/4)+C4153</f>
        <v>189183.585164835</v>
      </c>
      <c r="D4154" s="54" t="n">
        <f aca="false">C4154*Assumptions!$E$92^(1/4)+D4153</f>
        <v>356145.898714041</v>
      </c>
      <c r="E4154" s="54" t="n">
        <f aca="false">D4154*Assumptions!$E$92^(1/4)+E4153</f>
        <v>529673.389942715</v>
      </c>
      <c r="F4154" s="54" t="n">
        <f aca="false">E4154*Assumptions!$E$92^(1/4)+F4153</f>
        <v>707543.988460905</v>
      </c>
      <c r="G4154" s="54" t="n">
        <f aca="false">F4154*Assumptions!$E$92^(1/4)+G4153</f>
        <v>876466.133542349</v>
      </c>
      <c r="H4154" s="54" t="n">
        <f aca="false">G4154*Assumptions!$E$92^(1/4)+H4153</f>
        <v>1021878.45358898</v>
      </c>
      <c r="I4154" s="54" t="n">
        <f aca="false">H4154*Assumptions!$E$92^(1/4)+I4153</f>
        <v>1199510.40360777</v>
      </c>
      <c r="J4154" s="54" t="n">
        <f aca="false">I4154*Assumptions!$E$92^(1/4)+J4153</f>
        <v>1356468.24852896</v>
      </c>
      <c r="K4154" s="54" t="n">
        <f aca="false">J4154*Assumptions!$E$92^(1/4)+K4153</f>
        <v>1521481.77290051</v>
      </c>
      <c r="L4154" s="54" t="n">
        <f aca="false">K4154*Assumptions!$E$92^(1/4)+L4153</f>
        <v>1689439.82336107</v>
      </c>
      <c r="M4154" s="54" t="n">
        <f aca="false">L4154*Assumptions!$E$92^(1/4)+M4153</f>
        <v>1857427.04730586</v>
      </c>
      <c r="N4154" s="54" t="n">
        <f aca="false">M4154*Assumptions!$E$92^(1/4)+N4153</f>
        <v>2025119.8071602</v>
      </c>
      <c r="P4154" s="55" t="n">
        <f aca="false">F4154</f>
        <v>707543.988460905</v>
      </c>
      <c r="Q4154" s="55" t="n">
        <f aca="false">J4154</f>
        <v>1356468.24852896</v>
      </c>
      <c r="R4154" s="55" t="n">
        <f aca="false">N4154</f>
        <v>2025119.8071602</v>
      </c>
      <c r="S4154" s="56" t="n">
        <f aca="false">R4154</f>
        <v>2025119.8071602</v>
      </c>
    </row>
    <row r="4155" customFormat="false" ht="15" hidden="false" customHeight="false" outlineLevel="0" collapsed="false">
      <c r="A4155" s="4" t="s">
        <v>574</v>
      </c>
      <c r="B4155" s="36" t="s">
        <v>125</v>
      </c>
      <c r="C4155" s="54" t="n">
        <f aca="false">(0+C4154)/8*Assumptions!$E$76-(C4147-C4146)-C4154*Assumptions!$E$93/4</f>
        <v>-260258.807091346</v>
      </c>
      <c r="D4155" s="54" t="n">
        <f aca="false">(C4154+D4154)/8*Assumptions!$E$76-(D4147-D4146)-D4154*Assumptions!$E$93/4</f>
        <v>-200630.973478916</v>
      </c>
      <c r="E4155" s="54" t="n">
        <f aca="false">(D4154+E4154)/8*Assumptions!$E$76-(E4147-E4146)-E4154*Assumptions!$E$93/4</f>
        <v>-184017.633290508</v>
      </c>
      <c r="F4155" s="54" t="n">
        <f aca="false">(E4154+F4154)/8*Assumptions!$E$76-(F4147-F4146)-F4154*Assumptions!$E$93/4</f>
        <v>-163339.007361876</v>
      </c>
      <c r="G4155" s="54" t="n">
        <f aca="false">(F4154+G4154)/8*Assumptions!$E$76-(G4147-G4146)-G4154*Assumptions!$E$93/4</f>
        <v>-123708.164119888</v>
      </c>
      <c r="H4155" s="54" t="n">
        <f aca="false">(G4154+H4154)/8*Assumptions!$E$76-(H4147-H4146)-H4154*Assumptions!$E$93/4</f>
        <v>-65419.7842671571</v>
      </c>
      <c r="I4155" s="54" t="n">
        <f aca="false">(H4154+I4154)/8*Assumptions!$E$76-(I4147-I4146)-I4154*Assumptions!$E$93/4</f>
        <v>-87409.1598872947</v>
      </c>
      <c r="J4155" s="54" t="n">
        <f aca="false">(I4154+J4154)/8*Assumptions!$E$76-(J4147-J4146)-J4154*Assumptions!$E$93/4</f>
        <v>-31684.0586461731</v>
      </c>
      <c r="K4155" s="54" t="n">
        <f aca="false">(J4154+K4154)/8*Assumptions!$E$76-(K4147-K4146)-K4154*Assumptions!$E$93/4</f>
        <v>-18657.8563131351</v>
      </c>
      <c r="L4155" s="54" t="n">
        <f aca="false">(K4154+L4154)/8*Assumptions!$E$76-(L4147-L4146)-L4154*Assumptions!$E$93/4</f>
        <v>2637.06471958854</v>
      </c>
      <c r="M4155" s="54" t="n">
        <f aca="false">(L4154+M4154)/8*Assumptions!$E$76-(M4147-M4146)-M4154*Assumptions!$E$93/4</f>
        <v>28394.8924157618</v>
      </c>
      <c r="N4155" s="54" t="n">
        <f aca="false">(M4154+N4154)/8*Assumptions!$E$76-(N4147-N4146)-N4154*Assumptions!$E$93/4</f>
        <v>54602.427503998</v>
      </c>
      <c r="P4155" s="55" t="n">
        <f aca="false">SUM(C4155:F4155)</f>
        <v>-808246.421222646</v>
      </c>
      <c r="Q4155" s="55" t="n">
        <f aca="false">SUM(G4155:J4155)</f>
        <v>-308221.166920513</v>
      </c>
      <c r="R4155" s="55" t="n">
        <f aca="false">SUM(K4155:N4155)</f>
        <v>66976.5283262132</v>
      </c>
      <c r="S4155" s="56" t="n">
        <f aca="false">SUM(P4155:R4155)</f>
        <v>-1049491.05981695</v>
      </c>
    </row>
    <row r="4156" customFormat="false" ht="15" hidden="false" customHeight="false" outlineLevel="0" collapsed="false">
      <c r="A4156" s="4" t="s">
        <v>575</v>
      </c>
      <c r="B4156" s="36" t="s">
        <v>125</v>
      </c>
      <c r="C4156" s="54" t="n">
        <f aca="false">C4155*C4151</f>
        <v>-252988.586859998</v>
      </c>
      <c r="D4156" s="54" t="n">
        <f aca="false">D4155*D4151</f>
        <v>-189578.450400717</v>
      </c>
      <c r="E4156" s="54" t="n">
        <f aca="false">E4155*E4151</f>
        <v>-169023.045940463</v>
      </c>
      <c r="F4156" s="54" t="n">
        <f aca="false">F4155*F4151</f>
        <v>-145838.399430246</v>
      </c>
      <c r="G4156" s="54" t="n">
        <f aca="false">G4155*G4151</f>
        <v>-107368.239843597</v>
      </c>
      <c r="H4156" s="54" t="n">
        <f aca="false">H4155*H4151</f>
        <v>-55192.755100253</v>
      </c>
      <c r="I4156" s="54" t="n">
        <f aca="false">I4155*I4151</f>
        <v>-71684.5241125982</v>
      </c>
      <c r="J4156" s="54" t="n">
        <f aca="false">J4155*J4151</f>
        <v>-25258.3375686967</v>
      </c>
      <c r="K4156" s="54" t="n">
        <f aca="false">K4155*K4151</f>
        <v>-14458.4318799822</v>
      </c>
      <c r="L4156" s="54" t="n">
        <f aca="false">L4155*L4151</f>
        <v>1986.44128075276</v>
      </c>
      <c r="M4156" s="54" t="n">
        <f aca="false">M4155*M4151</f>
        <v>20791.7318378308</v>
      </c>
      <c r="N4156" s="54" t="n">
        <f aca="false">N4155*N4151</f>
        <v>38864.9293800095</v>
      </c>
      <c r="P4156" s="55" t="n">
        <f aca="false">SUM(C4156:F4156)</f>
        <v>-757428.482631424</v>
      </c>
      <c r="Q4156" s="55" t="n">
        <f aca="false">SUM(G4156:J4156)</f>
        <v>-259503.856625145</v>
      </c>
      <c r="R4156" s="55" t="n">
        <f aca="false">SUM(K4156:N4156)</f>
        <v>47184.6706186108</v>
      </c>
      <c r="S4156" s="56" t="n">
        <f aca="false">SUM(P4156:R4156)</f>
        <v>-969747.668637959</v>
      </c>
    </row>
    <row r="4157" customFormat="false" ht="15" hidden="false" customHeight="false" outlineLevel="0" collapsed="false">
      <c r="A4157" s="4" t="s">
        <v>576</v>
      </c>
      <c r="B4157" s="36"/>
      <c r="C4157" s="37" t="n">
        <f aca="false">IFERROR((S4112*$C$4061*Assumptions!$E$59+S4113*$C$4062*Assumptions!$E$60+S4114*$C$4063*Assumptions!$E$61)/(S4112*$C$4061+S4113*$C$4062+S4114*$C$4063),0.9)</f>
        <v>0.897354637016635</v>
      </c>
    </row>
    <row r="4158" customFormat="false" ht="15" hidden="false" customHeight="false" outlineLevel="0" collapsed="false">
      <c r="A4158" s="4" t="s">
        <v>577</v>
      </c>
      <c r="B4158" s="36"/>
      <c r="C4158" s="37" t="n">
        <f aca="false">IFERROR(N4146*4/N4124,0)</f>
        <v>0.176160250776068</v>
      </c>
    </row>
    <row r="4159" customFormat="false" ht="15" hidden="false" customHeight="false" outlineLevel="0" collapsed="false">
      <c r="A4159" s="4" t="s">
        <v>578</v>
      </c>
      <c r="B4159" s="36"/>
      <c r="C4159" s="60" t="n">
        <f aca="false">$C$4157/(1+Assumptions!$E$87)</f>
        <v>0.801209497336281</v>
      </c>
    </row>
    <row r="4160" customFormat="false" ht="15" hidden="false" customHeight="false" outlineLevel="0" collapsed="false">
      <c r="A4160" s="4" t="s">
        <v>579</v>
      </c>
      <c r="B4160" s="36"/>
      <c r="C4160" s="60" t="n">
        <f aca="false">Assumptions!$E$91/(1+Assumptions!$E$87)</f>
        <v>0.803571428571429</v>
      </c>
    </row>
    <row r="4161" customFormat="false" ht="15" hidden="false" customHeight="false" outlineLevel="0" collapsed="false">
      <c r="A4161" s="35" t="s">
        <v>580</v>
      </c>
      <c r="B4161" s="35" t="s">
        <v>444</v>
      </c>
      <c r="C4161" s="6" t="s">
        <v>354</v>
      </c>
      <c r="D4161" s="6" t="s">
        <v>355</v>
      </c>
      <c r="E4161" s="6" t="s">
        <v>356</v>
      </c>
      <c r="F4161" s="6" t="s">
        <v>357</v>
      </c>
      <c r="G4161" s="6" t="s">
        <v>358</v>
      </c>
      <c r="H4161" s="6" t="s">
        <v>359</v>
      </c>
      <c r="I4161" s="6" t="s">
        <v>360</v>
      </c>
      <c r="J4161" s="6" t="s">
        <v>361</v>
      </c>
      <c r="K4161" s="6" t="s">
        <v>362</v>
      </c>
      <c r="L4161" s="6" t="s">
        <v>363</v>
      </c>
      <c r="M4161" s="6" t="s">
        <v>364</v>
      </c>
      <c r="N4161" s="6" t="s">
        <v>365</v>
      </c>
      <c r="P4161" s="6" t="s">
        <v>445</v>
      </c>
      <c r="Q4161" s="6" t="s">
        <v>446</v>
      </c>
      <c r="R4161" s="6" t="s">
        <v>447</v>
      </c>
      <c r="S4161" s="6" t="s">
        <v>448</v>
      </c>
    </row>
    <row r="4162" customFormat="false" ht="15" hidden="false" customHeight="false" outlineLevel="0" collapsed="false">
      <c r="A4162" s="9" t="s">
        <v>581</v>
      </c>
      <c r="C4162" s="61" t="n">
        <f aca="false">N4124</f>
        <v>552861.059980696</v>
      </c>
      <c r="D4162" s="61"/>
    </row>
    <row r="4163" customFormat="false" ht="15" hidden="false" customHeight="false" outlineLevel="0" collapsed="false">
      <c r="A4163" s="9" t="s">
        <v>582</v>
      </c>
      <c r="C4163" s="62" t="n">
        <f aca="false">N4120</f>
        <v>53.8269237736077</v>
      </c>
      <c r="D4163" s="62"/>
    </row>
    <row r="4164" customFormat="false" ht="15" hidden="false" customHeight="false" outlineLevel="0" collapsed="false">
      <c r="A4164" s="9" t="s">
        <v>583</v>
      </c>
      <c r="C4164" s="63" t="n">
        <f aca="false">S4115</f>
        <v>59.4589099331907</v>
      </c>
      <c r="D4164" s="63"/>
    </row>
    <row r="4165" customFormat="false" ht="15" hidden="false" customHeight="false" outlineLevel="0" collapsed="false">
      <c r="A4165" s="9" t="s">
        <v>584</v>
      </c>
      <c r="C4165" s="61" t="n">
        <f aca="false">S4126</f>
        <v>533677.722591875</v>
      </c>
      <c r="D4165" s="61"/>
    </row>
    <row r="4166" customFormat="false" ht="15" hidden="false" customHeight="false" outlineLevel="0" collapsed="false">
      <c r="A4166" s="9" t="s">
        <v>22</v>
      </c>
      <c r="C4166" s="61" t="n">
        <f aca="false">IFERROR(S4125/S4115,0)</f>
        <v>8842.10733516018</v>
      </c>
      <c r="D4166" s="61"/>
    </row>
    <row r="4167" customFormat="false" ht="15" hidden="false" customHeight="false" outlineLevel="0" collapsed="false">
      <c r="A4167" s="9" t="s">
        <v>585</v>
      </c>
      <c r="C4167" s="61" t="n">
        <f aca="false">IFERROR(S4143/S4115,0)</f>
        <v>36701.2302528448</v>
      </c>
      <c r="D4167" s="61"/>
    </row>
    <row r="4168" customFormat="false" ht="23.85" hidden="false" customHeight="false" outlineLevel="0" collapsed="false">
      <c r="A4168" s="9" t="s">
        <v>586</v>
      </c>
      <c r="C4168" s="61" t="n">
        <f aca="false">IFERROR((S4137+S4139+S4140+S4141+S4142)/S4115,0)</f>
        <v>15009.4794522992</v>
      </c>
      <c r="D4168" s="61"/>
    </row>
    <row r="4169" customFormat="false" ht="15" hidden="false" customHeight="false" outlineLevel="0" collapsed="false">
      <c r="A4169" s="9" t="s">
        <v>587</v>
      </c>
      <c r="C4169" s="64" t="n">
        <f aca="false">IFERROR('Engine Runs'!$C$4167/('Engine Runs'!$C$4166*Assumptions!$E$76/12),0)</f>
        <v>76.6289243294284</v>
      </c>
      <c r="D4169" s="64"/>
    </row>
    <row r="4170" customFormat="false" ht="15" hidden="false" customHeight="false" outlineLevel="0" collapsed="false">
      <c r="A4170" s="9" t="s">
        <v>588</v>
      </c>
      <c r="C4170" s="64" t="n">
        <f aca="false">IFERROR((R4143/R4115)/((R4125/R4115)*Assumptions!$E$76/12),0)</f>
        <v>49.9242531762246</v>
      </c>
      <c r="D4170" s="64"/>
    </row>
    <row r="4171" customFormat="false" ht="15" hidden="false" customHeight="false" outlineLevel="0" collapsed="false">
      <c r="A4171" s="9" t="s">
        <v>589</v>
      </c>
      <c r="C4171" s="61" t="n">
        <f aca="false">S4147</f>
        <v>2996455.84158709</v>
      </c>
      <c r="D4171" s="61"/>
    </row>
    <row r="4172" customFormat="false" ht="15" hidden="false" customHeight="false" outlineLevel="0" collapsed="false">
      <c r="A4172" s="9" t="s">
        <v>590</v>
      </c>
      <c r="C4172" s="61" t="n">
        <f aca="false">N4150</f>
        <v>-2649565.32190237</v>
      </c>
      <c r="D4172" s="61"/>
    </row>
    <row r="4173" customFormat="false" ht="15" hidden="false" customHeight="false" outlineLevel="0" collapsed="false">
      <c r="A4173" s="9" t="s">
        <v>591</v>
      </c>
      <c r="C4173" s="61" t="n">
        <f aca="false">MIN($C$4150:$N$4150)</f>
        <v>-2649565.32190237</v>
      </c>
      <c r="D4173" s="61"/>
    </row>
    <row r="4174" customFormat="false" ht="15" hidden="false" customHeight="false" outlineLevel="0" collapsed="false">
      <c r="A4174" s="9" t="s">
        <v>592</v>
      </c>
      <c r="C4174" s="61" t="n">
        <f aca="false">N4124*(Assumptions!$E$76-$C$4158)*$C$4157*(1-$C$4157^Assumptions!$E$85)/(1-$C$4157)</f>
        <v>957615.407253738</v>
      </c>
      <c r="D4174" s="61"/>
    </row>
    <row r="4175" customFormat="false" ht="15" hidden="false" customHeight="false" outlineLevel="0" collapsed="false">
      <c r="A4175" s="9" t="s">
        <v>593</v>
      </c>
      <c r="C4175" s="61" t="n">
        <f aca="false">N4124*(Assumptions!$E$76-$C$4158)*(1-Assumptions!$E$88)/(1+Assumptions!$E$87)^2.5*$C$4159*(1-$C$4159^Assumptions!$E$85)/(1-$C$4159)</f>
        <v>426197.606042475</v>
      </c>
      <c r="D4175" s="61"/>
    </row>
    <row r="4176" customFormat="false" ht="15" hidden="false" customHeight="false" outlineLevel="0" collapsed="false">
      <c r="A4176" s="9" t="s">
        <v>594</v>
      </c>
      <c r="C4176" s="61" t="n">
        <f aca="false">SUM($C$4152:$N$4152)+'Engine Runs'!$C$4175</f>
        <v>-1866831.98748848</v>
      </c>
      <c r="D4176" s="61"/>
    </row>
    <row r="4177" customFormat="false" ht="15" hidden="false" customHeight="false" outlineLevel="0" collapsed="false">
      <c r="A4177" s="9" t="s">
        <v>595</v>
      </c>
      <c r="C4177" s="61" t="n">
        <f aca="false">SUM($C$4156:$N$4156)+N4154*(Assumptions!$E$76-Assumptions!$E$93)/(1+Assumptions!$E$87)^2.5*$C$4160*(1-$C$4160^Assumptions!$E$85)/(1-$C$4160)</f>
        <v>1520022.6114243</v>
      </c>
      <c r="D4177" s="61"/>
    </row>
    <row r="4178" customFormat="false" ht="15" hidden="false" customHeight="false" outlineLevel="0" collapsed="false">
      <c r="A4178" s="9" t="s">
        <v>596</v>
      </c>
      <c r="C4178" s="61" t="n">
        <f aca="false">'Engine Runs'!$C$4176-'Engine Runs'!$C$4177</f>
        <v>-3386854.59891278</v>
      </c>
      <c r="D4178" s="61"/>
    </row>
    <row r="4179" customFormat="false" ht="15" hidden="false" customHeight="false" outlineLevel="0" collapsed="false">
      <c r="A4179" s="9" t="s">
        <v>597</v>
      </c>
      <c r="C4179" s="61" t="n">
        <f aca="false">S4111</f>
        <v>0</v>
      </c>
      <c r="D4179" s="61"/>
    </row>
    <row r="4180" customFormat="false" ht="15" hidden="false" customHeight="false" outlineLevel="0" collapsed="false">
      <c r="A4180" s="9" t="s">
        <v>598</v>
      </c>
      <c r="C4180" s="63" t="n">
        <f aca="false">P4095</f>
        <v>46.7094434763787</v>
      </c>
      <c r="D4180" s="63"/>
    </row>
    <row r="4181" customFormat="false" ht="15" hidden="false" customHeight="false" outlineLevel="0" collapsed="false">
      <c r="A4181" s="9" t="s">
        <v>599</v>
      </c>
      <c r="C4181" s="63" t="n">
        <f aca="false">P4115</f>
        <v>6.63655954240353</v>
      </c>
      <c r="D4181" s="63"/>
    </row>
    <row r="4182" customFormat="false" ht="15" hidden="false" customHeight="false" outlineLevel="0" collapsed="false">
      <c r="A4182" s="9" t="s">
        <v>600</v>
      </c>
      <c r="C4182" s="63" t="n">
        <f aca="false">P4091</f>
        <v>42</v>
      </c>
      <c r="D4182" s="63"/>
    </row>
    <row r="4183" customFormat="false" ht="15" hidden="false" customHeight="false" outlineLevel="0" collapsed="false">
      <c r="A4183" s="9" t="s">
        <v>601</v>
      </c>
      <c r="C4183" s="61" t="n">
        <f aca="false">IFERROR(P4125/P4115,0)</f>
        <v>8547.08036982483</v>
      </c>
      <c r="D4183" s="61"/>
    </row>
    <row r="4186" customFormat="false" ht="15" hidden="false" customHeight="true" outlineLevel="0" collapsed="false">
      <c r="A4186" s="78" t="s">
        <v>831</v>
      </c>
      <c r="B4186" s="78"/>
      <c r="C4186" s="78"/>
      <c r="D4186" s="78"/>
      <c r="E4186" s="78"/>
      <c r="F4186" s="78"/>
      <c r="G4186" s="78"/>
      <c r="H4186" s="78"/>
      <c r="I4186" s="78"/>
      <c r="J4186" s="78"/>
      <c r="K4186" s="78"/>
      <c r="L4186" s="78"/>
      <c r="M4186" s="78"/>
      <c r="N4186" s="78"/>
    </row>
    <row r="4187" customFormat="false" ht="15" hidden="false" customHeight="true" outlineLevel="0" collapsed="false">
      <c r="A4187" s="79" t="s">
        <v>832</v>
      </c>
      <c r="B4187" s="79"/>
      <c r="C4187" s="79"/>
      <c r="D4187" s="79"/>
      <c r="E4187" s="79"/>
      <c r="F4187" s="79"/>
      <c r="G4187" s="79"/>
      <c r="H4187" s="79"/>
      <c r="I4187" s="79"/>
      <c r="J4187" s="79"/>
      <c r="K4187" s="79"/>
      <c r="L4187" s="79"/>
      <c r="M4187" s="79"/>
      <c r="N4187" s="79"/>
    </row>
    <row r="4188" customFormat="false" ht="23.85" hidden="false" customHeight="false" outlineLevel="0" collapsed="false">
      <c r="A4188" s="35" t="s">
        <v>833</v>
      </c>
      <c r="B4188" s="35" t="s">
        <v>444</v>
      </c>
      <c r="C4188" s="6" t="s">
        <v>354</v>
      </c>
      <c r="D4188" s="6" t="s">
        <v>355</v>
      </c>
      <c r="E4188" s="6" t="s">
        <v>356</v>
      </c>
      <c r="F4188" s="6" t="s">
        <v>357</v>
      </c>
      <c r="G4188" s="6" t="s">
        <v>358</v>
      </c>
      <c r="H4188" s="6" t="s">
        <v>359</v>
      </c>
      <c r="I4188" s="6" t="s">
        <v>360</v>
      </c>
      <c r="J4188" s="6" t="s">
        <v>361</v>
      </c>
      <c r="K4188" s="6" t="s">
        <v>362</v>
      </c>
      <c r="L4188" s="6" t="s">
        <v>363</v>
      </c>
      <c r="M4188" s="6" t="s">
        <v>364</v>
      </c>
      <c r="N4188" s="6" t="s">
        <v>365</v>
      </c>
      <c r="P4188" s="6" t="s">
        <v>445</v>
      </c>
      <c r="Q4188" s="6" t="s">
        <v>446</v>
      </c>
      <c r="R4188" s="6" t="s">
        <v>447</v>
      </c>
      <c r="S4188" s="6" t="s">
        <v>448</v>
      </c>
    </row>
    <row r="4189" customFormat="false" ht="15" hidden="false" customHeight="false" outlineLevel="0" collapsed="false">
      <c r="A4189" s="4" t="s">
        <v>449</v>
      </c>
      <c r="B4189" s="36" t="s">
        <v>450</v>
      </c>
      <c r="C4189" s="34" t="n">
        <f aca="false">'Market Sizing'!$C$17*Assumptions!$E$10*Assumptions!$E$11*(1-Assumptions!$E$12)</f>
        <v>843.03944704</v>
      </c>
    </row>
    <row r="4190" customFormat="false" ht="15" hidden="false" customHeight="false" outlineLevel="0" collapsed="false">
      <c r="A4190" s="4" t="s">
        <v>451</v>
      </c>
      <c r="B4190" s="36" t="s">
        <v>450</v>
      </c>
      <c r="C4190" s="34" t="n">
        <f aca="false">'Market Sizing'!$D$17*Assumptions!$E$10*Assumptions!$E$11*(1-Assumptions!$E$12)</f>
        <v>211.19616</v>
      </c>
    </row>
    <row r="4191" customFormat="false" ht="15" hidden="false" customHeight="false" outlineLevel="0" collapsed="false">
      <c r="A4191" s="4" t="s">
        <v>452</v>
      </c>
      <c r="B4191" s="36" t="s">
        <v>450</v>
      </c>
      <c r="C4191" s="34" t="n">
        <f aca="false">'Market Sizing'!$E$17*Assumptions!$E$10*Assumptions!$E$11*(1-Assumptions!$E$12)</f>
        <v>49.53984</v>
      </c>
    </row>
    <row r="4192" customFormat="false" ht="15" hidden="false" customHeight="false" outlineLevel="0" collapsed="false">
      <c r="A4192" s="4" t="s">
        <v>453</v>
      </c>
      <c r="B4192" s="36"/>
      <c r="C4192" s="34" t="n">
        <f aca="false">$C$4189+$C$4190+$C$4191</f>
        <v>1103.77544704</v>
      </c>
    </row>
    <row r="4193" customFormat="false" ht="15" hidden="false" customHeight="false" outlineLevel="0" collapsed="false">
      <c r="A4193" s="4" t="s">
        <v>454</v>
      </c>
      <c r="B4193" s="36" t="s">
        <v>450</v>
      </c>
      <c r="C4193" s="34" t="n">
        <f aca="false">'Market Sizing'!$C$18*Assumptions!$E$10*Assumptions!$E$11*(1-Assumptions!$E$12)</f>
        <v>612.57706944</v>
      </c>
    </row>
    <row r="4194" customFormat="false" ht="15" hidden="false" customHeight="false" outlineLevel="0" collapsed="false">
      <c r="A4194" s="4" t="s">
        <v>455</v>
      </c>
      <c r="B4194" s="36" t="s">
        <v>450</v>
      </c>
      <c r="C4194" s="34" t="n">
        <f aca="false">'Market Sizing'!$D$18*Assumptions!$E$10*Assumptions!$E$11*(1-Assumptions!$E$12)</f>
        <v>142.10112</v>
      </c>
    </row>
    <row r="4195" customFormat="false" ht="15" hidden="false" customHeight="false" outlineLevel="0" collapsed="false">
      <c r="A4195" s="4" t="s">
        <v>456</v>
      </c>
      <c r="B4195" s="36" t="s">
        <v>450</v>
      </c>
      <c r="C4195" s="34" t="n">
        <f aca="false">'Market Sizing'!$E$18*Assumptions!$E$10*Assumptions!$E$11*(1-Assumptions!$E$12)</f>
        <v>24.76992</v>
      </c>
    </row>
    <row r="4196" customFormat="false" ht="15" hidden="false" customHeight="false" outlineLevel="0" collapsed="false">
      <c r="A4196" s="4" t="s">
        <v>457</v>
      </c>
      <c r="B4196" s="36"/>
      <c r="C4196" s="34" t="n">
        <f aca="false">$C$4193+$C$4194+$C$4195</f>
        <v>779.44810944</v>
      </c>
    </row>
    <row r="4197" customFormat="false" ht="15" hidden="false" customHeight="false" outlineLevel="0" collapsed="false">
      <c r="A4197" s="4" t="s">
        <v>458</v>
      </c>
      <c r="B4197" s="36" t="s">
        <v>450</v>
      </c>
      <c r="C4197" s="34" t="n">
        <f aca="false">'Market Sizing'!$C$19*Assumptions!$E$10*Assumptions!$E$11*(1-Assumptions!$E$12)</f>
        <v>2060.77303936</v>
      </c>
    </row>
    <row r="4198" customFormat="false" ht="15" hidden="false" customHeight="false" outlineLevel="0" collapsed="false">
      <c r="A4198" s="4" t="s">
        <v>459</v>
      </c>
      <c r="B4198" s="36" t="s">
        <v>450</v>
      </c>
      <c r="C4198" s="34" t="n">
        <f aca="false">'Market Sizing'!$D$19*Assumptions!$E$10*Assumptions!$E$11*(1-Assumptions!$E$12)</f>
        <v>428.47616</v>
      </c>
    </row>
    <row r="4199" customFormat="false" ht="15" hidden="false" customHeight="false" outlineLevel="0" collapsed="false">
      <c r="A4199" s="4" t="s">
        <v>460</v>
      </c>
      <c r="B4199" s="36" t="s">
        <v>450</v>
      </c>
      <c r="C4199" s="34" t="n">
        <f aca="false">'Market Sizing'!$E$19*Assumptions!$E$10*Assumptions!$E$11*(1-Assumptions!$E$12)</f>
        <v>79.52448</v>
      </c>
    </row>
    <row r="4200" customFormat="false" ht="15" hidden="false" customHeight="false" outlineLevel="0" collapsed="false">
      <c r="A4200" s="4" t="s">
        <v>461</v>
      </c>
      <c r="B4200" s="36"/>
      <c r="C4200" s="34" t="n">
        <f aca="false">$C$4197+$C$4198+$C$4199</f>
        <v>2568.77367936</v>
      </c>
    </row>
    <row r="4201" customFormat="false" ht="15" hidden="false" customHeight="false" outlineLevel="0" collapsed="false">
      <c r="A4201" s="4" t="s">
        <v>462</v>
      </c>
      <c r="B4201" s="36" t="s">
        <v>463</v>
      </c>
      <c r="C4201" s="33" t="n">
        <f aca="false">MAX((Assumptions!$E$51+Assumptions!$E$53)*12,(((('Market Sizing'!$E$25*Assumptions!$E$41*Assumptions!$E$42*Assumptions!$E$43)*Assumptions!$E$44)*Assumptions!$E$45*Assumptions!$E$46+('Market Sizing'!$E$25*Assumptions!$E$41*Assumptions!$E$42*Assumptions!$E$43)*Assumptions!$E$47+('Market Sizing'!$E$25*Assumptions!$E$41*Assumptions!$E$42*Assumptions!$E$43)*Assumptions!$E$48*Assumptions!$E$49)*(Assumptions!$E$51*12/Assumptions!$E$52)+((('Market Sizing'!$E$25*Assumptions!$E$41*Assumptions!$E$42*Assumptions!$E$43)*Assumptions!$E$44)*Assumptions!$E$45+('Market Sizing'!$E$25*Assumptions!$E$41*Assumptions!$E$42*Assumptions!$E$43)+('Market Sizing'!$E$25*Assumptions!$E$41*Assumptions!$E$42*Assumptions!$E$43)*Assumptions!$E$48)*Assumptions!$E$50*(Assumptions!$E$53*12/Assumptions!$E$54)))</f>
        <v>5352</v>
      </c>
    </row>
    <row r="4202" customFormat="false" ht="15" hidden="false" customHeight="false" outlineLevel="0" collapsed="false">
      <c r="A4202" s="4" t="s">
        <v>464</v>
      </c>
      <c r="B4202" s="36" t="s">
        <v>463</v>
      </c>
      <c r="C4202" s="33" t="n">
        <f aca="false">MAX((Assumptions!$E$51+Assumptions!$E$53)*12,(((('Market Sizing'!$E$26*Assumptions!$E$41*Assumptions!$E$42*Assumptions!$E$43)*Assumptions!$E$44)*Assumptions!$E$45*Assumptions!$E$46+('Market Sizing'!$E$26*Assumptions!$E$41*Assumptions!$E$42*Assumptions!$E$43)*Assumptions!$E$47+('Market Sizing'!$E$26*Assumptions!$E$41*Assumptions!$E$42*Assumptions!$E$43)*Assumptions!$E$48*Assumptions!$E$49)*(Assumptions!$E$51*12/Assumptions!$E$52)+((('Market Sizing'!$E$26*Assumptions!$E$41*Assumptions!$E$42*Assumptions!$E$43)*Assumptions!$E$44)*Assumptions!$E$45+('Market Sizing'!$E$26*Assumptions!$E$41*Assumptions!$E$42*Assumptions!$E$43)+('Market Sizing'!$E$26*Assumptions!$E$41*Assumptions!$E$42*Assumptions!$E$43)*Assumptions!$E$48)*Assumptions!$E$50*(Assumptions!$E$53*12/Assumptions!$E$54)))</f>
        <v>9766.72012875208</v>
      </c>
    </row>
    <row r="4203" customFormat="false" ht="15" hidden="false" customHeight="false" outlineLevel="0" collapsed="false">
      <c r="A4203" s="4" t="s">
        <v>465</v>
      </c>
      <c r="B4203" s="36" t="s">
        <v>463</v>
      </c>
      <c r="C4203" s="33" t="n">
        <f aca="false">MAX(Assumptions!$E$55*(Assumptions!$E$51*12/Assumptions!$E$52)+Assumptions!$E$56*(Assumptions!$E$53*12/Assumptions!$E$54),(((('Market Sizing'!$E$27*Assumptions!$E$41*Assumptions!$E$42*Assumptions!$E$43)*Assumptions!$E$44)*Assumptions!$E$45*Assumptions!$E$46+('Market Sizing'!$E$27*Assumptions!$E$41*Assumptions!$E$42*Assumptions!$E$43)*Assumptions!$E$47+('Market Sizing'!$E$27*Assumptions!$E$41*Assumptions!$E$42*Assumptions!$E$43)*Assumptions!$E$48*Assumptions!$E$49)*(Assumptions!$E$51*12/Assumptions!$E$52)+((('Market Sizing'!$E$27*Assumptions!$E$41*Assumptions!$E$42*Assumptions!$E$43)*Assumptions!$E$44)*Assumptions!$E$45+('Market Sizing'!$E$27*Assumptions!$E$41*Assumptions!$E$42*Assumptions!$E$43)+('Market Sizing'!$E$27*Assumptions!$E$41*Assumptions!$E$42*Assumptions!$E$43)*Assumptions!$E$48)*Assumptions!$E$50*(Assumptions!$E$53*12/Assumptions!$E$54)))*(1-Assumptions!$E$57)</f>
        <v>61778.2562194386</v>
      </c>
    </row>
    <row r="4204" customFormat="false" ht="23.85" hidden="false" customHeight="false" outlineLevel="0" collapsed="false">
      <c r="A4204" s="4" t="s">
        <v>466</v>
      </c>
      <c r="B4204" s="36" t="s">
        <v>467</v>
      </c>
      <c r="C4204" s="37" t="n">
        <f aca="false">Assumptions!$E$17*Assumptions!$D$106</f>
        <v>0.4</v>
      </c>
    </row>
    <row r="4205" customFormat="false" ht="23.85" hidden="false" customHeight="false" outlineLevel="0" collapsed="false">
      <c r="A4205" s="4" t="s">
        <v>468</v>
      </c>
      <c r="B4205" s="36" t="s">
        <v>469</v>
      </c>
      <c r="C4205" s="33" t="n">
        <f aca="false">Assumptions!$E$68/Assumptions!$E$69</f>
        <v>285714.285714286</v>
      </c>
    </row>
    <row r="4206" customFormat="false" ht="23.85" hidden="false" customHeight="false" outlineLevel="0" collapsed="false">
      <c r="A4206" s="4" t="s">
        <v>470</v>
      </c>
      <c r="B4206" s="36" t="s">
        <v>471</v>
      </c>
      <c r="C4206" s="33" t="n">
        <f aca="false">Assumptions!$E$66*Assumptions!$E$67/4</f>
        <v>153125</v>
      </c>
    </row>
    <row r="4207" customFormat="false" ht="15" hidden="false" customHeight="false" outlineLevel="0" collapsed="false">
      <c r="A4207" s="4" t="s">
        <v>472</v>
      </c>
      <c r="B4207" s="36"/>
      <c r="C4207" s="38" t="n">
        <f aca="false">$C$4205/Assumptions!$E$66/Assumptions!$E$67</f>
        <v>0.466472303206997</v>
      </c>
    </row>
    <row r="4208" customFormat="false" ht="15" hidden="false" customHeight="false" outlineLevel="0" collapsed="false">
      <c r="A4208" s="4" t="s">
        <v>473</v>
      </c>
      <c r="B4208" s="36"/>
      <c r="C4208" s="33" t="n">
        <f aca="false">MAX(0,Assumptions!$D$103-Assumptions!$E$78)</f>
        <v>0</v>
      </c>
    </row>
    <row r="4209" customFormat="false" ht="15" hidden="false" customHeight="false" outlineLevel="0" collapsed="false">
      <c r="A4209" s="35" t="s">
        <v>474</v>
      </c>
      <c r="B4209" s="35" t="s">
        <v>444</v>
      </c>
      <c r="C4209" s="6" t="s">
        <v>354</v>
      </c>
      <c r="D4209" s="6" t="s">
        <v>355</v>
      </c>
      <c r="E4209" s="6" t="s">
        <v>356</v>
      </c>
      <c r="F4209" s="6" t="s">
        <v>357</v>
      </c>
      <c r="G4209" s="6" t="s">
        <v>358</v>
      </c>
      <c r="H4209" s="6" t="s">
        <v>359</v>
      </c>
      <c r="I4209" s="6" t="s">
        <v>360</v>
      </c>
      <c r="J4209" s="6" t="s">
        <v>361</v>
      </c>
      <c r="K4209" s="6" t="s">
        <v>362</v>
      </c>
      <c r="L4209" s="6" t="s">
        <v>363</v>
      </c>
      <c r="M4209" s="6" t="s">
        <v>364</v>
      </c>
      <c r="N4209" s="6" t="s">
        <v>365</v>
      </c>
      <c r="P4209" s="6" t="s">
        <v>445</v>
      </c>
      <c r="Q4209" s="6" t="s">
        <v>446</v>
      </c>
      <c r="R4209" s="6" t="s">
        <v>447</v>
      </c>
      <c r="S4209" s="6" t="s">
        <v>448</v>
      </c>
    </row>
    <row r="4210" customFormat="false" ht="15" hidden="false" customHeight="false" outlineLevel="0" collapsed="false">
      <c r="A4210" s="4" t="s">
        <v>475</v>
      </c>
      <c r="B4210" s="36" t="s">
        <v>133</v>
      </c>
      <c r="C4210" s="39" t="n">
        <v>1</v>
      </c>
      <c r="D4210" s="39" t="n">
        <v>2</v>
      </c>
      <c r="E4210" s="39" t="n">
        <v>3</v>
      </c>
      <c r="F4210" s="39" t="n">
        <v>4</v>
      </c>
      <c r="G4210" s="39" t="n">
        <v>5</v>
      </c>
      <c r="H4210" s="39" t="n">
        <v>6</v>
      </c>
      <c r="I4210" s="39" t="n">
        <v>7</v>
      </c>
      <c r="J4210" s="39" t="n">
        <v>8</v>
      </c>
      <c r="K4210" s="39" t="n">
        <v>9</v>
      </c>
      <c r="L4210" s="39" t="n">
        <v>10</v>
      </c>
      <c r="M4210" s="39" t="n">
        <v>11</v>
      </c>
      <c r="N4210" s="39" t="n">
        <v>12</v>
      </c>
      <c r="P4210" s="40"/>
      <c r="Q4210" s="40"/>
      <c r="R4210" s="40"/>
      <c r="S4210" s="41"/>
    </row>
    <row r="4211" customFormat="false" ht="15" hidden="false" customHeight="false" outlineLevel="0" collapsed="false">
      <c r="A4211" s="4" t="s">
        <v>476</v>
      </c>
      <c r="B4211" s="36" t="s">
        <v>343</v>
      </c>
      <c r="C4211" s="39" t="n">
        <f aca="false">IF(C4210&lt;=Assumptions!$E$84,1,0)</f>
        <v>1</v>
      </c>
      <c r="D4211" s="39" t="n">
        <f aca="false">IF(D4210&lt;=Assumptions!$E$84,1,0)</f>
        <v>1</v>
      </c>
      <c r="E4211" s="39" t="n">
        <f aca="false">IF(E4210&lt;=Assumptions!$E$84,1,0)</f>
        <v>1</v>
      </c>
      <c r="F4211" s="39" t="n">
        <f aca="false">IF(F4210&lt;=Assumptions!$E$84,1,0)</f>
        <v>1</v>
      </c>
      <c r="G4211" s="39" t="n">
        <f aca="false">IF(G4210&lt;=Assumptions!$E$84,1,0)</f>
        <v>1</v>
      </c>
      <c r="H4211" s="39" t="n">
        <f aca="false">IF(H4210&lt;=Assumptions!$E$84,1,0)</f>
        <v>1</v>
      </c>
      <c r="I4211" s="39" t="n">
        <f aca="false">IF(I4210&lt;=Assumptions!$E$84,1,0)</f>
        <v>1</v>
      </c>
      <c r="J4211" s="39" t="n">
        <f aca="false">IF(J4210&lt;=Assumptions!$E$84,1,0)</f>
        <v>1</v>
      </c>
      <c r="K4211" s="39" t="n">
        <f aca="false">IF(K4210&lt;=Assumptions!$E$84,1,0)</f>
        <v>1</v>
      </c>
      <c r="L4211" s="39" t="n">
        <f aca="false">IF(L4210&lt;=Assumptions!$E$84,1,0)</f>
        <v>1</v>
      </c>
      <c r="M4211" s="39" t="n">
        <f aca="false">IF(M4210&lt;=Assumptions!$E$84,1,0)</f>
        <v>1</v>
      </c>
      <c r="N4211" s="39" t="n">
        <f aca="false">IF(N4210&lt;=Assumptions!$E$84,1,0)</f>
        <v>1</v>
      </c>
      <c r="P4211" s="40"/>
      <c r="Q4211" s="40"/>
      <c r="R4211" s="40"/>
      <c r="S4211" s="41"/>
    </row>
    <row r="4212" customFormat="false" ht="15" hidden="false" customHeight="false" outlineLevel="0" collapsed="false">
      <c r="A4212" s="4" t="s">
        <v>477</v>
      </c>
      <c r="B4212" s="36" t="s">
        <v>478</v>
      </c>
      <c r="C4212" s="42" t="n">
        <f aca="false">IF(C4210=Assumptions!$E$13,0.5,IF(C4210&gt;Assumptions!$E$13,1,0))</f>
        <v>0.5</v>
      </c>
      <c r="D4212" s="42" t="n">
        <f aca="false">IF(D4210=Assumptions!$E$13,0.5,IF(D4210&gt;Assumptions!$E$13,1,0))</f>
        <v>1</v>
      </c>
      <c r="E4212" s="42" t="n">
        <f aca="false">IF(E4210=Assumptions!$E$13,0.5,IF(E4210&gt;Assumptions!$E$13,1,0))</f>
        <v>1</v>
      </c>
      <c r="F4212" s="42" t="n">
        <f aca="false">IF(F4210=Assumptions!$E$13,0.5,IF(F4210&gt;Assumptions!$E$13,1,0))</f>
        <v>1</v>
      </c>
      <c r="G4212" s="42" t="n">
        <f aca="false">IF(G4210=Assumptions!$E$13,0.5,IF(G4210&gt;Assumptions!$E$13,1,0))</f>
        <v>1</v>
      </c>
      <c r="H4212" s="42" t="n">
        <f aca="false">IF(H4210=Assumptions!$E$13,0.5,IF(H4210&gt;Assumptions!$E$13,1,0))</f>
        <v>1</v>
      </c>
      <c r="I4212" s="42" t="n">
        <f aca="false">IF(I4210=Assumptions!$E$13,0.5,IF(I4210&gt;Assumptions!$E$13,1,0))</f>
        <v>1</v>
      </c>
      <c r="J4212" s="42" t="n">
        <f aca="false">IF(J4210=Assumptions!$E$13,0.5,IF(J4210&gt;Assumptions!$E$13,1,0))</f>
        <v>1</v>
      </c>
      <c r="K4212" s="42" t="n">
        <f aca="false">IF(K4210=Assumptions!$E$13,0.5,IF(K4210&gt;Assumptions!$E$13,1,0))</f>
        <v>1</v>
      </c>
      <c r="L4212" s="42" t="n">
        <f aca="false">IF(L4210=Assumptions!$E$13,0.5,IF(L4210&gt;Assumptions!$E$13,1,0))</f>
        <v>1</v>
      </c>
      <c r="M4212" s="42" t="n">
        <f aca="false">IF(M4210=Assumptions!$E$13,0.5,IF(M4210&gt;Assumptions!$E$13,1,0))</f>
        <v>1</v>
      </c>
      <c r="N4212" s="42" t="n">
        <f aca="false">IF(N4210=Assumptions!$E$13,0.5,IF(N4210&gt;Assumptions!$E$13,1,0))</f>
        <v>1</v>
      </c>
      <c r="P4212" s="43"/>
      <c r="Q4212" s="43"/>
      <c r="R4212" s="43"/>
      <c r="S4212" s="44"/>
    </row>
    <row r="4213" customFormat="false" ht="15" hidden="false" customHeight="false" outlineLevel="0" collapsed="false">
      <c r="A4213" s="4" t="s">
        <v>479</v>
      </c>
      <c r="B4213" s="36" t="s">
        <v>478</v>
      </c>
      <c r="C4213" s="42" t="n">
        <f aca="false">IF(C4210=Assumptions!$E$14,0.5,IF(C4210&gt;Assumptions!$E$14,1,0))</f>
        <v>0</v>
      </c>
      <c r="D4213" s="42" t="n">
        <f aca="false">IF(D4210=Assumptions!$E$14,0.5,IF(D4210&gt;Assumptions!$E$14,1,0))</f>
        <v>0</v>
      </c>
      <c r="E4213" s="42" t="n">
        <f aca="false">IF(E4210=Assumptions!$E$14,0.5,IF(E4210&gt;Assumptions!$E$14,1,0))</f>
        <v>0</v>
      </c>
      <c r="F4213" s="42" t="n">
        <f aca="false">IF(F4210=Assumptions!$E$14,0.5,IF(F4210&gt;Assumptions!$E$14,1,0))</f>
        <v>0</v>
      </c>
      <c r="G4213" s="42" t="n">
        <f aca="false">IF(G4210=Assumptions!$E$14,0.5,IF(G4210&gt;Assumptions!$E$14,1,0))</f>
        <v>0.5</v>
      </c>
      <c r="H4213" s="42" t="n">
        <f aca="false">IF(H4210=Assumptions!$E$14,0.5,IF(H4210&gt;Assumptions!$E$14,1,0))</f>
        <v>1</v>
      </c>
      <c r="I4213" s="42" t="n">
        <f aca="false">IF(I4210=Assumptions!$E$14,0.5,IF(I4210&gt;Assumptions!$E$14,1,0))</f>
        <v>1</v>
      </c>
      <c r="J4213" s="42" t="n">
        <f aca="false">IF(J4210=Assumptions!$E$14,0.5,IF(J4210&gt;Assumptions!$E$14,1,0))</f>
        <v>1</v>
      </c>
      <c r="K4213" s="42" t="n">
        <f aca="false">IF(K4210=Assumptions!$E$14,0.5,IF(K4210&gt;Assumptions!$E$14,1,0))</f>
        <v>1</v>
      </c>
      <c r="L4213" s="42" t="n">
        <f aca="false">IF(L4210=Assumptions!$E$14,0.5,IF(L4210&gt;Assumptions!$E$14,1,0))</f>
        <v>1</v>
      </c>
      <c r="M4213" s="42" t="n">
        <f aca="false">IF(M4210=Assumptions!$E$14,0.5,IF(M4210&gt;Assumptions!$E$14,1,0))</f>
        <v>1</v>
      </c>
      <c r="N4213" s="42" t="n">
        <f aca="false">IF(N4210=Assumptions!$E$14,0.5,IF(N4210&gt;Assumptions!$E$14,1,0))</f>
        <v>1</v>
      </c>
      <c r="P4213" s="43"/>
      <c r="Q4213" s="43"/>
      <c r="R4213" s="43"/>
      <c r="S4213" s="44"/>
    </row>
    <row r="4214" customFormat="false" ht="15" hidden="false" customHeight="false" outlineLevel="0" collapsed="false">
      <c r="A4214" s="4" t="s">
        <v>480</v>
      </c>
      <c r="B4214" s="36" t="s">
        <v>478</v>
      </c>
      <c r="C4214" s="42" t="n">
        <f aca="false">IF(C4210=Assumptions!$E$15,0.5,IF(C4210&gt;Assumptions!$E$15,1,0))</f>
        <v>0</v>
      </c>
      <c r="D4214" s="42" t="n">
        <f aca="false">IF(D4210=Assumptions!$E$15,0.5,IF(D4210&gt;Assumptions!$E$15,1,0))</f>
        <v>0</v>
      </c>
      <c r="E4214" s="42" t="n">
        <f aca="false">IF(E4210=Assumptions!$E$15,0.5,IF(E4210&gt;Assumptions!$E$15,1,0))</f>
        <v>0</v>
      </c>
      <c r="F4214" s="42" t="n">
        <f aca="false">IF(F4210=Assumptions!$E$15,0.5,IF(F4210&gt;Assumptions!$E$15,1,0))</f>
        <v>0</v>
      </c>
      <c r="G4214" s="42" t="n">
        <f aca="false">IF(G4210=Assumptions!$E$15,0.5,IF(G4210&gt;Assumptions!$E$15,1,0))</f>
        <v>0</v>
      </c>
      <c r="H4214" s="42" t="n">
        <f aca="false">IF(H4210=Assumptions!$E$15,0.5,IF(H4210&gt;Assumptions!$E$15,1,0))</f>
        <v>0</v>
      </c>
      <c r="I4214" s="42" t="n">
        <f aca="false">IF(I4210=Assumptions!$E$15,0.5,IF(I4210&gt;Assumptions!$E$15,1,0))</f>
        <v>0.5</v>
      </c>
      <c r="J4214" s="42" t="n">
        <f aca="false">IF(J4210=Assumptions!$E$15,0.5,IF(J4210&gt;Assumptions!$E$15,1,0))</f>
        <v>1</v>
      </c>
      <c r="K4214" s="42" t="n">
        <f aca="false">IF(K4210=Assumptions!$E$15,0.5,IF(K4210&gt;Assumptions!$E$15,1,0))</f>
        <v>1</v>
      </c>
      <c r="L4214" s="42" t="n">
        <f aca="false">IF(L4210=Assumptions!$E$15,0.5,IF(L4210&gt;Assumptions!$E$15,1,0))</f>
        <v>1</v>
      </c>
      <c r="M4214" s="42" t="n">
        <f aca="false">IF(M4210=Assumptions!$E$15,0.5,IF(M4210&gt;Assumptions!$E$15,1,0))</f>
        <v>1</v>
      </c>
      <c r="N4214" s="42" t="n">
        <f aca="false">IF(N4210=Assumptions!$E$15,0.5,IF(N4210&gt;Assumptions!$E$15,1,0))</f>
        <v>1</v>
      </c>
      <c r="P4214" s="43"/>
      <c r="Q4214" s="43"/>
      <c r="R4214" s="43"/>
      <c r="S4214" s="44"/>
    </row>
    <row r="4215" customFormat="false" ht="15" hidden="false" customHeight="false" outlineLevel="0" collapsed="false">
      <c r="A4215" s="4" t="s">
        <v>481</v>
      </c>
      <c r="B4215" s="36" t="s">
        <v>478</v>
      </c>
      <c r="C4215" s="45" t="n">
        <f aca="false">Assumptions!$E$21^(MAX(0,C4210-Assumptions!$E$13)/4)</f>
        <v>1</v>
      </c>
      <c r="D4215" s="45" t="n">
        <f aca="false">Assumptions!$E$21^(MAX(0,D4210-Assumptions!$E$13)/4)</f>
        <v>0.9306048591021</v>
      </c>
      <c r="E4215" s="45" t="n">
        <f aca="false">Assumptions!$E$21^(MAX(0,E4210-Assumptions!$E$13)/4)</f>
        <v>0.866025403784439</v>
      </c>
      <c r="F4215" s="45" t="n">
        <f aca="false">Assumptions!$E$21^(MAX(0,F4210-Assumptions!$E$13)/4)</f>
        <v>0.805927448867656</v>
      </c>
      <c r="G4215" s="45" t="n">
        <f aca="false">Assumptions!$E$21^(MAX(0,G4210-Assumptions!$E$13)/4)</f>
        <v>0.75</v>
      </c>
      <c r="H4215" s="45" t="n">
        <f aca="false">Assumptions!$E$21^(MAX(0,H4210-Assumptions!$E$13)/4)</f>
        <v>0.697953644326575</v>
      </c>
      <c r="I4215" s="45" t="n">
        <f aca="false">Assumptions!$E$21^(MAX(0,I4210-Assumptions!$E$13)/4)</f>
        <v>0.649519052838329</v>
      </c>
      <c r="J4215" s="45" t="n">
        <f aca="false">Assumptions!$E$21^(MAX(0,J4210-Assumptions!$E$13)/4)</f>
        <v>0.604445586650742</v>
      </c>
      <c r="K4215" s="45" t="n">
        <f aca="false">Assumptions!$E$21^(MAX(0,K4210-Assumptions!$E$13)/4)</f>
        <v>0.5625</v>
      </c>
      <c r="L4215" s="45" t="n">
        <f aca="false">Assumptions!$E$21^(MAX(0,L4210-Assumptions!$E$13)/4)</f>
        <v>0.523465233244931</v>
      </c>
      <c r="M4215" s="45" t="n">
        <f aca="false">Assumptions!$E$21^(MAX(0,M4210-Assumptions!$E$13)/4)</f>
        <v>0.487139289628747</v>
      </c>
      <c r="N4215" s="45" t="n">
        <f aca="false">Assumptions!$E$21^(MAX(0,N4210-Assumptions!$E$13)/4)</f>
        <v>0.453334189988057</v>
      </c>
      <c r="P4215" s="46"/>
      <c r="Q4215" s="46"/>
      <c r="R4215" s="46"/>
      <c r="S4215" s="47"/>
    </row>
    <row r="4216" customFormat="false" ht="15" hidden="false" customHeight="false" outlineLevel="0" collapsed="false">
      <c r="A4216" s="4" t="s">
        <v>482</v>
      </c>
      <c r="B4216" s="36" t="s">
        <v>478</v>
      </c>
      <c r="C4216" s="45" t="n">
        <f aca="false">Assumptions!$E$21^(MAX(0,C4210-Assumptions!$E$14)/4)</f>
        <v>1</v>
      </c>
      <c r="D4216" s="45" t="n">
        <f aca="false">Assumptions!$E$21^(MAX(0,D4210-Assumptions!$E$14)/4)</f>
        <v>1</v>
      </c>
      <c r="E4216" s="45" t="n">
        <f aca="false">Assumptions!$E$21^(MAX(0,E4210-Assumptions!$E$14)/4)</f>
        <v>1</v>
      </c>
      <c r="F4216" s="45" t="n">
        <f aca="false">Assumptions!$E$21^(MAX(0,F4210-Assumptions!$E$14)/4)</f>
        <v>1</v>
      </c>
      <c r="G4216" s="45" t="n">
        <f aca="false">Assumptions!$E$21^(MAX(0,G4210-Assumptions!$E$14)/4)</f>
        <v>1</v>
      </c>
      <c r="H4216" s="45" t="n">
        <f aca="false">Assumptions!$E$21^(MAX(0,H4210-Assumptions!$E$14)/4)</f>
        <v>0.9306048591021</v>
      </c>
      <c r="I4216" s="45" t="n">
        <f aca="false">Assumptions!$E$21^(MAX(0,I4210-Assumptions!$E$14)/4)</f>
        <v>0.866025403784439</v>
      </c>
      <c r="J4216" s="45" t="n">
        <f aca="false">Assumptions!$E$21^(MAX(0,J4210-Assumptions!$E$14)/4)</f>
        <v>0.805927448867656</v>
      </c>
      <c r="K4216" s="45" t="n">
        <f aca="false">Assumptions!$E$21^(MAX(0,K4210-Assumptions!$E$14)/4)</f>
        <v>0.75</v>
      </c>
      <c r="L4216" s="45" t="n">
        <f aca="false">Assumptions!$E$21^(MAX(0,L4210-Assumptions!$E$14)/4)</f>
        <v>0.697953644326575</v>
      </c>
      <c r="M4216" s="45" t="n">
        <f aca="false">Assumptions!$E$21^(MAX(0,M4210-Assumptions!$E$14)/4)</f>
        <v>0.649519052838329</v>
      </c>
      <c r="N4216" s="45" t="n">
        <f aca="false">Assumptions!$E$21^(MAX(0,N4210-Assumptions!$E$14)/4)</f>
        <v>0.604445586650742</v>
      </c>
      <c r="P4216" s="46"/>
      <c r="Q4216" s="46"/>
      <c r="R4216" s="46"/>
      <c r="S4216" s="47"/>
    </row>
    <row r="4217" customFormat="false" ht="15" hidden="false" customHeight="false" outlineLevel="0" collapsed="false">
      <c r="A4217" s="4" t="s">
        <v>483</v>
      </c>
      <c r="B4217" s="36" t="s">
        <v>478</v>
      </c>
      <c r="C4217" s="45" t="n">
        <f aca="false">Assumptions!$E$21^(MAX(0,C4210-Assumptions!$E$15)/4)</f>
        <v>1</v>
      </c>
      <c r="D4217" s="45" t="n">
        <f aca="false">Assumptions!$E$21^(MAX(0,D4210-Assumptions!$E$15)/4)</f>
        <v>1</v>
      </c>
      <c r="E4217" s="45" t="n">
        <f aca="false">Assumptions!$E$21^(MAX(0,E4210-Assumptions!$E$15)/4)</f>
        <v>1</v>
      </c>
      <c r="F4217" s="45" t="n">
        <f aca="false">Assumptions!$E$21^(MAX(0,F4210-Assumptions!$E$15)/4)</f>
        <v>1</v>
      </c>
      <c r="G4217" s="45" t="n">
        <f aca="false">Assumptions!$E$21^(MAX(0,G4210-Assumptions!$E$15)/4)</f>
        <v>1</v>
      </c>
      <c r="H4217" s="45" t="n">
        <f aca="false">Assumptions!$E$21^(MAX(0,H4210-Assumptions!$E$15)/4)</f>
        <v>1</v>
      </c>
      <c r="I4217" s="45" t="n">
        <f aca="false">Assumptions!$E$21^(MAX(0,I4210-Assumptions!$E$15)/4)</f>
        <v>1</v>
      </c>
      <c r="J4217" s="45" t="n">
        <f aca="false">Assumptions!$E$21^(MAX(0,J4210-Assumptions!$E$15)/4)</f>
        <v>0.9306048591021</v>
      </c>
      <c r="K4217" s="45" t="n">
        <f aca="false">Assumptions!$E$21^(MAX(0,K4210-Assumptions!$E$15)/4)</f>
        <v>0.866025403784439</v>
      </c>
      <c r="L4217" s="45" t="n">
        <f aca="false">Assumptions!$E$21^(MAX(0,L4210-Assumptions!$E$15)/4)</f>
        <v>0.805927448867656</v>
      </c>
      <c r="M4217" s="45" t="n">
        <f aca="false">Assumptions!$E$21^(MAX(0,M4210-Assumptions!$E$15)/4)</f>
        <v>0.75</v>
      </c>
      <c r="N4217" s="45" t="n">
        <f aca="false">Assumptions!$E$21^(MAX(0,N4210-Assumptions!$E$15)/4)</f>
        <v>0.697953644326575</v>
      </c>
      <c r="P4217" s="46"/>
      <c r="Q4217" s="46"/>
      <c r="R4217" s="46"/>
      <c r="S4217" s="47"/>
    </row>
    <row r="4218" customFormat="false" ht="15" hidden="false" customHeight="false" outlineLevel="0" collapsed="false">
      <c r="A4218" s="4" t="s">
        <v>484</v>
      </c>
      <c r="B4218" s="36" t="s">
        <v>485</v>
      </c>
      <c r="C4218" s="39" t="n">
        <f aca="false">$C$4189*C4212+$C$4193*C4213+$C$4197*C4214</f>
        <v>421.51972352</v>
      </c>
      <c r="D4218" s="39" t="n">
        <f aca="false">$C$4189*D4212+$C$4193*D4213+$C$4197*D4214</f>
        <v>843.03944704</v>
      </c>
      <c r="E4218" s="39" t="n">
        <f aca="false">$C$4189*E4212+$C$4193*E4213+$C$4197*E4214</f>
        <v>843.03944704</v>
      </c>
      <c r="F4218" s="39" t="n">
        <f aca="false">$C$4189*F4212+$C$4193*F4213+$C$4197*F4214</f>
        <v>843.03944704</v>
      </c>
      <c r="G4218" s="39" t="n">
        <f aca="false">$C$4189*G4212+$C$4193*G4213+$C$4197*G4214</f>
        <v>1149.32798176</v>
      </c>
      <c r="H4218" s="39" t="n">
        <f aca="false">$C$4189*H4212+$C$4193*H4213+$C$4197*H4214</f>
        <v>1455.61651648</v>
      </c>
      <c r="I4218" s="39" t="n">
        <f aca="false">$C$4189*I4212+$C$4193*I4213+$C$4197*I4214</f>
        <v>2486.00303616</v>
      </c>
      <c r="J4218" s="39" t="n">
        <f aca="false">$C$4189*J4212+$C$4193*J4213+$C$4197*J4214</f>
        <v>3516.38955584</v>
      </c>
      <c r="K4218" s="39" t="n">
        <f aca="false">$C$4189*K4212+$C$4193*K4213+$C$4197*K4214</f>
        <v>3516.38955584</v>
      </c>
      <c r="L4218" s="39" t="n">
        <f aca="false">$C$4189*L4212+$C$4193*L4213+$C$4197*L4214</f>
        <v>3516.38955584</v>
      </c>
      <c r="M4218" s="39" t="n">
        <f aca="false">$C$4189*M4212+$C$4193*M4213+$C$4197*M4214</f>
        <v>3516.38955584</v>
      </c>
      <c r="N4218" s="39" t="n">
        <f aca="false">$C$4189*N4212+$C$4193*N4213+$C$4197*N4214</f>
        <v>3516.38955584</v>
      </c>
      <c r="P4218" s="40" t="n">
        <f aca="false">F4218</f>
        <v>843.03944704</v>
      </c>
      <c r="Q4218" s="40" t="n">
        <f aca="false">J4218</f>
        <v>3516.38955584</v>
      </c>
      <c r="R4218" s="40" t="n">
        <f aca="false">N4218</f>
        <v>3516.38955584</v>
      </c>
      <c r="S4218" s="41" t="n">
        <f aca="false">R4218</f>
        <v>3516.38955584</v>
      </c>
    </row>
    <row r="4219" customFormat="false" ht="15" hidden="false" customHeight="false" outlineLevel="0" collapsed="false">
      <c r="A4219" s="4" t="s">
        <v>486</v>
      </c>
      <c r="B4219" s="36" t="s">
        <v>485</v>
      </c>
      <c r="C4219" s="39" t="n">
        <f aca="false">$C$4190*C4212+$C$4194*C4213+$C$4198*C4214</f>
        <v>105.59808</v>
      </c>
      <c r="D4219" s="39" t="n">
        <f aca="false">$C$4190*D4212+$C$4194*D4213+$C$4198*D4214</f>
        <v>211.19616</v>
      </c>
      <c r="E4219" s="39" t="n">
        <f aca="false">$C$4190*E4212+$C$4194*E4213+$C$4198*E4214</f>
        <v>211.19616</v>
      </c>
      <c r="F4219" s="39" t="n">
        <f aca="false">$C$4190*F4212+$C$4194*F4213+$C$4198*F4214</f>
        <v>211.19616</v>
      </c>
      <c r="G4219" s="39" t="n">
        <f aca="false">$C$4190*G4212+$C$4194*G4213+$C$4198*G4214</f>
        <v>282.24672</v>
      </c>
      <c r="H4219" s="39" t="n">
        <f aca="false">$C$4190*H4212+$C$4194*H4213+$C$4198*H4214</f>
        <v>353.29728</v>
      </c>
      <c r="I4219" s="39" t="n">
        <f aca="false">$C$4190*I4212+$C$4194*I4213+$C$4198*I4214</f>
        <v>567.53536</v>
      </c>
      <c r="J4219" s="39" t="n">
        <f aca="false">$C$4190*J4212+$C$4194*J4213+$C$4198*J4214</f>
        <v>781.77344</v>
      </c>
      <c r="K4219" s="39" t="n">
        <f aca="false">$C$4190*K4212+$C$4194*K4213+$C$4198*K4214</f>
        <v>781.77344</v>
      </c>
      <c r="L4219" s="39" t="n">
        <f aca="false">$C$4190*L4212+$C$4194*L4213+$C$4198*L4214</f>
        <v>781.77344</v>
      </c>
      <c r="M4219" s="39" t="n">
        <f aca="false">$C$4190*M4212+$C$4194*M4213+$C$4198*M4214</f>
        <v>781.77344</v>
      </c>
      <c r="N4219" s="39" t="n">
        <f aca="false">$C$4190*N4212+$C$4194*N4213+$C$4198*N4214</f>
        <v>781.77344</v>
      </c>
      <c r="P4219" s="40" t="n">
        <f aca="false">F4219</f>
        <v>211.19616</v>
      </c>
      <c r="Q4219" s="40" t="n">
        <f aca="false">J4219</f>
        <v>781.77344</v>
      </c>
      <c r="R4219" s="40" t="n">
        <f aca="false">N4219</f>
        <v>781.77344</v>
      </c>
      <c r="S4219" s="41" t="n">
        <f aca="false">R4219</f>
        <v>781.77344</v>
      </c>
    </row>
    <row r="4220" customFormat="false" ht="15" hidden="false" customHeight="false" outlineLevel="0" collapsed="false">
      <c r="A4220" s="4" t="s">
        <v>487</v>
      </c>
      <c r="B4220" s="36" t="s">
        <v>485</v>
      </c>
      <c r="C4220" s="39" t="n">
        <f aca="false">$C$4191*C4212+$C$4195*C4213+$C$4199*C4214</f>
        <v>24.76992</v>
      </c>
      <c r="D4220" s="39" t="n">
        <f aca="false">$C$4191*D4212+$C$4195*D4213+$C$4199*D4214</f>
        <v>49.53984</v>
      </c>
      <c r="E4220" s="39" t="n">
        <f aca="false">$C$4191*E4212+$C$4195*E4213+$C$4199*E4214</f>
        <v>49.53984</v>
      </c>
      <c r="F4220" s="39" t="n">
        <f aca="false">$C$4191*F4212+$C$4195*F4213+$C$4199*F4214</f>
        <v>49.53984</v>
      </c>
      <c r="G4220" s="39" t="n">
        <f aca="false">$C$4191*G4212+$C$4195*G4213+$C$4199*G4214</f>
        <v>61.9248</v>
      </c>
      <c r="H4220" s="39" t="n">
        <f aca="false">$C$4191*H4212+$C$4195*H4213+$C$4199*H4214</f>
        <v>74.30976</v>
      </c>
      <c r="I4220" s="39" t="n">
        <f aca="false">$C$4191*I4212+$C$4195*I4213+$C$4199*I4214</f>
        <v>114.072</v>
      </c>
      <c r="J4220" s="39" t="n">
        <f aca="false">$C$4191*J4212+$C$4195*J4213+$C$4199*J4214</f>
        <v>153.83424</v>
      </c>
      <c r="K4220" s="39" t="n">
        <f aca="false">$C$4191*K4212+$C$4195*K4213+$C$4199*K4214</f>
        <v>153.83424</v>
      </c>
      <c r="L4220" s="39" t="n">
        <f aca="false">$C$4191*L4212+$C$4195*L4213+$C$4199*L4214</f>
        <v>153.83424</v>
      </c>
      <c r="M4220" s="39" t="n">
        <f aca="false">$C$4191*M4212+$C$4195*M4213+$C$4199*M4214</f>
        <v>153.83424</v>
      </c>
      <c r="N4220" s="39" t="n">
        <f aca="false">$C$4191*N4212+$C$4195*N4213+$C$4199*N4214</f>
        <v>153.83424</v>
      </c>
      <c r="P4220" s="40" t="n">
        <f aca="false">F4220</f>
        <v>49.53984</v>
      </c>
      <c r="Q4220" s="40" t="n">
        <f aca="false">J4220</f>
        <v>153.83424</v>
      </c>
      <c r="R4220" s="40" t="n">
        <f aca="false">N4220</f>
        <v>153.83424</v>
      </c>
      <c r="S4220" s="41" t="n">
        <f aca="false">R4220</f>
        <v>153.83424</v>
      </c>
    </row>
    <row r="4221" customFormat="false" ht="15" hidden="false" customHeight="false" outlineLevel="0" collapsed="false">
      <c r="A4221" s="4" t="s">
        <v>488</v>
      </c>
      <c r="B4221" s="36" t="s">
        <v>485</v>
      </c>
      <c r="C4221" s="39" t="n">
        <f aca="false">C4218+C4219+C4220</f>
        <v>551.88772352</v>
      </c>
      <c r="D4221" s="39" t="n">
        <f aca="false">D4218+D4219+D4220</f>
        <v>1103.77544704</v>
      </c>
      <c r="E4221" s="39" t="n">
        <f aca="false">E4218+E4219+E4220</f>
        <v>1103.77544704</v>
      </c>
      <c r="F4221" s="39" t="n">
        <f aca="false">F4218+F4219+F4220</f>
        <v>1103.77544704</v>
      </c>
      <c r="G4221" s="39" t="n">
        <f aca="false">G4218+G4219+G4220</f>
        <v>1493.49950176</v>
      </c>
      <c r="H4221" s="39" t="n">
        <f aca="false">H4218+H4219+H4220</f>
        <v>1883.22355648</v>
      </c>
      <c r="I4221" s="39" t="n">
        <f aca="false">I4218+I4219+I4220</f>
        <v>3167.61039616</v>
      </c>
      <c r="J4221" s="39" t="n">
        <f aca="false">J4218+J4219+J4220</f>
        <v>4451.99723584</v>
      </c>
      <c r="K4221" s="39" t="n">
        <f aca="false">K4218+K4219+K4220</f>
        <v>4451.99723584</v>
      </c>
      <c r="L4221" s="39" t="n">
        <f aca="false">L4218+L4219+L4220</f>
        <v>4451.99723584</v>
      </c>
      <c r="M4221" s="39" t="n">
        <f aca="false">M4218+M4219+M4220</f>
        <v>4451.99723584</v>
      </c>
      <c r="N4221" s="39" t="n">
        <f aca="false">N4218+N4219+N4220</f>
        <v>4451.99723584</v>
      </c>
      <c r="P4221" s="40" t="n">
        <f aca="false">F4221</f>
        <v>1103.77544704</v>
      </c>
      <c r="Q4221" s="40" t="n">
        <f aca="false">J4221</f>
        <v>4451.99723584</v>
      </c>
      <c r="R4221" s="40" t="n">
        <f aca="false">N4221</f>
        <v>4451.99723584</v>
      </c>
      <c r="S4221" s="41" t="n">
        <f aca="false">R4221</f>
        <v>4451.99723584</v>
      </c>
    </row>
    <row r="4222" customFormat="false" ht="15" hidden="false" customHeight="false" outlineLevel="0" collapsed="false">
      <c r="A4222" s="4" t="s">
        <v>489</v>
      </c>
      <c r="B4222" s="36" t="s">
        <v>485</v>
      </c>
      <c r="C4222" s="39" t="n">
        <f aca="false">$C$4192*C4212*C4215+$C$4196*C4213*C4216+$C$4200*C4214*C4217</f>
        <v>551.88772352</v>
      </c>
      <c r="D4222" s="39" t="n">
        <f aca="false">$C$4192*D4212*D4215+$C$4196*D4213*D4216+$C$4200*D4214*D4217</f>
        <v>1027.17879437302</v>
      </c>
      <c r="E4222" s="39" t="n">
        <f aca="false">$C$4192*E4212*E4215+$C$4196*E4213*E4216+$C$4200*E4214*E4217</f>
        <v>955.897577210165</v>
      </c>
      <c r="F4222" s="39" t="n">
        <f aca="false">$C$4192*F4212*F4215+$C$4196*F4213*F4216+$C$4200*F4214*F4217</f>
        <v>889.562930155704</v>
      </c>
      <c r="G4222" s="39" t="n">
        <f aca="false">$C$4192*G4212*G4215+$C$4196*G4213*G4216+$C$4200*G4214*G4217</f>
        <v>1217.55564</v>
      </c>
      <c r="H4222" s="39" t="n">
        <f aca="false">$C$4192*H4212*H4215+$C$4196*H4213*H4216+$C$4200*H4214*H4217</f>
        <v>1495.74229384257</v>
      </c>
      <c r="I4222" s="39" t="n">
        <f aca="false">$C$4192*I4212*I4215+$C$4196*I4213*I4216+$C$4200*I4214*I4217</f>
        <v>2676.33188629442</v>
      </c>
      <c r="J4222" s="39" t="n">
        <f aca="false">$C$4192*J4212*J4215+$C$4196*J4213*J4216+$C$4200*J4214*J4217</f>
        <v>3685.86409192847</v>
      </c>
      <c r="K4222" s="39" t="n">
        <f aca="false">$C$4192*K4212*K4215+$C$4196*K4213*K4216+$C$4200*K4214*K4217</f>
        <v>3430.08303393858</v>
      </c>
      <c r="L4222" s="39" t="n">
        <f aca="false">$C$4192*L4212*L4215+$C$4196*L4213*L4216+$C$4200*L4214*L4217</f>
        <v>3192.05193850692</v>
      </c>
      <c r="M4222" s="39" t="n">
        <f aca="false">$C$4192*M4212*M4215+$C$4196*M4213*M4216+$C$4200*M4214*M4217</f>
        <v>2970.53904448081</v>
      </c>
      <c r="N4222" s="39" t="n">
        <f aca="false">$C$4192*N4212*N4215+$C$4196*N4213*N4216+$C$4200*N4214*N4217</f>
        <v>2764.39806894635</v>
      </c>
      <c r="P4222" s="40"/>
      <c r="Q4222" s="40"/>
      <c r="R4222" s="40"/>
      <c r="S4222" s="41"/>
    </row>
    <row r="4223" customFormat="false" ht="15" hidden="false" customHeight="false" outlineLevel="0" collapsed="false">
      <c r="A4223" s="4" t="s">
        <v>490</v>
      </c>
      <c r="B4223" s="36" t="s">
        <v>491</v>
      </c>
      <c r="C4223" s="48" t="n">
        <f aca="false">$C$4204*Assumptions!$E$20*C4211*C4222</f>
        <v>6.62265268224</v>
      </c>
      <c r="D4223" s="48" t="n">
        <f aca="false">$C$4204*Assumptions!$E$20*D4211*D4222</f>
        <v>12.3261455324762</v>
      </c>
      <c r="E4223" s="48" t="n">
        <f aca="false">$C$4204*Assumptions!$E$20*E4211*E4222</f>
        <v>11.470770926522</v>
      </c>
      <c r="F4223" s="48" t="n">
        <f aca="false">$C$4204*Assumptions!$E$20*F4211*F4222</f>
        <v>10.6747551618685</v>
      </c>
      <c r="G4223" s="48" t="n">
        <f aca="false">$C$4204*Assumptions!$E$20*G4211*G4222</f>
        <v>14.61066768</v>
      </c>
      <c r="H4223" s="48" t="n">
        <f aca="false">$C$4204*Assumptions!$E$20*H4211*H4222</f>
        <v>17.9489075261109</v>
      </c>
      <c r="I4223" s="48" t="n">
        <f aca="false">$C$4204*Assumptions!$E$20*I4211*I4222</f>
        <v>32.115982635533</v>
      </c>
      <c r="J4223" s="48" t="n">
        <f aca="false">$C$4204*Assumptions!$E$20*J4211*J4222</f>
        <v>44.2303691031417</v>
      </c>
      <c r="K4223" s="48" t="n">
        <f aca="false">$C$4204*Assumptions!$E$20*K4211*K4222</f>
        <v>41.160996407263</v>
      </c>
      <c r="L4223" s="48" t="n">
        <f aca="false">$C$4204*Assumptions!$E$20*L4211*L4222</f>
        <v>38.304623262083</v>
      </c>
      <c r="M4223" s="48" t="n">
        <f aca="false">$C$4204*Assumptions!$E$20*M4211*M4222</f>
        <v>35.6464685337698</v>
      </c>
      <c r="N4223" s="48" t="n">
        <f aca="false">$C$4204*Assumptions!$E$20*N4211*N4222</f>
        <v>33.1727768273562</v>
      </c>
      <c r="P4223" s="49" t="n">
        <f aca="false">SUM(C4223:F4223)</f>
        <v>41.0943243031066</v>
      </c>
      <c r="Q4223" s="49" t="n">
        <f aca="false">SUM(G4223:J4223)</f>
        <v>108.905926944786</v>
      </c>
      <c r="R4223" s="49" t="n">
        <f aca="false">SUM(K4223:N4223)</f>
        <v>148.284865030472</v>
      </c>
      <c r="S4223" s="50" t="n">
        <f aca="false">SUM(P4223:R4223)</f>
        <v>298.285116278364</v>
      </c>
    </row>
    <row r="4224" customFormat="false" ht="15" hidden="false" customHeight="false" outlineLevel="0" collapsed="false">
      <c r="A4224" s="4" t="s">
        <v>492</v>
      </c>
      <c r="B4224" s="36" t="s">
        <v>321</v>
      </c>
      <c r="C4224" s="48" t="n">
        <f aca="false">Assumptions!$D$111</f>
        <v>0</v>
      </c>
      <c r="D4224" s="48" t="n">
        <f aca="false">Assumptions!$E$111</f>
        <v>0</v>
      </c>
      <c r="E4224" s="48" t="n">
        <f aca="false">Assumptions!$F$111</f>
        <v>0</v>
      </c>
      <c r="F4224" s="48" t="n">
        <f aca="false">Assumptions!$G$111</f>
        <v>0</v>
      </c>
      <c r="G4224" s="48" t="n">
        <f aca="false">Assumptions!$H$111</f>
        <v>0</v>
      </c>
      <c r="H4224" s="48" t="n">
        <f aca="false">Assumptions!$I$111</f>
        <v>0</v>
      </c>
      <c r="I4224" s="48" t="n">
        <f aca="false">Assumptions!$J$111</f>
        <v>0</v>
      </c>
      <c r="J4224" s="48" t="n">
        <f aca="false">Assumptions!$K$111</f>
        <v>0</v>
      </c>
      <c r="K4224" s="48" t="n">
        <f aca="false">Assumptions!$L$111</f>
        <v>0</v>
      </c>
      <c r="L4224" s="48" t="n">
        <f aca="false">Assumptions!$M$111</f>
        <v>0</v>
      </c>
      <c r="M4224" s="48" t="n">
        <f aca="false">Assumptions!$N$111</f>
        <v>0</v>
      </c>
      <c r="N4224" s="48" t="n">
        <f aca="false">Assumptions!$O$111</f>
        <v>0</v>
      </c>
      <c r="P4224" s="49" t="n">
        <f aca="false">F4224</f>
        <v>0</v>
      </c>
      <c r="Q4224" s="49" t="n">
        <f aca="false">J4224</f>
        <v>0</v>
      </c>
      <c r="R4224" s="49" t="n">
        <f aca="false">N4224</f>
        <v>0</v>
      </c>
      <c r="S4224" s="50" t="n">
        <f aca="false">R4224</f>
        <v>0</v>
      </c>
    </row>
    <row r="4225" customFormat="false" ht="15" hidden="false" customHeight="false" outlineLevel="0" collapsed="false">
      <c r="A4225" s="4" t="s">
        <v>493</v>
      </c>
      <c r="B4225" s="36" t="s">
        <v>321</v>
      </c>
      <c r="C4225" s="48" t="n">
        <f aca="false">0</f>
        <v>0</v>
      </c>
      <c r="D4225" s="48" t="n">
        <f aca="false">0.5*C4224</f>
        <v>0</v>
      </c>
      <c r="E4225" s="48" t="n">
        <f aca="false">C4224+0.5*(D4224-C4224)</f>
        <v>0</v>
      </c>
      <c r="F4225" s="48" t="n">
        <f aca="false">D4224+0.5*(E4224-D4224)</f>
        <v>0</v>
      </c>
      <c r="G4225" s="48" t="n">
        <f aca="false">E4224+0.5*(F4224-E4224)</f>
        <v>0</v>
      </c>
      <c r="H4225" s="48" t="n">
        <f aca="false">F4224+0.5*(G4224-F4224)</f>
        <v>0</v>
      </c>
      <c r="I4225" s="48" t="n">
        <f aca="false">G4224+0.5*(H4224-G4224)</f>
        <v>0</v>
      </c>
      <c r="J4225" s="48" t="n">
        <f aca="false">H4224+0.5*(I4224-H4224)</f>
        <v>0</v>
      </c>
      <c r="K4225" s="48" t="n">
        <f aca="false">I4224+0.5*(J4224-I4224)</f>
        <v>0</v>
      </c>
      <c r="L4225" s="48" t="n">
        <f aca="false">J4224+0.5*(K4224-J4224)</f>
        <v>0</v>
      </c>
      <c r="M4225" s="48" t="n">
        <f aca="false">K4224+0.5*(L4224-K4224)</f>
        <v>0</v>
      </c>
      <c r="N4225" s="48" t="n">
        <f aca="false">L4224+0.5*(M4224-L4224)</f>
        <v>0</v>
      </c>
      <c r="P4225" s="49" t="n">
        <f aca="false">F4225</f>
        <v>0</v>
      </c>
      <c r="Q4225" s="49" t="n">
        <f aca="false">J4225</f>
        <v>0</v>
      </c>
      <c r="R4225" s="49" t="n">
        <f aca="false">N4225</f>
        <v>0</v>
      </c>
      <c r="S4225" s="50" t="n">
        <f aca="false">R4225</f>
        <v>0</v>
      </c>
    </row>
    <row r="4226" customFormat="false" ht="15" hidden="false" customHeight="false" outlineLevel="0" collapsed="false">
      <c r="A4226" s="4" t="s">
        <v>494</v>
      </c>
      <c r="B4226" s="36" t="s">
        <v>485</v>
      </c>
      <c r="C4226" s="39" t="n">
        <f aca="false">MIN(C4225*Assumptions!$E$38,C4221*(1-$C$4204))</f>
        <v>0</v>
      </c>
      <c r="D4226" s="39" t="n">
        <f aca="false">MIN(D4225*Assumptions!$E$38,D4221*(1-$C$4204))</f>
        <v>0</v>
      </c>
      <c r="E4226" s="39" t="n">
        <f aca="false">MIN(E4225*Assumptions!$E$38,E4221*(1-$C$4204))</f>
        <v>0</v>
      </c>
      <c r="F4226" s="39" t="n">
        <f aca="false">MIN(F4225*Assumptions!$E$38,F4221*(1-$C$4204))</f>
        <v>0</v>
      </c>
      <c r="G4226" s="39" t="n">
        <f aca="false">MIN(G4225*Assumptions!$E$38,G4221*(1-$C$4204))</f>
        <v>0</v>
      </c>
      <c r="H4226" s="39" t="n">
        <f aca="false">MIN(H4225*Assumptions!$E$38,H4221*(1-$C$4204))</f>
        <v>0</v>
      </c>
      <c r="I4226" s="39" t="n">
        <f aca="false">MIN(I4225*Assumptions!$E$38,I4221*(1-$C$4204))</f>
        <v>0</v>
      </c>
      <c r="J4226" s="39" t="n">
        <f aca="false">MIN(J4225*Assumptions!$E$38,J4221*(1-$C$4204))</f>
        <v>0</v>
      </c>
      <c r="K4226" s="39" t="n">
        <f aca="false">MIN(K4225*Assumptions!$E$38,K4221*(1-$C$4204))</f>
        <v>0</v>
      </c>
      <c r="L4226" s="39" t="n">
        <f aca="false">MIN(L4225*Assumptions!$E$38,L4221*(1-$C$4204))</f>
        <v>0</v>
      </c>
      <c r="M4226" s="39" t="n">
        <f aca="false">MIN(M4225*Assumptions!$E$38,M4221*(1-$C$4204))</f>
        <v>0</v>
      </c>
      <c r="N4226" s="39" t="n">
        <f aca="false">MIN(N4225*Assumptions!$E$38,N4221*(1-$C$4204))</f>
        <v>0</v>
      </c>
      <c r="P4226" s="40" t="n">
        <f aca="false">SUM(C4226:F4226)</f>
        <v>0</v>
      </c>
      <c r="Q4226" s="40" t="n">
        <f aca="false">SUM(G4226:J4226)</f>
        <v>0</v>
      </c>
      <c r="R4226" s="40" t="n">
        <f aca="false">SUM(K4226:N4226)</f>
        <v>0</v>
      </c>
      <c r="S4226" s="41" t="n">
        <f aca="false">SUM(P4226:R4226)</f>
        <v>0</v>
      </c>
    </row>
    <row r="4227" customFormat="false" ht="15" hidden="false" customHeight="false" outlineLevel="0" collapsed="false">
      <c r="A4227" s="4" t="s">
        <v>495</v>
      </c>
      <c r="B4227" s="36" t="s">
        <v>491</v>
      </c>
      <c r="C4227" s="48" t="n">
        <f aca="false">C4226*Assumptions!$E$20*Assumptions!$E$39*IF(C4221&gt;0,C4222/C4221,0)*C4211</f>
        <v>0</v>
      </c>
      <c r="D4227" s="48" t="n">
        <f aca="false">D4226*Assumptions!$E$20*Assumptions!$E$39*IF(D4221&gt;0,D4222/D4221,0)*D4211</f>
        <v>0</v>
      </c>
      <c r="E4227" s="48" t="n">
        <f aca="false">E4226*Assumptions!$E$20*Assumptions!$E$39*IF(E4221&gt;0,E4222/E4221,0)*E4211</f>
        <v>0</v>
      </c>
      <c r="F4227" s="48" t="n">
        <f aca="false">F4226*Assumptions!$E$20*Assumptions!$E$39*IF(F4221&gt;0,F4222/F4221,0)*F4211</f>
        <v>0</v>
      </c>
      <c r="G4227" s="48" t="n">
        <f aca="false">G4226*Assumptions!$E$20*Assumptions!$E$39*IF(G4221&gt;0,G4222/G4221,0)*G4211</f>
        <v>0</v>
      </c>
      <c r="H4227" s="48" t="n">
        <f aca="false">H4226*Assumptions!$E$20*Assumptions!$E$39*IF(H4221&gt;0,H4222/H4221,0)*H4211</f>
        <v>0</v>
      </c>
      <c r="I4227" s="48" t="n">
        <f aca="false">I4226*Assumptions!$E$20*Assumptions!$E$39*IF(I4221&gt;0,I4222/I4221,0)*I4211</f>
        <v>0</v>
      </c>
      <c r="J4227" s="48" t="n">
        <f aca="false">J4226*Assumptions!$E$20*Assumptions!$E$39*IF(J4221&gt;0,J4222/J4221,0)*J4211</f>
        <v>0</v>
      </c>
      <c r="K4227" s="48" t="n">
        <f aca="false">K4226*Assumptions!$E$20*Assumptions!$E$39*IF(K4221&gt;0,K4222/K4221,0)*K4211</f>
        <v>0</v>
      </c>
      <c r="L4227" s="48" t="n">
        <f aca="false">L4226*Assumptions!$E$20*Assumptions!$E$39*IF(L4221&gt;0,L4222/L4221,0)*L4211</f>
        <v>0</v>
      </c>
      <c r="M4227" s="48" t="n">
        <f aca="false">M4226*Assumptions!$E$20*Assumptions!$E$39*IF(M4221&gt;0,M4222/M4221,0)*M4211</f>
        <v>0</v>
      </c>
      <c r="N4227" s="48" t="n">
        <f aca="false">N4226*Assumptions!$E$20*Assumptions!$E$39*IF(N4221&gt;0,N4222/N4221,0)*N4211</f>
        <v>0</v>
      </c>
      <c r="P4227" s="49" t="n">
        <f aca="false">SUM(C4227:F4227)</f>
        <v>0</v>
      </c>
      <c r="Q4227" s="49" t="n">
        <f aca="false">SUM(G4227:J4227)</f>
        <v>0</v>
      </c>
      <c r="R4227" s="49" t="n">
        <f aca="false">SUM(K4227:N4227)</f>
        <v>0</v>
      </c>
      <c r="S4227" s="50" t="n">
        <f aca="false">SUM(P4227:R4227)</f>
        <v>0</v>
      </c>
    </row>
    <row r="4228" customFormat="false" ht="15" hidden="false" customHeight="false" outlineLevel="0" collapsed="false">
      <c r="A4228" s="4" t="s">
        <v>496</v>
      </c>
      <c r="B4228" s="36" t="s">
        <v>497</v>
      </c>
      <c r="C4228" s="48" t="n">
        <f aca="false">IF(AND(C4221&gt;0,$C$4208&gt;0),C4221*Assumptions!$E$24*(1-EXP(-$C$4208/(Assumptions!$E$23*C4221*Assumptions!$E$24))),0)</f>
        <v>0</v>
      </c>
      <c r="D4228" s="48" t="n">
        <f aca="false">IF(AND(D4221&gt;0,$C$4208&gt;0),D4221*Assumptions!$E$24*(1-EXP(-$C$4208/(Assumptions!$E$23*D4221*Assumptions!$E$24))),0)</f>
        <v>0</v>
      </c>
      <c r="E4228" s="48" t="n">
        <f aca="false">IF(AND(E4221&gt;0,$C$4208&gt;0),E4221*Assumptions!$E$24*(1-EXP(-$C$4208/(Assumptions!$E$23*E4221*Assumptions!$E$24))),0)</f>
        <v>0</v>
      </c>
      <c r="F4228" s="48" t="n">
        <f aca="false">IF(AND(F4221&gt;0,$C$4208&gt;0),F4221*Assumptions!$E$24*(1-EXP(-$C$4208/(Assumptions!$E$23*F4221*Assumptions!$E$24))),0)</f>
        <v>0</v>
      </c>
      <c r="G4228" s="48" t="n">
        <f aca="false">IF(AND(G4221&gt;0,$C$4208&gt;0),G4221*Assumptions!$E$24*(1-EXP(-$C$4208/(Assumptions!$E$23*G4221*Assumptions!$E$24))),0)</f>
        <v>0</v>
      </c>
      <c r="H4228" s="48" t="n">
        <f aca="false">IF(AND(H4221&gt;0,$C$4208&gt;0),H4221*Assumptions!$E$24*(1-EXP(-$C$4208/(Assumptions!$E$23*H4221*Assumptions!$E$24))),0)</f>
        <v>0</v>
      </c>
      <c r="I4228" s="48" t="n">
        <f aca="false">IF(AND(I4221&gt;0,$C$4208&gt;0),I4221*Assumptions!$E$24*(1-EXP(-$C$4208/(Assumptions!$E$23*I4221*Assumptions!$E$24))),0)</f>
        <v>0</v>
      </c>
      <c r="J4228" s="48" t="n">
        <f aca="false">IF(AND(J4221&gt;0,$C$4208&gt;0),J4221*Assumptions!$E$24*(1-EXP(-$C$4208/(Assumptions!$E$23*J4221*Assumptions!$E$24))),0)</f>
        <v>0</v>
      </c>
      <c r="K4228" s="48" t="n">
        <f aca="false">IF(AND(K4221&gt;0,$C$4208&gt;0),K4221*Assumptions!$E$24*(1-EXP(-$C$4208/(Assumptions!$E$23*K4221*Assumptions!$E$24))),0)</f>
        <v>0</v>
      </c>
      <c r="L4228" s="48" t="n">
        <f aca="false">IF(AND(L4221&gt;0,$C$4208&gt;0),L4221*Assumptions!$E$24*(1-EXP(-$C$4208/(Assumptions!$E$23*L4221*Assumptions!$E$24))),0)</f>
        <v>0</v>
      </c>
      <c r="M4228" s="48" t="n">
        <f aca="false">IF(AND(M4221&gt;0,$C$4208&gt;0),M4221*Assumptions!$E$24*(1-EXP(-$C$4208/(Assumptions!$E$23*M4221*Assumptions!$E$24))),0)</f>
        <v>0</v>
      </c>
      <c r="N4228" s="48" t="n">
        <f aca="false">IF(AND(N4221&gt;0,$C$4208&gt;0),N4221*Assumptions!$E$24*(1-EXP(-$C$4208/(Assumptions!$E$23*N4221*Assumptions!$E$24))),0)</f>
        <v>0</v>
      </c>
      <c r="P4228" s="49" t="n">
        <f aca="false">SUM(C4228:F4228)</f>
        <v>0</v>
      </c>
      <c r="Q4228" s="49" t="n">
        <f aca="false">SUM(G4228:J4228)</f>
        <v>0</v>
      </c>
      <c r="R4228" s="49" t="n">
        <f aca="false">SUM(K4228:N4228)</f>
        <v>0</v>
      </c>
      <c r="S4228" s="50" t="n">
        <f aca="false">SUM(P4228:R4228)</f>
        <v>0</v>
      </c>
    </row>
    <row r="4229" customFormat="false" ht="15" hidden="false" customHeight="false" outlineLevel="0" collapsed="false">
      <c r="A4229" s="4" t="s">
        <v>498</v>
      </c>
      <c r="B4229" s="36" t="s">
        <v>497</v>
      </c>
      <c r="C4229" s="48" t="n">
        <f aca="false">(C4221*Assumptions!$E$22*MIN(1,Assumptions!$D$103/Assumptions!$E$78)+C4228)*C4211</f>
        <v>5.5188772352</v>
      </c>
      <c r="D4229" s="48" t="n">
        <f aca="false">(D4221*Assumptions!$E$22*MIN(1,Assumptions!$D$103/Assumptions!$E$78)+D4228)*D4211</f>
        <v>11.0377544704</v>
      </c>
      <c r="E4229" s="48" t="n">
        <f aca="false">(E4221*Assumptions!$E$22*MIN(1,Assumptions!$D$103/Assumptions!$E$78)+E4228)*E4211</f>
        <v>11.0377544704</v>
      </c>
      <c r="F4229" s="48" t="n">
        <f aca="false">(F4221*Assumptions!$E$22*MIN(1,Assumptions!$D$103/Assumptions!$E$78)+F4228)*F4211</f>
        <v>11.0377544704</v>
      </c>
      <c r="G4229" s="48" t="n">
        <f aca="false">(G4221*Assumptions!$E$22*MIN(1,Assumptions!$D$103/Assumptions!$E$78)+G4228)*G4211</f>
        <v>14.9349950176</v>
      </c>
      <c r="H4229" s="48" t="n">
        <f aca="false">(H4221*Assumptions!$E$22*MIN(1,Assumptions!$D$103/Assumptions!$E$78)+H4228)*H4211</f>
        <v>18.8322355648</v>
      </c>
      <c r="I4229" s="48" t="n">
        <f aca="false">(I4221*Assumptions!$E$22*MIN(1,Assumptions!$D$103/Assumptions!$E$78)+I4228)*I4211</f>
        <v>31.6761039616</v>
      </c>
      <c r="J4229" s="48" t="n">
        <f aca="false">(J4221*Assumptions!$E$22*MIN(1,Assumptions!$D$103/Assumptions!$E$78)+J4228)*J4211</f>
        <v>44.5199723584</v>
      </c>
      <c r="K4229" s="48" t="n">
        <f aca="false">(K4221*Assumptions!$E$22*MIN(1,Assumptions!$D$103/Assumptions!$E$78)+K4228)*K4211</f>
        <v>44.5199723584</v>
      </c>
      <c r="L4229" s="48" t="n">
        <f aca="false">(L4221*Assumptions!$E$22*MIN(1,Assumptions!$D$103/Assumptions!$E$78)+L4228)*L4211</f>
        <v>44.5199723584</v>
      </c>
      <c r="M4229" s="48" t="n">
        <f aca="false">(M4221*Assumptions!$E$22*MIN(1,Assumptions!$D$103/Assumptions!$E$78)+M4228)*M4211</f>
        <v>44.5199723584</v>
      </c>
      <c r="N4229" s="48" t="n">
        <f aca="false">(N4221*Assumptions!$E$22*MIN(1,Assumptions!$D$103/Assumptions!$E$78)+N4228)*N4211</f>
        <v>44.5199723584</v>
      </c>
      <c r="P4229" s="49" t="n">
        <f aca="false">SUM(C4229:F4229)</f>
        <v>38.6321406464</v>
      </c>
      <c r="Q4229" s="49" t="n">
        <f aca="false">SUM(G4229:J4229)</f>
        <v>109.9633069024</v>
      </c>
      <c r="R4229" s="49" t="n">
        <f aca="false">SUM(K4229:N4229)</f>
        <v>178.0798894336</v>
      </c>
      <c r="S4229" s="50" t="n">
        <f aca="false">SUM(P4229:R4229)</f>
        <v>326.6753369824</v>
      </c>
    </row>
    <row r="4230" customFormat="false" ht="15" hidden="false" customHeight="false" outlineLevel="0" collapsed="false">
      <c r="A4230" s="4" t="s">
        <v>499</v>
      </c>
      <c r="B4230" s="36" t="s">
        <v>500</v>
      </c>
      <c r="C4230" s="48" t="n">
        <f aca="false">C4211*MIN(Assumptions!$D$27,Assumptions!$D$25+Assumptions!$D$26*(C4210-1))*Assumptions!$D$107</f>
        <v>1</v>
      </c>
      <c r="D4230" s="48" t="n">
        <f aca="false">D4211*MIN(Assumptions!$D$27,Assumptions!$D$25+Assumptions!$D$26*(D4210-1))*Assumptions!$D$107</f>
        <v>2</v>
      </c>
      <c r="E4230" s="48" t="n">
        <f aca="false">E4211*MIN(Assumptions!$D$27,Assumptions!$D$25+Assumptions!$D$26*(E4210-1))*Assumptions!$D$107</f>
        <v>3</v>
      </c>
      <c r="F4230" s="48" t="n">
        <f aca="false">F4211*MIN(Assumptions!$D$27,Assumptions!$D$25+Assumptions!$D$26*(F4210-1))*Assumptions!$D$107</f>
        <v>4</v>
      </c>
      <c r="G4230" s="48" t="n">
        <f aca="false">G4211*MIN(Assumptions!$D$27,Assumptions!$D$25+Assumptions!$D$26*(G4210-1))*Assumptions!$D$107</f>
        <v>5</v>
      </c>
      <c r="H4230" s="48" t="n">
        <f aca="false">H4211*MIN(Assumptions!$D$27,Assumptions!$D$25+Assumptions!$D$26*(H4210-1))*Assumptions!$D$107</f>
        <v>5</v>
      </c>
      <c r="I4230" s="48" t="n">
        <f aca="false">I4211*MIN(Assumptions!$D$27,Assumptions!$D$25+Assumptions!$D$26*(I4210-1))*Assumptions!$D$107</f>
        <v>5</v>
      </c>
      <c r="J4230" s="48" t="n">
        <f aca="false">J4211*MIN(Assumptions!$D$27,Assumptions!$D$25+Assumptions!$D$26*(J4210-1))*Assumptions!$D$107</f>
        <v>5</v>
      </c>
      <c r="K4230" s="48" t="n">
        <f aca="false">K4211*MIN(Assumptions!$D$27,Assumptions!$D$25+Assumptions!$D$26*(K4210-1))*Assumptions!$D$107</f>
        <v>5</v>
      </c>
      <c r="L4230" s="48" t="n">
        <f aca="false">L4211*MIN(Assumptions!$D$27,Assumptions!$D$25+Assumptions!$D$26*(L4210-1))*Assumptions!$D$107</f>
        <v>5</v>
      </c>
      <c r="M4230" s="48" t="n">
        <f aca="false">M4211*MIN(Assumptions!$D$27,Assumptions!$D$25+Assumptions!$D$26*(M4210-1))*Assumptions!$D$107</f>
        <v>5</v>
      </c>
      <c r="N4230" s="48" t="n">
        <f aca="false">N4211*MIN(Assumptions!$D$27,Assumptions!$D$25+Assumptions!$D$26*(N4210-1))*Assumptions!$D$107</f>
        <v>5</v>
      </c>
      <c r="P4230" s="49" t="n">
        <f aca="false">F4230</f>
        <v>4</v>
      </c>
      <c r="Q4230" s="49" t="n">
        <f aca="false">J4230</f>
        <v>5</v>
      </c>
      <c r="R4230" s="49" t="n">
        <f aca="false">N4230</f>
        <v>5</v>
      </c>
      <c r="S4230" s="50" t="n">
        <f aca="false">R4230</f>
        <v>5</v>
      </c>
    </row>
    <row r="4231" customFormat="false" ht="15" hidden="false" customHeight="false" outlineLevel="0" collapsed="false">
      <c r="A4231" s="4" t="s">
        <v>501</v>
      </c>
      <c r="B4231" s="36" t="s">
        <v>502</v>
      </c>
      <c r="C4231" s="48" t="n">
        <f aca="false">C4230*Assumptions!$D$28</f>
        <v>2</v>
      </c>
      <c r="D4231" s="48" t="n">
        <f aca="false">D4230*Assumptions!$D$28</f>
        <v>4</v>
      </c>
      <c r="E4231" s="48" t="n">
        <f aca="false">E4230*Assumptions!$D$28</f>
        <v>6</v>
      </c>
      <c r="F4231" s="48" t="n">
        <f aca="false">F4230*Assumptions!$D$28</f>
        <v>8</v>
      </c>
      <c r="G4231" s="48" t="n">
        <f aca="false">G4230*Assumptions!$D$28</f>
        <v>10</v>
      </c>
      <c r="H4231" s="48" t="n">
        <f aca="false">H4230*Assumptions!$D$28</f>
        <v>10</v>
      </c>
      <c r="I4231" s="48" t="n">
        <f aca="false">I4230*Assumptions!$D$28</f>
        <v>10</v>
      </c>
      <c r="J4231" s="48" t="n">
        <f aca="false">J4230*Assumptions!$D$28</f>
        <v>10</v>
      </c>
      <c r="K4231" s="48" t="n">
        <f aca="false">K4230*Assumptions!$D$28</f>
        <v>10</v>
      </c>
      <c r="L4231" s="48" t="n">
        <f aca="false">L4230*Assumptions!$D$28</f>
        <v>10</v>
      </c>
      <c r="M4231" s="48" t="n">
        <f aca="false">M4230*Assumptions!$D$28</f>
        <v>10</v>
      </c>
      <c r="N4231" s="48" t="n">
        <f aca="false">N4230*Assumptions!$D$28</f>
        <v>10</v>
      </c>
      <c r="P4231" s="49" t="n">
        <f aca="false">SUM(C4231:F4231)</f>
        <v>20</v>
      </c>
      <c r="Q4231" s="49" t="n">
        <f aca="false">SUM(G4231:J4231)</f>
        <v>40</v>
      </c>
      <c r="R4231" s="49" t="n">
        <f aca="false">SUM(K4231:N4231)</f>
        <v>40</v>
      </c>
      <c r="S4231" s="50" t="n">
        <f aca="false">SUM(P4231:R4231)</f>
        <v>100</v>
      </c>
    </row>
    <row r="4232" customFormat="false" ht="15" hidden="false" customHeight="false" outlineLevel="0" collapsed="false">
      <c r="A4232" s="4" t="s">
        <v>503</v>
      </c>
      <c r="B4232" s="36" t="s">
        <v>504</v>
      </c>
      <c r="C4232" s="48" t="n">
        <f aca="false">(C4223+C4227)*Assumptions!$E$29</f>
        <v>2.649061072896</v>
      </c>
      <c r="D4232" s="48" t="n">
        <f aca="false">(D4223+D4227)*Assumptions!$E$29</f>
        <v>4.93045821299048</v>
      </c>
      <c r="E4232" s="48" t="n">
        <f aca="false">(E4223+E4227)*Assumptions!$E$29</f>
        <v>4.58830837060879</v>
      </c>
      <c r="F4232" s="48" t="n">
        <f aca="false">(F4223+F4227)*Assumptions!$E$29</f>
        <v>4.26990206474738</v>
      </c>
      <c r="G4232" s="48" t="n">
        <f aca="false">(G4223+G4227)*Assumptions!$E$29</f>
        <v>5.844267072</v>
      </c>
      <c r="H4232" s="48" t="n">
        <f aca="false">(H4223+H4227)*Assumptions!$E$29</f>
        <v>7.17956301044434</v>
      </c>
      <c r="I4232" s="48" t="n">
        <f aca="false">(I4223+I4227)*Assumptions!$E$29</f>
        <v>12.8463930542132</v>
      </c>
      <c r="J4232" s="48" t="n">
        <f aca="false">(J4223+J4227)*Assumptions!$E$29</f>
        <v>17.6921476412567</v>
      </c>
      <c r="K4232" s="48" t="n">
        <f aca="false">(K4223+K4227)*Assumptions!$E$29</f>
        <v>16.4643985629052</v>
      </c>
      <c r="L4232" s="48" t="n">
        <f aca="false">(L4223+L4227)*Assumptions!$E$29</f>
        <v>15.3218493048332</v>
      </c>
      <c r="M4232" s="48" t="n">
        <f aca="false">(M4223+M4227)*Assumptions!$E$29</f>
        <v>14.2585874135079</v>
      </c>
      <c r="N4232" s="48" t="n">
        <f aca="false">(N4223+N4227)*Assumptions!$E$29</f>
        <v>13.2691107309425</v>
      </c>
      <c r="P4232" s="49" t="n">
        <f aca="false">SUM(C4232:F4232)</f>
        <v>16.4377297212427</v>
      </c>
      <c r="Q4232" s="49" t="n">
        <f aca="false">SUM(G4232:J4232)</f>
        <v>43.5623707779142</v>
      </c>
      <c r="R4232" s="49" t="n">
        <f aca="false">SUM(K4232:N4232)</f>
        <v>59.3139460121888</v>
      </c>
      <c r="S4232" s="50" t="n">
        <f aca="false">SUM(P4232:R4232)</f>
        <v>119.314046511346</v>
      </c>
    </row>
    <row r="4233" customFormat="false" ht="15" hidden="false" customHeight="false" outlineLevel="0" collapsed="false">
      <c r="A4233" s="4" t="s">
        <v>505</v>
      </c>
      <c r="B4233" s="36" t="s">
        <v>504</v>
      </c>
      <c r="C4233" s="48" t="n">
        <f aca="false">C4229*Assumptions!$E$31</f>
        <v>0.883020357632</v>
      </c>
      <c r="D4233" s="48" t="n">
        <f aca="false">D4229*Assumptions!$E$31</f>
        <v>1.766040715264</v>
      </c>
      <c r="E4233" s="48" t="n">
        <f aca="false">E4229*Assumptions!$E$31</f>
        <v>1.766040715264</v>
      </c>
      <c r="F4233" s="48" t="n">
        <f aca="false">F4229*Assumptions!$E$31</f>
        <v>1.766040715264</v>
      </c>
      <c r="G4233" s="48" t="n">
        <f aca="false">G4229*Assumptions!$E$31</f>
        <v>2.389599202816</v>
      </c>
      <c r="H4233" s="48" t="n">
        <f aca="false">H4229*Assumptions!$E$31</f>
        <v>3.013157690368</v>
      </c>
      <c r="I4233" s="48" t="n">
        <f aca="false">I4229*Assumptions!$E$31</f>
        <v>5.068176633856</v>
      </c>
      <c r="J4233" s="48" t="n">
        <f aca="false">J4229*Assumptions!$E$31</f>
        <v>7.123195577344</v>
      </c>
      <c r="K4233" s="48" t="n">
        <f aca="false">K4229*Assumptions!$E$31</f>
        <v>7.123195577344</v>
      </c>
      <c r="L4233" s="48" t="n">
        <f aca="false">L4229*Assumptions!$E$31</f>
        <v>7.123195577344</v>
      </c>
      <c r="M4233" s="48" t="n">
        <f aca="false">M4229*Assumptions!$E$31</f>
        <v>7.123195577344</v>
      </c>
      <c r="N4233" s="48" t="n">
        <f aca="false">N4229*Assumptions!$E$31</f>
        <v>7.123195577344</v>
      </c>
      <c r="P4233" s="49" t="n">
        <f aca="false">SUM(C4233:F4233)</f>
        <v>6.181142503424</v>
      </c>
      <c r="Q4233" s="49" t="n">
        <f aca="false">SUM(G4233:J4233)</f>
        <v>17.594129104384</v>
      </c>
      <c r="R4233" s="49" t="n">
        <f aca="false">SUM(K4233:N4233)</f>
        <v>28.492782309376</v>
      </c>
      <c r="S4233" s="50" t="n">
        <f aca="false">SUM(P4233:R4233)</f>
        <v>52.268053917184</v>
      </c>
    </row>
    <row r="4234" customFormat="false" ht="15" hidden="false" customHeight="false" outlineLevel="0" collapsed="false">
      <c r="A4234" s="4" t="s">
        <v>506</v>
      </c>
      <c r="B4234" s="36" t="s">
        <v>504</v>
      </c>
      <c r="C4234" s="48" t="n">
        <f aca="false">C4231*Assumptions!$E$30</f>
        <v>1</v>
      </c>
      <c r="D4234" s="48" t="n">
        <f aca="false">D4231*Assumptions!$E$30</f>
        <v>2</v>
      </c>
      <c r="E4234" s="48" t="n">
        <f aca="false">E4231*Assumptions!$E$30</f>
        <v>3</v>
      </c>
      <c r="F4234" s="48" t="n">
        <f aca="false">F4231*Assumptions!$E$30</f>
        <v>4</v>
      </c>
      <c r="G4234" s="48" t="n">
        <f aca="false">G4231*Assumptions!$E$30</f>
        <v>5</v>
      </c>
      <c r="H4234" s="48" t="n">
        <f aca="false">H4231*Assumptions!$E$30</f>
        <v>5</v>
      </c>
      <c r="I4234" s="48" t="n">
        <f aca="false">I4231*Assumptions!$E$30</f>
        <v>5</v>
      </c>
      <c r="J4234" s="48" t="n">
        <f aca="false">J4231*Assumptions!$E$30</f>
        <v>5</v>
      </c>
      <c r="K4234" s="48" t="n">
        <f aca="false">K4231*Assumptions!$E$30</f>
        <v>5</v>
      </c>
      <c r="L4234" s="48" t="n">
        <f aca="false">L4231*Assumptions!$E$30</f>
        <v>5</v>
      </c>
      <c r="M4234" s="48" t="n">
        <f aca="false">M4231*Assumptions!$E$30</f>
        <v>5</v>
      </c>
      <c r="N4234" s="48" t="n">
        <f aca="false">N4231*Assumptions!$E$30</f>
        <v>5</v>
      </c>
      <c r="P4234" s="49" t="n">
        <f aca="false">SUM(C4234:F4234)</f>
        <v>10</v>
      </c>
      <c r="Q4234" s="49" t="n">
        <f aca="false">SUM(G4234:J4234)</f>
        <v>20</v>
      </c>
      <c r="R4234" s="49" t="n">
        <f aca="false">SUM(K4234:N4234)</f>
        <v>20</v>
      </c>
      <c r="S4234" s="50" t="n">
        <f aca="false">SUM(P4234:R4234)</f>
        <v>50</v>
      </c>
    </row>
    <row r="4235" customFormat="false" ht="15" hidden="false" customHeight="false" outlineLevel="0" collapsed="false">
      <c r="A4235" s="9" t="s">
        <v>507</v>
      </c>
      <c r="B4235" s="36" t="s">
        <v>504</v>
      </c>
      <c r="C4235" s="49" t="n">
        <f aca="false">C4232+C4233+C4234</f>
        <v>4.532081430528</v>
      </c>
      <c r="D4235" s="49" t="n">
        <f aca="false">D4232+D4233+D4234</f>
        <v>8.69649892825448</v>
      </c>
      <c r="E4235" s="49" t="n">
        <f aca="false">E4232+E4233+E4234</f>
        <v>9.35434908587279</v>
      </c>
      <c r="F4235" s="49" t="n">
        <f aca="false">F4232+F4233+F4234</f>
        <v>10.0359427800114</v>
      </c>
      <c r="G4235" s="49" t="n">
        <f aca="false">G4232+G4233+G4234</f>
        <v>13.233866274816</v>
      </c>
      <c r="H4235" s="49" t="n">
        <f aca="false">H4232+H4233+H4234</f>
        <v>15.1927207008123</v>
      </c>
      <c r="I4235" s="49" t="n">
        <f aca="false">I4232+I4233+I4234</f>
        <v>22.9145696880692</v>
      </c>
      <c r="J4235" s="49" t="n">
        <f aca="false">J4232+J4233+J4234</f>
        <v>29.8153432186007</v>
      </c>
      <c r="K4235" s="49" t="n">
        <f aca="false">K4232+K4233+K4234</f>
        <v>28.5875941402492</v>
      </c>
      <c r="L4235" s="49" t="n">
        <f aca="false">L4232+L4233+L4234</f>
        <v>27.4450448821772</v>
      </c>
      <c r="M4235" s="49" t="n">
        <f aca="false">M4232+M4233+M4234</f>
        <v>26.3817829908519</v>
      </c>
      <c r="N4235" s="49" t="n">
        <f aca="false">N4232+N4233+N4234</f>
        <v>25.3923063082865</v>
      </c>
      <c r="P4235" s="49" t="n">
        <f aca="false">SUM(C4235:F4235)</f>
        <v>32.6188722246667</v>
      </c>
      <c r="Q4235" s="49" t="n">
        <f aca="false">SUM(G4235:J4235)</f>
        <v>81.1564998822982</v>
      </c>
      <c r="R4235" s="49" t="n">
        <f aca="false">SUM(K4235:N4235)</f>
        <v>107.806728321565</v>
      </c>
      <c r="S4235" s="50" t="n">
        <f aca="false">SUM(P4235:R4235)</f>
        <v>221.58210042853</v>
      </c>
    </row>
    <row r="4236" customFormat="false" ht="15" hidden="false" customHeight="false" outlineLevel="0" collapsed="false">
      <c r="A4236" s="4" t="s">
        <v>508</v>
      </c>
      <c r="B4236" s="36" t="s">
        <v>509</v>
      </c>
      <c r="C4236" s="48" t="n">
        <f aca="false">C4218</f>
        <v>421.51972352</v>
      </c>
      <c r="D4236" s="48" t="n">
        <f aca="false">D4218</f>
        <v>843.03944704</v>
      </c>
      <c r="E4236" s="48" t="n">
        <f aca="false">E4218</f>
        <v>843.03944704</v>
      </c>
      <c r="F4236" s="48" t="n">
        <f aca="false">F4218</f>
        <v>843.03944704</v>
      </c>
      <c r="G4236" s="48" t="n">
        <f aca="false">G4218</f>
        <v>1149.32798176</v>
      </c>
      <c r="H4236" s="48" t="n">
        <f aca="false">H4218</f>
        <v>1455.61651648</v>
      </c>
      <c r="I4236" s="48" t="n">
        <f aca="false">I4218</f>
        <v>2486.00303616</v>
      </c>
      <c r="J4236" s="48" t="n">
        <f aca="false">J4218</f>
        <v>3516.38955584</v>
      </c>
      <c r="K4236" s="48" t="n">
        <f aca="false">K4218</f>
        <v>3516.38955584</v>
      </c>
      <c r="L4236" s="48" t="n">
        <f aca="false">L4218</f>
        <v>3516.38955584</v>
      </c>
      <c r="M4236" s="48" t="n">
        <f aca="false">M4218</f>
        <v>3516.38955584</v>
      </c>
      <c r="N4236" s="48" t="n">
        <f aca="false">N4218</f>
        <v>3516.38955584</v>
      </c>
      <c r="P4236" s="49"/>
      <c r="Q4236" s="49"/>
      <c r="R4236" s="49"/>
      <c r="S4236" s="50"/>
    </row>
    <row r="4237" customFormat="false" ht="15" hidden="false" customHeight="false" outlineLevel="0" collapsed="false">
      <c r="A4237" s="4" t="s">
        <v>510</v>
      </c>
      <c r="B4237" s="36" t="s">
        <v>509</v>
      </c>
      <c r="C4237" s="48" t="n">
        <f aca="false">C4219*Assumptions!$E$18*Assumptions!$E$33</f>
        <v>211.19616</v>
      </c>
      <c r="D4237" s="48" t="n">
        <f aca="false">D4219*Assumptions!$E$18*Assumptions!$E$33</f>
        <v>422.39232</v>
      </c>
      <c r="E4237" s="48" t="n">
        <f aca="false">E4219*Assumptions!$E$18*Assumptions!$E$33</f>
        <v>422.39232</v>
      </c>
      <c r="F4237" s="48" t="n">
        <f aca="false">F4219*Assumptions!$E$18*Assumptions!$E$33</f>
        <v>422.39232</v>
      </c>
      <c r="G4237" s="48" t="n">
        <f aca="false">G4219*Assumptions!$E$18*Assumptions!$E$33</f>
        <v>564.49344</v>
      </c>
      <c r="H4237" s="48" t="n">
        <f aca="false">H4219*Assumptions!$E$18*Assumptions!$E$33</f>
        <v>706.59456</v>
      </c>
      <c r="I4237" s="48" t="n">
        <f aca="false">I4219*Assumptions!$E$18*Assumptions!$E$33</f>
        <v>1135.07072</v>
      </c>
      <c r="J4237" s="48" t="n">
        <f aca="false">J4219*Assumptions!$E$18*Assumptions!$E$33</f>
        <v>1563.54688</v>
      </c>
      <c r="K4237" s="48" t="n">
        <f aca="false">K4219*Assumptions!$E$18*Assumptions!$E$33</f>
        <v>1563.54688</v>
      </c>
      <c r="L4237" s="48" t="n">
        <f aca="false">L4219*Assumptions!$E$18*Assumptions!$E$33</f>
        <v>1563.54688</v>
      </c>
      <c r="M4237" s="48" t="n">
        <f aca="false">M4219*Assumptions!$E$18*Assumptions!$E$33</f>
        <v>1563.54688</v>
      </c>
      <c r="N4237" s="48" t="n">
        <f aca="false">N4219*Assumptions!$E$18*Assumptions!$E$33</f>
        <v>1563.54688</v>
      </c>
      <c r="P4237" s="49"/>
      <c r="Q4237" s="49"/>
      <c r="R4237" s="49"/>
      <c r="S4237" s="50"/>
    </row>
    <row r="4238" customFormat="false" ht="15" hidden="false" customHeight="false" outlineLevel="0" collapsed="false">
      <c r="A4238" s="4" t="s">
        <v>511</v>
      </c>
      <c r="B4238" s="36" t="s">
        <v>509</v>
      </c>
      <c r="C4238" s="48" t="n">
        <f aca="false">C4220*Assumptions!$E$19*Assumptions!$E$34</f>
        <v>34.677888</v>
      </c>
      <c r="D4238" s="48" t="n">
        <f aca="false">D4220*Assumptions!$E$19*Assumptions!$E$34</f>
        <v>69.355776</v>
      </c>
      <c r="E4238" s="48" t="n">
        <f aca="false">E4220*Assumptions!$E$19*Assumptions!$E$34</f>
        <v>69.355776</v>
      </c>
      <c r="F4238" s="48" t="n">
        <f aca="false">F4220*Assumptions!$E$19*Assumptions!$E$34</f>
        <v>69.355776</v>
      </c>
      <c r="G4238" s="48" t="n">
        <f aca="false">G4220*Assumptions!$E$19*Assumptions!$E$34</f>
        <v>86.69472</v>
      </c>
      <c r="H4238" s="48" t="n">
        <f aca="false">H4220*Assumptions!$E$19*Assumptions!$E$34</f>
        <v>104.033664</v>
      </c>
      <c r="I4238" s="48" t="n">
        <f aca="false">I4220*Assumptions!$E$19*Assumptions!$E$34</f>
        <v>159.7008</v>
      </c>
      <c r="J4238" s="48" t="n">
        <f aca="false">J4220*Assumptions!$E$19*Assumptions!$E$34</f>
        <v>215.367936</v>
      </c>
      <c r="K4238" s="48" t="n">
        <f aca="false">K4220*Assumptions!$E$19*Assumptions!$E$34</f>
        <v>215.367936</v>
      </c>
      <c r="L4238" s="48" t="n">
        <f aca="false">L4220*Assumptions!$E$19*Assumptions!$E$34</f>
        <v>215.367936</v>
      </c>
      <c r="M4238" s="48" t="n">
        <f aca="false">M4220*Assumptions!$E$19*Assumptions!$E$34</f>
        <v>215.367936</v>
      </c>
      <c r="N4238" s="48" t="n">
        <f aca="false">N4220*Assumptions!$E$19*Assumptions!$E$34</f>
        <v>215.367936</v>
      </c>
      <c r="P4238" s="49"/>
      <c r="Q4238" s="49"/>
      <c r="R4238" s="49"/>
      <c r="S4238" s="50"/>
    </row>
    <row r="4239" customFormat="false" ht="15" hidden="false" customHeight="false" outlineLevel="0" collapsed="false">
      <c r="A4239" s="4" t="s">
        <v>512</v>
      </c>
      <c r="B4239" s="36" t="s">
        <v>77</v>
      </c>
      <c r="C4239" s="51" t="n">
        <f aca="false">IFERROR(C4236/(C4236+C4237+C4238),0)</f>
        <v>0.631590736245533</v>
      </c>
      <c r="D4239" s="51" t="n">
        <f aca="false">IFERROR(D4236/(D4236+D4237+D4238),0)</f>
        <v>0.631590736245533</v>
      </c>
      <c r="E4239" s="51" t="n">
        <f aca="false">IFERROR(E4236/(E4236+E4237+E4238),0)</f>
        <v>0.631590736245533</v>
      </c>
      <c r="F4239" s="51" t="n">
        <f aca="false">IFERROR(F4236/(F4236+F4237+F4238),0)</f>
        <v>0.631590736245533</v>
      </c>
      <c r="G4239" s="51" t="n">
        <f aca="false">IFERROR(G4236/(G4236+G4237+G4238),0)</f>
        <v>0.638332506498128</v>
      </c>
      <c r="H4239" s="51" t="n">
        <f aca="false">IFERROR(H4236/(H4236+H4237+H4238),0)</f>
        <v>0.642303318118984</v>
      </c>
      <c r="I4239" s="51" t="n">
        <f aca="false">IFERROR(I4236/(I4236+I4237+I4238),0)</f>
        <v>0.657538025405288</v>
      </c>
      <c r="J4239" s="51" t="n">
        <f aca="false">IFERROR(J4236/(J4236+J4237+J4238),0)</f>
        <v>0.664058061428891</v>
      </c>
      <c r="K4239" s="51" t="n">
        <f aca="false">IFERROR(K4236/(K4236+K4237+K4238),0)</f>
        <v>0.664058061428891</v>
      </c>
      <c r="L4239" s="51" t="n">
        <f aca="false">IFERROR(L4236/(L4236+L4237+L4238),0)</f>
        <v>0.664058061428891</v>
      </c>
      <c r="M4239" s="51" t="n">
        <f aca="false">IFERROR(M4236/(M4236+M4237+M4238),0)</f>
        <v>0.664058061428891</v>
      </c>
      <c r="N4239" s="51" t="n">
        <f aca="false">IFERROR(N4236/(N4236+N4237+N4238),0)</f>
        <v>0.664058061428891</v>
      </c>
      <c r="P4239" s="52"/>
      <c r="Q4239" s="52"/>
      <c r="R4239" s="52"/>
      <c r="S4239" s="53"/>
    </row>
    <row r="4240" customFormat="false" ht="15" hidden="false" customHeight="false" outlineLevel="0" collapsed="false">
      <c r="A4240" s="4" t="s">
        <v>513</v>
      </c>
      <c r="B4240" s="36" t="s">
        <v>77</v>
      </c>
      <c r="C4240" s="51" t="n">
        <f aca="false">IFERROR(C4237/(C4236+C4237+C4238),0)</f>
        <v>0.316449102482628</v>
      </c>
      <c r="D4240" s="51" t="n">
        <f aca="false">IFERROR(D4237/(D4236+D4237+D4238),0)</f>
        <v>0.316449102482628</v>
      </c>
      <c r="E4240" s="51" t="n">
        <f aca="false">IFERROR(E4237/(E4236+E4237+E4238),0)</f>
        <v>0.316449102482628</v>
      </c>
      <c r="F4240" s="51" t="n">
        <f aca="false">IFERROR(F4237/(F4236+F4237+F4238),0)</f>
        <v>0.316449102482628</v>
      </c>
      <c r="G4240" s="51" t="n">
        <f aca="false">IFERROR(G4237/(G4236+G4237+G4238),0)</f>
        <v>0.313517566939561</v>
      </c>
      <c r="H4240" s="51" t="n">
        <f aca="false">IFERROR(H4237/(H4236+H4237+H4238),0)</f>
        <v>0.311790932099567</v>
      </c>
      <c r="I4240" s="51" t="n">
        <f aca="false">IFERROR(I4237/(I4236+I4237+I4238),0)</f>
        <v>0.300221741111391</v>
      </c>
      <c r="J4240" s="51" t="n">
        <f aca="false">IFERROR(J4237/(J4236+J4237+J4238),0)</f>
        <v>0.295270445324128</v>
      </c>
      <c r="K4240" s="51" t="n">
        <f aca="false">IFERROR(K4237/(K4236+K4237+K4238),0)</f>
        <v>0.295270445324128</v>
      </c>
      <c r="L4240" s="51" t="n">
        <f aca="false">IFERROR(L4237/(L4236+L4237+L4238),0)</f>
        <v>0.295270445324128</v>
      </c>
      <c r="M4240" s="51" t="n">
        <f aca="false">IFERROR(M4237/(M4236+M4237+M4238),0)</f>
        <v>0.295270445324128</v>
      </c>
      <c r="N4240" s="51" t="n">
        <f aca="false">IFERROR(N4237/(N4236+N4237+N4238),0)</f>
        <v>0.295270445324128</v>
      </c>
      <c r="P4240" s="52"/>
      <c r="Q4240" s="52"/>
      <c r="R4240" s="52"/>
      <c r="S4240" s="53"/>
    </row>
    <row r="4241" customFormat="false" ht="15" hidden="false" customHeight="false" outlineLevel="0" collapsed="false">
      <c r="A4241" s="4" t="s">
        <v>514</v>
      </c>
      <c r="B4241" s="36" t="s">
        <v>77</v>
      </c>
      <c r="C4241" s="51" t="n">
        <f aca="false">IFERROR(C4238/(C4236+C4237+C4238),0)</f>
        <v>0.0519601612718389</v>
      </c>
      <c r="D4241" s="51" t="n">
        <f aca="false">IFERROR(D4238/(D4236+D4237+D4238),0)</f>
        <v>0.0519601612718389</v>
      </c>
      <c r="E4241" s="51" t="n">
        <f aca="false">IFERROR(E4238/(E4236+E4237+E4238),0)</f>
        <v>0.0519601612718389</v>
      </c>
      <c r="F4241" s="51" t="n">
        <f aca="false">IFERROR(F4238/(F4236+F4237+F4238),0)</f>
        <v>0.0519601612718389</v>
      </c>
      <c r="G4241" s="51" t="n">
        <f aca="false">IFERROR(G4238/(G4236+G4237+G4238),0)</f>
        <v>0.0481499265623113</v>
      </c>
      <c r="H4241" s="51" t="n">
        <f aca="false">IFERROR(H4238/(H4236+H4237+H4238),0)</f>
        <v>0.0459057497814491</v>
      </c>
      <c r="I4241" s="51" t="n">
        <f aca="false">IFERROR(I4238/(I4236+I4237+I4238),0)</f>
        <v>0.0422402334833216</v>
      </c>
      <c r="J4241" s="51" t="n">
        <f aca="false">IFERROR(J4238/(J4236+J4237+J4238),0)</f>
        <v>0.0406714932469811</v>
      </c>
      <c r="K4241" s="51" t="n">
        <f aca="false">IFERROR(K4238/(K4236+K4237+K4238),0)</f>
        <v>0.0406714932469811</v>
      </c>
      <c r="L4241" s="51" t="n">
        <f aca="false">IFERROR(L4238/(L4236+L4237+L4238),0)</f>
        <v>0.0406714932469811</v>
      </c>
      <c r="M4241" s="51" t="n">
        <f aca="false">IFERROR(M4238/(M4236+M4237+M4238),0)</f>
        <v>0.0406714932469811</v>
      </c>
      <c r="N4241" s="51" t="n">
        <f aca="false">IFERROR(N4238/(N4236+N4237+N4238),0)</f>
        <v>0.0406714932469811</v>
      </c>
      <c r="P4241" s="52"/>
      <c r="Q4241" s="52"/>
      <c r="R4241" s="52"/>
      <c r="S4241" s="53"/>
    </row>
    <row r="4242" customFormat="false" ht="15" hidden="false" customHeight="false" outlineLevel="0" collapsed="false">
      <c r="A4242" s="4" t="s">
        <v>515</v>
      </c>
      <c r="B4242" s="36" t="s">
        <v>516</v>
      </c>
      <c r="C4242" s="48" t="n">
        <f aca="false">IF(C4210-Assumptions!$E$35&lt;1,0,INDEX($C$4235:$N$4235,1,C4210-Assumptions!$E$35)*INDEX($C$4239:$N$4239,1,C4210-Assumptions!$E$35)*Assumptions!$E$32)</f>
        <v>0</v>
      </c>
      <c r="D4242" s="48" t="n">
        <f aca="false">IF(D4210-Assumptions!$E$35&lt;1,0,INDEX($C$4235:$N$4235,1,D4210-Assumptions!$E$35)*INDEX($C$4239:$N$4239,1,D4210-Assumptions!$E$35)*Assumptions!$E$32)</f>
        <v>0.601108335960697</v>
      </c>
      <c r="E4242" s="48" t="n">
        <f aca="false">IF(E4210-Assumptions!$E$35&lt;1,0,INDEX($C$4235:$N$4235,1,E4210-Assumptions!$E$35)*INDEX($C$4239:$N$4239,1,E4210-Assumptions!$E$35)*Assumptions!$E$32)</f>
        <v>1.15345191377949</v>
      </c>
      <c r="F4242" s="48" t="n">
        <f aca="false">IF(F4210-Assumptions!$E$35&lt;1,0,INDEX($C$4235:$N$4235,1,F4210-Assumptions!$E$35)*INDEX($C$4239:$N$4239,1,F4210-Assumptions!$E$35)*Assumptions!$E$32)</f>
        <v>1.24070524751127</v>
      </c>
      <c r="G4242" s="48" t="n">
        <f aca="false">IF(G4210-Assumptions!$E$35&lt;1,0,INDEX($C$4235:$N$4235,1,G4210-Assumptions!$E$35)*INDEX($C$4239:$N$4239,1,G4210-Assumptions!$E$35)*Assumptions!$E$32)</f>
        <v>1.33110778276254</v>
      </c>
      <c r="H4242" s="48" t="n">
        <f aca="false">IF(H4210-Assumptions!$E$35&lt;1,0,INDEX($C$4235:$N$4235,1,H4210-Assumptions!$E$35)*INDEX($C$4239:$N$4239,1,H4210-Assumptions!$E$35)*Assumptions!$E$32)</f>
        <v>1.77399747627151</v>
      </c>
      <c r="I4242" s="48" t="n">
        <f aca="false">IF(I4210-Assumptions!$E$35&lt;1,0,INDEX($C$4235:$N$4235,1,I4210-Assumptions!$E$35)*INDEX($C$4239:$N$4239,1,I4210-Assumptions!$E$35)*Assumptions!$E$32)</f>
        <v>2.04925033265122</v>
      </c>
      <c r="J4242" s="48" t="n">
        <f aca="false">IF(J4210-Assumptions!$E$35&lt;1,0,INDEX($C$4235:$N$4235,1,J4210-Assumptions!$E$35)*INDEX($C$4239:$N$4239,1,J4210-Assumptions!$E$35)*Assumptions!$E$32)</f>
        <v>3.16411219019803</v>
      </c>
      <c r="K4242" s="48" t="n">
        <f aca="false">IF(K4210-Assumptions!$E$35&lt;1,0,INDEX($C$4235:$N$4235,1,K4210-Assumptions!$E$35)*INDEX($C$4239:$N$4239,1,K4210-Assumptions!$E$35)*Assumptions!$E$32)</f>
        <v>4.15781499390201</v>
      </c>
      <c r="L4242" s="48" t="n">
        <f aca="false">IF(L4210-Assumptions!$E$35&lt;1,0,INDEX($C$4235:$N$4235,1,L4210-Assumptions!$E$35)*INDEX($C$4239:$N$4239,1,L4210-Assumptions!$E$35)*Assumptions!$E$32)</f>
        <v>3.98660269259486</v>
      </c>
      <c r="M4242" s="48" t="n">
        <f aca="false">IF(M4210-Assumptions!$E$35&lt;1,0,INDEX($C$4235:$N$4235,1,M4210-Assumptions!$E$35)*INDEX($C$4239:$N$4239,1,M4210-Assumptions!$E$35)*Assumptions!$E$32)</f>
        <v>3.82727169306037</v>
      </c>
      <c r="N4242" s="48" t="n">
        <f aca="false">IF(N4210-Assumptions!$E$35&lt;1,0,INDEX($C$4235:$N$4235,1,N4210-Assumptions!$E$35)*INDEX($C$4239:$N$4239,1,N4210-Assumptions!$E$35)*Assumptions!$E$32)</f>
        <v>3.67899749068799</v>
      </c>
      <c r="P4242" s="49" t="n">
        <f aca="false">SUM(C4242:F4242)</f>
        <v>2.99526549725146</v>
      </c>
      <c r="Q4242" s="49" t="n">
        <f aca="false">SUM(G4242:J4242)</f>
        <v>8.3184677818833</v>
      </c>
      <c r="R4242" s="49" t="n">
        <f aca="false">SUM(K4242:N4242)</f>
        <v>15.6506868702452</v>
      </c>
      <c r="S4242" s="50" t="n">
        <f aca="false">SUM(P4242:R4242)</f>
        <v>26.96442014938</v>
      </c>
    </row>
    <row r="4243" customFormat="false" ht="15" hidden="false" customHeight="false" outlineLevel="0" collapsed="false">
      <c r="A4243" s="4" t="s">
        <v>517</v>
      </c>
      <c r="B4243" s="36" t="s">
        <v>516</v>
      </c>
      <c r="C4243" s="48" t="n">
        <f aca="false">IF(C4210-Assumptions!$E$35&lt;1,0,INDEX($C$4235:$N$4235,1,C4210-Assumptions!$E$35)*INDEX($C$4240:$N$4240,1,C4210-Assumptions!$E$35)*Assumptions!$E$32)</f>
        <v>0</v>
      </c>
      <c r="D4243" s="48" t="n">
        <f aca="false">IF(D4210-Assumptions!$E$35&lt;1,0,INDEX($C$4235:$N$4235,1,D4210-Assumptions!$E$35)*INDEX($C$4240:$N$4240,1,D4210-Assumptions!$E$35)*Assumptions!$E$32)</f>
        <v>0.301176351224442</v>
      </c>
      <c r="E4243" s="48" t="n">
        <f aca="false">IF(E4210-Assumptions!$E$35&lt;1,0,INDEX($C$4235:$N$4235,1,E4210-Assumptions!$E$35)*INDEX($C$4240:$N$4240,1,E4210-Assumptions!$E$35)*Assumptions!$E$32)</f>
        <v>0.577919848923326</v>
      </c>
      <c r="F4243" s="48" t="n">
        <f aca="false">IF(F4210-Assumptions!$E$35&lt;1,0,INDEX($C$4235:$N$4235,1,F4210-Assumptions!$E$35)*INDEX($C$4240:$N$4240,1,F4210-Assumptions!$E$35)*Assumptions!$E$32)</f>
        <v>0.621636828232064</v>
      </c>
      <c r="G4243" s="48" t="n">
        <f aca="false">IF(G4210-Assumptions!$E$35&lt;1,0,INDEX($C$4235:$N$4235,1,G4210-Assumptions!$E$35)*INDEX($C$4240:$N$4240,1,G4210-Assumptions!$E$35)*Assumptions!$E$32)</f>
        <v>0.666931667913338</v>
      </c>
      <c r="H4243" s="48" t="n">
        <f aca="false">IF(H4210-Assumptions!$E$35&lt;1,0,INDEX($C$4235:$N$4235,1,H4210-Assumptions!$E$35)*INDEX($C$4240:$N$4240,1,H4210-Assumptions!$E$35)*Assumptions!$E$32)</f>
        <v>0.871300406693602</v>
      </c>
      <c r="I4243" s="48" t="n">
        <f aca="false">IF(I4210-Assumptions!$E$35&lt;1,0,INDEX($C$4235:$N$4235,1,I4210-Assumptions!$E$35)*INDEX($C$4240:$N$4240,1,I4210-Assumptions!$E$35)*Assumptions!$E$32)</f>
        <v>0.994760035171279</v>
      </c>
      <c r="J4243" s="48" t="n">
        <f aca="false">IF(J4210-Assumptions!$E$35&lt;1,0,INDEX($C$4235:$N$4235,1,J4210-Assumptions!$E$35)*INDEX($C$4240:$N$4240,1,J4210-Assumptions!$E$35)*Assumptions!$E$32)</f>
        <v>1.44468492179979</v>
      </c>
      <c r="K4243" s="48" t="n">
        <f aca="false">IF(K4210-Assumptions!$E$35&lt;1,0,INDEX($C$4235:$N$4235,1,K4210-Assumptions!$E$35)*INDEX($C$4240:$N$4240,1,K4210-Assumptions!$E$35)*Assumptions!$E$32)</f>
        <v>1.84875383062607</v>
      </c>
      <c r="L4243" s="48" t="n">
        <f aca="false">IF(L4210-Assumptions!$E$35&lt;1,0,INDEX($C$4235:$N$4235,1,L4210-Assumptions!$E$35)*INDEX($C$4240:$N$4240,1,L4210-Assumptions!$E$35)*Assumptions!$E$32)</f>
        <v>1.77262504703273</v>
      </c>
      <c r="M4243" s="48" t="n">
        <f aca="false">IF(M4210-Assumptions!$E$35&lt;1,0,INDEX($C$4235:$N$4235,1,M4210-Assumptions!$E$35)*INDEX($C$4240:$N$4240,1,M4210-Assumptions!$E$35)*Assumptions!$E$32)</f>
        <v>1.70177923110324</v>
      </c>
      <c r="N4243" s="48" t="n">
        <f aca="false">IF(N4210-Assumptions!$E$35&lt;1,0,INDEX($C$4235:$N$4235,1,N4210-Assumptions!$E$35)*INDEX($C$4240:$N$4240,1,N4210-Assumptions!$E$35)*Assumptions!$E$32)</f>
        <v>1.6358497705522</v>
      </c>
      <c r="P4243" s="49" t="n">
        <f aca="false">SUM(C4243:F4243)</f>
        <v>1.50073302837983</v>
      </c>
      <c r="Q4243" s="49" t="n">
        <f aca="false">SUM(G4243:J4243)</f>
        <v>3.97767703157801</v>
      </c>
      <c r="R4243" s="49" t="n">
        <f aca="false">SUM(K4243:N4243)</f>
        <v>6.95900787931425</v>
      </c>
      <c r="S4243" s="50" t="n">
        <f aca="false">SUM(P4243:R4243)</f>
        <v>12.4374179392721</v>
      </c>
    </row>
    <row r="4244" customFormat="false" ht="15" hidden="false" customHeight="false" outlineLevel="0" collapsed="false">
      <c r="A4244" s="4" t="s">
        <v>518</v>
      </c>
      <c r="B4244" s="36" t="s">
        <v>516</v>
      </c>
      <c r="C4244" s="48" t="n">
        <f aca="false">IF(C4210-Assumptions!$E$36&lt;1,0,INDEX($C$4235:$N$4235,1,C4210-Assumptions!$E$36)*INDEX($C$4241:$N$4241,1,C4210-Assumptions!$E$36)*Assumptions!$E$32)</f>
        <v>0</v>
      </c>
      <c r="D4244" s="48" t="n">
        <f aca="false">IF(D4210-Assumptions!$E$36&lt;1,0,INDEX($C$4235:$N$4235,1,D4210-Assumptions!$E$36)*INDEX($C$4241:$N$4241,1,D4210-Assumptions!$E$36)*Assumptions!$E$32)</f>
        <v>0</v>
      </c>
      <c r="E4244" s="48" t="n">
        <f aca="false">IF(E4210-Assumptions!$E$36&lt;1,0,INDEX($C$4235:$N$4235,1,E4210-Assumptions!$E$36)*INDEX($C$4241:$N$4241,1,E4210-Assumptions!$E$36)*Assumptions!$E$32)</f>
        <v>0.0494524132257417</v>
      </c>
      <c r="F4244" s="48" t="n">
        <f aca="false">IF(F4210-Assumptions!$E$36&lt;1,0,INDEX($C$4235:$N$4235,1,F4210-Assumptions!$E$36)*INDEX($C$4241:$N$4241,1,F4210-Assumptions!$E$36)*Assumptions!$E$32)</f>
        <v>0.0948930122306201</v>
      </c>
      <c r="G4244" s="48" t="n">
        <f aca="false">IF(G4210-Assumptions!$E$36&lt;1,0,INDEX($C$4235:$N$4235,1,G4210-Assumptions!$E$36)*INDEX($C$4241:$N$4241,1,G4210-Assumptions!$E$36)*Assumptions!$E$32)</f>
        <v>0.102071232289956</v>
      </c>
      <c r="H4244" s="48" t="n">
        <f aca="false">IF(H4210-Assumptions!$E$36&lt;1,0,INDEX($C$4235:$N$4235,1,H4210-Assumptions!$E$36)*INDEX($C$4241:$N$4241,1,H4210-Assumptions!$E$36)*Assumptions!$E$32)</f>
        <v>0.109508533126511</v>
      </c>
      <c r="I4244" s="48" t="n">
        <f aca="false">IF(I4210-Assumptions!$E$36&lt;1,0,INDEX($C$4235:$N$4235,1,I4210-Assumptions!$E$36)*INDEX($C$4241:$N$4241,1,I4210-Assumptions!$E$36)*Assumptions!$E$32)</f>
        <v>0.133814034746246</v>
      </c>
      <c r="J4244" s="48" t="n">
        <f aca="false">IF(J4210-Assumptions!$E$36&lt;1,0,INDEX($C$4235:$N$4235,1,J4210-Assumptions!$E$36)*INDEX($C$4241:$N$4241,1,J4210-Assumptions!$E$36)*Assumptions!$E$32)</f>
        <v>0.146460979348096</v>
      </c>
      <c r="K4244" s="48" t="n">
        <f aca="false">IF(K4210-Assumptions!$E$36&lt;1,0,INDEX($C$4235:$N$4235,1,K4210-Assumptions!$E$36)*INDEX($C$4241:$N$4241,1,K4210-Assumptions!$E$36)*Assumptions!$E$32)</f>
        <v>0.203262522496716</v>
      </c>
      <c r="L4244" s="48" t="n">
        <f aca="false">IF(L4210-Assumptions!$E$36&lt;1,0,INDEX($C$4235:$N$4235,1,L4210-Assumptions!$E$36)*INDEX($C$4241:$N$4241,1,L4210-Assumptions!$E$36)*Assumptions!$E$32)</f>
        <v>0.254653251378065</v>
      </c>
      <c r="M4244" s="48" t="n">
        <f aca="false">IF(M4210-Assumptions!$E$36&lt;1,0,INDEX($C$4235:$N$4235,1,M4210-Assumptions!$E$36)*INDEX($C$4241:$N$4241,1,M4210-Assumptions!$E$36)*Assumptions!$E$32)</f>
        <v>0.244167029824742</v>
      </c>
      <c r="N4244" s="48" t="n">
        <f aca="false">IF(N4210-Assumptions!$E$36&lt;1,0,INDEX($C$4235:$N$4235,1,N4210-Assumptions!$E$36)*INDEX($C$4241:$N$4241,1,N4210-Assumptions!$E$36)*Assumptions!$E$32)</f>
        <v>0.234408501093598</v>
      </c>
      <c r="P4244" s="49" t="n">
        <f aca="false">SUM(C4244:F4244)</f>
        <v>0.144345425456362</v>
      </c>
      <c r="Q4244" s="49" t="n">
        <f aca="false">SUM(G4244:J4244)</f>
        <v>0.491854779510809</v>
      </c>
      <c r="R4244" s="49" t="n">
        <f aca="false">SUM(K4244:N4244)</f>
        <v>0.936491304793122</v>
      </c>
      <c r="S4244" s="50" t="n">
        <f aca="false">SUM(P4244:R4244)</f>
        <v>1.57269150976029</v>
      </c>
    </row>
    <row r="4245" customFormat="false" ht="15" hidden="false" customHeight="false" outlineLevel="0" collapsed="false">
      <c r="A4245" s="4" t="s">
        <v>519</v>
      </c>
      <c r="B4245" s="36" t="s">
        <v>77</v>
      </c>
      <c r="C4245" s="51" t="n">
        <f aca="false">IF(C4210-Assumptions!$E$35&lt;1,0,IFERROR(INDEX($C$4234:$N$4234,1,C4210-Assumptions!$E$35)/INDEX($C$4235:$N$4235,1,C4210-Assumptions!$E$35),0))</f>
        <v>0</v>
      </c>
      <c r="D4245" s="51" t="n">
        <f aca="false">IF(D4210-Assumptions!$E$35&lt;1,0,IFERROR(INDEX($C$4234:$N$4234,1,D4210-Assumptions!$E$35)/INDEX($C$4235:$N$4235,1,D4210-Assumptions!$E$35),0))</f>
        <v>0.220649168672042</v>
      </c>
      <c r="E4245" s="51" t="n">
        <f aca="false">IF(E4210-Assumptions!$E$35&lt;1,0,IFERROR(INDEX($C$4234:$N$4234,1,E4210-Assumptions!$E$35)/INDEX($C$4235:$N$4235,1,E4210-Assumptions!$E$35),0))</f>
        <v>0.22997760552837</v>
      </c>
      <c r="F4245" s="51" t="n">
        <f aca="false">IF(F4210-Assumptions!$E$35&lt;1,0,IFERROR(INDEX($C$4234:$N$4234,1,F4210-Assumptions!$E$35)/INDEX($C$4235:$N$4235,1,F4210-Assumptions!$E$35),0))</f>
        <v>0.320706440657714</v>
      </c>
      <c r="G4245" s="51" t="n">
        <f aca="false">IF(G4210-Assumptions!$E$35&lt;1,0,IFERROR(INDEX($C$4234:$N$4234,1,G4210-Assumptions!$E$35)/INDEX($C$4235:$N$4235,1,G4210-Assumptions!$E$35),0))</f>
        <v>0.398567437826251</v>
      </c>
      <c r="H4245" s="51" t="n">
        <f aca="false">IF(H4210-Assumptions!$E$35&lt;1,0,IFERROR(INDEX($C$4234:$N$4234,1,H4210-Assumptions!$E$35)/INDEX($C$4235:$N$4235,1,H4210-Assumptions!$E$35),0))</f>
        <v>0.377818537392582</v>
      </c>
      <c r="I4245" s="51" t="n">
        <f aca="false">IF(I4210-Assumptions!$E$35&lt;1,0,IFERROR(INDEX($C$4234:$N$4234,1,I4210-Assumptions!$E$35)/INDEX($C$4235:$N$4235,1,I4210-Assumptions!$E$35),0))</f>
        <v>0.329104977210083</v>
      </c>
      <c r="J4245" s="51" t="n">
        <f aca="false">IF(J4210-Assumptions!$E$35&lt;1,0,IFERROR(INDEX($C$4234:$N$4234,1,J4210-Assumptions!$E$35)/INDEX($C$4235:$N$4235,1,J4210-Assumptions!$E$35),0))</f>
        <v>0.218201784631519</v>
      </c>
      <c r="K4245" s="51" t="n">
        <f aca="false">IF(K4210-Assumptions!$E$35&lt;1,0,IFERROR(INDEX($C$4234:$N$4234,1,K4210-Assumptions!$E$35)/INDEX($C$4235:$N$4235,1,K4210-Assumptions!$E$35),0))</f>
        <v>0.167698891250083</v>
      </c>
      <c r="L4245" s="51" t="n">
        <f aca="false">IF(L4210-Assumptions!$E$35&lt;1,0,IFERROR(INDEX($C$4234:$N$4234,1,L4210-Assumptions!$E$35)/INDEX($C$4235:$N$4235,1,L4210-Assumptions!$E$35),0))</f>
        <v>0.174901041880974</v>
      </c>
      <c r="M4245" s="51" t="n">
        <f aca="false">IF(M4210-Assumptions!$E$35&lt;1,0,IFERROR(INDEX($C$4234:$N$4234,1,M4210-Assumptions!$E$35)/INDEX($C$4235:$N$4235,1,M4210-Assumptions!$E$35),0))</f>
        <v>0.182182248980288</v>
      </c>
      <c r="N4245" s="51" t="n">
        <f aca="false">IF(N4210-Assumptions!$E$35&lt;1,0,IFERROR(INDEX($C$4234:$N$4234,1,N4210-Assumptions!$E$35)/INDEX($C$4235:$N$4235,1,N4210-Assumptions!$E$35),0))</f>
        <v>0.189524718694479</v>
      </c>
      <c r="P4245" s="52"/>
      <c r="Q4245" s="52"/>
      <c r="R4245" s="52"/>
      <c r="S4245" s="53"/>
    </row>
    <row r="4246" customFormat="false" ht="15" hidden="false" customHeight="false" outlineLevel="0" collapsed="false">
      <c r="A4246" s="4" t="s">
        <v>520</v>
      </c>
      <c r="B4246" s="36" t="s">
        <v>516</v>
      </c>
      <c r="C4246" s="48" t="n">
        <f aca="false">C4242*Assumptions!$E$37</f>
        <v>0</v>
      </c>
      <c r="D4246" s="48" t="n">
        <f aca="false">D4242*Assumptions!$E$37</f>
        <v>0.180332500788209</v>
      </c>
      <c r="E4246" s="48" t="n">
        <f aca="false">E4242*Assumptions!$E$37</f>
        <v>0.346035574133848</v>
      </c>
      <c r="F4246" s="48" t="n">
        <f aca="false">F4242*Assumptions!$E$37</f>
        <v>0.37221157425338</v>
      </c>
      <c r="G4246" s="48" t="n">
        <f aca="false">G4242*Assumptions!$E$37</f>
        <v>0.399332334828762</v>
      </c>
      <c r="H4246" s="48" t="n">
        <f aca="false">H4242*Assumptions!$E$37</f>
        <v>0.532199242881454</v>
      </c>
      <c r="I4246" s="48" t="n">
        <f aca="false">I4242*Assumptions!$E$37</f>
        <v>0.614775099795365</v>
      </c>
      <c r="J4246" s="48" t="n">
        <f aca="false">J4242*Assumptions!$E$37</f>
        <v>0.949233657059408</v>
      </c>
      <c r="K4246" s="48" t="n">
        <f aca="false">K4242*Assumptions!$E$37</f>
        <v>1.2473444981706</v>
      </c>
      <c r="L4246" s="48" t="n">
        <f aca="false">L4242*Assumptions!$E$37</f>
        <v>1.19598080777846</v>
      </c>
      <c r="M4246" s="48" t="n">
        <f aca="false">M4242*Assumptions!$E$37</f>
        <v>1.14818150791811</v>
      </c>
      <c r="N4246" s="48" t="n">
        <f aca="false">N4242*Assumptions!$E$37</f>
        <v>1.1036992472064</v>
      </c>
      <c r="P4246" s="49" t="n">
        <f aca="false">SUM(C4246:F4246)</f>
        <v>0.898579649175438</v>
      </c>
      <c r="Q4246" s="49" t="n">
        <f aca="false">SUM(G4246:J4246)</f>
        <v>2.49554033456499</v>
      </c>
      <c r="R4246" s="49" t="n">
        <f aca="false">SUM(K4246:N4246)</f>
        <v>4.69520606107357</v>
      </c>
      <c r="S4246" s="50" t="n">
        <f aca="false">SUM(P4246:R4246)</f>
        <v>8.08932604481399</v>
      </c>
    </row>
    <row r="4247" customFormat="false" ht="15" hidden="false" customHeight="false" outlineLevel="0" collapsed="false">
      <c r="A4247" s="4" t="s">
        <v>521</v>
      </c>
      <c r="B4247" s="36" t="s">
        <v>516</v>
      </c>
      <c r="C4247" s="48" t="n">
        <f aca="false">C4242*(1-Assumptions!$E$37)</f>
        <v>0</v>
      </c>
      <c r="D4247" s="48" t="n">
        <f aca="false">D4242*(1-Assumptions!$E$37)</f>
        <v>0.420775835172488</v>
      </c>
      <c r="E4247" s="48" t="n">
        <f aca="false">E4242*(1-Assumptions!$E$37)</f>
        <v>0.807416339645646</v>
      </c>
      <c r="F4247" s="48" t="n">
        <f aca="false">F4242*(1-Assumptions!$E$37)</f>
        <v>0.868493673257887</v>
      </c>
      <c r="G4247" s="48" t="n">
        <f aca="false">G4242*(1-Assumptions!$E$37)</f>
        <v>0.931775447933779</v>
      </c>
      <c r="H4247" s="48" t="n">
        <f aca="false">H4242*(1-Assumptions!$E$37)</f>
        <v>1.24179823339006</v>
      </c>
      <c r="I4247" s="48" t="n">
        <f aca="false">I4242*(1-Assumptions!$E$37)</f>
        <v>1.43447523285585</v>
      </c>
      <c r="J4247" s="48" t="n">
        <f aca="false">J4242*(1-Assumptions!$E$37)</f>
        <v>2.21487853313862</v>
      </c>
      <c r="K4247" s="48" t="n">
        <f aca="false">K4242*(1-Assumptions!$E$37)</f>
        <v>2.9104704957314</v>
      </c>
      <c r="L4247" s="48" t="n">
        <f aca="false">L4242*(1-Assumptions!$E$37)</f>
        <v>2.7906218848164</v>
      </c>
      <c r="M4247" s="48" t="n">
        <f aca="false">M4242*(1-Assumptions!$E$37)</f>
        <v>2.67909018514226</v>
      </c>
      <c r="N4247" s="48" t="n">
        <f aca="false">N4242*(1-Assumptions!$E$37)</f>
        <v>2.57529824348159</v>
      </c>
      <c r="P4247" s="49" t="n">
        <f aca="false">SUM(C4247:F4247)</f>
        <v>2.09668584807602</v>
      </c>
      <c r="Q4247" s="49" t="n">
        <f aca="false">SUM(G4247:J4247)</f>
        <v>5.82292744731831</v>
      </c>
      <c r="R4247" s="49" t="n">
        <f aca="false">SUM(K4247:N4247)</f>
        <v>10.9554808091717</v>
      </c>
      <c r="S4247" s="50" t="n">
        <f aca="false">SUM(P4247:R4247)</f>
        <v>18.875094104566</v>
      </c>
    </row>
    <row r="4248" customFormat="false" ht="15" hidden="false" customHeight="false" outlineLevel="0" collapsed="false">
      <c r="A4248" s="4" t="s">
        <v>522</v>
      </c>
      <c r="B4248" s="36" t="s">
        <v>125</v>
      </c>
      <c r="C4248" s="54" t="n">
        <f aca="false">C4247*$C$4201+C4243*$C$4202+C4244*$C$4203</f>
        <v>0</v>
      </c>
      <c r="D4248" s="54" t="n">
        <f aca="false">D4247*$C$4201+D4243*$C$4202+D4244*$C$4203</f>
        <v>5193.49740165102</v>
      </c>
      <c r="E4248" s="54" t="n">
        <f aca="false">E4247*$C$4201+E4243*$C$4202+E4244*$C$4203</f>
        <v>13020.7575259977</v>
      </c>
      <c r="F4248" s="54" t="n">
        <f aca="false">F4247*$C$4201+F4243*$C$4202+F4244*$C$4203</f>
        <v>16581.8558853615</v>
      </c>
      <c r="G4248" s="54" t="n">
        <f aca="false">G4247*$C$4201+G4243*$C$4202+G4244*$C$4203</f>
        <v>17806.3798838957</v>
      </c>
      <c r="H4248" s="54" t="n">
        <f aca="false">H4247*$C$4201+H4243*$C$4202+H4244*$C$4203</f>
        <v>21921.0975830523</v>
      </c>
      <c r="I4248" s="54" t="n">
        <f aca="false">I4247*$C$4201+I4243*$C$4202+I4244*$C$4203</f>
        <v>25659.6520293404</v>
      </c>
      <c r="J4248" s="54" t="n">
        <f aca="false">J4247*$C$4201+J4243*$C$4202+J4244*$C$4203</f>
        <v>35011.9671231211</v>
      </c>
      <c r="K4248" s="54" t="n">
        <f aca="false">K4247*$C$4201+K4243*$C$4202+K4244*$C$4203</f>
        <v>46190.3035384491</v>
      </c>
      <c r="L4248" s="54" t="n">
        <f aca="false">L4247*$C$4201+L4243*$C$4202+L4244*$C$4203</f>
        <v>47980.1748658693</v>
      </c>
      <c r="M4248" s="54" t="n">
        <f aca="false">M4247*$C$4201+M4243*$C$4202+M4244*$C$4203</f>
        <v>46043.5054708419</v>
      </c>
      <c r="N4248" s="54" t="n">
        <f aca="false">N4247*$C$4201+N4243*$C$4202+N4244*$C$4203</f>
        <v>44241.231521355</v>
      </c>
      <c r="P4248" s="55" t="n">
        <f aca="false">SUM(C4248:F4248)</f>
        <v>34796.1108130102</v>
      </c>
      <c r="Q4248" s="55" t="n">
        <f aca="false">SUM(G4248:J4248)</f>
        <v>100399.09661941</v>
      </c>
      <c r="R4248" s="55" t="n">
        <f aca="false">SUM(K4248:N4248)</f>
        <v>184455.215396515</v>
      </c>
      <c r="S4248" s="56" t="n">
        <f aca="false">SUM(P4248:R4248)</f>
        <v>319650.422828935</v>
      </c>
    </row>
    <row r="4249" customFormat="false" ht="15" hidden="false" customHeight="false" outlineLevel="0" collapsed="false">
      <c r="A4249" s="4" t="s">
        <v>523</v>
      </c>
      <c r="B4249" s="36" t="s">
        <v>125</v>
      </c>
      <c r="C4249" s="54" t="n">
        <f aca="false">(C4225+Assumptions!$D$104*C4211)*$C$4206</f>
        <v>306250</v>
      </c>
      <c r="D4249" s="54" t="n">
        <f aca="false">(D4225+Assumptions!$D$104*D4211)*$C$4206</f>
        <v>306250</v>
      </c>
      <c r="E4249" s="54" t="n">
        <f aca="false">(E4225+Assumptions!$D$104*E4211)*$C$4206</f>
        <v>306250</v>
      </c>
      <c r="F4249" s="54" t="n">
        <f aca="false">(F4225+Assumptions!$D$104*F4211)*$C$4206</f>
        <v>306250</v>
      </c>
      <c r="G4249" s="54" t="n">
        <f aca="false">(G4225+Assumptions!$D$104*G4211)*$C$4206</f>
        <v>306250</v>
      </c>
      <c r="H4249" s="54" t="n">
        <f aca="false">(H4225+Assumptions!$D$104*H4211)*$C$4206</f>
        <v>306250</v>
      </c>
      <c r="I4249" s="54" t="n">
        <f aca="false">(I4225+Assumptions!$D$104*I4211)*$C$4206</f>
        <v>306250</v>
      </c>
      <c r="J4249" s="54" t="n">
        <f aca="false">(J4225+Assumptions!$D$104*J4211)*$C$4206</f>
        <v>306250</v>
      </c>
      <c r="K4249" s="54" t="n">
        <f aca="false">(K4225+Assumptions!$D$104*K4211)*$C$4206</f>
        <v>306250</v>
      </c>
      <c r="L4249" s="54" t="n">
        <f aca="false">(L4225+Assumptions!$D$104*L4211)*$C$4206</f>
        <v>306250</v>
      </c>
      <c r="M4249" s="54" t="n">
        <f aca="false">(M4225+Assumptions!$D$104*M4211)*$C$4206</f>
        <v>306250</v>
      </c>
      <c r="N4249" s="54" t="n">
        <f aca="false">(N4225+Assumptions!$D$104*N4211)*$C$4206</f>
        <v>306250</v>
      </c>
      <c r="P4249" s="55" t="n">
        <f aca="false">SUM(C4249:F4249)</f>
        <v>1225000</v>
      </c>
      <c r="Q4249" s="55" t="n">
        <f aca="false">SUM(G4249:J4249)</f>
        <v>1225000</v>
      </c>
      <c r="R4249" s="55" t="n">
        <f aca="false">SUM(K4249:N4249)</f>
        <v>1225000</v>
      </c>
      <c r="S4249" s="56" t="n">
        <f aca="false">SUM(P4249:R4249)</f>
        <v>3675000</v>
      </c>
    </row>
    <row r="4250" customFormat="false" ht="15" hidden="false" customHeight="false" outlineLevel="0" collapsed="false">
      <c r="A4250" s="4" t="s">
        <v>524</v>
      </c>
      <c r="B4250" s="36" t="s">
        <v>77</v>
      </c>
      <c r="C4250" s="51" t="n">
        <f aca="false">IF(C4248&gt;0,MIN(1,C4249/C4248),1)</f>
        <v>1</v>
      </c>
      <c r="D4250" s="51" t="n">
        <f aca="false">IF(D4248&gt;0,MIN(1,D4249/D4248),1)</f>
        <v>1</v>
      </c>
      <c r="E4250" s="51" t="n">
        <f aca="false">IF(E4248&gt;0,MIN(1,E4249/E4248),1)</f>
        <v>1</v>
      </c>
      <c r="F4250" s="51" t="n">
        <f aca="false">IF(F4248&gt;0,MIN(1,F4249/F4248),1)</f>
        <v>1</v>
      </c>
      <c r="G4250" s="51" t="n">
        <f aca="false">IF(G4248&gt;0,MIN(1,G4249/G4248),1)</f>
        <v>1</v>
      </c>
      <c r="H4250" s="51" t="n">
        <f aca="false">IF(H4248&gt;0,MIN(1,H4249/H4248),1)</f>
        <v>1</v>
      </c>
      <c r="I4250" s="51" t="n">
        <f aca="false">IF(I4248&gt;0,MIN(1,I4249/I4248),1)</f>
        <v>1</v>
      </c>
      <c r="J4250" s="51" t="n">
        <f aca="false">IF(J4248&gt;0,MIN(1,J4249/J4248),1)</f>
        <v>1</v>
      </c>
      <c r="K4250" s="51" t="n">
        <f aca="false">IF(K4248&gt;0,MIN(1,K4249/K4248),1)</f>
        <v>1</v>
      </c>
      <c r="L4250" s="51" t="n">
        <f aca="false">IF(L4248&gt;0,MIN(1,L4249/L4248),1)</f>
        <v>1</v>
      </c>
      <c r="M4250" s="51" t="n">
        <f aca="false">IF(M4248&gt;0,MIN(1,M4249/M4248),1)</f>
        <v>1</v>
      </c>
      <c r="N4250" s="51" t="n">
        <f aca="false">IF(N4248&gt;0,MIN(1,N4249/N4248),1)</f>
        <v>1</v>
      </c>
      <c r="P4250" s="52"/>
      <c r="Q4250" s="52"/>
      <c r="R4250" s="52"/>
      <c r="S4250" s="53"/>
    </row>
    <row r="4251" customFormat="false" ht="15" hidden="false" customHeight="false" outlineLevel="0" collapsed="false">
      <c r="A4251" s="4" t="s">
        <v>525</v>
      </c>
      <c r="B4251" s="36" t="s">
        <v>125</v>
      </c>
      <c r="C4251" s="54" t="n">
        <f aca="false">C4248*(1-C4250)</f>
        <v>0</v>
      </c>
      <c r="D4251" s="54" t="n">
        <f aca="false">D4248*(1-D4250)</f>
        <v>0</v>
      </c>
      <c r="E4251" s="54" t="n">
        <f aca="false">E4248*(1-E4250)</f>
        <v>0</v>
      </c>
      <c r="F4251" s="54" t="n">
        <f aca="false">F4248*(1-F4250)</f>
        <v>0</v>
      </c>
      <c r="G4251" s="54" t="n">
        <f aca="false">G4248*(1-G4250)</f>
        <v>0</v>
      </c>
      <c r="H4251" s="54" t="n">
        <f aca="false">H4248*(1-H4250)</f>
        <v>0</v>
      </c>
      <c r="I4251" s="54" t="n">
        <f aca="false">I4248*(1-I4250)</f>
        <v>0</v>
      </c>
      <c r="J4251" s="54" t="n">
        <f aca="false">J4248*(1-J4250)</f>
        <v>0</v>
      </c>
      <c r="K4251" s="54" t="n">
        <f aca="false">K4248*(1-K4250)</f>
        <v>0</v>
      </c>
      <c r="L4251" s="54" t="n">
        <f aca="false">L4248*(1-L4250)</f>
        <v>0</v>
      </c>
      <c r="M4251" s="54" t="n">
        <f aca="false">M4248*(1-M4250)</f>
        <v>0</v>
      </c>
      <c r="N4251" s="54" t="n">
        <f aca="false">N4248*(1-N4250)</f>
        <v>0</v>
      </c>
      <c r="P4251" s="55" t="n">
        <f aca="false">SUM(C4251:F4251)</f>
        <v>0</v>
      </c>
      <c r="Q4251" s="55" t="n">
        <f aca="false">SUM(G4251:J4251)</f>
        <v>0</v>
      </c>
      <c r="R4251" s="55" t="n">
        <f aca="false">SUM(K4251:N4251)</f>
        <v>0</v>
      </c>
      <c r="S4251" s="56" t="n">
        <f aca="false">SUM(P4251:R4251)</f>
        <v>0</v>
      </c>
    </row>
    <row r="4252" customFormat="false" ht="15" hidden="false" customHeight="false" outlineLevel="0" collapsed="false">
      <c r="A4252" s="4" t="s">
        <v>526</v>
      </c>
      <c r="B4252" s="36" t="s">
        <v>527</v>
      </c>
      <c r="C4252" s="48" t="n">
        <f aca="false">C4246+C4247*C4250</f>
        <v>0</v>
      </c>
      <c r="D4252" s="48" t="n">
        <f aca="false">D4246+D4247*D4250</f>
        <v>0.601108335960697</v>
      </c>
      <c r="E4252" s="48" t="n">
        <f aca="false">E4246+E4247*E4250</f>
        <v>1.15345191377949</v>
      </c>
      <c r="F4252" s="48" t="n">
        <f aca="false">F4246+F4247*F4250</f>
        <v>1.24070524751127</v>
      </c>
      <c r="G4252" s="48" t="n">
        <f aca="false">G4246+G4247*G4250</f>
        <v>1.33110778276254</v>
      </c>
      <c r="H4252" s="48" t="n">
        <f aca="false">H4246+H4247*H4250</f>
        <v>1.77399747627151</v>
      </c>
      <c r="I4252" s="48" t="n">
        <f aca="false">I4246+I4247*I4250</f>
        <v>2.04925033265122</v>
      </c>
      <c r="J4252" s="48" t="n">
        <f aca="false">J4246+J4247*J4250</f>
        <v>3.16411219019803</v>
      </c>
      <c r="K4252" s="48" t="n">
        <f aca="false">K4246+K4247*K4250</f>
        <v>4.15781499390201</v>
      </c>
      <c r="L4252" s="48" t="n">
        <f aca="false">L4246+L4247*L4250</f>
        <v>3.98660269259486</v>
      </c>
      <c r="M4252" s="48" t="n">
        <f aca="false">M4246+M4247*M4250</f>
        <v>3.82727169306037</v>
      </c>
      <c r="N4252" s="48" t="n">
        <f aca="false">N4246+N4247*N4250</f>
        <v>3.67899749068799</v>
      </c>
      <c r="P4252" s="49" t="n">
        <f aca="false">SUM(C4252:F4252)</f>
        <v>2.99526549725146</v>
      </c>
      <c r="Q4252" s="49" t="n">
        <f aca="false">SUM(G4252:J4252)</f>
        <v>8.3184677818833</v>
      </c>
      <c r="R4252" s="49" t="n">
        <f aca="false">SUM(K4252:N4252)</f>
        <v>15.6506868702452</v>
      </c>
      <c r="S4252" s="50" t="n">
        <f aca="false">SUM(P4252:R4252)</f>
        <v>26.96442014938</v>
      </c>
    </row>
    <row r="4253" customFormat="false" ht="15" hidden="false" customHeight="false" outlineLevel="0" collapsed="false">
      <c r="A4253" s="4" t="s">
        <v>528</v>
      </c>
      <c r="B4253" s="36" t="s">
        <v>527</v>
      </c>
      <c r="C4253" s="48" t="n">
        <f aca="false">C4243*C4250</f>
        <v>0</v>
      </c>
      <c r="D4253" s="48" t="n">
        <f aca="false">D4243*D4250</f>
        <v>0.301176351224442</v>
      </c>
      <c r="E4253" s="48" t="n">
        <f aca="false">E4243*E4250</f>
        <v>0.577919848923326</v>
      </c>
      <c r="F4253" s="48" t="n">
        <f aca="false">F4243*F4250</f>
        <v>0.621636828232064</v>
      </c>
      <c r="G4253" s="48" t="n">
        <f aca="false">G4243*G4250</f>
        <v>0.666931667913338</v>
      </c>
      <c r="H4253" s="48" t="n">
        <f aca="false">H4243*H4250</f>
        <v>0.871300406693602</v>
      </c>
      <c r="I4253" s="48" t="n">
        <f aca="false">I4243*I4250</f>
        <v>0.994760035171279</v>
      </c>
      <c r="J4253" s="48" t="n">
        <f aca="false">J4243*J4250</f>
        <v>1.44468492179979</v>
      </c>
      <c r="K4253" s="48" t="n">
        <f aca="false">K4243*K4250</f>
        <v>1.84875383062607</v>
      </c>
      <c r="L4253" s="48" t="n">
        <f aca="false">L4243*L4250</f>
        <v>1.77262504703273</v>
      </c>
      <c r="M4253" s="48" t="n">
        <f aca="false">M4243*M4250</f>
        <v>1.70177923110324</v>
      </c>
      <c r="N4253" s="48" t="n">
        <f aca="false">N4243*N4250</f>
        <v>1.6358497705522</v>
      </c>
      <c r="P4253" s="49" t="n">
        <f aca="false">SUM(C4253:F4253)</f>
        <v>1.50073302837983</v>
      </c>
      <c r="Q4253" s="49" t="n">
        <f aca="false">SUM(G4253:J4253)</f>
        <v>3.97767703157801</v>
      </c>
      <c r="R4253" s="49" t="n">
        <f aca="false">SUM(K4253:N4253)</f>
        <v>6.95900787931425</v>
      </c>
      <c r="S4253" s="50" t="n">
        <f aca="false">SUM(P4253:R4253)</f>
        <v>12.4374179392721</v>
      </c>
    </row>
    <row r="4254" customFormat="false" ht="15" hidden="false" customHeight="false" outlineLevel="0" collapsed="false">
      <c r="A4254" s="4" t="s">
        <v>529</v>
      </c>
      <c r="B4254" s="36" t="s">
        <v>527</v>
      </c>
      <c r="C4254" s="48" t="n">
        <f aca="false">C4244*C4250</f>
        <v>0</v>
      </c>
      <c r="D4254" s="48" t="n">
        <f aca="false">D4244*D4250</f>
        <v>0</v>
      </c>
      <c r="E4254" s="48" t="n">
        <f aca="false">E4244*E4250</f>
        <v>0.0494524132257417</v>
      </c>
      <c r="F4254" s="48" t="n">
        <f aca="false">F4244*F4250</f>
        <v>0.0948930122306201</v>
      </c>
      <c r="G4254" s="48" t="n">
        <f aca="false">G4244*G4250</f>
        <v>0.102071232289956</v>
      </c>
      <c r="H4254" s="48" t="n">
        <f aca="false">H4244*H4250</f>
        <v>0.109508533126511</v>
      </c>
      <c r="I4254" s="48" t="n">
        <f aca="false">I4244*I4250</f>
        <v>0.133814034746246</v>
      </c>
      <c r="J4254" s="48" t="n">
        <f aca="false">J4244*J4250</f>
        <v>0.146460979348096</v>
      </c>
      <c r="K4254" s="48" t="n">
        <f aca="false">K4244*K4250</f>
        <v>0.203262522496716</v>
      </c>
      <c r="L4254" s="48" t="n">
        <f aca="false">L4244*L4250</f>
        <v>0.254653251378065</v>
      </c>
      <c r="M4254" s="48" t="n">
        <f aca="false">M4244*M4250</f>
        <v>0.244167029824742</v>
      </c>
      <c r="N4254" s="48" t="n">
        <f aca="false">N4244*N4250</f>
        <v>0.234408501093598</v>
      </c>
      <c r="P4254" s="49" t="n">
        <f aca="false">SUM(C4254:F4254)</f>
        <v>0.144345425456362</v>
      </c>
      <c r="Q4254" s="49" t="n">
        <f aca="false">SUM(G4254:J4254)</f>
        <v>0.491854779510809</v>
      </c>
      <c r="R4254" s="49" t="n">
        <f aca="false">SUM(K4254:N4254)</f>
        <v>0.936491304793122</v>
      </c>
      <c r="S4254" s="50" t="n">
        <f aca="false">SUM(P4254:R4254)</f>
        <v>1.57269150976029</v>
      </c>
    </row>
    <row r="4255" customFormat="false" ht="15" hidden="false" customHeight="false" outlineLevel="0" collapsed="false">
      <c r="A4255" s="9" t="s">
        <v>530</v>
      </c>
      <c r="B4255" s="36" t="s">
        <v>527</v>
      </c>
      <c r="C4255" s="49" t="n">
        <f aca="false">C4252+C4253+C4254</f>
        <v>0</v>
      </c>
      <c r="D4255" s="49" t="n">
        <f aca="false">D4252+D4253+D4254</f>
        <v>0.902284687185138</v>
      </c>
      <c r="E4255" s="49" t="n">
        <f aca="false">E4252+E4253+E4254</f>
        <v>1.78082417592856</v>
      </c>
      <c r="F4255" s="49" t="n">
        <f aca="false">F4252+F4253+F4254</f>
        <v>1.95723508797395</v>
      </c>
      <c r="G4255" s="49" t="n">
        <f aca="false">G4252+G4253+G4254</f>
        <v>2.10011068296584</v>
      </c>
      <c r="H4255" s="49" t="n">
        <f aca="false">H4252+H4253+H4254</f>
        <v>2.75480641609163</v>
      </c>
      <c r="I4255" s="49" t="n">
        <f aca="false">I4252+I4253+I4254</f>
        <v>3.17782440256874</v>
      </c>
      <c r="J4255" s="49" t="n">
        <f aca="false">J4252+J4253+J4254</f>
        <v>4.75525809134591</v>
      </c>
      <c r="K4255" s="49" t="n">
        <f aca="false">K4252+K4253+K4254</f>
        <v>6.20983134702479</v>
      </c>
      <c r="L4255" s="49" t="n">
        <f aca="false">L4252+L4253+L4254</f>
        <v>6.01388099100566</v>
      </c>
      <c r="M4255" s="49" t="n">
        <f aca="false">M4252+M4253+M4254</f>
        <v>5.77321795398836</v>
      </c>
      <c r="N4255" s="49" t="n">
        <f aca="false">N4252+N4253+N4254</f>
        <v>5.54925576233379</v>
      </c>
      <c r="P4255" s="49" t="n">
        <f aca="false">SUM(C4255:F4255)</f>
        <v>4.64034395108765</v>
      </c>
      <c r="Q4255" s="49" t="n">
        <f aca="false">SUM(G4255:J4255)</f>
        <v>12.7879995929721</v>
      </c>
      <c r="R4255" s="49" t="n">
        <f aca="false">SUM(K4255:N4255)</f>
        <v>23.5461860543526</v>
      </c>
      <c r="S4255" s="50" t="n">
        <f aca="false">SUM(P4255:R4255)</f>
        <v>40.9745295984124</v>
      </c>
    </row>
    <row r="4256" customFormat="false" ht="15" hidden="false" customHeight="false" outlineLevel="0" collapsed="false">
      <c r="A4256" s="35" t="s">
        <v>533</v>
      </c>
      <c r="B4256" s="35" t="s">
        <v>444</v>
      </c>
      <c r="C4256" s="6" t="s">
        <v>354</v>
      </c>
      <c r="D4256" s="6" t="s">
        <v>355</v>
      </c>
      <c r="E4256" s="6" t="s">
        <v>356</v>
      </c>
      <c r="F4256" s="6" t="s">
        <v>357</v>
      </c>
      <c r="G4256" s="6" t="s">
        <v>358</v>
      </c>
      <c r="H4256" s="6" t="s">
        <v>359</v>
      </c>
      <c r="I4256" s="6" t="s">
        <v>360</v>
      </c>
      <c r="J4256" s="6" t="s">
        <v>361</v>
      </c>
      <c r="K4256" s="6" t="s">
        <v>362</v>
      </c>
      <c r="L4256" s="6" t="s">
        <v>363</v>
      </c>
      <c r="M4256" s="6" t="s">
        <v>364</v>
      </c>
      <c r="N4256" s="6" t="s">
        <v>365</v>
      </c>
      <c r="P4256" s="6" t="s">
        <v>445</v>
      </c>
      <c r="Q4256" s="6" t="s">
        <v>446</v>
      </c>
      <c r="R4256" s="6" t="s">
        <v>447</v>
      </c>
      <c r="S4256" s="6" t="s">
        <v>448</v>
      </c>
    </row>
    <row r="4257" customFormat="false" ht="15" hidden="false" customHeight="false" outlineLevel="0" collapsed="false">
      <c r="A4257" s="4" t="s">
        <v>534</v>
      </c>
      <c r="B4257" s="36" t="s">
        <v>527</v>
      </c>
      <c r="C4257" s="48" t="n">
        <f aca="false">0*Assumptions!$E$59^(1/4)+C4252</f>
        <v>0</v>
      </c>
      <c r="D4257" s="48" t="n">
        <f aca="false">C4257*Assumptions!$E$59^(1/4)+D4252</f>
        <v>0.601108335960697</v>
      </c>
      <c r="E4257" s="48" t="n">
        <f aca="false">D4257*Assumptions!$E$59^(1/4)+E4252</f>
        <v>1.73565354603969</v>
      </c>
      <c r="F4257" s="48" t="n">
        <f aca="false">E4257*Assumptions!$E$59^(1/4)+F4252</f>
        <v>2.92176715780322</v>
      </c>
      <c r="G4257" s="48" t="n">
        <f aca="false">F4257*Assumptions!$E$59^(1/4)+G4252</f>
        <v>4.16097638812569</v>
      </c>
      <c r="H4257" s="48" t="n">
        <f aca="false">G4257*Assumptions!$E$59^(1/4)+H4252</f>
        <v>5.80409837495761</v>
      </c>
      <c r="I4257" s="48" t="n">
        <f aca="false">H4257*Assumptions!$E$59^(1/4)+I4252</f>
        <v>7.67079198420471</v>
      </c>
      <c r="J4257" s="48" t="n">
        <f aca="false">I4257*Assumptions!$E$59^(1/4)+J4252</f>
        <v>10.5936342027232</v>
      </c>
      <c r="K4257" s="48" t="n">
        <f aca="false">J4257*Assumptions!$E$59^(1/4)+K4252</f>
        <v>14.4182468585437</v>
      </c>
      <c r="L4257" s="48" t="n">
        <f aca="false">K4257*Assumptions!$E$59^(1/4)+L4252</f>
        <v>17.9513513962686</v>
      </c>
      <c r="M4257" s="48" t="n">
        <f aca="false">L4257*Assumptions!$E$59^(1/4)+M4252</f>
        <v>21.2139979434633</v>
      </c>
      <c r="N4257" s="48" t="n">
        <f aca="false">M4257*Assumptions!$E$59^(1/4)+N4252</f>
        <v>24.2257500319077</v>
      </c>
      <c r="P4257" s="49" t="n">
        <f aca="false">F4257</f>
        <v>2.92176715780322</v>
      </c>
      <c r="Q4257" s="49" t="n">
        <f aca="false">J4257</f>
        <v>10.5936342027232</v>
      </c>
      <c r="R4257" s="49" t="n">
        <f aca="false">N4257</f>
        <v>24.2257500319077</v>
      </c>
      <c r="S4257" s="50" t="n">
        <f aca="false">R4257</f>
        <v>24.2257500319077</v>
      </c>
    </row>
    <row r="4258" customFormat="false" ht="15" hidden="false" customHeight="false" outlineLevel="0" collapsed="false">
      <c r="A4258" s="4" t="s">
        <v>535</v>
      </c>
      <c r="B4258" s="36" t="s">
        <v>527</v>
      </c>
      <c r="C4258" s="48" t="n">
        <f aca="false">0*Assumptions!$E$60^(1/4)+C4253</f>
        <v>0</v>
      </c>
      <c r="D4258" s="48" t="n">
        <f aca="false">C4258*Assumptions!$E$60^(1/4)+D4253</f>
        <v>0.301176351224442</v>
      </c>
      <c r="E4258" s="48" t="n">
        <f aca="false">D4258*Assumptions!$E$60^(1/4)+E4253</f>
        <v>0.871266743350633</v>
      </c>
      <c r="F4258" s="48" t="n">
        <f aca="false">E4258*Assumptions!$E$60^(1/4)+F4253</f>
        <v>1.47025390039135</v>
      </c>
      <c r="G4258" s="48" t="n">
        <f aca="false">F4258*Assumptions!$E$60^(1/4)+G4253</f>
        <v>2.09896447509092</v>
      </c>
      <c r="H4258" s="48" t="n">
        <f aca="false">G4258*Assumptions!$E$60^(1/4)+H4253</f>
        <v>2.91569966904576</v>
      </c>
      <c r="I4258" s="48" t="n">
        <f aca="false">H4258*Assumptions!$E$60^(1/4)+I4253</f>
        <v>3.83466243627285</v>
      </c>
      <c r="J4258" s="48" t="n">
        <f aca="false">I4258*Assumptions!$E$60^(1/4)+J4253</f>
        <v>5.1796605010059</v>
      </c>
      <c r="K4258" s="48" t="n">
        <f aca="false">J4258*Assumptions!$E$60^(1/4)+K4253</f>
        <v>6.89376256381694</v>
      </c>
      <c r="L4258" s="48" t="n">
        <f aca="false">K4258*Assumptions!$E$60^(1/4)+L4253</f>
        <v>8.4871756111569</v>
      </c>
      <c r="M4258" s="48" t="n">
        <f aca="false">L4258*Assumptions!$E$60^(1/4)+M4253</f>
        <v>9.96832007293947</v>
      </c>
      <c r="N4258" s="48" t="n">
        <f aca="false">M4258*Assumptions!$E$60^(1/4)+N4253</f>
        <v>11.3450308671617</v>
      </c>
      <c r="P4258" s="49" t="n">
        <f aca="false">F4258</f>
        <v>1.47025390039135</v>
      </c>
      <c r="Q4258" s="49" t="n">
        <f aca="false">J4258</f>
        <v>5.1796605010059</v>
      </c>
      <c r="R4258" s="49" t="n">
        <f aca="false">N4258</f>
        <v>11.3450308671617</v>
      </c>
      <c r="S4258" s="50" t="n">
        <f aca="false">R4258</f>
        <v>11.3450308671617</v>
      </c>
    </row>
    <row r="4259" customFormat="false" ht="15" hidden="false" customHeight="false" outlineLevel="0" collapsed="false">
      <c r="A4259" s="4" t="s">
        <v>536</v>
      </c>
      <c r="B4259" s="36" t="s">
        <v>527</v>
      </c>
      <c r="C4259" s="48" t="n">
        <f aca="false">0*Assumptions!$E$61^(1/4)+C4254</f>
        <v>0</v>
      </c>
      <c r="D4259" s="48" t="n">
        <f aca="false">C4259*Assumptions!$E$61^(1/4)+D4254</f>
        <v>0</v>
      </c>
      <c r="E4259" s="48" t="n">
        <f aca="false">D4259*Assumptions!$E$61^(1/4)+E4254</f>
        <v>0.0494524132257417</v>
      </c>
      <c r="F4259" s="48" t="n">
        <f aca="false">E4259*Assumptions!$E$61^(1/4)+F4254</f>
        <v>0.14332524004043</v>
      </c>
      <c r="G4259" s="48" t="n">
        <f aca="false">F4259*Assumptions!$E$61^(1/4)+G4254</f>
        <v>0.242439724416858</v>
      </c>
      <c r="H4259" s="48" t="n">
        <f aca="false">G4259*Assumptions!$E$61^(1/4)+H4254</f>
        <v>0.346946813630743</v>
      </c>
      <c r="I4259" s="48" t="n">
        <f aca="false">H4259*Assumptions!$E$61^(1/4)+I4254</f>
        <v>0.473603460976007</v>
      </c>
      <c r="J4259" s="48" t="n">
        <f aca="false">I4259*Assumptions!$E$61^(1/4)+J4254</f>
        <v>0.61029417205394</v>
      </c>
      <c r="K4259" s="48" t="n">
        <f aca="false">J4259*Assumptions!$E$61^(1/4)+K4254</f>
        <v>0.80096654630217</v>
      </c>
      <c r="L4259" s="48" t="n">
        <f aca="false">K4259*Assumptions!$E$61^(1/4)+L4254</f>
        <v>1.03909614724772</v>
      </c>
      <c r="M4259" s="48" t="n">
        <f aca="false">L4259*Assumptions!$E$61^(1/4)+M4254</f>
        <v>1.26182699901713</v>
      </c>
      <c r="N4259" s="48" t="n">
        <f aca="false">M4259*Assumptions!$E$61^(1/4)+N4254</f>
        <v>1.47020446506396</v>
      </c>
      <c r="P4259" s="49" t="n">
        <f aca="false">F4259</f>
        <v>0.14332524004043</v>
      </c>
      <c r="Q4259" s="49" t="n">
        <f aca="false">J4259</f>
        <v>0.61029417205394</v>
      </c>
      <c r="R4259" s="49" t="n">
        <f aca="false">N4259</f>
        <v>1.47020446506396</v>
      </c>
      <c r="S4259" s="50" t="n">
        <f aca="false">R4259</f>
        <v>1.47020446506396</v>
      </c>
    </row>
    <row r="4260" customFormat="false" ht="15" hidden="false" customHeight="false" outlineLevel="0" collapsed="false">
      <c r="A4260" s="9" t="s">
        <v>537</v>
      </c>
      <c r="B4260" s="36" t="s">
        <v>527</v>
      </c>
      <c r="C4260" s="49" t="n">
        <f aca="false">C4257+C4258+C4259</f>
        <v>0</v>
      </c>
      <c r="D4260" s="49" t="n">
        <f aca="false">D4257+D4258+D4259</f>
        <v>0.902284687185138</v>
      </c>
      <c r="E4260" s="49" t="n">
        <f aca="false">E4257+E4258+E4259</f>
        <v>2.65637270261606</v>
      </c>
      <c r="F4260" s="49" t="n">
        <f aca="false">F4257+F4258+F4259</f>
        <v>4.53534629823499</v>
      </c>
      <c r="G4260" s="49" t="n">
        <f aca="false">G4257+G4258+G4259</f>
        <v>6.50238058763347</v>
      </c>
      <c r="H4260" s="49" t="n">
        <f aca="false">H4257+H4258+H4259</f>
        <v>9.06674485763412</v>
      </c>
      <c r="I4260" s="49" t="n">
        <f aca="false">I4257+I4258+I4259</f>
        <v>11.9790578814536</v>
      </c>
      <c r="J4260" s="49" t="n">
        <f aca="false">J4257+J4258+J4259</f>
        <v>16.3835888757831</v>
      </c>
      <c r="K4260" s="49" t="n">
        <f aca="false">K4257+K4258+K4259</f>
        <v>22.1129759686629</v>
      </c>
      <c r="L4260" s="49" t="n">
        <f aca="false">L4257+L4258+L4259</f>
        <v>27.4776231546732</v>
      </c>
      <c r="M4260" s="49" t="n">
        <f aca="false">M4257+M4258+M4259</f>
        <v>32.4441450154199</v>
      </c>
      <c r="N4260" s="49" t="n">
        <f aca="false">N4257+N4258+N4259</f>
        <v>37.0409853641334</v>
      </c>
      <c r="P4260" s="49" t="n">
        <f aca="false">F4260</f>
        <v>4.53534629823499</v>
      </c>
      <c r="Q4260" s="49" t="n">
        <f aca="false">J4260</f>
        <v>16.3835888757831</v>
      </c>
      <c r="R4260" s="49" t="n">
        <f aca="false">N4260</f>
        <v>37.0409853641334</v>
      </c>
      <c r="S4260" s="50" t="n">
        <f aca="false">R4260</f>
        <v>37.0409853641334</v>
      </c>
    </row>
    <row r="4261" customFormat="false" ht="15" hidden="false" customHeight="false" outlineLevel="0" collapsed="false">
      <c r="A4261" s="4" t="s">
        <v>538</v>
      </c>
      <c r="B4261" s="36" t="s">
        <v>125</v>
      </c>
      <c r="C4261" s="54" t="n">
        <f aca="false">0*Assumptions!$E$62^(1/4)+C4252*$C$4201</f>
        <v>0</v>
      </c>
      <c r="D4261" s="54" t="n">
        <f aca="false">C4261*Assumptions!$E$62^(1/4)+D4252*$C$4201</f>
        <v>3217.13181406165</v>
      </c>
      <c r="E4261" s="54" t="n">
        <f aca="false">D4261*Assumptions!$E$62^(1/4)+E4252*$C$4201</f>
        <v>9390.4064566095</v>
      </c>
      <c r="F4261" s="54" t="n">
        <f aca="false">E4261*Assumptions!$E$62^(1/4)+F4252*$C$4201</f>
        <v>16030.6609412898</v>
      </c>
      <c r="G4261" s="54" t="n">
        <f aca="false">F4261*Assumptions!$E$62^(1/4)+G4252*$C$4201</f>
        <v>23154.7497946349</v>
      </c>
      <c r="H4261" s="54" t="n">
        <f aca="false">G4261*Assumptions!$E$62^(1/4)+H4252*$C$4201</f>
        <v>32649.1842876401</v>
      </c>
      <c r="I4261" s="54" t="n">
        <f aca="false">H4261*Assumptions!$E$62^(1/4)+I4252*$C$4201</f>
        <v>43616.7720679894</v>
      </c>
      <c r="J4261" s="54" t="n">
        <f aca="false">I4261*Assumptions!$E$62^(1/4)+J4252*$C$4201</f>
        <v>60551.1005099292</v>
      </c>
      <c r="K4261" s="54" t="n">
        <f aca="false">J4261*Assumptions!$E$62^(1/4)+K4252*$C$4201</f>
        <v>82803.7263572927</v>
      </c>
      <c r="L4261" s="54" t="n">
        <f aca="false">K4261*Assumptions!$E$62^(1/4)+L4252*$C$4201</f>
        <v>104140.02396806</v>
      </c>
      <c r="M4261" s="54" t="n">
        <f aca="false">L4261*Assumptions!$E$62^(1/4)+M4252*$C$4201</f>
        <v>124623.58206932</v>
      </c>
      <c r="N4261" s="54" t="n">
        <f aca="false">M4261*Assumptions!$E$62^(1/4)+N4252*$C$4201</f>
        <v>144313.576639482</v>
      </c>
      <c r="P4261" s="55" t="n">
        <f aca="false">F4261</f>
        <v>16030.6609412898</v>
      </c>
      <c r="Q4261" s="55" t="n">
        <f aca="false">J4261</f>
        <v>60551.1005099292</v>
      </c>
      <c r="R4261" s="55" t="n">
        <f aca="false">N4261</f>
        <v>144313.576639482</v>
      </c>
      <c r="S4261" s="56" t="n">
        <f aca="false">R4261</f>
        <v>144313.576639482</v>
      </c>
    </row>
    <row r="4262" customFormat="false" ht="15" hidden="false" customHeight="false" outlineLevel="0" collapsed="false">
      <c r="A4262" s="4" t="s">
        <v>539</v>
      </c>
      <c r="B4262" s="36" t="s">
        <v>125</v>
      </c>
      <c r="C4262" s="54" t="n">
        <f aca="false">0*Assumptions!$E$63^(1/4)+C4253*$C$4202</f>
        <v>0</v>
      </c>
      <c r="D4262" s="54" t="n">
        <f aca="false">C4262*Assumptions!$E$63^(1/4)+D4253*$C$4202</f>
        <v>2941.50513180786</v>
      </c>
      <c r="E4262" s="54" t="n">
        <f aca="false">D4262*Assumptions!$E$63^(1/4)+E4253*$C$4202</f>
        <v>8629.04974690114</v>
      </c>
      <c r="F4262" s="54" t="n">
        <f aca="false">E4262*Assumptions!$E$63^(1/4)+F4253*$C$4202</f>
        <v>14827.0240185366</v>
      </c>
      <c r="G4262" s="54" t="n">
        <f aca="false">F4262*Assumptions!$E$63^(1/4)+G4253*$C$4202</f>
        <v>21558.328433635</v>
      </c>
      <c r="H4262" s="54" t="n">
        <f aca="false">G4262*Assumptions!$E$63^(1/4)+H4253*$C$4202</f>
        <v>30384.4192489679</v>
      </c>
      <c r="I4262" s="54" t="n">
        <f aca="false">H4262*Assumptions!$E$63^(1/4)+I4253*$C$4202</f>
        <v>40545.8184017367</v>
      </c>
      <c r="J4262" s="54" t="n">
        <f aca="false">I4262*Assumptions!$E$63^(1/4)+J4253*$C$4202</f>
        <v>55250.6148091929</v>
      </c>
      <c r="K4262" s="54" t="n">
        <f aca="false">J4262*Assumptions!$E$63^(1/4)+K4253*$C$4202</f>
        <v>74117.6150823099</v>
      </c>
      <c r="L4262" s="54" t="n">
        <f aca="false">K4262*Assumptions!$E$63^(1/4)+L4253*$C$4202</f>
        <v>92517.9382920003</v>
      </c>
      <c r="M4262" s="54" t="n">
        <f aca="false">L4262*Assumptions!$E$63^(1/4)+M4253*$C$4202</f>
        <v>110496.333757447</v>
      </c>
      <c r="N4262" s="54" t="n">
        <f aca="false">M4262*Assumptions!$E$63^(1/4)+N4253*$C$4202</f>
        <v>128094.626842871</v>
      </c>
      <c r="P4262" s="55" t="n">
        <f aca="false">F4262</f>
        <v>14827.0240185366</v>
      </c>
      <c r="Q4262" s="55" t="n">
        <f aca="false">J4262</f>
        <v>55250.6148091929</v>
      </c>
      <c r="R4262" s="55" t="n">
        <f aca="false">N4262</f>
        <v>128094.626842871</v>
      </c>
      <c r="S4262" s="56" t="n">
        <f aca="false">R4262</f>
        <v>128094.626842871</v>
      </c>
    </row>
    <row r="4263" customFormat="false" ht="15" hidden="false" customHeight="false" outlineLevel="0" collapsed="false">
      <c r="A4263" s="4" t="s">
        <v>540</v>
      </c>
      <c r="B4263" s="36" t="s">
        <v>125</v>
      </c>
      <c r="C4263" s="54" t="n">
        <f aca="false">0*Assumptions!$E$64^(1/4)+C4254*$C$4203</f>
        <v>0</v>
      </c>
      <c r="D4263" s="54" t="n">
        <f aca="false">C4263*Assumptions!$E$64^(1/4)+D4254*$C$4203</f>
        <v>0</v>
      </c>
      <c r="E4263" s="54" t="n">
        <f aca="false">D4263*Assumptions!$E$64^(1/4)+E4254*$C$4203</f>
        <v>3055.08385492942</v>
      </c>
      <c r="F4263" s="54" t="n">
        <f aca="false">E4263*Assumptions!$E$64^(1/4)+F4254*$C$4203</f>
        <v>9026.04158289062</v>
      </c>
      <c r="G4263" s="54" t="n">
        <f aca="false">F4263*Assumptions!$E$64^(1/4)+G4254*$C$4203</f>
        <v>15652.7729996004</v>
      </c>
      <c r="H4263" s="54" t="n">
        <f aca="false">G4263*Assumptions!$E$64^(1/4)+H4254*$C$4203</f>
        <v>22974.6017145828</v>
      </c>
      <c r="I4263" s="54" t="n">
        <f aca="false">H4263*Assumptions!$E$64^(1/4)+I4254*$C$4203</f>
        <v>32058.3320805787</v>
      </c>
      <c r="J4263" s="54" t="n">
        <f aca="false">I4263*Assumptions!$E$64^(1/4)+J4254*$C$4203</f>
        <v>42246.3686084016</v>
      </c>
      <c r="K4263" s="54" t="n">
        <f aca="false">J4263*Assumptions!$E$64^(1/4)+K4254*$C$4203</f>
        <v>56305.772403147</v>
      </c>
      <c r="L4263" s="54" t="n">
        <f aca="false">K4263*Assumptions!$E$64^(1/4)+L4254*$C$4203</f>
        <v>74039.9311674793</v>
      </c>
      <c r="M4263" s="54" t="n">
        <f aca="false">L4263*Assumptions!$E$64^(1/4)+M4254*$C$4203</f>
        <v>91756.8620211132</v>
      </c>
      <c r="N4263" s="54" t="n">
        <f aca="false">M4263*Assumptions!$E$64^(1/4)+N4254*$C$4203</f>
        <v>109500.907966303</v>
      </c>
      <c r="P4263" s="55" t="n">
        <f aca="false">F4263</f>
        <v>9026.04158289062</v>
      </c>
      <c r="Q4263" s="55" t="n">
        <f aca="false">J4263</f>
        <v>42246.3686084016</v>
      </c>
      <c r="R4263" s="55" t="n">
        <f aca="false">N4263</f>
        <v>109500.907966303</v>
      </c>
      <c r="S4263" s="56" t="n">
        <f aca="false">R4263</f>
        <v>109500.907966303</v>
      </c>
    </row>
    <row r="4264" customFormat="false" ht="15" hidden="false" customHeight="false" outlineLevel="0" collapsed="false">
      <c r="A4264" s="9" t="s">
        <v>541</v>
      </c>
      <c r="B4264" s="36" t="s">
        <v>125</v>
      </c>
      <c r="C4264" s="55" t="n">
        <f aca="false">C4261+C4262+C4263</f>
        <v>0</v>
      </c>
      <c r="D4264" s="55" t="n">
        <f aca="false">D4261+D4262+D4263</f>
        <v>6158.63694586951</v>
      </c>
      <c r="E4264" s="55" t="n">
        <f aca="false">E4261+E4262+E4263</f>
        <v>21074.5400584401</v>
      </c>
      <c r="F4264" s="55" t="n">
        <f aca="false">F4261+F4262+F4263</f>
        <v>39883.726542717</v>
      </c>
      <c r="G4264" s="55" t="n">
        <f aca="false">G4261+G4262+G4263</f>
        <v>60365.8512278704</v>
      </c>
      <c r="H4264" s="55" t="n">
        <f aca="false">H4261+H4262+H4263</f>
        <v>86008.2052511907</v>
      </c>
      <c r="I4264" s="55" t="n">
        <f aca="false">I4261+I4262+I4263</f>
        <v>116220.922550305</v>
      </c>
      <c r="J4264" s="55" t="n">
        <f aca="false">J4261+J4262+J4263</f>
        <v>158048.083927524</v>
      </c>
      <c r="K4264" s="55" t="n">
        <f aca="false">K4261+K4262+K4263</f>
        <v>213227.11384275</v>
      </c>
      <c r="L4264" s="55" t="n">
        <f aca="false">L4261+L4262+L4263</f>
        <v>270697.89342754</v>
      </c>
      <c r="M4264" s="55" t="n">
        <f aca="false">M4261+M4262+M4263</f>
        <v>326876.77784788</v>
      </c>
      <c r="N4264" s="55" t="n">
        <f aca="false">N4261+N4262+N4263</f>
        <v>381909.111448655</v>
      </c>
      <c r="P4264" s="55" t="n">
        <f aca="false">F4264</f>
        <v>39883.726542717</v>
      </c>
      <c r="Q4264" s="55" t="n">
        <f aca="false">J4264</f>
        <v>158048.083927524</v>
      </c>
      <c r="R4264" s="55" t="n">
        <f aca="false">N4264</f>
        <v>381909.111448655</v>
      </c>
      <c r="S4264" s="56" t="n">
        <f aca="false">R4264</f>
        <v>381909.111448655</v>
      </c>
    </row>
    <row r="4265" customFormat="false" ht="15" hidden="false" customHeight="false" outlineLevel="0" collapsed="false">
      <c r="A4265" s="4" t="s">
        <v>542</v>
      </c>
      <c r="B4265" s="36" t="s">
        <v>125</v>
      </c>
      <c r="C4265" s="54" t="n">
        <f aca="false">C4252*$C$4201+C4253*$C$4202+C4254*$C$4203</f>
        <v>0</v>
      </c>
      <c r="D4265" s="54" t="n">
        <f aca="false">D4252*$C$4201+D4253*$C$4202+D4254*$C$4203</f>
        <v>6158.63694586951</v>
      </c>
      <c r="E4265" s="54" t="n">
        <f aca="false">E4252*$C$4201+E4253*$C$4202+E4254*$C$4203</f>
        <v>14872.7399187621</v>
      </c>
      <c r="F4265" s="54" t="n">
        <f aca="false">F4252*$C$4201+F4253*$C$4202+F4254*$C$4203</f>
        <v>18573.9322307656</v>
      </c>
      <c r="G4265" s="54" t="n">
        <f aca="false">G4252*$C$4201+G4253*$C$4202+G4254*$C$4203</f>
        <v>19943.6065398993</v>
      </c>
      <c r="H4265" s="54" t="n">
        <f aca="false">H4252*$C$4201+H4253*$C$4202+H4254*$C$4203</f>
        <v>24769.4279309539</v>
      </c>
      <c r="I4265" s="54" t="n">
        <f aca="false">I4252*$C$4201+I4253*$C$4202+I4254*$C$4203</f>
        <v>28949.9283634452</v>
      </c>
      <c r="J4265" s="54" t="n">
        <f aca="false">J4252*$C$4201+J4253*$C$4202+J4254*$C$4203</f>
        <v>40092.2656557031</v>
      </c>
      <c r="K4265" s="54" t="n">
        <f aca="false">K4252*$C$4201+K4253*$C$4202+K4254*$C$4203</f>
        <v>52866.0912926582</v>
      </c>
      <c r="L4265" s="54" t="n">
        <f aca="false">L4252*$C$4201+L4253*$C$4202+L4254*$C$4203</f>
        <v>54381.0641490996</v>
      </c>
      <c r="M4265" s="54" t="n">
        <f aca="false">M4252*$C$4201+M4253*$C$4202+M4254*$C$4203</f>
        <v>52188.5729012196</v>
      </c>
      <c r="N4265" s="54" t="n">
        <f aca="false">N4252*$C$4201+N4253*$C$4202+N4254*$C$4203</f>
        <v>50148.2298924037</v>
      </c>
      <c r="P4265" s="55" t="n">
        <f aca="false">SUM(C4265:F4265)</f>
        <v>39605.3090953972</v>
      </c>
      <c r="Q4265" s="55" t="n">
        <f aca="false">SUM(G4265:J4265)</f>
        <v>113755.228490001</v>
      </c>
      <c r="R4265" s="55" t="n">
        <f aca="false">SUM(K4265:N4265)</f>
        <v>209583.958235381</v>
      </c>
      <c r="S4265" s="56" t="n">
        <f aca="false">SUM(P4265:R4265)</f>
        <v>362944.49582078</v>
      </c>
    </row>
    <row r="4266" customFormat="false" ht="15" hidden="false" customHeight="false" outlineLevel="0" collapsed="false">
      <c r="A4266" s="9" t="s">
        <v>543</v>
      </c>
      <c r="B4266" s="36" t="s">
        <v>125</v>
      </c>
      <c r="C4266" s="55" t="n">
        <f aca="false">(0+C4264)/8</f>
        <v>0</v>
      </c>
      <c r="D4266" s="55" t="n">
        <f aca="false">(C4264+D4264)/8</f>
        <v>769.829618233689</v>
      </c>
      <c r="E4266" s="55" t="n">
        <f aca="false">(D4264+E4264)/8</f>
        <v>3404.1471255387</v>
      </c>
      <c r="F4266" s="55" t="n">
        <f aca="false">(E4264+F4264)/8</f>
        <v>7619.78332514463</v>
      </c>
      <c r="G4266" s="55" t="n">
        <f aca="false">(F4264+G4264)/8</f>
        <v>12531.1972213234</v>
      </c>
      <c r="H4266" s="55" t="n">
        <f aca="false">(G4264+H4264)/8</f>
        <v>18296.7570598826</v>
      </c>
      <c r="I4266" s="55" t="n">
        <f aca="false">(H4264+I4264)/8</f>
        <v>25278.6409751869</v>
      </c>
      <c r="J4266" s="55" t="n">
        <f aca="false">(I4264+J4264)/8</f>
        <v>34283.6258097286</v>
      </c>
      <c r="K4266" s="55" t="n">
        <f aca="false">(J4264+K4264)/8</f>
        <v>46409.3997212842</v>
      </c>
      <c r="L4266" s="55" t="n">
        <f aca="false">(K4264+L4264)/8</f>
        <v>60490.6259087862</v>
      </c>
      <c r="M4266" s="55" t="n">
        <f aca="false">(L4264+M4264)/8</f>
        <v>74696.8339094275</v>
      </c>
      <c r="N4266" s="55" t="n">
        <f aca="false">(M4264+N4264)/8</f>
        <v>88598.2361620669</v>
      </c>
      <c r="P4266" s="55" t="n">
        <f aca="false">SUM(C4266:F4266)</f>
        <v>11793.760068917</v>
      </c>
      <c r="Q4266" s="55" t="n">
        <f aca="false">SUM(G4266:J4266)</f>
        <v>90390.2210661216</v>
      </c>
      <c r="R4266" s="55" t="n">
        <f aca="false">SUM(K4266:N4266)</f>
        <v>270195.095701565</v>
      </c>
      <c r="S4266" s="56" t="n">
        <f aca="false">SUM(P4266:R4266)</f>
        <v>372379.076836603</v>
      </c>
    </row>
    <row r="4267" customFormat="false" ht="15" hidden="false" customHeight="false" outlineLevel="0" collapsed="false">
      <c r="A4267" s="4" t="s">
        <v>544</v>
      </c>
      <c r="B4267" s="36" t="s">
        <v>125</v>
      </c>
      <c r="C4267" s="54" t="n">
        <f aca="false">C4266*Assumptions!$E$76</f>
        <v>0</v>
      </c>
      <c r="D4267" s="54" t="n">
        <f aca="false">D4266*Assumptions!$E$76</f>
        <v>500.389251851898</v>
      </c>
      <c r="E4267" s="54" t="n">
        <f aca="false">E4266*Assumptions!$E$76</f>
        <v>2212.69563160015</v>
      </c>
      <c r="F4267" s="54" t="n">
        <f aca="false">F4266*Assumptions!$E$76</f>
        <v>4952.85916134401</v>
      </c>
      <c r="G4267" s="54" t="n">
        <f aca="false">G4266*Assumptions!$E$76</f>
        <v>8145.27819386022</v>
      </c>
      <c r="H4267" s="54" t="n">
        <f aca="false">H4266*Assumptions!$E$76</f>
        <v>11892.8920889237</v>
      </c>
      <c r="I4267" s="54" t="n">
        <f aca="false">I4266*Assumptions!$E$76</f>
        <v>16431.1166338715</v>
      </c>
      <c r="J4267" s="54" t="n">
        <f aca="false">J4266*Assumptions!$E$76</f>
        <v>22284.3567763236</v>
      </c>
      <c r="K4267" s="54" t="n">
        <f aca="false">K4266*Assumptions!$E$76</f>
        <v>30166.1098188347</v>
      </c>
      <c r="L4267" s="54" t="n">
        <f aca="false">L4266*Assumptions!$E$76</f>
        <v>39318.906840711</v>
      </c>
      <c r="M4267" s="54" t="n">
        <f aca="false">M4266*Assumptions!$E$76</f>
        <v>48552.9420411279</v>
      </c>
      <c r="N4267" s="54" t="n">
        <f aca="false">N4266*Assumptions!$E$76</f>
        <v>57588.8535053435</v>
      </c>
      <c r="P4267" s="55" t="n">
        <f aca="false">SUM(C4267:F4267)</f>
        <v>7665.94404479606</v>
      </c>
      <c r="Q4267" s="55" t="n">
        <f aca="false">SUM(G4267:J4267)</f>
        <v>58753.643692979</v>
      </c>
      <c r="R4267" s="55" t="n">
        <f aca="false">SUM(K4267:N4267)</f>
        <v>175626.812206017</v>
      </c>
      <c r="S4267" s="56" t="n">
        <f aca="false">SUM(P4267:R4267)</f>
        <v>242046.399943792</v>
      </c>
    </row>
    <row r="4268" customFormat="false" ht="15" hidden="false" customHeight="false" outlineLevel="0" collapsed="false">
      <c r="A4268" s="35" t="s">
        <v>547</v>
      </c>
      <c r="B4268" s="35" t="s">
        <v>444</v>
      </c>
      <c r="C4268" s="6" t="s">
        <v>354</v>
      </c>
      <c r="D4268" s="6" t="s">
        <v>355</v>
      </c>
      <c r="E4268" s="6" t="s">
        <v>356</v>
      </c>
      <c r="F4268" s="6" t="s">
        <v>357</v>
      </c>
      <c r="G4268" s="6" t="s">
        <v>358</v>
      </c>
      <c r="H4268" s="6" t="s">
        <v>359</v>
      </c>
      <c r="I4268" s="6" t="s">
        <v>360</v>
      </c>
      <c r="J4268" s="6" t="s">
        <v>361</v>
      </c>
      <c r="K4268" s="6" t="s">
        <v>362</v>
      </c>
      <c r="L4268" s="6" t="s">
        <v>363</v>
      </c>
      <c r="M4268" s="6" t="s">
        <v>364</v>
      </c>
      <c r="N4268" s="6" t="s">
        <v>365</v>
      </c>
      <c r="P4268" s="6" t="s">
        <v>445</v>
      </c>
      <c r="Q4268" s="6" t="s">
        <v>446</v>
      </c>
      <c r="R4268" s="6" t="s">
        <v>447</v>
      </c>
      <c r="S4268" s="6" t="s">
        <v>448</v>
      </c>
    </row>
    <row r="4269" customFormat="false" ht="15" hidden="false" customHeight="false" outlineLevel="0" collapsed="false">
      <c r="A4269" s="4" t="s">
        <v>548</v>
      </c>
      <c r="B4269" s="36" t="s">
        <v>321</v>
      </c>
      <c r="C4269" s="48" t="n">
        <f aca="false">Assumptions!$D$97*C4211</f>
        <v>1</v>
      </c>
      <c r="D4269" s="48" t="n">
        <f aca="false">Assumptions!$D$97*D4211</f>
        <v>1</v>
      </c>
      <c r="E4269" s="48" t="n">
        <f aca="false">Assumptions!$D$97*E4211</f>
        <v>1</v>
      </c>
      <c r="F4269" s="48" t="n">
        <f aca="false">Assumptions!$D$97*F4211</f>
        <v>1</v>
      </c>
      <c r="G4269" s="48" t="n">
        <f aca="false">Assumptions!$D$97*G4211</f>
        <v>1</v>
      </c>
      <c r="H4269" s="48" t="n">
        <f aca="false">Assumptions!$D$97*H4211</f>
        <v>1</v>
      </c>
      <c r="I4269" s="48" t="n">
        <f aca="false">Assumptions!$D$97*I4211</f>
        <v>1</v>
      </c>
      <c r="J4269" s="48" t="n">
        <f aca="false">Assumptions!$D$97*J4211</f>
        <v>1</v>
      </c>
      <c r="K4269" s="48" t="n">
        <f aca="false">Assumptions!$D$97*K4211</f>
        <v>1</v>
      </c>
      <c r="L4269" s="48" t="n">
        <f aca="false">Assumptions!$D$97*L4211</f>
        <v>1</v>
      </c>
      <c r="M4269" s="48" t="n">
        <f aca="false">Assumptions!$D$97*M4211</f>
        <v>1</v>
      </c>
      <c r="N4269" s="48" t="n">
        <f aca="false">Assumptions!$D$97*N4211</f>
        <v>1</v>
      </c>
      <c r="P4269" s="49" t="n">
        <f aca="false">AVERAGE(C4269:F4269)</f>
        <v>1</v>
      </c>
      <c r="Q4269" s="49" t="n">
        <f aca="false">AVERAGE(G4269:J4269)</f>
        <v>1</v>
      </c>
      <c r="R4269" s="49" t="n">
        <f aca="false">AVERAGE(K4269:N4269)</f>
        <v>1</v>
      </c>
      <c r="S4269" s="50"/>
    </row>
    <row r="4270" customFormat="false" ht="15" hidden="false" customHeight="false" outlineLevel="0" collapsed="false">
      <c r="A4270" s="4" t="s">
        <v>549</v>
      </c>
      <c r="B4270" s="36" t="s">
        <v>321</v>
      </c>
      <c r="C4270" s="48" t="n">
        <f aca="false">C4224*C4211</f>
        <v>0</v>
      </c>
      <c r="D4270" s="48" t="n">
        <f aca="false">D4224*D4211</f>
        <v>0</v>
      </c>
      <c r="E4270" s="48" t="n">
        <f aca="false">E4224*E4211</f>
        <v>0</v>
      </c>
      <c r="F4270" s="48" t="n">
        <f aca="false">F4224*F4211</f>
        <v>0</v>
      </c>
      <c r="G4270" s="48" t="n">
        <f aca="false">G4224*G4211</f>
        <v>0</v>
      </c>
      <c r="H4270" s="48" t="n">
        <f aca="false">H4224*H4211</f>
        <v>0</v>
      </c>
      <c r="I4270" s="48" t="n">
        <f aca="false">I4224*I4211</f>
        <v>0</v>
      </c>
      <c r="J4270" s="48" t="n">
        <f aca="false">J4224*J4211</f>
        <v>0</v>
      </c>
      <c r="K4270" s="48" t="n">
        <f aca="false">K4224*K4211</f>
        <v>0</v>
      </c>
      <c r="L4270" s="48" t="n">
        <f aca="false">L4224*L4211</f>
        <v>0</v>
      </c>
      <c r="M4270" s="48" t="n">
        <f aca="false">M4224*M4211</f>
        <v>0</v>
      </c>
      <c r="N4270" s="48" t="n">
        <f aca="false">N4224*N4211</f>
        <v>0</v>
      </c>
      <c r="P4270" s="49" t="n">
        <f aca="false">AVERAGE(C4270:F4270)</f>
        <v>0</v>
      </c>
      <c r="Q4270" s="49" t="n">
        <f aca="false">AVERAGE(G4270:J4270)</f>
        <v>0</v>
      </c>
      <c r="R4270" s="49" t="n">
        <f aca="false">AVERAGE(K4270:N4270)</f>
        <v>0</v>
      </c>
      <c r="S4270" s="50"/>
    </row>
    <row r="4271" customFormat="false" ht="15" hidden="false" customHeight="false" outlineLevel="0" collapsed="false">
      <c r="A4271" s="4" t="s">
        <v>550</v>
      </c>
      <c r="B4271" s="36" t="s">
        <v>321</v>
      </c>
      <c r="C4271" s="48" t="n">
        <f aca="false">IF(C4210&lt;=4,Assumptions!$D$98,Assumptions!$D$99)*C4211</f>
        <v>0</v>
      </c>
      <c r="D4271" s="48" t="n">
        <f aca="false">IF(D4210&lt;=4,Assumptions!$D$98,Assumptions!$D$99)*D4211</f>
        <v>0</v>
      </c>
      <c r="E4271" s="48" t="n">
        <f aca="false">IF(E4210&lt;=4,Assumptions!$D$98,Assumptions!$D$99)*E4211</f>
        <v>0</v>
      </c>
      <c r="F4271" s="48" t="n">
        <f aca="false">IF(F4210&lt;=4,Assumptions!$D$98,Assumptions!$D$99)*F4211</f>
        <v>0</v>
      </c>
      <c r="G4271" s="48" t="n">
        <f aca="false">IF(G4210&lt;=4,Assumptions!$D$98,Assumptions!$D$99)*G4211</f>
        <v>0.5</v>
      </c>
      <c r="H4271" s="48" t="n">
        <f aca="false">IF(H4210&lt;=4,Assumptions!$D$98,Assumptions!$D$99)*H4211</f>
        <v>0.5</v>
      </c>
      <c r="I4271" s="48" t="n">
        <f aca="false">IF(I4210&lt;=4,Assumptions!$D$98,Assumptions!$D$99)*I4211</f>
        <v>0.5</v>
      </c>
      <c r="J4271" s="48" t="n">
        <f aca="false">IF(J4210&lt;=4,Assumptions!$D$98,Assumptions!$D$99)*J4211</f>
        <v>0.5</v>
      </c>
      <c r="K4271" s="48" t="n">
        <f aca="false">IF(K4210&lt;=4,Assumptions!$D$98,Assumptions!$D$99)*K4211</f>
        <v>0.5</v>
      </c>
      <c r="L4271" s="48" t="n">
        <f aca="false">IF(L4210&lt;=4,Assumptions!$D$98,Assumptions!$D$99)*L4211</f>
        <v>0.5</v>
      </c>
      <c r="M4271" s="48" t="n">
        <f aca="false">IF(M4210&lt;=4,Assumptions!$D$98,Assumptions!$D$99)*M4211</f>
        <v>0.5</v>
      </c>
      <c r="N4271" s="48" t="n">
        <f aca="false">IF(N4210&lt;=4,Assumptions!$D$98,Assumptions!$D$99)*N4211</f>
        <v>0.5</v>
      </c>
      <c r="P4271" s="49" t="n">
        <f aca="false">AVERAGE(C4271:F4271)</f>
        <v>0</v>
      </c>
      <c r="Q4271" s="49" t="n">
        <f aca="false">AVERAGE(G4271:J4271)</f>
        <v>0.5</v>
      </c>
      <c r="R4271" s="49" t="n">
        <f aca="false">AVERAGE(K4271:N4271)</f>
        <v>0.5</v>
      </c>
      <c r="S4271" s="50"/>
    </row>
    <row r="4272" customFormat="false" ht="15" hidden="false" customHeight="false" outlineLevel="0" collapsed="false">
      <c r="A4272" s="4" t="s">
        <v>551</v>
      </c>
      <c r="B4272" s="36" t="s">
        <v>321</v>
      </c>
      <c r="C4272" s="48" t="n">
        <f aca="false">IF(C4210&lt;=4,Assumptions!$D$100,Assumptions!$D$101)*C4211</f>
        <v>1</v>
      </c>
      <c r="D4272" s="48" t="n">
        <f aca="false">IF(D4210&lt;=4,Assumptions!$D$100,Assumptions!$D$101)*D4211</f>
        <v>1</v>
      </c>
      <c r="E4272" s="48" t="n">
        <f aca="false">IF(E4210&lt;=4,Assumptions!$D$100,Assumptions!$D$101)*E4211</f>
        <v>1</v>
      </c>
      <c r="F4272" s="48" t="n">
        <f aca="false">IF(F4210&lt;=4,Assumptions!$D$100,Assumptions!$D$101)*F4211</f>
        <v>1</v>
      </c>
      <c r="G4272" s="48" t="n">
        <f aca="false">IF(G4210&lt;=4,Assumptions!$D$100,Assumptions!$D$101)*G4211</f>
        <v>0.5</v>
      </c>
      <c r="H4272" s="48" t="n">
        <f aca="false">IF(H4210&lt;=4,Assumptions!$D$100,Assumptions!$D$101)*H4211</f>
        <v>0.5</v>
      </c>
      <c r="I4272" s="48" t="n">
        <f aca="false">IF(I4210&lt;=4,Assumptions!$D$100,Assumptions!$D$101)*I4211</f>
        <v>0.5</v>
      </c>
      <c r="J4272" s="48" t="n">
        <f aca="false">IF(J4210&lt;=4,Assumptions!$D$100,Assumptions!$D$101)*J4211</f>
        <v>0.5</v>
      </c>
      <c r="K4272" s="48" t="n">
        <f aca="false">IF(K4210&lt;=4,Assumptions!$D$100,Assumptions!$D$101)*K4211</f>
        <v>0.5</v>
      </c>
      <c r="L4272" s="48" t="n">
        <f aca="false">IF(L4210&lt;=4,Assumptions!$D$100,Assumptions!$D$101)*L4211</f>
        <v>0.5</v>
      </c>
      <c r="M4272" s="48" t="n">
        <f aca="false">IF(M4210&lt;=4,Assumptions!$D$100,Assumptions!$D$101)*M4211</f>
        <v>0.5</v>
      </c>
      <c r="N4272" s="48" t="n">
        <f aca="false">IF(N4210&lt;=4,Assumptions!$D$100,Assumptions!$D$101)*N4211</f>
        <v>0.5</v>
      </c>
      <c r="P4272" s="49" t="n">
        <f aca="false">AVERAGE(C4272:F4272)</f>
        <v>1</v>
      </c>
      <c r="Q4272" s="49" t="n">
        <f aca="false">AVERAGE(G4272:J4272)</f>
        <v>0.5</v>
      </c>
      <c r="R4272" s="49" t="n">
        <f aca="false">AVERAGE(K4272:N4272)</f>
        <v>0.5</v>
      </c>
      <c r="S4272" s="50"/>
    </row>
    <row r="4273" customFormat="false" ht="15" hidden="false" customHeight="false" outlineLevel="0" collapsed="false">
      <c r="A4273" s="4" t="s">
        <v>552</v>
      </c>
      <c r="B4273" s="36" t="s">
        <v>321</v>
      </c>
      <c r="C4273" s="48" t="n">
        <f aca="false">Assumptions!$D$102*C4211</f>
        <v>0.25</v>
      </c>
      <c r="D4273" s="48" t="n">
        <f aca="false">Assumptions!$D$102*D4211</f>
        <v>0.25</v>
      </c>
      <c r="E4273" s="48" t="n">
        <f aca="false">Assumptions!$D$102*E4211</f>
        <v>0.25</v>
      </c>
      <c r="F4273" s="48" t="n">
        <f aca="false">Assumptions!$D$102*F4211</f>
        <v>0.25</v>
      </c>
      <c r="G4273" s="48" t="n">
        <f aca="false">Assumptions!$D$102*G4211</f>
        <v>0.25</v>
      </c>
      <c r="H4273" s="48" t="n">
        <f aca="false">Assumptions!$D$102*H4211</f>
        <v>0.25</v>
      </c>
      <c r="I4273" s="48" t="n">
        <f aca="false">Assumptions!$D$102*I4211</f>
        <v>0.25</v>
      </c>
      <c r="J4273" s="48" t="n">
        <f aca="false">Assumptions!$D$102*J4211</f>
        <v>0.25</v>
      </c>
      <c r="K4273" s="48" t="n">
        <f aca="false">Assumptions!$D$102*K4211</f>
        <v>0.25</v>
      </c>
      <c r="L4273" s="48" t="n">
        <f aca="false">Assumptions!$D$102*L4211</f>
        <v>0.25</v>
      </c>
      <c r="M4273" s="48" t="n">
        <f aca="false">Assumptions!$D$102*M4211</f>
        <v>0.25</v>
      </c>
      <c r="N4273" s="48" t="n">
        <f aca="false">Assumptions!$D$102*N4211</f>
        <v>0.25</v>
      </c>
      <c r="P4273" s="49" t="n">
        <f aca="false">AVERAGE(C4273:F4273)</f>
        <v>0.25</v>
      </c>
      <c r="Q4273" s="49" t="n">
        <f aca="false">AVERAGE(G4273:J4273)</f>
        <v>0.25</v>
      </c>
      <c r="R4273" s="49" t="n">
        <f aca="false">AVERAGE(K4273:N4273)</f>
        <v>0.25</v>
      </c>
      <c r="S4273" s="50"/>
    </row>
    <row r="4274" customFormat="false" ht="15" hidden="false" customHeight="false" outlineLevel="0" collapsed="false">
      <c r="A4274" s="4" t="s">
        <v>553</v>
      </c>
      <c r="B4274" s="36" t="s">
        <v>321</v>
      </c>
      <c r="C4274" s="48" t="n">
        <f aca="false">(C4258+C4259)/Assumptions!$E$74+C4257/Assumptions!$E$75</f>
        <v>0</v>
      </c>
      <c r="D4274" s="48" t="n">
        <f aca="false">(D4258+D4259)/Assumptions!$E$74+D4257/Assumptions!$E$75</f>
        <v>0.00993384212445383</v>
      </c>
      <c r="E4274" s="48" t="n">
        <f aca="false">(E4258+E4259)/Assumptions!$E$74+E4257/Assumptions!$E$75</f>
        <v>0.0299605930985681</v>
      </c>
      <c r="F4274" s="48" t="n">
        <f aca="false">(F4258+F4259)/Assumptions!$E$74+F4257/Assumptions!$E$75</f>
        <v>0.0520265471420073</v>
      </c>
      <c r="G4274" s="48" t="n">
        <f aca="false">(G4258+G4259)/Assumptions!$E$74+G4257/Assumptions!$E$75</f>
        <v>0.0751790105401971</v>
      </c>
      <c r="H4274" s="48" t="n">
        <f aca="false">(H4258+H4259)/Assumptions!$E$74+H4257/Assumptions!$E$75</f>
        <v>0.104782555566743</v>
      </c>
      <c r="I4274" s="48" t="n">
        <f aca="false">(I4258+I4259)/Assumptions!$E$74+I4257/Assumptions!$E$75</f>
        <v>0.13838981536804</v>
      </c>
      <c r="J4274" s="48" t="n">
        <f aca="false">(J4258+J4259)/Assumptions!$E$74+J4257/Assumptions!$E$75</f>
        <v>0.187123403637389</v>
      </c>
      <c r="K4274" s="48" t="n">
        <f aca="false">(K4258+K4259)/Assumptions!$E$74+K4257/Assumptions!$E$75</f>
        <v>0.250041215187153</v>
      </c>
      <c r="L4274" s="48" t="n">
        <f aca="false">(L4258+L4259)/Assumptions!$E$74+L4257/Assumptions!$E$75</f>
        <v>0.30996219954519</v>
      </c>
      <c r="M4274" s="48" t="n">
        <f aca="false">(M4258+M4259)/Assumptions!$E$74+M4257/Assumptions!$E$75</f>
        <v>0.365609668572768</v>
      </c>
      <c r="N4274" s="48" t="n">
        <f aca="false">(N4258+N4259)/Assumptions!$E$74+N4257/Assumptions!$E$75</f>
        <v>0.417283883433273</v>
      </c>
      <c r="P4274" s="49" t="n">
        <f aca="false">AVERAGE(C4274:F4274)</f>
        <v>0.0229802455912573</v>
      </c>
      <c r="Q4274" s="49" t="n">
        <f aca="false">AVERAGE(G4274:J4274)</f>
        <v>0.126368696278092</v>
      </c>
      <c r="R4274" s="49" t="n">
        <f aca="false">AVERAGE(K4274:N4274)</f>
        <v>0.335724241684596</v>
      </c>
      <c r="S4274" s="50"/>
    </row>
    <row r="4275" customFormat="false" ht="15" hidden="false" customHeight="false" outlineLevel="0" collapsed="false">
      <c r="A4275" s="4" t="s">
        <v>554</v>
      </c>
      <c r="B4275" s="36" t="s">
        <v>125</v>
      </c>
      <c r="C4275" s="54" t="n">
        <f aca="false">(C4269+C4271)*Assumptions!$E$70/Assumptions!$E$69/4</f>
        <v>66753.5714285714</v>
      </c>
      <c r="D4275" s="54" t="n">
        <f aca="false">(D4269+D4271)*Assumptions!$E$70/Assumptions!$E$69/4</f>
        <v>66753.5714285714</v>
      </c>
      <c r="E4275" s="54" t="n">
        <f aca="false">(E4269+E4271)*Assumptions!$E$70/Assumptions!$E$69/4</f>
        <v>66753.5714285714</v>
      </c>
      <c r="F4275" s="54" t="n">
        <f aca="false">(F4269+F4271)*Assumptions!$E$70/Assumptions!$E$69/4</f>
        <v>66753.5714285714</v>
      </c>
      <c r="G4275" s="54" t="n">
        <f aca="false">(G4269+G4271)*Assumptions!$E$70/Assumptions!$E$69/4</f>
        <v>100130.357142857</v>
      </c>
      <c r="H4275" s="54" t="n">
        <f aca="false">(H4269+H4271)*Assumptions!$E$70/Assumptions!$E$69/4</f>
        <v>100130.357142857</v>
      </c>
      <c r="I4275" s="54" t="n">
        <f aca="false">(I4269+I4271)*Assumptions!$E$70/Assumptions!$E$69/4</f>
        <v>100130.357142857</v>
      </c>
      <c r="J4275" s="54" t="n">
        <f aca="false">(J4269+J4271)*Assumptions!$E$70/Assumptions!$E$69/4</f>
        <v>100130.357142857</v>
      </c>
      <c r="K4275" s="54" t="n">
        <f aca="false">(K4269+K4271)*Assumptions!$E$70/Assumptions!$E$69/4</f>
        <v>100130.357142857</v>
      </c>
      <c r="L4275" s="54" t="n">
        <f aca="false">(L4269+L4271)*Assumptions!$E$70/Assumptions!$E$69/4</f>
        <v>100130.357142857</v>
      </c>
      <c r="M4275" s="54" t="n">
        <f aca="false">(M4269+M4271)*Assumptions!$E$70/Assumptions!$E$69/4</f>
        <v>100130.357142857</v>
      </c>
      <c r="N4275" s="54" t="n">
        <f aca="false">(N4269+N4271)*Assumptions!$E$70/Assumptions!$E$69/4</f>
        <v>100130.357142857</v>
      </c>
      <c r="P4275" s="55" t="n">
        <f aca="false">SUM(C4275:F4275)</f>
        <v>267014.285714286</v>
      </c>
      <c r="Q4275" s="55" t="n">
        <f aca="false">SUM(G4275:J4275)</f>
        <v>400521.428571429</v>
      </c>
      <c r="R4275" s="55" t="n">
        <f aca="false">SUM(K4275:N4275)</f>
        <v>400521.428571429</v>
      </c>
      <c r="S4275" s="56" t="n">
        <f aca="false">SUM(P4275:R4275)</f>
        <v>1068057.14285714</v>
      </c>
    </row>
    <row r="4276" customFormat="false" ht="15" hidden="false" customHeight="false" outlineLevel="0" collapsed="false">
      <c r="A4276" s="4" t="s">
        <v>555</v>
      </c>
      <c r="B4276" s="36" t="s">
        <v>125</v>
      </c>
      <c r="C4276" s="54" t="n">
        <f aca="false">C4270*$C$4205/4</f>
        <v>0</v>
      </c>
      <c r="D4276" s="54" t="n">
        <f aca="false">D4270*$C$4205/4</f>
        <v>0</v>
      </c>
      <c r="E4276" s="54" t="n">
        <f aca="false">E4270*$C$4205/4</f>
        <v>0</v>
      </c>
      <c r="F4276" s="54" t="n">
        <f aca="false">F4270*$C$4205/4</f>
        <v>0</v>
      </c>
      <c r="G4276" s="54" t="n">
        <f aca="false">G4270*$C$4205/4</f>
        <v>0</v>
      </c>
      <c r="H4276" s="54" t="n">
        <f aca="false">H4270*$C$4205/4</f>
        <v>0</v>
      </c>
      <c r="I4276" s="54" t="n">
        <f aca="false">I4270*$C$4205/4</f>
        <v>0</v>
      </c>
      <c r="J4276" s="54" t="n">
        <f aca="false">J4270*$C$4205/4</f>
        <v>0</v>
      </c>
      <c r="K4276" s="54" t="n">
        <f aca="false">K4270*$C$4205/4</f>
        <v>0</v>
      </c>
      <c r="L4276" s="54" t="n">
        <f aca="false">L4270*$C$4205/4</f>
        <v>0</v>
      </c>
      <c r="M4276" s="54" t="n">
        <f aca="false">M4270*$C$4205/4</f>
        <v>0</v>
      </c>
      <c r="N4276" s="54" t="n">
        <f aca="false">N4270*$C$4205/4</f>
        <v>0</v>
      </c>
      <c r="P4276" s="55" t="n">
        <f aca="false">SUM(C4276:F4276)</f>
        <v>0</v>
      </c>
      <c r="Q4276" s="55" t="n">
        <f aca="false">SUM(G4276:J4276)</f>
        <v>0</v>
      </c>
      <c r="R4276" s="55" t="n">
        <f aca="false">SUM(K4276:N4276)</f>
        <v>0</v>
      </c>
      <c r="S4276" s="56" t="n">
        <f aca="false">SUM(P4276:R4276)</f>
        <v>0</v>
      </c>
    </row>
    <row r="4277" customFormat="false" ht="15" hidden="false" customHeight="false" outlineLevel="0" collapsed="false">
      <c r="A4277" s="4" t="s">
        <v>556</v>
      </c>
      <c r="B4277" s="36" t="s">
        <v>125</v>
      </c>
      <c r="C4277" s="54" t="n">
        <f aca="false">MAX(0,(C4265-C4246*$C$4201)-C4225*$C$4206)*$C$4207*Assumptions!$D$105</f>
        <v>0</v>
      </c>
      <c r="D4277" s="54" t="n">
        <f aca="false">MAX(0,(D4265-D4246*$C$4201)-D4225*$C$4206)*$C$4207*Assumptions!$D$105</f>
        <v>2422.6226946477</v>
      </c>
      <c r="E4277" s="54" t="n">
        <f aca="false">MAX(0,(E4265-E4246*$C$4201)-E4225*$C$4206)*$C$4207*Assumptions!$D$105</f>
        <v>6073.822752652</v>
      </c>
      <c r="F4277" s="54" t="n">
        <f aca="false">MAX(0,(F4265-F4246*$C$4201)-F4225*$C$4206)*$C$4207*Assumptions!$D$105</f>
        <v>7734.97650629107</v>
      </c>
      <c r="G4277" s="54" t="n">
        <f aca="false">MAX(0,(G4265-G4246*$C$4201)-G4225*$C$4206)*$C$4207*Assumptions!$D$105</f>
        <v>8306.18303621958</v>
      </c>
      <c r="H4277" s="54" t="n">
        <f aca="false">MAX(0,(H4265-H4246*$C$4201)-H4225*$C$4206)*$C$4207*Assumptions!$D$105</f>
        <v>10225.5848783918</v>
      </c>
      <c r="I4277" s="54" t="n">
        <f aca="false">MAX(0,(I4265-I4246*$C$4201)-I4225*$C$4206)*$C$4207*Assumptions!$D$105</f>
        <v>11969.5169816165</v>
      </c>
      <c r="J4277" s="54" t="n">
        <f aca="false">MAX(0,(J4265-J4246*$C$4201)-J4225*$C$4206)*$C$4207*Assumptions!$D$105</f>
        <v>16332.11294373</v>
      </c>
      <c r="K4277" s="54" t="n">
        <f aca="false">MAX(0,(K4265-K4246*$C$4201)-K4225*$C$4206)*$C$4207*Assumptions!$D$105</f>
        <v>21546.4972774107</v>
      </c>
      <c r="L4277" s="54" t="n">
        <f aca="false">MAX(0,(L4265-L4246*$C$4201)-L4225*$C$4206)*$C$4207*Assumptions!$D$105</f>
        <v>22381.4226779565</v>
      </c>
      <c r="M4277" s="54" t="n">
        <f aca="false">MAX(0,(M4265-M4246*$C$4201)-M4225*$C$4206)*$C$4207*Assumptions!$D$105</f>
        <v>21478.0200447076</v>
      </c>
      <c r="N4277" s="54" t="n">
        <f aca="false">MAX(0,(N4265-N4246*$C$4201)-N4225*$C$4206)*$C$4207*Assumptions!$D$105</f>
        <v>20637.3091644805</v>
      </c>
      <c r="P4277" s="55" t="n">
        <f aca="false">SUM(C4277:F4277)</f>
        <v>16231.4219535908</v>
      </c>
      <c r="Q4277" s="55" t="n">
        <f aca="false">SUM(G4277:J4277)</f>
        <v>46833.3978399578</v>
      </c>
      <c r="R4277" s="55" t="n">
        <f aca="false">SUM(K4277:N4277)</f>
        <v>86043.2491645553</v>
      </c>
      <c r="S4277" s="56" t="n">
        <f aca="false">SUM(P4277:R4277)</f>
        <v>149108.068958104</v>
      </c>
    </row>
    <row r="4278" customFormat="false" ht="15" hidden="false" customHeight="false" outlineLevel="0" collapsed="false">
      <c r="A4278" s="4" t="s">
        <v>557</v>
      </c>
      <c r="B4278" s="36" t="s">
        <v>125</v>
      </c>
      <c r="C4278" s="54" t="n">
        <f aca="false">C4273*Assumptions!$E$71/Assumptions!$E$69/4</f>
        <v>18475.8928571429</v>
      </c>
      <c r="D4278" s="54" t="n">
        <f aca="false">D4273*Assumptions!$E$71/Assumptions!$E$69/4</f>
        <v>18475.8928571429</v>
      </c>
      <c r="E4278" s="54" t="n">
        <f aca="false">E4273*Assumptions!$E$71/Assumptions!$E$69/4</f>
        <v>18475.8928571429</v>
      </c>
      <c r="F4278" s="54" t="n">
        <f aca="false">F4273*Assumptions!$E$71/Assumptions!$E$69/4</f>
        <v>18475.8928571429</v>
      </c>
      <c r="G4278" s="54" t="n">
        <f aca="false">G4273*Assumptions!$E$71/Assumptions!$E$69/4</f>
        <v>18475.8928571429</v>
      </c>
      <c r="H4278" s="54" t="n">
        <f aca="false">H4273*Assumptions!$E$71/Assumptions!$E$69/4</f>
        <v>18475.8928571429</v>
      </c>
      <c r="I4278" s="54" t="n">
        <f aca="false">I4273*Assumptions!$E$71/Assumptions!$E$69/4</f>
        <v>18475.8928571429</v>
      </c>
      <c r="J4278" s="54" t="n">
        <f aca="false">J4273*Assumptions!$E$71/Assumptions!$E$69/4</f>
        <v>18475.8928571429</v>
      </c>
      <c r="K4278" s="54" t="n">
        <f aca="false">K4273*Assumptions!$E$71/Assumptions!$E$69/4</f>
        <v>18475.8928571429</v>
      </c>
      <c r="L4278" s="54" t="n">
        <f aca="false">L4273*Assumptions!$E$71/Assumptions!$E$69/4</f>
        <v>18475.8928571429</v>
      </c>
      <c r="M4278" s="54" t="n">
        <f aca="false">M4273*Assumptions!$E$71/Assumptions!$E$69/4</f>
        <v>18475.8928571429</v>
      </c>
      <c r="N4278" s="54" t="n">
        <f aca="false">N4273*Assumptions!$E$71/Assumptions!$E$69/4</f>
        <v>18475.8928571429</v>
      </c>
      <c r="P4278" s="55" t="n">
        <f aca="false">SUM(C4278:F4278)</f>
        <v>73903.5714285714</v>
      </c>
      <c r="Q4278" s="55" t="n">
        <f aca="false">SUM(G4278:J4278)</f>
        <v>73903.5714285714</v>
      </c>
      <c r="R4278" s="55" t="n">
        <f aca="false">SUM(K4278:N4278)</f>
        <v>73903.5714285714</v>
      </c>
      <c r="S4278" s="56" t="n">
        <f aca="false">SUM(P4278:R4278)</f>
        <v>221710.714285714</v>
      </c>
    </row>
    <row r="4279" customFormat="false" ht="15" hidden="false" customHeight="false" outlineLevel="0" collapsed="false">
      <c r="A4279" s="4" t="s">
        <v>558</v>
      </c>
      <c r="B4279" s="36" t="s">
        <v>125</v>
      </c>
      <c r="C4279" s="54" t="n">
        <f aca="false">(Assumptions!$D$103+Assumptions!$E$77*((C4210=Assumptions!$E$13)+(C4210=Assumptions!$E$14)+(C4210=Assumptions!$E$15)))*C4211</f>
        <v>65000</v>
      </c>
      <c r="D4279" s="54" t="n">
        <f aca="false">(Assumptions!$D$103+Assumptions!$E$77*((D4210=Assumptions!$E$13)+(D4210=Assumptions!$E$14)+(D4210=Assumptions!$E$15)))*D4211</f>
        <v>25000</v>
      </c>
      <c r="E4279" s="54" t="n">
        <f aca="false">(Assumptions!$D$103+Assumptions!$E$77*((E4210=Assumptions!$E$13)+(E4210=Assumptions!$E$14)+(E4210=Assumptions!$E$15)))*E4211</f>
        <v>25000</v>
      </c>
      <c r="F4279" s="54" t="n">
        <f aca="false">(Assumptions!$D$103+Assumptions!$E$77*((F4210=Assumptions!$E$13)+(F4210=Assumptions!$E$14)+(F4210=Assumptions!$E$15)))*F4211</f>
        <v>25000</v>
      </c>
      <c r="G4279" s="54" t="n">
        <f aca="false">(Assumptions!$D$103+Assumptions!$E$77*((G4210=Assumptions!$E$13)+(G4210=Assumptions!$E$14)+(G4210=Assumptions!$E$15)))*G4211</f>
        <v>65000</v>
      </c>
      <c r="H4279" s="54" t="n">
        <f aca="false">(Assumptions!$D$103+Assumptions!$E$77*((H4210=Assumptions!$E$13)+(H4210=Assumptions!$E$14)+(H4210=Assumptions!$E$15)))*H4211</f>
        <v>25000</v>
      </c>
      <c r="I4279" s="54" t="n">
        <f aca="false">(Assumptions!$D$103+Assumptions!$E$77*((I4210=Assumptions!$E$13)+(I4210=Assumptions!$E$14)+(I4210=Assumptions!$E$15)))*I4211</f>
        <v>65000</v>
      </c>
      <c r="J4279" s="54" t="n">
        <f aca="false">(Assumptions!$D$103+Assumptions!$E$77*((J4210=Assumptions!$E$13)+(J4210=Assumptions!$E$14)+(J4210=Assumptions!$E$15)))*J4211</f>
        <v>25000</v>
      </c>
      <c r="K4279" s="54" t="n">
        <f aca="false">(Assumptions!$D$103+Assumptions!$E$77*((K4210=Assumptions!$E$13)+(K4210=Assumptions!$E$14)+(K4210=Assumptions!$E$15)))*K4211</f>
        <v>25000</v>
      </c>
      <c r="L4279" s="54" t="n">
        <f aca="false">(Assumptions!$D$103+Assumptions!$E$77*((L4210=Assumptions!$E$13)+(L4210=Assumptions!$E$14)+(L4210=Assumptions!$E$15)))*L4211</f>
        <v>25000</v>
      </c>
      <c r="M4279" s="54" t="n">
        <f aca="false">(Assumptions!$D$103+Assumptions!$E$77*((M4210=Assumptions!$E$13)+(M4210=Assumptions!$E$14)+(M4210=Assumptions!$E$15)))*M4211</f>
        <v>25000</v>
      </c>
      <c r="N4279" s="54" t="n">
        <f aca="false">(Assumptions!$D$103+Assumptions!$E$77*((N4210=Assumptions!$E$13)+(N4210=Assumptions!$E$14)+(N4210=Assumptions!$E$15)))*N4211</f>
        <v>25000</v>
      </c>
      <c r="P4279" s="55" t="n">
        <f aca="false">SUM(C4279:F4279)</f>
        <v>140000</v>
      </c>
      <c r="Q4279" s="55" t="n">
        <f aca="false">SUM(G4279:J4279)</f>
        <v>180000</v>
      </c>
      <c r="R4279" s="55" t="n">
        <f aca="false">SUM(K4279:N4279)</f>
        <v>100000</v>
      </c>
      <c r="S4279" s="56" t="n">
        <f aca="false">SUM(P4279:R4279)</f>
        <v>420000</v>
      </c>
    </row>
    <row r="4280" customFormat="false" ht="15" hidden="false" customHeight="false" outlineLevel="0" collapsed="false">
      <c r="A4280" s="4" t="s">
        <v>559</v>
      </c>
      <c r="B4280" s="36" t="s">
        <v>125</v>
      </c>
      <c r="C4280" s="54" t="n">
        <f aca="false">C4265*C4245*Assumptions!$E$79</f>
        <v>0</v>
      </c>
      <c r="D4280" s="54" t="n">
        <f aca="false">D4265*D4245*Assumptions!$E$79</f>
        <v>271.779624451806</v>
      </c>
      <c r="E4280" s="54" t="n">
        <f aca="false">E4265*E4245*Assumptions!$E$79</f>
        <v>684.079422832621</v>
      </c>
      <c r="F4280" s="54" t="n">
        <f aca="false">F4265*F4245*Assumptions!$E$79</f>
        <v>1191.35593894928</v>
      </c>
      <c r="G4280" s="54" t="n">
        <f aca="false">G4265*G4245*Assumptions!$E$79</f>
        <v>1589.7744319245</v>
      </c>
      <c r="H4280" s="54" t="n">
        <f aca="false">H4265*H4245*Assumptions!$E$79</f>
        <v>1871.66980658479</v>
      </c>
      <c r="I4280" s="54" t="n">
        <f aca="false">I4265*I4245*Assumptions!$E$79</f>
        <v>1905.51310285703</v>
      </c>
      <c r="J4280" s="54" t="n">
        <f aca="false">J4265*J4245*Assumptions!$E$79</f>
        <v>1749.64078319907</v>
      </c>
      <c r="K4280" s="54" t="n">
        <f aca="false">K4265*K4245*Assumptions!$E$79</f>
        <v>1773.11697890089</v>
      </c>
      <c r="L4280" s="54" t="n">
        <f aca="false">L4265*L4245*Assumptions!$E$79</f>
        <v>1902.26095565472</v>
      </c>
      <c r="M4280" s="54" t="n">
        <f aca="false">M4265*M4245*Assumptions!$E$79</f>
        <v>1901.56631644319</v>
      </c>
      <c r="N4280" s="54" t="n">
        <f aca="false">N4265*N4245*Assumptions!$E$79</f>
        <v>1900.86583267677</v>
      </c>
      <c r="P4280" s="55" t="n">
        <f aca="false">SUM(C4280:F4280)</f>
        <v>2147.21498623371</v>
      </c>
      <c r="Q4280" s="55" t="n">
        <f aca="false">SUM(G4280:J4280)</f>
        <v>7116.5981245654</v>
      </c>
      <c r="R4280" s="55" t="n">
        <f aca="false">SUM(K4280:N4280)</f>
        <v>7477.81008367556</v>
      </c>
      <c r="S4280" s="56" t="n">
        <f aca="false">SUM(P4280:R4280)</f>
        <v>16741.6231944747</v>
      </c>
    </row>
    <row r="4281" customFormat="false" ht="15" hidden="false" customHeight="false" outlineLevel="0" collapsed="false">
      <c r="A4281" s="4" t="s">
        <v>560</v>
      </c>
      <c r="B4281" s="36" t="s">
        <v>125</v>
      </c>
      <c r="C4281" s="54" t="n">
        <f aca="false">C4230*Assumptions!$E$80</f>
        <v>2000</v>
      </c>
      <c r="D4281" s="54" t="n">
        <f aca="false">D4230*Assumptions!$E$80</f>
        <v>4000</v>
      </c>
      <c r="E4281" s="54" t="n">
        <f aca="false">E4230*Assumptions!$E$80</f>
        <v>6000</v>
      </c>
      <c r="F4281" s="54" t="n">
        <f aca="false">F4230*Assumptions!$E$80</f>
        <v>8000</v>
      </c>
      <c r="G4281" s="54" t="n">
        <f aca="false">G4230*Assumptions!$E$80</f>
        <v>10000</v>
      </c>
      <c r="H4281" s="54" t="n">
        <f aca="false">H4230*Assumptions!$E$80</f>
        <v>10000</v>
      </c>
      <c r="I4281" s="54" t="n">
        <f aca="false">I4230*Assumptions!$E$80</f>
        <v>10000</v>
      </c>
      <c r="J4281" s="54" t="n">
        <f aca="false">J4230*Assumptions!$E$80</f>
        <v>10000</v>
      </c>
      <c r="K4281" s="54" t="n">
        <f aca="false">K4230*Assumptions!$E$80</f>
        <v>10000</v>
      </c>
      <c r="L4281" s="54" t="n">
        <f aca="false">L4230*Assumptions!$E$80</f>
        <v>10000</v>
      </c>
      <c r="M4281" s="54" t="n">
        <f aca="false">M4230*Assumptions!$E$80</f>
        <v>10000</v>
      </c>
      <c r="N4281" s="54" t="n">
        <f aca="false">N4230*Assumptions!$E$80</f>
        <v>10000</v>
      </c>
      <c r="P4281" s="55" t="n">
        <f aca="false">SUM(C4281:F4281)</f>
        <v>20000</v>
      </c>
      <c r="Q4281" s="55" t="n">
        <f aca="false">SUM(G4281:J4281)</f>
        <v>40000</v>
      </c>
      <c r="R4281" s="55" t="n">
        <f aca="false">SUM(K4281:N4281)</f>
        <v>40000</v>
      </c>
      <c r="S4281" s="56" t="n">
        <f aca="false">SUM(P4281:R4281)</f>
        <v>100000</v>
      </c>
    </row>
    <row r="4282" customFormat="false" ht="15" hidden="false" customHeight="false" outlineLevel="0" collapsed="false">
      <c r="A4282" s="4" t="s">
        <v>561</v>
      </c>
      <c r="B4282" s="36" t="s">
        <v>125</v>
      </c>
      <c r="C4282" s="54" t="n">
        <f aca="false">(C4253*$C$4202+C4254*$C$4203)*Assumptions!$E$81</f>
        <v>0</v>
      </c>
      <c r="D4282" s="54" t="n">
        <f aca="false">(D4253*$C$4202+D4254*$C$4203)*Assumptions!$E$81</f>
        <v>441.225769771179</v>
      </c>
      <c r="E4282" s="54" t="n">
        <f aca="false">(E4253*$C$4202+E4254*$C$4203)*Assumptions!$E$81</f>
        <v>1304.91979143213</v>
      </c>
      <c r="F4282" s="54" t="n">
        <f aca="false">(F4253*$C$4202+F4254*$C$4203)*Assumptions!$E$81</f>
        <v>1790.05166191279</v>
      </c>
      <c r="G4282" s="54" t="n">
        <f aca="false">(G4253*$C$4202+G4254*$C$4203)*Assumptions!$E$81</f>
        <v>1922.92765298312</v>
      </c>
      <c r="H4282" s="54" t="n">
        <f aca="false">(H4253*$C$4202+H4254*$C$4203)*Assumptions!$E$81</f>
        <v>2291.24901569231</v>
      </c>
      <c r="I4282" s="54" t="n">
        <f aca="false">(I4253*$C$4202+I4254*$C$4203)*Assumptions!$E$81</f>
        <v>2697.35108746439</v>
      </c>
      <c r="J4282" s="54" t="n">
        <f aca="false">(J4253*$C$4202+J4254*$C$4203)*Assumptions!$E$81</f>
        <v>3473.69058206448</v>
      </c>
      <c r="K4282" s="54" t="n">
        <f aca="false">(K4253*$C$4202+K4254*$C$4203)*Assumptions!$E$81</f>
        <v>4592.0198167942</v>
      </c>
      <c r="L4282" s="54" t="n">
        <f aca="false">(L4253*$C$4202+L4254*$C$4203)*Assumptions!$E$81</f>
        <v>4956.71498074979</v>
      </c>
      <c r="M4282" s="54" t="n">
        <f aca="false">(M4253*$C$4202+M4254*$C$4203)*Assumptions!$E$81</f>
        <v>4755.75221999407</v>
      </c>
      <c r="N4282" s="54" t="n">
        <f aca="false">(N4253*$C$4202+N4254*$C$4203)*Assumptions!$E$81</f>
        <v>4568.73529833623</v>
      </c>
      <c r="P4282" s="55" t="n">
        <f aca="false">SUM(C4282:F4282)</f>
        <v>3536.1972231161</v>
      </c>
      <c r="Q4282" s="55" t="n">
        <f aca="false">SUM(G4282:J4282)</f>
        <v>10385.2183382043</v>
      </c>
      <c r="R4282" s="55" t="n">
        <f aca="false">SUM(K4282:N4282)</f>
        <v>18873.2223158743</v>
      </c>
      <c r="S4282" s="56" t="n">
        <f aca="false">SUM(P4282:R4282)</f>
        <v>32794.6378771947</v>
      </c>
    </row>
    <row r="4283" customFormat="false" ht="15" hidden="false" customHeight="false" outlineLevel="0" collapsed="false">
      <c r="A4283" s="9" t="s">
        <v>562</v>
      </c>
      <c r="B4283" s="36" t="s">
        <v>125</v>
      </c>
      <c r="C4283" s="55" t="n">
        <f aca="false">C4275+C4276+C4277+C4278+C4279+C4280+C4281+C4282</f>
        <v>152229.464285714</v>
      </c>
      <c r="D4283" s="55" t="n">
        <f aca="false">D4275+D4276+D4277+D4278+D4279+D4280+D4281+D4282</f>
        <v>117365.092374585</v>
      </c>
      <c r="E4283" s="55" t="n">
        <f aca="false">E4275+E4276+E4277+E4278+E4279+E4280+E4281+E4282</f>
        <v>124292.286252631</v>
      </c>
      <c r="F4283" s="55" t="n">
        <f aca="false">F4275+F4276+F4277+F4278+F4279+F4280+F4281+F4282</f>
        <v>128945.848392867</v>
      </c>
      <c r="G4283" s="55" t="n">
        <f aca="false">G4275+G4276+G4277+G4278+G4279+G4280+G4281+G4282</f>
        <v>205425.135121127</v>
      </c>
      <c r="H4283" s="55" t="n">
        <f aca="false">H4275+H4276+H4277+H4278+H4279+H4280+H4281+H4282</f>
        <v>167994.753700669</v>
      </c>
      <c r="I4283" s="55" t="n">
        <f aca="false">I4275+I4276+I4277+I4278+I4279+I4280+I4281+I4282</f>
        <v>210178.631171938</v>
      </c>
      <c r="J4283" s="55" t="n">
        <f aca="false">J4275+J4276+J4277+J4278+J4279+J4280+J4281+J4282</f>
        <v>175161.694308994</v>
      </c>
      <c r="K4283" s="55" t="n">
        <f aca="false">K4275+K4276+K4277+K4278+K4279+K4280+K4281+K4282</f>
        <v>181517.884073106</v>
      </c>
      <c r="L4283" s="55" t="n">
        <f aca="false">L4275+L4276+L4277+L4278+L4279+L4280+L4281+L4282</f>
        <v>182846.648614361</v>
      </c>
      <c r="M4283" s="55" t="n">
        <f aca="false">M4275+M4276+M4277+M4278+M4279+M4280+M4281+M4282</f>
        <v>181741.588581145</v>
      </c>
      <c r="N4283" s="55" t="n">
        <f aca="false">N4275+N4276+N4277+N4278+N4279+N4280+N4281+N4282</f>
        <v>180713.160295493</v>
      </c>
      <c r="P4283" s="55" t="n">
        <f aca="false">SUM(C4283:F4283)</f>
        <v>522832.691305798</v>
      </c>
      <c r="Q4283" s="55" t="n">
        <f aca="false">SUM(G4283:J4283)</f>
        <v>758760.214302728</v>
      </c>
      <c r="R4283" s="55" t="n">
        <f aca="false">SUM(K4283:N4283)</f>
        <v>726819.281564105</v>
      </c>
      <c r="S4283" s="56" t="n">
        <f aca="false">SUM(P4283:R4283)</f>
        <v>2008412.18717263</v>
      </c>
    </row>
    <row r="4284" customFormat="false" ht="15" hidden="false" customHeight="false" outlineLevel="0" collapsed="false">
      <c r="A4284" s="4" t="s">
        <v>563</v>
      </c>
      <c r="B4284" s="36" t="s">
        <v>125</v>
      </c>
      <c r="C4284" s="54" t="n">
        <f aca="false">C4272*Assumptions!$E$72/Assumptions!$E$69/4</f>
        <v>56535.7142857143</v>
      </c>
      <c r="D4284" s="54" t="n">
        <f aca="false">D4272*Assumptions!$E$72/Assumptions!$E$69/4</f>
        <v>56535.7142857143</v>
      </c>
      <c r="E4284" s="54" t="n">
        <f aca="false">E4272*Assumptions!$E$72/Assumptions!$E$69/4</f>
        <v>56535.7142857143</v>
      </c>
      <c r="F4284" s="54" t="n">
        <f aca="false">F4272*Assumptions!$E$72/Assumptions!$E$69/4</f>
        <v>56535.7142857143</v>
      </c>
      <c r="G4284" s="54" t="n">
        <f aca="false">G4272*Assumptions!$E$72/Assumptions!$E$69/4</f>
        <v>28267.8571428571</v>
      </c>
      <c r="H4284" s="54" t="n">
        <f aca="false">H4272*Assumptions!$E$72/Assumptions!$E$69/4</f>
        <v>28267.8571428571</v>
      </c>
      <c r="I4284" s="54" t="n">
        <f aca="false">I4272*Assumptions!$E$72/Assumptions!$E$69/4</f>
        <v>28267.8571428571</v>
      </c>
      <c r="J4284" s="54" t="n">
        <f aca="false">J4272*Assumptions!$E$72/Assumptions!$E$69/4</f>
        <v>28267.8571428571</v>
      </c>
      <c r="K4284" s="54" t="n">
        <f aca="false">K4272*Assumptions!$E$72/Assumptions!$E$69/4</f>
        <v>28267.8571428571</v>
      </c>
      <c r="L4284" s="54" t="n">
        <f aca="false">L4272*Assumptions!$E$72/Assumptions!$E$69/4</f>
        <v>28267.8571428571</v>
      </c>
      <c r="M4284" s="54" t="n">
        <f aca="false">M4272*Assumptions!$E$72/Assumptions!$E$69/4</f>
        <v>28267.8571428571</v>
      </c>
      <c r="N4284" s="54" t="n">
        <f aca="false">N4272*Assumptions!$E$72/Assumptions!$E$69/4</f>
        <v>28267.8571428571</v>
      </c>
      <c r="P4284" s="55" t="n">
        <f aca="false">SUM(C4284:F4284)</f>
        <v>226142.857142857</v>
      </c>
      <c r="Q4284" s="55" t="n">
        <f aca="false">SUM(G4284:J4284)</f>
        <v>113071.428571429</v>
      </c>
      <c r="R4284" s="55" t="n">
        <f aca="false">SUM(K4284:N4284)</f>
        <v>113071.428571429</v>
      </c>
      <c r="S4284" s="56" t="n">
        <f aca="false">SUM(P4284:R4284)</f>
        <v>452285.714285714</v>
      </c>
    </row>
    <row r="4285" customFormat="false" ht="15" hidden="false" customHeight="false" outlineLevel="0" collapsed="false">
      <c r="A4285" s="4" t="s">
        <v>564</v>
      </c>
      <c r="B4285" s="36" t="s">
        <v>125</v>
      </c>
      <c r="C4285" s="54" t="n">
        <f aca="false">IF(C4210&lt;=Assumptions!$E$83,Assumptions!$E$82*Assumptions!$D$108/Assumptions!$E$83,0)</f>
        <v>62500</v>
      </c>
      <c r="D4285" s="54" t="n">
        <f aca="false">IF(D4210&lt;=Assumptions!$E$83,Assumptions!$E$82*Assumptions!$D$108/Assumptions!$E$83,0)</f>
        <v>62500</v>
      </c>
      <c r="E4285" s="54" t="n">
        <f aca="false">IF(E4210&lt;=Assumptions!$E$83,Assumptions!$E$82*Assumptions!$D$108/Assumptions!$E$83,0)</f>
        <v>62500</v>
      </c>
      <c r="F4285" s="54" t="n">
        <f aca="false">IF(F4210&lt;=Assumptions!$E$83,Assumptions!$E$82*Assumptions!$D$108/Assumptions!$E$83,0)</f>
        <v>62500</v>
      </c>
      <c r="G4285" s="54" t="n">
        <f aca="false">IF(G4210&lt;=Assumptions!$E$83,Assumptions!$E$82*Assumptions!$D$108/Assumptions!$E$83,0)</f>
        <v>0</v>
      </c>
      <c r="H4285" s="54" t="n">
        <f aca="false">IF(H4210&lt;=Assumptions!$E$83,Assumptions!$E$82*Assumptions!$D$108/Assumptions!$E$83,0)</f>
        <v>0</v>
      </c>
      <c r="I4285" s="54" t="n">
        <f aca="false">IF(I4210&lt;=Assumptions!$E$83,Assumptions!$E$82*Assumptions!$D$108/Assumptions!$E$83,0)</f>
        <v>0</v>
      </c>
      <c r="J4285" s="54" t="n">
        <f aca="false">IF(J4210&lt;=Assumptions!$E$83,Assumptions!$E$82*Assumptions!$D$108/Assumptions!$E$83,0)</f>
        <v>0</v>
      </c>
      <c r="K4285" s="54" t="n">
        <f aca="false">IF(K4210&lt;=Assumptions!$E$83,Assumptions!$E$82*Assumptions!$D$108/Assumptions!$E$83,0)</f>
        <v>0</v>
      </c>
      <c r="L4285" s="54" t="n">
        <f aca="false">IF(L4210&lt;=Assumptions!$E$83,Assumptions!$E$82*Assumptions!$D$108/Assumptions!$E$83,0)</f>
        <v>0</v>
      </c>
      <c r="M4285" s="54" t="n">
        <f aca="false">IF(M4210&lt;=Assumptions!$E$83,Assumptions!$E$82*Assumptions!$D$108/Assumptions!$E$83,0)</f>
        <v>0</v>
      </c>
      <c r="N4285" s="54" t="n">
        <f aca="false">IF(N4210&lt;=Assumptions!$E$83,Assumptions!$E$82*Assumptions!$D$108/Assumptions!$E$83,0)</f>
        <v>0</v>
      </c>
      <c r="P4285" s="55" t="n">
        <f aca="false">SUM(C4285:F4285)</f>
        <v>250000</v>
      </c>
      <c r="Q4285" s="55" t="n">
        <f aca="false">SUM(G4285:J4285)</f>
        <v>0</v>
      </c>
      <c r="R4285" s="55" t="n">
        <f aca="false">SUM(K4285:N4285)</f>
        <v>0</v>
      </c>
      <c r="S4285" s="56" t="n">
        <f aca="false">SUM(P4285:R4285)</f>
        <v>250000</v>
      </c>
    </row>
    <row r="4286" customFormat="false" ht="15" hidden="false" customHeight="false" outlineLevel="0" collapsed="false">
      <c r="A4286" s="4" t="s">
        <v>565</v>
      </c>
      <c r="B4286" s="36" t="s">
        <v>125</v>
      </c>
      <c r="C4286" s="54" t="n">
        <f aca="false">C4274*Assumptions!$E$73/Assumptions!$E$69/4</f>
        <v>0</v>
      </c>
      <c r="D4286" s="54" t="n">
        <f aca="false">D4274*Assumptions!$E$73/Assumptions!$E$69/4</f>
        <v>399.163063365107</v>
      </c>
      <c r="E4286" s="54" t="n">
        <f aca="false">E4274*Assumptions!$E$73/Assumptions!$E$69/4</f>
        <v>1203.88083197139</v>
      </c>
      <c r="F4286" s="54" t="n">
        <f aca="false">F4274*Assumptions!$E$73/Assumptions!$E$69/4</f>
        <v>2090.53814962401</v>
      </c>
      <c r="G4286" s="54" t="n">
        <f aca="false">G4274*Assumptions!$E$73/Assumptions!$E$69/4</f>
        <v>3020.85374138485</v>
      </c>
      <c r="H4286" s="54" t="n">
        <f aca="false">H4274*Assumptions!$E$73/Assumptions!$E$69/4</f>
        <v>4210.38761671938</v>
      </c>
      <c r="I4286" s="54" t="n">
        <f aca="false">I4274*Assumptions!$E$73/Assumptions!$E$69/4</f>
        <v>5560.79933109222</v>
      </c>
      <c r="J4286" s="54" t="n">
        <f aca="false">J4274*Assumptions!$E$73/Assumptions!$E$69/4</f>
        <v>7519.01933687237</v>
      </c>
      <c r="K4286" s="54" t="n">
        <f aca="false">K4274*Assumptions!$E$73/Assumptions!$E$69/4</f>
        <v>10047.1918288238</v>
      </c>
      <c r="L4286" s="54" t="n">
        <f aca="false">L4274*Assumptions!$E$73/Assumptions!$E$69/4</f>
        <v>12454.945382439</v>
      </c>
      <c r="M4286" s="54" t="n">
        <f aca="false">M4274*Assumptions!$E$73/Assumptions!$E$69/4</f>
        <v>14690.9799325436</v>
      </c>
      <c r="N4286" s="54" t="n">
        <f aca="false">N4274*Assumptions!$E$73/Assumptions!$E$69/4</f>
        <v>16767.3606160991</v>
      </c>
      <c r="P4286" s="55" t="n">
        <f aca="false">SUM(C4286:F4286)</f>
        <v>3693.58204496051</v>
      </c>
      <c r="Q4286" s="55" t="n">
        <f aca="false">SUM(G4286:J4286)</f>
        <v>20311.0600260688</v>
      </c>
      <c r="R4286" s="55" t="n">
        <f aca="false">SUM(K4286:N4286)</f>
        <v>53960.4777599056</v>
      </c>
      <c r="S4286" s="56" t="n">
        <f aca="false">SUM(P4286:R4286)</f>
        <v>77965.1198309349</v>
      </c>
    </row>
    <row r="4287" customFormat="false" ht="15" hidden="false" customHeight="false" outlineLevel="0" collapsed="false">
      <c r="A4287" s="9" t="s">
        <v>566</v>
      </c>
      <c r="B4287" s="36" t="s">
        <v>125</v>
      </c>
      <c r="C4287" s="55" t="n">
        <f aca="false">C4283+C4284+C4285+C4286</f>
        <v>271265.178571429</v>
      </c>
      <c r="D4287" s="55" t="n">
        <f aca="false">D4283+D4284+D4285+D4286</f>
        <v>236799.969723664</v>
      </c>
      <c r="E4287" s="55" t="n">
        <f aca="false">E4283+E4284+E4285+E4286</f>
        <v>244531.881370317</v>
      </c>
      <c r="F4287" s="55" t="n">
        <f aca="false">F4283+F4284+F4285+F4286</f>
        <v>250072.100828206</v>
      </c>
      <c r="G4287" s="55" t="n">
        <f aca="false">G4283+G4284+G4285+G4286</f>
        <v>236713.846005369</v>
      </c>
      <c r="H4287" s="55" t="n">
        <f aca="false">H4283+H4284+H4285+H4286</f>
        <v>200472.998460245</v>
      </c>
      <c r="I4287" s="55" t="n">
        <f aca="false">I4283+I4284+I4285+I4286</f>
        <v>244007.287645887</v>
      </c>
      <c r="J4287" s="55" t="n">
        <f aca="false">J4283+J4284+J4285+J4286</f>
        <v>210948.570788723</v>
      </c>
      <c r="K4287" s="55" t="n">
        <f aca="false">K4283+K4284+K4285+K4286</f>
        <v>219832.933044787</v>
      </c>
      <c r="L4287" s="55" t="n">
        <f aca="false">L4283+L4284+L4285+L4286</f>
        <v>223569.451139657</v>
      </c>
      <c r="M4287" s="55" t="n">
        <f aca="false">M4283+M4284+M4285+M4286</f>
        <v>224700.425656546</v>
      </c>
      <c r="N4287" s="55" t="n">
        <f aca="false">N4283+N4284+N4285+N4286</f>
        <v>225748.37805445</v>
      </c>
      <c r="P4287" s="55" t="n">
        <f aca="false">SUM(C4287:F4287)</f>
        <v>1002669.13049362</v>
      </c>
      <c r="Q4287" s="55" t="n">
        <f aca="false">SUM(G4287:J4287)</f>
        <v>892142.702900225</v>
      </c>
      <c r="R4287" s="55" t="n">
        <f aca="false">SUM(K4287:N4287)</f>
        <v>893851.187895439</v>
      </c>
      <c r="S4287" s="56" t="n">
        <f aca="false">SUM(P4287:R4287)</f>
        <v>2788663.02128928</v>
      </c>
    </row>
    <row r="4288" customFormat="false" ht="15" hidden="false" customHeight="false" outlineLevel="0" collapsed="false">
      <c r="A4288" s="35" t="s">
        <v>567</v>
      </c>
      <c r="B4288" s="35" t="s">
        <v>444</v>
      </c>
      <c r="C4288" s="6" t="s">
        <v>354</v>
      </c>
      <c r="D4288" s="6" t="s">
        <v>355</v>
      </c>
      <c r="E4288" s="6" t="s">
        <v>356</v>
      </c>
      <c r="F4288" s="6" t="s">
        <v>357</v>
      </c>
      <c r="G4288" s="6" t="s">
        <v>358</v>
      </c>
      <c r="H4288" s="6" t="s">
        <v>359</v>
      </c>
      <c r="I4288" s="6" t="s">
        <v>360</v>
      </c>
      <c r="J4288" s="6" t="s">
        <v>361</v>
      </c>
      <c r="K4288" s="6" t="s">
        <v>362</v>
      </c>
      <c r="L4288" s="6" t="s">
        <v>363</v>
      </c>
      <c r="M4288" s="6" t="s">
        <v>364</v>
      </c>
      <c r="N4288" s="6" t="s">
        <v>365</v>
      </c>
      <c r="P4288" s="6" t="s">
        <v>445</v>
      </c>
      <c r="Q4288" s="6" t="s">
        <v>446</v>
      </c>
      <c r="R4288" s="6" t="s">
        <v>447</v>
      </c>
      <c r="S4288" s="6" t="s">
        <v>448</v>
      </c>
    </row>
    <row r="4289" customFormat="false" ht="15" hidden="false" customHeight="false" outlineLevel="0" collapsed="false">
      <c r="A4289" s="9" t="s">
        <v>568</v>
      </c>
      <c r="B4289" s="36" t="s">
        <v>125</v>
      </c>
      <c r="C4289" s="55" t="n">
        <f aca="false">C4267-C4287</f>
        <v>-271265.178571429</v>
      </c>
      <c r="D4289" s="55" t="n">
        <f aca="false">D4267-D4287</f>
        <v>-236299.580471813</v>
      </c>
      <c r="E4289" s="55" t="n">
        <f aca="false">E4267-E4287</f>
        <v>-242319.185738717</v>
      </c>
      <c r="F4289" s="55" t="n">
        <f aca="false">F4267-F4287</f>
        <v>-245119.241666862</v>
      </c>
      <c r="G4289" s="55" t="n">
        <f aca="false">G4267-G4287</f>
        <v>-228568.567811509</v>
      </c>
      <c r="H4289" s="55" t="n">
        <f aca="false">H4267-H4287</f>
        <v>-188580.106371322</v>
      </c>
      <c r="I4289" s="55" t="n">
        <f aca="false">I4267-I4287</f>
        <v>-227576.171012016</v>
      </c>
      <c r="J4289" s="55" t="n">
        <f aca="false">J4267-J4287</f>
        <v>-188664.214012399</v>
      </c>
      <c r="K4289" s="55" t="n">
        <f aca="false">K4267-K4287</f>
        <v>-189666.823225952</v>
      </c>
      <c r="L4289" s="55" t="n">
        <f aca="false">L4267-L4287</f>
        <v>-184250.544298946</v>
      </c>
      <c r="M4289" s="55" t="n">
        <f aca="false">M4267-M4287</f>
        <v>-176147.483615418</v>
      </c>
      <c r="N4289" s="55" t="n">
        <f aca="false">N4267-N4287</f>
        <v>-168159.524549106</v>
      </c>
      <c r="P4289" s="55" t="n">
        <f aca="false">SUM(C4289:F4289)</f>
        <v>-995003.18644882</v>
      </c>
      <c r="Q4289" s="55" t="n">
        <f aca="false">SUM(G4289:J4289)</f>
        <v>-833389.059207246</v>
      </c>
      <c r="R4289" s="55" t="n">
        <f aca="false">SUM(K4289:N4289)</f>
        <v>-718224.375689422</v>
      </c>
      <c r="S4289" s="56" t="n">
        <f aca="false">SUM(P4289:R4289)</f>
        <v>-2546616.62134549</v>
      </c>
    </row>
    <row r="4290" customFormat="false" ht="15" hidden="false" customHeight="false" outlineLevel="0" collapsed="false">
      <c r="A4290" s="9" t="s">
        <v>569</v>
      </c>
      <c r="B4290" s="36" t="s">
        <v>125</v>
      </c>
      <c r="C4290" s="55" t="n">
        <f aca="false">0+C4289</f>
        <v>-271265.178571429</v>
      </c>
      <c r="D4290" s="55" t="n">
        <f aca="false">C4290+D4289</f>
        <v>-507564.759043241</v>
      </c>
      <c r="E4290" s="55" t="n">
        <f aca="false">D4290+E4289</f>
        <v>-749883.944781958</v>
      </c>
      <c r="F4290" s="55" t="n">
        <f aca="false">E4290+F4289</f>
        <v>-995003.18644882</v>
      </c>
      <c r="G4290" s="55" t="n">
        <f aca="false">F4290+G4289</f>
        <v>-1223571.75426033</v>
      </c>
      <c r="H4290" s="55" t="n">
        <f aca="false">G4290+H4289</f>
        <v>-1412151.86063165</v>
      </c>
      <c r="I4290" s="55" t="n">
        <f aca="false">H4290+I4289</f>
        <v>-1639728.03164367</v>
      </c>
      <c r="J4290" s="55" t="n">
        <f aca="false">I4290+J4289</f>
        <v>-1828392.24565607</v>
      </c>
      <c r="K4290" s="55" t="n">
        <f aca="false">J4290+K4289</f>
        <v>-2018059.06888202</v>
      </c>
      <c r="L4290" s="55" t="n">
        <f aca="false">K4290+L4289</f>
        <v>-2202309.61318096</v>
      </c>
      <c r="M4290" s="55" t="n">
        <f aca="false">L4290+M4289</f>
        <v>-2378457.09679638</v>
      </c>
      <c r="N4290" s="55" t="n">
        <f aca="false">M4290+N4289</f>
        <v>-2546616.62134549</v>
      </c>
      <c r="P4290" s="55" t="n">
        <f aca="false">F4290</f>
        <v>-995003.18644882</v>
      </c>
      <c r="Q4290" s="55" t="n">
        <f aca="false">J4290</f>
        <v>-1828392.24565607</v>
      </c>
      <c r="R4290" s="55" t="n">
        <f aca="false">N4290</f>
        <v>-2546616.62134549</v>
      </c>
      <c r="S4290" s="56" t="n">
        <f aca="false">R4290</f>
        <v>-2546616.62134549</v>
      </c>
    </row>
    <row r="4291" customFormat="false" ht="15" hidden="false" customHeight="false" outlineLevel="0" collapsed="false">
      <c r="A4291" s="4" t="s">
        <v>570</v>
      </c>
      <c r="B4291" s="36" t="s">
        <v>107</v>
      </c>
      <c r="C4291" s="57" t="n">
        <f aca="false">1/(1+Assumptions!$E$87)^(C4210/4)</f>
        <v>0.972065420906982</v>
      </c>
      <c r="D4291" s="57" t="n">
        <f aca="false">1/(1+Assumptions!$E$87)^(D4210/4)</f>
        <v>0.944911182523068</v>
      </c>
      <c r="E4291" s="57" t="n">
        <f aca="false">1/(1+Assumptions!$E$87)^(E4210/4)</f>
        <v>0.918515486359</v>
      </c>
      <c r="F4291" s="57" t="n">
        <f aca="false">1/(1+Assumptions!$E$87)^(F4210/4)</f>
        <v>0.892857142857143</v>
      </c>
      <c r="G4291" s="57" t="n">
        <f aca="false">1/(1+Assumptions!$E$87)^(G4210/4)</f>
        <v>0.867915554381234</v>
      </c>
      <c r="H4291" s="57" t="n">
        <f aca="false">1/(1+Assumptions!$E$87)^(H4210/4)</f>
        <v>0.843670698681311</v>
      </c>
      <c r="I4291" s="57" t="n">
        <f aca="false">1/(1+Assumptions!$E$87)^(I4210/4)</f>
        <v>0.820103112820536</v>
      </c>
      <c r="J4291" s="57" t="n">
        <f aca="false">1/(1+Assumptions!$E$87)^(J4210/4)</f>
        <v>0.79719387755102</v>
      </c>
      <c r="K4291" s="57" t="n">
        <f aca="false">1/(1+Assumptions!$E$87)^(K4210/4)</f>
        <v>0.774924602126102</v>
      </c>
      <c r="L4291" s="57" t="n">
        <f aca="false">1/(1+Assumptions!$E$87)^(L4210/4)</f>
        <v>0.753277409536885</v>
      </c>
      <c r="M4291" s="57" t="n">
        <f aca="false">1/(1+Assumptions!$E$87)^(M4210/4)</f>
        <v>0.732234922161193</v>
      </c>
      <c r="N4291" s="57" t="n">
        <f aca="false">1/(1+Assumptions!$E$87)^(N4210/4)</f>
        <v>0.711780247813411</v>
      </c>
      <c r="P4291" s="58"/>
      <c r="Q4291" s="58"/>
      <c r="R4291" s="58"/>
      <c r="S4291" s="59"/>
    </row>
    <row r="4292" customFormat="false" ht="15" hidden="false" customHeight="false" outlineLevel="0" collapsed="false">
      <c r="A4292" s="4" t="s">
        <v>571</v>
      </c>
      <c r="B4292" s="36" t="s">
        <v>125</v>
      </c>
      <c r="C4292" s="54" t="n">
        <f aca="false">(C4267*(1-Assumptions!$E$88)-C4287)*C4291</f>
        <v>-263687.499985443</v>
      </c>
      <c r="D4292" s="54" t="n">
        <f aca="false">(D4267*(1-Assumptions!$E$88)-D4287)*D4291</f>
        <v>-223376.680693263</v>
      </c>
      <c r="E4292" s="54" t="n">
        <f aca="false">(E4267*(1-Assumptions!$E$88)-E4287)*E4291</f>
        <v>-222980.403783759</v>
      </c>
      <c r="F4292" s="54" t="n">
        <f aca="false">(F4267*(1-Assumptions!$E$88)-F4287)*F4291</f>
        <v>-219740.904909938</v>
      </c>
      <c r="G4292" s="54" t="n">
        <f aca="false">(G4267*(1-Assumptions!$E$88)-G4287)*G4291</f>
        <v>-199792.097974093</v>
      </c>
      <c r="H4292" s="54" t="n">
        <f aca="false">(H4267*(1-Assumptions!$E$88)-H4287)*H4291</f>
        <v>-161106.24701529</v>
      </c>
      <c r="I4292" s="54" t="n">
        <f aca="false">(I4267*(1-Assumptions!$E$88)-I4287)*I4291</f>
        <v>-189330.968230444</v>
      </c>
      <c r="J4292" s="54" t="n">
        <f aca="false">(J4267*(1-Assumptions!$E$88)-J4287)*J4291</f>
        <v>-153954.94688111</v>
      </c>
      <c r="K4292" s="54" t="n">
        <f aca="false">(K4267*(1-Assumptions!$E$88)-K4287)*K4291</f>
        <v>-151652.779654703</v>
      </c>
      <c r="L4292" s="54" t="n">
        <f aca="false">(L4267*(1-Assumptions!$E$88)-L4287)*L4291</f>
        <v>-144715.38157343</v>
      </c>
      <c r="M4292" s="54" t="n">
        <f aca="false">(M4267*(1-Assumptions!$E$88)-M4287)*M4291</f>
        <v>-136091.770901262</v>
      </c>
      <c r="N4292" s="54" t="n">
        <f aca="false">(N4267*(1-Assumptions!$E$88)-N4287)*N4291</f>
        <v>-127890.749739613</v>
      </c>
      <c r="P4292" s="55" t="n">
        <f aca="false">SUM(C4292:F4292)</f>
        <v>-929785.489372403</v>
      </c>
      <c r="Q4292" s="55" t="n">
        <f aca="false">SUM(G4292:J4292)</f>
        <v>-704184.260100936</v>
      </c>
      <c r="R4292" s="55" t="n">
        <f aca="false">SUM(K4292:N4292)</f>
        <v>-560350.681869008</v>
      </c>
      <c r="S4292" s="56" t="n">
        <f aca="false">SUM(P4292:R4292)</f>
        <v>-2194320.43134235</v>
      </c>
    </row>
    <row r="4293" customFormat="false" ht="15" hidden="false" customHeight="false" outlineLevel="0" collapsed="false">
      <c r="A4293" s="4" t="s">
        <v>572</v>
      </c>
      <c r="B4293" s="36" t="s">
        <v>125</v>
      </c>
      <c r="C4293" s="54" t="n">
        <f aca="false">(C4287-C4286)*12/(Assumptions!$E$89*Assumptions!$E$76)*Assumptions!$E$90</f>
        <v>187798.96978022</v>
      </c>
      <c r="D4293" s="54" t="n">
        <f aca="false">(D4287-D4286)*12/(Assumptions!$E$89*Assumptions!$E$76)*Assumptions!$E$90</f>
        <v>163662.096918669</v>
      </c>
      <c r="E4293" s="54" t="n">
        <f aca="false">(E4287-E4286)*12/(Assumptions!$E$89*Assumptions!$E$76)*Assumptions!$E$90</f>
        <v>168457.846526547</v>
      </c>
      <c r="F4293" s="54" t="n">
        <f aca="false">(F4287-F4286)*12/(Assumptions!$E$89*Assumptions!$E$76)*Assumptions!$E$90</f>
        <v>171679.543392864</v>
      </c>
      <c r="G4293" s="54" t="n">
        <f aca="false">(G4287-G4286)*12/(Assumptions!$E$89*Assumptions!$E$76)*Assumptions!$E$90</f>
        <v>161787.456182758</v>
      </c>
      <c r="H4293" s="54" t="n">
        <f aca="false">(H4287-H4286)*12/(Assumptions!$E$89*Assumptions!$E$76)*Assumptions!$E$90</f>
        <v>135874.115199364</v>
      </c>
      <c r="I4293" s="54" t="n">
        <f aca="false">(I4287-I4286)*12/(Assumptions!$E$89*Assumptions!$E$76)*Assumptions!$E$90</f>
        <v>165078.338064089</v>
      </c>
      <c r="J4293" s="54" t="n">
        <f aca="false">(J4287-J4286)*12/(Assumptions!$E$89*Assumptions!$E$76)*Assumptions!$E$90</f>
        <v>140835.84331282</v>
      </c>
      <c r="K4293" s="54" t="n">
        <f aca="false">(K4287-K4286)*12/(Assumptions!$E$89*Assumptions!$E$76)*Assumptions!$E$90</f>
        <v>145236.282380282</v>
      </c>
      <c r="L4293" s="54" t="n">
        <f aca="false">(L4287-L4286)*12/(Assumptions!$E$89*Assumptions!$E$76)*Assumptions!$E$90</f>
        <v>146156.196293459</v>
      </c>
      <c r="M4293" s="54" t="n">
        <f aca="false">(M4287-M4286)*12/(Assumptions!$E$89*Assumptions!$E$76)*Assumptions!$E$90</f>
        <v>145391.154732001</v>
      </c>
      <c r="N4293" s="54" t="n">
        <f aca="false">(N4287-N4286)*12/(Assumptions!$E$89*Assumptions!$E$76)*Assumptions!$E$90</f>
        <v>144679.165918858</v>
      </c>
      <c r="P4293" s="55" t="n">
        <f aca="false">SUM(C4293:F4293)</f>
        <v>691598.4566183</v>
      </c>
      <c r="Q4293" s="55" t="n">
        <f aca="false">SUM(G4293:J4293)</f>
        <v>603575.752759031</v>
      </c>
      <c r="R4293" s="55" t="n">
        <f aca="false">SUM(K4293:N4293)</f>
        <v>581462.7993246</v>
      </c>
      <c r="S4293" s="56" t="n">
        <f aca="false">SUM(P4293:R4293)</f>
        <v>1876637.00870193</v>
      </c>
    </row>
    <row r="4294" customFormat="false" ht="15" hidden="false" customHeight="false" outlineLevel="0" collapsed="false">
      <c r="A4294" s="4" t="s">
        <v>573</v>
      </c>
      <c r="B4294" s="36" t="s">
        <v>125</v>
      </c>
      <c r="C4294" s="54" t="n">
        <f aca="false">0*Assumptions!$E$92^(1/4)+C4293</f>
        <v>187798.96978022</v>
      </c>
      <c r="D4294" s="54" t="n">
        <f aca="false">C4294*Assumptions!$E$92^(1/4)+D4293</f>
        <v>351928.813708171</v>
      </c>
      <c r="E4294" s="54" t="n">
        <f aca="false">D4294*Assumptions!$E$92^(1/4)+E4293</f>
        <v>521263.202051134</v>
      </c>
      <c r="F4294" s="54" t="n">
        <f aca="false">E4294*Assumptions!$E$92^(1/4)+F4293</f>
        <v>694241.044918664</v>
      </c>
      <c r="G4294" s="54" t="n">
        <f aca="false">F4294*Assumptions!$E$92^(1/4)+G4293</f>
        <v>857757.632911154</v>
      </c>
      <c r="H4294" s="54" t="n">
        <f aca="false">G4294*Assumptions!$E$92^(1/4)+H4293</f>
        <v>995768.147303511</v>
      </c>
      <c r="I4294" s="54" t="n">
        <f aca="false">H4294*Assumptions!$E$92^(1/4)+I4293</f>
        <v>1163326.62449395</v>
      </c>
      <c r="J4294" s="54" t="n">
        <f aca="false">I4294*Assumptions!$E$92^(1/4)+J4293</f>
        <v>1307059.94136619</v>
      </c>
      <c r="K4294" s="54" t="n">
        <f aca="false">J4294*Assumptions!$E$92^(1/4)+K4293</f>
        <v>1455551.69090502</v>
      </c>
      <c r="L4294" s="54" t="n">
        <f aca="false">K4294*Assumptions!$E$92^(1/4)+L4293</f>
        <v>1605333.19968594</v>
      </c>
      <c r="M4294" s="54" t="n">
        <f aca="false">L4294*Assumptions!$E$92^(1/4)+M4293</f>
        <v>1754722.72461099</v>
      </c>
      <c r="N4294" s="54" t="n">
        <f aca="false">M4294*Assumptions!$E$92^(1/4)+N4293</f>
        <v>1903772.3421224</v>
      </c>
      <c r="P4294" s="55" t="n">
        <f aca="false">F4294</f>
        <v>694241.044918664</v>
      </c>
      <c r="Q4294" s="55" t="n">
        <f aca="false">J4294</f>
        <v>1307059.94136619</v>
      </c>
      <c r="R4294" s="55" t="n">
        <f aca="false">N4294</f>
        <v>1903772.3421224</v>
      </c>
      <c r="S4294" s="56" t="n">
        <f aca="false">R4294</f>
        <v>1903772.3421224</v>
      </c>
    </row>
    <row r="4295" customFormat="false" ht="15" hidden="false" customHeight="false" outlineLevel="0" collapsed="false">
      <c r="A4295" s="4" t="s">
        <v>574</v>
      </c>
      <c r="B4295" s="36" t="s">
        <v>125</v>
      </c>
      <c r="C4295" s="54" t="n">
        <f aca="false">(0+C4294)/8*Assumptions!$E$76-(C4287-C4286)-C4294*Assumptions!$E$93/4</f>
        <v>-258353.999399039</v>
      </c>
      <c r="D4295" s="54" t="n">
        <f aca="false">(C4294+D4294)/8*Assumptions!$E$76-(D4287-D4286)-D4294*Assumptions!$E$93/4</f>
        <v>-196947.03442322</v>
      </c>
      <c r="E4295" s="54" t="n">
        <f aca="false">(D4294+E4294)/8*Assumptions!$E$76-(E4287-E4286)-E4294*Assumptions!$E$93/4</f>
        <v>-178896.939283541</v>
      </c>
      <c r="F4295" s="54" t="n">
        <f aca="false">(E4294+F4294)/8*Assumptions!$E$76-(F4287-F4286)-F4294*Assumptions!$E$93/4</f>
        <v>-157899.855673769</v>
      </c>
      <c r="G4295" s="54" t="n">
        <f aca="false">(F4294+G4294)/8*Assumptions!$E$76-(G4287-G4286)-G4294*Assumptions!$E$93/4</f>
        <v>-118315.070101701</v>
      </c>
      <c r="H4295" s="54" t="n">
        <f aca="false">(G4294+H4294)/8*Assumptions!$E$76-(H4287-H4286)-H4294*Assumptions!$E$93/4</f>
        <v>-58110.7430423784</v>
      </c>
      <c r="I4295" s="54" t="n">
        <f aca="false">(H4294+I4294)/8*Assumptions!$E$76-(I4287-I4286)-I4294*Assumptions!$E$93/4</f>
        <v>-77561.6209124258</v>
      </c>
      <c r="J4295" s="54" t="n">
        <f aca="false">(I4294+J4294)/8*Assumptions!$E$76-(J4287-J4286)-J4294*Assumptions!$E$93/4</f>
        <v>-19048.8922427915</v>
      </c>
      <c r="K4295" s="54" t="n">
        <f aca="false">(J4294+K4294)/8*Assumptions!$E$76-(K4287-K4286)-K4294*Assumptions!$E$93/4</f>
        <v>-3517.9422302398</v>
      </c>
      <c r="L4295" s="54" t="n">
        <f aca="false">(K4294+L4294)/8*Assumptions!$E$76-(L4287-L4286)-L4294*Assumptions!$E$93/4</f>
        <v>17515.7266072224</v>
      </c>
      <c r="M4295" s="54" t="n">
        <f aca="false">(L4294+M4294)/8*Assumptions!$E$76-(M4287-M4286)-M4294*Assumptions!$E$93/4</f>
        <v>41061.0640674857</v>
      </c>
      <c r="N4295" s="54" t="n">
        <f aca="false">(M4294+N4294)/8*Assumptions!$E$76-(N4287-N4286)-N4294*Assumptions!$E$93/4</f>
        <v>64474.5524572074</v>
      </c>
      <c r="P4295" s="55" t="n">
        <f aca="false">SUM(C4295:F4295)</f>
        <v>-792097.828779568</v>
      </c>
      <c r="Q4295" s="55" t="n">
        <f aca="false">SUM(G4295:J4295)</f>
        <v>-273036.326299297</v>
      </c>
      <c r="R4295" s="55" t="n">
        <f aca="false">SUM(K4295:N4295)</f>
        <v>119533.400901676</v>
      </c>
      <c r="S4295" s="56" t="n">
        <f aca="false">SUM(P4295:R4295)</f>
        <v>-945600.754177189</v>
      </c>
    </row>
    <row r="4296" customFormat="false" ht="15" hidden="false" customHeight="false" outlineLevel="0" collapsed="false">
      <c r="A4296" s="4" t="s">
        <v>575</v>
      </c>
      <c r="B4296" s="36" t="s">
        <v>125</v>
      </c>
      <c r="C4296" s="54" t="n">
        <f aca="false">C4295*C4291</f>
        <v>-251136.989168829</v>
      </c>
      <c r="D4296" s="54" t="n">
        <f aca="false">D4295*D4291</f>
        <v>-186097.455191256</v>
      </c>
      <c r="E4296" s="54" t="n">
        <f aca="false">E4295*E4291</f>
        <v>-164319.609194158</v>
      </c>
      <c r="F4296" s="54" t="n">
        <f aca="false">F4295*F4291</f>
        <v>-140982.013994437</v>
      </c>
      <c r="G4296" s="54" t="n">
        <f aca="false">G4295*G4291</f>
        <v>-102687.489658972</v>
      </c>
      <c r="H4296" s="54" t="n">
        <f aca="false">H4295*H4291</f>
        <v>-49026.3311834535</v>
      </c>
      <c r="I4296" s="54" t="n">
        <f aca="false">I4295*I4291</f>
        <v>-63608.5267456868</v>
      </c>
      <c r="J4296" s="54" t="n">
        <f aca="false">J4295*J4291</f>
        <v>-15185.6602700825</v>
      </c>
      <c r="K4296" s="54" t="n">
        <f aca="false">K4295*K4291</f>
        <v>-2726.13998307119</v>
      </c>
      <c r="L4296" s="54" t="n">
        <f aca="false">L4295*L4291</f>
        <v>13194.2011648448</v>
      </c>
      <c r="M4296" s="54" t="n">
        <f aca="false">M4295*M4291</f>
        <v>30066.3450513111</v>
      </c>
      <c r="N4296" s="54" t="n">
        <f aca="false">N4295*N4291</f>
        <v>45891.7129256499</v>
      </c>
      <c r="P4296" s="55" t="n">
        <f aca="false">SUM(C4296:F4296)</f>
        <v>-742536.067548679</v>
      </c>
      <c r="Q4296" s="55" t="n">
        <f aca="false">SUM(G4296:J4296)</f>
        <v>-230508.007858195</v>
      </c>
      <c r="R4296" s="55" t="n">
        <f aca="false">SUM(K4296:N4296)</f>
        <v>86426.1191587346</v>
      </c>
      <c r="S4296" s="56" t="n">
        <f aca="false">SUM(P4296:R4296)</f>
        <v>-886617.95624814</v>
      </c>
    </row>
    <row r="4297" customFormat="false" ht="15" hidden="false" customHeight="false" outlineLevel="0" collapsed="false">
      <c r="A4297" s="4" t="s">
        <v>576</v>
      </c>
      <c r="B4297" s="36"/>
      <c r="C4297" s="37" t="n">
        <f aca="false">IFERROR((S4252*$C$4201*Assumptions!$E$59+S4253*$C$4202*Assumptions!$E$60+S4254*$C$4203*Assumptions!$E$61)/(S4252*$C$4201+S4253*$C$4202+S4254*$C$4203),0.9)</f>
        <v>0.897401506944541</v>
      </c>
    </row>
    <row r="4298" customFormat="false" ht="15" hidden="false" customHeight="false" outlineLevel="0" collapsed="false">
      <c r="A4298" s="4" t="s">
        <v>577</v>
      </c>
      <c r="B4298" s="36"/>
      <c r="C4298" s="37" t="n">
        <f aca="false">IFERROR(N4286*4/N4264,0)</f>
        <v>0.175616240759455</v>
      </c>
    </row>
    <row r="4299" customFormat="false" ht="15" hidden="false" customHeight="false" outlineLevel="0" collapsed="false">
      <c r="A4299" s="4" t="s">
        <v>578</v>
      </c>
      <c r="B4299" s="36"/>
      <c r="C4299" s="60" t="n">
        <f aca="false">$C$4297/(1+Assumptions!$E$87)</f>
        <v>0.801251345486197</v>
      </c>
    </row>
    <row r="4300" customFormat="false" ht="15" hidden="false" customHeight="false" outlineLevel="0" collapsed="false">
      <c r="A4300" s="4" t="s">
        <v>579</v>
      </c>
      <c r="B4300" s="36"/>
      <c r="C4300" s="60" t="n">
        <f aca="false">Assumptions!$E$91/(1+Assumptions!$E$87)</f>
        <v>0.803571428571429</v>
      </c>
    </row>
    <row r="4301" customFormat="false" ht="15" hidden="false" customHeight="false" outlineLevel="0" collapsed="false">
      <c r="A4301" s="35" t="s">
        <v>580</v>
      </c>
      <c r="B4301" s="35" t="s">
        <v>444</v>
      </c>
      <c r="C4301" s="6" t="s">
        <v>354</v>
      </c>
      <c r="D4301" s="6" t="s">
        <v>355</v>
      </c>
      <c r="E4301" s="6" t="s">
        <v>356</v>
      </c>
      <c r="F4301" s="6" t="s">
        <v>357</v>
      </c>
      <c r="G4301" s="6" t="s">
        <v>358</v>
      </c>
      <c r="H4301" s="6" t="s">
        <v>359</v>
      </c>
      <c r="I4301" s="6" t="s">
        <v>360</v>
      </c>
      <c r="J4301" s="6" t="s">
        <v>361</v>
      </c>
      <c r="K4301" s="6" t="s">
        <v>362</v>
      </c>
      <c r="L4301" s="6" t="s">
        <v>363</v>
      </c>
      <c r="M4301" s="6" t="s">
        <v>364</v>
      </c>
      <c r="N4301" s="6" t="s">
        <v>365</v>
      </c>
      <c r="P4301" s="6" t="s">
        <v>445</v>
      </c>
      <c r="Q4301" s="6" t="s">
        <v>446</v>
      </c>
      <c r="R4301" s="6" t="s">
        <v>447</v>
      </c>
      <c r="S4301" s="6" t="s">
        <v>448</v>
      </c>
    </row>
    <row r="4302" customFormat="false" ht="15" hidden="false" customHeight="false" outlineLevel="0" collapsed="false">
      <c r="A4302" s="9" t="s">
        <v>581</v>
      </c>
      <c r="C4302" s="61" t="n">
        <f aca="false">N4264</f>
        <v>381909.111448655</v>
      </c>
      <c r="D4302" s="61"/>
    </row>
    <row r="4303" customFormat="false" ht="15" hidden="false" customHeight="false" outlineLevel="0" collapsed="false">
      <c r="A4303" s="9" t="s">
        <v>582</v>
      </c>
      <c r="C4303" s="62" t="n">
        <f aca="false">N4260</f>
        <v>37.0409853641334</v>
      </c>
      <c r="D4303" s="62"/>
    </row>
    <row r="4304" customFormat="false" ht="15" hidden="false" customHeight="false" outlineLevel="0" collapsed="false">
      <c r="A4304" s="9" t="s">
        <v>583</v>
      </c>
      <c r="C4304" s="63" t="n">
        <f aca="false">S4255</f>
        <v>40.9745295984124</v>
      </c>
      <c r="D4304" s="63"/>
    </row>
    <row r="4305" customFormat="false" ht="15" hidden="false" customHeight="false" outlineLevel="0" collapsed="false">
      <c r="A4305" s="9" t="s">
        <v>584</v>
      </c>
      <c r="C4305" s="61" t="n">
        <f aca="false">S4266</f>
        <v>372379.076836603</v>
      </c>
      <c r="D4305" s="61"/>
    </row>
    <row r="4306" customFormat="false" ht="15" hidden="false" customHeight="false" outlineLevel="0" collapsed="false">
      <c r="A4306" s="9" t="s">
        <v>22</v>
      </c>
      <c r="C4306" s="61" t="n">
        <f aca="false">IFERROR(S4265/S4255,0)</f>
        <v>8857.80750573504</v>
      </c>
      <c r="D4306" s="61"/>
    </row>
    <row r="4307" customFormat="false" ht="15" hidden="false" customHeight="false" outlineLevel="0" collapsed="false">
      <c r="A4307" s="9" t="s">
        <v>585</v>
      </c>
      <c r="C4307" s="61" t="n">
        <f aca="false">IFERROR(S4283/S4255,0)</f>
        <v>49016.1133478992</v>
      </c>
      <c r="D4307" s="61"/>
    </row>
    <row r="4308" customFormat="false" ht="23.85" hidden="false" customHeight="false" outlineLevel="0" collapsed="false">
      <c r="A4308" s="9" t="s">
        <v>586</v>
      </c>
      <c r="C4308" s="61" t="n">
        <f aca="false">IFERROR((S4277+S4279+S4280+S4281+S4282)/S4255,0)</f>
        <v>17538.806108896</v>
      </c>
      <c r="D4308" s="61"/>
    </row>
    <row r="4309" customFormat="false" ht="15" hidden="false" customHeight="false" outlineLevel="0" collapsed="false">
      <c r="A4309" s="9" t="s">
        <v>587</v>
      </c>
      <c r="C4309" s="64" t="n">
        <f aca="false">IFERROR('Engine Runs'!$C$4307/('Engine Runs'!$C$4306*Assumptions!$E$76/12),0)</f>
        <v>102.159914992675</v>
      </c>
      <c r="D4309" s="64"/>
    </row>
    <row r="4310" customFormat="false" ht="15" hidden="false" customHeight="false" outlineLevel="0" collapsed="false">
      <c r="A4310" s="9" t="s">
        <v>588</v>
      </c>
      <c r="C4310" s="64" t="n">
        <f aca="false">IFERROR((R4283/R4255)/((R4265/R4255)*Assumptions!$E$76/12),0)</f>
        <v>64.0230399032433</v>
      </c>
      <c r="D4310" s="64"/>
    </row>
    <row r="4311" customFormat="false" ht="15" hidden="false" customHeight="false" outlineLevel="0" collapsed="false">
      <c r="A4311" s="9" t="s">
        <v>589</v>
      </c>
      <c r="C4311" s="61" t="n">
        <f aca="false">S4287</f>
        <v>2788663.02128928</v>
      </c>
      <c r="D4311" s="61"/>
    </row>
    <row r="4312" customFormat="false" ht="15" hidden="false" customHeight="false" outlineLevel="0" collapsed="false">
      <c r="A4312" s="9" t="s">
        <v>590</v>
      </c>
      <c r="C4312" s="61" t="n">
        <f aca="false">N4290</f>
        <v>-2546616.62134549</v>
      </c>
      <c r="D4312" s="61"/>
    </row>
    <row r="4313" customFormat="false" ht="15" hidden="false" customHeight="false" outlineLevel="0" collapsed="false">
      <c r="A4313" s="9" t="s">
        <v>591</v>
      </c>
      <c r="C4313" s="61" t="n">
        <f aca="false">MIN($C$4290:$N$4290)</f>
        <v>-2546616.62134549</v>
      </c>
      <c r="D4313" s="61"/>
    </row>
    <row r="4314" customFormat="false" ht="15" hidden="false" customHeight="false" outlineLevel="0" collapsed="false">
      <c r="A4314" s="9" t="s">
        <v>592</v>
      </c>
      <c r="C4314" s="61" t="n">
        <f aca="false">N4264*(Assumptions!$E$76-$C$4298)*$C$4297*(1-$C$4297^Assumptions!$E$85)/(1-$C$4297)</f>
        <v>662363.858097382</v>
      </c>
      <c r="D4314" s="61"/>
    </row>
    <row r="4315" customFormat="false" ht="15" hidden="false" customHeight="false" outlineLevel="0" collapsed="false">
      <c r="A4315" s="9" t="s">
        <v>593</v>
      </c>
      <c r="C4315" s="61" t="n">
        <f aca="false">N4264*(Assumptions!$E$76-$C$4298)*(1-Assumptions!$E$88)/(1+Assumptions!$E$87)^2.5*$C$4299*(1-$C$4299^Assumptions!$E$85)/(1-$C$4299)</f>
        <v>294789.187409388</v>
      </c>
      <c r="D4315" s="61"/>
    </row>
    <row r="4316" customFormat="false" ht="15" hidden="false" customHeight="false" outlineLevel="0" collapsed="false">
      <c r="A4316" s="9" t="s">
        <v>594</v>
      </c>
      <c r="C4316" s="61" t="n">
        <f aca="false">SUM($C$4292:$N$4292)+'Engine Runs'!$C$4315</f>
        <v>-1899531.24393296</v>
      </c>
      <c r="D4316" s="61"/>
    </row>
    <row r="4317" customFormat="false" ht="15" hidden="false" customHeight="false" outlineLevel="0" collapsed="false">
      <c r="A4317" s="9" t="s">
        <v>595</v>
      </c>
      <c r="C4317" s="61" t="n">
        <f aca="false">SUM($C$4296:$N$4296)+N4294*(Assumptions!$E$76-Assumptions!$E$93)/(1+Assumptions!$E$87)^2.5*$C$4300*(1-$C$4300^Assumptions!$E$85)/(1-$C$4300)</f>
        <v>1453962.47788808</v>
      </c>
      <c r="D4317" s="61"/>
    </row>
    <row r="4318" customFormat="false" ht="15" hidden="false" customHeight="false" outlineLevel="0" collapsed="false">
      <c r="A4318" s="9" t="s">
        <v>596</v>
      </c>
      <c r="C4318" s="61" t="n">
        <f aca="false">'Engine Runs'!$C$4316-'Engine Runs'!$C$4317</f>
        <v>-3353493.72182104</v>
      </c>
      <c r="D4318" s="61"/>
    </row>
    <row r="4319" customFormat="false" ht="15" hidden="false" customHeight="false" outlineLevel="0" collapsed="false">
      <c r="A4319" s="9" t="s">
        <v>597</v>
      </c>
      <c r="C4319" s="61" t="n">
        <f aca="false">S4251</f>
        <v>0</v>
      </c>
      <c r="D4319" s="61"/>
    </row>
    <row r="4320" customFormat="false" ht="15" hidden="false" customHeight="false" outlineLevel="0" collapsed="false">
      <c r="A4320" s="9" t="s">
        <v>598</v>
      </c>
      <c r="C4320" s="63" t="n">
        <f aca="false">P4235</f>
        <v>32.6188722246667</v>
      </c>
      <c r="D4320" s="63"/>
    </row>
    <row r="4321" customFormat="false" ht="15" hidden="false" customHeight="false" outlineLevel="0" collapsed="false">
      <c r="A4321" s="9" t="s">
        <v>599</v>
      </c>
      <c r="C4321" s="63" t="n">
        <f aca="false">P4255</f>
        <v>4.64034395108765</v>
      </c>
      <c r="D4321" s="63"/>
    </row>
    <row r="4322" customFormat="false" ht="15" hidden="false" customHeight="false" outlineLevel="0" collapsed="false">
      <c r="A4322" s="9" t="s">
        <v>600</v>
      </c>
      <c r="C4322" s="63" t="n">
        <f aca="false">P4231</f>
        <v>20</v>
      </c>
      <c r="D4322" s="63"/>
    </row>
    <row r="4323" customFormat="false" ht="15" hidden="false" customHeight="false" outlineLevel="0" collapsed="false">
      <c r="A4323" s="9" t="s">
        <v>601</v>
      </c>
      <c r="C4323" s="61" t="n">
        <f aca="false">IFERROR(P4265/P4255,0)</f>
        <v>8534.9942833686</v>
      </c>
      <c r="D4323" s="61"/>
    </row>
    <row r="4326" customFormat="false" ht="15" hidden="false" customHeight="true" outlineLevel="0" collapsed="false">
      <c r="A4326" s="78" t="s">
        <v>834</v>
      </c>
      <c r="B4326" s="78"/>
      <c r="C4326" s="78"/>
      <c r="D4326" s="78"/>
      <c r="E4326" s="78"/>
      <c r="F4326" s="78"/>
      <c r="G4326" s="78"/>
      <c r="H4326" s="78"/>
      <c r="I4326" s="78"/>
      <c r="J4326" s="78"/>
      <c r="K4326" s="78"/>
      <c r="L4326" s="78"/>
      <c r="M4326" s="78"/>
      <c r="N4326" s="78"/>
    </row>
    <row r="4327" customFormat="false" ht="15" hidden="false" customHeight="true" outlineLevel="0" collapsed="false">
      <c r="A4327" s="79" t="s">
        <v>835</v>
      </c>
      <c r="B4327" s="79"/>
      <c r="C4327" s="79"/>
      <c r="D4327" s="79"/>
      <c r="E4327" s="79"/>
      <c r="F4327" s="79"/>
      <c r="G4327" s="79"/>
      <c r="H4327" s="79"/>
      <c r="I4327" s="79"/>
      <c r="J4327" s="79"/>
      <c r="K4327" s="79"/>
      <c r="L4327" s="79"/>
      <c r="M4327" s="79"/>
      <c r="N4327" s="79"/>
    </row>
    <row r="4328" customFormat="false" ht="23.85" hidden="false" customHeight="false" outlineLevel="0" collapsed="false">
      <c r="A4328" s="35" t="s">
        <v>836</v>
      </c>
      <c r="B4328" s="35" t="s">
        <v>444</v>
      </c>
      <c r="C4328" s="6" t="s">
        <v>354</v>
      </c>
      <c r="D4328" s="6" t="s">
        <v>355</v>
      </c>
      <c r="E4328" s="6" t="s">
        <v>356</v>
      </c>
      <c r="F4328" s="6" t="s">
        <v>357</v>
      </c>
      <c r="G4328" s="6" t="s">
        <v>358</v>
      </c>
      <c r="H4328" s="6" t="s">
        <v>359</v>
      </c>
      <c r="I4328" s="6" t="s">
        <v>360</v>
      </c>
      <c r="J4328" s="6" t="s">
        <v>361</v>
      </c>
      <c r="K4328" s="6" t="s">
        <v>362</v>
      </c>
      <c r="L4328" s="6" t="s">
        <v>363</v>
      </c>
      <c r="M4328" s="6" t="s">
        <v>364</v>
      </c>
      <c r="N4328" s="6" t="s">
        <v>365</v>
      </c>
      <c r="P4328" s="6" t="s">
        <v>445</v>
      </c>
      <c r="Q4328" s="6" t="s">
        <v>446</v>
      </c>
      <c r="R4328" s="6" t="s">
        <v>447</v>
      </c>
      <c r="S4328" s="6" t="s">
        <v>448</v>
      </c>
    </row>
    <row r="4329" customFormat="false" ht="15" hidden="false" customHeight="false" outlineLevel="0" collapsed="false">
      <c r="A4329" s="4" t="s">
        <v>449</v>
      </c>
      <c r="B4329" s="36" t="s">
        <v>450</v>
      </c>
      <c r="C4329" s="34" t="n">
        <f aca="false">'Market Sizing'!$C$17*Assumptions!$E$10*Assumptions!$E$11*(1-Assumptions!$E$12)</f>
        <v>843.03944704</v>
      </c>
    </row>
    <row r="4330" customFormat="false" ht="15" hidden="false" customHeight="false" outlineLevel="0" collapsed="false">
      <c r="A4330" s="4" t="s">
        <v>451</v>
      </c>
      <c r="B4330" s="36" t="s">
        <v>450</v>
      </c>
      <c r="C4330" s="34" t="n">
        <f aca="false">'Market Sizing'!$D$17*Assumptions!$E$10*Assumptions!$E$11*(1-Assumptions!$E$12)</f>
        <v>211.19616</v>
      </c>
    </row>
    <row r="4331" customFormat="false" ht="15" hidden="false" customHeight="false" outlineLevel="0" collapsed="false">
      <c r="A4331" s="4" t="s">
        <v>452</v>
      </c>
      <c r="B4331" s="36" t="s">
        <v>450</v>
      </c>
      <c r="C4331" s="34" t="n">
        <f aca="false">'Market Sizing'!$E$17*Assumptions!$E$10*Assumptions!$E$11*(1-Assumptions!$E$12)</f>
        <v>49.53984</v>
      </c>
    </row>
    <row r="4332" customFormat="false" ht="15" hidden="false" customHeight="false" outlineLevel="0" collapsed="false">
      <c r="A4332" s="4" t="s">
        <v>453</v>
      </c>
      <c r="B4332" s="36"/>
      <c r="C4332" s="34" t="n">
        <f aca="false">$C$4329+$C$4330+$C$4331</f>
        <v>1103.77544704</v>
      </c>
    </row>
    <row r="4333" customFormat="false" ht="15" hidden="false" customHeight="false" outlineLevel="0" collapsed="false">
      <c r="A4333" s="4" t="s">
        <v>454</v>
      </c>
      <c r="B4333" s="36" t="s">
        <v>450</v>
      </c>
      <c r="C4333" s="34" t="n">
        <f aca="false">'Market Sizing'!$C$18*Assumptions!$E$10*Assumptions!$E$11*(1-Assumptions!$E$12)</f>
        <v>612.57706944</v>
      </c>
    </row>
    <row r="4334" customFormat="false" ht="15" hidden="false" customHeight="false" outlineLevel="0" collapsed="false">
      <c r="A4334" s="4" t="s">
        <v>455</v>
      </c>
      <c r="B4334" s="36" t="s">
        <v>450</v>
      </c>
      <c r="C4334" s="34" t="n">
        <f aca="false">'Market Sizing'!$D$18*Assumptions!$E$10*Assumptions!$E$11*(1-Assumptions!$E$12)</f>
        <v>142.10112</v>
      </c>
    </row>
    <row r="4335" customFormat="false" ht="15" hidden="false" customHeight="false" outlineLevel="0" collapsed="false">
      <c r="A4335" s="4" t="s">
        <v>456</v>
      </c>
      <c r="B4335" s="36" t="s">
        <v>450</v>
      </c>
      <c r="C4335" s="34" t="n">
        <f aca="false">'Market Sizing'!$E$18*Assumptions!$E$10*Assumptions!$E$11*(1-Assumptions!$E$12)</f>
        <v>24.76992</v>
      </c>
    </row>
    <row r="4336" customFormat="false" ht="15" hidden="false" customHeight="false" outlineLevel="0" collapsed="false">
      <c r="A4336" s="4" t="s">
        <v>457</v>
      </c>
      <c r="B4336" s="36"/>
      <c r="C4336" s="34" t="n">
        <f aca="false">$C$4333+$C$4334+$C$4335</f>
        <v>779.44810944</v>
      </c>
    </row>
    <row r="4337" customFormat="false" ht="15" hidden="false" customHeight="false" outlineLevel="0" collapsed="false">
      <c r="A4337" s="4" t="s">
        <v>458</v>
      </c>
      <c r="B4337" s="36" t="s">
        <v>450</v>
      </c>
      <c r="C4337" s="34" t="n">
        <f aca="false">'Market Sizing'!$C$19*Assumptions!$E$10*Assumptions!$E$11*(1-Assumptions!$E$12)</f>
        <v>2060.77303936</v>
      </c>
    </row>
    <row r="4338" customFormat="false" ht="15" hidden="false" customHeight="false" outlineLevel="0" collapsed="false">
      <c r="A4338" s="4" t="s">
        <v>459</v>
      </c>
      <c r="B4338" s="36" t="s">
        <v>450</v>
      </c>
      <c r="C4338" s="34" t="n">
        <f aca="false">'Market Sizing'!$D$19*Assumptions!$E$10*Assumptions!$E$11*(1-Assumptions!$E$12)</f>
        <v>428.47616</v>
      </c>
    </row>
    <row r="4339" customFormat="false" ht="15" hidden="false" customHeight="false" outlineLevel="0" collapsed="false">
      <c r="A4339" s="4" t="s">
        <v>460</v>
      </c>
      <c r="B4339" s="36" t="s">
        <v>450</v>
      </c>
      <c r="C4339" s="34" t="n">
        <f aca="false">'Market Sizing'!$E$19*Assumptions!$E$10*Assumptions!$E$11*(1-Assumptions!$E$12)</f>
        <v>79.52448</v>
      </c>
    </row>
    <row r="4340" customFormat="false" ht="15" hidden="false" customHeight="false" outlineLevel="0" collapsed="false">
      <c r="A4340" s="4" t="s">
        <v>461</v>
      </c>
      <c r="B4340" s="36"/>
      <c r="C4340" s="34" t="n">
        <f aca="false">$C$4337+$C$4338+$C$4339</f>
        <v>2568.77367936</v>
      </c>
    </row>
    <row r="4341" customFormat="false" ht="15" hidden="false" customHeight="false" outlineLevel="0" collapsed="false">
      <c r="A4341" s="4" t="s">
        <v>462</v>
      </c>
      <c r="B4341" s="36" t="s">
        <v>463</v>
      </c>
      <c r="C4341" s="33" t="n">
        <f aca="false">MAX((Assumptions!$E$51+Assumptions!$E$53)*12,(((('Market Sizing'!$E$25*Assumptions!$E$41*Assumptions!$E$42*Assumptions!$E$43)*Assumptions!$E$44)*Assumptions!$E$45*Assumptions!$E$46+('Market Sizing'!$E$25*Assumptions!$E$41*Assumptions!$E$42*Assumptions!$E$43)*Assumptions!$E$47+('Market Sizing'!$E$25*Assumptions!$E$41*Assumptions!$E$42*Assumptions!$E$43)*Assumptions!$E$48*Assumptions!$E$49)*(Assumptions!$E$51*12/Assumptions!$E$52)+((('Market Sizing'!$E$25*Assumptions!$E$41*Assumptions!$E$42*Assumptions!$E$43)*Assumptions!$E$44)*Assumptions!$E$45+('Market Sizing'!$E$25*Assumptions!$E$41*Assumptions!$E$42*Assumptions!$E$43)+('Market Sizing'!$E$25*Assumptions!$E$41*Assumptions!$E$42*Assumptions!$E$43)*Assumptions!$E$48)*Assumptions!$E$50*(Assumptions!$E$53*12/Assumptions!$E$54)))</f>
        <v>5352</v>
      </c>
    </row>
    <row r="4342" customFormat="false" ht="15" hidden="false" customHeight="false" outlineLevel="0" collapsed="false">
      <c r="A4342" s="4" t="s">
        <v>464</v>
      </c>
      <c r="B4342" s="36" t="s">
        <v>463</v>
      </c>
      <c r="C4342" s="33" t="n">
        <f aca="false">MAX((Assumptions!$E$51+Assumptions!$E$53)*12,(((('Market Sizing'!$E$26*Assumptions!$E$41*Assumptions!$E$42*Assumptions!$E$43)*Assumptions!$E$44)*Assumptions!$E$45*Assumptions!$E$46+('Market Sizing'!$E$26*Assumptions!$E$41*Assumptions!$E$42*Assumptions!$E$43)*Assumptions!$E$47+('Market Sizing'!$E$26*Assumptions!$E$41*Assumptions!$E$42*Assumptions!$E$43)*Assumptions!$E$48*Assumptions!$E$49)*(Assumptions!$E$51*12/Assumptions!$E$52)+((('Market Sizing'!$E$26*Assumptions!$E$41*Assumptions!$E$42*Assumptions!$E$43)*Assumptions!$E$44)*Assumptions!$E$45+('Market Sizing'!$E$26*Assumptions!$E$41*Assumptions!$E$42*Assumptions!$E$43)+('Market Sizing'!$E$26*Assumptions!$E$41*Assumptions!$E$42*Assumptions!$E$43)*Assumptions!$E$48)*Assumptions!$E$50*(Assumptions!$E$53*12/Assumptions!$E$54)))</f>
        <v>9766.72012875208</v>
      </c>
    </row>
    <row r="4343" customFormat="false" ht="15" hidden="false" customHeight="false" outlineLevel="0" collapsed="false">
      <c r="A4343" s="4" t="s">
        <v>465</v>
      </c>
      <c r="B4343" s="36" t="s">
        <v>463</v>
      </c>
      <c r="C4343" s="33" t="n">
        <f aca="false">MAX(Assumptions!$E$55*(Assumptions!$E$51*12/Assumptions!$E$52)+Assumptions!$E$56*(Assumptions!$E$53*12/Assumptions!$E$54),(((('Market Sizing'!$E$27*Assumptions!$E$41*Assumptions!$E$42*Assumptions!$E$43)*Assumptions!$E$44)*Assumptions!$E$45*Assumptions!$E$46+('Market Sizing'!$E$27*Assumptions!$E$41*Assumptions!$E$42*Assumptions!$E$43)*Assumptions!$E$47+('Market Sizing'!$E$27*Assumptions!$E$41*Assumptions!$E$42*Assumptions!$E$43)*Assumptions!$E$48*Assumptions!$E$49)*(Assumptions!$E$51*12/Assumptions!$E$52)+((('Market Sizing'!$E$27*Assumptions!$E$41*Assumptions!$E$42*Assumptions!$E$43)*Assumptions!$E$44)*Assumptions!$E$45+('Market Sizing'!$E$27*Assumptions!$E$41*Assumptions!$E$42*Assumptions!$E$43)+('Market Sizing'!$E$27*Assumptions!$E$41*Assumptions!$E$42*Assumptions!$E$43)*Assumptions!$E$48)*Assumptions!$E$50*(Assumptions!$E$53*12/Assumptions!$E$54)))*(1-Assumptions!$E$57)</f>
        <v>61778.2562194386</v>
      </c>
    </row>
    <row r="4344" customFormat="false" ht="23.85" hidden="false" customHeight="false" outlineLevel="0" collapsed="false">
      <c r="A4344" s="4" t="s">
        <v>466</v>
      </c>
      <c r="B4344" s="36" t="s">
        <v>467</v>
      </c>
      <c r="C4344" s="37" t="n">
        <f aca="false">Assumptions!$E$17*Assumptions!$D$106</f>
        <v>0.4</v>
      </c>
    </row>
    <row r="4345" customFormat="false" ht="23.85" hidden="false" customHeight="false" outlineLevel="0" collapsed="false">
      <c r="A4345" s="4" t="s">
        <v>468</v>
      </c>
      <c r="B4345" s="36" t="s">
        <v>469</v>
      </c>
      <c r="C4345" s="33" t="n">
        <f aca="false">Assumptions!$E$68/Assumptions!$E$69</f>
        <v>285714.285714286</v>
      </c>
    </row>
    <row r="4346" customFormat="false" ht="23.85" hidden="false" customHeight="false" outlineLevel="0" collapsed="false">
      <c r="A4346" s="4" t="s">
        <v>470</v>
      </c>
      <c r="B4346" s="36" t="s">
        <v>471</v>
      </c>
      <c r="C4346" s="33" t="n">
        <f aca="false">Assumptions!$E$66*Assumptions!$E$67/4</f>
        <v>153125</v>
      </c>
    </row>
    <row r="4347" customFormat="false" ht="15" hidden="false" customHeight="false" outlineLevel="0" collapsed="false">
      <c r="A4347" s="4" t="s">
        <v>472</v>
      </c>
      <c r="B4347" s="36"/>
      <c r="C4347" s="38" t="n">
        <f aca="false">$C$4345/Assumptions!$E$66/Assumptions!$E$67</f>
        <v>0.466472303206997</v>
      </c>
    </row>
    <row r="4348" customFormat="false" ht="15" hidden="false" customHeight="false" outlineLevel="0" collapsed="false">
      <c r="A4348" s="4" t="s">
        <v>473</v>
      </c>
      <c r="B4348" s="36"/>
      <c r="C4348" s="33" t="n">
        <f aca="false">MAX(0,Assumptions!$D$103-Assumptions!$E$78)</f>
        <v>0</v>
      </c>
    </row>
    <row r="4349" customFormat="false" ht="15" hidden="false" customHeight="false" outlineLevel="0" collapsed="false">
      <c r="A4349" s="35" t="s">
        <v>474</v>
      </c>
      <c r="B4349" s="35" t="s">
        <v>444</v>
      </c>
      <c r="C4349" s="6" t="s">
        <v>354</v>
      </c>
      <c r="D4349" s="6" t="s">
        <v>355</v>
      </c>
      <c r="E4349" s="6" t="s">
        <v>356</v>
      </c>
      <c r="F4349" s="6" t="s">
        <v>357</v>
      </c>
      <c r="G4349" s="6" t="s">
        <v>358</v>
      </c>
      <c r="H4349" s="6" t="s">
        <v>359</v>
      </c>
      <c r="I4349" s="6" t="s">
        <v>360</v>
      </c>
      <c r="J4349" s="6" t="s">
        <v>361</v>
      </c>
      <c r="K4349" s="6" t="s">
        <v>362</v>
      </c>
      <c r="L4349" s="6" t="s">
        <v>363</v>
      </c>
      <c r="M4349" s="6" t="s">
        <v>364</v>
      </c>
      <c r="N4349" s="6" t="s">
        <v>365</v>
      </c>
      <c r="P4349" s="6" t="s">
        <v>445</v>
      </c>
      <c r="Q4349" s="6" t="s">
        <v>446</v>
      </c>
      <c r="R4349" s="6" t="s">
        <v>447</v>
      </c>
      <c r="S4349" s="6" t="s">
        <v>448</v>
      </c>
    </row>
    <row r="4350" customFormat="false" ht="15" hidden="false" customHeight="false" outlineLevel="0" collapsed="false">
      <c r="A4350" s="4" t="s">
        <v>475</v>
      </c>
      <c r="B4350" s="36" t="s">
        <v>133</v>
      </c>
      <c r="C4350" s="39" t="n">
        <v>1</v>
      </c>
      <c r="D4350" s="39" t="n">
        <v>2</v>
      </c>
      <c r="E4350" s="39" t="n">
        <v>3</v>
      </c>
      <c r="F4350" s="39" t="n">
        <v>4</v>
      </c>
      <c r="G4350" s="39" t="n">
        <v>5</v>
      </c>
      <c r="H4350" s="39" t="n">
        <v>6</v>
      </c>
      <c r="I4350" s="39" t="n">
        <v>7</v>
      </c>
      <c r="J4350" s="39" t="n">
        <v>8</v>
      </c>
      <c r="K4350" s="39" t="n">
        <v>9</v>
      </c>
      <c r="L4350" s="39" t="n">
        <v>10</v>
      </c>
      <c r="M4350" s="39" t="n">
        <v>11</v>
      </c>
      <c r="N4350" s="39" t="n">
        <v>12</v>
      </c>
      <c r="P4350" s="40"/>
      <c r="Q4350" s="40"/>
      <c r="R4350" s="40"/>
      <c r="S4350" s="41"/>
    </row>
    <row r="4351" customFormat="false" ht="15" hidden="false" customHeight="false" outlineLevel="0" collapsed="false">
      <c r="A4351" s="4" t="s">
        <v>476</v>
      </c>
      <c r="B4351" s="36" t="s">
        <v>343</v>
      </c>
      <c r="C4351" s="39" t="n">
        <f aca="false">IF(C4350&lt;=Assumptions!$E$84,1,0)</f>
        <v>1</v>
      </c>
      <c r="D4351" s="39" t="n">
        <f aca="false">IF(D4350&lt;=Assumptions!$E$84,1,0)</f>
        <v>1</v>
      </c>
      <c r="E4351" s="39" t="n">
        <f aca="false">IF(E4350&lt;=Assumptions!$E$84,1,0)</f>
        <v>1</v>
      </c>
      <c r="F4351" s="39" t="n">
        <f aca="false">IF(F4350&lt;=Assumptions!$E$84,1,0)</f>
        <v>1</v>
      </c>
      <c r="G4351" s="39" t="n">
        <f aca="false">IF(G4350&lt;=Assumptions!$E$84,1,0)</f>
        <v>1</v>
      </c>
      <c r="H4351" s="39" t="n">
        <f aca="false">IF(H4350&lt;=Assumptions!$E$84,1,0)</f>
        <v>1</v>
      </c>
      <c r="I4351" s="39" t="n">
        <f aca="false">IF(I4350&lt;=Assumptions!$E$84,1,0)</f>
        <v>1</v>
      </c>
      <c r="J4351" s="39" t="n">
        <f aca="false">IF(J4350&lt;=Assumptions!$E$84,1,0)</f>
        <v>1</v>
      </c>
      <c r="K4351" s="39" t="n">
        <f aca="false">IF(K4350&lt;=Assumptions!$E$84,1,0)</f>
        <v>1</v>
      </c>
      <c r="L4351" s="39" t="n">
        <f aca="false">IF(L4350&lt;=Assumptions!$E$84,1,0)</f>
        <v>1</v>
      </c>
      <c r="M4351" s="39" t="n">
        <f aca="false">IF(M4350&lt;=Assumptions!$E$84,1,0)</f>
        <v>1</v>
      </c>
      <c r="N4351" s="39" t="n">
        <f aca="false">IF(N4350&lt;=Assumptions!$E$84,1,0)</f>
        <v>1</v>
      </c>
      <c r="P4351" s="40"/>
      <c r="Q4351" s="40"/>
      <c r="R4351" s="40"/>
      <c r="S4351" s="41"/>
    </row>
    <row r="4352" customFormat="false" ht="15" hidden="false" customHeight="false" outlineLevel="0" collapsed="false">
      <c r="A4352" s="4" t="s">
        <v>477</v>
      </c>
      <c r="B4352" s="36" t="s">
        <v>478</v>
      </c>
      <c r="C4352" s="42" t="n">
        <f aca="false">IF(C4350=Assumptions!$E$13,0.5,IF(C4350&gt;Assumptions!$E$13,1,0))</f>
        <v>0.5</v>
      </c>
      <c r="D4352" s="42" t="n">
        <f aca="false">IF(D4350=Assumptions!$E$13,0.5,IF(D4350&gt;Assumptions!$E$13,1,0))</f>
        <v>1</v>
      </c>
      <c r="E4352" s="42" t="n">
        <f aca="false">IF(E4350=Assumptions!$E$13,0.5,IF(E4350&gt;Assumptions!$E$13,1,0))</f>
        <v>1</v>
      </c>
      <c r="F4352" s="42" t="n">
        <f aca="false">IF(F4350=Assumptions!$E$13,0.5,IF(F4350&gt;Assumptions!$E$13,1,0))</f>
        <v>1</v>
      </c>
      <c r="G4352" s="42" t="n">
        <f aca="false">IF(G4350=Assumptions!$E$13,0.5,IF(G4350&gt;Assumptions!$E$13,1,0))</f>
        <v>1</v>
      </c>
      <c r="H4352" s="42" t="n">
        <f aca="false">IF(H4350=Assumptions!$E$13,0.5,IF(H4350&gt;Assumptions!$E$13,1,0))</f>
        <v>1</v>
      </c>
      <c r="I4352" s="42" t="n">
        <f aca="false">IF(I4350=Assumptions!$E$13,0.5,IF(I4350&gt;Assumptions!$E$13,1,0))</f>
        <v>1</v>
      </c>
      <c r="J4352" s="42" t="n">
        <f aca="false">IF(J4350=Assumptions!$E$13,0.5,IF(J4350&gt;Assumptions!$E$13,1,0))</f>
        <v>1</v>
      </c>
      <c r="K4352" s="42" t="n">
        <f aca="false">IF(K4350=Assumptions!$E$13,0.5,IF(K4350&gt;Assumptions!$E$13,1,0))</f>
        <v>1</v>
      </c>
      <c r="L4352" s="42" t="n">
        <f aca="false">IF(L4350=Assumptions!$E$13,0.5,IF(L4350&gt;Assumptions!$E$13,1,0))</f>
        <v>1</v>
      </c>
      <c r="M4352" s="42" t="n">
        <f aca="false">IF(M4350=Assumptions!$E$13,0.5,IF(M4350&gt;Assumptions!$E$13,1,0))</f>
        <v>1</v>
      </c>
      <c r="N4352" s="42" t="n">
        <f aca="false">IF(N4350=Assumptions!$E$13,0.5,IF(N4350&gt;Assumptions!$E$13,1,0))</f>
        <v>1</v>
      </c>
      <c r="P4352" s="43"/>
      <c r="Q4352" s="43"/>
      <c r="R4352" s="43"/>
      <c r="S4352" s="44"/>
    </row>
    <row r="4353" customFormat="false" ht="15" hidden="false" customHeight="false" outlineLevel="0" collapsed="false">
      <c r="A4353" s="4" t="s">
        <v>479</v>
      </c>
      <c r="B4353" s="36" t="s">
        <v>478</v>
      </c>
      <c r="C4353" s="42" t="n">
        <f aca="false">IF(C4350=Assumptions!$E$14,0.5,IF(C4350&gt;Assumptions!$E$14,1,0))</f>
        <v>0</v>
      </c>
      <c r="D4353" s="42" t="n">
        <f aca="false">IF(D4350=Assumptions!$E$14,0.5,IF(D4350&gt;Assumptions!$E$14,1,0))</f>
        <v>0</v>
      </c>
      <c r="E4353" s="42" t="n">
        <f aca="false">IF(E4350=Assumptions!$E$14,0.5,IF(E4350&gt;Assumptions!$E$14,1,0))</f>
        <v>0</v>
      </c>
      <c r="F4353" s="42" t="n">
        <f aca="false">IF(F4350=Assumptions!$E$14,0.5,IF(F4350&gt;Assumptions!$E$14,1,0))</f>
        <v>0</v>
      </c>
      <c r="G4353" s="42" t="n">
        <f aca="false">IF(G4350=Assumptions!$E$14,0.5,IF(G4350&gt;Assumptions!$E$14,1,0))</f>
        <v>0.5</v>
      </c>
      <c r="H4353" s="42" t="n">
        <f aca="false">IF(H4350=Assumptions!$E$14,0.5,IF(H4350&gt;Assumptions!$E$14,1,0))</f>
        <v>1</v>
      </c>
      <c r="I4353" s="42" t="n">
        <f aca="false">IF(I4350=Assumptions!$E$14,0.5,IF(I4350&gt;Assumptions!$E$14,1,0))</f>
        <v>1</v>
      </c>
      <c r="J4353" s="42" t="n">
        <f aca="false">IF(J4350=Assumptions!$E$14,0.5,IF(J4350&gt;Assumptions!$E$14,1,0))</f>
        <v>1</v>
      </c>
      <c r="K4353" s="42" t="n">
        <f aca="false">IF(K4350=Assumptions!$E$14,0.5,IF(K4350&gt;Assumptions!$E$14,1,0))</f>
        <v>1</v>
      </c>
      <c r="L4353" s="42" t="n">
        <f aca="false">IF(L4350=Assumptions!$E$14,0.5,IF(L4350&gt;Assumptions!$E$14,1,0))</f>
        <v>1</v>
      </c>
      <c r="M4353" s="42" t="n">
        <f aca="false">IF(M4350=Assumptions!$E$14,0.5,IF(M4350&gt;Assumptions!$E$14,1,0))</f>
        <v>1</v>
      </c>
      <c r="N4353" s="42" t="n">
        <f aca="false">IF(N4350=Assumptions!$E$14,0.5,IF(N4350&gt;Assumptions!$E$14,1,0))</f>
        <v>1</v>
      </c>
      <c r="P4353" s="43"/>
      <c r="Q4353" s="43"/>
      <c r="R4353" s="43"/>
      <c r="S4353" s="44"/>
    </row>
    <row r="4354" customFormat="false" ht="15" hidden="false" customHeight="false" outlineLevel="0" collapsed="false">
      <c r="A4354" s="4" t="s">
        <v>480</v>
      </c>
      <c r="B4354" s="36" t="s">
        <v>478</v>
      </c>
      <c r="C4354" s="42" t="n">
        <f aca="false">IF(C4350=Assumptions!$E$15,0.5,IF(C4350&gt;Assumptions!$E$15,1,0))</f>
        <v>0</v>
      </c>
      <c r="D4354" s="42" t="n">
        <f aca="false">IF(D4350=Assumptions!$E$15,0.5,IF(D4350&gt;Assumptions!$E$15,1,0))</f>
        <v>0</v>
      </c>
      <c r="E4354" s="42" t="n">
        <f aca="false">IF(E4350=Assumptions!$E$15,0.5,IF(E4350&gt;Assumptions!$E$15,1,0))</f>
        <v>0</v>
      </c>
      <c r="F4354" s="42" t="n">
        <f aca="false">IF(F4350=Assumptions!$E$15,0.5,IF(F4350&gt;Assumptions!$E$15,1,0))</f>
        <v>0</v>
      </c>
      <c r="G4354" s="42" t="n">
        <f aca="false">IF(G4350=Assumptions!$E$15,0.5,IF(G4350&gt;Assumptions!$E$15,1,0))</f>
        <v>0</v>
      </c>
      <c r="H4354" s="42" t="n">
        <f aca="false">IF(H4350=Assumptions!$E$15,0.5,IF(H4350&gt;Assumptions!$E$15,1,0))</f>
        <v>0</v>
      </c>
      <c r="I4354" s="42" t="n">
        <f aca="false">IF(I4350=Assumptions!$E$15,0.5,IF(I4350&gt;Assumptions!$E$15,1,0))</f>
        <v>0.5</v>
      </c>
      <c r="J4354" s="42" t="n">
        <f aca="false">IF(J4350=Assumptions!$E$15,0.5,IF(J4350&gt;Assumptions!$E$15,1,0))</f>
        <v>1</v>
      </c>
      <c r="K4354" s="42" t="n">
        <f aca="false">IF(K4350=Assumptions!$E$15,0.5,IF(K4350&gt;Assumptions!$E$15,1,0))</f>
        <v>1</v>
      </c>
      <c r="L4354" s="42" t="n">
        <f aca="false">IF(L4350=Assumptions!$E$15,0.5,IF(L4350&gt;Assumptions!$E$15,1,0))</f>
        <v>1</v>
      </c>
      <c r="M4354" s="42" t="n">
        <f aca="false">IF(M4350=Assumptions!$E$15,0.5,IF(M4350&gt;Assumptions!$E$15,1,0))</f>
        <v>1</v>
      </c>
      <c r="N4354" s="42" t="n">
        <f aca="false">IF(N4350=Assumptions!$E$15,0.5,IF(N4350&gt;Assumptions!$E$15,1,0))</f>
        <v>1</v>
      </c>
      <c r="P4354" s="43"/>
      <c r="Q4354" s="43"/>
      <c r="R4354" s="43"/>
      <c r="S4354" s="44"/>
    </row>
    <row r="4355" customFormat="false" ht="15" hidden="false" customHeight="false" outlineLevel="0" collapsed="false">
      <c r="A4355" s="4" t="s">
        <v>481</v>
      </c>
      <c r="B4355" s="36" t="s">
        <v>478</v>
      </c>
      <c r="C4355" s="45" t="n">
        <f aca="false">Assumptions!$E$21^(MAX(0,C4350-Assumptions!$E$13)/4)</f>
        <v>1</v>
      </c>
      <c r="D4355" s="45" t="n">
        <f aca="false">Assumptions!$E$21^(MAX(0,D4350-Assumptions!$E$13)/4)</f>
        <v>0.9306048591021</v>
      </c>
      <c r="E4355" s="45" t="n">
        <f aca="false">Assumptions!$E$21^(MAX(0,E4350-Assumptions!$E$13)/4)</f>
        <v>0.866025403784439</v>
      </c>
      <c r="F4355" s="45" t="n">
        <f aca="false">Assumptions!$E$21^(MAX(0,F4350-Assumptions!$E$13)/4)</f>
        <v>0.805927448867656</v>
      </c>
      <c r="G4355" s="45" t="n">
        <f aca="false">Assumptions!$E$21^(MAX(0,G4350-Assumptions!$E$13)/4)</f>
        <v>0.75</v>
      </c>
      <c r="H4355" s="45" t="n">
        <f aca="false">Assumptions!$E$21^(MAX(0,H4350-Assumptions!$E$13)/4)</f>
        <v>0.697953644326575</v>
      </c>
      <c r="I4355" s="45" t="n">
        <f aca="false">Assumptions!$E$21^(MAX(0,I4350-Assumptions!$E$13)/4)</f>
        <v>0.649519052838329</v>
      </c>
      <c r="J4355" s="45" t="n">
        <f aca="false">Assumptions!$E$21^(MAX(0,J4350-Assumptions!$E$13)/4)</f>
        <v>0.604445586650742</v>
      </c>
      <c r="K4355" s="45" t="n">
        <f aca="false">Assumptions!$E$21^(MAX(0,K4350-Assumptions!$E$13)/4)</f>
        <v>0.5625</v>
      </c>
      <c r="L4355" s="45" t="n">
        <f aca="false">Assumptions!$E$21^(MAX(0,L4350-Assumptions!$E$13)/4)</f>
        <v>0.523465233244931</v>
      </c>
      <c r="M4355" s="45" t="n">
        <f aca="false">Assumptions!$E$21^(MAX(0,M4350-Assumptions!$E$13)/4)</f>
        <v>0.487139289628747</v>
      </c>
      <c r="N4355" s="45" t="n">
        <f aca="false">Assumptions!$E$21^(MAX(0,N4350-Assumptions!$E$13)/4)</f>
        <v>0.453334189988057</v>
      </c>
      <c r="P4355" s="46"/>
      <c r="Q4355" s="46"/>
      <c r="R4355" s="46"/>
      <c r="S4355" s="47"/>
    </row>
    <row r="4356" customFormat="false" ht="15" hidden="false" customHeight="false" outlineLevel="0" collapsed="false">
      <c r="A4356" s="4" t="s">
        <v>482</v>
      </c>
      <c r="B4356" s="36" t="s">
        <v>478</v>
      </c>
      <c r="C4356" s="45" t="n">
        <f aca="false">Assumptions!$E$21^(MAX(0,C4350-Assumptions!$E$14)/4)</f>
        <v>1</v>
      </c>
      <c r="D4356" s="45" t="n">
        <f aca="false">Assumptions!$E$21^(MAX(0,D4350-Assumptions!$E$14)/4)</f>
        <v>1</v>
      </c>
      <c r="E4356" s="45" t="n">
        <f aca="false">Assumptions!$E$21^(MAX(0,E4350-Assumptions!$E$14)/4)</f>
        <v>1</v>
      </c>
      <c r="F4356" s="45" t="n">
        <f aca="false">Assumptions!$E$21^(MAX(0,F4350-Assumptions!$E$14)/4)</f>
        <v>1</v>
      </c>
      <c r="G4356" s="45" t="n">
        <f aca="false">Assumptions!$E$21^(MAX(0,G4350-Assumptions!$E$14)/4)</f>
        <v>1</v>
      </c>
      <c r="H4356" s="45" t="n">
        <f aca="false">Assumptions!$E$21^(MAX(0,H4350-Assumptions!$E$14)/4)</f>
        <v>0.9306048591021</v>
      </c>
      <c r="I4356" s="45" t="n">
        <f aca="false">Assumptions!$E$21^(MAX(0,I4350-Assumptions!$E$14)/4)</f>
        <v>0.866025403784439</v>
      </c>
      <c r="J4356" s="45" t="n">
        <f aca="false">Assumptions!$E$21^(MAX(0,J4350-Assumptions!$E$14)/4)</f>
        <v>0.805927448867656</v>
      </c>
      <c r="K4356" s="45" t="n">
        <f aca="false">Assumptions!$E$21^(MAX(0,K4350-Assumptions!$E$14)/4)</f>
        <v>0.75</v>
      </c>
      <c r="L4356" s="45" t="n">
        <f aca="false">Assumptions!$E$21^(MAX(0,L4350-Assumptions!$E$14)/4)</f>
        <v>0.697953644326575</v>
      </c>
      <c r="M4356" s="45" t="n">
        <f aca="false">Assumptions!$E$21^(MAX(0,M4350-Assumptions!$E$14)/4)</f>
        <v>0.649519052838329</v>
      </c>
      <c r="N4356" s="45" t="n">
        <f aca="false">Assumptions!$E$21^(MAX(0,N4350-Assumptions!$E$14)/4)</f>
        <v>0.604445586650742</v>
      </c>
      <c r="P4356" s="46"/>
      <c r="Q4356" s="46"/>
      <c r="R4356" s="46"/>
      <c r="S4356" s="47"/>
    </row>
    <row r="4357" customFormat="false" ht="15" hidden="false" customHeight="false" outlineLevel="0" collapsed="false">
      <c r="A4357" s="4" t="s">
        <v>483</v>
      </c>
      <c r="B4357" s="36" t="s">
        <v>478</v>
      </c>
      <c r="C4357" s="45" t="n">
        <f aca="false">Assumptions!$E$21^(MAX(0,C4350-Assumptions!$E$15)/4)</f>
        <v>1</v>
      </c>
      <c r="D4357" s="45" t="n">
        <f aca="false">Assumptions!$E$21^(MAX(0,D4350-Assumptions!$E$15)/4)</f>
        <v>1</v>
      </c>
      <c r="E4357" s="45" t="n">
        <f aca="false">Assumptions!$E$21^(MAX(0,E4350-Assumptions!$E$15)/4)</f>
        <v>1</v>
      </c>
      <c r="F4357" s="45" t="n">
        <f aca="false">Assumptions!$E$21^(MAX(0,F4350-Assumptions!$E$15)/4)</f>
        <v>1</v>
      </c>
      <c r="G4357" s="45" t="n">
        <f aca="false">Assumptions!$E$21^(MAX(0,G4350-Assumptions!$E$15)/4)</f>
        <v>1</v>
      </c>
      <c r="H4357" s="45" t="n">
        <f aca="false">Assumptions!$E$21^(MAX(0,H4350-Assumptions!$E$15)/4)</f>
        <v>1</v>
      </c>
      <c r="I4357" s="45" t="n">
        <f aca="false">Assumptions!$E$21^(MAX(0,I4350-Assumptions!$E$15)/4)</f>
        <v>1</v>
      </c>
      <c r="J4357" s="45" t="n">
        <f aca="false">Assumptions!$E$21^(MAX(0,J4350-Assumptions!$E$15)/4)</f>
        <v>0.9306048591021</v>
      </c>
      <c r="K4357" s="45" t="n">
        <f aca="false">Assumptions!$E$21^(MAX(0,K4350-Assumptions!$E$15)/4)</f>
        <v>0.866025403784439</v>
      </c>
      <c r="L4357" s="45" t="n">
        <f aca="false">Assumptions!$E$21^(MAX(0,L4350-Assumptions!$E$15)/4)</f>
        <v>0.805927448867656</v>
      </c>
      <c r="M4357" s="45" t="n">
        <f aca="false">Assumptions!$E$21^(MAX(0,M4350-Assumptions!$E$15)/4)</f>
        <v>0.75</v>
      </c>
      <c r="N4357" s="45" t="n">
        <f aca="false">Assumptions!$E$21^(MAX(0,N4350-Assumptions!$E$15)/4)</f>
        <v>0.697953644326575</v>
      </c>
      <c r="P4357" s="46"/>
      <c r="Q4357" s="46"/>
      <c r="R4357" s="46"/>
      <c r="S4357" s="47"/>
    </row>
    <row r="4358" customFormat="false" ht="15" hidden="false" customHeight="false" outlineLevel="0" collapsed="false">
      <c r="A4358" s="4" t="s">
        <v>484</v>
      </c>
      <c r="B4358" s="36" t="s">
        <v>485</v>
      </c>
      <c r="C4358" s="39" t="n">
        <f aca="false">$C$4329*C4352+$C$4333*C4353+$C$4337*C4354</f>
        <v>421.51972352</v>
      </c>
      <c r="D4358" s="39" t="n">
        <f aca="false">$C$4329*D4352+$C$4333*D4353+$C$4337*D4354</f>
        <v>843.03944704</v>
      </c>
      <c r="E4358" s="39" t="n">
        <f aca="false">$C$4329*E4352+$C$4333*E4353+$C$4337*E4354</f>
        <v>843.03944704</v>
      </c>
      <c r="F4358" s="39" t="n">
        <f aca="false">$C$4329*F4352+$C$4333*F4353+$C$4337*F4354</f>
        <v>843.03944704</v>
      </c>
      <c r="G4358" s="39" t="n">
        <f aca="false">$C$4329*G4352+$C$4333*G4353+$C$4337*G4354</f>
        <v>1149.32798176</v>
      </c>
      <c r="H4358" s="39" t="n">
        <f aca="false">$C$4329*H4352+$C$4333*H4353+$C$4337*H4354</f>
        <v>1455.61651648</v>
      </c>
      <c r="I4358" s="39" t="n">
        <f aca="false">$C$4329*I4352+$C$4333*I4353+$C$4337*I4354</f>
        <v>2486.00303616</v>
      </c>
      <c r="J4358" s="39" t="n">
        <f aca="false">$C$4329*J4352+$C$4333*J4353+$C$4337*J4354</f>
        <v>3516.38955584</v>
      </c>
      <c r="K4358" s="39" t="n">
        <f aca="false">$C$4329*K4352+$C$4333*K4353+$C$4337*K4354</f>
        <v>3516.38955584</v>
      </c>
      <c r="L4358" s="39" t="n">
        <f aca="false">$C$4329*L4352+$C$4333*L4353+$C$4337*L4354</f>
        <v>3516.38955584</v>
      </c>
      <c r="M4358" s="39" t="n">
        <f aca="false">$C$4329*M4352+$C$4333*M4353+$C$4337*M4354</f>
        <v>3516.38955584</v>
      </c>
      <c r="N4358" s="39" t="n">
        <f aca="false">$C$4329*N4352+$C$4333*N4353+$C$4337*N4354</f>
        <v>3516.38955584</v>
      </c>
      <c r="P4358" s="40" t="n">
        <f aca="false">F4358</f>
        <v>843.03944704</v>
      </c>
      <c r="Q4358" s="40" t="n">
        <f aca="false">J4358</f>
        <v>3516.38955584</v>
      </c>
      <c r="R4358" s="40" t="n">
        <f aca="false">N4358</f>
        <v>3516.38955584</v>
      </c>
      <c r="S4358" s="41" t="n">
        <f aca="false">R4358</f>
        <v>3516.38955584</v>
      </c>
    </row>
    <row r="4359" customFormat="false" ht="15" hidden="false" customHeight="false" outlineLevel="0" collapsed="false">
      <c r="A4359" s="4" t="s">
        <v>486</v>
      </c>
      <c r="B4359" s="36" t="s">
        <v>485</v>
      </c>
      <c r="C4359" s="39" t="n">
        <f aca="false">$C$4330*C4352+$C$4334*C4353+$C$4338*C4354</f>
        <v>105.59808</v>
      </c>
      <c r="D4359" s="39" t="n">
        <f aca="false">$C$4330*D4352+$C$4334*D4353+$C$4338*D4354</f>
        <v>211.19616</v>
      </c>
      <c r="E4359" s="39" t="n">
        <f aca="false">$C$4330*E4352+$C$4334*E4353+$C$4338*E4354</f>
        <v>211.19616</v>
      </c>
      <c r="F4359" s="39" t="n">
        <f aca="false">$C$4330*F4352+$C$4334*F4353+$C$4338*F4354</f>
        <v>211.19616</v>
      </c>
      <c r="G4359" s="39" t="n">
        <f aca="false">$C$4330*G4352+$C$4334*G4353+$C$4338*G4354</f>
        <v>282.24672</v>
      </c>
      <c r="H4359" s="39" t="n">
        <f aca="false">$C$4330*H4352+$C$4334*H4353+$C$4338*H4354</f>
        <v>353.29728</v>
      </c>
      <c r="I4359" s="39" t="n">
        <f aca="false">$C$4330*I4352+$C$4334*I4353+$C$4338*I4354</f>
        <v>567.53536</v>
      </c>
      <c r="J4359" s="39" t="n">
        <f aca="false">$C$4330*J4352+$C$4334*J4353+$C$4338*J4354</f>
        <v>781.77344</v>
      </c>
      <c r="K4359" s="39" t="n">
        <f aca="false">$C$4330*K4352+$C$4334*K4353+$C$4338*K4354</f>
        <v>781.77344</v>
      </c>
      <c r="L4359" s="39" t="n">
        <f aca="false">$C$4330*L4352+$C$4334*L4353+$C$4338*L4354</f>
        <v>781.77344</v>
      </c>
      <c r="M4359" s="39" t="n">
        <f aca="false">$C$4330*M4352+$C$4334*M4353+$C$4338*M4354</f>
        <v>781.77344</v>
      </c>
      <c r="N4359" s="39" t="n">
        <f aca="false">$C$4330*N4352+$C$4334*N4353+$C$4338*N4354</f>
        <v>781.77344</v>
      </c>
      <c r="P4359" s="40" t="n">
        <f aca="false">F4359</f>
        <v>211.19616</v>
      </c>
      <c r="Q4359" s="40" t="n">
        <f aca="false">J4359</f>
        <v>781.77344</v>
      </c>
      <c r="R4359" s="40" t="n">
        <f aca="false">N4359</f>
        <v>781.77344</v>
      </c>
      <c r="S4359" s="41" t="n">
        <f aca="false">R4359</f>
        <v>781.77344</v>
      </c>
    </row>
    <row r="4360" customFormat="false" ht="15" hidden="false" customHeight="false" outlineLevel="0" collapsed="false">
      <c r="A4360" s="4" t="s">
        <v>487</v>
      </c>
      <c r="B4360" s="36" t="s">
        <v>485</v>
      </c>
      <c r="C4360" s="39" t="n">
        <f aca="false">$C$4331*C4352+$C$4335*C4353+$C$4339*C4354</f>
        <v>24.76992</v>
      </c>
      <c r="D4360" s="39" t="n">
        <f aca="false">$C$4331*D4352+$C$4335*D4353+$C$4339*D4354</f>
        <v>49.53984</v>
      </c>
      <c r="E4360" s="39" t="n">
        <f aca="false">$C$4331*E4352+$C$4335*E4353+$C$4339*E4354</f>
        <v>49.53984</v>
      </c>
      <c r="F4360" s="39" t="n">
        <f aca="false">$C$4331*F4352+$C$4335*F4353+$C$4339*F4354</f>
        <v>49.53984</v>
      </c>
      <c r="G4360" s="39" t="n">
        <f aca="false">$C$4331*G4352+$C$4335*G4353+$C$4339*G4354</f>
        <v>61.9248</v>
      </c>
      <c r="H4360" s="39" t="n">
        <f aca="false">$C$4331*H4352+$C$4335*H4353+$C$4339*H4354</f>
        <v>74.30976</v>
      </c>
      <c r="I4360" s="39" t="n">
        <f aca="false">$C$4331*I4352+$C$4335*I4353+$C$4339*I4354</f>
        <v>114.072</v>
      </c>
      <c r="J4360" s="39" t="n">
        <f aca="false">$C$4331*J4352+$C$4335*J4353+$C$4339*J4354</f>
        <v>153.83424</v>
      </c>
      <c r="K4360" s="39" t="n">
        <f aca="false">$C$4331*K4352+$C$4335*K4353+$C$4339*K4354</f>
        <v>153.83424</v>
      </c>
      <c r="L4360" s="39" t="n">
        <f aca="false">$C$4331*L4352+$C$4335*L4353+$C$4339*L4354</f>
        <v>153.83424</v>
      </c>
      <c r="M4360" s="39" t="n">
        <f aca="false">$C$4331*M4352+$C$4335*M4353+$C$4339*M4354</f>
        <v>153.83424</v>
      </c>
      <c r="N4360" s="39" t="n">
        <f aca="false">$C$4331*N4352+$C$4335*N4353+$C$4339*N4354</f>
        <v>153.83424</v>
      </c>
      <c r="P4360" s="40" t="n">
        <f aca="false">F4360</f>
        <v>49.53984</v>
      </c>
      <c r="Q4360" s="40" t="n">
        <f aca="false">J4360</f>
        <v>153.83424</v>
      </c>
      <c r="R4360" s="40" t="n">
        <f aca="false">N4360</f>
        <v>153.83424</v>
      </c>
      <c r="S4360" s="41" t="n">
        <f aca="false">R4360</f>
        <v>153.83424</v>
      </c>
    </row>
    <row r="4361" customFormat="false" ht="15" hidden="false" customHeight="false" outlineLevel="0" collapsed="false">
      <c r="A4361" s="4" t="s">
        <v>488</v>
      </c>
      <c r="B4361" s="36" t="s">
        <v>485</v>
      </c>
      <c r="C4361" s="39" t="n">
        <f aca="false">C4358+C4359+C4360</f>
        <v>551.88772352</v>
      </c>
      <c r="D4361" s="39" t="n">
        <f aca="false">D4358+D4359+D4360</f>
        <v>1103.77544704</v>
      </c>
      <c r="E4361" s="39" t="n">
        <f aca="false">E4358+E4359+E4360</f>
        <v>1103.77544704</v>
      </c>
      <c r="F4361" s="39" t="n">
        <f aca="false">F4358+F4359+F4360</f>
        <v>1103.77544704</v>
      </c>
      <c r="G4361" s="39" t="n">
        <f aca="false">G4358+G4359+G4360</f>
        <v>1493.49950176</v>
      </c>
      <c r="H4361" s="39" t="n">
        <f aca="false">H4358+H4359+H4360</f>
        <v>1883.22355648</v>
      </c>
      <c r="I4361" s="39" t="n">
        <f aca="false">I4358+I4359+I4360</f>
        <v>3167.61039616</v>
      </c>
      <c r="J4361" s="39" t="n">
        <f aca="false">J4358+J4359+J4360</f>
        <v>4451.99723584</v>
      </c>
      <c r="K4361" s="39" t="n">
        <f aca="false">K4358+K4359+K4360</f>
        <v>4451.99723584</v>
      </c>
      <c r="L4361" s="39" t="n">
        <f aca="false">L4358+L4359+L4360</f>
        <v>4451.99723584</v>
      </c>
      <c r="M4361" s="39" t="n">
        <f aca="false">M4358+M4359+M4360</f>
        <v>4451.99723584</v>
      </c>
      <c r="N4361" s="39" t="n">
        <f aca="false">N4358+N4359+N4360</f>
        <v>4451.99723584</v>
      </c>
      <c r="P4361" s="40" t="n">
        <f aca="false">F4361</f>
        <v>1103.77544704</v>
      </c>
      <c r="Q4361" s="40" t="n">
        <f aca="false">J4361</f>
        <v>4451.99723584</v>
      </c>
      <c r="R4361" s="40" t="n">
        <f aca="false">N4361</f>
        <v>4451.99723584</v>
      </c>
      <c r="S4361" s="41" t="n">
        <f aca="false">R4361</f>
        <v>4451.99723584</v>
      </c>
    </row>
    <row r="4362" customFormat="false" ht="15" hidden="false" customHeight="false" outlineLevel="0" collapsed="false">
      <c r="A4362" s="4" t="s">
        <v>489</v>
      </c>
      <c r="B4362" s="36" t="s">
        <v>485</v>
      </c>
      <c r="C4362" s="39" t="n">
        <f aca="false">$C$4332*C4352*C4355+$C$4336*C4353*C4356+$C$4340*C4354*C4357</f>
        <v>551.88772352</v>
      </c>
      <c r="D4362" s="39" t="n">
        <f aca="false">$C$4332*D4352*D4355+$C$4336*D4353*D4356+$C$4340*D4354*D4357</f>
        <v>1027.17879437302</v>
      </c>
      <c r="E4362" s="39" t="n">
        <f aca="false">$C$4332*E4352*E4355+$C$4336*E4353*E4356+$C$4340*E4354*E4357</f>
        <v>955.897577210165</v>
      </c>
      <c r="F4362" s="39" t="n">
        <f aca="false">$C$4332*F4352*F4355+$C$4336*F4353*F4356+$C$4340*F4354*F4357</f>
        <v>889.562930155704</v>
      </c>
      <c r="G4362" s="39" t="n">
        <f aca="false">$C$4332*G4352*G4355+$C$4336*G4353*G4356+$C$4340*G4354*G4357</f>
        <v>1217.55564</v>
      </c>
      <c r="H4362" s="39" t="n">
        <f aca="false">$C$4332*H4352*H4355+$C$4336*H4353*H4356+$C$4340*H4354*H4357</f>
        <v>1495.74229384257</v>
      </c>
      <c r="I4362" s="39" t="n">
        <f aca="false">$C$4332*I4352*I4355+$C$4336*I4353*I4356+$C$4340*I4354*I4357</f>
        <v>2676.33188629442</v>
      </c>
      <c r="J4362" s="39" t="n">
        <f aca="false">$C$4332*J4352*J4355+$C$4336*J4353*J4356+$C$4340*J4354*J4357</f>
        <v>3685.86409192847</v>
      </c>
      <c r="K4362" s="39" t="n">
        <f aca="false">$C$4332*K4352*K4355+$C$4336*K4353*K4356+$C$4340*K4354*K4357</f>
        <v>3430.08303393858</v>
      </c>
      <c r="L4362" s="39" t="n">
        <f aca="false">$C$4332*L4352*L4355+$C$4336*L4353*L4356+$C$4340*L4354*L4357</f>
        <v>3192.05193850692</v>
      </c>
      <c r="M4362" s="39" t="n">
        <f aca="false">$C$4332*M4352*M4355+$C$4336*M4353*M4356+$C$4340*M4354*M4357</f>
        <v>2970.53904448081</v>
      </c>
      <c r="N4362" s="39" t="n">
        <f aca="false">$C$4332*N4352*N4355+$C$4336*N4353*N4356+$C$4340*N4354*N4357</f>
        <v>2764.39806894635</v>
      </c>
      <c r="P4362" s="40"/>
      <c r="Q4362" s="40"/>
      <c r="R4362" s="40"/>
      <c r="S4362" s="41"/>
    </row>
    <row r="4363" customFormat="false" ht="15" hidden="false" customHeight="false" outlineLevel="0" collapsed="false">
      <c r="A4363" s="4" t="s">
        <v>490</v>
      </c>
      <c r="B4363" s="36" t="s">
        <v>491</v>
      </c>
      <c r="C4363" s="48" t="n">
        <f aca="false">$C$4344*Assumptions!$E$20*C4351*C4362</f>
        <v>6.62265268224</v>
      </c>
      <c r="D4363" s="48" t="n">
        <f aca="false">$C$4344*Assumptions!$E$20*D4351*D4362</f>
        <v>12.3261455324762</v>
      </c>
      <c r="E4363" s="48" t="n">
        <f aca="false">$C$4344*Assumptions!$E$20*E4351*E4362</f>
        <v>11.470770926522</v>
      </c>
      <c r="F4363" s="48" t="n">
        <f aca="false">$C$4344*Assumptions!$E$20*F4351*F4362</f>
        <v>10.6747551618685</v>
      </c>
      <c r="G4363" s="48" t="n">
        <f aca="false">$C$4344*Assumptions!$E$20*G4351*G4362</f>
        <v>14.61066768</v>
      </c>
      <c r="H4363" s="48" t="n">
        <f aca="false">$C$4344*Assumptions!$E$20*H4351*H4362</f>
        <v>17.9489075261109</v>
      </c>
      <c r="I4363" s="48" t="n">
        <f aca="false">$C$4344*Assumptions!$E$20*I4351*I4362</f>
        <v>32.115982635533</v>
      </c>
      <c r="J4363" s="48" t="n">
        <f aca="false">$C$4344*Assumptions!$E$20*J4351*J4362</f>
        <v>44.2303691031417</v>
      </c>
      <c r="K4363" s="48" t="n">
        <f aca="false">$C$4344*Assumptions!$E$20*K4351*K4362</f>
        <v>41.160996407263</v>
      </c>
      <c r="L4363" s="48" t="n">
        <f aca="false">$C$4344*Assumptions!$E$20*L4351*L4362</f>
        <v>38.304623262083</v>
      </c>
      <c r="M4363" s="48" t="n">
        <f aca="false">$C$4344*Assumptions!$E$20*M4351*M4362</f>
        <v>35.6464685337698</v>
      </c>
      <c r="N4363" s="48" t="n">
        <f aca="false">$C$4344*Assumptions!$E$20*N4351*N4362</f>
        <v>33.1727768273562</v>
      </c>
      <c r="P4363" s="49" t="n">
        <f aca="false">SUM(C4363:F4363)</f>
        <v>41.0943243031066</v>
      </c>
      <c r="Q4363" s="49" t="n">
        <f aca="false">SUM(G4363:J4363)</f>
        <v>108.905926944786</v>
      </c>
      <c r="R4363" s="49" t="n">
        <f aca="false">SUM(K4363:N4363)</f>
        <v>148.284865030472</v>
      </c>
      <c r="S4363" s="50" t="n">
        <f aca="false">SUM(P4363:R4363)</f>
        <v>298.285116278364</v>
      </c>
    </row>
    <row r="4364" customFormat="false" ht="15" hidden="false" customHeight="false" outlineLevel="0" collapsed="false">
      <c r="A4364" s="4" t="s">
        <v>492</v>
      </c>
      <c r="B4364" s="36" t="s">
        <v>321</v>
      </c>
      <c r="C4364" s="48" t="n">
        <f aca="false">Assumptions!$D$111</f>
        <v>0</v>
      </c>
      <c r="D4364" s="48" t="n">
        <f aca="false">Assumptions!$E$111</f>
        <v>0</v>
      </c>
      <c r="E4364" s="48" t="n">
        <f aca="false">Assumptions!$F$111</f>
        <v>0</v>
      </c>
      <c r="F4364" s="48" t="n">
        <f aca="false">Assumptions!$G$111</f>
        <v>0</v>
      </c>
      <c r="G4364" s="48" t="n">
        <f aca="false">Assumptions!$H$111</f>
        <v>0</v>
      </c>
      <c r="H4364" s="48" t="n">
        <f aca="false">Assumptions!$I$111</f>
        <v>0</v>
      </c>
      <c r="I4364" s="48" t="n">
        <f aca="false">Assumptions!$J$111</f>
        <v>0</v>
      </c>
      <c r="J4364" s="48" t="n">
        <f aca="false">Assumptions!$K$111</f>
        <v>0</v>
      </c>
      <c r="K4364" s="48" t="n">
        <f aca="false">Assumptions!$L$111</f>
        <v>0</v>
      </c>
      <c r="L4364" s="48" t="n">
        <f aca="false">Assumptions!$M$111</f>
        <v>0</v>
      </c>
      <c r="M4364" s="48" t="n">
        <f aca="false">Assumptions!$N$111</f>
        <v>0</v>
      </c>
      <c r="N4364" s="48" t="n">
        <f aca="false">Assumptions!$O$111</f>
        <v>0</v>
      </c>
      <c r="P4364" s="49" t="n">
        <f aca="false">F4364</f>
        <v>0</v>
      </c>
      <c r="Q4364" s="49" t="n">
        <f aca="false">J4364</f>
        <v>0</v>
      </c>
      <c r="R4364" s="49" t="n">
        <f aca="false">N4364</f>
        <v>0</v>
      </c>
      <c r="S4364" s="50" t="n">
        <f aca="false">R4364</f>
        <v>0</v>
      </c>
    </row>
    <row r="4365" customFormat="false" ht="15" hidden="false" customHeight="false" outlineLevel="0" collapsed="false">
      <c r="A4365" s="4" t="s">
        <v>493</v>
      </c>
      <c r="B4365" s="36" t="s">
        <v>321</v>
      </c>
      <c r="C4365" s="48" t="n">
        <f aca="false">0</f>
        <v>0</v>
      </c>
      <c r="D4365" s="48" t="n">
        <f aca="false">0.5*C4364</f>
        <v>0</v>
      </c>
      <c r="E4365" s="48" t="n">
        <f aca="false">C4364+0.5*(D4364-C4364)</f>
        <v>0</v>
      </c>
      <c r="F4365" s="48" t="n">
        <f aca="false">D4364+0.5*(E4364-D4364)</f>
        <v>0</v>
      </c>
      <c r="G4365" s="48" t="n">
        <f aca="false">E4364+0.5*(F4364-E4364)</f>
        <v>0</v>
      </c>
      <c r="H4365" s="48" t="n">
        <f aca="false">F4364+0.5*(G4364-F4364)</f>
        <v>0</v>
      </c>
      <c r="I4365" s="48" t="n">
        <f aca="false">G4364+0.5*(H4364-G4364)</f>
        <v>0</v>
      </c>
      <c r="J4365" s="48" t="n">
        <f aca="false">H4364+0.5*(I4364-H4364)</f>
        <v>0</v>
      </c>
      <c r="K4365" s="48" t="n">
        <f aca="false">I4364+0.5*(J4364-I4364)</f>
        <v>0</v>
      </c>
      <c r="L4365" s="48" t="n">
        <f aca="false">J4364+0.5*(K4364-J4364)</f>
        <v>0</v>
      </c>
      <c r="M4365" s="48" t="n">
        <f aca="false">K4364+0.5*(L4364-K4364)</f>
        <v>0</v>
      </c>
      <c r="N4365" s="48" t="n">
        <f aca="false">L4364+0.5*(M4364-L4364)</f>
        <v>0</v>
      </c>
      <c r="P4365" s="49" t="n">
        <f aca="false">F4365</f>
        <v>0</v>
      </c>
      <c r="Q4365" s="49" t="n">
        <f aca="false">J4365</f>
        <v>0</v>
      </c>
      <c r="R4365" s="49" t="n">
        <f aca="false">N4365</f>
        <v>0</v>
      </c>
      <c r="S4365" s="50" t="n">
        <f aca="false">R4365</f>
        <v>0</v>
      </c>
    </row>
    <row r="4366" customFormat="false" ht="15" hidden="false" customHeight="false" outlineLevel="0" collapsed="false">
      <c r="A4366" s="4" t="s">
        <v>494</v>
      </c>
      <c r="B4366" s="36" t="s">
        <v>485</v>
      </c>
      <c r="C4366" s="39" t="n">
        <f aca="false">MIN(C4365*Assumptions!$E$38,C4361*(1-$C$4344))</f>
        <v>0</v>
      </c>
      <c r="D4366" s="39" t="n">
        <f aca="false">MIN(D4365*Assumptions!$E$38,D4361*(1-$C$4344))</f>
        <v>0</v>
      </c>
      <c r="E4366" s="39" t="n">
        <f aca="false">MIN(E4365*Assumptions!$E$38,E4361*(1-$C$4344))</f>
        <v>0</v>
      </c>
      <c r="F4366" s="39" t="n">
        <f aca="false">MIN(F4365*Assumptions!$E$38,F4361*(1-$C$4344))</f>
        <v>0</v>
      </c>
      <c r="G4366" s="39" t="n">
        <f aca="false">MIN(G4365*Assumptions!$E$38,G4361*(1-$C$4344))</f>
        <v>0</v>
      </c>
      <c r="H4366" s="39" t="n">
        <f aca="false">MIN(H4365*Assumptions!$E$38,H4361*(1-$C$4344))</f>
        <v>0</v>
      </c>
      <c r="I4366" s="39" t="n">
        <f aca="false">MIN(I4365*Assumptions!$E$38,I4361*(1-$C$4344))</f>
        <v>0</v>
      </c>
      <c r="J4366" s="39" t="n">
        <f aca="false">MIN(J4365*Assumptions!$E$38,J4361*(1-$C$4344))</f>
        <v>0</v>
      </c>
      <c r="K4366" s="39" t="n">
        <f aca="false">MIN(K4365*Assumptions!$E$38,K4361*(1-$C$4344))</f>
        <v>0</v>
      </c>
      <c r="L4366" s="39" t="n">
        <f aca="false">MIN(L4365*Assumptions!$E$38,L4361*(1-$C$4344))</f>
        <v>0</v>
      </c>
      <c r="M4366" s="39" t="n">
        <f aca="false">MIN(M4365*Assumptions!$E$38,M4361*(1-$C$4344))</f>
        <v>0</v>
      </c>
      <c r="N4366" s="39" t="n">
        <f aca="false">MIN(N4365*Assumptions!$E$38,N4361*(1-$C$4344))</f>
        <v>0</v>
      </c>
      <c r="P4366" s="40" t="n">
        <f aca="false">SUM(C4366:F4366)</f>
        <v>0</v>
      </c>
      <c r="Q4366" s="40" t="n">
        <f aca="false">SUM(G4366:J4366)</f>
        <v>0</v>
      </c>
      <c r="R4366" s="40" t="n">
        <f aca="false">SUM(K4366:N4366)</f>
        <v>0</v>
      </c>
      <c r="S4366" s="41" t="n">
        <f aca="false">SUM(P4366:R4366)</f>
        <v>0</v>
      </c>
    </row>
    <row r="4367" customFormat="false" ht="15" hidden="false" customHeight="false" outlineLevel="0" collapsed="false">
      <c r="A4367" s="4" t="s">
        <v>495</v>
      </c>
      <c r="B4367" s="36" t="s">
        <v>491</v>
      </c>
      <c r="C4367" s="48" t="n">
        <f aca="false">C4366*Assumptions!$E$20*Assumptions!$E$39*IF(C4361&gt;0,C4362/C4361,0)*C4351</f>
        <v>0</v>
      </c>
      <c r="D4367" s="48" t="n">
        <f aca="false">D4366*Assumptions!$E$20*Assumptions!$E$39*IF(D4361&gt;0,D4362/D4361,0)*D4351</f>
        <v>0</v>
      </c>
      <c r="E4367" s="48" t="n">
        <f aca="false">E4366*Assumptions!$E$20*Assumptions!$E$39*IF(E4361&gt;0,E4362/E4361,0)*E4351</f>
        <v>0</v>
      </c>
      <c r="F4367" s="48" t="n">
        <f aca="false">F4366*Assumptions!$E$20*Assumptions!$E$39*IF(F4361&gt;0,F4362/F4361,0)*F4351</f>
        <v>0</v>
      </c>
      <c r="G4367" s="48" t="n">
        <f aca="false">G4366*Assumptions!$E$20*Assumptions!$E$39*IF(G4361&gt;0,G4362/G4361,0)*G4351</f>
        <v>0</v>
      </c>
      <c r="H4367" s="48" t="n">
        <f aca="false">H4366*Assumptions!$E$20*Assumptions!$E$39*IF(H4361&gt;0,H4362/H4361,0)*H4351</f>
        <v>0</v>
      </c>
      <c r="I4367" s="48" t="n">
        <f aca="false">I4366*Assumptions!$E$20*Assumptions!$E$39*IF(I4361&gt;0,I4362/I4361,0)*I4351</f>
        <v>0</v>
      </c>
      <c r="J4367" s="48" t="n">
        <f aca="false">J4366*Assumptions!$E$20*Assumptions!$E$39*IF(J4361&gt;0,J4362/J4361,0)*J4351</f>
        <v>0</v>
      </c>
      <c r="K4367" s="48" t="n">
        <f aca="false">K4366*Assumptions!$E$20*Assumptions!$E$39*IF(K4361&gt;0,K4362/K4361,0)*K4351</f>
        <v>0</v>
      </c>
      <c r="L4367" s="48" t="n">
        <f aca="false">L4366*Assumptions!$E$20*Assumptions!$E$39*IF(L4361&gt;0,L4362/L4361,0)*L4351</f>
        <v>0</v>
      </c>
      <c r="M4367" s="48" t="n">
        <f aca="false">M4366*Assumptions!$E$20*Assumptions!$E$39*IF(M4361&gt;0,M4362/M4361,0)*M4351</f>
        <v>0</v>
      </c>
      <c r="N4367" s="48" t="n">
        <f aca="false">N4366*Assumptions!$E$20*Assumptions!$E$39*IF(N4361&gt;0,N4362/N4361,0)*N4351</f>
        <v>0</v>
      </c>
      <c r="P4367" s="49" t="n">
        <f aca="false">SUM(C4367:F4367)</f>
        <v>0</v>
      </c>
      <c r="Q4367" s="49" t="n">
        <f aca="false">SUM(G4367:J4367)</f>
        <v>0</v>
      </c>
      <c r="R4367" s="49" t="n">
        <f aca="false">SUM(K4367:N4367)</f>
        <v>0</v>
      </c>
      <c r="S4367" s="50" t="n">
        <f aca="false">SUM(P4367:R4367)</f>
        <v>0</v>
      </c>
    </row>
    <row r="4368" customFormat="false" ht="15" hidden="false" customHeight="false" outlineLevel="0" collapsed="false">
      <c r="A4368" s="4" t="s">
        <v>496</v>
      </c>
      <c r="B4368" s="36" t="s">
        <v>497</v>
      </c>
      <c r="C4368" s="48" t="n">
        <f aca="false">IF(AND(C4361&gt;0,$C$4348&gt;0),C4361*Assumptions!$E$24*(1-EXP(-$C$4348/(Assumptions!$E$23*C4361*Assumptions!$E$24))),0)</f>
        <v>0</v>
      </c>
      <c r="D4368" s="48" t="n">
        <f aca="false">IF(AND(D4361&gt;0,$C$4348&gt;0),D4361*Assumptions!$E$24*(1-EXP(-$C$4348/(Assumptions!$E$23*D4361*Assumptions!$E$24))),0)</f>
        <v>0</v>
      </c>
      <c r="E4368" s="48" t="n">
        <f aca="false">IF(AND(E4361&gt;0,$C$4348&gt;0),E4361*Assumptions!$E$24*(1-EXP(-$C$4348/(Assumptions!$E$23*E4361*Assumptions!$E$24))),0)</f>
        <v>0</v>
      </c>
      <c r="F4368" s="48" t="n">
        <f aca="false">IF(AND(F4361&gt;0,$C$4348&gt;0),F4361*Assumptions!$E$24*(1-EXP(-$C$4348/(Assumptions!$E$23*F4361*Assumptions!$E$24))),0)</f>
        <v>0</v>
      </c>
      <c r="G4368" s="48" t="n">
        <f aca="false">IF(AND(G4361&gt;0,$C$4348&gt;0),G4361*Assumptions!$E$24*(1-EXP(-$C$4348/(Assumptions!$E$23*G4361*Assumptions!$E$24))),0)</f>
        <v>0</v>
      </c>
      <c r="H4368" s="48" t="n">
        <f aca="false">IF(AND(H4361&gt;0,$C$4348&gt;0),H4361*Assumptions!$E$24*(1-EXP(-$C$4348/(Assumptions!$E$23*H4361*Assumptions!$E$24))),0)</f>
        <v>0</v>
      </c>
      <c r="I4368" s="48" t="n">
        <f aca="false">IF(AND(I4361&gt;0,$C$4348&gt;0),I4361*Assumptions!$E$24*(1-EXP(-$C$4348/(Assumptions!$E$23*I4361*Assumptions!$E$24))),0)</f>
        <v>0</v>
      </c>
      <c r="J4368" s="48" t="n">
        <f aca="false">IF(AND(J4361&gt;0,$C$4348&gt;0),J4361*Assumptions!$E$24*(1-EXP(-$C$4348/(Assumptions!$E$23*J4361*Assumptions!$E$24))),0)</f>
        <v>0</v>
      </c>
      <c r="K4368" s="48" t="n">
        <f aca="false">IF(AND(K4361&gt;0,$C$4348&gt;0),K4361*Assumptions!$E$24*(1-EXP(-$C$4348/(Assumptions!$E$23*K4361*Assumptions!$E$24))),0)</f>
        <v>0</v>
      </c>
      <c r="L4368" s="48" t="n">
        <f aca="false">IF(AND(L4361&gt;0,$C$4348&gt;0),L4361*Assumptions!$E$24*(1-EXP(-$C$4348/(Assumptions!$E$23*L4361*Assumptions!$E$24))),0)</f>
        <v>0</v>
      </c>
      <c r="M4368" s="48" t="n">
        <f aca="false">IF(AND(M4361&gt;0,$C$4348&gt;0),M4361*Assumptions!$E$24*(1-EXP(-$C$4348/(Assumptions!$E$23*M4361*Assumptions!$E$24))),0)</f>
        <v>0</v>
      </c>
      <c r="N4368" s="48" t="n">
        <f aca="false">IF(AND(N4361&gt;0,$C$4348&gt;0),N4361*Assumptions!$E$24*(1-EXP(-$C$4348/(Assumptions!$E$23*N4361*Assumptions!$E$24))),0)</f>
        <v>0</v>
      </c>
      <c r="P4368" s="49" t="n">
        <f aca="false">SUM(C4368:F4368)</f>
        <v>0</v>
      </c>
      <c r="Q4368" s="49" t="n">
        <f aca="false">SUM(G4368:J4368)</f>
        <v>0</v>
      </c>
      <c r="R4368" s="49" t="n">
        <f aca="false">SUM(K4368:N4368)</f>
        <v>0</v>
      </c>
      <c r="S4368" s="50" t="n">
        <f aca="false">SUM(P4368:R4368)</f>
        <v>0</v>
      </c>
    </row>
    <row r="4369" customFormat="false" ht="15" hidden="false" customHeight="false" outlineLevel="0" collapsed="false">
      <c r="A4369" s="4" t="s">
        <v>498</v>
      </c>
      <c r="B4369" s="36" t="s">
        <v>497</v>
      </c>
      <c r="C4369" s="48" t="n">
        <f aca="false">(C4361*Assumptions!$E$22*MIN(1,Assumptions!$D$103/Assumptions!$E$78)+C4368)*C4351</f>
        <v>5.5188772352</v>
      </c>
      <c r="D4369" s="48" t="n">
        <f aca="false">(D4361*Assumptions!$E$22*MIN(1,Assumptions!$D$103/Assumptions!$E$78)+D4368)*D4351</f>
        <v>11.0377544704</v>
      </c>
      <c r="E4369" s="48" t="n">
        <f aca="false">(E4361*Assumptions!$E$22*MIN(1,Assumptions!$D$103/Assumptions!$E$78)+E4368)*E4351</f>
        <v>11.0377544704</v>
      </c>
      <c r="F4369" s="48" t="n">
        <f aca="false">(F4361*Assumptions!$E$22*MIN(1,Assumptions!$D$103/Assumptions!$E$78)+F4368)*F4351</f>
        <v>11.0377544704</v>
      </c>
      <c r="G4369" s="48" t="n">
        <f aca="false">(G4361*Assumptions!$E$22*MIN(1,Assumptions!$D$103/Assumptions!$E$78)+G4368)*G4351</f>
        <v>14.9349950176</v>
      </c>
      <c r="H4369" s="48" t="n">
        <f aca="false">(H4361*Assumptions!$E$22*MIN(1,Assumptions!$D$103/Assumptions!$E$78)+H4368)*H4351</f>
        <v>18.8322355648</v>
      </c>
      <c r="I4369" s="48" t="n">
        <f aca="false">(I4361*Assumptions!$E$22*MIN(1,Assumptions!$D$103/Assumptions!$E$78)+I4368)*I4351</f>
        <v>31.6761039616</v>
      </c>
      <c r="J4369" s="48" t="n">
        <f aca="false">(J4361*Assumptions!$E$22*MIN(1,Assumptions!$D$103/Assumptions!$E$78)+J4368)*J4351</f>
        <v>44.5199723584</v>
      </c>
      <c r="K4369" s="48" t="n">
        <f aca="false">(K4361*Assumptions!$E$22*MIN(1,Assumptions!$D$103/Assumptions!$E$78)+K4368)*K4351</f>
        <v>44.5199723584</v>
      </c>
      <c r="L4369" s="48" t="n">
        <f aca="false">(L4361*Assumptions!$E$22*MIN(1,Assumptions!$D$103/Assumptions!$E$78)+L4368)*L4351</f>
        <v>44.5199723584</v>
      </c>
      <c r="M4369" s="48" t="n">
        <f aca="false">(M4361*Assumptions!$E$22*MIN(1,Assumptions!$D$103/Assumptions!$E$78)+M4368)*M4351</f>
        <v>44.5199723584</v>
      </c>
      <c r="N4369" s="48" t="n">
        <f aca="false">(N4361*Assumptions!$E$22*MIN(1,Assumptions!$D$103/Assumptions!$E$78)+N4368)*N4351</f>
        <v>44.5199723584</v>
      </c>
      <c r="P4369" s="49" t="n">
        <f aca="false">SUM(C4369:F4369)</f>
        <v>38.6321406464</v>
      </c>
      <c r="Q4369" s="49" t="n">
        <f aca="false">SUM(G4369:J4369)</f>
        <v>109.9633069024</v>
      </c>
      <c r="R4369" s="49" t="n">
        <f aca="false">SUM(K4369:N4369)</f>
        <v>178.0798894336</v>
      </c>
      <c r="S4369" s="50" t="n">
        <f aca="false">SUM(P4369:R4369)</f>
        <v>326.6753369824</v>
      </c>
    </row>
    <row r="4370" customFormat="false" ht="15" hidden="false" customHeight="false" outlineLevel="0" collapsed="false">
      <c r="A4370" s="4" t="s">
        <v>499</v>
      </c>
      <c r="B4370" s="36" t="s">
        <v>500</v>
      </c>
      <c r="C4370" s="48" t="n">
        <f aca="false">C4351*MIN(Assumptions!$F$27,Assumptions!$F$25+Assumptions!$F$26*(C4350-1))*Assumptions!$D$107</f>
        <v>3</v>
      </c>
      <c r="D4370" s="48" t="n">
        <f aca="false">D4351*MIN(Assumptions!$F$27,Assumptions!$F$25+Assumptions!$F$26*(D4350-1))*Assumptions!$D$107</f>
        <v>5</v>
      </c>
      <c r="E4370" s="48" t="n">
        <f aca="false">E4351*MIN(Assumptions!$F$27,Assumptions!$F$25+Assumptions!$F$26*(E4350-1))*Assumptions!$D$107</f>
        <v>7</v>
      </c>
      <c r="F4370" s="48" t="n">
        <f aca="false">F4351*MIN(Assumptions!$F$27,Assumptions!$F$25+Assumptions!$F$26*(F4350-1))*Assumptions!$D$107</f>
        <v>9</v>
      </c>
      <c r="G4370" s="48" t="n">
        <f aca="false">G4351*MIN(Assumptions!$F$27,Assumptions!$F$25+Assumptions!$F$26*(G4350-1))*Assumptions!$D$107</f>
        <v>11</v>
      </c>
      <c r="H4370" s="48" t="n">
        <f aca="false">H4351*MIN(Assumptions!$F$27,Assumptions!$F$25+Assumptions!$F$26*(H4350-1))*Assumptions!$D$107</f>
        <v>13</v>
      </c>
      <c r="I4370" s="48" t="n">
        <f aca="false">I4351*MIN(Assumptions!$F$27,Assumptions!$F$25+Assumptions!$F$26*(I4350-1))*Assumptions!$D$107</f>
        <v>15</v>
      </c>
      <c r="J4370" s="48" t="n">
        <f aca="false">J4351*MIN(Assumptions!$F$27,Assumptions!$F$25+Assumptions!$F$26*(J4350-1))*Assumptions!$D$107</f>
        <v>15</v>
      </c>
      <c r="K4370" s="48" t="n">
        <f aca="false">K4351*MIN(Assumptions!$F$27,Assumptions!$F$25+Assumptions!$F$26*(K4350-1))*Assumptions!$D$107</f>
        <v>15</v>
      </c>
      <c r="L4370" s="48" t="n">
        <f aca="false">L4351*MIN(Assumptions!$F$27,Assumptions!$F$25+Assumptions!$F$26*(L4350-1))*Assumptions!$D$107</f>
        <v>15</v>
      </c>
      <c r="M4370" s="48" t="n">
        <f aca="false">M4351*MIN(Assumptions!$F$27,Assumptions!$F$25+Assumptions!$F$26*(M4350-1))*Assumptions!$D$107</f>
        <v>15</v>
      </c>
      <c r="N4370" s="48" t="n">
        <f aca="false">N4351*MIN(Assumptions!$F$27,Assumptions!$F$25+Assumptions!$F$26*(N4350-1))*Assumptions!$D$107</f>
        <v>15</v>
      </c>
      <c r="P4370" s="49" t="n">
        <f aca="false">F4370</f>
        <v>9</v>
      </c>
      <c r="Q4370" s="49" t="n">
        <f aca="false">J4370</f>
        <v>15</v>
      </c>
      <c r="R4370" s="49" t="n">
        <f aca="false">N4370</f>
        <v>15</v>
      </c>
      <c r="S4370" s="50" t="n">
        <f aca="false">R4370</f>
        <v>15</v>
      </c>
    </row>
    <row r="4371" customFormat="false" ht="15" hidden="false" customHeight="false" outlineLevel="0" collapsed="false">
      <c r="A4371" s="4" t="s">
        <v>501</v>
      </c>
      <c r="B4371" s="36" t="s">
        <v>502</v>
      </c>
      <c r="C4371" s="48" t="n">
        <f aca="false">C4370*Assumptions!$F$28</f>
        <v>12</v>
      </c>
      <c r="D4371" s="48" t="n">
        <f aca="false">D4370*Assumptions!$F$28</f>
        <v>20</v>
      </c>
      <c r="E4371" s="48" t="n">
        <f aca="false">E4370*Assumptions!$F$28</f>
        <v>28</v>
      </c>
      <c r="F4371" s="48" t="n">
        <f aca="false">F4370*Assumptions!$F$28</f>
        <v>36</v>
      </c>
      <c r="G4371" s="48" t="n">
        <f aca="false">G4370*Assumptions!$F$28</f>
        <v>44</v>
      </c>
      <c r="H4371" s="48" t="n">
        <f aca="false">H4370*Assumptions!$F$28</f>
        <v>52</v>
      </c>
      <c r="I4371" s="48" t="n">
        <f aca="false">I4370*Assumptions!$F$28</f>
        <v>60</v>
      </c>
      <c r="J4371" s="48" t="n">
        <f aca="false">J4370*Assumptions!$F$28</f>
        <v>60</v>
      </c>
      <c r="K4371" s="48" t="n">
        <f aca="false">K4370*Assumptions!$F$28</f>
        <v>60</v>
      </c>
      <c r="L4371" s="48" t="n">
        <f aca="false">L4370*Assumptions!$F$28</f>
        <v>60</v>
      </c>
      <c r="M4371" s="48" t="n">
        <f aca="false">M4370*Assumptions!$F$28</f>
        <v>60</v>
      </c>
      <c r="N4371" s="48" t="n">
        <f aca="false">N4370*Assumptions!$F$28</f>
        <v>60</v>
      </c>
      <c r="P4371" s="49" t="n">
        <f aca="false">SUM(C4371:F4371)</f>
        <v>96</v>
      </c>
      <c r="Q4371" s="49" t="n">
        <f aca="false">SUM(G4371:J4371)</f>
        <v>216</v>
      </c>
      <c r="R4371" s="49" t="n">
        <f aca="false">SUM(K4371:N4371)</f>
        <v>240</v>
      </c>
      <c r="S4371" s="50" t="n">
        <f aca="false">SUM(P4371:R4371)</f>
        <v>552</v>
      </c>
    </row>
    <row r="4372" customFormat="false" ht="15" hidden="false" customHeight="false" outlineLevel="0" collapsed="false">
      <c r="A4372" s="4" t="s">
        <v>503</v>
      </c>
      <c r="B4372" s="36" t="s">
        <v>504</v>
      </c>
      <c r="C4372" s="48" t="n">
        <f aca="false">(C4363+C4367)*Assumptions!$E$29</f>
        <v>2.649061072896</v>
      </c>
      <c r="D4372" s="48" t="n">
        <f aca="false">(D4363+D4367)*Assumptions!$E$29</f>
        <v>4.93045821299048</v>
      </c>
      <c r="E4372" s="48" t="n">
        <f aca="false">(E4363+E4367)*Assumptions!$E$29</f>
        <v>4.58830837060879</v>
      </c>
      <c r="F4372" s="48" t="n">
        <f aca="false">(F4363+F4367)*Assumptions!$E$29</f>
        <v>4.26990206474738</v>
      </c>
      <c r="G4372" s="48" t="n">
        <f aca="false">(G4363+G4367)*Assumptions!$E$29</f>
        <v>5.844267072</v>
      </c>
      <c r="H4372" s="48" t="n">
        <f aca="false">(H4363+H4367)*Assumptions!$E$29</f>
        <v>7.17956301044434</v>
      </c>
      <c r="I4372" s="48" t="n">
        <f aca="false">(I4363+I4367)*Assumptions!$E$29</f>
        <v>12.8463930542132</v>
      </c>
      <c r="J4372" s="48" t="n">
        <f aca="false">(J4363+J4367)*Assumptions!$E$29</f>
        <v>17.6921476412567</v>
      </c>
      <c r="K4372" s="48" t="n">
        <f aca="false">(K4363+K4367)*Assumptions!$E$29</f>
        <v>16.4643985629052</v>
      </c>
      <c r="L4372" s="48" t="n">
        <f aca="false">(L4363+L4367)*Assumptions!$E$29</f>
        <v>15.3218493048332</v>
      </c>
      <c r="M4372" s="48" t="n">
        <f aca="false">(M4363+M4367)*Assumptions!$E$29</f>
        <v>14.2585874135079</v>
      </c>
      <c r="N4372" s="48" t="n">
        <f aca="false">(N4363+N4367)*Assumptions!$E$29</f>
        <v>13.2691107309425</v>
      </c>
      <c r="P4372" s="49" t="n">
        <f aca="false">SUM(C4372:F4372)</f>
        <v>16.4377297212427</v>
      </c>
      <c r="Q4372" s="49" t="n">
        <f aca="false">SUM(G4372:J4372)</f>
        <v>43.5623707779142</v>
      </c>
      <c r="R4372" s="49" t="n">
        <f aca="false">SUM(K4372:N4372)</f>
        <v>59.3139460121888</v>
      </c>
      <c r="S4372" s="50" t="n">
        <f aca="false">SUM(P4372:R4372)</f>
        <v>119.314046511346</v>
      </c>
    </row>
    <row r="4373" customFormat="false" ht="15" hidden="false" customHeight="false" outlineLevel="0" collapsed="false">
      <c r="A4373" s="4" t="s">
        <v>505</v>
      </c>
      <c r="B4373" s="36" t="s">
        <v>504</v>
      </c>
      <c r="C4373" s="48" t="n">
        <f aca="false">C4369*Assumptions!$E$31</f>
        <v>0.883020357632</v>
      </c>
      <c r="D4373" s="48" t="n">
        <f aca="false">D4369*Assumptions!$E$31</f>
        <v>1.766040715264</v>
      </c>
      <c r="E4373" s="48" t="n">
        <f aca="false">E4369*Assumptions!$E$31</f>
        <v>1.766040715264</v>
      </c>
      <c r="F4373" s="48" t="n">
        <f aca="false">F4369*Assumptions!$E$31</f>
        <v>1.766040715264</v>
      </c>
      <c r="G4373" s="48" t="n">
        <f aca="false">G4369*Assumptions!$E$31</f>
        <v>2.389599202816</v>
      </c>
      <c r="H4373" s="48" t="n">
        <f aca="false">H4369*Assumptions!$E$31</f>
        <v>3.013157690368</v>
      </c>
      <c r="I4373" s="48" t="n">
        <f aca="false">I4369*Assumptions!$E$31</f>
        <v>5.068176633856</v>
      </c>
      <c r="J4373" s="48" t="n">
        <f aca="false">J4369*Assumptions!$E$31</f>
        <v>7.123195577344</v>
      </c>
      <c r="K4373" s="48" t="n">
        <f aca="false">K4369*Assumptions!$E$31</f>
        <v>7.123195577344</v>
      </c>
      <c r="L4373" s="48" t="n">
        <f aca="false">L4369*Assumptions!$E$31</f>
        <v>7.123195577344</v>
      </c>
      <c r="M4373" s="48" t="n">
        <f aca="false">M4369*Assumptions!$E$31</f>
        <v>7.123195577344</v>
      </c>
      <c r="N4373" s="48" t="n">
        <f aca="false">N4369*Assumptions!$E$31</f>
        <v>7.123195577344</v>
      </c>
      <c r="P4373" s="49" t="n">
        <f aca="false">SUM(C4373:F4373)</f>
        <v>6.181142503424</v>
      </c>
      <c r="Q4373" s="49" t="n">
        <f aca="false">SUM(G4373:J4373)</f>
        <v>17.594129104384</v>
      </c>
      <c r="R4373" s="49" t="n">
        <f aca="false">SUM(K4373:N4373)</f>
        <v>28.492782309376</v>
      </c>
      <c r="S4373" s="50" t="n">
        <f aca="false">SUM(P4373:R4373)</f>
        <v>52.268053917184</v>
      </c>
    </row>
    <row r="4374" customFormat="false" ht="15" hidden="false" customHeight="false" outlineLevel="0" collapsed="false">
      <c r="A4374" s="4" t="s">
        <v>506</v>
      </c>
      <c r="B4374" s="36" t="s">
        <v>504</v>
      </c>
      <c r="C4374" s="48" t="n">
        <f aca="false">C4371*Assumptions!$E$30</f>
        <v>6</v>
      </c>
      <c r="D4374" s="48" t="n">
        <f aca="false">D4371*Assumptions!$E$30</f>
        <v>10</v>
      </c>
      <c r="E4374" s="48" t="n">
        <f aca="false">E4371*Assumptions!$E$30</f>
        <v>14</v>
      </c>
      <c r="F4374" s="48" t="n">
        <f aca="false">F4371*Assumptions!$E$30</f>
        <v>18</v>
      </c>
      <c r="G4374" s="48" t="n">
        <f aca="false">G4371*Assumptions!$E$30</f>
        <v>22</v>
      </c>
      <c r="H4374" s="48" t="n">
        <f aca="false">H4371*Assumptions!$E$30</f>
        <v>26</v>
      </c>
      <c r="I4374" s="48" t="n">
        <f aca="false">I4371*Assumptions!$E$30</f>
        <v>30</v>
      </c>
      <c r="J4374" s="48" t="n">
        <f aca="false">J4371*Assumptions!$E$30</f>
        <v>30</v>
      </c>
      <c r="K4374" s="48" t="n">
        <f aca="false">K4371*Assumptions!$E$30</f>
        <v>30</v>
      </c>
      <c r="L4374" s="48" t="n">
        <f aca="false">L4371*Assumptions!$E$30</f>
        <v>30</v>
      </c>
      <c r="M4374" s="48" t="n">
        <f aca="false">M4371*Assumptions!$E$30</f>
        <v>30</v>
      </c>
      <c r="N4374" s="48" t="n">
        <f aca="false">N4371*Assumptions!$E$30</f>
        <v>30</v>
      </c>
      <c r="P4374" s="49" t="n">
        <f aca="false">SUM(C4374:F4374)</f>
        <v>48</v>
      </c>
      <c r="Q4374" s="49" t="n">
        <f aca="false">SUM(G4374:J4374)</f>
        <v>108</v>
      </c>
      <c r="R4374" s="49" t="n">
        <f aca="false">SUM(K4374:N4374)</f>
        <v>120</v>
      </c>
      <c r="S4374" s="50" t="n">
        <f aca="false">SUM(P4374:R4374)</f>
        <v>276</v>
      </c>
    </row>
    <row r="4375" customFormat="false" ht="15" hidden="false" customHeight="false" outlineLevel="0" collapsed="false">
      <c r="A4375" s="9" t="s">
        <v>507</v>
      </c>
      <c r="B4375" s="36" t="s">
        <v>504</v>
      </c>
      <c r="C4375" s="49" t="n">
        <f aca="false">C4372+C4373+C4374</f>
        <v>9.532081430528</v>
      </c>
      <c r="D4375" s="49" t="n">
        <f aca="false">D4372+D4373+D4374</f>
        <v>16.6964989282545</v>
      </c>
      <c r="E4375" s="49" t="n">
        <f aca="false">E4372+E4373+E4374</f>
        <v>20.3543490858728</v>
      </c>
      <c r="F4375" s="49" t="n">
        <f aca="false">F4372+F4373+F4374</f>
        <v>24.0359427800114</v>
      </c>
      <c r="G4375" s="49" t="n">
        <f aca="false">G4372+G4373+G4374</f>
        <v>30.233866274816</v>
      </c>
      <c r="H4375" s="49" t="n">
        <f aca="false">H4372+H4373+H4374</f>
        <v>36.1927207008123</v>
      </c>
      <c r="I4375" s="49" t="n">
        <f aca="false">I4372+I4373+I4374</f>
        <v>47.9145696880692</v>
      </c>
      <c r="J4375" s="49" t="n">
        <f aca="false">J4372+J4373+J4374</f>
        <v>54.8153432186007</v>
      </c>
      <c r="K4375" s="49" t="n">
        <f aca="false">K4372+K4373+K4374</f>
        <v>53.5875941402492</v>
      </c>
      <c r="L4375" s="49" t="n">
        <f aca="false">L4372+L4373+L4374</f>
        <v>52.4450448821772</v>
      </c>
      <c r="M4375" s="49" t="n">
        <f aca="false">M4372+M4373+M4374</f>
        <v>51.3817829908519</v>
      </c>
      <c r="N4375" s="49" t="n">
        <f aca="false">N4372+N4373+N4374</f>
        <v>50.3923063082865</v>
      </c>
      <c r="P4375" s="49" t="n">
        <f aca="false">SUM(C4375:F4375)</f>
        <v>70.6188722246667</v>
      </c>
      <c r="Q4375" s="49" t="n">
        <f aca="false">SUM(G4375:J4375)</f>
        <v>169.156499882298</v>
      </c>
      <c r="R4375" s="49" t="n">
        <f aca="false">SUM(K4375:N4375)</f>
        <v>207.806728321565</v>
      </c>
      <c r="S4375" s="50" t="n">
        <f aca="false">SUM(P4375:R4375)</f>
        <v>447.58210042853</v>
      </c>
    </row>
    <row r="4376" customFormat="false" ht="15" hidden="false" customHeight="false" outlineLevel="0" collapsed="false">
      <c r="A4376" s="4" t="s">
        <v>508</v>
      </c>
      <c r="B4376" s="36" t="s">
        <v>509</v>
      </c>
      <c r="C4376" s="48" t="n">
        <f aca="false">C4358</f>
        <v>421.51972352</v>
      </c>
      <c r="D4376" s="48" t="n">
        <f aca="false">D4358</f>
        <v>843.03944704</v>
      </c>
      <c r="E4376" s="48" t="n">
        <f aca="false">E4358</f>
        <v>843.03944704</v>
      </c>
      <c r="F4376" s="48" t="n">
        <f aca="false">F4358</f>
        <v>843.03944704</v>
      </c>
      <c r="G4376" s="48" t="n">
        <f aca="false">G4358</f>
        <v>1149.32798176</v>
      </c>
      <c r="H4376" s="48" t="n">
        <f aca="false">H4358</f>
        <v>1455.61651648</v>
      </c>
      <c r="I4376" s="48" t="n">
        <f aca="false">I4358</f>
        <v>2486.00303616</v>
      </c>
      <c r="J4376" s="48" t="n">
        <f aca="false">J4358</f>
        <v>3516.38955584</v>
      </c>
      <c r="K4376" s="48" t="n">
        <f aca="false">K4358</f>
        <v>3516.38955584</v>
      </c>
      <c r="L4376" s="48" t="n">
        <f aca="false">L4358</f>
        <v>3516.38955584</v>
      </c>
      <c r="M4376" s="48" t="n">
        <f aca="false">M4358</f>
        <v>3516.38955584</v>
      </c>
      <c r="N4376" s="48" t="n">
        <f aca="false">N4358</f>
        <v>3516.38955584</v>
      </c>
      <c r="P4376" s="49"/>
      <c r="Q4376" s="49"/>
      <c r="R4376" s="49"/>
      <c r="S4376" s="50"/>
    </row>
    <row r="4377" customFormat="false" ht="15" hidden="false" customHeight="false" outlineLevel="0" collapsed="false">
      <c r="A4377" s="4" t="s">
        <v>510</v>
      </c>
      <c r="B4377" s="36" t="s">
        <v>509</v>
      </c>
      <c r="C4377" s="48" t="n">
        <f aca="false">C4359*Assumptions!$E$18*Assumptions!$E$33</f>
        <v>211.19616</v>
      </c>
      <c r="D4377" s="48" t="n">
        <f aca="false">D4359*Assumptions!$E$18*Assumptions!$E$33</f>
        <v>422.39232</v>
      </c>
      <c r="E4377" s="48" t="n">
        <f aca="false">E4359*Assumptions!$E$18*Assumptions!$E$33</f>
        <v>422.39232</v>
      </c>
      <c r="F4377" s="48" t="n">
        <f aca="false">F4359*Assumptions!$E$18*Assumptions!$E$33</f>
        <v>422.39232</v>
      </c>
      <c r="G4377" s="48" t="n">
        <f aca="false">G4359*Assumptions!$E$18*Assumptions!$E$33</f>
        <v>564.49344</v>
      </c>
      <c r="H4377" s="48" t="n">
        <f aca="false">H4359*Assumptions!$E$18*Assumptions!$E$33</f>
        <v>706.59456</v>
      </c>
      <c r="I4377" s="48" t="n">
        <f aca="false">I4359*Assumptions!$E$18*Assumptions!$E$33</f>
        <v>1135.07072</v>
      </c>
      <c r="J4377" s="48" t="n">
        <f aca="false">J4359*Assumptions!$E$18*Assumptions!$E$33</f>
        <v>1563.54688</v>
      </c>
      <c r="K4377" s="48" t="n">
        <f aca="false">K4359*Assumptions!$E$18*Assumptions!$E$33</f>
        <v>1563.54688</v>
      </c>
      <c r="L4377" s="48" t="n">
        <f aca="false">L4359*Assumptions!$E$18*Assumptions!$E$33</f>
        <v>1563.54688</v>
      </c>
      <c r="M4377" s="48" t="n">
        <f aca="false">M4359*Assumptions!$E$18*Assumptions!$E$33</f>
        <v>1563.54688</v>
      </c>
      <c r="N4377" s="48" t="n">
        <f aca="false">N4359*Assumptions!$E$18*Assumptions!$E$33</f>
        <v>1563.54688</v>
      </c>
      <c r="P4377" s="49"/>
      <c r="Q4377" s="49"/>
      <c r="R4377" s="49"/>
      <c r="S4377" s="50"/>
    </row>
    <row r="4378" customFormat="false" ht="15" hidden="false" customHeight="false" outlineLevel="0" collapsed="false">
      <c r="A4378" s="4" t="s">
        <v>511</v>
      </c>
      <c r="B4378" s="36" t="s">
        <v>509</v>
      </c>
      <c r="C4378" s="48" t="n">
        <f aca="false">C4360*Assumptions!$E$19*Assumptions!$E$34</f>
        <v>34.677888</v>
      </c>
      <c r="D4378" s="48" t="n">
        <f aca="false">D4360*Assumptions!$E$19*Assumptions!$E$34</f>
        <v>69.355776</v>
      </c>
      <c r="E4378" s="48" t="n">
        <f aca="false">E4360*Assumptions!$E$19*Assumptions!$E$34</f>
        <v>69.355776</v>
      </c>
      <c r="F4378" s="48" t="n">
        <f aca="false">F4360*Assumptions!$E$19*Assumptions!$E$34</f>
        <v>69.355776</v>
      </c>
      <c r="G4378" s="48" t="n">
        <f aca="false">G4360*Assumptions!$E$19*Assumptions!$E$34</f>
        <v>86.69472</v>
      </c>
      <c r="H4378" s="48" t="n">
        <f aca="false">H4360*Assumptions!$E$19*Assumptions!$E$34</f>
        <v>104.033664</v>
      </c>
      <c r="I4378" s="48" t="n">
        <f aca="false">I4360*Assumptions!$E$19*Assumptions!$E$34</f>
        <v>159.7008</v>
      </c>
      <c r="J4378" s="48" t="n">
        <f aca="false">J4360*Assumptions!$E$19*Assumptions!$E$34</f>
        <v>215.367936</v>
      </c>
      <c r="K4378" s="48" t="n">
        <f aca="false">K4360*Assumptions!$E$19*Assumptions!$E$34</f>
        <v>215.367936</v>
      </c>
      <c r="L4378" s="48" t="n">
        <f aca="false">L4360*Assumptions!$E$19*Assumptions!$E$34</f>
        <v>215.367936</v>
      </c>
      <c r="M4378" s="48" t="n">
        <f aca="false">M4360*Assumptions!$E$19*Assumptions!$E$34</f>
        <v>215.367936</v>
      </c>
      <c r="N4378" s="48" t="n">
        <f aca="false">N4360*Assumptions!$E$19*Assumptions!$E$34</f>
        <v>215.367936</v>
      </c>
      <c r="P4378" s="49"/>
      <c r="Q4378" s="49"/>
      <c r="R4378" s="49"/>
      <c r="S4378" s="50"/>
    </row>
    <row r="4379" customFormat="false" ht="15" hidden="false" customHeight="false" outlineLevel="0" collapsed="false">
      <c r="A4379" s="4" t="s">
        <v>512</v>
      </c>
      <c r="B4379" s="36" t="s">
        <v>77</v>
      </c>
      <c r="C4379" s="51" t="n">
        <f aca="false">IFERROR(C4376/(C4376+C4377+C4378),0)</f>
        <v>0.631590736245533</v>
      </c>
      <c r="D4379" s="51" t="n">
        <f aca="false">IFERROR(D4376/(D4376+D4377+D4378),0)</f>
        <v>0.631590736245533</v>
      </c>
      <c r="E4379" s="51" t="n">
        <f aca="false">IFERROR(E4376/(E4376+E4377+E4378),0)</f>
        <v>0.631590736245533</v>
      </c>
      <c r="F4379" s="51" t="n">
        <f aca="false">IFERROR(F4376/(F4376+F4377+F4378),0)</f>
        <v>0.631590736245533</v>
      </c>
      <c r="G4379" s="51" t="n">
        <f aca="false">IFERROR(G4376/(G4376+G4377+G4378),0)</f>
        <v>0.638332506498128</v>
      </c>
      <c r="H4379" s="51" t="n">
        <f aca="false">IFERROR(H4376/(H4376+H4377+H4378),0)</f>
        <v>0.642303318118984</v>
      </c>
      <c r="I4379" s="51" t="n">
        <f aca="false">IFERROR(I4376/(I4376+I4377+I4378),0)</f>
        <v>0.657538025405288</v>
      </c>
      <c r="J4379" s="51" t="n">
        <f aca="false">IFERROR(J4376/(J4376+J4377+J4378),0)</f>
        <v>0.664058061428891</v>
      </c>
      <c r="K4379" s="51" t="n">
        <f aca="false">IFERROR(K4376/(K4376+K4377+K4378),0)</f>
        <v>0.664058061428891</v>
      </c>
      <c r="L4379" s="51" t="n">
        <f aca="false">IFERROR(L4376/(L4376+L4377+L4378),0)</f>
        <v>0.664058061428891</v>
      </c>
      <c r="M4379" s="51" t="n">
        <f aca="false">IFERROR(M4376/(M4376+M4377+M4378),0)</f>
        <v>0.664058061428891</v>
      </c>
      <c r="N4379" s="51" t="n">
        <f aca="false">IFERROR(N4376/(N4376+N4377+N4378),0)</f>
        <v>0.664058061428891</v>
      </c>
      <c r="P4379" s="52"/>
      <c r="Q4379" s="52"/>
      <c r="R4379" s="52"/>
      <c r="S4379" s="53"/>
    </row>
    <row r="4380" customFormat="false" ht="15" hidden="false" customHeight="false" outlineLevel="0" collapsed="false">
      <c r="A4380" s="4" t="s">
        <v>513</v>
      </c>
      <c r="B4380" s="36" t="s">
        <v>77</v>
      </c>
      <c r="C4380" s="51" t="n">
        <f aca="false">IFERROR(C4377/(C4376+C4377+C4378),0)</f>
        <v>0.316449102482628</v>
      </c>
      <c r="D4380" s="51" t="n">
        <f aca="false">IFERROR(D4377/(D4376+D4377+D4378),0)</f>
        <v>0.316449102482628</v>
      </c>
      <c r="E4380" s="51" t="n">
        <f aca="false">IFERROR(E4377/(E4376+E4377+E4378),0)</f>
        <v>0.316449102482628</v>
      </c>
      <c r="F4380" s="51" t="n">
        <f aca="false">IFERROR(F4377/(F4376+F4377+F4378),0)</f>
        <v>0.316449102482628</v>
      </c>
      <c r="G4380" s="51" t="n">
        <f aca="false">IFERROR(G4377/(G4376+G4377+G4378),0)</f>
        <v>0.313517566939561</v>
      </c>
      <c r="H4380" s="51" t="n">
        <f aca="false">IFERROR(H4377/(H4376+H4377+H4378),0)</f>
        <v>0.311790932099567</v>
      </c>
      <c r="I4380" s="51" t="n">
        <f aca="false">IFERROR(I4377/(I4376+I4377+I4378),0)</f>
        <v>0.300221741111391</v>
      </c>
      <c r="J4380" s="51" t="n">
        <f aca="false">IFERROR(J4377/(J4376+J4377+J4378),0)</f>
        <v>0.295270445324128</v>
      </c>
      <c r="K4380" s="51" t="n">
        <f aca="false">IFERROR(K4377/(K4376+K4377+K4378),0)</f>
        <v>0.295270445324128</v>
      </c>
      <c r="L4380" s="51" t="n">
        <f aca="false">IFERROR(L4377/(L4376+L4377+L4378),0)</f>
        <v>0.295270445324128</v>
      </c>
      <c r="M4380" s="51" t="n">
        <f aca="false">IFERROR(M4377/(M4376+M4377+M4378),0)</f>
        <v>0.295270445324128</v>
      </c>
      <c r="N4380" s="51" t="n">
        <f aca="false">IFERROR(N4377/(N4376+N4377+N4378),0)</f>
        <v>0.295270445324128</v>
      </c>
      <c r="P4380" s="52"/>
      <c r="Q4380" s="52"/>
      <c r="R4380" s="52"/>
      <c r="S4380" s="53"/>
    </row>
    <row r="4381" customFormat="false" ht="15" hidden="false" customHeight="false" outlineLevel="0" collapsed="false">
      <c r="A4381" s="4" t="s">
        <v>514</v>
      </c>
      <c r="B4381" s="36" t="s">
        <v>77</v>
      </c>
      <c r="C4381" s="51" t="n">
        <f aca="false">IFERROR(C4378/(C4376+C4377+C4378),0)</f>
        <v>0.0519601612718389</v>
      </c>
      <c r="D4381" s="51" t="n">
        <f aca="false">IFERROR(D4378/(D4376+D4377+D4378),0)</f>
        <v>0.0519601612718389</v>
      </c>
      <c r="E4381" s="51" t="n">
        <f aca="false">IFERROR(E4378/(E4376+E4377+E4378),0)</f>
        <v>0.0519601612718389</v>
      </c>
      <c r="F4381" s="51" t="n">
        <f aca="false">IFERROR(F4378/(F4376+F4377+F4378),0)</f>
        <v>0.0519601612718389</v>
      </c>
      <c r="G4381" s="51" t="n">
        <f aca="false">IFERROR(G4378/(G4376+G4377+G4378),0)</f>
        <v>0.0481499265623113</v>
      </c>
      <c r="H4381" s="51" t="n">
        <f aca="false">IFERROR(H4378/(H4376+H4377+H4378),0)</f>
        <v>0.0459057497814491</v>
      </c>
      <c r="I4381" s="51" t="n">
        <f aca="false">IFERROR(I4378/(I4376+I4377+I4378),0)</f>
        <v>0.0422402334833216</v>
      </c>
      <c r="J4381" s="51" t="n">
        <f aca="false">IFERROR(J4378/(J4376+J4377+J4378),0)</f>
        <v>0.0406714932469811</v>
      </c>
      <c r="K4381" s="51" t="n">
        <f aca="false">IFERROR(K4378/(K4376+K4377+K4378),0)</f>
        <v>0.0406714932469811</v>
      </c>
      <c r="L4381" s="51" t="n">
        <f aca="false">IFERROR(L4378/(L4376+L4377+L4378),0)</f>
        <v>0.0406714932469811</v>
      </c>
      <c r="M4381" s="51" t="n">
        <f aca="false">IFERROR(M4378/(M4376+M4377+M4378),0)</f>
        <v>0.0406714932469811</v>
      </c>
      <c r="N4381" s="51" t="n">
        <f aca="false">IFERROR(N4378/(N4376+N4377+N4378),0)</f>
        <v>0.0406714932469811</v>
      </c>
      <c r="P4381" s="52"/>
      <c r="Q4381" s="52"/>
      <c r="R4381" s="52"/>
      <c r="S4381" s="53"/>
    </row>
    <row r="4382" customFormat="false" ht="15" hidden="false" customHeight="false" outlineLevel="0" collapsed="false">
      <c r="A4382" s="4" t="s">
        <v>515</v>
      </c>
      <c r="B4382" s="36" t="s">
        <v>516</v>
      </c>
      <c r="C4382" s="48" t="n">
        <f aca="false">IF(C4350-Assumptions!$E$35&lt;1,0,INDEX($C$4375:$N$4375,1,C4350-Assumptions!$E$35)*INDEX($C$4379:$N$4379,1,C4350-Assumptions!$E$35)*Assumptions!$E$32)</f>
        <v>0</v>
      </c>
      <c r="D4382" s="48" t="n">
        <f aca="false">IF(D4350-Assumptions!$E$35&lt;1,0,INDEX($C$4375:$N$4375,1,D4350-Assumptions!$E$35)*INDEX($C$4379:$N$4379,1,D4350-Assumptions!$E$35)*Assumptions!$E$32)</f>
        <v>1.26427860901851</v>
      </c>
      <c r="E4382" s="48" t="n">
        <f aca="false">IF(E4350-Assumptions!$E$35&lt;1,0,INDEX($C$4375:$N$4375,1,E4350-Assumptions!$E$35)*INDEX($C$4379:$N$4379,1,E4350-Assumptions!$E$35)*Assumptions!$E$32)</f>
        <v>2.21452435067199</v>
      </c>
      <c r="F4382" s="48" t="n">
        <f aca="false">IF(F4350-Assumptions!$E$35&lt;1,0,INDEX($C$4375:$N$4375,1,F4350-Assumptions!$E$35)*INDEX($C$4379:$N$4379,1,F4350-Assumptions!$E$35)*Assumptions!$E$32)</f>
        <v>2.69967984823845</v>
      </c>
      <c r="G4382" s="48" t="n">
        <f aca="false">IF(G4350-Assumptions!$E$35&lt;1,0,INDEX($C$4375:$N$4375,1,G4350-Assumptions!$E$35)*INDEX($C$4379:$N$4379,1,G4350-Assumptions!$E$35)*Assumptions!$E$32)</f>
        <v>3.18798454732441</v>
      </c>
      <c r="H4382" s="48" t="n">
        <f aca="false">IF(H4350-Assumptions!$E$35&lt;1,0,INDEX($C$4375:$N$4375,1,H4350-Assumptions!$E$35)*INDEX($C$4379:$N$4379,1,H4350-Assumptions!$E$35)*Assumptions!$E$32)</f>
        <v>4.05284452446983</v>
      </c>
      <c r="I4382" s="48" t="n">
        <f aca="false">IF(I4350-Assumptions!$E$35&lt;1,0,INDEX($C$4375:$N$4375,1,I4350-Assumptions!$E$35)*INDEX($C$4379:$N$4379,1,I4350-Assumptions!$E$35)*Assumptions!$E$32)</f>
        <v>4.88180796555594</v>
      </c>
      <c r="J4382" s="48" t="n">
        <f aca="false">IF(J4350-Assumptions!$E$35&lt;1,0,INDEX($C$4375:$N$4375,1,J4350-Assumptions!$E$35)*INDEX($C$4379:$N$4379,1,J4350-Assumptions!$E$35)*Assumptions!$E$32)</f>
        <v>6.61618682357579</v>
      </c>
      <c r="K4382" s="48" t="n">
        <f aca="false">IF(K4350-Assumptions!$E$35&lt;1,0,INDEX($C$4375:$N$4375,1,K4350-Assumptions!$E$35)*INDEX($C$4379:$N$4379,1,K4350-Assumptions!$E$35)*Assumptions!$E$32)</f>
        <v>7.64411981640368</v>
      </c>
      <c r="L4382" s="48" t="n">
        <f aca="false">IF(L4350-Assumptions!$E$35&lt;1,0,INDEX($C$4375:$N$4375,1,L4350-Assumptions!$E$35)*INDEX($C$4379:$N$4379,1,L4350-Assumptions!$E$35)*Assumptions!$E$32)</f>
        <v>7.47290751509653</v>
      </c>
      <c r="M4382" s="48" t="n">
        <f aca="false">IF(M4350-Assumptions!$E$35&lt;1,0,INDEX($C$4375:$N$4375,1,M4350-Assumptions!$E$35)*INDEX($C$4379:$N$4379,1,M4350-Assumptions!$E$35)*Assumptions!$E$32)</f>
        <v>7.31357651556205</v>
      </c>
      <c r="N4382" s="48" t="n">
        <f aca="false">IF(N4350-Assumptions!$E$35&lt;1,0,INDEX($C$4375:$N$4375,1,N4350-Assumptions!$E$35)*INDEX($C$4379:$N$4379,1,N4350-Assumptions!$E$35)*Assumptions!$E$32)</f>
        <v>7.16530231318966</v>
      </c>
      <c r="P4382" s="49" t="n">
        <f aca="false">SUM(C4382:F4382)</f>
        <v>6.17848280792895</v>
      </c>
      <c r="Q4382" s="49" t="n">
        <f aca="false">SUM(G4382:J4382)</f>
        <v>18.738823860926</v>
      </c>
      <c r="R4382" s="49" t="n">
        <f aca="false">SUM(K4382:N4382)</f>
        <v>29.5959061602519</v>
      </c>
      <c r="S4382" s="50" t="n">
        <f aca="false">SUM(P4382:R4382)</f>
        <v>54.5132128291068</v>
      </c>
    </row>
    <row r="4383" customFormat="false" ht="15" hidden="false" customHeight="false" outlineLevel="0" collapsed="false">
      <c r="A4383" s="4" t="s">
        <v>517</v>
      </c>
      <c r="B4383" s="36" t="s">
        <v>516</v>
      </c>
      <c r="C4383" s="48" t="n">
        <f aca="false">IF(C4350-Assumptions!$E$35&lt;1,0,INDEX($C$4375:$N$4375,1,C4350-Assumptions!$E$35)*INDEX($C$4380:$N$4380,1,C4350-Assumptions!$E$35)*Assumptions!$E$32)</f>
        <v>0</v>
      </c>
      <c r="D4383" s="48" t="n">
        <f aca="false">IF(D4350-Assumptions!$E$35&lt;1,0,INDEX($C$4375:$N$4375,1,D4350-Assumptions!$E$35)*INDEX($C$4380:$N$4380,1,D4350-Assumptions!$E$35)*Assumptions!$E$32)</f>
        <v>0.633447908831201</v>
      </c>
      <c r="E4383" s="48" t="n">
        <f aca="false">IF(E4350-Assumptions!$E$35&lt;1,0,INDEX($C$4375:$N$4375,1,E4350-Assumptions!$E$35)*INDEX($C$4380:$N$4380,1,E4350-Assumptions!$E$35)*Assumptions!$E$32)</f>
        <v>1.10955434109414</v>
      </c>
      <c r="F4383" s="48" t="n">
        <f aca="false">IF(F4350-Assumptions!$E$35&lt;1,0,INDEX($C$4375:$N$4375,1,F4350-Assumptions!$E$35)*INDEX($C$4380:$N$4380,1,F4350-Assumptions!$E$35)*Assumptions!$E$32)</f>
        <v>1.35263425496693</v>
      </c>
      <c r="G4383" s="48" t="n">
        <f aca="false">IF(G4350-Assumptions!$E$35&lt;1,0,INDEX($C$4375:$N$4375,1,G4350-Assumptions!$E$35)*INDEX($C$4380:$N$4380,1,G4350-Assumptions!$E$35)*Assumptions!$E$32)</f>
        <v>1.59729202921226</v>
      </c>
      <c r="H4383" s="48" t="n">
        <f aca="false">IF(H4350-Assumptions!$E$35&lt;1,0,INDEX($C$4375:$N$4375,1,H4350-Assumptions!$E$35)*INDEX($C$4380:$N$4380,1,H4350-Assumptions!$E$35)*Assumptions!$E$32)</f>
        <v>1.99055812066783</v>
      </c>
      <c r="I4383" s="48" t="n">
        <f aca="false">IF(I4350-Assumptions!$E$35&lt;1,0,INDEX($C$4375:$N$4375,1,I4350-Assumptions!$E$35)*INDEX($C$4380:$N$4380,1,I4350-Assumptions!$E$35)*Assumptions!$E$32)</f>
        <v>2.36975804573037</v>
      </c>
      <c r="J4383" s="48" t="n">
        <f aca="false">IF(J4350-Assumptions!$E$35&lt;1,0,INDEX($C$4375:$N$4375,1,J4350-Assumptions!$E$35)*INDEX($C$4380:$N$4380,1,J4350-Assumptions!$E$35)*Assumptions!$E$32)</f>
        <v>3.02084906263459</v>
      </c>
      <c r="K4383" s="48" t="n">
        <f aca="false">IF(K4350-Assumptions!$E$35&lt;1,0,INDEX($C$4375:$N$4375,1,K4350-Assumptions!$E$35)*INDEX($C$4380:$N$4380,1,K4350-Assumptions!$E$35)*Assumptions!$E$32)</f>
        <v>3.39892366857774</v>
      </c>
      <c r="L4383" s="48" t="n">
        <f aca="false">IF(L4350-Assumptions!$E$35&lt;1,0,INDEX($C$4375:$N$4375,1,L4350-Assumptions!$E$35)*INDEX($C$4380:$N$4380,1,L4350-Assumptions!$E$35)*Assumptions!$E$32)</f>
        <v>3.32279488498441</v>
      </c>
      <c r="M4383" s="48" t="n">
        <f aca="false">IF(M4350-Assumptions!$E$35&lt;1,0,INDEX($C$4375:$N$4375,1,M4350-Assumptions!$E$35)*INDEX($C$4380:$N$4380,1,M4350-Assumptions!$E$35)*Assumptions!$E$32)</f>
        <v>3.25194906905491</v>
      </c>
      <c r="N4383" s="48" t="n">
        <f aca="false">IF(N4350-Assumptions!$E$35&lt;1,0,INDEX($C$4375:$N$4375,1,N4350-Assumptions!$E$35)*INDEX($C$4380:$N$4380,1,N4350-Assumptions!$E$35)*Assumptions!$E$32)</f>
        <v>3.18601960850388</v>
      </c>
      <c r="P4383" s="49" t="n">
        <f aca="false">SUM(C4383:F4383)</f>
        <v>3.09563650489228</v>
      </c>
      <c r="Q4383" s="49" t="n">
        <f aca="false">SUM(G4383:J4383)</f>
        <v>8.97845725824506</v>
      </c>
      <c r="R4383" s="49" t="n">
        <f aca="false">SUM(K4383:N4383)</f>
        <v>13.1596872311209</v>
      </c>
      <c r="S4383" s="50" t="n">
        <f aca="false">SUM(P4383:R4383)</f>
        <v>25.2337809942583</v>
      </c>
    </row>
    <row r="4384" customFormat="false" ht="15" hidden="false" customHeight="false" outlineLevel="0" collapsed="false">
      <c r="A4384" s="4" t="s">
        <v>518</v>
      </c>
      <c r="B4384" s="36" t="s">
        <v>516</v>
      </c>
      <c r="C4384" s="48" t="n">
        <f aca="false">IF(C4350-Assumptions!$E$36&lt;1,0,INDEX($C$4375:$N$4375,1,C4350-Assumptions!$E$36)*INDEX($C$4381:$N$4381,1,C4350-Assumptions!$E$36)*Assumptions!$E$32)</f>
        <v>0</v>
      </c>
      <c r="D4384" s="48" t="n">
        <f aca="false">IF(D4350-Assumptions!$E$36&lt;1,0,INDEX($C$4375:$N$4375,1,D4350-Assumptions!$E$36)*INDEX($C$4381:$N$4381,1,D4350-Assumptions!$E$36)*Assumptions!$E$32)</f>
        <v>0</v>
      </c>
      <c r="E4384" s="48" t="n">
        <f aca="false">IF(E4350-Assumptions!$E$36&lt;1,0,INDEX($C$4375:$N$4375,1,E4350-Assumptions!$E$36)*INDEX($C$4381:$N$4381,1,E4350-Assumptions!$E$36)*Assumptions!$E$32)</f>
        <v>0.104010582561172</v>
      </c>
      <c r="F4384" s="48" t="n">
        <f aca="false">IF(F4350-Assumptions!$E$36&lt;1,0,INDEX($C$4375:$N$4375,1,F4350-Assumptions!$E$36)*INDEX($C$4381:$N$4381,1,F4350-Assumptions!$E$36)*Assumptions!$E$32)</f>
        <v>0.182186083167309</v>
      </c>
      <c r="G4384" s="48" t="n">
        <f aca="false">IF(G4350-Assumptions!$E$36&lt;1,0,INDEX($C$4375:$N$4375,1,G4350-Assumptions!$E$36)*INDEX($C$4381:$N$4381,1,G4350-Assumptions!$E$36)*Assumptions!$E$32)</f>
        <v>0.222099204827904</v>
      </c>
      <c r="H4384" s="48" t="n">
        <f aca="false">IF(H4350-Assumptions!$E$36&lt;1,0,INDEX($C$4375:$N$4375,1,H4350-Assumptions!$E$36)*INDEX($C$4381:$N$4381,1,H4350-Assumptions!$E$36)*Assumptions!$E$32)</f>
        <v>0.262271407265717</v>
      </c>
      <c r="I4384" s="48" t="n">
        <f aca="false">IF(I4350-Assumptions!$E$36&lt;1,0,INDEX($C$4375:$N$4375,1,I4350-Assumptions!$E$36)*INDEX($C$4381:$N$4381,1,I4350-Assumptions!$E$36)*Assumptions!$E$32)</f>
        <v>0.305709272573697</v>
      </c>
      <c r="J4384" s="48" t="n">
        <f aca="false">IF(J4350-Assumptions!$E$36&lt;1,0,INDEX($C$4375:$N$4375,1,J4350-Assumptions!$E$36)*INDEX($C$4381:$N$4381,1,J4350-Assumptions!$E$36)*Assumptions!$E$32)</f>
        <v>0.348905335884287</v>
      </c>
      <c r="K4384" s="48" t="n">
        <f aca="false">IF(K4350-Assumptions!$E$36&lt;1,0,INDEX($C$4375:$N$4375,1,K4350-Assumptions!$E$36)*INDEX($C$4381:$N$4381,1,K4350-Assumptions!$E$36)*Assumptions!$E$32)</f>
        <v>0.425023748284155</v>
      </c>
      <c r="L4384" s="48" t="n">
        <f aca="false">IF(L4350-Assumptions!$E$36&lt;1,0,INDEX($C$4375:$N$4375,1,L4350-Assumptions!$E$36)*INDEX($C$4381:$N$4381,1,L4350-Assumptions!$E$36)*Assumptions!$E$32)</f>
        <v>0.468178590924716</v>
      </c>
      <c r="M4384" s="48" t="n">
        <f aca="false">IF(M4350-Assumptions!$E$36&lt;1,0,INDEX($C$4375:$N$4375,1,M4350-Assumptions!$E$36)*INDEX($C$4381:$N$4381,1,M4350-Assumptions!$E$36)*Assumptions!$E$32)</f>
        <v>0.457692369371393</v>
      </c>
      <c r="N4384" s="48" t="n">
        <f aca="false">IF(N4350-Assumptions!$E$36&lt;1,0,INDEX($C$4375:$N$4375,1,N4350-Assumptions!$E$36)*INDEX($C$4381:$N$4381,1,N4350-Assumptions!$E$36)*Assumptions!$E$32)</f>
        <v>0.447933840640249</v>
      </c>
      <c r="P4384" s="49" t="n">
        <f aca="false">SUM(C4384:F4384)</f>
        <v>0.286196665728482</v>
      </c>
      <c r="Q4384" s="49" t="n">
        <f aca="false">SUM(G4384:J4384)</f>
        <v>1.13898522055161</v>
      </c>
      <c r="R4384" s="49" t="n">
        <f aca="false">SUM(K4384:N4384)</f>
        <v>1.79882854922051</v>
      </c>
      <c r="S4384" s="50" t="n">
        <f aca="false">SUM(P4384:R4384)</f>
        <v>3.2240104355006</v>
      </c>
    </row>
    <row r="4385" customFormat="false" ht="15" hidden="false" customHeight="false" outlineLevel="0" collapsed="false">
      <c r="A4385" s="4" t="s">
        <v>519</v>
      </c>
      <c r="B4385" s="36" t="s">
        <v>77</v>
      </c>
      <c r="C4385" s="51" t="n">
        <f aca="false">IF(C4350-Assumptions!$E$35&lt;1,0,IFERROR(INDEX($C$4374:$N$4374,1,C4350-Assumptions!$E$35)/INDEX($C$4375:$N$4375,1,C4350-Assumptions!$E$35),0))</f>
        <v>0</v>
      </c>
      <c r="D4385" s="51" t="n">
        <f aca="false">IF(D4350-Assumptions!$E$35&lt;1,0,IFERROR(INDEX($C$4374:$N$4374,1,D4350-Assumptions!$E$35)/INDEX($C$4375:$N$4375,1,D4350-Assumptions!$E$35),0))</f>
        <v>0.629453288217204</v>
      </c>
      <c r="E4385" s="51" t="n">
        <f aca="false">IF(E4350-Assumptions!$E$35&lt;1,0,IFERROR(INDEX($C$4374:$N$4374,1,E4350-Assumptions!$E$35)/INDEX($C$4375:$N$4375,1,E4350-Assumptions!$E$35),0))</f>
        <v>0.59892795747003</v>
      </c>
      <c r="F4385" s="51" t="n">
        <f aca="false">IF(F4350-Assumptions!$E$35&lt;1,0,IFERROR(INDEX($C$4374:$N$4374,1,F4350-Assumptions!$E$35)/INDEX($C$4375:$N$4375,1,F4350-Assumptions!$E$35),0))</f>
        <v>0.687813692343367</v>
      </c>
      <c r="G4385" s="51" t="n">
        <f aca="false">IF(G4350-Assumptions!$E$35&lt;1,0,IFERROR(INDEX($C$4374:$N$4374,1,G4350-Assumptions!$E$35)/INDEX($C$4375:$N$4375,1,G4350-Assumptions!$E$35),0))</f>
        <v>0.748878467749101</v>
      </c>
      <c r="H4385" s="51" t="n">
        <f aca="false">IF(H4350-Assumptions!$E$35&lt;1,0,IFERROR(INDEX($C$4374:$N$4374,1,H4350-Assumptions!$E$35)/INDEX($C$4375:$N$4375,1,H4350-Assumptions!$E$35),0))</f>
        <v>0.727660822470642</v>
      </c>
      <c r="I4385" s="51" t="n">
        <f aca="false">IF(I4350-Assumptions!$E$35&lt;1,0,IFERROR(INDEX($C$4374:$N$4374,1,I4350-Assumptions!$E$35)/INDEX($C$4375:$N$4375,1,I4350-Assumptions!$E$35),0))</f>
        <v>0.718376499377579</v>
      </c>
      <c r="J4385" s="51" t="n">
        <f aca="false">IF(J4350-Assumptions!$E$35&lt;1,0,IFERROR(INDEX($C$4374:$N$4374,1,J4350-Assumptions!$E$35)/INDEX($C$4375:$N$4375,1,J4350-Assumptions!$E$35),0))</f>
        <v>0.626114357184137</v>
      </c>
      <c r="K4385" s="51" t="n">
        <f aca="false">IF(K4350-Assumptions!$E$35&lt;1,0,IFERROR(INDEX($C$4374:$N$4374,1,K4350-Assumptions!$E$35)/INDEX($C$4375:$N$4375,1,K4350-Assumptions!$E$35),0))</f>
        <v>0.547292021512327</v>
      </c>
      <c r="L4385" s="51" t="n">
        <f aca="false">IF(L4350-Assumptions!$E$35&lt;1,0,IFERROR(INDEX($C$4374:$N$4374,1,L4350-Assumptions!$E$35)/INDEX($C$4375:$N$4375,1,L4350-Assumptions!$E$35),0))</f>
        <v>0.559831066897389</v>
      </c>
      <c r="M4385" s="51" t="n">
        <f aca="false">IF(M4350-Assumptions!$E$35&lt;1,0,IFERROR(INDEX($C$4374:$N$4374,1,M4350-Assumptions!$E$35)/INDEX($C$4375:$N$4375,1,M4350-Assumptions!$E$35),0))</f>
        <v>0.572027349149912</v>
      </c>
      <c r="N4385" s="51" t="n">
        <f aca="false">IF(N4350-Assumptions!$E$35&lt;1,0,IFERROR(INDEX($C$4374:$N$4374,1,N4350-Assumptions!$E$35)/INDEX($C$4375:$N$4375,1,N4350-Assumptions!$E$35),0))</f>
        <v>0.583864518779764</v>
      </c>
      <c r="P4385" s="52"/>
      <c r="Q4385" s="52"/>
      <c r="R4385" s="52"/>
      <c r="S4385" s="53"/>
    </row>
    <row r="4386" customFormat="false" ht="15" hidden="false" customHeight="false" outlineLevel="0" collapsed="false">
      <c r="A4386" s="4" t="s">
        <v>520</v>
      </c>
      <c r="B4386" s="36" t="s">
        <v>516</v>
      </c>
      <c r="C4386" s="48" t="n">
        <f aca="false">C4382*Assumptions!$E$37</f>
        <v>0</v>
      </c>
      <c r="D4386" s="48" t="n">
        <f aca="false">D4382*Assumptions!$E$37</f>
        <v>0.379283582705552</v>
      </c>
      <c r="E4386" s="48" t="n">
        <f aca="false">E4382*Assumptions!$E$37</f>
        <v>0.664357305201597</v>
      </c>
      <c r="F4386" s="48" t="n">
        <f aca="false">F4382*Assumptions!$E$37</f>
        <v>0.809903954471535</v>
      </c>
      <c r="G4386" s="48" t="n">
        <f aca="false">G4382*Assumptions!$E$37</f>
        <v>0.956395364197323</v>
      </c>
      <c r="H4386" s="48" t="n">
        <f aca="false">H4382*Assumptions!$E$37</f>
        <v>1.21585335734095</v>
      </c>
      <c r="I4386" s="48" t="n">
        <f aca="false">I4382*Assumptions!$E$37</f>
        <v>1.46454238966678</v>
      </c>
      <c r="J4386" s="48" t="n">
        <f aca="false">J4382*Assumptions!$E$37</f>
        <v>1.98485604707274</v>
      </c>
      <c r="K4386" s="48" t="n">
        <f aca="false">K4382*Assumptions!$E$37</f>
        <v>2.2932359449211</v>
      </c>
      <c r="L4386" s="48" t="n">
        <f aca="false">L4382*Assumptions!$E$37</f>
        <v>2.24187225452896</v>
      </c>
      <c r="M4386" s="48" t="n">
        <f aca="false">M4382*Assumptions!$E$37</f>
        <v>2.19407295466862</v>
      </c>
      <c r="N4386" s="48" t="n">
        <f aca="false">N4382*Assumptions!$E$37</f>
        <v>2.1495906939569</v>
      </c>
      <c r="P4386" s="49" t="n">
        <f aca="false">SUM(C4386:F4386)</f>
        <v>1.85354484237868</v>
      </c>
      <c r="Q4386" s="49" t="n">
        <f aca="false">SUM(G4386:J4386)</f>
        <v>5.62164715827779</v>
      </c>
      <c r="R4386" s="49" t="n">
        <f aca="false">SUM(K4386:N4386)</f>
        <v>8.87877184807558</v>
      </c>
      <c r="S4386" s="50" t="n">
        <f aca="false">SUM(P4386:R4386)</f>
        <v>16.3539638487321</v>
      </c>
    </row>
    <row r="4387" customFormat="false" ht="15" hidden="false" customHeight="false" outlineLevel="0" collapsed="false">
      <c r="A4387" s="4" t="s">
        <v>521</v>
      </c>
      <c r="B4387" s="36" t="s">
        <v>516</v>
      </c>
      <c r="C4387" s="48" t="n">
        <f aca="false">C4382*(1-Assumptions!$E$37)</f>
        <v>0</v>
      </c>
      <c r="D4387" s="48" t="n">
        <f aca="false">D4382*(1-Assumptions!$E$37)</f>
        <v>0.884995026312955</v>
      </c>
      <c r="E4387" s="48" t="n">
        <f aca="false">E4382*(1-Assumptions!$E$37)</f>
        <v>1.55016704547039</v>
      </c>
      <c r="F4387" s="48" t="n">
        <f aca="false">F4382*(1-Assumptions!$E$37)</f>
        <v>1.88977589376691</v>
      </c>
      <c r="G4387" s="48" t="n">
        <f aca="false">G4382*(1-Assumptions!$E$37)</f>
        <v>2.23158918312709</v>
      </c>
      <c r="H4387" s="48" t="n">
        <f aca="false">H4382*(1-Assumptions!$E$37)</f>
        <v>2.83699116712888</v>
      </c>
      <c r="I4387" s="48" t="n">
        <f aca="false">I4382*(1-Assumptions!$E$37)</f>
        <v>3.41726557588916</v>
      </c>
      <c r="J4387" s="48" t="n">
        <f aca="false">J4382*(1-Assumptions!$E$37)</f>
        <v>4.63133077650305</v>
      </c>
      <c r="K4387" s="48" t="n">
        <f aca="false">K4382*(1-Assumptions!$E$37)</f>
        <v>5.35088387148258</v>
      </c>
      <c r="L4387" s="48" t="n">
        <f aca="false">L4382*(1-Assumptions!$E$37)</f>
        <v>5.23103526056757</v>
      </c>
      <c r="M4387" s="48" t="n">
        <f aca="false">M4382*(1-Assumptions!$E$37)</f>
        <v>5.11950356089344</v>
      </c>
      <c r="N4387" s="48" t="n">
        <f aca="false">N4382*(1-Assumptions!$E$37)</f>
        <v>5.01571161923276</v>
      </c>
      <c r="P4387" s="49" t="n">
        <f aca="false">SUM(C4387:F4387)</f>
        <v>4.32493796555026</v>
      </c>
      <c r="Q4387" s="49" t="n">
        <f aca="false">SUM(G4387:J4387)</f>
        <v>13.1171767026482</v>
      </c>
      <c r="R4387" s="49" t="n">
        <f aca="false">SUM(K4387:N4387)</f>
        <v>20.7171343121764</v>
      </c>
      <c r="S4387" s="50" t="n">
        <f aca="false">SUM(P4387:R4387)</f>
        <v>38.1592489803748</v>
      </c>
    </row>
    <row r="4388" customFormat="false" ht="15" hidden="false" customHeight="false" outlineLevel="0" collapsed="false">
      <c r="A4388" s="4" t="s">
        <v>522</v>
      </c>
      <c r="B4388" s="36" t="s">
        <v>125</v>
      </c>
      <c r="C4388" s="54" t="n">
        <f aca="false">C4387*$C$4341+C4383*$C$4342+C4384*$C$4343</f>
        <v>0</v>
      </c>
      <c r="D4388" s="54" t="n">
        <f aca="false">D4387*$C$4341+D4383*$C$4342+D4384*$C$4343</f>
        <v>10923.2018225245</v>
      </c>
      <c r="E4388" s="54" t="n">
        <f aca="false">E4387*$C$4341+E4383*$C$4342+E4384*$C$4343</f>
        <v>25558.7931634631</v>
      </c>
      <c r="F4388" s="54" t="n">
        <f aca="false">F4387*$C$4341+F4383*$C$4342+F4384*$C$4343</f>
        <v>34580.0193137916</v>
      </c>
      <c r="G4388" s="54" t="n">
        <f aca="false">G4387*$C$4341+G4383*$C$4342+G4384*$C$4343</f>
        <v>41264.6711032907</v>
      </c>
      <c r="H4388" s="54" t="n">
        <f aca="false">H4387*$C$4341+H4383*$C$4342+H4384*$C$4343</f>
        <v>50827.4709881454</v>
      </c>
      <c r="I4388" s="54" t="n">
        <f aca="false">I4387*$C$4341+I4383*$C$4342+I4384*$C$4343</f>
        <v>60320.1547373818</v>
      </c>
      <c r="J4388" s="54" t="n">
        <f aca="false">J4387*$C$4341+J4383*$C$4342+J4384*$C$4343</f>
        <v>75845.4328983882</v>
      </c>
      <c r="K4388" s="54" t="n">
        <f aca="false">K4387*$C$4341+K4383*$C$4342+K4384*$C$4343</f>
        <v>88091.4927110095</v>
      </c>
      <c r="L4388" s="54" t="n">
        <f aca="false">L4387*$C$4341+L4383*$C$4342+L4384*$C$4343</f>
        <v>89372.5653480521</v>
      </c>
      <c r="M4388" s="54" t="n">
        <f aca="false">M4387*$C$4341+M4383*$C$4342+M4384*$C$4343</f>
        <v>87435.8959530247</v>
      </c>
      <c r="N4388" s="54" t="n">
        <f aca="false">N4387*$C$4341+N4383*$C$4342+N4384*$C$4343</f>
        <v>85633.6220035379</v>
      </c>
      <c r="P4388" s="55" t="n">
        <f aca="false">SUM(C4388:F4388)</f>
        <v>71062.0142997793</v>
      </c>
      <c r="Q4388" s="55" t="n">
        <f aca="false">SUM(G4388:J4388)</f>
        <v>228257.729727206</v>
      </c>
      <c r="R4388" s="55" t="n">
        <f aca="false">SUM(K4388:N4388)</f>
        <v>350533.576015624</v>
      </c>
      <c r="S4388" s="56" t="n">
        <f aca="false">SUM(P4388:R4388)</f>
        <v>649853.32004261</v>
      </c>
    </row>
    <row r="4389" customFormat="false" ht="15" hidden="false" customHeight="false" outlineLevel="0" collapsed="false">
      <c r="A4389" s="4" t="s">
        <v>523</v>
      </c>
      <c r="B4389" s="36" t="s">
        <v>125</v>
      </c>
      <c r="C4389" s="54" t="n">
        <f aca="false">(C4365+Assumptions!$D$104*C4351)*$C$4346</f>
        <v>306250</v>
      </c>
      <c r="D4389" s="54" t="n">
        <f aca="false">(D4365+Assumptions!$D$104*D4351)*$C$4346</f>
        <v>306250</v>
      </c>
      <c r="E4389" s="54" t="n">
        <f aca="false">(E4365+Assumptions!$D$104*E4351)*$C$4346</f>
        <v>306250</v>
      </c>
      <c r="F4389" s="54" t="n">
        <f aca="false">(F4365+Assumptions!$D$104*F4351)*$C$4346</f>
        <v>306250</v>
      </c>
      <c r="G4389" s="54" t="n">
        <f aca="false">(G4365+Assumptions!$D$104*G4351)*$C$4346</f>
        <v>306250</v>
      </c>
      <c r="H4389" s="54" t="n">
        <f aca="false">(H4365+Assumptions!$D$104*H4351)*$C$4346</f>
        <v>306250</v>
      </c>
      <c r="I4389" s="54" t="n">
        <f aca="false">(I4365+Assumptions!$D$104*I4351)*$C$4346</f>
        <v>306250</v>
      </c>
      <c r="J4389" s="54" t="n">
        <f aca="false">(J4365+Assumptions!$D$104*J4351)*$C$4346</f>
        <v>306250</v>
      </c>
      <c r="K4389" s="54" t="n">
        <f aca="false">(K4365+Assumptions!$D$104*K4351)*$C$4346</f>
        <v>306250</v>
      </c>
      <c r="L4389" s="54" t="n">
        <f aca="false">(L4365+Assumptions!$D$104*L4351)*$C$4346</f>
        <v>306250</v>
      </c>
      <c r="M4389" s="54" t="n">
        <f aca="false">(M4365+Assumptions!$D$104*M4351)*$C$4346</f>
        <v>306250</v>
      </c>
      <c r="N4389" s="54" t="n">
        <f aca="false">(N4365+Assumptions!$D$104*N4351)*$C$4346</f>
        <v>306250</v>
      </c>
      <c r="P4389" s="55" t="n">
        <f aca="false">SUM(C4389:F4389)</f>
        <v>1225000</v>
      </c>
      <c r="Q4389" s="55" t="n">
        <f aca="false">SUM(G4389:J4389)</f>
        <v>1225000</v>
      </c>
      <c r="R4389" s="55" t="n">
        <f aca="false">SUM(K4389:N4389)</f>
        <v>1225000</v>
      </c>
      <c r="S4389" s="56" t="n">
        <f aca="false">SUM(P4389:R4389)</f>
        <v>3675000</v>
      </c>
    </row>
    <row r="4390" customFormat="false" ht="15" hidden="false" customHeight="false" outlineLevel="0" collapsed="false">
      <c r="A4390" s="4" t="s">
        <v>524</v>
      </c>
      <c r="B4390" s="36" t="s">
        <v>77</v>
      </c>
      <c r="C4390" s="51" t="n">
        <f aca="false">IF(C4388&gt;0,MIN(1,C4389/C4388),1)</f>
        <v>1</v>
      </c>
      <c r="D4390" s="51" t="n">
        <f aca="false">IF(D4388&gt;0,MIN(1,D4389/D4388),1)</f>
        <v>1</v>
      </c>
      <c r="E4390" s="51" t="n">
        <f aca="false">IF(E4388&gt;0,MIN(1,E4389/E4388),1)</f>
        <v>1</v>
      </c>
      <c r="F4390" s="51" t="n">
        <f aca="false">IF(F4388&gt;0,MIN(1,F4389/F4388),1)</f>
        <v>1</v>
      </c>
      <c r="G4390" s="51" t="n">
        <f aca="false">IF(G4388&gt;0,MIN(1,G4389/G4388),1)</f>
        <v>1</v>
      </c>
      <c r="H4390" s="51" t="n">
        <f aca="false">IF(H4388&gt;0,MIN(1,H4389/H4388),1)</f>
        <v>1</v>
      </c>
      <c r="I4390" s="51" t="n">
        <f aca="false">IF(I4388&gt;0,MIN(1,I4389/I4388),1)</f>
        <v>1</v>
      </c>
      <c r="J4390" s="51" t="n">
        <f aca="false">IF(J4388&gt;0,MIN(1,J4389/J4388),1)</f>
        <v>1</v>
      </c>
      <c r="K4390" s="51" t="n">
        <f aca="false">IF(K4388&gt;0,MIN(1,K4389/K4388),1)</f>
        <v>1</v>
      </c>
      <c r="L4390" s="51" t="n">
        <f aca="false">IF(L4388&gt;0,MIN(1,L4389/L4388),1)</f>
        <v>1</v>
      </c>
      <c r="M4390" s="51" t="n">
        <f aca="false">IF(M4388&gt;0,MIN(1,M4389/M4388),1)</f>
        <v>1</v>
      </c>
      <c r="N4390" s="51" t="n">
        <f aca="false">IF(N4388&gt;0,MIN(1,N4389/N4388),1)</f>
        <v>1</v>
      </c>
      <c r="P4390" s="52"/>
      <c r="Q4390" s="52"/>
      <c r="R4390" s="52"/>
      <c r="S4390" s="53"/>
    </row>
    <row r="4391" customFormat="false" ht="15" hidden="false" customHeight="false" outlineLevel="0" collapsed="false">
      <c r="A4391" s="4" t="s">
        <v>525</v>
      </c>
      <c r="B4391" s="36" t="s">
        <v>125</v>
      </c>
      <c r="C4391" s="54" t="n">
        <f aca="false">C4388*(1-C4390)</f>
        <v>0</v>
      </c>
      <c r="D4391" s="54" t="n">
        <f aca="false">D4388*(1-D4390)</f>
        <v>0</v>
      </c>
      <c r="E4391" s="54" t="n">
        <f aca="false">E4388*(1-E4390)</f>
        <v>0</v>
      </c>
      <c r="F4391" s="54" t="n">
        <f aca="false">F4388*(1-F4390)</f>
        <v>0</v>
      </c>
      <c r="G4391" s="54" t="n">
        <f aca="false">G4388*(1-G4390)</f>
        <v>0</v>
      </c>
      <c r="H4391" s="54" t="n">
        <f aca="false">H4388*(1-H4390)</f>
        <v>0</v>
      </c>
      <c r="I4391" s="54" t="n">
        <f aca="false">I4388*(1-I4390)</f>
        <v>0</v>
      </c>
      <c r="J4391" s="54" t="n">
        <f aca="false">J4388*(1-J4390)</f>
        <v>0</v>
      </c>
      <c r="K4391" s="54" t="n">
        <f aca="false">K4388*(1-K4390)</f>
        <v>0</v>
      </c>
      <c r="L4391" s="54" t="n">
        <f aca="false">L4388*(1-L4390)</f>
        <v>0</v>
      </c>
      <c r="M4391" s="54" t="n">
        <f aca="false">M4388*(1-M4390)</f>
        <v>0</v>
      </c>
      <c r="N4391" s="54" t="n">
        <f aca="false">N4388*(1-N4390)</f>
        <v>0</v>
      </c>
      <c r="P4391" s="55" t="n">
        <f aca="false">SUM(C4391:F4391)</f>
        <v>0</v>
      </c>
      <c r="Q4391" s="55" t="n">
        <f aca="false">SUM(G4391:J4391)</f>
        <v>0</v>
      </c>
      <c r="R4391" s="55" t="n">
        <f aca="false">SUM(K4391:N4391)</f>
        <v>0</v>
      </c>
      <c r="S4391" s="56" t="n">
        <f aca="false">SUM(P4391:R4391)</f>
        <v>0</v>
      </c>
    </row>
    <row r="4392" customFormat="false" ht="15" hidden="false" customHeight="false" outlineLevel="0" collapsed="false">
      <c r="A4392" s="4" t="s">
        <v>526</v>
      </c>
      <c r="B4392" s="36" t="s">
        <v>527</v>
      </c>
      <c r="C4392" s="48" t="n">
        <f aca="false">C4386+C4387*C4390</f>
        <v>0</v>
      </c>
      <c r="D4392" s="48" t="n">
        <f aca="false">D4386+D4387*D4390</f>
        <v>1.26427860901851</v>
      </c>
      <c r="E4392" s="48" t="n">
        <f aca="false">E4386+E4387*E4390</f>
        <v>2.21452435067199</v>
      </c>
      <c r="F4392" s="48" t="n">
        <f aca="false">F4386+F4387*F4390</f>
        <v>2.69967984823845</v>
      </c>
      <c r="G4392" s="48" t="n">
        <f aca="false">G4386+G4387*G4390</f>
        <v>3.18798454732441</v>
      </c>
      <c r="H4392" s="48" t="n">
        <f aca="false">H4386+H4387*H4390</f>
        <v>4.05284452446983</v>
      </c>
      <c r="I4392" s="48" t="n">
        <f aca="false">I4386+I4387*I4390</f>
        <v>4.88180796555594</v>
      </c>
      <c r="J4392" s="48" t="n">
        <f aca="false">J4386+J4387*J4390</f>
        <v>6.61618682357579</v>
      </c>
      <c r="K4392" s="48" t="n">
        <f aca="false">K4386+K4387*K4390</f>
        <v>7.64411981640368</v>
      </c>
      <c r="L4392" s="48" t="n">
        <f aca="false">L4386+L4387*L4390</f>
        <v>7.47290751509653</v>
      </c>
      <c r="M4392" s="48" t="n">
        <f aca="false">M4386+M4387*M4390</f>
        <v>7.31357651556205</v>
      </c>
      <c r="N4392" s="48" t="n">
        <f aca="false">N4386+N4387*N4390</f>
        <v>7.16530231318966</v>
      </c>
      <c r="P4392" s="49" t="n">
        <f aca="false">SUM(C4392:F4392)</f>
        <v>6.17848280792895</v>
      </c>
      <c r="Q4392" s="49" t="n">
        <f aca="false">SUM(G4392:J4392)</f>
        <v>18.738823860926</v>
      </c>
      <c r="R4392" s="49" t="n">
        <f aca="false">SUM(K4392:N4392)</f>
        <v>29.5959061602519</v>
      </c>
      <c r="S4392" s="50" t="n">
        <f aca="false">SUM(P4392:R4392)</f>
        <v>54.5132128291068</v>
      </c>
    </row>
    <row r="4393" customFormat="false" ht="15" hidden="false" customHeight="false" outlineLevel="0" collapsed="false">
      <c r="A4393" s="4" t="s">
        <v>528</v>
      </c>
      <c r="B4393" s="36" t="s">
        <v>527</v>
      </c>
      <c r="C4393" s="48" t="n">
        <f aca="false">C4383*C4390</f>
        <v>0</v>
      </c>
      <c r="D4393" s="48" t="n">
        <f aca="false">D4383*D4390</f>
        <v>0.633447908831201</v>
      </c>
      <c r="E4393" s="48" t="n">
        <f aca="false">E4383*E4390</f>
        <v>1.10955434109414</v>
      </c>
      <c r="F4393" s="48" t="n">
        <f aca="false">F4383*F4390</f>
        <v>1.35263425496693</v>
      </c>
      <c r="G4393" s="48" t="n">
        <f aca="false">G4383*G4390</f>
        <v>1.59729202921226</v>
      </c>
      <c r="H4393" s="48" t="n">
        <f aca="false">H4383*H4390</f>
        <v>1.99055812066783</v>
      </c>
      <c r="I4393" s="48" t="n">
        <f aca="false">I4383*I4390</f>
        <v>2.36975804573037</v>
      </c>
      <c r="J4393" s="48" t="n">
        <f aca="false">J4383*J4390</f>
        <v>3.02084906263459</v>
      </c>
      <c r="K4393" s="48" t="n">
        <f aca="false">K4383*K4390</f>
        <v>3.39892366857774</v>
      </c>
      <c r="L4393" s="48" t="n">
        <f aca="false">L4383*L4390</f>
        <v>3.32279488498441</v>
      </c>
      <c r="M4393" s="48" t="n">
        <f aca="false">M4383*M4390</f>
        <v>3.25194906905491</v>
      </c>
      <c r="N4393" s="48" t="n">
        <f aca="false">N4383*N4390</f>
        <v>3.18601960850388</v>
      </c>
      <c r="P4393" s="49" t="n">
        <f aca="false">SUM(C4393:F4393)</f>
        <v>3.09563650489228</v>
      </c>
      <c r="Q4393" s="49" t="n">
        <f aca="false">SUM(G4393:J4393)</f>
        <v>8.97845725824506</v>
      </c>
      <c r="R4393" s="49" t="n">
        <f aca="false">SUM(K4393:N4393)</f>
        <v>13.1596872311209</v>
      </c>
      <c r="S4393" s="50" t="n">
        <f aca="false">SUM(P4393:R4393)</f>
        <v>25.2337809942583</v>
      </c>
    </row>
    <row r="4394" customFormat="false" ht="15" hidden="false" customHeight="false" outlineLevel="0" collapsed="false">
      <c r="A4394" s="4" t="s">
        <v>529</v>
      </c>
      <c r="B4394" s="36" t="s">
        <v>527</v>
      </c>
      <c r="C4394" s="48" t="n">
        <f aca="false">C4384*C4390</f>
        <v>0</v>
      </c>
      <c r="D4394" s="48" t="n">
        <f aca="false">D4384*D4390</f>
        <v>0</v>
      </c>
      <c r="E4394" s="48" t="n">
        <f aca="false">E4384*E4390</f>
        <v>0.104010582561172</v>
      </c>
      <c r="F4394" s="48" t="n">
        <f aca="false">F4384*F4390</f>
        <v>0.182186083167309</v>
      </c>
      <c r="G4394" s="48" t="n">
        <f aca="false">G4384*G4390</f>
        <v>0.222099204827904</v>
      </c>
      <c r="H4394" s="48" t="n">
        <f aca="false">H4384*H4390</f>
        <v>0.262271407265717</v>
      </c>
      <c r="I4394" s="48" t="n">
        <f aca="false">I4384*I4390</f>
        <v>0.305709272573697</v>
      </c>
      <c r="J4394" s="48" t="n">
        <f aca="false">J4384*J4390</f>
        <v>0.348905335884287</v>
      </c>
      <c r="K4394" s="48" t="n">
        <f aca="false">K4384*K4390</f>
        <v>0.425023748284155</v>
      </c>
      <c r="L4394" s="48" t="n">
        <f aca="false">L4384*L4390</f>
        <v>0.468178590924716</v>
      </c>
      <c r="M4394" s="48" t="n">
        <f aca="false">M4384*M4390</f>
        <v>0.457692369371393</v>
      </c>
      <c r="N4394" s="48" t="n">
        <f aca="false">N4384*N4390</f>
        <v>0.447933840640249</v>
      </c>
      <c r="P4394" s="49" t="n">
        <f aca="false">SUM(C4394:F4394)</f>
        <v>0.286196665728482</v>
      </c>
      <c r="Q4394" s="49" t="n">
        <f aca="false">SUM(G4394:J4394)</f>
        <v>1.13898522055161</v>
      </c>
      <c r="R4394" s="49" t="n">
        <f aca="false">SUM(K4394:N4394)</f>
        <v>1.79882854922051</v>
      </c>
      <c r="S4394" s="50" t="n">
        <f aca="false">SUM(P4394:R4394)</f>
        <v>3.2240104355006</v>
      </c>
    </row>
    <row r="4395" customFormat="false" ht="15" hidden="false" customHeight="false" outlineLevel="0" collapsed="false">
      <c r="A4395" s="9" t="s">
        <v>530</v>
      </c>
      <c r="B4395" s="36" t="s">
        <v>527</v>
      </c>
      <c r="C4395" s="49" t="n">
        <f aca="false">C4392+C4393+C4394</f>
        <v>0</v>
      </c>
      <c r="D4395" s="49" t="n">
        <f aca="false">D4392+D4393+D4394</f>
        <v>1.89772651784971</v>
      </c>
      <c r="E4395" s="49" t="n">
        <f aca="false">E4392+E4393+E4394</f>
        <v>3.4280892743273</v>
      </c>
      <c r="F4395" s="49" t="n">
        <f aca="false">F4392+F4393+F4394</f>
        <v>4.23450018637269</v>
      </c>
      <c r="G4395" s="49" t="n">
        <f aca="false">G4392+G4393+G4394</f>
        <v>5.00737578136458</v>
      </c>
      <c r="H4395" s="49" t="n">
        <f aca="false">H4392+H4393+H4394</f>
        <v>6.30567405240338</v>
      </c>
      <c r="I4395" s="49" t="n">
        <f aca="false">I4392+I4393+I4394</f>
        <v>7.55727528386</v>
      </c>
      <c r="J4395" s="49" t="n">
        <f aca="false">J4392+J4393+J4394</f>
        <v>9.98594122209467</v>
      </c>
      <c r="K4395" s="49" t="n">
        <f aca="false">K4392+K4393+K4394</f>
        <v>11.4680672332656</v>
      </c>
      <c r="L4395" s="49" t="n">
        <f aca="false">L4392+L4393+L4394</f>
        <v>11.2638809910057</v>
      </c>
      <c r="M4395" s="49" t="n">
        <f aca="false">M4392+M4393+M4394</f>
        <v>11.0232179539884</v>
      </c>
      <c r="N4395" s="49" t="n">
        <f aca="false">N4392+N4393+N4394</f>
        <v>10.7992557623338</v>
      </c>
      <c r="P4395" s="49" t="n">
        <f aca="false">SUM(C4395:F4395)</f>
        <v>9.5603159785497</v>
      </c>
      <c r="Q4395" s="49" t="n">
        <f aca="false">SUM(G4395:J4395)</f>
        <v>28.8562663397226</v>
      </c>
      <c r="R4395" s="49" t="n">
        <f aca="false">SUM(K4395:N4395)</f>
        <v>44.5544219405934</v>
      </c>
      <c r="S4395" s="50" t="n">
        <f aca="false">SUM(P4395:R4395)</f>
        <v>82.9710042588657</v>
      </c>
    </row>
    <row r="4396" customFormat="false" ht="15" hidden="false" customHeight="false" outlineLevel="0" collapsed="false">
      <c r="A4396" s="35" t="s">
        <v>533</v>
      </c>
      <c r="B4396" s="35" t="s">
        <v>444</v>
      </c>
      <c r="C4396" s="6" t="s">
        <v>354</v>
      </c>
      <c r="D4396" s="6" t="s">
        <v>355</v>
      </c>
      <c r="E4396" s="6" t="s">
        <v>356</v>
      </c>
      <c r="F4396" s="6" t="s">
        <v>357</v>
      </c>
      <c r="G4396" s="6" t="s">
        <v>358</v>
      </c>
      <c r="H4396" s="6" t="s">
        <v>359</v>
      </c>
      <c r="I4396" s="6" t="s">
        <v>360</v>
      </c>
      <c r="J4396" s="6" t="s">
        <v>361</v>
      </c>
      <c r="K4396" s="6" t="s">
        <v>362</v>
      </c>
      <c r="L4396" s="6" t="s">
        <v>363</v>
      </c>
      <c r="M4396" s="6" t="s">
        <v>364</v>
      </c>
      <c r="N4396" s="6" t="s">
        <v>365</v>
      </c>
      <c r="P4396" s="6" t="s">
        <v>445</v>
      </c>
      <c r="Q4396" s="6" t="s">
        <v>446</v>
      </c>
      <c r="R4396" s="6" t="s">
        <v>447</v>
      </c>
      <c r="S4396" s="6" t="s">
        <v>448</v>
      </c>
    </row>
    <row r="4397" customFormat="false" ht="15" hidden="false" customHeight="false" outlineLevel="0" collapsed="false">
      <c r="A4397" s="4" t="s">
        <v>534</v>
      </c>
      <c r="B4397" s="36" t="s">
        <v>527</v>
      </c>
      <c r="C4397" s="48" t="n">
        <f aca="false">0*Assumptions!$E$59^(1/4)+C4392</f>
        <v>0</v>
      </c>
      <c r="D4397" s="48" t="n">
        <f aca="false">C4397*Assumptions!$E$59^(1/4)+D4392</f>
        <v>1.26427860901851</v>
      </c>
      <c r="E4397" s="48" t="n">
        <f aca="false">D4397*Assumptions!$E$59^(1/4)+E4392</f>
        <v>3.43903751372077</v>
      </c>
      <c r="F4397" s="48" t="n">
        <f aca="false">E4397*Assumptions!$E$59^(1/4)+F4392</f>
        <v>6.03054906783149</v>
      </c>
      <c r="G4397" s="48" t="n">
        <f aca="false">F4397*Assumptions!$E$59^(1/4)+G4392</f>
        <v>9.02885432183084</v>
      </c>
      <c r="H4397" s="48" t="n">
        <f aca="false">G4397*Assumptions!$E$59^(1/4)+H4392</f>
        <v>12.7977136422941</v>
      </c>
      <c r="I4397" s="48" t="n">
        <f aca="false">H4397*Assumptions!$E$59^(1/4)+I4392</f>
        <v>17.2769942007196</v>
      </c>
      <c r="J4397" s="48" t="n">
        <f aca="false">I4397*Assumptions!$E$59^(1/4)+J4392</f>
        <v>23.3497664837763</v>
      </c>
      <c r="K4397" s="48" t="n">
        <f aca="false">J4397*Assumptions!$E$59^(1/4)+K4392</f>
        <v>30.2594644165122</v>
      </c>
      <c r="L4397" s="48" t="n">
        <f aca="false">K4397*Assumptions!$E$59^(1/4)+L4392</f>
        <v>36.7806188221721</v>
      </c>
      <c r="M4397" s="48" t="n">
        <f aca="false">L4397*Assumptions!$E$59^(1/4)+M4392</f>
        <v>42.9373318900155</v>
      </c>
      <c r="N4397" s="48" t="n">
        <f aca="false">M4397*Assumptions!$E$59^(1/4)+N4392</f>
        <v>48.7521232168001</v>
      </c>
      <c r="P4397" s="49" t="n">
        <f aca="false">F4397</f>
        <v>6.03054906783149</v>
      </c>
      <c r="Q4397" s="49" t="n">
        <f aca="false">J4397</f>
        <v>23.3497664837763</v>
      </c>
      <c r="R4397" s="49" t="n">
        <f aca="false">N4397</f>
        <v>48.7521232168001</v>
      </c>
      <c r="S4397" s="50" t="n">
        <f aca="false">R4397</f>
        <v>48.7521232168001</v>
      </c>
    </row>
    <row r="4398" customFormat="false" ht="15" hidden="false" customHeight="false" outlineLevel="0" collapsed="false">
      <c r="A4398" s="4" t="s">
        <v>535</v>
      </c>
      <c r="B4398" s="36" t="s">
        <v>527</v>
      </c>
      <c r="C4398" s="48" t="n">
        <f aca="false">0*Assumptions!$E$60^(1/4)+C4393</f>
        <v>0</v>
      </c>
      <c r="D4398" s="48" t="n">
        <f aca="false">C4398*Assumptions!$E$60^(1/4)+D4393</f>
        <v>0.633447908831201</v>
      </c>
      <c r="E4398" s="48" t="n">
        <f aca="false">D4398*Assumptions!$E$60^(1/4)+E4393</f>
        <v>1.726534977461</v>
      </c>
      <c r="F4398" s="48" t="n">
        <f aca="false">E4398*Assumptions!$E$60^(1/4)+F4393</f>
        <v>3.03428579134826</v>
      </c>
      <c r="G4398" s="48" t="n">
        <f aca="false">F4398*Assumptions!$E$60^(1/4)+G4393</f>
        <v>4.55269775771052</v>
      </c>
      <c r="H4398" s="48" t="n">
        <f aca="false">G4398*Assumptions!$E$60^(1/4)+H4393</f>
        <v>6.42490279301993</v>
      </c>
      <c r="I4398" s="48" t="n">
        <f aca="false">H4398*Assumptions!$E$60^(1/4)+I4393</f>
        <v>8.62763743655013</v>
      </c>
      <c r="J4398" s="48" t="n">
        <f aca="false">I4398*Assumptions!$E$60^(1/4)+J4393</f>
        <v>11.4242002486336</v>
      </c>
      <c r="K4398" s="48" t="n">
        <f aca="false">J4398*Assumptions!$E$60^(1/4)+K4393</f>
        <v>14.5261375106596</v>
      </c>
      <c r="L4398" s="48" t="n">
        <f aca="false">K4398*Assumptions!$E$60^(1/4)+L4393</f>
        <v>17.4713072414559</v>
      </c>
      <c r="M4398" s="48" t="n">
        <f aca="false">L4398*Assumptions!$E$60^(1/4)+M4393</f>
        <v>20.2690677771804</v>
      </c>
      <c r="N4398" s="48" t="n">
        <f aca="false">M4398*Assumptions!$E$60^(1/4)+N4393</f>
        <v>22.9281675600259</v>
      </c>
      <c r="P4398" s="49" t="n">
        <f aca="false">F4398</f>
        <v>3.03428579134826</v>
      </c>
      <c r="Q4398" s="49" t="n">
        <f aca="false">J4398</f>
        <v>11.4242002486336</v>
      </c>
      <c r="R4398" s="49" t="n">
        <f aca="false">N4398</f>
        <v>22.9281675600259</v>
      </c>
      <c r="S4398" s="50" t="n">
        <f aca="false">R4398</f>
        <v>22.9281675600259</v>
      </c>
    </row>
    <row r="4399" customFormat="false" ht="15" hidden="false" customHeight="false" outlineLevel="0" collapsed="false">
      <c r="A4399" s="4" t="s">
        <v>536</v>
      </c>
      <c r="B4399" s="36" t="s">
        <v>527</v>
      </c>
      <c r="C4399" s="48" t="n">
        <f aca="false">0*Assumptions!$E$61^(1/4)+C4394</f>
        <v>0</v>
      </c>
      <c r="D4399" s="48" t="n">
        <f aca="false">C4399*Assumptions!$E$61^(1/4)+D4394</f>
        <v>0</v>
      </c>
      <c r="E4399" s="48" t="n">
        <f aca="false">D4399*Assumptions!$E$61^(1/4)+E4394</f>
        <v>0.104010582561172</v>
      </c>
      <c r="F4399" s="48" t="n">
        <f aca="false">E4399*Assumptions!$E$61^(1/4)+F4394</f>
        <v>0.284050964992967</v>
      </c>
      <c r="G4399" s="48" t="n">
        <f aca="false">F4399*Assumptions!$E$61^(1/4)+G4394</f>
        <v>0.50029030105078</v>
      </c>
      <c r="H4399" s="48" t="n">
        <f aca="false">G4399*Assumptions!$E$61^(1/4)+H4394</f>
        <v>0.752240900178496</v>
      </c>
      <c r="I4399" s="48" t="n">
        <f aca="false">H4399*Assumptions!$E$61^(1/4)+I4394</f>
        <v>1.0424317147929</v>
      </c>
      <c r="J4399" s="48" t="n">
        <f aca="false">I4399*Assumptions!$E$61^(1/4)+J4394</f>
        <v>1.36983206106865</v>
      </c>
      <c r="K4399" s="48" t="n">
        <f aca="false">J4399*Assumptions!$E$61^(1/4)+K4394</f>
        <v>1.766596668902</v>
      </c>
      <c r="L4399" s="48" t="n">
        <f aca="false">K4399*Assumptions!$E$61^(1/4)+L4394</f>
        <v>2.19833100888146</v>
      </c>
      <c r="M4399" s="48" t="n">
        <f aca="false">L4399*Assumptions!$E$61^(1/4)+M4394</f>
        <v>2.61067260387479</v>
      </c>
      <c r="N4399" s="48" t="n">
        <f aca="false">M4399*Assumptions!$E$61^(1/4)+N4394</f>
        <v>3.00474921202595</v>
      </c>
      <c r="P4399" s="49" t="n">
        <f aca="false">F4399</f>
        <v>0.284050964992967</v>
      </c>
      <c r="Q4399" s="49" t="n">
        <f aca="false">J4399</f>
        <v>1.36983206106865</v>
      </c>
      <c r="R4399" s="49" t="n">
        <f aca="false">N4399</f>
        <v>3.00474921202595</v>
      </c>
      <c r="S4399" s="50" t="n">
        <f aca="false">R4399</f>
        <v>3.00474921202595</v>
      </c>
    </row>
    <row r="4400" customFormat="false" ht="15" hidden="false" customHeight="false" outlineLevel="0" collapsed="false">
      <c r="A4400" s="9" t="s">
        <v>537</v>
      </c>
      <c r="B4400" s="36" t="s">
        <v>527</v>
      </c>
      <c r="C4400" s="49" t="n">
        <f aca="false">C4397+C4398+C4399</f>
        <v>0</v>
      </c>
      <c r="D4400" s="49" t="n">
        <f aca="false">D4397+D4398+D4399</f>
        <v>1.89772651784971</v>
      </c>
      <c r="E4400" s="49" t="n">
        <f aca="false">E4397+E4398+E4399</f>
        <v>5.26958307374295</v>
      </c>
      <c r="F4400" s="49" t="n">
        <f aca="false">F4397+F4398+F4399</f>
        <v>9.34888582417272</v>
      </c>
      <c r="G4400" s="49" t="n">
        <f aca="false">G4397+G4398+G4399</f>
        <v>14.0818423805921</v>
      </c>
      <c r="H4400" s="49" t="n">
        <f aca="false">H4397+H4398+H4399</f>
        <v>19.9748573354925</v>
      </c>
      <c r="I4400" s="49" t="n">
        <f aca="false">I4397+I4398+I4399</f>
        <v>26.9470633520627</v>
      </c>
      <c r="J4400" s="49" t="n">
        <f aca="false">J4397+J4398+J4399</f>
        <v>36.1437987934785</v>
      </c>
      <c r="K4400" s="49" t="n">
        <f aca="false">K4397+K4398+K4399</f>
        <v>46.5521985960738</v>
      </c>
      <c r="L4400" s="49" t="n">
        <f aca="false">L4397+L4398+L4399</f>
        <v>56.4502570725095</v>
      </c>
      <c r="M4400" s="49" t="n">
        <f aca="false">M4397+M4398+M4399</f>
        <v>65.8170722710707</v>
      </c>
      <c r="N4400" s="49" t="n">
        <f aca="false">N4397+N4398+N4399</f>
        <v>74.6850399888519</v>
      </c>
      <c r="P4400" s="49" t="n">
        <f aca="false">F4400</f>
        <v>9.34888582417272</v>
      </c>
      <c r="Q4400" s="49" t="n">
        <f aca="false">J4400</f>
        <v>36.1437987934785</v>
      </c>
      <c r="R4400" s="49" t="n">
        <f aca="false">N4400</f>
        <v>74.6850399888519</v>
      </c>
      <c r="S4400" s="50" t="n">
        <f aca="false">R4400</f>
        <v>74.6850399888519</v>
      </c>
    </row>
    <row r="4401" customFormat="false" ht="15" hidden="false" customHeight="false" outlineLevel="0" collapsed="false">
      <c r="A4401" s="4" t="s">
        <v>538</v>
      </c>
      <c r="B4401" s="36" t="s">
        <v>125</v>
      </c>
      <c r="C4401" s="54" t="n">
        <f aca="false">0*Assumptions!$E$62^(1/4)+C4392*$C$4341</f>
        <v>0</v>
      </c>
      <c r="D4401" s="54" t="n">
        <f aca="false">C4401*Assumptions!$E$62^(1/4)+D4392*$C$4341</f>
        <v>6766.41911546705</v>
      </c>
      <c r="E4401" s="54" t="n">
        <f aca="false">D4401*Assumptions!$E$62^(1/4)+E4392*$C$4341</f>
        <v>18618.5534402635</v>
      </c>
      <c r="F4401" s="54" t="n">
        <f aca="false">E4401*Assumptions!$E$62^(1/4)+F4392*$C$4341</f>
        <v>33067.2399880357</v>
      </c>
      <c r="G4401" s="54" t="n">
        <f aca="false">F4401*Assumptions!$E$62^(1/4)+G4392*$C$4341</f>
        <v>50129.333285316</v>
      </c>
      <c r="H4401" s="54" t="n">
        <f aca="false">G4401*Assumptions!$E$62^(1/4)+H4392*$C$4341</f>
        <v>71820.1571802785</v>
      </c>
      <c r="I4401" s="54" t="n">
        <f aca="false">H4401*Assumptions!$E$62^(1/4)+I4392*$C$4341</f>
        <v>97947.5934119339</v>
      </c>
      <c r="J4401" s="54" t="n">
        <f aca="false">I4401*Assumptions!$E$62^(1/4)+J4392*$C$4341</f>
        <v>133357.425291711</v>
      </c>
      <c r="K4401" s="54" t="n">
        <f aca="false">J4401*Assumptions!$E$62^(1/4)+K4392*$C$4341</f>
        <v>174268.754549104</v>
      </c>
      <c r="L4401" s="54" t="n">
        <f aca="false">K4401*Assumptions!$E$62^(1/4)+L4392*$C$4341</f>
        <v>214263.755569901</v>
      </c>
      <c r="M4401" s="54" t="n">
        <f aca="false">L4401*Assumptions!$E$62^(1/4)+M4392*$C$4341</f>
        <v>253406.017081189</v>
      </c>
      <c r="N4401" s="54" t="n">
        <f aca="false">M4401*Assumptions!$E$62^(1/4)+N4392*$C$4341</f>
        <v>291754.71506138</v>
      </c>
      <c r="P4401" s="55" t="n">
        <f aca="false">F4401</f>
        <v>33067.2399880357</v>
      </c>
      <c r="Q4401" s="55" t="n">
        <f aca="false">J4401</f>
        <v>133357.425291711</v>
      </c>
      <c r="R4401" s="55" t="n">
        <f aca="false">N4401</f>
        <v>291754.71506138</v>
      </c>
      <c r="S4401" s="56" t="n">
        <f aca="false">R4401</f>
        <v>291754.71506138</v>
      </c>
    </row>
    <row r="4402" customFormat="false" ht="15" hidden="false" customHeight="false" outlineLevel="0" collapsed="false">
      <c r="A4402" s="4" t="s">
        <v>539</v>
      </c>
      <c r="B4402" s="36" t="s">
        <v>125</v>
      </c>
      <c r="C4402" s="54" t="n">
        <f aca="false">0*Assumptions!$E$63^(1/4)+C4393*$C$4342</f>
        <v>0</v>
      </c>
      <c r="D4402" s="54" t="n">
        <f aca="false">C4402*Assumptions!$E$63^(1/4)+D4393*$C$4342</f>
        <v>6186.7084416976</v>
      </c>
      <c r="E4402" s="54" t="n">
        <f aca="false">D4402*Assumptions!$E$63^(1/4)+E4393*$C$4342</f>
        <v>17114.1979667698</v>
      </c>
      <c r="F4402" s="54" t="n">
        <f aca="false">E4402*Assumptions!$E$63^(1/4)+F4393*$C$4342</f>
        <v>30576.1292798593</v>
      </c>
      <c r="G4402" s="54" t="n">
        <f aca="false">F4402*Assumptions!$E$63^(1/4)+G4393*$C$4342</f>
        <v>46625.1029105477</v>
      </c>
      <c r="H4402" s="54" t="n">
        <f aca="false">G4402*Assumptions!$E$63^(1/4)+H4393*$C$4342</f>
        <v>66750.4965628324</v>
      </c>
      <c r="I4402" s="54" t="n">
        <f aca="false">H4402*Assumptions!$E$63^(1/4)+I4393*$C$4342</f>
        <v>90874.746686584</v>
      </c>
      <c r="J4402" s="54" t="n">
        <f aca="false">I4402*Assumptions!$E$63^(1/4)+J4393*$C$4342</f>
        <v>121712.016086034</v>
      </c>
      <c r="K4402" s="54" t="n">
        <f aca="false">J4402*Assumptions!$E$63^(1/4)+K4393*$C$4342</f>
        <v>156694.335696948</v>
      </c>
      <c r="L4402" s="54" t="n">
        <f aca="false">K4402*Assumptions!$E$63^(1/4)+L4393*$C$4342</f>
        <v>191446.451961357</v>
      </c>
      <c r="M4402" s="54" t="n">
        <f aca="false">L4402*Assumptions!$E$63^(1/4)+M4393*$C$4342</f>
        <v>226016.584177389</v>
      </c>
      <c r="N4402" s="54" t="n">
        <f aca="false">M4402*Assumptions!$E$63^(1/4)+N4393*$C$4342</f>
        <v>260450.078606147</v>
      </c>
      <c r="P4402" s="55" t="n">
        <f aca="false">F4402</f>
        <v>30576.1292798593</v>
      </c>
      <c r="Q4402" s="55" t="n">
        <f aca="false">J4402</f>
        <v>121712.016086034</v>
      </c>
      <c r="R4402" s="55" t="n">
        <f aca="false">N4402</f>
        <v>260450.078606147</v>
      </c>
      <c r="S4402" s="56" t="n">
        <f aca="false">R4402</f>
        <v>260450.078606147</v>
      </c>
    </row>
    <row r="4403" customFormat="false" ht="15" hidden="false" customHeight="false" outlineLevel="0" collapsed="false">
      <c r="A4403" s="4" t="s">
        <v>540</v>
      </c>
      <c r="B4403" s="36" t="s">
        <v>125</v>
      </c>
      <c r="C4403" s="54" t="n">
        <f aca="false">0*Assumptions!$E$64^(1/4)+C4394*$C$4343</f>
        <v>0</v>
      </c>
      <c r="D4403" s="54" t="n">
        <f aca="false">C4403*Assumptions!$E$64^(1/4)+D4394*$C$4343</f>
        <v>0</v>
      </c>
      <c r="E4403" s="54" t="n">
        <f aca="false">D4403*Assumptions!$E$64^(1/4)+E4394*$C$4343</f>
        <v>6425.59241899718</v>
      </c>
      <c r="F4403" s="54" t="n">
        <f aca="false">E4403*Assumptions!$E$64^(1/4)+F4394*$C$4343</f>
        <v>17909.212650298</v>
      </c>
      <c r="G4403" s="54" t="n">
        <f aca="false">F4403*Assumptions!$E$64^(1/4)+G4394*$C$4343</f>
        <v>32266.9313829275</v>
      </c>
      <c r="H4403" s="54" t="n">
        <f aca="false">G4403*Assumptions!$E$64^(1/4)+H4394*$C$4343</f>
        <v>49616.9515894457</v>
      </c>
      <c r="I4403" s="54" t="n">
        <f aca="false">H4403*Assumptions!$E$64^(1/4)+I4394*$C$4343</f>
        <v>70267.4207116178</v>
      </c>
      <c r="J4403" s="54" t="n">
        <f aca="false">I4403*Assumptions!$E$64^(1/4)+J4394*$C$4343</f>
        <v>94320.7582581992</v>
      </c>
      <c r="K4403" s="54" t="n">
        <f aca="false">J4403*Assumptions!$E$64^(1/4)+K4394*$C$4343</f>
        <v>123931.849001789</v>
      </c>
      <c r="L4403" s="54" t="n">
        <f aca="false">K4403*Assumptions!$E$64^(1/4)+L4394*$C$4343</f>
        <v>157261.884096355</v>
      </c>
      <c r="M4403" s="54" t="n">
        <f aca="false">L4403*Assumptions!$E$64^(1/4)+M4394*$C$4343</f>
        <v>191129.250641389</v>
      </c>
      <c r="N4403" s="54" t="n">
        <f aca="false">M4403*Assumptions!$E$64^(1/4)+N4394*$C$4343</f>
        <v>225598.010703243</v>
      </c>
      <c r="P4403" s="55" t="n">
        <f aca="false">F4403</f>
        <v>17909.212650298</v>
      </c>
      <c r="Q4403" s="55" t="n">
        <f aca="false">J4403</f>
        <v>94320.7582581992</v>
      </c>
      <c r="R4403" s="55" t="n">
        <f aca="false">N4403</f>
        <v>225598.010703243</v>
      </c>
      <c r="S4403" s="56" t="n">
        <f aca="false">R4403</f>
        <v>225598.010703243</v>
      </c>
    </row>
    <row r="4404" customFormat="false" ht="15" hidden="false" customHeight="false" outlineLevel="0" collapsed="false">
      <c r="A4404" s="9" t="s">
        <v>541</v>
      </c>
      <c r="B4404" s="36" t="s">
        <v>125</v>
      </c>
      <c r="C4404" s="55" t="n">
        <f aca="false">C4401+C4402+C4403</f>
        <v>0</v>
      </c>
      <c r="D4404" s="55" t="n">
        <f aca="false">D4401+D4402+D4403</f>
        <v>12953.1275571647</v>
      </c>
      <c r="E4404" s="55" t="n">
        <f aca="false">E4401+E4402+E4403</f>
        <v>42158.3438260305</v>
      </c>
      <c r="F4404" s="55" t="n">
        <f aca="false">F4401+F4402+F4403</f>
        <v>81552.581918193</v>
      </c>
      <c r="G4404" s="55" t="n">
        <f aca="false">G4401+G4402+G4403</f>
        <v>129021.367578791</v>
      </c>
      <c r="H4404" s="55" t="n">
        <f aca="false">H4401+H4402+H4403</f>
        <v>188187.605332557</v>
      </c>
      <c r="I4404" s="55" t="n">
        <f aca="false">I4401+I4402+I4403</f>
        <v>259089.760810136</v>
      </c>
      <c r="J4404" s="55" t="n">
        <f aca="false">J4401+J4402+J4403</f>
        <v>349390.199635945</v>
      </c>
      <c r="K4404" s="55" t="n">
        <f aca="false">K4401+K4402+K4403</f>
        <v>454894.93924784</v>
      </c>
      <c r="L4404" s="55" t="n">
        <f aca="false">L4401+L4402+L4403</f>
        <v>562972.091627613</v>
      </c>
      <c r="M4404" s="55" t="n">
        <f aca="false">M4401+M4402+M4403</f>
        <v>670551.851899966</v>
      </c>
      <c r="N4404" s="55" t="n">
        <f aca="false">N4401+N4402+N4403</f>
        <v>777802.80437077</v>
      </c>
      <c r="P4404" s="55" t="n">
        <f aca="false">F4404</f>
        <v>81552.581918193</v>
      </c>
      <c r="Q4404" s="55" t="n">
        <f aca="false">J4404</f>
        <v>349390.199635945</v>
      </c>
      <c r="R4404" s="55" t="n">
        <f aca="false">N4404</f>
        <v>777802.80437077</v>
      </c>
      <c r="S4404" s="56" t="n">
        <f aca="false">R4404</f>
        <v>777802.80437077</v>
      </c>
    </row>
    <row r="4405" customFormat="false" ht="15" hidden="false" customHeight="false" outlineLevel="0" collapsed="false">
      <c r="A4405" s="4" t="s">
        <v>542</v>
      </c>
      <c r="B4405" s="36" t="s">
        <v>125</v>
      </c>
      <c r="C4405" s="54" t="n">
        <f aca="false">C4392*$C$4341+C4393*$C$4342+C4394*$C$4343</f>
        <v>0</v>
      </c>
      <c r="D4405" s="54" t="n">
        <f aca="false">D4392*$C$4341+D4393*$C$4342+D4394*$C$4343</f>
        <v>12953.1275571647</v>
      </c>
      <c r="E4405" s="54" t="n">
        <f aca="false">E4392*$C$4341+E4393*$C$4342+E4394*$C$4343</f>
        <v>29114.4334609021</v>
      </c>
      <c r="F4405" s="54" t="n">
        <f aca="false">F4392*$C$4341+F4393*$C$4342+F4394*$C$4343</f>
        <v>38914.6252781233</v>
      </c>
      <c r="G4405" s="54" t="n">
        <f aca="false">G4392*$C$4341+G4393*$C$4342+G4394*$C$4343</f>
        <v>46383.2990924747</v>
      </c>
      <c r="H4405" s="54" t="n">
        <f aca="false">H4392*$C$4341+H4393*$C$4342+H4394*$C$4343</f>
        <v>57334.7181566342</v>
      </c>
      <c r="I4405" s="54" t="n">
        <f aca="false">I4392*$C$4341+I4393*$C$4342+I4394*$C$4343</f>
        <v>68158.3856068784</v>
      </c>
      <c r="J4405" s="54" t="n">
        <f aca="false">J4392*$C$4341+J4393*$C$4342+J4394*$C$4343</f>
        <v>86468.3824623215</v>
      </c>
      <c r="K4405" s="54" t="n">
        <f aca="false">K4392*$C$4341+K4393*$C$4342+K4394*$C$4343</f>
        <v>100364.891488227</v>
      </c>
      <c r="L4405" s="54" t="n">
        <f aca="false">L4392*$C$4341+L4393*$C$4342+L4394*$C$4343</f>
        <v>101371.065654291</v>
      </c>
      <c r="M4405" s="54" t="n">
        <f aca="false">M4392*$C$4341+M4393*$C$4342+M4394*$C$4343</f>
        <v>99178.5744064111</v>
      </c>
      <c r="N4405" s="54" t="n">
        <f aca="false">N4392*$C$4341+N4393*$C$4342+N4394*$C$4343</f>
        <v>97138.2313975952</v>
      </c>
      <c r="P4405" s="55" t="n">
        <f aca="false">SUM(C4405:F4405)</f>
        <v>80982.18629619</v>
      </c>
      <c r="Q4405" s="55" t="n">
        <f aca="false">SUM(G4405:J4405)</f>
        <v>258344.785318309</v>
      </c>
      <c r="R4405" s="55" t="n">
        <f aca="false">SUM(K4405:N4405)</f>
        <v>398052.762946525</v>
      </c>
      <c r="S4405" s="56" t="n">
        <f aca="false">SUM(P4405:R4405)</f>
        <v>737379.734561024</v>
      </c>
    </row>
    <row r="4406" customFormat="false" ht="15" hidden="false" customHeight="false" outlineLevel="0" collapsed="false">
      <c r="A4406" s="9" t="s">
        <v>543</v>
      </c>
      <c r="B4406" s="36" t="s">
        <v>125</v>
      </c>
      <c r="C4406" s="55" t="n">
        <f aca="false">(0+C4404)/8</f>
        <v>0</v>
      </c>
      <c r="D4406" s="55" t="n">
        <f aca="false">(C4404+D4404)/8</f>
        <v>1619.14094464558</v>
      </c>
      <c r="E4406" s="55" t="n">
        <f aca="false">(D4404+E4404)/8</f>
        <v>6888.9339228994</v>
      </c>
      <c r="F4406" s="55" t="n">
        <f aca="false">(E4404+F4404)/8</f>
        <v>15463.8657180279</v>
      </c>
      <c r="G4406" s="55" t="n">
        <f aca="false">(F4404+G4404)/8</f>
        <v>26321.743687123</v>
      </c>
      <c r="H4406" s="55" t="n">
        <f aca="false">(G4404+H4404)/8</f>
        <v>39651.1216139185</v>
      </c>
      <c r="I4406" s="55" t="n">
        <f aca="false">(H4404+I4404)/8</f>
        <v>55909.6707678365</v>
      </c>
      <c r="J4406" s="55" t="n">
        <f aca="false">(I4404+J4404)/8</f>
        <v>76059.99505576</v>
      </c>
      <c r="K4406" s="55" t="n">
        <f aca="false">(J4404+K4404)/8</f>
        <v>100535.642360473</v>
      </c>
      <c r="L4406" s="55" t="n">
        <f aca="false">(K4404+L4404)/8</f>
        <v>127233.378859432</v>
      </c>
      <c r="M4406" s="55" t="n">
        <f aca="false">(L4404+M4404)/8</f>
        <v>154190.492940947</v>
      </c>
      <c r="N4406" s="55" t="n">
        <f aca="false">(M4404+N4404)/8</f>
        <v>181044.332033842</v>
      </c>
      <c r="P4406" s="55" t="n">
        <f aca="false">SUM(C4406:F4406)</f>
        <v>23971.9405855729</v>
      </c>
      <c r="Q4406" s="55" t="n">
        <f aca="false">SUM(G4406:J4406)</f>
        <v>197942.531124638</v>
      </c>
      <c r="R4406" s="55" t="n">
        <f aca="false">SUM(K4406:N4406)</f>
        <v>563003.846194694</v>
      </c>
      <c r="S4406" s="56" t="n">
        <f aca="false">SUM(P4406:R4406)</f>
        <v>784918.317904905</v>
      </c>
    </row>
    <row r="4407" customFormat="false" ht="15" hidden="false" customHeight="false" outlineLevel="0" collapsed="false">
      <c r="A4407" s="4" t="s">
        <v>544</v>
      </c>
      <c r="B4407" s="36" t="s">
        <v>125</v>
      </c>
      <c r="C4407" s="54" t="n">
        <f aca="false">C4406*Assumptions!$E$76</f>
        <v>0</v>
      </c>
      <c r="D4407" s="54" t="n">
        <f aca="false">D4406*Assumptions!$E$76</f>
        <v>1052.44161401963</v>
      </c>
      <c r="E4407" s="54" t="n">
        <f aca="false">E4406*Assumptions!$E$76</f>
        <v>4477.80704988461</v>
      </c>
      <c r="F4407" s="54" t="n">
        <f aca="false">F4406*Assumptions!$E$76</f>
        <v>10051.5127167182</v>
      </c>
      <c r="G4407" s="54" t="n">
        <f aca="false">G4406*Assumptions!$E$76</f>
        <v>17109.13339663</v>
      </c>
      <c r="H4407" s="54" t="n">
        <f aca="false">H4406*Assumptions!$E$76</f>
        <v>25773.229049047</v>
      </c>
      <c r="I4407" s="54" t="n">
        <f aca="false">I4406*Assumptions!$E$76</f>
        <v>36341.2859990938</v>
      </c>
      <c r="J4407" s="54" t="n">
        <f aca="false">J4406*Assumptions!$E$76</f>
        <v>49438.996786244</v>
      </c>
      <c r="K4407" s="54" t="n">
        <f aca="false">K4406*Assumptions!$E$76</f>
        <v>65348.1675343075</v>
      </c>
      <c r="L4407" s="54" t="n">
        <f aca="false">L4406*Assumptions!$E$76</f>
        <v>82701.6962586306</v>
      </c>
      <c r="M4407" s="54" t="n">
        <f aca="false">M4406*Assumptions!$E$76</f>
        <v>100223.820411616</v>
      </c>
      <c r="N4407" s="54" t="n">
        <f aca="false">N4406*Assumptions!$E$76</f>
        <v>117678.815821997</v>
      </c>
      <c r="P4407" s="55" t="n">
        <f aca="false">SUM(C4407:F4407)</f>
        <v>15581.7613806224</v>
      </c>
      <c r="Q4407" s="55" t="n">
        <f aca="false">SUM(G4407:J4407)</f>
        <v>128662.645231015</v>
      </c>
      <c r="R4407" s="55" t="n">
        <f aca="false">SUM(K4407:N4407)</f>
        <v>365952.500026551</v>
      </c>
      <c r="S4407" s="56" t="n">
        <f aca="false">SUM(P4407:R4407)</f>
        <v>510196.906638188</v>
      </c>
    </row>
    <row r="4408" customFormat="false" ht="15" hidden="false" customHeight="false" outlineLevel="0" collapsed="false">
      <c r="A4408" s="35" t="s">
        <v>547</v>
      </c>
      <c r="B4408" s="35" t="s">
        <v>444</v>
      </c>
      <c r="C4408" s="6" t="s">
        <v>354</v>
      </c>
      <c r="D4408" s="6" t="s">
        <v>355</v>
      </c>
      <c r="E4408" s="6" t="s">
        <v>356</v>
      </c>
      <c r="F4408" s="6" t="s">
        <v>357</v>
      </c>
      <c r="G4408" s="6" t="s">
        <v>358</v>
      </c>
      <c r="H4408" s="6" t="s">
        <v>359</v>
      </c>
      <c r="I4408" s="6" t="s">
        <v>360</v>
      </c>
      <c r="J4408" s="6" t="s">
        <v>361</v>
      </c>
      <c r="K4408" s="6" t="s">
        <v>362</v>
      </c>
      <c r="L4408" s="6" t="s">
        <v>363</v>
      </c>
      <c r="M4408" s="6" t="s">
        <v>364</v>
      </c>
      <c r="N4408" s="6" t="s">
        <v>365</v>
      </c>
      <c r="P4408" s="6" t="s">
        <v>445</v>
      </c>
      <c r="Q4408" s="6" t="s">
        <v>446</v>
      </c>
      <c r="R4408" s="6" t="s">
        <v>447</v>
      </c>
      <c r="S4408" s="6" t="s">
        <v>448</v>
      </c>
    </row>
    <row r="4409" customFormat="false" ht="15" hidden="false" customHeight="false" outlineLevel="0" collapsed="false">
      <c r="A4409" s="4" t="s">
        <v>548</v>
      </c>
      <c r="B4409" s="36" t="s">
        <v>321</v>
      </c>
      <c r="C4409" s="48" t="n">
        <f aca="false">Assumptions!$D$97*C4351</f>
        <v>1</v>
      </c>
      <c r="D4409" s="48" t="n">
        <f aca="false">Assumptions!$D$97*D4351</f>
        <v>1</v>
      </c>
      <c r="E4409" s="48" t="n">
        <f aca="false">Assumptions!$D$97*E4351</f>
        <v>1</v>
      </c>
      <c r="F4409" s="48" t="n">
        <f aca="false">Assumptions!$D$97*F4351</f>
        <v>1</v>
      </c>
      <c r="G4409" s="48" t="n">
        <f aca="false">Assumptions!$D$97*G4351</f>
        <v>1</v>
      </c>
      <c r="H4409" s="48" t="n">
        <f aca="false">Assumptions!$D$97*H4351</f>
        <v>1</v>
      </c>
      <c r="I4409" s="48" t="n">
        <f aca="false">Assumptions!$D$97*I4351</f>
        <v>1</v>
      </c>
      <c r="J4409" s="48" t="n">
        <f aca="false">Assumptions!$D$97*J4351</f>
        <v>1</v>
      </c>
      <c r="K4409" s="48" t="n">
        <f aca="false">Assumptions!$D$97*K4351</f>
        <v>1</v>
      </c>
      <c r="L4409" s="48" t="n">
        <f aca="false">Assumptions!$D$97*L4351</f>
        <v>1</v>
      </c>
      <c r="M4409" s="48" t="n">
        <f aca="false">Assumptions!$D$97*M4351</f>
        <v>1</v>
      </c>
      <c r="N4409" s="48" t="n">
        <f aca="false">Assumptions!$D$97*N4351</f>
        <v>1</v>
      </c>
      <c r="P4409" s="49" t="n">
        <f aca="false">AVERAGE(C4409:F4409)</f>
        <v>1</v>
      </c>
      <c r="Q4409" s="49" t="n">
        <f aca="false">AVERAGE(G4409:J4409)</f>
        <v>1</v>
      </c>
      <c r="R4409" s="49" t="n">
        <f aca="false">AVERAGE(K4409:N4409)</f>
        <v>1</v>
      </c>
      <c r="S4409" s="50"/>
    </row>
    <row r="4410" customFormat="false" ht="15" hidden="false" customHeight="false" outlineLevel="0" collapsed="false">
      <c r="A4410" s="4" t="s">
        <v>549</v>
      </c>
      <c r="B4410" s="36" t="s">
        <v>321</v>
      </c>
      <c r="C4410" s="48" t="n">
        <f aca="false">C4364*C4351</f>
        <v>0</v>
      </c>
      <c r="D4410" s="48" t="n">
        <f aca="false">D4364*D4351</f>
        <v>0</v>
      </c>
      <c r="E4410" s="48" t="n">
        <f aca="false">E4364*E4351</f>
        <v>0</v>
      </c>
      <c r="F4410" s="48" t="n">
        <f aca="false">F4364*F4351</f>
        <v>0</v>
      </c>
      <c r="G4410" s="48" t="n">
        <f aca="false">G4364*G4351</f>
        <v>0</v>
      </c>
      <c r="H4410" s="48" t="n">
        <f aca="false">H4364*H4351</f>
        <v>0</v>
      </c>
      <c r="I4410" s="48" t="n">
        <f aca="false">I4364*I4351</f>
        <v>0</v>
      </c>
      <c r="J4410" s="48" t="n">
        <f aca="false">J4364*J4351</f>
        <v>0</v>
      </c>
      <c r="K4410" s="48" t="n">
        <f aca="false">K4364*K4351</f>
        <v>0</v>
      </c>
      <c r="L4410" s="48" t="n">
        <f aca="false">L4364*L4351</f>
        <v>0</v>
      </c>
      <c r="M4410" s="48" t="n">
        <f aca="false">M4364*M4351</f>
        <v>0</v>
      </c>
      <c r="N4410" s="48" t="n">
        <f aca="false">N4364*N4351</f>
        <v>0</v>
      </c>
      <c r="P4410" s="49" t="n">
        <f aca="false">AVERAGE(C4410:F4410)</f>
        <v>0</v>
      </c>
      <c r="Q4410" s="49" t="n">
        <f aca="false">AVERAGE(G4410:J4410)</f>
        <v>0</v>
      </c>
      <c r="R4410" s="49" t="n">
        <f aca="false">AVERAGE(K4410:N4410)</f>
        <v>0</v>
      </c>
      <c r="S4410" s="50"/>
    </row>
    <row r="4411" customFormat="false" ht="15" hidden="false" customHeight="false" outlineLevel="0" collapsed="false">
      <c r="A4411" s="4" t="s">
        <v>550</v>
      </c>
      <c r="B4411" s="36" t="s">
        <v>321</v>
      </c>
      <c r="C4411" s="48" t="n">
        <f aca="false">IF(C4350&lt;=4,Assumptions!$D$98,Assumptions!$D$99)*C4351</f>
        <v>0</v>
      </c>
      <c r="D4411" s="48" t="n">
        <f aca="false">IF(D4350&lt;=4,Assumptions!$D$98,Assumptions!$D$99)*D4351</f>
        <v>0</v>
      </c>
      <c r="E4411" s="48" t="n">
        <f aca="false">IF(E4350&lt;=4,Assumptions!$D$98,Assumptions!$D$99)*E4351</f>
        <v>0</v>
      </c>
      <c r="F4411" s="48" t="n">
        <f aca="false">IF(F4350&lt;=4,Assumptions!$D$98,Assumptions!$D$99)*F4351</f>
        <v>0</v>
      </c>
      <c r="G4411" s="48" t="n">
        <f aca="false">IF(G4350&lt;=4,Assumptions!$D$98,Assumptions!$D$99)*G4351</f>
        <v>0.5</v>
      </c>
      <c r="H4411" s="48" t="n">
        <f aca="false">IF(H4350&lt;=4,Assumptions!$D$98,Assumptions!$D$99)*H4351</f>
        <v>0.5</v>
      </c>
      <c r="I4411" s="48" t="n">
        <f aca="false">IF(I4350&lt;=4,Assumptions!$D$98,Assumptions!$D$99)*I4351</f>
        <v>0.5</v>
      </c>
      <c r="J4411" s="48" t="n">
        <f aca="false">IF(J4350&lt;=4,Assumptions!$D$98,Assumptions!$D$99)*J4351</f>
        <v>0.5</v>
      </c>
      <c r="K4411" s="48" t="n">
        <f aca="false">IF(K4350&lt;=4,Assumptions!$D$98,Assumptions!$D$99)*K4351</f>
        <v>0.5</v>
      </c>
      <c r="L4411" s="48" t="n">
        <f aca="false">IF(L4350&lt;=4,Assumptions!$D$98,Assumptions!$D$99)*L4351</f>
        <v>0.5</v>
      </c>
      <c r="M4411" s="48" t="n">
        <f aca="false">IF(M4350&lt;=4,Assumptions!$D$98,Assumptions!$D$99)*M4351</f>
        <v>0.5</v>
      </c>
      <c r="N4411" s="48" t="n">
        <f aca="false">IF(N4350&lt;=4,Assumptions!$D$98,Assumptions!$D$99)*N4351</f>
        <v>0.5</v>
      </c>
      <c r="P4411" s="49" t="n">
        <f aca="false">AVERAGE(C4411:F4411)</f>
        <v>0</v>
      </c>
      <c r="Q4411" s="49" t="n">
        <f aca="false">AVERAGE(G4411:J4411)</f>
        <v>0.5</v>
      </c>
      <c r="R4411" s="49" t="n">
        <f aca="false">AVERAGE(K4411:N4411)</f>
        <v>0.5</v>
      </c>
      <c r="S4411" s="50"/>
    </row>
    <row r="4412" customFormat="false" ht="15" hidden="false" customHeight="false" outlineLevel="0" collapsed="false">
      <c r="A4412" s="4" t="s">
        <v>551</v>
      </c>
      <c r="B4412" s="36" t="s">
        <v>321</v>
      </c>
      <c r="C4412" s="48" t="n">
        <f aca="false">IF(C4350&lt;=4,Assumptions!$D$100,Assumptions!$D$101)*C4351</f>
        <v>1</v>
      </c>
      <c r="D4412" s="48" t="n">
        <f aca="false">IF(D4350&lt;=4,Assumptions!$D$100,Assumptions!$D$101)*D4351</f>
        <v>1</v>
      </c>
      <c r="E4412" s="48" t="n">
        <f aca="false">IF(E4350&lt;=4,Assumptions!$D$100,Assumptions!$D$101)*E4351</f>
        <v>1</v>
      </c>
      <c r="F4412" s="48" t="n">
        <f aca="false">IF(F4350&lt;=4,Assumptions!$D$100,Assumptions!$D$101)*F4351</f>
        <v>1</v>
      </c>
      <c r="G4412" s="48" t="n">
        <f aca="false">IF(G4350&lt;=4,Assumptions!$D$100,Assumptions!$D$101)*G4351</f>
        <v>0.5</v>
      </c>
      <c r="H4412" s="48" t="n">
        <f aca="false">IF(H4350&lt;=4,Assumptions!$D$100,Assumptions!$D$101)*H4351</f>
        <v>0.5</v>
      </c>
      <c r="I4412" s="48" t="n">
        <f aca="false">IF(I4350&lt;=4,Assumptions!$D$100,Assumptions!$D$101)*I4351</f>
        <v>0.5</v>
      </c>
      <c r="J4412" s="48" t="n">
        <f aca="false">IF(J4350&lt;=4,Assumptions!$D$100,Assumptions!$D$101)*J4351</f>
        <v>0.5</v>
      </c>
      <c r="K4412" s="48" t="n">
        <f aca="false">IF(K4350&lt;=4,Assumptions!$D$100,Assumptions!$D$101)*K4351</f>
        <v>0.5</v>
      </c>
      <c r="L4412" s="48" t="n">
        <f aca="false">IF(L4350&lt;=4,Assumptions!$D$100,Assumptions!$D$101)*L4351</f>
        <v>0.5</v>
      </c>
      <c r="M4412" s="48" t="n">
        <f aca="false">IF(M4350&lt;=4,Assumptions!$D$100,Assumptions!$D$101)*M4351</f>
        <v>0.5</v>
      </c>
      <c r="N4412" s="48" t="n">
        <f aca="false">IF(N4350&lt;=4,Assumptions!$D$100,Assumptions!$D$101)*N4351</f>
        <v>0.5</v>
      </c>
      <c r="P4412" s="49" t="n">
        <f aca="false">AVERAGE(C4412:F4412)</f>
        <v>1</v>
      </c>
      <c r="Q4412" s="49" t="n">
        <f aca="false">AVERAGE(G4412:J4412)</f>
        <v>0.5</v>
      </c>
      <c r="R4412" s="49" t="n">
        <f aca="false">AVERAGE(K4412:N4412)</f>
        <v>0.5</v>
      </c>
      <c r="S4412" s="50"/>
    </row>
    <row r="4413" customFormat="false" ht="15" hidden="false" customHeight="false" outlineLevel="0" collapsed="false">
      <c r="A4413" s="4" t="s">
        <v>552</v>
      </c>
      <c r="B4413" s="36" t="s">
        <v>321</v>
      </c>
      <c r="C4413" s="48" t="n">
        <f aca="false">Assumptions!$D$102*C4351</f>
        <v>0.25</v>
      </c>
      <c r="D4413" s="48" t="n">
        <f aca="false">Assumptions!$D$102*D4351</f>
        <v>0.25</v>
      </c>
      <c r="E4413" s="48" t="n">
        <f aca="false">Assumptions!$D$102*E4351</f>
        <v>0.25</v>
      </c>
      <c r="F4413" s="48" t="n">
        <f aca="false">Assumptions!$D$102*F4351</f>
        <v>0.25</v>
      </c>
      <c r="G4413" s="48" t="n">
        <f aca="false">Assumptions!$D$102*G4351</f>
        <v>0.25</v>
      </c>
      <c r="H4413" s="48" t="n">
        <f aca="false">Assumptions!$D$102*H4351</f>
        <v>0.25</v>
      </c>
      <c r="I4413" s="48" t="n">
        <f aca="false">Assumptions!$D$102*I4351</f>
        <v>0.25</v>
      </c>
      <c r="J4413" s="48" t="n">
        <f aca="false">Assumptions!$D$102*J4351</f>
        <v>0.25</v>
      </c>
      <c r="K4413" s="48" t="n">
        <f aca="false">Assumptions!$D$102*K4351</f>
        <v>0.25</v>
      </c>
      <c r="L4413" s="48" t="n">
        <f aca="false">Assumptions!$D$102*L4351</f>
        <v>0.25</v>
      </c>
      <c r="M4413" s="48" t="n">
        <f aca="false">Assumptions!$D$102*M4351</f>
        <v>0.25</v>
      </c>
      <c r="N4413" s="48" t="n">
        <f aca="false">Assumptions!$D$102*N4351</f>
        <v>0.25</v>
      </c>
      <c r="P4413" s="49" t="n">
        <f aca="false">AVERAGE(C4413:F4413)</f>
        <v>0.25</v>
      </c>
      <c r="Q4413" s="49" t="n">
        <f aca="false">AVERAGE(G4413:J4413)</f>
        <v>0.25</v>
      </c>
      <c r="R4413" s="49" t="n">
        <f aca="false">AVERAGE(K4413:N4413)</f>
        <v>0.25</v>
      </c>
      <c r="S4413" s="50"/>
    </row>
    <row r="4414" customFormat="false" ht="15" hidden="false" customHeight="false" outlineLevel="0" collapsed="false">
      <c r="A4414" s="4" t="s">
        <v>553</v>
      </c>
      <c r="B4414" s="36" t="s">
        <v>321</v>
      </c>
      <c r="C4414" s="48" t="n">
        <f aca="false">(C4398+C4399)/Assumptions!$E$74+C4397/Assumptions!$E$75</f>
        <v>0</v>
      </c>
      <c r="D4414" s="48" t="n">
        <f aca="false">(D4398+D4399)/Assumptions!$E$74+D4397/Assumptions!$E$75</f>
        <v>0.020893312156854</v>
      </c>
      <c r="E4414" s="48" t="n">
        <f aca="false">(E4398+E4399)/Assumptions!$E$74+E4397/Assumptions!$E$75</f>
        <v>0.0595197890554374</v>
      </c>
      <c r="F4414" s="48" t="n">
        <f aca="false">(F4398+F4399)/Assumptions!$E$74+F4397/Assumptions!$E$75</f>
        <v>0.107080615179857</v>
      </c>
      <c r="G4414" s="48" t="n">
        <f aca="false">(G4398+G4399)/Assumptions!$E$74+G4397/Assumptions!$E$75</f>
        <v>0.162440118756356</v>
      </c>
      <c r="H4414" s="48" t="n">
        <f aca="false">(H4398+H4399)/Assumptions!$E$74+H4397/Assumptions!$E$75</f>
        <v>0.230619446899137</v>
      </c>
      <c r="I4414" s="48" t="n">
        <f aca="false">(I4398+I4399)/Assumptions!$E$74+I4397/Assumptions!$E$75</f>
        <v>0.310859705586454</v>
      </c>
      <c r="J4414" s="48" t="n">
        <f aca="false">(J4398+J4399)/Assumptions!$E$74+J4397/Assumptions!$E$75</f>
        <v>0.413249873677661</v>
      </c>
      <c r="K4414" s="48" t="n">
        <f aca="false">(K4398+K4399)/Assumptions!$E$74+K4397/Assumptions!$E$75</f>
        <v>0.52835621215509</v>
      </c>
      <c r="L4414" s="48" t="n">
        <f aca="false">(L4398+L4399)/Assumptions!$E$74+L4397/Assumptions!$E$75</f>
        <v>0.638863431547123</v>
      </c>
      <c r="M4414" s="48" t="n">
        <f aca="false">(M4398+M4399)/Assumptions!$E$74+M4397/Assumptions!$E$75</f>
        <v>0.743742837086442</v>
      </c>
      <c r="N4414" s="48" t="n">
        <f aca="false">(N4398+N4399)/Assumptions!$E$74+N4397/Assumptions!$E$75</f>
        <v>0.843331412168495</v>
      </c>
      <c r="P4414" s="49" t="n">
        <f aca="false">AVERAGE(C4414:F4414)</f>
        <v>0.046873429098037</v>
      </c>
      <c r="Q4414" s="49" t="n">
        <f aca="false">AVERAGE(G4414:J4414)</f>
        <v>0.279292286229902</v>
      </c>
      <c r="R4414" s="49" t="n">
        <f aca="false">AVERAGE(K4414:N4414)</f>
        <v>0.688573473239288</v>
      </c>
      <c r="S4414" s="50"/>
    </row>
    <row r="4415" customFormat="false" ht="15" hidden="false" customHeight="false" outlineLevel="0" collapsed="false">
      <c r="A4415" s="4" t="s">
        <v>554</v>
      </c>
      <c r="B4415" s="36" t="s">
        <v>125</v>
      </c>
      <c r="C4415" s="54" t="n">
        <f aca="false">(C4409+C4411)*Assumptions!$E$70/Assumptions!$E$69/4</f>
        <v>66753.5714285714</v>
      </c>
      <c r="D4415" s="54" t="n">
        <f aca="false">(D4409+D4411)*Assumptions!$E$70/Assumptions!$E$69/4</f>
        <v>66753.5714285714</v>
      </c>
      <c r="E4415" s="54" t="n">
        <f aca="false">(E4409+E4411)*Assumptions!$E$70/Assumptions!$E$69/4</f>
        <v>66753.5714285714</v>
      </c>
      <c r="F4415" s="54" t="n">
        <f aca="false">(F4409+F4411)*Assumptions!$E$70/Assumptions!$E$69/4</f>
        <v>66753.5714285714</v>
      </c>
      <c r="G4415" s="54" t="n">
        <f aca="false">(G4409+G4411)*Assumptions!$E$70/Assumptions!$E$69/4</f>
        <v>100130.357142857</v>
      </c>
      <c r="H4415" s="54" t="n">
        <f aca="false">(H4409+H4411)*Assumptions!$E$70/Assumptions!$E$69/4</f>
        <v>100130.357142857</v>
      </c>
      <c r="I4415" s="54" t="n">
        <f aca="false">(I4409+I4411)*Assumptions!$E$70/Assumptions!$E$69/4</f>
        <v>100130.357142857</v>
      </c>
      <c r="J4415" s="54" t="n">
        <f aca="false">(J4409+J4411)*Assumptions!$E$70/Assumptions!$E$69/4</f>
        <v>100130.357142857</v>
      </c>
      <c r="K4415" s="54" t="n">
        <f aca="false">(K4409+K4411)*Assumptions!$E$70/Assumptions!$E$69/4</f>
        <v>100130.357142857</v>
      </c>
      <c r="L4415" s="54" t="n">
        <f aca="false">(L4409+L4411)*Assumptions!$E$70/Assumptions!$E$69/4</f>
        <v>100130.357142857</v>
      </c>
      <c r="M4415" s="54" t="n">
        <f aca="false">(M4409+M4411)*Assumptions!$E$70/Assumptions!$E$69/4</f>
        <v>100130.357142857</v>
      </c>
      <c r="N4415" s="54" t="n">
        <f aca="false">(N4409+N4411)*Assumptions!$E$70/Assumptions!$E$69/4</f>
        <v>100130.357142857</v>
      </c>
      <c r="P4415" s="55" t="n">
        <f aca="false">SUM(C4415:F4415)</f>
        <v>267014.285714286</v>
      </c>
      <c r="Q4415" s="55" t="n">
        <f aca="false">SUM(G4415:J4415)</f>
        <v>400521.428571429</v>
      </c>
      <c r="R4415" s="55" t="n">
        <f aca="false">SUM(K4415:N4415)</f>
        <v>400521.428571429</v>
      </c>
      <c r="S4415" s="56" t="n">
        <f aca="false">SUM(P4415:R4415)</f>
        <v>1068057.14285714</v>
      </c>
    </row>
    <row r="4416" customFormat="false" ht="15" hidden="false" customHeight="false" outlineLevel="0" collapsed="false">
      <c r="A4416" s="4" t="s">
        <v>555</v>
      </c>
      <c r="B4416" s="36" t="s">
        <v>125</v>
      </c>
      <c r="C4416" s="54" t="n">
        <f aca="false">C4410*$C$4345/4</f>
        <v>0</v>
      </c>
      <c r="D4416" s="54" t="n">
        <f aca="false">D4410*$C$4345/4</f>
        <v>0</v>
      </c>
      <c r="E4416" s="54" t="n">
        <f aca="false">E4410*$C$4345/4</f>
        <v>0</v>
      </c>
      <c r="F4416" s="54" t="n">
        <f aca="false">F4410*$C$4345/4</f>
        <v>0</v>
      </c>
      <c r="G4416" s="54" t="n">
        <f aca="false">G4410*$C$4345/4</f>
        <v>0</v>
      </c>
      <c r="H4416" s="54" t="n">
        <f aca="false">H4410*$C$4345/4</f>
        <v>0</v>
      </c>
      <c r="I4416" s="54" t="n">
        <f aca="false">I4410*$C$4345/4</f>
        <v>0</v>
      </c>
      <c r="J4416" s="54" t="n">
        <f aca="false">J4410*$C$4345/4</f>
        <v>0</v>
      </c>
      <c r="K4416" s="54" t="n">
        <f aca="false">K4410*$C$4345/4</f>
        <v>0</v>
      </c>
      <c r="L4416" s="54" t="n">
        <f aca="false">L4410*$C$4345/4</f>
        <v>0</v>
      </c>
      <c r="M4416" s="54" t="n">
        <f aca="false">M4410*$C$4345/4</f>
        <v>0</v>
      </c>
      <c r="N4416" s="54" t="n">
        <f aca="false">N4410*$C$4345/4</f>
        <v>0</v>
      </c>
      <c r="P4416" s="55" t="n">
        <f aca="false">SUM(C4416:F4416)</f>
        <v>0</v>
      </c>
      <c r="Q4416" s="55" t="n">
        <f aca="false">SUM(G4416:J4416)</f>
        <v>0</v>
      </c>
      <c r="R4416" s="55" t="n">
        <f aca="false">SUM(K4416:N4416)</f>
        <v>0</v>
      </c>
      <c r="S4416" s="56" t="n">
        <f aca="false">SUM(P4416:R4416)</f>
        <v>0</v>
      </c>
    </row>
    <row r="4417" customFormat="false" ht="15" hidden="false" customHeight="false" outlineLevel="0" collapsed="false">
      <c r="A4417" s="4" t="s">
        <v>556</v>
      </c>
      <c r="B4417" s="36" t="s">
        <v>125</v>
      </c>
      <c r="C4417" s="54" t="n">
        <f aca="false">MAX(0,(C4405-C4386*$C$4341)-C4365*$C$4346)*$C$4347*Assumptions!$D$105</f>
        <v>0</v>
      </c>
      <c r="D4417" s="54" t="n">
        <f aca="false">MAX(0,(D4405-D4386*$C$4341)-D4365*$C$4346)*$C$4347*Assumptions!$D$105</f>
        <v>5095.37111254789</v>
      </c>
      <c r="E4417" s="54" t="n">
        <f aca="false">MAX(0,(E4405-E4386*$C$4341)-E4365*$C$4346)*$C$4347*Assumptions!$D$105</f>
        <v>11922.4691141519</v>
      </c>
      <c r="F4417" s="54" t="n">
        <f aca="false">MAX(0,(F4405-F4386*$C$4341)-F4365*$C$4346)*$C$4347*Assumptions!$D$105</f>
        <v>16130.6212542468</v>
      </c>
      <c r="G4417" s="54" t="n">
        <f aca="false">MAX(0,(G4405-G4386*$C$4341)-G4365*$C$4346)*$C$4347*Assumptions!$D$105</f>
        <v>19248.8261706312</v>
      </c>
      <c r="H4417" s="54" t="n">
        <f aca="false">MAX(0,(H4405-H4386*$C$4341)-H4365*$C$4346)*$C$4347*Assumptions!$D$105</f>
        <v>23709.607458027</v>
      </c>
      <c r="I4417" s="54" t="n">
        <f aca="false">MAX(0,(I4405-I4386*$C$4341)-I4365*$C$4346)*$C$4347*Assumptions!$D$105</f>
        <v>28137.681510149</v>
      </c>
      <c r="J4417" s="54" t="n">
        <f aca="false">MAX(0,(J4405-J4386*$C$4341)-J4365*$C$4346)*$C$4347*Assumptions!$D$105</f>
        <v>35379.7937718429</v>
      </c>
      <c r="K4417" s="54" t="n">
        <f aca="false">MAX(0,(K4405-K4386*$C$4341)-K4365*$C$4346)*$C$4347*Assumptions!$D$105</f>
        <v>41092.241497847</v>
      </c>
      <c r="L4417" s="54" t="n">
        <f aca="false">MAX(0,(L4405-L4386*$C$4341)-L4365*$C$4346)*$C$4347*Assumptions!$D$105</f>
        <v>41689.8264014237</v>
      </c>
      <c r="M4417" s="54" t="n">
        <f aca="false">MAX(0,(M4405-M4386*$C$4341)-M4365*$C$4346)*$C$4347*Assumptions!$D$105</f>
        <v>40786.4237681748</v>
      </c>
      <c r="N4417" s="54" t="n">
        <f aca="false">MAX(0,(N4405-N4386*$C$4341)-N4365*$C$4346)*$C$4347*Assumptions!$D$105</f>
        <v>39945.7128879477</v>
      </c>
      <c r="P4417" s="55" t="n">
        <f aca="false">SUM(C4417:F4417)</f>
        <v>33148.4614809466</v>
      </c>
      <c r="Q4417" s="55" t="n">
        <f aca="false">SUM(G4417:J4417)</f>
        <v>106475.90891065</v>
      </c>
      <c r="R4417" s="55" t="n">
        <f aca="false">SUM(K4417:N4417)</f>
        <v>163514.204555393</v>
      </c>
      <c r="S4417" s="56" t="n">
        <f aca="false">SUM(P4417:R4417)</f>
        <v>303138.57494699</v>
      </c>
    </row>
    <row r="4418" customFormat="false" ht="15" hidden="false" customHeight="false" outlineLevel="0" collapsed="false">
      <c r="A4418" s="4" t="s">
        <v>557</v>
      </c>
      <c r="B4418" s="36" t="s">
        <v>125</v>
      </c>
      <c r="C4418" s="54" t="n">
        <f aca="false">C4413*Assumptions!$E$71/Assumptions!$E$69/4</f>
        <v>18475.8928571429</v>
      </c>
      <c r="D4418" s="54" t="n">
        <f aca="false">D4413*Assumptions!$E$71/Assumptions!$E$69/4</f>
        <v>18475.8928571429</v>
      </c>
      <c r="E4418" s="54" t="n">
        <f aca="false">E4413*Assumptions!$E$71/Assumptions!$E$69/4</f>
        <v>18475.8928571429</v>
      </c>
      <c r="F4418" s="54" t="n">
        <f aca="false">F4413*Assumptions!$E$71/Assumptions!$E$69/4</f>
        <v>18475.8928571429</v>
      </c>
      <c r="G4418" s="54" t="n">
        <f aca="false">G4413*Assumptions!$E$71/Assumptions!$E$69/4</f>
        <v>18475.8928571429</v>
      </c>
      <c r="H4418" s="54" t="n">
        <f aca="false">H4413*Assumptions!$E$71/Assumptions!$E$69/4</f>
        <v>18475.8928571429</v>
      </c>
      <c r="I4418" s="54" t="n">
        <f aca="false">I4413*Assumptions!$E$71/Assumptions!$E$69/4</f>
        <v>18475.8928571429</v>
      </c>
      <c r="J4418" s="54" t="n">
        <f aca="false">J4413*Assumptions!$E$71/Assumptions!$E$69/4</f>
        <v>18475.8928571429</v>
      </c>
      <c r="K4418" s="54" t="n">
        <f aca="false">K4413*Assumptions!$E$71/Assumptions!$E$69/4</f>
        <v>18475.8928571429</v>
      </c>
      <c r="L4418" s="54" t="n">
        <f aca="false">L4413*Assumptions!$E$71/Assumptions!$E$69/4</f>
        <v>18475.8928571429</v>
      </c>
      <c r="M4418" s="54" t="n">
        <f aca="false">M4413*Assumptions!$E$71/Assumptions!$E$69/4</f>
        <v>18475.8928571429</v>
      </c>
      <c r="N4418" s="54" t="n">
        <f aca="false">N4413*Assumptions!$E$71/Assumptions!$E$69/4</f>
        <v>18475.8928571429</v>
      </c>
      <c r="P4418" s="55" t="n">
        <f aca="false">SUM(C4418:F4418)</f>
        <v>73903.5714285714</v>
      </c>
      <c r="Q4418" s="55" t="n">
        <f aca="false">SUM(G4418:J4418)</f>
        <v>73903.5714285714</v>
      </c>
      <c r="R4418" s="55" t="n">
        <f aca="false">SUM(K4418:N4418)</f>
        <v>73903.5714285714</v>
      </c>
      <c r="S4418" s="56" t="n">
        <f aca="false">SUM(P4418:R4418)</f>
        <v>221710.714285714</v>
      </c>
    </row>
    <row r="4419" customFormat="false" ht="15" hidden="false" customHeight="false" outlineLevel="0" collapsed="false">
      <c r="A4419" s="4" t="s">
        <v>558</v>
      </c>
      <c r="B4419" s="36" t="s">
        <v>125</v>
      </c>
      <c r="C4419" s="54" t="n">
        <f aca="false">(Assumptions!$D$103+Assumptions!$E$77*((C4350=Assumptions!$E$13)+(C4350=Assumptions!$E$14)+(C4350=Assumptions!$E$15)))*C4351</f>
        <v>65000</v>
      </c>
      <c r="D4419" s="54" t="n">
        <f aca="false">(Assumptions!$D$103+Assumptions!$E$77*((D4350=Assumptions!$E$13)+(D4350=Assumptions!$E$14)+(D4350=Assumptions!$E$15)))*D4351</f>
        <v>25000</v>
      </c>
      <c r="E4419" s="54" t="n">
        <f aca="false">(Assumptions!$D$103+Assumptions!$E$77*((E4350=Assumptions!$E$13)+(E4350=Assumptions!$E$14)+(E4350=Assumptions!$E$15)))*E4351</f>
        <v>25000</v>
      </c>
      <c r="F4419" s="54" t="n">
        <f aca="false">(Assumptions!$D$103+Assumptions!$E$77*((F4350=Assumptions!$E$13)+(F4350=Assumptions!$E$14)+(F4350=Assumptions!$E$15)))*F4351</f>
        <v>25000</v>
      </c>
      <c r="G4419" s="54" t="n">
        <f aca="false">(Assumptions!$D$103+Assumptions!$E$77*((G4350=Assumptions!$E$13)+(G4350=Assumptions!$E$14)+(G4350=Assumptions!$E$15)))*G4351</f>
        <v>65000</v>
      </c>
      <c r="H4419" s="54" t="n">
        <f aca="false">(Assumptions!$D$103+Assumptions!$E$77*((H4350=Assumptions!$E$13)+(H4350=Assumptions!$E$14)+(H4350=Assumptions!$E$15)))*H4351</f>
        <v>25000</v>
      </c>
      <c r="I4419" s="54" t="n">
        <f aca="false">(Assumptions!$D$103+Assumptions!$E$77*((I4350=Assumptions!$E$13)+(I4350=Assumptions!$E$14)+(I4350=Assumptions!$E$15)))*I4351</f>
        <v>65000</v>
      </c>
      <c r="J4419" s="54" t="n">
        <f aca="false">(Assumptions!$D$103+Assumptions!$E$77*((J4350=Assumptions!$E$13)+(J4350=Assumptions!$E$14)+(J4350=Assumptions!$E$15)))*J4351</f>
        <v>25000</v>
      </c>
      <c r="K4419" s="54" t="n">
        <f aca="false">(Assumptions!$D$103+Assumptions!$E$77*((K4350=Assumptions!$E$13)+(K4350=Assumptions!$E$14)+(K4350=Assumptions!$E$15)))*K4351</f>
        <v>25000</v>
      </c>
      <c r="L4419" s="54" t="n">
        <f aca="false">(Assumptions!$D$103+Assumptions!$E$77*((L4350=Assumptions!$E$13)+(L4350=Assumptions!$E$14)+(L4350=Assumptions!$E$15)))*L4351</f>
        <v>25000</v>
      </c>
      <c r="M4419" s="54" t="n">
        <f aca="false">(Assumptions!$D$103+Assumptions!$E$77*((M4350=Assumptions!$E$13)+(M4350=Assumptions!$E$14)+(M4350=Assumptions!$E$15)))*M4351</f>
        <v>25000</v>
      </c>
      <c r="N4419" s="54" t="n">
        <f aca="false">(Assumptions!$D$103+Assumptions!$E$77*((N4350=Assumptions!$E$13)+(N4350=Assumptions!$E$14)+(N4350=Assumptions!$E$15)))*N4351</f>
        <v>25000</v>
      </c>
      <c r="P4419" s="55" t="n">
        <f aca="false">SUM(C4419:F4419)</f>
        <v>140000</v>
      </c>
      <c r="Q4419" s="55" t="n">
        <f aca="false">SUM(G4419:J4419)</f>
        <v>180000</v>
      </c>
      <c r="R4419" s="55" t="n">
        <f aca="false">SUM(K4419:N4419)</f>
        <v>100000</v>
      </c>
      <c r="S4419" s="56" t="n">
        <f aca="false">SUM(P4419:R4419)</f>
        <v>420000</v>
      </c>
    </row>
    <row r="4420" customFormat="false" ht="15" hidden="false" customHeight="false" outlineLevel="0" collapsed="false">
      <c r="A4420" s="4" t="s">
        <v>559</v>
      </c>
      <c r="B4420" s="36" t="s">
        <v>125</v>
      </c>
      <c r="C4420" s="54" t="n">
        <f aca="false">C4405*C4385*Assumptions!$E$79</f>
        <v>0</v>
      </c>
      <c r="D4420" s="54" t="n">
        <f aca="false">D4405*D4385*Assumptions!$E$79</f>
        <v>1630.67774671083</v>
      </c>
      <c r="E4420" s="54" t="n">
        <f aca="false">E4405*E4385*Assumptions!$E$79</f>
        <v>3487.48963312704</v>
      </c>
      <c r="F4420" s="54" t="n">
        <f aca="false">F4405*F4385*Assumptions!$E$79</f>
        <v>5353.2024197409</v>
      </c>
      <c r="G4420" s="54" t="n">
        <f aca="false">G4405*G4385*Assumptions!$E$79</f>
        <v>6947.09079070415</v>
      </c>
      <c r="H4420" s="54" t="n">
        <f aca="false">H4405*H4385*Assumptions!$E$79</f>
        <v>8344.04563399577</v>
      </c>
      <c r="I4420" s="54" t="n">
        <f aca="false">I4405*I4385*Assumptions!$E$79</f>
        <v>9792.67649109929</v>
      </c>
      <c r="J4420" s="54" t="n">
        <f aca="false">J4405*J4385*Assumptions!$E$79</f>
        <v>10827.8191404297</v>
      </c>
      <c r="K4420" s="54" t="n">
        <f aca="false">K4405*K4385*Assumptions!$E$79</f>
        <v>10985.7808702915</v>
      </c>
      <c r="L4420" s="54" t="n">
        <f aca="false">L4405*L4385*Assumptions!$E$79</f>
        <v>11350.1343675534</v>
      </c>
      <c r="M4420" s="54" t="n">
        <f aca="false">M4405*M4385*Assumptions!$E$79</f>
        <v>11346.5714020333</v>
      </c>
      <c r="N4420" s="54" t="n">
        <f aca="false">N4405*N4385*Assumptions!$E$79</f>
        <v>11343.1133460149</v>
      </c>
      <c r="P4420" s="55" t="n">
        <f aca="false">SUM(C4420:F4420)</f>
        <v>10471.3697995788</v>
      </c>
      <c r="Q4420" s="55" t="n">
        <f aca="false">SUM(G4420:J4420)</f>
        <v>35911.6320562289</v>
      </c>
      <c r="R4420" s="55" t="n">
        <f aca="false">SUM(K4420:N4420)</f>
        <v>45025.5999858931</v>
      </c>
      <c r="S4420" s="56" t="n">
        <f aca="false">SUM(P4420:R4420)</f>
        <v>91408.6018417008</v>
      </c>
    </row>
    <row r="4421" customFormat="false" ht="15" hidden="false" customHeight="false" outlineLevel="0" collapsed="false">
      <c r="A4421" s="4" t="s">
        <v>560</v>
      </c>
      <c r="B4421" s="36" t="s">
        <v>125</v>
      </c>
      <c r="C4421" s="54" t="n">
        <f aca="false">C4370*Assumptions!$E$80</f>
        <v>6000</v>
      </c>
      <c r="D4421" s="54" t="n">
        <f aca="false">D4370*Assumptions!$E$80</f>
        <v>10000</v>
      </c>
      <c r="E4421" s="54" t="n">
        <f aca="false">E4370*Assumptions!$E$80</f>
        <v>14000</v>
      </c>
      <c r="F4421" s="54" t="n">
        <f aca="false">F4370*Assumptions!$E$80</f>
        <v>18000</v>
      </c>
      <c r="G4421" s="54" t="n">
        <f aca="false">G4370*Assumptions!$E$80</f>
        <v>22000</v>
      </c>
      <c r="H4421" s="54" t="n">
        <f aca="false">H4370*Assumptions!$E$80</f>
        <v>26000</v>
      </c>
      <c r="I4421" s="54" t="n">
        <f aca="false">I4370*Assumptions!$E$80</f>
        <v>30000</v>
      </c>
      <c r="J4421" s="54" t="n">
        <f aca="false">J4370*Assumptions!$E$80</f>
        <v>30000</v>
      </c>
      <c r="K4421" s="54" t="n">
        <f aca="false">K4370*Assumptions!$E$80</f>
        <v>30000</v>
      </c>
      <c r="L4421" s="54" t="n">
        <f aca="false">L4370*Assumptions!$E$80</f>
        <v>30000</v>
      </c>
      <c r="M4421" s="54" t="n">
        <f aca="false">M4370*Assumptions!$E$80</f>
        <v>30000</v>
      </c>
      <c r="N4421" s="54" t="n">
        <f aca="false">N4370*Assumptions!$E$80</f>
        <v>30000</v>
      </c>
      <c r="P4421" s="55" t="n">
        <f aca="false">SUM(C4421:F4421)</f>
        <v>48000</v>
      </c>
      <c r="Q4421" s="55" t="n">
        <f aca="false">SUM(G4421:J4421)</f>
        <v>108000</v>
      </c>
      <c r="R4421" s="55" t="n">
        <f aca="false">SUM(K4421:N4421)</f>
        <v>120000</v>
      </c>
      <c r="S4421" s="56" t="n">
        <f aca="false">SUM(P4421:R4421)</f>
        <v>276000</v>
      </c>
    </row>
    <row r="4422" customFormat="false" ht="15" hidden="false" customHeight="false" outlineLevel="0" collapsed="false">
      <c r="A4422" s="4" t="s">
        <v>561</v>
      </c>
      <c r="B4422" s="36" t="s">
        <v>125</v>
      </c>
      <c r="C4422" s="54" t="n">
        <f aca="false">(C4393*$C$4342+C4394*$C$4343)*Assumptions!$E$81</f>
        <v>0</v>
      </c>
      <c r="D4422" s="54" t="n">
        <f aca="false">(D4393*$C$4342+D4394*$C$4343)*Assumptions!$E$81</f>
        <v>928.00626625464</v>
      </c>
      <c r="E4422" s="54" t="n">
        <f aca="false">(E4393*$C$4342+E4394*$C$4343)*Assumptions!$E$81</f>
        <v>2589.34487041584</v>
      </c>
      <c r="F4422" s="54" t="n">
        <f aca="false">(F4393*$C$4342+F4394*$C$4343)*Assumptions!$E$81</f>
        <v>3669.89080955267</v>
      </c>
      <c r="G4422" s="54" t="n">
        <f aca="false">(G4393*$C$4342+G4394*$C$4343)*Assumptions!$E$81</f>
        <v>4398.18086927917</v>
      </c>
      <c r="H4422" s="54" t="n">
        <f aca="false">(H4393*$C$4342+H4394*$C$4343)*Assumptions!$E$81</f>
        <v>5346.58413925075</v>
      </c>
      <c r="I4422" s="54" t="n">
        <f aca="false">(I4393*$C$4342+I4394*$C$4343)*Assumptions!$E$81</f>
        <v>6304.64240628346</v>
      </c>
      <c r="J4422" s="54" t="n">
        <f aca="false">(J4393*$C$4342+J4394*$C$4343)*Assumptions!$E$81</f>
        <v>7658.78258738158</v>
      </c>
      <c r="K4422" s="54" t="n">
        <f aca="false">(K4393*$C$4342+K4394*$C$4343)*Assumptions!$E$81</f>
        <v>8918.03433462521</v>
      </c>
      <c r="L4422" s="54" t="n">
        <f aca="false">(L4393*$C$4342+L4394*$C$4343)*Assumptions!$E$81</f>
        <v>9206.40969502417</v>
      </c>
      <c r="M4422" s="54" t="n">
        <f aca="false">(M4393*$C$4342+M4394*$C$4343)*Assumptions!$E$81</f>
        <v>9005.44693426846</v>
      </c>
      <c r="N4422" s="54" t="n">
        <f aca="false">(N4393*$C$4342+N4394*$C$4343)*Assumptions!$E$81</f>
        <v>8818.43001261062</v>
      </c>
      <c r="P4422" s="55" t="n">
        <f aca="false">SUM(C4422:F4422)</f>
        <v>7187.24194622315</v>
      </c>
      <c r="Q4422" s="55" t="n">
        <f aca="false">SUM(G4422:J4422)</f>
        <v>23708.190002195</v>
      </c>
      <c r="R4422" s="55" t="n">
        <f aca="false">SUM(K4422:N4422)</f>
        <v>35948.3209765285</v>
      </c>
      <c r="S4422" s="56" t="n">
        <f aca="false">SUM(P4422:R4422)</f>
        <v>66843.7529249466</v>
      </c>
    </row>
    <row r="4423" customFormat="false" ht="15" hidden="false" customHeight="false" outlineLevel="0" collapsed="false">
      <c r="A4423" s="9" t="s">
        <v>562</v>
      </c>
      <c r="B4423" s="36" t="s">
        <v>125</v>
      </c>
      <c r="C4423" s="55" t="n">
        <f aca="false">C4415+C4416+C4417+C4418+C4419+C4420+C4421+C4422</f>
        <v>156229.464285714</v>
      </c>
      <c r="D4423" s="55" t="n">
        <f aca="false">D4415+D4416+D4417+D4418+D4419+D4420+D4421+D4422</f>
        <v>127883.519411228</v>
      </c>
      <c r="E4423" s="55" t="n">
        <f aca="false">E4415+E4416+E4417+E4418+E4419+E4420+E4421+E4422</f>
        <v>142228.767903409</v>
      </c>
      <c r="F4423" s="55" t="n">
        <f aca="false">F4415+F4416+F4417+F4418+F4419+F4420+F4421+F4422</f>
        <v>153383.178769255</v>
      </c>
      <c r="G4423" s="55" t="n">
        <f aca="false">G4415+G4416+G4417+G4418+G4419+G4420+G4421+G4422</f>
        <v>236200.347830615</v>
      </c>
      <c r="H4423" s="55" t="n">
        <f aca="false">H4415+H4416+H4417+H4418+H4419+H4420+H4421+H4422</f>
        <v>207006.487231274</v>
      </c>
      <c r="I4423" s="55" t="n">
        <f aca="false">I4415+I4416+I4417+I4418+I4419+I4420+I4421+I4422</f>
        <v>257841.250407532</v>
      </c>
      <c r="J4423" s="55" t="n">
        <f aca="false">J4415+J4416+J4417+J4418+J4419+J4420+J4421+J4422</f>
        <v>227472.645499654</v>
      </c>
      <c r="K4423" s="55" t="n">
        <f aca="false">K4415+K4416+K4417+K4418+K4419+K4420+K4421+K4422</f>
        <v>234602.306702764</v>
      </c>
      <c r="L4423" s="55" t="n">
        <f aca="false">L4415+L4416+L4417+L4418+L4419+L4420+L4421+L4422</f>
        <v>235852.620464001</v>
      </c>
      <c r="M4423" s="55" t="n">
        <f aca="false">M4415+M4416+M4417+M4418+M4419+M4420+M4421+M4422</f>
        <v>234744.692104477</v>
      </c>
      <c r="N4423" s="55" t="n">
        <f aca="false">N4415+N4416+N4417+N4418+N4419+N4420+N4421+N4422</f>
        <v>233713.506246573</v>
      </c>
      <c r="P4423" s="55" t="n">
        <f aca="false">SUM(C4423:F4423)</f>
        <v>579724.930369606</v>
      </c>
      <c r="Q4423" s="55" t="n">
        <f aca="false">SUM(G4423:J4423)</f>
        <v>928520.730969074</v>
      </c>
      <c r="R4423" s="55" t="n">
        <f aca="false">SUM(K4423:N4423)</f>
        <v>938913.125517815</v>
      </c>
      <c r="S4423" s="56" t="n">
        <f aca="false">SUM(P4423:R4423)</f>
        <v>2447158.78685649</v>
      </c>
    </row>
    <row r="4424" customFormat="false" ht="15" hidden="false" customHeight="false" outlineLevel="0" collapsed="false">
      <c r="A4424" s="4" t="s">
        <v>563</v>
      </c>
      <c r="B4424" s="36" t="s">
        <v>125</v>
      </c>
      <c r="C4424" s="54" t="n">
        <f aca="false">C4412*Assumptions!$E$72/Assumptions!$E$69/4</f>
        <v>56535.7142857143</v>
      </c>
      <c r="D4424" s="54" t="n">
        <f aca="false">D4412*Assumptions!$E$72/Assumptions!$E$69/4</f>
        <v>56535.7142857143</v>
      </c>
      <c r="E4424" s="54" t="n">
        <f aca="false">E4412*Assumptions!$E$72/Assumptions!$E$69/4</f>
        <v>56535.7142857143</v>
      </c>
      <c r="F4424" s="54" t="n">
        <f aca="false">F4412*Assumptions!$E$72/Assumptions!$E$69/4</f>
        <v>56535.7142857143</v>
      </c>
      <c r="G4424" s="54" t="n">
        <f aca="false">G4412*Assumptions!$E$72/Assumptions!$E$69/4</f>
        <v>28267.8571428571</v>
      </c>
      <c r="H4424" s="54" t="n">
        <f aca="false">H4412*Assumptions!$E$72/Assumptions!$E$69/4</f>
        <v>28267.8571428571</v>
      </c>
      <c r="I4424" s="54" t="n">
        <f aca="false">I4412*Assumptions!$E$72/Assumptions!$E$69/4</f>
        <v>28267.8571428571</v>
      </c>
      <c r="J4424" s="54" t="n">
        <f aca="false">J4412*Assumptions!$E$72/Assumptions!$E$69/4</f>
        <v>28267.8571428571</v>
      </c>
      <c r="K4424" s="54" t="n">
        <f aca="false">K4412*Assumptions!$E$72/Assumptions!$E$69/4</f>
        <v>28267.8571428571</v>
      </c>
      <c r="L4424" s="54" t="n">
        <f aca="false">L4412*Assumptions!$E$72/Assumptions!$E$69/4</f>
        <v>28267.8571428571</v>
      </c>
      <c r="M4424" s="54" t="n">
        <f aca="false">M4412*Assumptions!$E$72/Assumptions!$E$69/4</f>
        <v>28267.8571428571</v>
      </c>
      <c r="N4424" s="54" t="n">
        <f aca="false">N4412*Assumptions!$E$72/Assumptions!$E$69/4</f>
        <v>28267.8571428571</v>
      </c>
      <c r="P4424" s="55" t="n">
        <f aca="false">SUM(C4424:F4424)</f>
        <v>226142.857142857</v>
      </c>
      <c r="Q4424" s="55" t="n">
        <f aca="false">SUM(G4424:J4424)</f>
        <v>113071.428571429</v>
      </c>
      <c r="R4424" s="55" t="n">
        <f aca="false">SUM(K4424:N4424)</f>
        <v>113071.428571429</v>
      </c>
      <c r="S4424" s="56" t="n">
        <f aca="false">SUM(P4424:R4424)</f>
        <v>452285.714285714</v>
      </c>
    </row>
    <row r="4425" customFormat="false" ht="15" hidden="false" customHeight="false" outlineLevel="0" collapsed="false">
      <c r="A4425" s="4" t="s">
        <v>564</v>
      </c>
      <c r="B4425" s="36" t="s">
        <v>125</v>
      </c>
      <c r="C4425" s="54" t="n">
        <f aca="false">IF(C4350&lt;=Assumptions!$E$83,Assumptions!$E$82*Assumptions!$D$108/Assumptions!$E$83,0)</f>
        <v>62500</v>
      </c>
      <c r="D4425" s="54" t="n">
        <f aca="false">IF(D4350&lt;=Assumptions!$E$83,Assumptions!$E$82*Assumptions!$D$108/Assumptions!$E$83,0)</f>
        <v>62500</v>
      </c>
      <c r="E4425" s="54" t="n">
        <f aca="false">IF(E4350&lt;=Assumptions!$E$83,Assumptions!$E$82*Assumptions!$D$108/Assumptions!$E$83,0)</f>
        <v>62500</v>
      </c>
      <c r="F4425" s="54" t="n">
        <f aca="false">IF(F4350&lt;=Assumptions!$E$83,Assumptions!$E$82*Assumptions!$D$108/Assumptions!$E$83,0)</f>
        <v>62500</v>
      </c>
      <c r="G4425" s="54" t="n">
        <f aca="false">IF(G4350&lt;=Assumptions!$E$83,Assumptions!$E$82*Assumptions!$D$108/Assumptions!$E$83,0)</f>
        <v>0</v>
      </c>
      <c r="H4425" s="54" t="n">
        <f aca="false">IF(H4350&lt;=Assumptions!$E$83,Assumptions!$E$82*Assumptions!$D$108/Assumptions!$E$83,0)</f>
        <v>0</v>
      </c>
      <c r="I4425" s="54" t="n">
        <f aca="false">IF(I4350&lt;=Assumptions!$E$83,Assumptions!$E$82*Assumptions!$D$108/Assumptions!$E$83,0)</f>
        <v>0</v>
      </c>
      <c r="J4425" s="54" t="n">
        <f aca="false">IF(J4350&lt;=Assumptions!$E$83,Assumptions!$E$82*Assumptions!$D$108/Assumptions!$E$83,0)</f>
        <v>0</v>
      </c>
      <c r="K4425" s="54" t="n">
        <f aca="false">IF(K4350&lt;=Assumptions!$E$83,Assumptions!$E$82*Assumptions!$D$108/Assumptions!$E$83,0)</f>
        <v>0</v>
      </c>
      <c r="L4425" s="54" t="n">
        <f aca="false">IF(L4350&lt;=Assumptions!$E$83,Assumptions!$E$82*Assumptions!$D$108/Assumptions!$E$83,0)</f>
        <v>0</v>
      </c>
      <c r="M4425" s="54" t="n">
        <f aca="false">IF(M4350&lt;=Assumptions!$E$83,Assumptions!$E$82*Assumptions!$D$108/Assumptions!$E$83,0)</f>
        <v>0</v>
      </c>
      <c r="N4425" s="54" t="n">
        <f aca="false">IF(N4350&lt;=Assumptions!$E$83,Assumptions!$E$82*Assumptions!$D$108/Assumptions!$E$83,0)</f>
        <v>0</v>
      </c>
      <c r="P4425" s="55" t="n">
        <f aca="false">SUM(C4425:F4425)</f>
        <v>250000</v>
      </c>
      <c r="Q4425" s="55" t="n">
        <f aca="false">SUM(G4425:J4425)</f>
        <v>0</v>
      </c>
      <c r="R4425" s="55" t="n">
        <f aca="false">SUM(K4425:N4425)</f>
        <v>0</v>
      </c>
      <c r="S4425" s="56" t="n">
        <f aca="false">SUM(P4425:R4425)</f>
        <v>250000</v>
      </c>
    </row>
    <row r="4426" customFormat="false" ht="15" hidden="false" customHeight="false" outlineLevel="0" collapsed="false">
      <c r="A4426" s="4" t="s">
        <v>565</v>
      </c>
      <c r="B4426" s="36" t="s">
        <v>125</v>
      </c>
      <c r="C4426" s="54" t="n">
        <f aca="false">C4414*Assumptions!$E$73/Assumptions!$E$69/4</f>
        <v>0</v>
      </c>
      <c r="D4426" s="54" t="n">
        <f aca="false">D4414*Assumptions!$E$73/Assumptions!$E$69/4</f>
        <v>839.538053845589</v>
      </c>
      <c r="E4426" s="54" t="n">
        <f aca="false">E4414*Assumptions!$E$73/Assumptions!$E$69/4</f>
        <v>2391.63266665259</v>
      </c>
      <c r="F4426" s="54" t="n">
        <f aca="false">F4414*Assumptions!$E$73/Assumptions!$E$69/4</f>
        <v>4302.72857638774</v>
      </c>
      <c r="G4426" s="54" t="n">
        <f aca="false">G4414*Assumptions!$E$73/Assumptions!$E$69/4</f>
        <v>6527.19205759914</v>
      </c>
      <c r="H4426" s="54" t="n">
        <f aca="false">H4414*Assumptions!$E$73/Assumptions!$E$69/4</f>
        <v>9266.78356093639</v>
      </c>
      <c r="I4426" s="54" t="n">
        <f aca="false">I4414*Assumptions!$E$73/Assumptions!$E$69/4</f>
        <v>12491.0090984043</v>
      </c>
      <c r="J4426" s="54" t="n">
        <f aca="false">J4414*Assumptions!$E$73/Assumptions!$E$69/4</f>
        <v>16605.265459812</v>
      </c>
      <c r="K4426" s="54" t="n">
        <f aca="false">K4414*Assumptions!$E$73/Assumptions!$E$69/4</f>
        <v>21230.4847962747</v>
      </c>
      <c r="L4426" s="54" t="n">
        <f aca="false">L4414*Assumptions!$E$73/Assumptions!$E$69/4</f>
        <v>25670.901672631</v>
      </c>
      <c r="M4426" s="54" t="n">
        <f aca="false">M4414*Assumptions!$E$73/Assumptions!$E$69/4</f>
        <v>29885.1809287841</v>
      </c>
      <c r="N4426" s="54" t="n">
        <f aca="false">N4414*Assumptions!$E$73/Assumptions!$E$69/4</f>
        <v>33886.8632796705</v>
      </c>
      <c r="P4426" s="55" t="n">
        <f aca="false">SUM(C4426:F4426)</f>
        <v>7533.89929688593</v>
      </c>
      <c r="Q4426" s="55" t="n">
        <f aca="false">SUM(G4426:J4426)</f>
        <v>44890.2501767518</v>
      </c>
      <c r="R4426" s="55" t="n">
        <f aca="false">SUM(K4426:N4426)</f>
        <v>110673.43067736</v>
      </c>
      <c r="S4426" s="56" t="n">
        <f aca="false">SUM(P4426:R4426)</f>
        <v>163097.580150998</v>
      </c>
    </row>
    <row r="4427" customFormat="false" ht="15" hidden="false" customHeight="false" outlineLevel="0" collapsed="false">
      <c r="A4427" s="9" t="s">
        <v>566</v>
      </c>
      <c r="B4427" s="36" t="s">
        <v>125</v>
      </c>
      <c r="C4427" s="55" t="n">
        <f aca="false">C4423+C4424+C4425+C4426</f>
        <v>275265.178571429</v>
      </c>
      <c r="D4427" s="55" t="n">
        <f aca="false">D4423+D4424+D4425+D4426</f>
        <v>247758.771750788</v>
      </c>
      <c r="E4427" s="55" t="n">
        <f aca="false">E4423+E4424+E4425+E4426</f>
        <v>263656.114855776</v>
      </c>
      <c r="F4427" s="55" t="n">
        <f aca="false">F4423+F4424+F4425+F4426</f>
        <v>276721.621631357</v>
      </c>
      <c r="G4427" s="55" t="n">
        <f aca="false">G4423+G4424+G4425+G4426</f>
        <v>270995.397031071</v>
      </c>
      <c r="H4427" s="55" t="n">
        <f aca="false">H4423+H4424+H4425+H4426</f>
        <v>244541.127935067</v>
      </c>
      <c r="I4427" s="55" t="n">
        <f aca="false">I4423+I4424+I4425+I4426</f>
        <v>298600.116648793</v>
      </c>
      <c r="J4427" s="55" t="n">
        <f aca="false">J4423+J4424+J4425+J4426</f>
        <v>272345.768102323</v>
      </c>
      <c r="K4427" s="55" t="n">
        <f aca="false">K4423+K4424+K4425+K4426</f>
        <v>284100.648641896</v>
      </c>
      <c r="L4427" s="55" t="n">
        <f aca="false">L4423+L4424+L4425+L4426</f>
        <v>289791.37927949</v>
      </c>
      <c r="M4427" s="55" t="n">
        <f aca="false">M4423+M4424+M4425+M4426</f>
        <v>292897.730176118</v>
      </c>
      <c r="N4427" s="55" t="n">
        <f aca="false">N4423+N4424+N4425+N4426</f>
        <v>295868.226669101</v>
      </c>
      <c r="P4427" s="55" t="n">
        <f aca="false">SUM(C4427:F4427)</f>
        <v>1063401.68680935</v>
      </c>
      <c r="Q4427" s="55" t="n">
        <f aca="false">SUM(G4427:J4427)</f>
        <v>1086482.40971725</v>
      </c>
      <c r="R4427" s="55" t="n">
        <f aca="false">SUM(K4427:N4427)</f>
        <v>1162657.9847666</v>
      </c>
      <c r="S4427" s="56" t="n">
        <f aca="false">SUM(P4427:R4427)</f>
        <v>3312542.08129321</v>
      </c>
    </row>
    <row r="4428" customFormat="false" ht="15" hidden="false" customHeight="false" outlineLevel="0" collapsed="false">
      <c r="A4428" s="35" t="s">
        <v>567</v>
      </c>
      <c r="B4428" s="35" t="s">
        <v>444</v>
      </c>
      <c r="C4428" s="6" t="s">
        <v>354</v>
      </c>
      <c r="D4428" s="6" t="s">
        <v>355</v>
      </c>
      <c r="E4428" s="6" t="s">
        <v>356</v>
      </c>
      <c r="F4428" s="6" t="s">
        <v>357</v>
      </c>
      <c r="G4428" s="6" t="s">
        <v>358</v>
      </c>
      <c r="H4428" s="6" t="s">
        <v>359</v>
      </c>
      <c r="I4428" s="6" t="s">
        <v>360</v>
      </c>
      <c r="J4428" s="6" t="s">
        <v>361</v>
      </c>
      <c r="K4428" s="6" t="s">
        <v>362</v>
      </c>
      <c r="L4428" s="6" t="s">
        <v>363</v>
      </c>
      <c r="M4428" s="6" t="s">
        <v>364</v>
      </c>
      <c r="N4428" s="6" t="s">
        <v>365</v>
      </c>
      <c r="P4428" s="6" t="s">
        <v>445</v>
      </c>
      <c r="Q4428" s="6" t="s">
        <v>446</v>
      </c>
      <c r="R4428" s="6" t="s">
        <v>447</v>
      </c>
      <c r="S4428" s="6" t="s">
        <v>448</v>
      </c>
    </row>
    <row r="4429" customFormat="false" ht="15" hidden="false" customHeight="false" outlineLevel="0" collapsed="false">
      <c r="A4429" s="9" t="s">
        <v>568</v>
      </c>
      <c r="B4429" s="36" t="s">
        <v>125</v>
      </c>
      <c r="C4429" s="55" t="n">
        <f aca="false">C4407-C4427</f>
        <v>-275265.178571429</v>
      </c>
      <c r="D4429" s="55" t="n">
        <f aca="false">D4407-D4427</f>
        <v>-246706.330136768</v>
      </c>
      <c r="E4429" s="55" t="n">
        <f aca="false">E4407-E4427</f>
        <v>-259178.307805891</v>
      </c>
      <c r="F4429" s="55" t="n">
        <f aca="false">F4407-F4427</f>
        <v>-266670.108914639</v>
      </c>
      <c r="G4429" s="55" t="n">
        <f aca="false">G4407-G4427</f>
        <v>-253886.263634441</v>
      </c>
      <c r="H4429" s="55" t="n">
        <f aca="false">H4407-H4427</f>
        <v>-218767.89888602</v>
      </c>
      <c r="I4429" s="55" t="n">
        <f aca="false">I4407-I4427</f>
        <v>-262258.830649699</v>
      </c>
      <c r="J4429" s="55" t="n">
        <f aca="false">J4407-J4427</f>
        <v>-222906.771316079</v>
      </c>
      <c r="K4429" s="55" t="n">
        <f aca="false">K4407-K4427</f>
        <v>-218752.481107588</v>
      </c>
      <c r="L4429" s="55" t="n">
        <f aca="false">L4407-L4427</f>
        <v>-207089.683020859</v>
      </c>
      <c r="M4429" s="55" t="n">
        <f aca="false">M4407-M4427</f>
        <v>-192673.909764502</v>
      </c>
      <c r="N4429" s="55" t="n">
        <f aca="false">N4407-N4427</f>
        <v>-178189.410847104</v>
      </c>
      <c r="P4429" s="55" t="n">
        <f aca="false">SUM(C4429:F4429)</f>
        <v>-1047819.92542873</v>
      </c>
      <c r="Q4429" s="55" t="n">
        <f aca="false">SUM(G4429:J4429)</f>
        <v>-957819.76448624</v>
      </c>
      <c r="R4429" s="55" t="n">
        <f aca="false">SUM(K4429:N4429)</f>
        <v>-796705.484740053</v>
      </c>
      <c r="S4429" s="56" t="n">
        <f aca="false">SUM(P4429:R4429)</f>
        <v>-2802345.17465502</v>
      </c>
    </row>
    <row r="4430" customFormat="false" ht="15" hidden="false" customHeight="false" outlineLevel="0" collapsed="false">
      <c r="A4430" s="9" t="s">
        <v>569</v>
      </c>
      <c r="B4430" s="36" t="s">
        <v>125</v>
      </c>
      <c r="C4430" s="55" t="n">
        <f aca="false">0+C4429</f>
        <v>-275265.178571429</v>
      </c>
      <c r="D4430" s="55" t="n">
        <f aca="false">C4430+D4429</f>
        <v>-521971.508708196</v>
      </c>
      <c r="E4430" s="55" t="n">
        <f aca="false">D4430+E4429</f>
        <v>-781149.816514088</v>
      </c>
      <c r="F4430" s="55" t="n">
        <f aca="false">E4430+F4429</f>
        <v>-1047819.92542873</v>
      </c>
      <c r="G4430" s="55" t="n">
        <f aca="false">F4430+G4429</f>
        <v>-1301706.18906317</v>
      </c>
      <c r="H4430" s="55" t="n">
        <f aca="false">G4430+H4429</f>
        <v>-1520474.08794919</v>
      </c>
      <c r="I4430" s="55" t="n">
        <f aca="false">H4430+I4429</f>
        <v>-1782732.91859889</v>
      </c>
      <c r="J4430" s="55" t="n">
        <f aca="false">I4430+J4429</f>
        <v>-2005639.68991497</v>
      </c>
      <c r="K4430" s="55" t="n">
        <f aca="false">J4430+K4429</f>
        <v>-2224392.17102255</v>
      </c>
      <c r="L4430" s="55" t="n">
        <f aca="false">K4430+L4429</f>
        <v>-2431481.85404341</v>
      </c>
      <c r="M4430" s="55" t="n">
        <f aca="false">L4430+M4429</f>
        <v>-2624155.76380792</v>
      </c>
      <c r="N4430" s="55" t="n">
        <f aca="false">M4430+N4429</f>
        <v>-2802345.17465502</v>
      </c>
      <c r="P4430" s="55" t="n">
        <f aca="false">F4430</f>
        <v>-1047819.92542873</v>
      </c>
      <c r="Q4430" s="55" t="n">
        <f aca="false">J4430</f>
        <v>-2005639.68991497</v>
      </c>
      <c r="R4430" s="55" t="n">
        <f aca="false">N4430</f>
        <v>-2802345.17465502</v>
      </c>
      <c r="S4430" s="56" t="n">
        <f aca="false">R4430</f>
        <v>-2802345.17465502</v>
      </c>
    </row>
    <row r="4431" customFormat="false" ht="15" hidden="false" customHeight="false" outlineLevel="0" collapsed="false">
      <c r="A4431" s="4" t="s">
        <v>570</v>
      </c>
      <c r="B4431" s="36" t="s">
        <v>107</v>
      </c>
      <c r="C4431" s="57" t="n">
        <f aca="false">1/(1+Assumptions!$E$87)^(C4350/4)</f>
        <v>0.972065420906982</v>
      </c>
      <c r="D4431" s="57" t="n">
        <f aca="false">1/(1+Assumptions!$E$87)^(D4350/4)</f>
        <v>0.944911182523068</v>
      </c>
      <c r="E4431" s="57" t="n">
        <f aca="false">1/(1+Assumptions!$E$87)^(E4350/4)</f>
        <v>0.918515486359</v>
      </c>
      <c r="F4431" s="57" t="n">
        <f aca="false">1/(1+Assumptions!$E$87)^(F4350/4)</f>
        <v>0.892857142857143</v>
      </c>
      <c r="G4431" s="57" t="n">
        <f aca="false">1/(1+Assumptions!$E$87)^(G4350/4)</f>
        <v>0.867915554381234</v>
      </c>
      <c r="H4431" s="57" t="n">
        <f aca="false">1/(1+Assumptions!$E$87)^(H4350/4)</f>
        <v>0.843670698681311</v>
      </c>
      <c r="I4431" s="57" t="n">
        <f aca="false">1/(1+Assumptions!$E$87)^(I4350/4)</f>
        <v>0.820103112820536</v>
      </c>
      <c r="J4431" s="57" t="n">
        <f aca="false">1/(1+Assumptions!$E$87)^(J4350/4)</f>
        <v>0.79719387755102</v>
      </c>
      <c r="K4431" s="57" t="n">
        <f aca="false">1/(1+Assumptions!$E$87)^(K4350/4)</f>
        <v>0.774924602126102</v>
      </c>
      <c r="L4431" s="57" t="n">
        <f aca="false">1/(1+Assumptions!$E$87)^(L4350/4)</f>
        <v>0.753277409536885</v>
      </c>
      <c r="M4431" s="57" t="n">
        <f aca="false">1/(1+Assumptions!$E$87)^(M4350/4)</f>
        <v>0.732234922161193</v>
      </c>
      <c r="N4431" s="57" t="n">
        <f aca="false">1/(1+Assumptions!$E$87)^(N4350/4)</f>
        <v>0.711780247813411</v>
      </c>
      <c r="P4431" s="58"/>
      <c r="Q4431" s="58"/>
      <c r="R4431" s="58"/>
      <c r="S4431" s="59"/>
    </row>
    <row r="4432" customFormat="false" ht="15" hidden="false" customHeight="false" outlineLevel="0" collapsed="false">
      <c r="A4432" s="4" t="s">
        <v>571</v>
      </c>
      <c r="B4432" s="36" t="s">
        <v>125</v>
      </c>
      <c r="C4432" s="54" t="n">
        <f aca="false">(C4407*(1-Assumptions!$E$88)-C4427)*C4431</f>
        <v>-267575.761669071</v>
      </c>
      <c r="D4432" s="54" t="n">
        <f aca="false">(D4407*(1-Assumptions!$E$88)-D4427)*D4431</f>
        <v>-233314.462915468</v>
      </c>
      <c r="E4432" s="54" t="n">
        <f aca="false">(E4407*(1-Assumptions!$E$88)-E4427)*E4431</f>
        <v>-238881.87647208</v>
      </c>
      <c r="F4432" s="54" t="n">
        <f aca="false">(F4407*(1-Assumptions!$E$88)-F4427)*F4431</f>
        <v>-239893.224516056</v>
      </c>
      <c r="G4432" s="54" t="n">
        <f aca="false">(G4407*(1-Assumptions!$E$88)-G4427)*G4431</f>
        <v>-223321.69385145</v>
      </c>
      <c r="H4432" s="54" t="n">
        <f aca="false">(H4407*(1-Assumptions!$E$88)-H4427)*H4431</f>
        <v>-188916.889734027</v>
      </c>
      <c r="I4432" s="54" t="n">
        <f aca="false">(I4407*(1-Assumptions!$E$88)-I4427)*I4431</f>
        <v>-221040.003734844</v>
      </c>
      <c r="J4432" s="54" t="n">
        <f aca="false">(J4407*(1-Assumptions!$E$88)-J4427)*J4431</f>
        <v>-185582.406467896</v>
      </c>
      <c r="K4432" s="54" t="n">
        <f aca="false">(K4407*(1-Assumptions!$E$88)-K4427)*K4431</f>
        <v>-179644.659931634</v>
      </c>
      <c r="L4432" s="54" t="n">
        <f aca="false">(L4407*(1-Assumptions!$E$88)-L4427)*L4431</f>
        <v>-168455.443872169</v>
      </c>
      <c r="M4432" s="54" t="n">
        <f aca="false">(M4407*(1-Assumptions!$E$88)-M4427)*M4431</f>
        <v>-155760.041586462</v>
      </c>
      <c r="N4432" s="54" t="n">
        <f aca="false">(N4407*(1-Assumptions!$E$88)-N4427)*N4431</f>
        <v>-143583.994348111</v>
      </c>
      <c r="P4432" s="55" t="n">
        <f aca="false">SUM(C4432:F4432)</f>
        <v>-979665.325572675</v>
      </c>
      <c r="Q4432" s="55" t="n">
        <f aca="false">SUM(G4432:J4432)</f>
        <v>-818860.993788216</v>
      </c>
      <c r="R4432" s="55" t="n">
        <f aca="false">SUM(K4432:N4432)</f>
        <v>-647444.139738376</v>
      </c>
      <c r="S4432" s="56" t="n">
        <f aca="false">SUM(P4432:R4432)</f>
        <v>-2445970.45909927</v>
      </c>
    </row>
    <row r="4433" customFormat="false" ht="15" hidden="false" customHeight="false" outlineLevel="0" collapsed="false">
      <c r="A4433" s="4" t="s">
        <v>572</v>
      </c>
      <c r="B4433" s="36" t="s">
        <v>125</v>
      </c>
      <c r="C4433" s="54" t="n">
        <f aca="false">(C4427-C4426)*12/(Assumptions!$E$89*Assumptions!$E$76)*Assumptions!$E$90</f>
        <v>190568.200549451</v>
      </c>
      <c r="D4433" s="54" t="n">
        <f aca="false">(D4427-D4426)*12/(Assumptions!$E$89*Assumptions!$E$76)*Assumptions!$E$90</f>
        <v>170944.084867114</v>
      </c>
      <c r="E4433" s="54" t="n">
        <f aca="false">(E4427-E4426)*12/(Assumptions!$E$89*Assumptions!$E$76)*Assumptions!$E$90</f>
        <v>180875.410746316</v>
      </c>
      <c r="F4433" s="54" t="n">
        <f aca="false">(F4427-F4426)*12/(Assumptions!$E$89*Assumptions!$E$76)*Assumptions!$E$90</f>
        <v>188597.695191902</v>
      </c>
      <c r="G4433" s="54" t="n">
        <f aca="false">(G4427-G4426)*12/(Assumptions!$E$89*Assumptions!$E$76)*Assumptions!$E$90</f>
        <v>183093.372673942</v>
      </c>
      <c r="H4433" s="54" t="n">
        <f aca="false">(H4427-H4426)*12/(Assumptions!$E$89*Assumptions!$E$76)*Assumptions!$E$90</f>
        <v>162882.23841286</v>
      </c>
      <c r="I4433" s="54" t="n">
        <f aca="false">(I4427-I4426)*12/(Assumptions!$E$89*Assumptions!$E$76)*Assumptions!$E$90</f>
        <v>198075.535996423</v>
      </c>
      <c r="J4433" s="54" t="n">
        <f aca="false">(J4427-J4426)*12/(Assumptions!$E$89*Assumptions!$E$76)*Assumptions!$E$90</f>
        <v>177051.117214046</v>
      </c>
      <c r="K4433" s="54" t="n">
        <f aca="false">(K4427-K4426)*12/(Assumptions!$E$89*Assumptions!$E$76)*Assumptions!$E$90</f>
        <v>181987.036508507</v>
      </c>
      <c r="L4433" s="54" t="n">
        <f aca="false">(L4427-L4426)*12/(Assumptions!$E$89*Assumptions!$E$76)*Assumptions!$E$90</f>
        <v>182852.63834321</v>
      </c>
      <c r="M4433" s="54" t="n">
        <f aca="false">(M4427-M4426)*12/(Assumptions!$E$89*Assumptions!$E$76)*Assumptions!$E$90</f>
        <v>182085.611017385</v>
      </c>
      <c r="N4433" s="54" t="n">
        <f aca="false">(N4427-N4426)*12/(Assumptions!$E$89*Assumptions!$E$76)*Assumptions!$E$90</f>
        <v>181371.713115759</v>
      </c>
      <c r="P4433" s="55" t="n">
        <f aca="false">SUM(C4433:F4433)</f>
        <v>730985.391354782</v>
      </c>
      <c r="Q4433" s="55" t="n">
        <f aca="false">SUM(G4433:J4433)</f>
        <v>721102.264297271</v>
      </c>
      <c r="R4433" s="55" t="n">
        <f aca="false">SUM(K4433:N4433)</f>
        <v>728296.998984861</v>
      </c>
      <c r="S4433" s="56" t="n">
        <f aca="false">SUM(P4433:R4433)</f>
        <v>2180384.65463691</v>
      </c>
    </row>
    <row r="4434" customFormat="false" ht="15" hidden="false" customHeight="false" outlineLevel="0" collapsed="false">
      <c r="A4434" s="4" t="s">
        <v>573</v>
      </c>
      <c r="B4434" s="36" t="s">
        <v>125</v>
      </c>
      <c r="C4434" s="54" t="n">
        <f aca="false">0*Assumptions!$E$92^(1/4)+C4433</f>
        <v>190568.200549451</v>
      </c>
      <c r="D4434" s="54" t="n">
        <f aca="false">C4434*Assumptions!$E$92^(1/4)+D4433</f>
        <v>361986.92969164</v>
      </c>
      <c r="E4434" s="54" t="n">
        <f aca="false">D4434*Assumptions!$E$92^(1/4)+E4433</f>
        <v>543763.933795794</v>
      </c>
      <c r="F4434" s="54" t="n">
        <f aca="false">E4434*Assumptions!$E$92^(1/4)+F4433</f>
        <v>733715.970569474</v>
      </c>
      <c r="G4434" s="54" t="n">
        <f aca="false">F4434*Assumptions!$E$92^(1/4)+G4433</f>
        <v>918636.794433901</v>
      </c>
      <c r="H4434" s="54" t="n">
        <f aca="false">G4434*Assumptions!$E$92^(1/4)+H4433</f>
        <v>1083807.06250803</v>
      </c>
      <c r="I4434" s="54" t="n">
        <f aca="false">H4434*Assumptions!$E$92^(1/4)+I4433</f>
        <v>1284582.01433576</v>
      </c>
      <c r="J4434" s="54" t="n">
        <f aca="false">I4434*Assumptions!$E$92^(1/4)+J4433</f>
        <v>1464832.61340046</v>
      </c>
      <c r="K4434" s="54" t="n">
        <f aca="false">J4434*Assumptions!$E$92^(1/4)+K4433</f>
        <v>1650468.07819811</v>
      </c>
      <c r="L4434" s="54" t="n">
        <f aca="false">K4434*Assumptions!$E$92^(1/4)+L4433</f>
        <v>1837431.50324263</v>
      </c>
      <c r="M4434" s="54" t="n">
        <f aca="false">L4434*Assumptions!$E$92^(1/4)+M4433</f>
        <v>2024093.56689662</v>
      </c>
      <c r="N4434" s="54" t="n">
        <f aca="false">M4434*Assumptions!$E$92^(1/4)+N4433</f>
        <v>2210506.6479897</v>
      </c>
      <c r="P4434" s="55" t="n">
        <f aca="false">F4434</f>
        <v>733715.970569474</v>
      </c>
      <c r="Q4434" s="55" t="n">
        <f aca="false">J4434</f>
        <v>1464832.61340046</v>
      </c>
      <c r="R4434" s="55" t="n">
        <f aca="false">N4434</f>
        <v>2210506.6479897</v>
      </c>
      <c r="S4434" s="56" t="n">
        <f aca="false">R4434</f>
        <v>2210506.6479897</v>
      </c>
    </row>
    <row r="4435" customFormat="false" ht="15" hidden="false" customHeight="false" outlineLevel="0" collapsed="false">
      <c r="A4435" s="4" t="s">
        <v>574</v>
      </c>
      <c r="B4435" s="36" t="s">
        <v>125</v>
      </c>
      <c r="C4435" s="54" t="n">
        <f aca="false">(0+C4434)/8*Assumptions!$E$76-(C4427-C4426)-C4434*Assumptions!$E$93/4</f>
        <v>-262163.614783654</v>
      </c>
      <c r="D4435" s="54" t="n">
        <f aca="false">(C4434+D4434)/8*Assumptions!$E$76-(D4427-D4426)-D4434*Assumptions!$E$93/4</f>
        <v>-206548.965985999</v>
      </c>
      <c r="E4435" s="54" t="n">
        <f aca="false">(D4434+E4434)/8*Assumptions!$E$76-(E4427-E4426)-E4434*Assumptions!$E$93/4</f>
        <v>-194469.273703217</v>
      </c>
      <c r="F4435" s="54" t="n">
        <f aca="false">(E4434+F4434)/8*Assumptions!$E$76-(F4427-F4426)-F4434*Assumptions!$E$93/4</f>
        <v>-177795.100457409</v>
      </c>
      <c r="G4435" s="54" t="n">
        <f aca="false">(F4434+G4434)/8*Assumptions!$E$76-(G4427-G4426)-G4434*Assumptions!$E$93/4</f>
        <v>-141697.502747371</v>
      </c>
      <c r="H4435" s="54" t="n">
        <f aca="false">(G4434+H4434)/8*Assumptions!$E$76-(H4427-H4426)-H4434*Assumptions!$E$93/4</f>
        <v>-86123.3692789491</v>
      </c>
      <c r="I4435" s="54" t="n">
        <f aca="false">(H4434+I4434)/8*Assumptions!$E$76-(I4427-I4426)-I4434*Assumptions!$E$93/4</f>
        <v>-109734.770236028</v>
      </c>
      <c r="J4435" s="54" t="n">
        <f aca="false">(I4434+J4434)/8*Assumptions!$E$76-(J4427-J4426)-J4434*Assumptions!$E$93/4</f>
        <v>-50660.9718064494</v>
      </c>
      <c r="K4435" s="54" t="n">
        <f aca="false">(J4434+K4434)/8*Assumptions!$E$76-(K4427-K4426)-K4434*Assumptions!$E$93/4</f>
        <v>-30382.8336307137</v>
      </c>
      <c r="L4435" s="54" t="n">
        <f aca="false">(K4434+L4434)/8*Assumptions!$E$76-(L4427-L4426)-L4434*Assumptions!$E$93/4</f>
        <v>-3696.53040533157</v>
      </c>
      <c r="M4435" s="54" t="n">
        <f aca="false">(L4434+M4434)/8*Assumptions!$E$76-(M4427-M4426)-M4434*Assumptions!$E$93/4</f>
        <v>25435.1931152728</v>
      </c>
      <c r="N4435" s="54" t="n">
        <f aca="false">(M4434+N4434)/8*Assumptions!$E$76-(N4427-N4426)-N4434*Assumptions!$E$93/4</f>
        <v>54448.5709702125</v>
      </c>
      <c r="P4435" s="55" t="n">
        <f aca="false">SUM(C4435:F4435)</f>
        <v>-840976.954930279</v>
      </c>
      <c r="Q4435" s="55" t="n">
        <f aca="false">SUM(G4435:J4435)</f>
        <v>-388216.614068798</v>
      </c>
      <c r="R4435" s="55" t="n">
        <f aca="false">SUM(K4435:N4435)</f>
        <v>45804.40004944</v>
      </c>
      <c r="S4435" s="56" t="n">
        <f aca="false">SUM(P4435:R4435)</f>
        <v>-1183389.16894964</v>
      </c>
    </row>
    <row r="4436" customFormat="false" ht="15" hidden="false" customHeight="false" outlineLevel="0" collapsed="false">
      <c r="A4436" s="4" t="s">
        <v>575</v>
      </c>
      <c r="B4436" s="36" t="s">
        <v>125</v>
      </c>
      <c r="C4436" s="54" t="n">
        <f aca="false">C4435*C4431</f>
        <v>-254840.184551168</v>
      </c>
      <c r="D4436" s="54" t="n">
        <f aca="false">D4435*D4431</f>
        <v>-195170.427698747</v>
      </c>
      <c r="E4436" s="54" t="n">
        <f aca="false">E4435*E4431</f>
        <v>-178623.039517392</v>
      </c>
      <c r="F4436" s="54" t="n">
        <f aca="false">F4435*F4431</f>
        <v>-158745.625408401</v>
      </c>
      <c r="G4436" s="54" t="n">
        <f aca="false">G4435*G4431</f>
        <v>-122981.466651421</v>
      </c>
      <c r="H4436" s="54" t="n">
        <f aca="false">H4435*H4431</f>
        <v>-72659.7631323595</v>
      </c>
      <c r="I4436" s="54" t="n">
        <f aca="false">I4435*I4431</f>
        <v>-89993.8266552128</v>
      </c>
      <c r="J4436" s="54" t="n">
        <f aca="false">J4435*J4431</f>
        <v>-40386.6165548863</v>
      </c>
      <c r="K4436" s="54" t="n">
        <f aca="false">K4435*K4431</f>
        <v>-23544.4052627444</v>
      </c>
      <c r="L4436" s="54" t="n">
        <f aca="false">L4435*L4431</f>
        <v>-2784.51284800249</v>
      </c>
      <c r="M4436" s="54" t="n">
        <f aca="false">M4435*M4431</f>
        <v>18624.5366509167</v>
      </c>
      <c r="N4436" s="54" t="n">
        <f aca="false">N4435*N4431</f>
        <v>38755.4173382639</v>
      </c>
      <c r="P4436" s="55" t="n">
        <f aca="false">SUM(C4436:F4436)</f>
        <v>-787379.277175708</v>
      </c>
      <c r="Q4436" s="55" t="n">
        <f aca="false">SUM(G4436:J4436)</f>
        <v>-326021.67299388</v>
      </c>
      <c r="R4436" s="55" t="n">
        <f aca="false">SUM(K4436:N4436)</f>
        <v>31051.0358784338</v>
      </c>
      <c r="S4436" s="56" t="n">
        <f aca="false">SUM(P4436:R4436)</f>
        <v>-1082349.91429115</v>
      </c>
    </row>
    <row r="4437" customFormat="false" ht="15" hidden="false" customHeight="false" outlineLevel="0" collapsed="false">
      <c r="A4437" s="4" t="s">
        <v>576</v>
      </c>
      <c r="B4437" s="36"/>
      <c r="C4437" s="37" t="n">
        <f aca="false">IFERROR((S4392*$C$4341*Assumptions!$E$59+S4393*$C$4342*Assumptions!$E$60+S4394*$C$4343*Assumptions!$E$61)/(S4392*$C$4341+S4393*$C$4342+S4394*$C$4343),0.9)</f>
        <v>0.897488920077848</v>
      </c>
    </row>
    <row r="4438" customFormat="false" ht="15" hidden="false" customHeight="false" outlineLevel="0" collapsed="false">
      <c r="A4438" s="4" t="s">
        <v>577</v>
      </c>
      <c r="B4438" s="36"/>
      <c r="C4438" s="37" t="n">
        <f aca="false">IFERROR(N4426*4/N4404,0)</f>
        <v>0.174269689382694</v>
      </c>
    </row>
    <row r="4439" customFormat="false" ht="15" hidden="false" customHeight="false" outlineLevel="0" collapsed="false">
      <c r="A4439" s="4" t="s">
        <v>578</v>
      </c>
      <c r="B4439" s="36"/>
      <c r="C4439" s="60" t="n">
        <f aca="false">$C$4437/(1+Assumptions!$E$87)</f>
        <v>0.80132939292665</v>
      </c>
    </row>
    <row r="4440" customFormat="false" ht="15" hidden="false" customHeight="false" outlineLevel="0" collapsed="false">
      <c r="A4440" s="4" t="s">
        <v>579</v>
      </c>
      <c r="B4440" s="36"/>
      <c r="C4440" s="60" t="n">
        <f aca="false">Assumptions!$E$91/(1+Assumptions!$E$87)</f>
        <v>0.803571428571429</v>
      </c>
    </row>
    <row r="4441" customFormat="false" ht="15" hidden="false" customHeight="false" outlineLevel="0" collapsed="false">
      <c r="A4441" s="35" t="s">
        <v>580</v>
      </c>
      <c r="B4441" s="35" t="s">
        <v>444</v>
      </c>
      <c r="C4441" s="6" t="s">
        <v>354</v>
      </c>
      <c r="D4441" s="6" t="s">
        <v>355</v>
      </c>
      <c r="E4441" s="6" t="s">
        <v>356</v>
      </c>
      <c r="F4441" s="6" t="s">
        <v>357</v>
      </c>
      <c r="G4441" s="6" t="s">
        <v>358</v>
      </c>
      <c r="H4441" s="6" t="s">
        <v>359</v>
      </c>
      <c r="I4441" s="6" t="s">
        <v>360</v>
      </c>
      <c r="J4441" s="6" t="s">
        <v>361</v>
      </c>
      <c r="K4441" s="6" t="s">
        <v>362</v>
      </c>
      <c r="L4441" s="6" t="s">
        <v>363</v>
      </c>
      <c r="M4441" s="6" t="s">
        <v>364</v>
      </c>
      <c r="N4441" s="6" t="s">
        <v>365</v>
      </c>
      <c r="P4441" s="6" t="s">
        <v>445</v>
      </c>
      <c r="Q4441" s="6" t="s">
        <v>446</v>
      </c>
      <c r="R4441" s="6" t="s">
        <v>447</v>
      </c>
      <c r="S4441" s="6" t="s">
        <v>448</v>
      </c>
    </row>
    <row r="4442" customFormat="false" ht="15" hidden="false" customHeight="false" outlineLevel="0" collapsed="false">
      <c r="A4442" s="9" t="s">
        <v>581</v>
      </c>
      <c r="C4442" s="61" t="n">
        <f aca="false">N4404</f>
        <v>777802.80437077</v>
      </c>
      <c r="D4442" s="61"/>
    </row>
    <row r="4443" customFormat="false" ht="15" hidden="false" customHeight="false" outlineLevel="0" collapsed="false">
      <c r="A4443" s="9" t="s">
        <v>582</v>
      </c>
      <c r="C4443" s="62" t="n">
        <f aca="false">N4400</f>
        <v>74.6850399888519</v>
      </c>
      <c r="D4443" s="62"/>
    </row>
    <row r="4444" customFormat="false" ht="15" hidden="false" customHeight="false" outlineLevel="0" collapsed="false">
      <c r="A4444" s="9" t="s">
        <v>583</v>
      </c>
      <c r="C4444" s="63" t="n">
        <f aca="false">S4395</f>
        <v>82.9710042588657</v>
      </c>
      <c r="D4444" s="63"/>
    </row>
    <row r="4445" customFormat="false" ht="15" hidden="false" customHeight="false" outlineLevel="0" collapsed="false">
      <c r="A4445" s="9" t="s">
        <v>584</v>
      </c>
      <c r="C4445" s="61" t="n">
        <f aca="false">S4406</f>
        <v>784918.317904905</v>
      </c>
      <c r="D4445" s="61"/>
    </row>
    <row r="4446" customFormat="false" ht="15" hidden="false" customHeight="false" outlineLevel="0" collapsed="false">
      <c r="A4446" s="9" t="s">
        <v>22</v>
      </c>
      <c r="C4446" s="61" t="n">
        <f aca="false">IFERROR(S4405/S4395,0)</f>
        <v>8887.19789699584</v>
      </c>
      <c r="D4446" s="61"/>
    </row>
    <row r="4447" customFormat="false" ht="15" hidden="false" customHeight="false" outlineLevel="0" collapsed="false">
      <c r="A4447" s="9" t="s">
        <v>585</v>
      </c>
      <c r="C4447" s="61" t="n">
        <f aca="false">IFERROR(S4423/S4395,0)</f>
        <v>29494.1444751165</v>
      </c>
      <c r="D4447" s="61"/>
    </row>
    <row r="4448" customFormat="false" ht="23.85" hidden="false" customHeight="false" outlineLevel="0" collapsed="false">
      <c r="A4448" s="9" t="s">
        <v>586</v>
      </c>
      <c r="C4448" s="61" t="n">
        <f aca="false">IFERROR((S4417+S4419+S4420+S4421+S4422)/S4395,0)</f>
        <v>13949.3421834769</v>
      </c>
      <c r="D4448" s="61"/>
    </row>
    <row r="4449" customFormat="false" ht="15" hidden="false" customHeight="false" outlineLevel="0" collapsed="false">
      <c r="A4449" s="9" t="s">
        <v>587</v>
      </c>
      <c r="C4449" s="64" t="n">
        <f aca="false">IFERROR('Engine Runs'!$C$4447/('Engine Runs'!$C$4446*Assumptions!$E$76/12),0)</f>
        <v>61.268724847637</v>
      </c>
      <c r="D4449" s="64"/>
    </row>
    <row r="4450" customFormat="false" ht="15" hidden="false" customHeight="false" outlineLevel="0" collapsed="false">
      <c r="A4450" s="9" t="s">
        <v>588</v>
      </c>
      <c r="C4450" s="64" t="n">
        <f aca="false">IFERROR((R4423/R4395)/((R4405/R4395)*Assumptions!$E$76/12),0)</f>
        <v>43.5464400510117</v>
      </c>
      <c r="D4450" s="64"/>
    </row>
    <row r="4451" customFormat="false" ht="15" hidden="false" customHeight="false" outlineLevel="0" collapsed="false">
      <c r="A4451" s="9" t="s">
        <v>589</v>
      </c>
      <c r="C4451" s="61" t="n">
        <f aca="false">S4427</f>
        <v>3312542.08129321</v>
      </c>
      <c r="D4451" s="61"/>
    </row>
    <row r="4452" customFormat="false" ht="15" hidden="false" customHeight="false" outlineLevel="0" collapsed="false">
      <c r="A4452" s="9" t="s">
        <v>590</v>
      </c>
      <c r="C4452" s="61" t="n">
        <f aca="false">N4430</f>
        <v>-2802345.17465502</v>
      </c>
      <c r="D4452" s="61"/>
    </row>
    <row r="4453" customFormat="false" ht="15" hidden="false" customHeight="false" outlineLevel="0" collapsed="false">
      <c r="A4453" s="9" t="s">
        <v>591</v>
      </c>
      <c r="C4453" s="61" t="n">
        <f aca="false">MIN($C$4430:$N$4430)</f>
        <v>-2802345.17465502</v>
      </c>
      <c r="D4453" s="61"/>
    </row>
    <row r="4454" customFormat="false" ht="15" hidden="false" customHeight="false" outlineLevel="0" collapsed="false">
      <c r="A4454" s="9" t="s">
        <v>592</v>
      </c>
      <c r="C4454" s="61" t="n">
        <f aca="false">N4404*(Assumptions!$E$76-$C$4438)*$C$4437*(1-$C$4437^Assumptions!$E$85)/(1-$C$4437)</f>
        <v>1353177.96816281</v>
      </c>
      <c r="D4454" s="61"/>
    </row>
    <row r="4455" customFormat="false" ht="15" hidden="false" customHeight="false" outlineLevel="0" collapsed="false">
      <c r="A4455" s="9" t="s">
        <v>593</v>
      </c>
      <c r="C4455" s="61" t="n">
        <f aca="false">N4404*(Assumptions!$E$76-$C$4438)*(1-Assumptions!$E$88)/(1+Assumptions!$E$87)^2.5*$C$4439*(1-$C$4439^Assumptions!$E$85)/(1-$C$4439)</f>
        <v>602227.51539909</v>
      </c>
      <c r="D4455" s="61"/>
    </row>
    <row r="4456" customFormat="false" ht="15" hidden="false" customHeight="false" outlineLevel="0" collapsed="false">
      <c r="A4456" s="9" t="s">
        <v>594</v>
      </c>
      <c r="C4456" s="61" t="n">
        <f aca="false">SUM($C$4432:$N$4432)+'Engine Runs'!$C$4455</f>
        <v>-1843742.94370018</v>
      </c>
      <c r="D4456" s="61"/>
    </row>
    <row r="4457" customFormat="false" ht="15" hidden="false" customHeight="false" outlineLevel="0" collapsed="false">
      <c r="A4457" s="9" t="s">
        <v>595</v>
      </c>
      <c r="C4457" s="61" t="n">
        <f aca="false">SUM($C$4436:$N$4436)+N4434*(Assumptions!$E$76-Assumptions!$E$93)/(1+Assumptions!$E$87)^2.5*$C$4440*(1-$C$4440^Assumptions!$E$85)/(1-$C$4440)</f>
        <v>1635343.0027331</v>
      </c>
      <c r="D4457" s="61"/>
    </row>
    <row r="4458" customFormat="false" ht="15" hidden="false" customHeight="false" outlineLevel="0" collapsed="false">
      <c r="A4458" s="9" t="s">
        <v>596</v>
      </c>
      <c r="C4458" s="61" t="n">
        <f aca="false">'Engine Runs'!$C$4456-'Engine Runs'!$C$4457</f>
        <v>-3479085.94643328</v>
      </c>
      <c r="D4458" s="61"/>
    </row>
    <row r="4459" customFormat="false" ht="15" hidden="false" customHeight="false" outlineLevel="0" collapsed="false">
      <c r="A4459" s="9" t="s">
        <v>597</v>
      </c>
      <c r="C4459" s="61" t="n">
        <f aca="false">S4391</f>
        <v>0</v>
      </c>
      <c r="D4459" s="61"/>
    </row>
    <row r="4460" customFormat="false" ht="15" hidden="false" customHeight="false" outlineLevel="0" collapsed="false">
      <c r="A4460" s="9" t="s">
        <v>598</v>
      </c>
      <c r="C4460" s="63" t="n">
        <f aca="false">P4375</f>
        <v>70.6188722246667</v>
      </c>
      <c r="D4460" s="63"/>
    </row>
    <row r="4461" customFormat="false" ht="15" hidden="false" customHeight="false" outlineLevel="0" collapsed="false">
      <c r="A4461" s="9" t="s">
        <v>599</v>
      </c>
      <c r="C4461" s="63" t="n">
        <f aca="false">P4395</f>
        <v>9.5603159785497</v>
      </c>
      <c r="D4461" s="63"/>
    </row>
    <row r="4462" customFormat="false" ht="15" hidden="false" customHeight="false" outlineLevel="0" collapsed="false">
      <c r="A4462" s="9" t="s">
        <v>600</v>
      </c>
      <c r="C4462" s="63" t="n">
        <f aca="false">P4371</f>
        <v>96</v>
      </c>
      <c r="D4462" s="63"/>
    </row>
    <row r="4463" customFormat="false" ht="15" hidden="false" customHeight="false" outlineLevel="0" collapsed="false">
      <c r="A4463" s="9" t="s">
        <v>601</v>
      </c>
      <c r="C4463" s="61" t="n">
        <f aca="false">IFERROR(P4405/P4395,0)</f>
        <v>8470.66001561959</v>
      </c>
      <c r="D4463" s="61"/>
    </row>
    <row r="4466" customFormat="false" ht="15" hidden="false" customHeight="true" outlineLevel="0" collapsed="false">
      <c r="A4466" s="78" t="s">
        <v>837</v>
      </c>
      <c r="B4466" s="78"/>
      <c r="C4466" s="78"/>
      <c r="D4466" s="78"/>
      <c r="E4466" s="78"/>
      <c r="F4466" s="78"/>
      <c r="G4466" s="78"/>
      <c r="H4466" s="78"/>
      <c r="I4466" s="78"/>
      <c r="J4466" s="78"/>
      <c r="K4466" s="78"/>
      <c r="L4466" s="78"/>
      <c r="M4466" s="78"/>
      <c r="N4466" s="78"/>
    </row>
    <row r="4467" customFormat="false" ht="15" hidden="false" customHeight="true" outlineLevel="0" collapsed="false">
      <c r="A4467" s="79" t="s">
        <v>838</v>
      </c>
      <c r="B4467" s="79"/>
      <c r="C4467" s="79"/>
      <c r="D4467" s="79"/>
      <c r="E4467" s="79"/>
      <c r="F4467" s="79"/>
      <c r="G4467" s="79"/>
      <c r="H4467" s="79"/>
      <c r="I4467" s="79"/>
      <c r="J4467" s="79"/>
      <c r="K4467" s="79"/>
      <c r="L4467" s="79"/>
      <c r="M4467" s="79"/>
      <c r="N4467" s="79"/>
    </row>
    <row r="4468" customFormat="false" ht="23.85" hidden="false" customHeight="false" outlineLevel="0" collapsed="false">
      <c r="A4468" s="35" t="s">
        <v>839</v>
      </c>
      <c r="B4468" s="35" t="s">
        <v>444</v>
      </c>
      <c r="C4468" s="6" t="s">
        <v>354</v>
      </c>
      <c r="D4468" s="6" t="s">
        <v>355</v>
      </c>
      <c r="E4468" s="6" t="s">
        <v>356</v>
      </c>
      <c r="F4468" s="6" t="s">
        <v>357</v>
      </c>
      <c r="G4468" s="6" t="s">
        <v>358</v>
      </c>
      <c r="H4468" s="6" t="s">
        <v>359</v>
      </c>
      <c r="I4468" s="6" t="s">
        <v>360</v>
      </c>
      <c r="J4468" s="6" t="s">
        <v>361</v>
      </c>
      <c r="K4468" s="6" t="s">
        <v>362</v>
      </c>
      <c r="L4468" s="6" t="s">
        <v>363</v>
      </c>
      <c r="M4468" s="6" t="s">
        <v>364</v>
      </c>
      <c r="N4468" s="6" t="s">
        <v>365</v>
      </c>
      <c r="P4468" s="6" t="s">
        <v>445</v>
      </c>
      <c r="Q4468" s="6" t="s">
        <v>446</v>
      </c>
      <c r="R4468" s="6" t="s">
        <v>447</v>
      </c>
      <c r="S4468" s="6" t="s">
        <v>448</v>
      </c>
    </row>
    <row r="4469" customFormat="false" ht="15" hidden="false" customHeight="false" outlineLevel="0" collapsed="false">
      <c r="A4469" s="4" t="s">
        <v>449</v>
      </c>
      <c r="B4469" s="36" t="s">
        <v>450</v>
      </c>
      <c r="C4469" s="34" t="n">
        <f aca="false">'Market Sizing'!$C$17*Assumptions!$E$10*Assumptions!$E$11*(1-Assumptions!$E$12)</f>
        <v>843.03944704</v>
      </c>
    </row>
    <row r="4470" customFormat="false" ht="15" hidden="false" customHeight="false" outlineLevel="0" collapsed="false">
      <c r="A4470" s="4" t="s">
        <v>451</v>
      </c>
      <c r="B4470" s="36" t="s">
        <v>450</v>
      </c>
      <c r="C4470" s="34" t="n">
        <f aca="false">'Market Sizing'!$D$17*Assumptions!$E$10*Assumptions!$E$11*(1-Assumptions!$E$12)</f>
        <v>211.19616</v>
      </c>
    </row>
    <row r="4471" customFormat="false" ht="15" hidden="false" customHeight="false" outlineLevel="0" collapsed="false">
      <c r="A4471" s="4" t="s">
        <v>452</v>
      </c>
      <c r="B4471" s="36" t="s">
        <v>450</v>
      </c>
      <c r="C4471" s="34" t="n">
        <f aca="false">'Market Sizing'!$E$17*Assumptions!$E$10*Assumptions!$E$11*(1-Assumptions!$E$12)</f>
        <v>49.53984</v>
      </c>
    </row>
    <row r="4472" customFormat="false" ht="15" hidden="false" customHeight="false" outlineLevel="0" collapsed="false">
      <c r="A4472" s="4" t="s">
        <v>453</v>
      </c>
      <c r="B4472" s="36"/>
      <c r="C4472" s="34" t="n">
        <f aca="false">$C$4469+$C$4470+$C$4471</f>
        <v>1103.77544704</v>
      </c>
    </row>
    <row r="4473" customFormat="false" ht="15" hidden="false" customHeight="false" outlineLevel="0" collapsed="false">
      <c r="A4473" s="4" t="s">
        <v>454</v>
      </c>
      <c r="B4473" s="36" t="s">
        <v>450</v>
      </c>
      <c r="C4473" s="34" t="n">
        <f aca="false">'Market Sizing'!$C$18*Assumptions!$E$10*Assumptions!$E$11*(1-Assumptions!$E$12)</f>
        <v>612.57706944</v>
      </c>
    </row>
    <row r="4474" customFormat="false" ht="15" hidden="false" customHeight="false" outlineLevel="0" collapsed="false">
      <c r="A4474" s="4" t="s">
        <v>455</v>
      </c>
      <c r="B4474" s="36" t="s">
        <v>450</v>
      </c>
      <c r="C4474" s="34" t="n">
        <f aca="false">'Market Sizing'!$D$18*Assumptions!$E$10*Assumptions!$E$11*(1-Assumptions!$E$12)</f>
        <v>142.10112</v>
      </c>
    </row>
    <row r="4475" customFormat="false" ht="15" hidden="false" customHeight="false" outlineLevel="0" collapsed="false">
      <c r="A4475" s="4" t="s">
        <v>456</v>
      </c>
      <c r="B4475" s="36" t="s">
        <v>450</v>
      </c>
      <c r="C4475" s="34" t="n">
        <f aca="false">'Market Sizing'!$E$18*Assumptions!$E$10*Assumptions!$E$11*(1-Assumptions!$E$12)</f>
        <v>24.76992</v>
      </c>
    </row>
    <row r="4476" customFormat="false" ht="15" hidden="false" customHeight="false" outlineLevel="0" collapsed="false">
      <c r="A4476" s="4" t="s">
        <v>457</v>
      </c>
      <c r="B4476" s="36"/>
      <c r="C4476" s="34" t="n">
        <f aca="false">$C$4473+$C$4474+$C$4475</f>
        <v>779.44810944</v>
      </c>
    </row>
    <row r="4477" customFormat="false" ht="15" hidden="false" customHeight="false" outlineLevel="0" collapsed="false">
      <c r="A4477" s="4" t="s">
        <v>458</v>
      </c>
      <c r="B4477" s="36" t="s">
        <v>450</v>
      </c>
      <c r="C4477" s="34" t="n">
        <f aca="false">'Market Sizing'!$C$19*Assumptions!$E$10*Assumptions!$E$11*(1-Assumptions!$E$12)</f>
        <v>2060.77303936</v>
      </c>
    </row>
    <row r="4478" customFormat="false" ht="15" hidden="false" customHeight="false" outlineLevel="0" collapsed="false">
      <c r="A4478" s="4" t="s">
        <v>459</v>
      </c>
      <c r="B4478" s="36" t="s">
        <v>450</v>
      </c>
      <c r="C4478" s="34" t="n">
        <f aca="false">'Market Sizing'!$D$19*Assumptions!$E$10*Assumptions!$E$11*(1-Assumptions!$E$12)</f>
        <v>428.47616</v>
      </c>
    </row>
    <row r="4479" customFormat="false" ht="15" hidden="false" customHeight="false" outlineLevel="0" collapsed="false">
      <c r="A4479" s="4" t="s">
        <v>460</v>
      </c>
      <c r="B4479" s="36" t="s">
        <v>450</v>
      </c>
      <c r="C4479" s="34" t="n">
        <f aca="false">'Market Sizing'!$E$19*Assumptions!$E$10*Assumptions!$E$11*(1-Assumptions!$E$12)</f>
        <v>79.52448</v>
      </c>
    </row>
    <row r="4480" customFormat="false" ht="15" hidden="false" customHeight="false" outlineLevel="0" collapsed="false">
      <c r="A4480" s="4" t="s">
        <v>461</v>
      </c>
      <c r="B4480" s="36"/>
      <c r="C4480" s="34" t="n">
        <f aca="false">$C$4477+$C$4478+$C$4479</f>
        <v>2568.77367936</v>
      </c>
    </row>
    <row r="4481" customFormat="false" ht="15" hidden="false" customHeight="false" outlineLevel="0" collapsed="false">
      <c r="A4481" s="4" t="s">
        <v>462</v>
      </c>
      <c r="B4481" s="36" t="s">
        <v>463</v>
      </c>
      <c r="C4481" s="33" t="n">
        <f aca="false">MAX((Assumptions!$E$51+Assumptions!$E$53)*12,(((('Market Sizing'!$E$25*Assumptions!$E$41*Assumptions!$E$42*Assumptions!$E$43)*Assumptions!$E$44)*Assumptions!$E$45*Assumptions!$E$46+('Market Sizing'!$E$25*Assumptions!$E$41*Assumptions!$E$42*Assumptions!$E$43)*Assumptions!$E$47+('Market Sizing'!$E$25*Assumptions!$E$41*Assumptions!$E$42*Assumptions!$E$43)*Assumptions!$E$48*Assumptions!$E$49)*(Assumptions!$E$51*12/Assumptions!$E$52)+((('Market Sizing'!$E$25*Assumptions!$E$41*Assumptions!$E$42*Assumptions!$E$43)*Assumptions!$E$44)*Assumptions!$E$45+('Market Sizing'!$E$25*Assumptions!$E$41*Assumptions!$E$42*Assumptions!$E$43)+('Market Sizing'!$E$25*Assumptions!$E$41*Assumptions!$E$42*Assumptions!$E$43)*Assumptions!$E$48)*Assumptions!$E$50*(Assumptions!$E$53*12/Assumptions!$E$54)))</f>
        <v>5352</v>
      </c>
    </row>
    <row r="4482" customFormat="false" ht="15" hidden="false" customHeight="false" outlineLevel="0" collapsed="false">
      <c r="A4482" s="4" t="s">
        <v>464</v>
      </c>
      <c r="B4482" s="36" t="s">
        <v>463</v>
      </c>
      <c r="C4482" s="33" t="n">
        <f aca="false">MAX((Assumptions!$E$51+Assumptions!$E$53)*12,(((('Market Sizing'!$E$26*Assumptions!$E$41*Assumptions!$E$42*Assumptions!$E$43)*Assumptions!$E$44)*Assumptions!$E$45*Assumptions!$E$46+('Market Sizing'!$E$26*Assumptions!$E$41*Assumptions!$E$42*Assumptions!$E$43)*Assumptions!$E$47+('Market Sizing'!$E$26*Assumptions!$E$41*Assumptions!$E$42*Assumptions!$E$43)*Assumptions!$E$48*Assumptions!$E$49)*(Assumptions!$E$51*12/Assumptions!$E$52)+((('Market Sizing'!$E$26*Assumptions!$E$41*Assumptions!$E$42*Assumptions!$E$43)*Assumptions!$E$44)*Assumptions!$E$45+('Market Sizing'!$E$26*Assumptions!$E$41*Assumptions!$E$42*Assumptions!$E$43)+('Market Sizing'!$E$26*Assumptions!$E$41*Assumptions!$E$42*Assumptions!$E$43)*Assumptions!$E$48)*Assumptions!$E$50*(Assumptions!$E$53*12/Assumptions!$E$54)))</f>
        <v>9766.72012875208</v>
      </c>
    </row>
    <row r="4483" customFormat="false" ht="15" hidden="false" customHeight="false" outlineLevel="0" collapsed="false">
      <c r="A4483" s="4" t="s">
        <v>465</v>
      </c>
      <c r="B4483" s="36" t="s">
        <v>463</v>
      </c>
      <c r="C4483" s="33" t="n">
        <f aca="false">MAX(Assumptions!$E$55*(Assumptions!$E$51*12/Assumptions!$E$52)+Assumptions!$E$56*(Assumptions!$E$53*12/Assumptions!$E$54),(((('Market Sizing'!$E$27*Assumptions!$E$41*Assumptions!$E$42*Assumptions!$E$43)*Assumptions!$E$44)*Assumptions!$E$45*Assumptions!$E$46+('Market Sizing'!$E$27*Assumptions!$E$41*Assumptions!$E$42*Assumptions!$E$43)*Assumptions!$E$47+('Market Sizing'!$E$27*Assumptions!$E$41*Assumptions!$E$42*Assumptions!$E$43)*Assumptions!$E$48*Assumptions!$E$49)*(Assumptions!$E$51*12/Assumptions!$E$52)+((('Market Sizing'!$E$27*Assumptions!$E$41*Assumptions!$E$42*Assumptions!$E$43)*Assumptions!$E$44)*Assumptions!$E$45+('Market Sizing'!$E$27*Assumptions!$E$41*Assumptions!$E$42*Assumptions!$E$43)+('Market Sizing'!$E$27*Assumptions!$E$41*Assumptions!$E$42*Assumptions!$E$43)*Assumptions!$E$48)*Assumptions!$E$50*(Assumptions!$E$53*12/Assumptions!$E$54)))*(1-Assumptions!$E$57)</f>
        <v>61778.2562194386</v>
      </c>
    </row>
    <row r="4484" customFormat="false" ht="23.85" hidden="false" customHeight="false" outlineLevel="0" collapsed="false">
      <c r="A4484" s="4" t="s">
        <v>466</v>
      </c>
      <c r="B4484" s="36" t="s">
        <v>467</v>
      </c>
      <c r="C4484" s="37" t="n">
        <f aca="false">Assumptions!$E$17*Assumptions!$D$106</f>
        <v>0.4</v>
      </c>
    </row>
    <row r="4485" customFormat="false" ht="23.85" hidden="false" customHeight="false" outlineLevel="0" collapsed="false">
      <c r="A4485" s="4" t="s">
        <v>468</v>
      </c>
      <c r="B4485" s="36" t="s">
        <v>469</v>
      </c>
      <c r="C4485" s="33" t="n">
        <f aca="false">Assumptions!$E$68/Assumptions!$E$69</f>
        <v>285714.285714286</v>
      </c>
    </row>
    <row r="4486" customFormat="false" ht="23.85" hidden="false" customHeight="false" outlineLevel="0" collapsed="false">
      <c r="A4486" s="4" t="s">
        <v>470</v>
      </c>
      <c r="B4486" s="36" t="s">
        <v>471</v>
      </c>
      <c r="C4486" s="33" t="n">
        <f aca="false">Assumptions!$E$66*Assumptions!$E$67/4</f>
        <v>153125</v>
      </c>
    </row>
    <row r="4487" customFormat="false" ht="15" hidden="false" customHeight="false" outlineLevel="0" collapsed="false">
      <c r="A4487" s="4" t="s">
        <v>472</v>
      </c>
      <c r="B4487" s="36"/>
      <c r="C4487" s="38" t="n">
        <f aca="false">$C$4485/Assumptions!$E$66/Assumptions!$E$67</f>
        <v>0.466472303206997</v>
      </c>
    </row>
    <row r="4488" customFormat="false" ht="15" hidden="false" customHeight="false" outlineLevel="0" collapsed="false">
      <c r="A4488" s="4" t="s">
        <v>473</v>
      </c>
      <c r="B4488" s="36"/>
      <c r="C4488" s="33" t="n">
        <f aca="false">MAX(0,Assumptions!$D$103-Assumptions!$E$78)</f>
        <v>0</v>
      </c>
    </row>
    <row r="4489" customFormat="false" ht="15" hidden="false" customHeight="false" outlineLevel="0" collapsed="false">
      <c r="A4489" s="35" t="s">
        <v>474</v>
      </c>
      <c r="B4489" s="35" t="s">
        <v>444</v>
      </c>
      <c r="C4489" s="6" t="s">
        <v>354</v>
      </c>
      <c r="D4489" s="6" t="s">
        <v>355</v>
      </c>
      <c r="E4489" s="6" t="s">
        <v>356</v>
      </c>
      <c r="F4489" s="6" t="s">
        <v>357</v>
      </c>
      <c r="G4489" s="6" t="s">
        <v>358</v>
      </c>
      <c r="H4489" s="6" t="s">
        <v>359</v>
      </c>
      <c r="I4489" s="6" t="s">
        <v>360</v>
      </c>
      <c r="J4489" s="6" t="s">
        <v>361</v>
      </c>
      <c r="K4489" s="6" t="s">
        <v>362</v>
      </c>
      <c r="L4489" s="6" t="s">
        <v>363</v>
      </c>
      <c r="M4489" s="6" t="s">
        <v>364</v>
      </c>
      <c r="N4489" s="6" t="s">
        <v>365</v>
      </c>
      <c r="P4489" s="6" t="s">
        <v>445</v>
      </c>
      <c r="Q4489" s="6" t="s">
        <v>446</v>
      </c>
      <c r="R4489" s="6" t="s">
        <v>447</v>
      </c>
      <c r="S4489" s="6" t="s">
        <v>448</v>
      </c>
    </row>
    <row r="4490" customFormat="false" ht="15" hidden="false" customHeight="false" outlineLevel="0" collapsed="false">
      <c r="A4490" s="4" t="s">
        <v>475</v>
      </c>
      <c r="B4490" s="36" t="s">
        <v>133</v>
      </c>
      <c r="C4490" s="39" t="n">
        <v>1</v>
      </c>
      <c r="D4490" s="39" t="n">
        <v>2</v>
      </c>
      <c r="E4490" s="39" t="n">
        <v>3</v>
      </c>
      <c r="F4490" s="39" t="n">
        <v>4</v>
      </c>
      <c r="G4490" s="39" t="n">
        <v>5</v>
      </c>
      <c r="H4490" s="39" t="n">
        <v>6</v>
      </c>
      <c r="I4490" s="39" t="n">
        <v>7</v>
      </c>
      <c r="J4490" s="39" t="n">
        <v>8</v>
      </c>
      <c r="K4490" s="39" t="n">
        <v>9</v>
      </c>
      <c r="L4490" s="39" t="n">
        <v>10</v>
      </c>
      <c r="M4490" s="39" t="n">
        <v>11</v>
      </c>
      <c r="N4490" s="39" t="n">
        <v>12</v>
      </c>
      <c r="P4490" s="40"/>
      <c r="Q4490" s="40"/>
      <c r="R4490" s="40"/>
      <c r="S4490" s="41"/>
    </row>
    <row r="4491" customFormat="false" ht="15" hidden="false" customHeight="false" outlineLevel="0" collapsed="false">
      <c r="A4491" s="4" t="s">
        <v>476</v>
      </c>
      <c r="B4491" s="36" t="s">
        <v>343</v>
      </c>
      <c r="C4491" s="39" t="n">
        <f aca="false">IF(C4490&lt;=Assumptions!$E$84,1,0)</f>
        <v>1</v>
      </c>
      <c r="D4491" s="39" t="n">
        <f aca="false">IF(D4490&lt;=Assumptions!$E$84,1,0)</f>
        <v>1</v>
      </c>
      <c r="E4491" s="39" t="n">
        <f aca="false">IF(E4490&lt;=Assumptions!$E$84,1,0)</f>
        <v>1</v>
      </c>
      <c r="F4491" s="39" t="n">
        <f aca="false">IF(F4490&lt;=Assumptions!$E$84,1,0)</f>
        <v>1</v>
      </c>
      <c r="G4491" s="39" t="n">
        <f aca="false">IF(G4490&lt;=Assumptions!$E$84,1,0)</f>
        <v>1</v>
      </c>
      <c r="H4491" s="39" t="n">
        <f aca="false">IF(H4490&lt;=Assumptions!$E$84,1,0)</f>
        <v>1</v>
      </c>
      <c r="I4491" s="39" t="n">
        <f aca="false">IF(I4490&lt;=Assumptions!$E$84,1,0)</f>
        <v>1</v>
      </c>
      <c r="J4491" s="39" t="n">
        <f aca="false">IF(J4490&lt;=Assumptions!$E$84,1,0)</f>
        <v>1</v>
      </c>
      <c r="K4491" s="39" t="n">
        <f aca="false">IF(K4490&lt;=Assumptions!$E$84,1,0)</f>
        <v>1</v>
      </c>
      <c r="L4491" s="39" t="n">
        <f aca="false">IF(L4490&lt;=Assumptions!$E$84,1,0)</f>
        <v>1</v>
      </c>
      <c r="M4491" s="39" t="n">
        <f aca="false">IF(M4490&lt;=Assumptions!$E$84,1,0)</f>
        <v>1</v>
      </c>
      <c r="N4491" s="39" t="n">
        <f aca="false">IF(N4490&lt;=Assumptions!$E$84,1,0)</f>
        <v>1</v>
      </c>
      <c r="P4491" s="40"/>
      <c r="Q4491" s="40"/>
      <c r="R4491" s="40"/>
      <c r="S4491" s="41"/>
    </row>
    <row r="4492" customFormat="false" ht="15" hidden="false" customHeight="false" outlineLevel="0" collapsed="false">
      <c r="A4492" s="4" t="s">
        <v>477</v>
      </c>
      <c r="B4492" s="36" t="s">
        <v>478</v>
      </c>
      <c r="C4492" s="42" t="n">
        <f aca="false">IF(C4490=Assumptions!$E$13,0.5,IF(C4490&gt;Assumptions!$E$13,1,0))</f>
        <v>0.5</v>
      </c>
      <c r="D4492" s="42" t="n">
        <f aca="false">IF(D4490=Assumptions!$E$13,0.5,IF(D4490&gt;Assumptions!$E$13,1,0))</f>
        <v>1</v>
      </c>
      <c r="E4492" s="42" t="n">
        <f aca="false">IF(E4490=Assumptions!$E$13,0.5,IF(E4490&gt;Assumptions!$E$13,1,0))</f>
        <v>1</v>
      </c>
      <c r="F4492" s="42" t="n">
        <f aca="false">IF(F4490=Assumptions!$E$13,0.5,IF(F4490&gt;Assumptions!$E$13,1,0))</f>
        <v>1</v>
      </c>
      <c r="G4492" s="42" t="n">
        <f aca="false">IF(G4490=Assumptions!$E$13,0.5,IF(G4490&gt;Assumptions!$E$13,1,0))</f>
        <v>1</v>
      </c>
      <c r="H4492" s="42" t="n">
        <f aca="false">IF(H4490=Assumptions!$E$13,0.5,IF(H4490&gt;Assumptions!$E$13,1,0))</f>
        <v>1</v>
      </c>
      <c r="I4492" s="42" t="n">
        <f aca="false">IF(I4490=Assumptions!$E$13,0.5,IF(I4490&gt;Assumptions!$E$13,1,0))</f>
        <v>1</v>
      </c>
      <c r="J4492" s="42" t="n">
        <f aca="false">IF(J4490=Assumptions!$E$13,0.5,IF(J4490&gt;Assumptions!$E$13,1,0))</f>
        <v>1</v>
      </c>
      <c r="K4492" s="42" t="n">
        <f aca="false">IF(K4490=Assumptions!$E$13,0.5,IF(K4490&gt;Assumptions!$E$13,1,0))</f>
        <v>1</v>
      </c>
      <c r="L4492" s="42" t="n">
        <f aca="false">IF(L4490=Assumptions!$E$13,0.5,IF(L4490&gt;Assumptions!$E$13,1,0))</f>
        <v>1</v>
      </c>
      <c r="M4492" s="42" t="n">
        <f aca="false">IF(M4490=Assumptions!$E$13,0.5,IF(M4490&gt;Assumptions!$E$13,1,0))</f>
        <v>1</v>
      </c>
      <c r="N4492" s="42" t="n">
        <f aca="false">IF(N4490=Assumptions!$E$13,0.5,IF(N4490&gt;Assumptions!$E$13,1,0))</f>
        <v>1</v>
      </c>
      <c r="P4492" s="43"/>
      <c r="Q4492" s="43"/>
      <c r="R4492" s="43"/>
      <c r="S4492" s="44"/>
    </row>
    <row r="4493" customFormat="false" ht="15" hidden="false" customHeight="false" outlineLevel="0" collapsed="false">
      <c r="A4493" s="4" t="s">
        <v>479</v>
      </c>
      <c r="B4493" s="36" t="s">
        <v>478</v>
      </c>
      <c r="C4493" s="42" t="n">
        <f aca="false">IF(C4490=Assumptions!$E$14,0.5,IF(C4490&gt;Assumptions!$E$14,1,0))</f>
        <v>0</v>
      </c>
      <c r="D4493" s="42" t="n">
        <f aca="false">IF(D4490=Assumptions!$E$14,0.5,IF(D4490&gt;Assumptions!$E$14,1,0))</f>
        <v>0</v>
      </c>
      <c r="E4493" s="42" t="n">
        <f aca="false">IF(E4490=Assumptions!$E$14,0.5,IF(E4490&gt;Assumptions!$E$14,1,0))</f>
        <v>0</v>
      </c>
      <c r="F4493" s="42" t="n">
        <f aca="false">IF(F4490=Assumptions!$E$14,0.5,IF(F4490&gt;Assumptions!$E$14,1,0))</f>
        <v>0</v>
      </c>
      <c r="G4493" s="42" t="n">
        <f aca="false">IF(G4490=Assumptions!$E$14,0.5,IF(G4490&gt;Assumptions!$E$14,1,0))</f>
        <v>0.5</v>
      </c>
      <c r="H4493" s="42" t="n">
        <f aca="false">IF(H4490=Assumptions!$E$14,0.5,IF(H4490&gt;Assumptions!$E$14,1,0))</f>
        <v>1</v>
      </c>
      <c r="I4493" s="42" t="n">
        <f aca="false">IF(I4490=Assumptions!$E$14,0.5,IF(I4490&gt;Assumptions!$E$14,1,0))</f>
        <v>1</v>
      </c>
      <c r="J4493" s="42" t="n">
        <f aca="false">IF(J4490=Assumptions!$E$14,0.5,IF(J4490&gt;Assumptions!$E$14,1,0))</f>
        <v>1</v>
      </c>
      <c r="K4493" s="42" t="n">
        <f aca="false">IF(K4490=Assumptions!$E$14,0.5,IF(K4490&gt;Assumptions!$E$14,1,0))</f>
        <v>1</v>
      </c>
      <c r="L4493" s="42" t="n">
        <f aca="false">IF(L4490=Assumptions!$E$14,0.5,IF(L4490&gt;Assumptions!$E$14,1,0))</f>
        <v>1</v>
      </c>
      <c r="M4493" s="42" t="n">
        <f aca="false">IF(M4490=Assumptions!$E$14,0.5,IF(M4490&gt;Assumptions!$E$14,1,0))</f>
        <v>1</v>
      </c>
      <c r="N4493" s="42" t="n">
        <f aca="false">IF(N4490=Assumptions!$E$14,0.5,IF(N4490&gt;Assumptions!$E$14,1,0))</f>
        <v>1</v>
      </c>
      <c r="P4493" s="43"/>
      <c r="Q4493" s="43"/>
      <c r="R4493" s="43"/>
      <c r="S4493" s="44"/>
    </row>
    <row r="4494" customFormat="false" ht="15" hidden="false" customHeight="false" outlineLevel="0" collapsed="false">
      <c r="A4494" s="4" t="s">
        <v>480</v>
      </c>
      <c r="B4494" s="36" t="s">
        <v>478</v>
      </c>
      <c r="C4494" s="42" t="n">
        <f aca="false">IF(C4490=Assumptions!$E$15,0.5,IF(C4490&gt;Assumptions!$E$15,1,0))</f>
        <v>0</v>
      </c>
      <c r="D4494" s="42" t="n">
        <f aca="false">IF(D4490=Assumptions!$E$15,0.5,IF(D4490&gt;Assumptions!$E$15,1,0))</f>
        <v>0</v>
      </c>
      <c r="E4494" s="42" t="n">
        <f aca="false">IF(E4490=Assumptions!$E$15,0.5,IF(E4490&gt;Assumptions!$E$15,1,0))</f>
        <v>0</v>
      </c>
      <c r="F4494" s="42" t="n">
        <f aca="false">IF(F4490=Assumptions!$E$15,0.5,IF(F4490&gt;Assumptions!$E$15,1,0))</f>
        <v>0</v>
      </c>
      <c r="G4494" s="42" t="n">
        <f aca="false">IF(G4490=Assumptions!$E$15,0.5,IF(G4490&gt;Assumptions!$E$15,1,0))</f>
        <v>0</v>
      </c>
      <c r="H4494" s="42" t="n">
        <f aca="false">IF(H4490=Assumptions!$E$15,0.5,IF(H4490&gt;Assumptions!$E$15,1,0))</f>
        <v>0</v>
      </c>
      <c r="I4494" s="42" t="n">
        <f aca="false">IF(I4490=Assumptions!$E$15,0.5,IF(I4490&gt;Assumptions!$E$15,1,0))</f>
        <v>0.5</v>
      </c>
      <c r="J4494" s="42" t="n">
        <f aca="false">IF(J4490=Assumptions!$E$15,0.5,IF(J4490&gt;Assumptions!$E$15,1,0))</f>
        <v>1</v>
      </c>
      <c r="K4494" s="42" t="n">
        <f aca="false">IF(K4490=Assumptions!$E$15,0.5,IF(K4490&gt;Assumptions!$E$15,1,0))</f>
        <v>1</v>
      </c>
      <c r="L4494" s="42" t="n">
        <f aca="false">IF(L4490=Assumptions!$E$15,0.5,IF(L4490&gt;Assumptions!$E$15,1,0))</f>
        <v>1</v>
      </c>
      <c r="M4494" s="42" t="n">
        <f aca="false">IF(M4490=Assumptions!$E$15,0.5,IF(M4490&gt;Assumptions!$E$15,1,0))</f>
        <v>1</v>
      </c>
      <c r="N4494" s="42" t="n">
        <f aca="false">IF(N4490=Assumptions!$E$15,0.5,IF(N4490&gt;Assumptions!$E$15,1,0))</f>
        <v>1</v>
      </c>
      <c r="P4494" s="43"/>
      <c r="Q4494" s="43"/>
      <c r="R4494" s="43"/>
      <c r="S4494" s="44"/>
    </row>
    <row r="4495" customFormat="false" ht="15" hidden="false" customHeight="false" outlineLevel="0" collapsed="false">
      <c r="A4495" s="4" t="s">
        <v>481</v>
      </c>
      <c r="B4495" s="36" t="s">
        <v>478</v>
      </c>
      <c r="C4495" s="45" t="n">
        <f aca="false">Assumptions!$E$21^(MAX(0,C4490-Assumptions!$E$13)/4)</f>
        <v>1</v>
      </c>
      <c r="D4495" s="45" t="n">
        <f aca="false">Assumptions!$E$21^(MAX(0,D4490-Assumptions!$E$13)/4)</f>
        <v>0.9306048591021</v>
      </c>
      <c r="E4495" s="45" t="n">
        <f aca="false">Assumptions!$E$21^(MAX(0,E4490-Assumptions!$E$13)/4)</f>
        <v>0.866025403784439</v>
      </c>
      <c r="F4495" s="45" t="n">
        <f aca="false">Assumptions!$E$21^(MAX(0,F4490-Assumptions!$E$13)/4)</f>
        <v>0.805927448867656</v>
      </c>
      <c r="G4495" s="45" t="n">
        <f aca="false">Assumptions!$E$21^(MAX(0,G4490-Assumptions!$E$13)/4)</f>
        <v>0.75</v>
      </c>
      <c r="H4495" s="45" t="n">
        <f aca="false">Assumptions!$E$21^(MAX(0,H4490-Assumptions!$E$13)/4)</f>
        <v>0.697953644326575</v>
      </c>
      <c r="I4495" s="45" t="n">
        <f aca="false">Assumptions!$E$21^(MAX(0,I4490-Assumptions!$E$13)/4)</f>
        <v>0.649519052838329</v>
      </c>
      <c r="J4495" s="45" t="n">
        <f aca="false">Assumptions!$E$21^(MAX(0,J4490-Assumptions!$E$13)/4)</f>
        <v>0.604445586650742</v>
      </c>
      <c r="K4495" s="45" t="n">
        <f aca="false">Assumptions!$E$21^(MAX(0,K4490-Assumptions!$E$13)/4)</f>
        <v>0.5625</v>
      </c>
      <c r="L4495" s="45" t="n">
        <f aca="false">Assumptions!$E$21^(MAX(0,L4490-Assumptions!$E$13)/4)</f>
        <v>0.523465233244931</v>
      </c>
      <c r="M4495" s="45" t="n">
        <f aca="false">Assumptions!$E$21^(MAX(0,M4490-Assumptions!$E$13)/4)</f>
        <v>0.487139289628747</v>
      </c>
      <c r="N4495" s="45" t="n">
        <f aca="false">Assumptions!$E$21^(MAX(0,N4490-Assumptions!$E$13)/4)</f>
        <v>0.453334189988057</v>
      </c>
      <c r="P4495" s="46"/>
      <c r="Q4495" s="46"/>
      <c r="R4495" s="46"/>
      <c r="S4495" s="47"/>
    </row>
    <row r="4496" customFormat="false" ht="15" hidden="false" customHeight="false" outlineLevel="0" collapsed="false">
      <c r="A4496" s="4" t="s">
        <v>482</v>
      </c>
      <c r="B4496" s="36" t="s">
        <v>478</v>
      </c>
      <c r="C4496" s="45" t="n">
        <f aca="false">Assumptions!$E$21^(MAX(0,C4490-Assumptions!$E$14)/4)</f>
        <v>1</v>
      </c>
      <c r="D4496" s="45" t="n">
        <f aca="false">Assumptions!$E$21^(MAX(0,D4490-Assumptions!$E$14)/4)</f>
        <v>1</v>
      </c>
      <c r="E4496" s="45" t="n">
        <f aca="false">Assumptions!$E$21^(MAX(0,E4490-Assumptions!$E$14)/4)</f>
        <v>1</v>
      </c>
      <c r="F4496" s="45" t="n">
        <f aca="false">Assumptions!$E$21^(MAX(0,F4490-Assumptions!$E$14)/4)</f>
        <v>1</v>
      </c>
      <c r="G4496" s="45" t="n">
        <f aca="false">Assumptions!$E$21^(MAX(0,G4490-Assumptions!$E$14)/4)</f>
        <v>1</v>
      </c>
      <c r="H4496" s="45" t="n">
        <f aca="false">Assumptions!$E$21^(MAX(0,H4490-Assumptions!$E$14)/4)</f>
        <v>0.9306048591021</v>
      </c>
      <c r="I4496" s="45" t="n">
        <f aca="false">Assumptions!$E$21^(MAX(0,I4490-Assumptions!$E$14)/4)</f>
        <v>0.866025403784439</v>
      </c>
      <c r="J4496" s="45" t="n">
        <f aca="false">Assumptions!$E$21^(MAX(0,J4490-Assumptions!$E$14)/4)</f>
        <v>0.805927448867656</v>
      </c>
      <c r="K4496" s="45" t="n">
        <f aca="false">Assumptions!$E$21^(MAX(0,K4490-Assumptions!$E$14)/4)</f>
        <v>0.75</v>
      </c>
      <c r="L4496" s="45" t="n">
        <f aca="false">Assumptions!$E$21^(MAX(0,L4490-Assumptions!$E$14)/4)</f>
        <v>0.697953644326575</v>
      </c>
      <c r="M4496" s="45" t="n">
        <f aca="false">Assumptions!$E$21^(MAX(0,M4490-Assumptions!$E$14)/4)</f>
        <v>0.649519052838329</v>
      </c>
      <c r="N4496" s="45" t="n">
        <f aca="false">Assumptions!$E$21^(MAX(0,N4490-Assumptions!$E$14)/4)</f>
        <v>0.604445586650742</v>
      </c>
      <c r="P4496" s="46"/>
      <c r="Q4496" s="46"/>
      <c r="R4496" s="46"/>
      <c r="S4496" s="47"/>
    </row>
    <row r="4497" customFormat="false" ht="15" hidden="false" customHeight="false" outlineLevel="0" collapsed="false">
      <c r="A4497" s="4" t="s">
        <v>483</v>
      </c>
      <c r="B4497" s="36" t="s">
        <v>478</v>
      </c>
      <c r="C4497" s="45" t="n">
        <f aca="false">Assumptions!$E$21^(MAX(0,C4490-Assumptions!$E$15)/4)</f>
        <v>1</v>
      </c>
      <c r="D4497" s="45" t="n">
        <f aca="false">Assumptions!$E$21^(MAX(0,D4490-Assumptions!$E$15)/4)</f>
        <v>1</v>
      </c>
      <c r="E4497" s="45" t="n">
        <f aca="false">Assumptions!$E$21^(MAX(0,E4490-Assumptions!$E$15)/4)</f>
        <v>1</v>
      </c>
      <c r="F4497" s="45" t="n">
        <f aca="false">Assumptions!$E$21^(MAX(0,F4490-Assumptions!$E$15)/4)</f>
        <v>1</v>
      </c>
      <c r="G4497" s="45" t="n">
        <f aca="false">Assumptions!$E$21^(MAX(0,G4490-Assumptions!$E$15)/4)</f>
        <v>1</v>
      </c>
      <c r="H4497" s="45" t="n">
        <f aca="false">Assumptions!$E$21^(MAX(0,H4490-Assumptions!$E$15)/4)</f>
        <v>1</v>
      </c>
      <c r="I4497" s="45" t="n">
        <f aca="false">Assumptions!$E$21^(MAX(0,I4490-Assumptions!$E$15)/4)</f>
        <v>1</v>
      </c>
      <c r="J4497" s="45" t="n">
        <f aca="false">Assumptions!$E$21^(MAX(0,J4490-Assumptions!$E$15)/4)</f>
        <v>0.9306048591021</v>
      </c>
      <c r="K4497" s="45" t="n">
        <f aca="false">Assumptions!$E$21^(MAX(0,K4490-Assumptions!$E$15)/4)</f>
        <v>0.866025403784439</v>
      </c>
      <c r="L4497" s="45" t="n">
        <f aca="false">Assumptions!$E$21^(MAX(0,L4490-Assumptions!$E$15)/4)</f>
        <v>0.805927448867656</v>
      </c>
      <c r="M4497" s="45" t="n">
        <f aca="false">Assumptions!$E$21^(MAX(0,M4490-Assumptions!$E$15)/4)</f>
        <v>0.75</v>
      </c>
      <c r="N4497" s="45" t="n">
        <f aca="false">Assumptions!$E$21^(MAX(0,N4490-Assumptions!$E$15)/4)</f>
        <v>0.697953644326575</v>
      </c>
      <c r="P4497" s="46"/>
      <c r="Q4497" s="46"/>
      <c r="R4497" s="46"/>
      <c r="S4497" s="47"/>
    </row>
    <row r="4498" customFormat="false" ht="15" hidden="false" customHeight="false" outlineLevel="0" collapsed="false">
      <c r="A4498" s="4" t="s">
        <v>484</v>
      </c>
      <c r="B4498" s="36" t="s">
        <v>485</v>
      </c>
      <c r="C4498" s="39" t="n">
        <f aca="false">$C$4469*C4492+$C$4473*C4493+$C$4477*C4494</f>
        <v>421.51972352</v>
      </c>
      <c r="D4498" s="39" t="n">
        <f aca="false">$C$4469*D4492+$C$4473*D4493+$C$4477*D4494</f>
        <v>843.03944704</v>
      </c>
      <c r="E4498" s="39" t="n">
        <f aca="false">$C$4469*E4492+$C$4473*E4493+$C$4477*E4494</f>
        <v>843.03944704</v>
      </c>
      <c r="F4498" s="39" t="n">
        <f aca="false">$C$4469*F4492+$C$4473*F4493+$C$4477*F4494</f>
        <v>843.03944704</v>
      </c>
      <c r="G4498" s="39" t="n">
        <f aca="false">$C$4469*G4492+$C$4473*G4493+$C$4477*G4494</f>
        <v>1149.32798176</v>
      </c>
      <c r="H4498" s="39" t="n">
        <f aca="false">$C$4469*H4492+$C$4473*H4493+$C$4477*H4494</f>
        <v>1455.61651648</v>
      </c>
      <c r="I4498" s="39" t="n">
        <f aca="false">$C$4469*I4492+$C$4473*I4493+$C$4477*I4494</f>
        <v>2486.00303616</v>
      </c>
      <c r="J4498" s="39" t="n">
        <f aca="false">$C$4469*J4492+$C$4473*J4493+$C$4477*J4494</f>
        <v>3516.38955584</v>
      </c>
      <c r="K4498" s="39" t="n">
        <f aca="false">$C$4469*K4492+$C$4473*K4493+$C$4477*K4494</f>
        <v>3516.38955584</v>
      </c>
      <c r="L4498" s="39" t="n">
        <f aca="false">$C$4469*L4492+$C$4473*L4493+$C$4477*L4494</f>
        <v>3516.38955584</v>
      </c>
      <c r="M4498" s="39" t="n">
        <f aca="false">$C$4469*M4492+$C$4473*M4493+$C$4477*M4494</f>
        <v>3516.38955584</v>
      </c>
      <c r="N4498" s="39" t="n">
        <f aca="false">$C$4469*N4492+$C$4473*N4493+$C$4477*N4494</f>
        <v>3516.38955584</v>
      </c>
      <c r="P4498" s="40" t="n">
        <f aca="false">F4498</f>
        <v>843.03944704</v>
      </c>
      <c r="Q4498" s="40" t="n">
        <f aca="false">J4498</f>
        <v>3516.38955584</v>
      </c>
      <c r="R4498" s="40" t="n">
        <f aca="false">N4498</f>
        <v>3516.38955584</v>
      </c>
      <c r="S4498" s="41" t="n">
        <f aca="false">R4498</f>
        <v>3516.38955584</v>
      </c>
    </row>
    <row r="4499" customFormat="false" ht="15" hidden="false" customHeight="false" outlineLevel="0" collapsed="false">
      <c r="A4499" s="4" t="s">
        <v>486</v>
      </c>
      <c r="B4499" s="36" t="s">
        <v>485</v>
      </c>
      <c r="C4499" s="39" t="n">
        <f aca="false">$C$4470*C4492+$C$4474*C4493+$C$4478*C4494</f>
        <v>105.59808</v>
      </c>
      <c r="D4499" s="39" t="n">
        <f aca="false">$C$4470*D4492+$C$4474*D4493+$C$4478*D4494</f>
        <v>211.19616</v>
      </c>
      <c r="E4499" s="39" t="n">
        <f aca="false">$C$4470*E4492+$C$4474*E4493+$C$4478*E4494</f>
        <v>211.19616</v>
      </c>
      <c r="F4499" s="39" t="n">
        <f aca="false">$C$4470*F4492+$C$4474*F4493+$C$4478*F4494</f>
        <v>211.19616</v>
      </c>
      <c r="G4499" s="39" t="n">
        <f aca="false">$C$4470*G4492+$C$4474*G4493+$C$4478*G4494</f>
        <v>282.24672</v>
      </c>
      <c r="H4499" s="39" t="n">
        <f aca="false">$C$4470*H4492+$C$4474*H4493+$C$4478*H4494</f>
        <v>353.29728</v>
      </c>
      <c r="I4499" s="39" t="n">
        <f aca="false">$C$4470*I4492+$C$4474*I4493+$C$4478*I4494</f>
        <v>567.53536</v>
      </c>
      <c r="J4499" s="39" t="n">
        <f aca="false">$C$4470*J4492+$C$4474*J4493+$C$4478*J4494</f>
        <v>781.77344</v>
      </c>
      <c r="K4499" s="39" t="n">
        <f aca="false">$C$4470*K4492+$C$4474*K4493+$C$4478*K4494</f>
        <v>781.77344</v>
      </c>
      <c r="L4499" s="39" t="n">
        <f aca="false">$C$4470*L4492+$C$4474*L4493+$C$4478*L4494</f>
        <v>781.77344</v>
      </c>
      <c r="M4499" s="39" t="n">
        <f aca="false">$C$4470*M4492+$C$4474*M4493+$C$4478*M4494</f>
        <v>781.77344</v>
      </c>
      <c r="N4499" s="39" t="n">
        <f aca="false">$C$4470*N4492+$C$4474*N4493+$C$4478*N4494</f>
        <v>781.77344</v>
      </c>
      <c r="P4499" s="40" t="n">
        <f aca="false">F4499</f>
        <v>211.19616</v>
      </c>
      <c r="Q4499" s="40" t="n">
        <f aca="false">J4499</f>
        <v>781.77344</v>
      </c>
      <c r="R4499" s="40" t="n">
        <f aca="false">N4499</f>
        <v>781.77344</v>
      </c>
      <c r="S4499" s="41" t="n">
        <f aca="false">R4499</f>
        <v>781.77344</v>
      </c>
    </row>
    <row r="4500" customFormat="false" ht="15" hidden="false" customHeight="false" outlineLevel="0" collapsed="false">
      <c r="A4500" s="4" t="s">
        <v>487</v>
      </c>
      <c r="B4500" s="36" t="s">
        <v>485</v>
      </c>
      <c r="C4500" s="39" t="n">
        <f aca="false">$C$4471*C4492+$C$4475*C4493+$C$4479*C4494</f>
        <v>24.76992</v>
      </c>
      <c r="D4500" s="39" t="n">
        <f aca="false">$C$4471*D4492+$C$4475*D4493+$C$4479*D4494</f>
        <v>49.53984</v>
      </c>
      <c r="E4500" s="39" t="n">
        <f aca="false">$C$4471*E4492+$C$4475*E4493+$C$4479*E4494</f>
        <v>49.53984</v>
      </c>
      <c r="F4500" s="39" t="n">
        <f aca="false">$C$4471*F4492+$C$4475*F4493+$C$4479*F4494</f>
        <v>49.53984</v>
      </c>
      <c r="G4500" s="39" t="n">
        <f aca="false">$C$4471*G4492+$C$4475*G4493+$C$4479*G4494</f>
        <v>61.9248</v>
      </c>
      <c r="H4500" s="39" t="n">
        <f aca="false">$C$4471*H4492+$C$4475*H4493+$C$4479*H4494</f>
        <v>74.30976</v>
      </c>
      <c r="I4500" s="39" t="n">
        <f aca="false">$C$4471*I4492+$C$4475*I4493+$C$4479*I4494</f>
        <v>114.072</v>
      </c>
      <c r="J4500" s="39" t="n">
        <f aca="false">$C$4471*J4492+$C$4475*J4493+$C$4479*J4494</f>
        <v>153.83424</v>
      </c>
      <c r="K4500" s="39" t="n">
        <f aca="false">$C$4471*K4492+$C$4475*K4493+$C$4479*K4494</f>
        <v>153.83424</v>
      </c>
      <c r="L4500" s="39" t="n">
        <f aca="false">$C$4471*L4492+$C$4475*L4493+$C$4479*L4494</f>
        <v>153.83424</v>
      </c>
      <c r="M4500" s="39" t="n">
        <f aca="false">$C$4471*M4492+$C$4475*M4493+$C$4479*M4494</f>
        <v>153.83424</v>
      </c>
      <c r="N4500" s="39" t="n">
        <f aca="false">$C$4471*N4492+$C$4475*N4493+$C$4479*N4494</f>
        <v>153.83424</v>
      </c>
      <c r="P4500" s="40" t="n">
        <f aca="false">F4500</f>
        <v>49.53984</v>
      </c>
      <c r="Q4500" s="40" t="n">
        <f aca="false">J4500</f>
        <v>153.83424</v>
      </c>
      <c r="R4500" s="40" t="n">
        <f aca="false">N4500</f>
        <v>153.83424</v>
      </c>
      <c r="S4500" s="41" t="n">
        <f aca="false">R4500</f>
        <v>153.83424</v>
      </c>
    </row>
    <row r="4501" customFormat="false" ht="15" hidden="false" customHeight="false" outlineLevel="0" collapsed="false">
      <c r="A4501" s="4" t="s">
        <v>488</v>
      </c>
      <c r="B4501" s="36" t="s">
        <v>485</v>
      </c>
      <c r="C4501" s="39" t="n">
        <f aca="false">C4498+C4499+C4500</f>
        <v>551.88772352</v>
      </c>
      <c r="D4501" s="39" t="n">
        <f aca="false">D4498+D4499+D4500</f>
        <v>1103.77544704</v>
      </c>
      <c r="E4501" s="39" t="n">
        <f aca="false">E4498+E4499+E4500</f>
        <v>1103.77544704</v>
      </c>
      <c r="F4501" s="39" t="n">
        <f aca="false">F4498+F4499+F4500</f>
        <v>1103.77544704</v>
      </c>
      <c r="G4501" s="39" t="n">
        <f aca="false">G4498+G4499+G4500</f>
        <v>1493.49950176</v>
      </c>
      <c r="H4501" s="39" t="n">
        <f aca="false">H4498+H4499+H4500</f>
        <v>1883.22355648</v>
      </c>
      <c r="I4501" s="39" t="n">
        <f aca="false">I4498+I4499+I4500</f>
        <v>3167.61039616</v>
      </c>
      <c r="J4501" s="39" t="n">
        <f aca="false">J4498+J4499+J4500</f>
        <v>4451.99723584</v>
      </c>
      <c r="K4501" s="39" t="n">
        <f aca="false">K4498+K4499+K4500</f>
        <v>4451.99723584</v>
      </c>
      <c r="L4501" s="39" t="n">
        <f aca="false">L4498+L4499+L4500</f>
        <v>4451.99723584</v>
      </c>
      <c r="M4501" s="39" t="n">
        <f aca="false">M4498+M4499+M4500</f>
        <v>4451.99723584</v>
      </c>
      <c r="N4501" s="39" t="n">
        <f aca="false">N4498+N4499+N4500</f>
        <v>4451.99723584</v>
      </c>
      <c r="P4501" s="40" t="n">
        <f aca="false">F4501</f>
        <v>1103.77544704</v>
      </c>
      <c r="Q4501" s="40" t="n">
        <f aca="false">J4501</f>
        <v>4451.99723584</v>
      </c>
      <c r="R4501" s="40" t="n">
        <f aca="false">N4501</f>
        <v>4451.99723584</v>
      </c>
      <c r="S4501" s="41" t="n">
        <f aca="false">R4501</f>
        <v>4451.99723584</v>
      </c>
    </row>
    <row r="4502" customFormat="false" ht="15" hidden="false" customHeight="false" outlineLevel="0" collapsed="false">
      <c r="A4502" s="4" t="s">
        <v>489</v>
      </c>
      <c r="B4502" s="36" t="s">
        <v>485</v>
      </c>
      <c r="C4502" s="39" t="n">
        <f aca="false">$C$4472*C4492*C4495+$C$4476*C4493*C4496+$C$4480*C4494*C4497</f>
        <v>551.88772352</v>
      </c>
      <c r="D4502" s="39" t="n">
        <f aca="false">$C$4472*D4492*D4495+$C$4476*D4493*D4496+$C$4480*D4494*D4497</f>
        <v>1027.17879437302</v>
      </c>
      <c r="E4502" s="39" t="n">
        <f aca="false">$C$4472*E4492*E4495+$C$4476*E4493*E4496+$C$4480*E4494*E4497</f>
        <v>955.897577210165</v>
      </c>
      <c r="F4502" s="39" t="n">
        <f aca="false">$C$4472*F4492*F4495+$C$4476*F4493*F4496+$C$4480*F4494*F4497</f>
        <v>889.562930155704</v>
      </c>
      <c r="G4502" s="39" t="n">
        <f aca="false">$C$4472*G4492*G4495+$C$4476*G4493*G4496+$C$4480*G4494*G4497</f>
        <v>1217.55564</v>
      </c>
      <c r="H4502" s="39" t="n">
        <f aca="false">$C$4472*H4492*H4495+$C$4476*H4493*H4496+$C$4480*H4494*H4497</f>
        <v>1495.74229384257</v>
      </c>
      <c r="I4502" s="39" t="n">
        <f aca="false">$C$4472*I4492*I4495+$C$4476*I4493*I4496+$C$4480*I4494*I4497</f>
        <v>2676.33188629442</v>
      </c>
      <c r="J4502" s="39" t="n">
        <f aca="false">$C$4472*J4492*J4495+$C$4476*J4493*J4496+$C$4480*J4494*J4497</f>
        <v>3685.86409192847</v>
      </c>
      <c r="K4502" s="39" t="n">
        <f aca="false">$C$4472*K4492*K4495+$C$4476*K4493*K4496+$C$4480*K4494*K4497</f>
        <v>3430.08303393858</v>
      </c>
      <c r="L4502" s="39" t="n">
        <f aca="false">$C$4472*L4492*L4495+$C$4476*L4493*L4496+$C$4480*L4494*L4497</f>
        <v>3192.05193850692</v>
      </c>
      <c r="M4502" s="39" t="n">
        <f aca="false">$C$4472*M4492*M4495+$C$4476*M4493*M4496+$C$4480*M4494*M4497</f>
        <v>2970.53904448081</v>
      </c>
      <c r="N4502" s="39" t="n">
        <f aca="false">$C$4472*N4492*N4495+$C$4476*N4493*N4496+$C$4480*N4494*N4497</f>
        <v>2764.39806894635</v>
      </c>
      <c r="P4502" s="40"/>
      <c r="Q4502" s="40"/>
      <c r="R4502" s="40"/>
      <c r="S4502" s="41"/>
    </row>
    <row r="4503" customFormat="false" ht="15" hidden="false" customHeight="false" outlineLevel="0" collapsed="false">
      <c r="A4503" s="4" t="s">
        <v>490</v>
      </c>
      <c r="B4503" s="36" t="s">
        <v>491</v>
      </c>
      <c r="C4503" s="48" t="n">
        <f aca="false">$C$4484*Assumptions!$E$20*C4491*C4502</f>
        <v>6.62265268224</v>
      </c>
      <c r="D4503" s="48" t="n">
        <f aca="false">$C$4484*Assumptions!$E$20*D4491*D4502</f>
        <v>12.3261455324762</v>
      </c>
      <c r="E4503" s="48" t="n">
        <f aca="false">$C$4484*Assumptions!$E$20*E4491*E4502</f>
        <v>11.470770926522</v>
      </c>
      <c r="F4503" s="48" t="n">
        <f aca="false">$C$4484*Assumptions!$E$20*F4491*F4502</f>
        <v>10.6747551618685</v>
      </c>
      <c r="G4503" s="48" t="n">
        <f aca="false">$C$4484*Assumptions!$E$20*G4491*G4502</f>
        <v>14.61066768</v>
      </c>
      <c r="H4503" s="48" t="n">
        <f aca="false">$C$4484*Assumptions!$E$20*H4491*H4502</f>
        <v>17.9489075261109</v>
      </c>
      <c r="I4503" s="48" t="n">
        <f aca="false">$C$4484*Assumptions!$E$20*I4491*I4502</f>
        <v>32.115982635533</v>
      </c>
      <c r="J4503" s="48" t="n">
        <f aca="false">$C$4484*Assumptions!$E$20*J4491*J4502</f>
        <v>44.2303691031417</v>
      </c>
      <c r="K4503" s="48" t="n">
        <f aca="false">$C$4484*Assumptions!$E$20*K4491*K4502</f>
        <v>41.160996407263</v>
      </c>
      <c r="L4503" s="48" t="n">
        <f aca="false">$C$4484*Assumptions!$E$20*L4491*L4502</f>
        <v>38.304623262083</v>
      </c>
      <c r="M4503" s="48" t="n">
        <f aca="false">$C$4484*Assumptions!$E$20*M4491*M4502</f>
        <v>35.6464685337698</v>
      </c>
      <c r="N4503" s="48" t="n">
        <f aca="false">$C$4484*Assumptions!$E$20*N4491*N4502</f>
        <v>33.1727768273562</v>
      </c>
      <c r="P4503" s="49" t="n">
        <f aca="false">SUM(C4503:F4503)</f>
        <v>41.0943243031066</v>
      </c>
      <c r="Q4503" s="49" t="n">
        <f aca="false">SUM(G4503:J4503)</f>
        <v>108.905926944786</v>
      </c>
      <c r="R4503" s="49" t="n">
        <f aca="false">SUM(K4503:N4503)</f>
        <v>148.284865030472</v>
      </c>
      <c r="S4503" s="50" t="n">
        <f aca="false">SUM(P4503:R4503)</f>
        <v>298.285116278364</v>
      </c>
    </row>
    <row r="4504" customFormat="false" ht="15" hidden="false" customHeight="false" outlineLevel="0" collapsed="false">
      <c r="A4504" s="4" t="s">
        <v>492</v>
      </c>
      <c r="B4504" s="36" t="s">
        <v>321</v>
      </c>
      <c r="C4504" s="48" t="n">
        <f aca="false">Assumptions!$D$111</f>
        <v>0</v>
      </c>
      <c r="D4504" s="48" t="n">
        <f aca="false">Assumptions!$E$111</f>
        <v>0</v>
      </c>
      <c r="E4504" s="48" t="n">
        <f aca="false">Assumptions!$F$111</f>
        <v>0</v>
      </c>
      <c r="F4504" s="48" t="n">
        <f aca="false">Assumptions!$G$111</f>
        <v>0</v>
      </c>
      <c r="G4504" s="48" t="n">
        <f aca="false">Assumptions!$H$111</f>
        <v>0</v>
      </c>
      <c r="H4504" s="48" t="n">
        <f aca="false">Assumptions!$I$111</f>
        <v>0</v>
      </c>
      <c r="I4504" s="48" t="n">
        <f aca="false">Assumptions!$J$111</f>
        <v>0</v>
      </c>
      <c r="J4504" s="48" t="n">
        <f aca="false">Assumptions!$K$111</f>
        <v>0</v>
      </c>
      <c r="K4504" s="48" t="n">
        <f aca="false">Assumptions!$L$111</f>
        <v>0</v>
      </c>
      <c r="L4504" s="48" t="n">
        <f aca="false">Assumptions!$M$111</f>
        <v>0</v>
      </c>
      <c r="M4504" s="48" t="n">
        <f aca="false">Assumptions!$N$111</f>
        <v>0</v>
      </c>
      <c r="N4504" s="48" t="n">
        <f aca="false">Assumptions!$O$111</f>
        <v>0</v>
      </c>
      <c r="P4504" s="49" t="n">
        <f aca="false">F4504</f>
        <v>0</v>
      </c>
      <c r="Q4504" s="49" t="n">
        <f aca="false">J4504</f>
        <v>0</v>
      </c>
      <c r="R4504" s="49" t="n">
        <f aca="false">N4504</f>
        <v>0</v>
      </c>
      <c r="S4504" s="50" t="n">
        <f aca="false">R4504</f>
        <v>0</v>
      </c>
    </row>
    <row r="4505" customFormat="false" ht="15" hidden="false" customHeight="false" outlineLevel="0" collapsed="false">
      <c r="A4505" s="4" t="s">
        <v>493</v>
      </c>
      <c r="B4505" s="36" t="s">
        <v>321</v>
      </c>
      <c r="C4505" s="48" t="n">
        <f aca="false">0</f>
        <v>0</v>
      </c>
      <c r="D4505" s="48" t="n">
        <f aca="false">0.5*C4504</f>
        <v>0</v>
      </c>
      <c r="E4505" s="48" t="n">
        <f aca="false">C4504+0.5*(D4504-C4504)</f>
        <v>0</v>
      </c>
      <c r="F4505" s="48" t="n">
        <f aca="false">D4504+0.5*(E4504-D4504)</f>
        <v>0</v>
      </c>
      <c r="G4505" s="48" t="n">
        <f aca="false">E4504+0.5*(F4504-E4504)</f>
        <v>0</v>
      </c>
      <c r="H4505" s="48" t="n">
        <f aca="false">F4504+0.5*(G4504-F4504)</f>
        <v>0</v>
      </c>
      <c r="I4505" s="48" t="n">
        <f aca="false">G4504+0.5*(H4504-G4504)</f>
        <v>0</v>
      </c>
      <c r="J4505" s="48" t="n">
        <f aca="false">H4504+0.5*(I4504-H4504)</f>
        <v>0</v>
      </c>
      <c r="K4505" s="48" t="n">
        <f aca="false">I4504+0.5*(J4504-I4504)</f>
        <v>0</v>
      </c>
      <c r="L4505" s="48" t="n">
        <f aca="false">J4504+0.5*(K4504-J4504)</f>
        <v>0</v>
      </c>
      <c r="M4505" s="48" t="n">
        <f aca="false">K4504+0.5*(L4504-K4504)</f>
        <v>0</v>
      </c>
      <c r="N4505" s="48" t="n">
        <f aca="false">L4504+0.5*(M4504-L4504)</f>
        <v>0</v>
      </c>
      <c r="P4505" s="49" t="n">
        <f aca="false">F4505</f>
        <v>0</v>
      </c>
      <c r="Q4505" s="49" t="n">
        <f aca="false">J4505</f>
        <v>0</v>
      </c>
      <c r="R4505" s="49" t="n">
        <f aca="false">N4505</f>
        <v>0</v>
      </c>
      <c r="S4505" s="50" t="n">
        <f aca="false">R4505</f>
        <v>0</v>
      </c>
    </row>
    <row r="4506" customFormat="false" ht="15" hidden="false" customHeight="false" outlineLevel="0" collapsed="false">
      <c r="A4506" s="4" t="s">
        <v>494</v>
      </c>
      <c r="B4506" s="36" t="s">
        <v>485</v>
      </c>
      <c r="C4506" s="39" t="n">
        <f aca="false">MIN(C4505*Assumptions!$E$38,C4501*(1-$C$4484))</f>
        <v>0</v>
      </c>
      <c r="D4506" s="39" t="n">
        <f aca="false">MIN(D4505*Assumptions!$E$38,D4501*(1-$C$4484))</f>
        <v>0</v>
      </c>
      <c r="E4506" s="39" t="n">
        <f aca="false">MIN(E4505*Assumptions!$E$38,E4501*(1-$C$4484))</f>
        <v>0</v>
      </c>
      <c r="F4506" s="39" t="n">
        <f aca="false">MIN(F4505*Assumptions!$E$38,F4501*(1-$C$4484))</f>
        <v>0</v>
      </c>
      <c r="G4506" s="39" t="n">
        <f aca="false">MIN(G4505*Assumptions!$E$38,G4501*(1-$C$4484))</f>
        <v>0</v>
      </c>
      <c r="H4506" s="39" t="n">
        <f aca="false">MIN(H4505*Assumptions!$E$38,H4501*(1-$C$4484))</f>
        <v>0</v>
      </c>
      <c r="I4506" s="39" t="n">
        <f aca="false">MIN(I4505*Assumptions!$E$38,I4501*(1-$C$4484))</f>
        <v>0</v>
      </c>
      <c r="J4506" s="39" t="n">
        <f aca="false">MIN(J4505*Assumptions!$E$38,J4501*(1-$C$4484))</f>
        <v>0</v>
      </c>
      <c r="K4506" s="39" t="n">
        <f aca="false">MIN(K4505*Assumptions!$E$38,K4501*(1-$C$4484))</f>
        <v>0</v>
      </c>
      <c r="L4506" s="39" t="n">
        <f aca="false">MIN(L4505*Assumptions!$E$38,L4501*(1-$C$4484))</f>
        <v>0</v>
      </c>
      <c r="M4506" s="39" t="n">
        <f aca="false">MIN(M4505*Assumptions!$E$38,M4501*(1-$C$4484))</f>
        <v>0</v>
      </c>
      <c r="N4506" s="39" t="n">
        <f aca="false">MIN(N4505*Assumptions!$E$38,N4501*(1-$C$4484))</f>
        <v>0</v>
      </c>
      <c r="P4506" s="40" t="n">
        <f aca="false">SUM(C4506:F4506)</f>
        <v>0</v>
      </c>
      <c r="Q4506" s="40" t="n">
        <f aca="false">SUM(G4506:J4506)</f>
        <v>0</v>
      </c>
      <c r="R4506" s="40" t="n">
        <f aca="false">SUM(K4506:N4506)</f>
        <v>0</v>
      </c>
      <c r="S4506" s="41" t="n">
        <f aca="false">SUM(P4506:R4506)</f>
        <v>0</v>
      </c>
    </row>
    <row r="4507" customFormat="false" ht="15" hidden="false" customHeight="false" outlineLevel="0" collapsed="false">
      <c r="A4507" s="4" t="s">
        <v>495</v>
      </c>
      <c r="B4507" s="36" t="s">
        <v>491</v>
      </c>
      <c r="C4507" s="48" t="n">
        <f aca="false">C4506*Assumptions!$E$20*Assumptions!$E$39*IF(C4501&gt;0,C4502/C4501,0)*C4491</f>
        <v>0</v>
      </c>
      <c r="D4507" s="48" t="n">
        <f aca="false">D4506*Assumptions!$E$20*Assumptions!$E$39*IF(D4501&gt;0,D4502/D4501,0)*D4491</f>
        <v>0</v>
      </c>
      <c r="E4507" s="48" t="n">
        <f aca="false">E4506*Assumptions!$E$20*Assumptions!$E$39*IF(E4501&gt;0,E4502/E4501,0)*E4491</f>
        <v>0</v>
      </c>
      <c r="F4507" s="48" t="n">
        <f aca="false">F4506*Assumptions!$E$20*Assumptions!$E$39*IF(F4501&gt;0,F4502/F4501,0)*F4491</f>
        <v>0</v>
      </c>
      <c r="G4507" s="48" t="n">
        <f aca="false">G4506*Assumptions!$E$20*Assumptions!$E$39*IF(G4501&gt;0,G4502/G4501,0)*G4491</f>
        <v>0</v>
      </c>
      <c r="H4507" s="48" t="n">
        <f aca="false">H4506*Assumptions!$E$20*Assumptions!$E$39*IF(H4501&gt;0,H4502/H4501,0)*H4491</f>
        <v>0</v>
      </c>
      <c r="I4507" s="48" t="n">
        <f aca="false">I4506*Assumptions!$E$20*Assumptions!$E$39*IF(I4501&gt;0,I4502/I4501,0)*I4491</f>
        <v>0</v>
      </c>
      <c r="J4507" s="48" t="n">
        <f aca="false">J4506*Assumptions!$E$20*Assumptions!$E$39*IF(J4501&gt;0,J4502/J4501,0)*J4491</f>
        <v>0</v>
      </c>
      <c r="K4507" s="48" t="n">
        <f aca="false">K4506*Assumptions!$E$20*Assumptions!$E$39*IF(K4501&gt;0,K4502/K4501,0)*K4491</f>
        <v>0</v>
      </c>
      <c r="L4507" s="48" t="n">
        <f aca="false">L4506*Assumptions!$E$20*Assumptions!$E$39*IF(L4501&gt;0,L4502/L4501,0)*L4491</f>
        <v>0</v>
      </c>
      <c r="M4507" s="48" t="n">
        <f aca="false">M4506*Assumptions!$E$20*Assumptions!$E$39*IF(M4501&gt;0,M4502/M4501,0)*M4491</f>
        <v>0</v>
      </c>
      <c r="N4507" s="48" t="n">
        <f aca="false">N4506*Assumptions!$E$20*Assumptions!$E$39*IF(N4501&gt;0,N4502/N4501,0)*N4491</f>
        <v>0</v>
      </c>
      <c r="P4507" s="49" t="n">
        <f aca="false">SUM(C4507:F4507)</f>
        <v>0</v>
      </c>
      <c r="Q4507" s="49" t="n">
        <f aca="false">SUM(G4507:J4507)</f>
        <v>0</v>
      </c>
      <c r="R4507" s="49" t="n">
        <f aca="false">SUM(K4507:N4507)</f>
        <v>0</v>
      </c>
      <c r="S4507" s="50" t="n">
        <f aca="false">SUM(P4507:R4507)</f>
        <v>0</v>
      </c>
    </row>
    <row r="4508" customFormat="false" ht="15" hidden="false" customHeight="false" outlineLevel="0" collapsed="false">
      <c r="A4508" s="4" t="s">
        <v>496</v>
      </c>
      <c r="B4508" s="36" t="s">
        <v>497</v>
      </c>
      <c r="C4508" s="48" t="n">
        <f aca="false">IF(AND(C4501&gt;0,$C$4488&gt;0),C4501*Assumptions!$E$24*(1-EXP(-$C$4488/(Assumptions!$E$23*C4501*Assumptions!$E$24))),0)</f>
        <v>0</v>
      </c>
      <c r="D4508" s="48" t="n">
        <f aca="false">IF(AND(D4501&gt;0,$C$4488&gt;0),D4501*Assumptions!$E$24*(1-EXP(-$C$4488/(Assumptions!$E$23*D4501*Assumptions!$E$24))),0)</f>
        <v>0</v>
      </c>
      <c r="E4508" s="48" t="n">
        <f aca="false">IF(AND(E4501&gt;0,$C$4488&gt;0),E4501*Assumptions!$E$24*(1-EXP(-$C$4488/(Assumptions!$E$23*E4501*Assumptions!$E$24))),0)</f>
        <v>0</v>
      </c>
      <c r="F4508" s="48" t="n">
        <f aca="false">IF(AND(F4501&gt;0,$C$4488&gt;0),F4501*Assumptions!$E$24*(1-EXP(-$C$4488/(Assumptions!$E$23*F4501*Assumptions!$E$24))),0)</f>
        <v>0</v>
      </c>
      <c r="G4508" s="48" t="n">
        <f aca="false">IF(AND(G4501&gt;0,$C$4488&gt;0),G4501*Assumptions!$E$24*(1-EXP(-$C$4488/(Assumptions!$E$23*G4501*Assumptions!$E$24))),0)</f>
        <v>0</v>
      </c>
      <c r="H4508" s="48" t="n">
        <f aca="false">IF(AND(H4501&gt;0,$C$4488&gt;0),H4501*Assumptions!$E$24*(1-EXP(-$C$4488/(Assumptions!$E$23*H4501*Assumptions!$E$24))),0)</f>
        <v>0</v>
      </c>
      <c r="I4508" s="48" t="n">
        <f aca="false">IF(AND(I4501&gt;0,$C$4488&gt;0),I4501*Assumptions!$E$24*(1-EXP(-$C$4488/(Assumptions!$E$23*I4501*Assumptions!$E$24))),0)</f>
        <v>0</v>
      </c>
      <c r="J4508" s="48" t="n">
        <f aca="false">IF(AND(J4501&gt;0,$C$4488&gt;0),J4501*Assumptions!$E$24*(1-EXP(-$C$4488/(Assumptions!$E$23*J4501*Assumptions!$E$24))),0)</f>
        <v>0</v>
      </c>
      <c r="K4508" s="48" t="n">
        <f aca="false">IF(AND(K4501&gt;0,$C$4488&gt;0),K4501*Assumptions!$E$24*(1-EXP(-$C$4488/(Assumptions!$E$23*K4501*Assumptions!$E$24))),0)</f>
        <v>0</v>
      </c>
      <c r="L4508" s="48" t="n">
        <f aca="false">IF(AND(L4501&gt;0,$C$4488&gt;0),L4501*Assumptions!$E$24*(1-EXP(-$C$4488/(Assumptions!$E$23*L4501*Assumptions!$E$24))),0)</f>
        <v>0</v>
      </c>
      <c r="M4508" s="48" t="n">
        <f aca="false">IF(AND(M4501&gt;0,$C$4488&gt;0),M4501*Assumptions!$E$24*(1-EXP(-$C$4488/(Assumptions!$E$23*M4501*Assumptions!$E$24))),0)</f>
        <v>0</v>
      </c>
      <c r="N4508" s="48" t="n">
        <f aca="false">IF(AND(N4501&gt;0,$C$4488&gt;0),N4501*Assumptions!$E$24*(1-EXP(-$C$4488/(Assumptions!$E$23*N4501*Assumptions!$E$24))),0)</f>
        <v>0</v>
      </c>
      <c r="P4508" s="49" t="n">
        <f aca="false">SUM(C4508:F4508)</f>
        <v>0</v>
      </c>
      <c r="Q4508" s="49" t="n">
        <f aca="false">SUM(G4508:J4508)</f>
        <v>0</v>
      </c>
      <c r="R4508" s="49" t="n">
        <f aca="false">SUM(K4508:N4508)</f>
        <v>0</v>
      </c>
      <c r="S4508" s="50" t="n">
        <f aca="false">SUM(P4508:R4508)</f>
        <v>0</v>
      </c>
    </row>
    <row r="4509" customFormat="false" ht="15" hidden="false" customHeight="false" outlineLevel="0" collapsed="false">
      <c r="A4509" s="4" t="s">
        <v>498</v>
      </c>
      <c r="B4509" s="36" t="s">
        <v>497</v>
      </c>
      <c r="C4509" s="48" t="n">
        <f aca="false">(C4501*Assumptions!$E$22*MIN(1,Assumptions!$D$103/Assumptions!$E$78)+C4508)*C4491</f>
        <v>5.5188772352</v>
      </c>
      <c r="D4509" s="48" t="n">
        <f aca="false">(D4501*Assumptions!$E$22*MIN(1,Assumptions!$D$103/Assumptions!$E$78)+D4508)*D4491</f>
        <v>11.0377544704</v>
      </c>
      <c r="E4509" s="48" t="n">
        <f aca="false">(E4501*Assumptions!$E$22*MIN(1,Assumptions!$D$103/Assumptions!$E$78)+E4508)*E4491</f>
        <v>11.0377544704</v>
      </c>
      <c r="F4509" s="48" t="n">
        <f aca="false">(F4501*Assumptions!$E$22*MIN(1,Assumptions!$D$103/Assumptions!$E$78)+F4508)*F4491</f>
        <v>11.0377544704</v>
      </c>
      <c r="G4509" s="48" t="n">
        <f aca="false">(G4501*Assumptions!$E$22*MIN(1,Assumptions!$D$103/Assumptions!$E$78)+G4508)*G4491</f>
        <v>14.9349950176</v>
      </c>
      <c r="H4509" s="48" t="n">
        <f aca="false">(H4501*Assumptions!$E$22*MIN(1,Assumptions!$D$103/Assumptions!$E$78)+H4508)*H4491</f>
        <v>18.8322355648</v>
      </c>
      <c r="I4509" s="48" t="n">
        <f aca="false">(I4501*Assumptions!$E$22*MIN(1,Assumptions!$D$103/Assumptions!$E$78)+I4508)*I4491</f>
        <v>31.6761039616</v>
      </c>
      <c r="J4509" s="48" t="n">
        <f aca="false">(J4501*Assumptions!$E$22*MIN(1,Assumptions!$D$103/Assumptions!$E$78)+J4508)*J4491</f>
        <v>44.5199723584</v>
      </c>
      <c r="K4509" s="48" t="n">
        <f aca="false">(K4501*Assumptions!$E$22*MIN(1,Assumptions!$D$103/Assumptions!$E$78)+K4508)*K4491</f>
        <v>44.5199723584</v>
      </c>
      <c r="L4509" s="48" t="n">
        <f aca="false">(L4501*Assumptions!$E$22*MIN(1,Assumptions!$D$103/Assumptions!$E$78)+L4508)*L4491</f>
        <v>44.5199723584</v>
      </c>
      <c r="M4509" s="48" t="n">
        <f aca="false">(M4501*Assumptions!$E$22*MIN(1,Assumptions!$D$103/Assumptions!$E$78)+M4508)*M4491</f>
        <v>44.5199723584</v>
      </c>
      <c r="N4509" s="48" t="n">
        <f aca="false">(N4501*Assumptions!$E$22*MIN(1,Assumptions!$D$103/Assumptions!$E$78)+N4508)*N4491</f>
        <v>44.5199723584</v>
      </c>
      <c r="P4509" s="49" t="n">
        <f aca="false">SUM(C4509:F4509)</f>
        <v>38.6321406464</v>
      </c>
      <c r="Q4509" s="49" t="n">
        <f aca="false">SUM(G4509:J4509)</f>
        <v>109.9633069024</v>
      </c>
      <c r="R4509" s="49" t="n">
        <f aca="false">SUM(K4509:N4509)</f>
        <v>178.0798894336</v>
      </c>
      <c r="S4509" s="50" t="n">
        <f aca="false">SUM(P4509:R4509)</f>
        <v>326.6753369824</v>
      </c>
    </row>
    <row r="4510" customFormat="false" ht="15" hidden="false" customHeight="false" outlineLevel="0" collapsed="false">
      <c r="A4510" s="4" t="s">
        <v>499</v>
      </c>
      <c r="B4510" s="36" t="s">
        <v>500</v>
      </c>
      <c r="C4510" s="48" t="n">
        <f aca="false">C4491*MIN(Assumptions!$E$27,Assumptions!$E$25+Assumptions!$E$26*(C4490-1))*Assumptions!$D$107</f>
        <v>2</v>
      </c>
      <c r="D4510" s="48" t="n">
        <f aca="false">D4491*MIN(Assumptions!$E$27,Assumptions!$E$25+Assumptions!$E$26*(D4490-1))*Assumptions!$D$107</f>
        <v>3</v>
      </c>
      <c r="E4510" s="48" t="n">
        <f aca="false">E4491*MIN(Assumptions!$E$27,Assumptions!$E$25+Assumptions!$E$26*(E4490-1))*Assumptions!$D$107</f>
        <v>4</v>
      </c>
      <c r="F4510" s="48" t="n">
        <f aca="false">F4491*MIN(Assumptions!$E$27,Assumptions!$E$25+Assumptions!$E$26*(F4490-1))*Assumptions!$D$107</f>
        <v>5</v>
      </c>
      <c r="G4510" s="48" t="n">
        <f aca="false">G4491*MIN(Assumptions!$E$27,Assumptions!$E$25+Assumptions!$E$26*(G4490-1))*Assumptions!$D$107</f>
        <v>6</v>
      </c>
      <c r="H4510" s="48" t="n">
        <f aca="false">H4491*MIN(Assumptions!$E$27,Assumptions!$E$25+Assumptions!$E$26*(H4490-1))*Assumptions!$D$107</f>
        <v>7</v>
      </c>
      <c r="I4510" s="48" t="n">
        <f aca="false">I4491*MIN(Assumptions!$E$27,Assumptions!$E$25+Assumptions!$E$26*(I4490-1))*Assumptions!$D$107</f>
        <v>8</v>
      </c>
      <c r="J4510" s="48" t="n">
        <f aca="false">J4491*MIN(Assumptions!$E$27,Assumptions!$E$25+Assumptions!$E$26*(J4490-1))*Assumptions!$D$107</f>
        <v>9</v>
      </c>
      <c r="K4510" s="48" t="n">
        <f aca="false">K4491*MIN(Assumptions!$E$27,Assumptions!$E$25+Assumptions!$E$26*(K4490-1))*Assumptions!$D$107</f>
        <v>10</v>
      </c>
      <c r="L4510" s="48" t="n">
        <f aca="false">L4491*MIN(Assumptions!$E$27,Assumptions!$E$25+Assumptions!$E$26*(L4490-1))*Assumptions!$D$107</f>
        <v>10</v>
      </c>
      <c r="M4510" s="48" t="n">
        <f aca="false">M4491*MIN(Assumptions!$E$27,Assumptions!$E$25+Assumptions!$E$26*(M4490-1))*Assumptions!$D$107</f>
        <v>10</v>
      </c>
      <c r="N4510" s="48" t="n">
        <f aca="false">N4491*MIN(Assumptions!$E$27,Assumptions!$E$25+Assumptions!$E$26*(N4490-1))*Assumptions!$D$107</f>
        <v>10</v>
      </c>
      <c r="P4510" s="49" t="n">
        <f aca="false">F4510</f>
        <v>5</v>
      </c>
      <c r="Q4510" s="49" t="n">
        <f aca="false">J4510</f>
        <v>9</v>
      </c>
      <c r="R4510" s="49" t="n">
        <f aca="false">N4510</f>
        <v>10</v>
      </c>
      <c r="S4510" s="50" t="n">
        <f aca="false">R4510</f>
        <v>10</v>
      </c>
    </row>
    <row r="4511" customFormat="false" ht="15" hidden="false" customHeight="false" outlineLevel="0" collapsed="false">
      <c r="A4511" s="4" t="s">
        <v>501</v>
      </c>
      <c r="B4511" s="36" t="s">
        <v>502</v>
      </c>
      <c r="C4511" s="48" t="n">
        <f aca="false">C4510*Assumptions!$E$28</f>
        <v>6</v>
      </c>
      <c r="D4511" s="48" t="n">
        <f aca="false">D4510*Assumptions!$E$28</f>
        <v>9</v>
      </c>
      <c r="E4511" s="48" t="n">
        <f aca="false">E4510*Assumptions!$E$28</f>
        <v>12</v>
      </c>
      <c r="F4511" s="48" t="n">
        <f aca="false">F4510*Assumptions!$E$28</f>
        <v>15</v>
      </c>
      <c r="G4511" s="48" t="n">
        <f aca="false">G4510*Assumptions!$E$28</f>
        <v>18</v>
      </c>
      <c r="H4511" s="48" t="n">
        <f aca="false">H4510*Assumptions!$E$28</f>
        <v>21</v>
      </c>
      <c r="I4511" s="48" t="n">
        <f aca="false">I4510*Assumptions!$E$28</f>
        <v>24</v>
      </c>
      <c r="J4511" s="48" t="n">
        <f aca="false">J4510*Assumptions!$E$28</f>
        <v>27</v>
      </c>
      <c r="K4511" s="48" t="n">
        <f aca="false">K4510*Assumptions!$E$28</f>
        <v>30</v>
      </c>
      <c r="L4511" s="48" t="n">
        <f aca="false">L4510*Assumptions!$E$28</f>
        <v>30</v>
      </c>
      <c r="M4511" s="48" t="n">
        <f aca="false">M4510*Assumptions!$E$28</f>
        <v>30</v>
      </c>
      <c r="N4511" s="48" t="n">
        <f aca="false">N4510*Assumptions!$E$28</f>
        <v>30</v>
      </c>
      <c r="P4511" s="49" t="n">
        <f aca="false">SUM(C4511:F4511)</f>
        <v>42</v>
      </c>
      <c r="Q4511" s="49" t="n">
        <f aca="false">SUM(G4511:J4511)</f>
        <v>90</v>
      </c>
      <c r="R4511" s="49" t="n">
        <f aca="false">SUM(K4511:N4511)</f>
        <v>120</v>
      </c>
      <c r="S4511" s="50" t="n">
        <f aca="false">SUM(P4511:R4511)</f>
        <v>252</v>
      </c>
    </row>
    <row r="4512" customFormat="false" ht="15" hidden="false" customHeight="false" outlineLevel="0" collapsed="false">
      <c r="A4512" s="4" t="s">
        <v>503</v>
      </c>
      <c r="B4512" s="36" t="s">
        <v>504</v>
      </c>
      <c r="C4512" s="48" t="n">
        <f aca="false">(C4503+C4507)*Assumptions!$D$29</f>
        <v>1.986795804672</v>
      </c>
      <c r="D4512" s="48" t="n">
        <f aca="false">(D4503+D4507)*Assumptions!$D$29</f>
        <v>3.69784365974286</v>
      </c>
      <c r="E4512" s="48" t="n">
        <f aca="false">(E4503+E4507)*Assumptions!$D$29</f>
        <v>3.4412312779566</v>
      </c>
      <c r="F4512" s="48" t="n">
        <f aca="false">(F4503+F4507)*Assumptions!$D$29</f>
        <v>3.20242654856054</v>
      </c>
      <c r="G4512" s="48" t="n">
        <f aca="false">(G4503+G4507)*Assumptions!$D$29</f>
        <v>4.383200304</v>
      </c>
      <c r="H4512" s="48" t="n">
        <f aca="false">(H4503+H4507)*Assumptions!$D$29</f>
        <v>5.38467225783326</v>
      </c>
      <c r="I4512" s="48" t="n">
        <f aca="false">(I4503+I4507)*Assumptions!$D$29</f>
        <v>9.6347947906599</v>
      </c>
      <c r="J4512" s="48" t="n">
        <f aca="false">(J4503+J4507)*Assumptions!$D$29</f>
        <v>13.2691107309425</v>
      </c>
      <c r="K4512" s="48" t="n">
        <f aca="false">(K4503+K4507)*Assumptions!$D$29</f>
        <v>12.3482989221789</v>
      </c>
      <c r="L4512" s="48" t="n">
        <f aca="false">(L4503+L4507)*Assumptions!$D$29</f>
        <v>11.4913869786249</v>
      </c>
      <c r="M4512" s="48" t="n">
        <f aca="false">(M4503+M4507)*Assumptions!$D$29</f>
        <v>10.6939405601309</v>
      </c>
      <c r="N4512" s="48" t="n">
        <f aca="false">(N4503+N4507)*Assumptions!$D$29</f>
        <v>9.95183304820687</v>
      </c>
      <c r="P4512" s="49" t="n">
        <f aca="false">SUM(C4512:F4512)</f>
        <v>12.328297290932</v>
      </c>
      <c r="Q4512" s="49" t="n">
        <f aca="false">SUM(G4512:J4512)</f>
        <v>32.6717780834357</v>
      </c>
      <c r="R4512" s="49" t="n">
        <f aca="false">SUM(K4512:N4512)</f>
        <v>44.4854595091416</v>
      </c>
      <c r="S4512" s="50" t="n">
        <f aca="false">SUM(P4512:R4512)</f>
        <v>89.4855348835093</v>
      </c>
    </row>
    <row r="4513" customFormat="false" ht="15" hidden="false" customHeight="false" outlineLevel="0" collapsed="false">
      <c r="A4513" s="4" t="s">
        <v>505</v>
      </c>
      <c r="B4513" s="36" t="s">
        <v>504</v>
      </c>
      <c r="C4513" s="48" t="n">
        <f aca="false">C4509*Assumptions!$D$31</f>
        <v>0.55188772352</v>
      </c>
      <c r="D4513" s="48" t="n">
        <f aca="false">D4509*Assumptions!$D$31</f>
        <v>1.10377544704</v>
      </c>
      <c r="E4513" s="48" t="n">
        <f aca="false">E4509*Assumptions!$D$31</f>
        <v>1.10377544704</v>
      </c>
      <c r="F4513" s="48" t="n">
        <f aca="false">F4509*Assumptions!$D$31</f>
        <v>1.10377544704</v>
      </c>
      <c r="G4513" s="48" t="n">
        <f aca="false">G4509*Assumptions!$D$31</f>
        <v>1.49349950176</v>
      </c>
      <c r="H4513" s="48" t="n">
        <f aca="false">H4509*Assumptions!$D$31</f>
        <v>1.88322355648</v>
      </c>
      <c r="I4513" s="48" t="n">
        <f aca="false">I4509*Assumptions!$D$31</f>
        <v>3.16761039616</v>
      </c>
      <c r="J4513" s="48" t="n">
        <f aca="false">J4509*Assumptions!$D$31</f>
        <v>4.45199723584</v>
      </c>
      <c r="K4513" s="48" t="n">
        <f aca="false">K4509*Assumptions!$D$31</f>
        <v>4.45199723584</v>
      </c>
      <c r="L4513" s="48" t="n">
        <f aca="false">L4509*Assumptions!$D$31</f>
        <v>4.45199723584</v>
      </c>
      <c r="M4513" s="48" t="n">
        <f aca="false">M4509*Assumptions!$D$31</f>
        <v>4.45199723584</v>
      </c>
      <c r="N4513" s="48" t="n">
        <f aca="false">N4509*Assumptions!$D$31</f>
        <v>4.45199723584</v>
      </c>
      <c r="P4513" s="49" t="n">
        <f aca="false">SUM(C4513:F4513)</f>
        <v>3.86321406464</v>
      </c>
      <c r="Q4513" s="49" t="n">
        <f aca="false">SUM(G4513:J4513)</f>
        <v>10.99633069024</v>
      </c>
      <c r="R4513" s="49" t="n">
        <f aca="false">SUM(K4513:N4513)</f>
        <v>17.80798894336</v>
      </c>
      <c r="S4513" s="50" t="n">
        <f aca="false">SUM(P4513:R4513)</f>
        <v>32.66753369824</v>
      </c>
    </row>
    <row r="4514" customFormat="false" ht="15" hidden="false" customHeight="false" outlineLevel="0" collapsed="false">
      <c r="A4514" s="4" t="s">
        <v>506</v>
      </c>
      <c r="B4514" s="36" t="s">
        <v>504</v>
      </c>
      <c r="C4514" s="48" t="n">
        <f aca="false">C4511*Assumptions!$D$30</f>
        <v>2.4</v>
      </c>
      <c r="D4514" s="48" t="n">
        <f aca="false">D4511*Assumptions!$D$30</f>
        <v>3.6</v>
      </c>
      <c r="E4514" s="48" t="n">
        <f aca="false">E4511*Assumptions!$D$30</f>
        <v>4.8</v>
      </c>
      <c r="F4514" s="48" t="n">
        <f aca="false">F4511*Assumptions!$D$30</f>
        <v>6</v>
      </c>
      <c r="G4514" s="48" t="n">
        <f aca="false">G4511*Assumptions!$D$30</f>
        <v>7.2</v>
      </c>
      <c r="H4514" s="48" t="n">
        <f aca="false">H4511*Assumptions!$D$30</f>
        <v>8.4</v>
      </c>
      <c r="I4514" s="48" t="n">
        <f aca="false">I4511*Assumptions!$D$30</f>
        <v>9.6</v>
      </c>
      <c r="J4514" s="48" t="n">
        <f aca="false">J4511*Assumptions!$D$30</f>
        <v>10.8</v>
      </c>
      <c r="K4514" s="48" t="n">
        <f aca="false">K4511*Assumptions!$D$30</f>
        <v>12</v>
      </c>
      <c r="L4514" s="48" t="n">
        <f aca="false">L4511*Assumptions!$D$30</f>
        <v>12</v>
      </c>
      <c r="M4514" s="48" t="n">
        <f aca="false">M4511*Assumptions!$D$30</f>
        <v>12</v>
      </c>
      <c r="N4514" s="48" t="n">
        <f aca="false">N4511*Assumptions!$D$30</f>
        <v>12</v>
      </c>
      <c r="P4514" s="49" t="n">
        <f aca="false">SUM(C4514:F4514)</f>
        <v>16.8</v>
      </c>
      <c r="Q4514" s="49" t="n">
        <f aca="false">SUM(G4514:J4514)</f>
        <v>36</v>
      </c>
      <c r="R4514" s="49" t="n">
        <f aca="false">SUM(K4514:N4514)</f>
        <v>48</v>
      </c>
      <c r="S4514" s="50" t="n">
        <f aca="false">SUM(P4514:R4514)</f>
        <v>100.8</v>
      </c>
    </row>
    <row r="4515" customFormat="false" ht="15" hidden="false" customHeight="false" outlineLevel="0" collapsed="false">
      <c r="A4515" s="9" t="s">
        <v>507</v>
      </c>
      <c r="B4515" s="36" t="s">
        <v>504</v>
      </c>
      <c r="C4515" s="49" t="n">
        <f aca="false">C4512+C4513+C4514</f>
        <v>4.938683528192</v>
      </c>
      <c r="D4515" s="49" t="n">
        <f aca="false">D4512+D4513+D4514</f>
        <v>8.40161910678286</v>
      </c>
      <c r="E4515" s="49" t="n">
        <f aca="false">E4512+E4513+E4514</f>
        <v>9.3450067249966</v>
      </c>
      <c r="F4515" s="49" t="n">
        <f aca="false">F4512+F4513+F4514</f>
        <v>10.3062019956005</v>
      </c>
      <c r="G4515" s="49" t="n">
        <f aca="false">G4512+G4513+G4514</f>
        <v>13.07669980576</v>
      </c>
      <c r="H4515" s="49" t="n">
        <f aca="false">H4512+H4513+H4514</f>
        <v>15.6678958143133</v>
      </c>
      <c r="I4515" s="49" t="n">
        <f aca="false">I4512+I4513+I4514</f>
        <v>22.4024051868199</v>
      </c>
      <c r="J4515" s="49" t="n">
        <f aca="false">J4512+J4513+J4514</f>
        <v>28.5211079667825</v>
      </c>
      <c r="K4515" s="49" t="n">
        <f aca="false">K4512+K4513+K4514</f>
        <v>28.8002961580189</v>
      </c>
      <c r="L4515" s="49" t="n">
        <f aca="false">L4512+L4513+L4514</f>
        <v>27.9433842144649</v>
      </c>
      <c r="M4515" s="49" t="n">
        <f aca="false">M4512+M4513+M4514</f>
        <v>27.1459377959709</v>
      </c>
      <c r="N4515" s="49" t="n">
        <f aca="false">N4512+N4513+N4514</f>
        <v>26.4038302840469</v>
      </c>
      <c r="P4515" s="49" t="n">
        <f aca="false">SUM(C4515:F4515)</f>
        <v>32.991511355572</v>
      </c>
      <c r="Q4515" s="49" t="n">
        <f aca="false">SUM(G4515:J4515)</f>
        <v>79.6681087736757</v>
      </c>
      <c r="R4515" s="49" t="n">
        <f aca="false">SUM(K4515:N4515)</f>
        <v>110.293448452502</v>
      </c>
      <c r="S4515" s="50" t="n">
        <f aca="false">SUM(P4515:R4515)</f>
        <v>222.953068581749</v>
      </c>
    </row>
    <row r="4516" customFormat="false" ht="15" hidden="false" customHeight="false" outlineLevel="0" collapsed="false">
      <c r="A4516" s="4" t="s">
        <v>508</v>
      </c>
      <c r="B4516" s="36" t="s">
        <v>509</v>
      </c>
      <c r="C4516" s="48" t="n">
        <f aca="false">C4498</f>
        <v>421.51972352</v>
      </c>
      <c r="D4516" s="48" t="n">
        <f aca="false">D4498</f>
        <v>843.03944704</v>
      </c>
      <c r="E4516" s="48" t="n">
        <f aca="false">E4498</f>
        <v>843.03944704</v>
      </c>
      <c r="F4516" s="48" t="n">
        <f aca="false">F4498</f>
        <v>843.03944704</v>
      </c>
      <c r="G4516" s="48" t="n">
        <f aca="false">G4498</f>
        <v>1149.32798176</v>
      </c>
      <c r="H4516" s="48" t="n">
        <f aca="false">H4498</f>
        <v>1455.61651648</v>
      </c>
      <c r="I4516" s="48" t="n">
        <f aca="false">I4498</f>
        <v>2486.00303616</v>
      </c>
      <c r="J4516" s="48" t="n">
        <f aca="false">J4498</f>
        <v>3516.38955584</v>
      </c>
      <c r="K4516" s="48" t="n">
        <f aca="false">K4498</f>
        <v>3516.38955584</v>
      </c>
      <c r="L4516" s="48" t="n">
        <f aca="false">L4498</f>
        <v>3516.38955584</v>
      </c>
      <c r="M4516" s="48" t="n">
        <f aca="false">M4498</f>
        <v>3516.38955584</v>
      </c>
      <c r="N4516" s="48" t="n">
        <f aca="false">N4498</f>
        <v>3516.38955584</v>
      </c>
      <c r="P4516" s="49"/>
      <c r="Q4516" s="49"/>
      <c r="R4516" s="49"/>
      <c r="S4516" s="50"/>
    </row>
    <row r="4517" customFormat="false" ht="15" hidden="false" customHeight="false" outlineLevel="0" collapsed="false">
      <c r="A4517" s="4" t="s">
        <v>510</v>
      </c>
      <c r="B4517" s="36" t="s">
        <v>509</v>
      </c>
      <c r="C4517" s="48" t="n">
        <f aca="false">C4499*Assumptions!$E$18*Assumptions!$E$33</f>
        <v>211.19616</v>
      </c>
      <c r="D4517" s="48" t="n">
        <f aca="false">D4499*Assumptions!$E$18*Assumptions!$E$33</f>
        <v>422.39232</v>
      </c>
      <c r="E4517" s="48" t="n">
        <f aca="false">E4499*Assumptions!$E$18*Assumptions!$E$33</f>
        <v>422.39232</v>
      </c>
      <c r="F4517" s="48" t="n">
        <f aca="false">F4499*Assumptions!$E$18*Assumptions!$E$33</f>
        <v>422.39232</v>
      </c>
      <c r="G4517" s="48" t="n">
        <f aca="false">G4499*Assumptions!$E$18*Assumptions!$E$33</f>
        <v>564.49344</v>
      </c>
      <c r="H4517" s="48" t="n">
        <f aca="false">H4499*Assumptions!$E$18*Assumptions!$E$33</f>
        <v>706.59456</v>
      </c>
      <c r="I4517" s="48" t="n">
        <f aca="false">I4499*Assumptions!$E$18*Assumptions!$E$33</f>
        <v>1135.07072</v>
      </c>
      <c r="J4517" s="48" t="n">
        <f aca="false">J4499*Assumptions!$E$18*Assumptions!$E$33</f>
        <v>1563.54688</v>
      </c>
      <c r="K4517" s="48" t="n">
        <f aca="false">K4499*Assumptions!$E$18*Assumptions!$E$33</f>
        <v>1563.54688</v>
      </c>
      <c r="L4517" s="48" t="n">
        <f aca="false">L4499*Assumptions!$E$18*Assumptions!$E$33</f>
        <v>1563.54688</v>
      </c>
      <c r="M4517" s="48" t="n">
        <f aca="false">M4499*Assumptions!$E$18*Assumptions!$E$33</f>
        <v>1563.54688</v>
      </c>
      <c r="N4517" s="48" t="n">
        <f aca="false">N4499*Assumptions!$E$18*Assumptions!$E$33</f>
        <v>1563.54688</v>
      </c>
      <c r="P4517" s="49"/>
      <c r="Q4517" s="49"/>
      <c r="R4517" s="49"/>
      <c r="S4517" s="50"/>
    </row>
    <row r="4518" customFormat="false" ht="15" hidden="false" customHeight="false" outlineLevel="0" collapsed="false">
      <c r="A4518" s="4" t="s">
        <v>511</v>
      </c>
      <c r="B4518" s="36" t="s">
        <v>509</v>
      </c>
      <c r="C4518" s="48" t="n">
        <f aca="false">C4500*Assumptions!$E$19*Assumptions!$E$34</f>
        <v>34.677888</v>
      </c>
      <c r="D4518" s="48" t="n">
        <f aca="false">D4500*Assumptions!$E$19*Assumptions!$E$34</f>
        <v>69.355776</v>
      </c>
      <c r="E4518" s="48" t="n">
        <f aca="false">E4500*Assumptions!$E$19*Assumptions!$E$34</f>
        <v>69.355776</v>
      </c>
      <c r="F4518" s="48" t="n">
        <f aca="false">F4500*Assumptions!$E$19*Assumptions!$E$34</f>
        <v>69.355776</v>
      </c>
      <c r="G4518" s="48" t="n">
        <f aca="false">G4500*Assumptions!$E$19*Assumptions!$E$34</f>
        <v>86.69472</v>
      </c>
      <c r="H4518" s="48" t="n">
        <f aca="false">H4500*Assumptions!$E$19*Assumptions!$E$34</f>
        <v>104.033664</v>
      </c>
      <c r="I4518" s="48" t="n">
        <f aca="false">I4500*Assumptions!$E$19*Assumptions!$E$34</f>
        <v>159.7008</v>
      </c>
      <c r="J4518" s="48" t="n">
        <f aca="false">J4500*Assumptions!$E$19*Assumptions!$E$34</f>
        <v>215.367936</v>
      </c>
      <c r="K4518" s="48" t="n">
        <f aca="false">K4500*Assumptions!$E$19*Assumptions!$E$34</f>
        <v>215.367936</v>
      </c>
      <c r="L4518" s="48" t="n">
        <f aca="false">L4500*Assumptions!$E$19*Assumptions!$E$34</f>
        <v>215.367936</v>
      </c>
      <c r="M4518" s="48" t="n">
        <f aca="false">M4500*Assumptions!$E$19*Assumptions!$E$34</f>
        <v>215.367936</v>
      </c>
      <c r="N4518" s="48" t="n">
        <f aca="false">N4500*Assumptions!$E$19*Assumptions!$E$34</f>
        <v>215.367936</v>
      </c>
      <c r="P4518" s="49"/>
      <c r="Q4518" s="49"/>
      <c r="R4518" s="49"/>
      <c r="S4518" s="50"/>
    </row>
    <row r="4519" customFormat="false" ht="15" hidden="false" customHeight="false" outlineLevel="0" collapsed="false">
      <c r="A4519" s="4" t="s">
        <v>512</v>
      </c>
      <c r="B4519" s="36" t="s">
        <v>77</v>
      </c>
      <c r="C4519" s="51" t="n">
        <f aca="false">IFERROR(C4516/(C4516+C4517+C4518),0)</f>
        <v>0.631590736245533</v>
      </c>
      <c r="D4519" s="51" t="n">
        <f aca="false">IFERROR(D4516/(D4516+D4517+D4518),0)</f>
        <v>0.631590736245533</v>
      </c>
      <c r="E4519" s="51" t="n">
        <f aca="false">IFERROR(E4516/(E4516+E4517+E4518),0)</f>
        <v>0.631590736245533</v>
      </c>
      <c r="F4519" s="51" t="n">
        <f aca="false">IFERROR(F4516/(F4516+F4517+F4518),0)</f>
        <v>0.631590736245533</v>
      </c>
      <c r="G4519" s="51" t="n">
        <f aca="false">IFERROR(G4516/(G4516+G4517+G4518),0)</f>
        <v>0.638332506498128</v>
      </c>
      <c r="H4519" s="51" t="n">
        <f aca="false">IFERROR(H4516/(H4516+H4517+H4518),0)</f>
        <v>0.642303318118984</v>
      </c>
      <c r="I4519" s="51" t="n">
        <f aca="false">IFERROR(I4516/(I4516+I4517+I4518),0)</f>
        <v>0.657538025405288</v>
      </c>
      <c r="J4519" s="51" t="n">
        <f aca="false">IFERROR(J4516/(J4516+J4517+J4518),0)</f>
        <v>0.664058061428891</v>
      </c>
      <c r="K4519" s="51" t="n">
        <f aca="false">IFERROR(K4516/(K4516+K4517+K4518),0)</f>
        <v>0.664058061428891</v>
      </c>
      <c r="L4519" s="51" t="n">
        <f aca="false">IFERROR(L4516/(L4516+L4517+L4518),0)</f>
        <v>0.664058061428891</v>
      </c>
      <c r="M4519" s="51" t="n">
        <f aca="false">IFERROR(M4516/(M4516+M4517+M4518),0)</f>
        <v>0.664058061428891</v>
      </c>
      <c r="N4519" s="51" t="n">
        <f aca="false">IFERROR(N4516/(N4516+N4517+N4518),0)</f>
        <v>0.664058061428891</v>
      </c>
      <c r="P4519" s="52"/>
      <c r="Q4519" s="52"/>
      <c r="R4519" s="52"/>
      <c r="S4519" s="53"/>
    </row>
    <row r="4520" customFormat="false" ht="15" hidden="false" customHeight="false" outlineLevel="0" collapsed="false">
      <c r="A4520" s="4" t="s">
        <v>513</v>
      </c>
      <c r="B4520" s="36" t="s">
        <v>77</v>
      </c>
      <c r="C4520" s="51" t="n">
        <f aca="false">IFERROR(C4517/(C4516+C4517+C4518),0)</f>
        <v>0.316449102482628</v>
      </c>
      <c r="D4520" s="51" t="n">
        <f aca="false">IFERROR(D4517/(D4516+D4517+D4518),0)</f>
        <v>0.316449102482628</v>
      </c>
      <c r="E4520" s="51" t="n">
        <f aca="false">IFERROR(E4517/(E4516+E4517+E4518),0)</f>
        <v>0.316449102482628</v>
      </c>
      <c r="F4520" s="51" t="n">
        <f aca="false">IFERROR(F4517/(F4516+F4517+F4518),0)</f>
        <v>0.316449102482628</v>
      </c>
      <c r="G4520" s="51" t="n">
        <f aca="false">IFERROR(G4517/(G4516+G4517+G4518),0)</f>
        <v>0.313517566939561</v>
      </c>
      <c r="H4520" s="51" t="n">
        <f aca="false">IFERROR(H4517/(H4516+H4517+H4518),0)</f>
        <v>0.311790932099567</v>
      </c>
      <c r="I4520" s="51" t="n">
        <f aca="false">IFERROR(I4517/(I4516+I4517+I4518),0)</f>
        <v>0.300221741111391</v>
      </c>
      <c r="J4520" s="51" t="n">
        <f aca="false">IFERROR(J4517/(J4516+J4517+J4518),0)</f>
        <v>0.295270445324128</v>
      </c>
      <c r="K4520" s="51" t="n">
        <f aca="false">IFERROR(K4517/(K4516+K4517+K4518),0)</f>
        <v>0.295270445324128</v>
      </c>
      <c r="L4520" s="51" t="n">
        <f aca="false">IFERROR(L4517/(L4516+L4517+L4518),0)</f>
        <v>0.295270445324128</v>
      </c>
      <c r="M4520" s="51" t="n">
        <f aca="false">IFERROR(M4517/(M4516+M4517+M4518),0)</f>
        <v>0.295270445324128</v>
      </c>
      <c r="N4520" s="51" t="n">
        <f aca="false">IFERROR(N4517/(N4516+N4517+N4518),0)</f>
        <v>0.295270445324128</v>
      </c>
      <c r="P4520" s="52"/>
      <c r="Q4520" s="52"/>
      <c r="R4520" s="52"/>
      <c r="S4520" s="53"/>
    </row>
    <row r="4521" customFormat="false" ht="15" hidden="false" customHeight="false" outlineLevel="0" collapsed="false">
      <c r="A4521" s="4" t="s">
        <v>514</v>
      </c>
      <c r="B4521" s="36" t="s">
        <v>77</v>
      </c>
      <c r="C4521" s="51" t="n">
        <f aca="false">IFERROR(C4518/(C4516+C4517+C4518),0)</f>
        <v>0.0519601612718389</v>
      </c>
      <c r="D4521" s="51" t="n">
        <f aca="false">IFERROR(D4518/(D4516+D4517+D4518),0)</f>
        <v>0.0519601612718389</v>
      </c>
      <c r="E4521" s="51" t="n">
        <f aca="false">IFERROR(E4518/(E4516+E4517+E4518),0)</f>
        <v>0.0519601612718389</v>
      </c>
      <c r="F4521" s="51" t="n">
        <f aca="false">IFERROR(F4518/(F4516+F4517+F4518),0)</f>
        <v>0.0519601612718389</v>
      </c>
      <c r="G4521" s="51" t="n">
        <f aca="false">IFERROR(G4518/(G4516+G4517+G4518),0)</f>
        <v>0.0481499265623113</v>
      </c>
      <c r="H4521" s="51" t="n">
        <f aca="false">IFERROR(H4518/(H4516+H4517+H4518),0)</f>
        <v>0.0459057497814491</v>
      </c>
      <c r="I4521" s="51" t="n">
        <f aca="false">IFERROR(I4518/(I4516+I4517+I4518),0)</f>
        <v>0.0422402334833216</v>
      </c>
      <c r="J4521" s="51" t="n">
        <f aca="false">IFERROR(J4518/(J4516+J4517+J4518),0)</f>
        <v>0.0406714932469811</v>
      </c>
      <c r="K4521" s="51" t="n">
        <f aca="false">IFERROR(K4518/(K4516+K4517+K4518),0)</f>
        <v>0.0406714932469811</v>
      </c>
      <c r="L4521" s="51" t="n">
        <f aca="false">IFERROR(L4518/(L4516+L4517+L4518),0)</f>
        <v>0.0406714932469811</v>
      </c>
      <c r="M4521" s="51" t="n">
        <f aca="false">IFERROR(M4518/(M4516+M4517+M4518),0)</f>
        <v>0.0406714932469811</v>
      </c>
      <c r="N4521" s="51" t="n">
        <f aca="false">IFERROR(N4518/(N4516+N4517+N4518),0)</f>
        <v>0.0406714932469811</v>
      </c>
      <c r="P4521" s="52"/>
      <c r="Q4521" s="52"/>
      <c r="R4521" s="52"/>
      <c r="S4521" s="53"/>
    </row>
    <row r="4522" customFormat="false" ht="15" hidden="false" customHeight="false" outlineLevel="0" collapsed="false">
      <c r="A4522" s="4" t="s">
        <v>515</v>
      </c>
      <c r="B4522" s="36" t="s">
        <v>516</v>
      </c>
      <c r="C4522" s="48" t="n">
        <f aca="false">IF(C4490-Assumptions!$E$35&lt;1,0,INDEX($C$4515:$N$4515,1,C4490-Assumptions!$E$35)*INDEX($C$4519:$N$4519,1,C4490-Assumptions!$E$35)*Assumptions!$E$32)</f>
        <v>0</v>
      </c>
      <c r="D4522" s="48" t="n">
        <f aca="false">IF(D4490-Assumptions!$E$35&lt;1,0,INDEX($C$4515:$N$4515,1,D4490-Assumptions!$E$35)*INDEX($C$4519:$N$4519,1,D4490-Assumptions!$E$35)*Assumptions!$E$32)</f>
        <v>0.655037620787439</v>
      </c>
      <c r="E4522" s="48" t="n">
        <f aca="false">IF(E4490-Assumptions!$E$35&lt;1,0,INDEX($C$4515:$N$4515,1,E4490-Assumptions!$E$35)*INDEX($C$4519:$N$4519,1,E4490-Assumptions!$E$35)*Assumptions!$E$32)</f>
        <v>1.11434080743458</v>
      </c>
      <c r="F4522" s="48" t="n">
        <f aca="false">IF(F4490-Assumptions!$E$35&lt;1,0,INDEX($C$4515:$N$4515,1,F4490-Assumptions!$E$35)*INDEX($C$4519:$N$4519,1,F4490-Assumptions!$E$35)*Assumptions!$E$32)</f>
        <v>1.23946613230861</v>
      </c>
      <c r="G4522" s="48" t="n">
        <f aca="false">IF(G4490-Assumptions!$E$35&lt;1,0,INDEX($C$4515:$N$4515,1,G4490-Assumptions!$E$35)*INDEX($C$4519:$N$4519,1,G4490-Assumptions!$E$35)*Assumptions!$E$32)</f>
        <v>1.36695335832227</v>
      </c>
      <c r="H4522" s="48" t="n">
        <f aca="false">IF(H4490-Assumptions!$E$35&lt;1,0,INDEX($C$4515:$N$4515,1,H4490-Assumptions!$E$35)*INDEX($C$4519:$N$4519,1,H4490-Assumptions!$E$35)*Assumptions!$E$32)</f>
        <v>1.75292933838422</v>
      </c>
      <c r="I4522" s="48" t="n">
        <f aca="false">IF(I4490-Assumptions!$E$35&lt;1,0,INDEX($C$4515:$N$4515,1,I4490-Assumptions!$E$35)*INDEX($C$4519:$N$4519,1,I4490-Assumptions!$E$35)*Assumptions!$E$32)</f>
        <v>2.11334370858995</v>
      </c>
      <c r="J4522" s="48" t="n">
        <f aca="false">IF(J4490-Assumptions!$E$35&lt;1,0,INDEX($C$4515:$N$4515,1,J4490-Assumptions!$E$35)*INDEX($C$4519:$N$4519,1,J4490-Assumptions!$E$35)*Assumptions!$E$32)</f>
        <v>3.09339098688286</v>
      </c>
      <c r="K4522" s="48" t="n">
        <f aca="false">IF(K4490-Assumptions!$E$35&lt;1,0,INDEX($C$4515:$N$4515,1,K4490-Assumptions!$E$35)*INDEX($C$4519:$N$4519,1,K4490-Assumptions!$E$35)*Assumptions!$E$32)</f>
        <v>3.97733104990739</v>
      </c>
      <c r="L4522" s="48" t="n">
        <f aca="false">IF(L4490-Assumptions!$E$35&lt;1,0,INDEX($C$4515:$N$4515,1,L4490-Assumptions!$E$35)*INDEX($C$4519:$N$4519,1,L4490-Assumptions!$E$35)*Assumptions!$E$32)</f>
        <v>4.01626445540711</v>
      </c>
      <c r="M4522" s="48" t="n">
        <f aca="false">IF(M4490-Assumptions!$E$35&lt;1,0,INDEX($C$4515:$N$4515,1,M4490-Assumptions!$E$35)*INDEX($C$4519:$N$4519,1,M4490-Assumptions!$E$35)*Assumptions!$E$32)</f>
        <v>3.89676620575625</v>
      </c>
      <c r="N4522" s="48" t="n">
        <f aca="false">IF(N4490-Assumptions!$E$35&lt;1,0,INDEX($C$4515:$N$4515,1,N4490-Assumptions!$E$35)*INDEX($C$4519:$N$4519,1,N4490-Assumptions!$E$35)*Assumptions!$E$32)</f>
        <v>3.78556055397696</v>
      </c>
      <c r="P4522" s="49" t="n">
        <f aca="false">SUM(C4522:F4522)</f>
        <v>3.00884456053063</v>
      </c>
      <c r="Q4522" s="49" t="n">
        <f aca="false">SUM(G4522:J4522)</f>
        <v>8.32661739217929</v>
      </c>
      <c r="R4522" s="49" t="n">
        <f aca="false">SUM(K4522:N4522)</f>
        <v>15.6759222650477</v>
      </c>
      <c r="S4522" s="50" t="n">
        <f aca="false">SUM(P4522:R4522)</f>
        <v>27.0113842177576</v>
      </c>
    </row>
    <row r="4523" customFormat="false" ht="15" hidden="false" customHeight="false" outlineLevel="0" collapsed="false">
      <c r="A4523" s="4" t="s">
        <v>517</v>
      </c>
      <c r="B4523" s="36" t="s">
        <v>516</v>
      </c>
      <c r="C4523" s="48" t="n">
        <f aca="false">IF(C4490-Assumptions!$E$35&lt;1,0,INDEX($C$4515:$N$4515,1,C4490-Assumptions!$E$35)*INDEX($C$4520:$N$4520,1,C4490-Assumptions!$E$35)*Assumptions!$E$32)</f>
        <v>0</v>
      </c>
      <c r="D4523" s="48" t="n">
        <f aca="false">IF(D4490-Assumptions!$E$35&lt;1,0,INDEX($C$4515:$N$4515,1,D4490-Assumptions!$E$35)*INDEX($C$4520:$N$4520,1,D4490-Assumptions!$E$35)*Assumptions!$E$32)</f>
        <v>0.32819681368784</v>
      </c>
      <c r="E4523" s="48" t="n">
        <f aca="false">IF(E4490-Assumptions!$E$35&lt;1,0,INDEX($C$4515:$N$4515,1,E4490-Assumptions!$E$35)*INDEX($C$4520:$N$4520,1,E4490-Assumptions!$E$35)*Assumptions!$E$32)</f>
        <v>0.55832381340589</v>
      </c>
      <c r="F4523" s="48" t="n">
        <f aca="false">IF(F4490-Assumptions!$E$35&lt;1,0,INDEX($C$4515:$N$4515,1,F4490-Assumptions!$E$35)*INDEX($C$4520:$N$4520,1,F4490-Assumptions!$E$35)*Assumptions!$E$32)</f>
        <v>0.621015988072052</v>
      </c>
      <c r="G4523" s="48" t="n">
        <f aca="false">IF(G4490-Assumptions!$E$35&lt;1,0,INDEX($C$4515:$N$4515,1,G4490-Assumptions!$E$35)*INDEX($C$4520:$N$4520,1,G4490-Assumptions!$E$35)*Assumptions!$E$32)</f>
        <v>0.684891558017616</v>
      </c>
      <c r="H4523" s="48" t="n">
        <f aca="false">IF(H4490-Assumptions!$E$35&lt;1,0,INDEX($C$4515:$N$4515,1,H4490-Assumptions!$E$35)*INDEX($C$4520:$N$4520,1,H4490-Assumptions!$E$35)*Assumptions!$E$32)</f>
        <v>0.860952772407189</v>
      </c>
      <c r="I4523" s="48" t="n">
        <f aca="false">IF(I4490-Assumptions!$E$35&lt;1,0,INDEX($C$4515:$N$4515,1,I4490-Assumptions!$E$35)*INDEX($C$4520:$N$4520,1,I4490-Assumptions!$E$35)*Assumptions!$E$32)</f>
        <v>1.02587264639656</v>
      </c>
      <c r="J4523" s="48" t="n">
        <f aca="false">IF(J4490-Assumptions!$E$35&lt;1,0,INDEX($C$4515:$N$4515,1,J4490-Assumptions!$E$35)*INDEX($C$4520:$N$4520,1,J4490-Assumptions!$E$35)*Assumptions!$E$32)</f>
        <v>1.41239470895668</v>
      </c>
      <c r="K4523" s="48" t="n">
        <f aca="false">IF(K4490-Assumptions!$E$35&lt;1,0,INDEX($C$4515:$N$4515,1,K4490-Assumptions!$E$35)*INDEX($C$4520:$N$4520,1,K4490-Assumptions!$E$35)*Assumptions!$E$32)</f>
        <v>1.76850245260278</v>
      </c>
      <c r="L4523" s="48" t="n">
        <f aca="false">IF(L4490-Assumptions!$E$35&lt;1,0,INDEX($C$4515:$N$4515,1,L4490-Assumptions!$E$35)*INDEX($C$4520:$N$4520,1,L4490-Assumptions!$E$35)*Assumptions!$E$32)</f>
        <v>1.78581401712945</v>
      </c>
      <c r="M4523" s="48" t="n">
        <f aca="false">IF(M4490-Assumptions!$E$35&lt;1,0,INDEX($C$4515:$N$4515,1,M4490-Assumptions!$E$35)*INDEX($C$4520:$N$4520,1,M4490-Assumptions!$E$35)*Assumptions!$E$32)</f>
        <v>1.73267965518234</v>
      </c>
      <c r="N4523" s="48" t="n">
        <f aca="false">IF(N4490-Assumptions!$E$35&lt;1,0,INDEX($C$4515:$N$4515,1,N4490-Assumptions!$E$35)*INDEX($C$4520:$N$4520,1,N4490-Assumptions!$E$35)*Assumptions!$E$32)</f>
        <v>1.68323255976906</v>
      </c>
      <c r="P4523" s="49" t="n">
        <f aca="false">SUM(C4523:F4523)</f>
        <v>1.50753661516578</v>
      </c>
      <c r="Q4523" s="49" t="n">
        <f aca="false">SUM(G4523:J4523)</f>
        <v>3.98411168577805</v>
      </c>
      <c r="R4523" s="49" t="n">
        <f aca="false">SUM(K4523:N4523)</f>
        <v>6.97022868468362</v>
      </c>
      <c r="S4523" s="50" t="n">
        <f aca="false">SUM(P4523:R4523)</f>
        <v>12.4618769856275</v>
      </c>
    </row>
    <row r="4524" customFormat="false" ht="15" hidden="false" customHeight="false" outlineLevel="0" collapsed="false">
      <c r="A4524" s="4" t="s">
        <v>518</v>
      </c>
      <c r="B4524" s="36" t="s">
        <v>516</v>
      </c>
      <c r="C4524" s="48" t="n">
        <f aca="false">IF(C4490-Assumptions!$E$36&lt;1,0,INDEX($C$4515:$N$4515,1,C4490-Assumptions!$E$36)*INDEX($C$4521:$N$4521,1,C4490-Assumptions!$E$36)*Assumptions!$E$32)</f>
        <v>0</v>
      </c>
      <c r="D4524" s="48" t="n">
        <f aca="false">IF(D4490-Assumptions!$E$36&lt;1,0,INDEX($C$4515:$N$4515,1,D4490-Assumptions!$E$36)*INDEX($C$4521:$N$4521,1,D4490-Assumptions!$E$36)*Assumptions!$E$32)</f>
        <v>0</v>
      </c>
      <c r="E4524" s="48" t="n">
        <f aca="false">IF(E4490-Assumptions!$E$36&lt;1,0,INDEX($C$4515:$N$4515,1,E4490-Assumptions!$E$36)*INDEX($C$4521:$N$4521,1,E4490-Assumptions!$E$36)*Assumptions!$E$32)</f>
        <v>0.0538891064450404</v>
      </c>
      <c r="F4524" s="48" t="n">
        <f aca="false">IF(F4490-Assumptions!$E$36&lt;1,0,INDEX($C$4515:$N$4515,1,F4490-Assumptions!$E$36)*INDEX($C$4521:$N$4521,1,F4490-Assumptions!$E$36)*Assumptions!$E$32)</f>
        <v>0.0916753915839301</v>
      </c>
      <c r="G4524" s="48" t="n">
        <f aca="false">IF(G4490-Assumptions!$E$36&lt;1,0,INDEX($C$4515:$N$4515,1,G4490-Assumptions!$E$36)*INDEX($C$4521:$N$4521,1,G4490-Assumptions!$E$36)*Assumptions!$E$32)</f>
        <v>0.101969291868621</v>
      </c>
      <c r="H4524" s="48" t="n">
        <f aca="false">IF(H4490-Assumptions!$E$36&lt;1,0,INDEX($C$4515:$N$4515,1,H4490-Assumptions!$E$36)*INDEX($C$4521:$N$4521,1,H4490-Assumptions!$E$36)*Assumptions!$E$32)</f>
        <v>0.112457502736226</v>
      </c>
      <c r="I4524" s="48" t="n">
        <f aca="false">IF(I4490-Assumptions!$E$36&lt;1,0,INDEX($C$4515:$N$4515,1,I4490-Assumptions!$E$36)*INDEX($C$4521:$N$4521,1,I4490-Assumptions!$E$36)*Assumptions!$E$32)</f>
        <v>0.132224848418194</v>
      </c>
      <c r="J4524" s="48" t="n">
        <f aca="false">IF(J4490-Assumptions!$E$36&lt;1,0,INDEX($C$4515:$N$4515,1,J4490-Assumptions!$E$36)*INDEX($C$4521:$N$4521,1,J4490-Assumptions!$E$36)*Assumptions!$E$32)</f>
        <v>0.151041766019273</v>
      </c>
      <c r="K4524" s="48" t="n">
        <f aca="false">IF(K4490-Assumptions!$E$36&lt;1,0,INDEX($C$4515:$N$4515,1,K4490-Assumptions!$E$36)*INDEX($C$4521:$N$4521,1,K4490-Assumptions!$E$36)*Assumptions!$E$32)</f>
        <v>0.198719393392642</v>
      </c>
      <c r="L4524" s="48" t="n">
        <f aca="false">IF(L4490-Assumptions!$E$36&lt;1,0,INDEX($C$4515:$N$4515,1,L4490-Assumptions!$E$36)*INDEX($C$4521:$N$4521,1,L4490-Assumptions!$E$36)*Assumptions!$E$32)</f>
        <v>0.243599170514157</v>
      </c>
      <c r="M4524" s="48" t="n">
        <f aca="false">IF(M4490-Assumptions!$E$36&lt;1,0,INDEX($C$4515:$N$4515,1,M4490-Assumptions!$E$36)*INDEX($C$4521:$N$4521,1,M4490-Assumptions!$E$36)*Assumptions!$E$32)</f>
        <v>0.245983720647403</v>
      </c>
      <c r="N4524" s="48" t="n">
        <f aca="false">IF(N4490-Assumptions!$E$36&lt;1,0,INDEX($C$4515:$N$4515,1,N4490-Assumptions!$E$36)*INDEX($C$4521:$N$4521,1,N4490-Assumptions!$E$36)*Assumptions!$E$32)</f>
        <v>0.238664824099046</v>
      </c>
      <c r="P4524" s="49" t="n">
        <f aca="false">SUM(C4524:F4524)</f>
        <v>0.14556449802897</v>
      </c>
      <c r="Q4524" s="49" t="n">
        <f aca="false">SUM(G4524:J4524)</f>
        <v>0.497693409042313</v>
      </c>
      <c r="R4524" s="49" t="n">
        <f aca="false">SUM(K4524:N4524)</f>
        <v>0.926967108653248</v>
      </c>
      <c r="S4524" s="50" t="n">
        <f aca="false">SUM(P4524:R4524)</f>
        <v>1.57022501572453</v>
      </c>
    </row>
    <row r="4525" customFormat="false" ht="15" hidden="false" customHeight="false" outlineLevel="0" collapsed="false">
      <c r="A4525" s="4" t="s">
        <v>519</v>
      </c>
      <c r="B4525" s="36" t="s">
        <v>77</v>
      </c>
      <c r="C4525" s="51" t="n">
        <f aca="false">IF(C4490-Assumptions!$E$35&lt;1,0,IFERROR(INDEX($C$4514:$N$4514,1,C4490-Assumptions!$E$35)/INDEX($C$4515:$N$4515,1,C4490-Assumptions!$E$35),0))</f>
        <v>0</v>
      </c>
      <c r="D4525" s="51" t="n">
        <f aca="false">IF(D4490-Assumptions!$E$35&lt;1,0,IFERROR(INDEX($C$4514:$N$4514,1,D4490-Assumptions!$E$35)/INDEX($C$4515:$N$4515,1,D4490-Assumptions!$E$35),0))</f>
        <v>0.485959463954277</v>
      </c>
      <c r="E4525" s="51" t="n">
        <f aca="false">IF(E4490-Assumptions!$E$35&lt;1,0,IFERROR(INDEX($C$4514:$N$4514,1,E4490-Assumptions!$E$35)/INDEX($C$4515:$N$4515,1,E4490-Assumptions!$E$35),0))</f>
        <v>0.428488837002099</v>
      </c>
      <c r="F4525" s="51" t="n">
        <f aca="false">IF(F4490-Assumptions!$E$35&lt;1,0,IFERROR(INDEX($C$4514:$N$4514,1,F4490-Assumptions!$E$35)/INDEX($C$4515:$N$4515,1,F4490-Assumptions!$E$35),0))</f>
        <v>0.513643290074973</v>
      </c>
      <c r="G4525" s="51" t="n">
        <f aca="false">IF(G4490-Assumptions!$E$35&lt;1,0,IFERROR(INDEX($C$4514:$N$4514,1,G4490-Assumptions!$E$35)/INDEX($C$4515:$N$4515,1,G4490-Assumptions!$E$35),0))</f>
        <v>0.582173724380839</v>
      </c>
      <c r="H4525" s="51" t="n">
        <f aca="false">IF(H4490-Assumptions!$E$35&lt;1,0,IFERROR(INDEX($C$4514:$N$4514,1,H4490-Assumptions!$E$35)/INDEX($C$4515:$N$4515,1,H4490-Assumptions!$E$35),0))</f>
        <v>0.550597636020409</v>
      </c>
      <c r="I4525" s="51" t="n">
        <f aca="false">IF(I4490-Assumptions!$E$35&lt;1,0,IFERROR(INDEX($C$4514:$N$4514,1,I4490-Assumptions!$E$35)/INDEX($C$4515:$N$4515,1,I4490-Assumptions!$E$35),0))</f>
        <v>0.536128150171018</v>
      </c>
      <c r="J4525" s="51" t="n">
        <f aca="false">IF(J4490-Assumptions!$E$35&lt;1,0,IFERROR(INDEX($C$4514:$N$4514,1,J4490-Assumptions!$E$35)/INDEX($C$4515:$N$4515,1,J4490-Assumptions!$E$35),0))</f>
        <v>0.428525415907039</v>
      </c>
      <c r="K4525" s="51" t="n">
        <f aca="false">IF(K4490-Assumptions!$E$35&lt;1,0,IFERROR(INDEX($C$4514:$N$4514,1,K4490-Assumptions!$E$35)/INDEX($C$4515:$N$4515,1,K4490-Assumptions!$E$35),0))</f>
        <v>0.378666916186369</v>
      </c>
      <c r="L4525" s="51" t="n">
        <f aca="false">IF(L4490-Assumptions!$E$35&lt;1,0,IFERROR(INDEX($C$4514:$N$4514,1,L4490-Assumptions!$E$35)/INDEX($C$4515:$N$4515,1,L4490-Assumptions!$E$35),0))</f>
        <v>0.416662382017166</v>
      </c>
      <c r="M4525" s="51" t="n">
        <f aca="false">IF(M4490-Assumptions!$E$35&lt;1,0,IFERROR(INDEX($C$4514:$N$4514,1,M4490-Assumptions!$E$35)/INDEX($C$4515:$N$4515,1,M4490-Assumptions!$E$35),0))</f>
        <v>0.429439752461629</v>
      </c>
      <c r="N4525" s="51" t="n">
        <f aca="false">IF(N4490-Assumptions!$E$35&lt;1,0,IFERROR(INDEX($C$4514:$N$4514,1,N4490-Assumptions!$E$35)/INDEX($C$4515:$N$4515,1,N4490-Assumptions!$E$35),0))</f>
        <v>0.442055090901338</v>
      </c>
      <c r="P4525" s="52"/>
      <c r="Q4525" s="52"/>
      <c r="R4525" s="52"/>
      <c r="S4525" s="53"/>
    </row>
    <row r="4526" customFormat="false" ht="15" hidden="false" customHeight="false" outlineLevel="0" collapsed="false">
      <c r="A4526" s="4" t="s">
        <v>520</v>
      </c>
      <c r="B4526" s="36" t="s">
        <v>516</v>
      </c>
      <c r="C4526" s="48" t="n">
        <f aca="false">C4522*Assumptions!$E$37</f>
        <v>0</v>
      </c>
      <c r="D4526" s="48" t="n">
        <f aca="false">D4522*Assumptions!$E$37</f>
        <v>0.196511286236232</v>
      </c>
      <c r="E4526" s="48" t="n">
        <f aca="false">E4522*Assumptions!$E$37</f>
        <v>0.334302242230374</v>
      </c>
      <c r="F4526" s="48" t="n">
        <f aca="false">F4522*Assumptions!$E$37</f>
        <v>0.371839839692584</v>
      </c>
      <c r="G4526" s="48" t="n">
        <f aca="false">G4522*Assumptions!$E$37</f>
        <v>0.410086007496681</v>
      </c>
      <c r="H4526" s="48" t="n">
        <f aca="false">H4522*Assumptions!$E$37</f>
        <v>0.525878801515265</v>
      </c>
      <c r="I4526" s="48" t="n">
        <f aca="false">I4522*Assumptions!$E$37</f>
        <v>0.634003112576985</v>
      </c>
      <c r="J4526" s="48" t="n">
        <f aca="false">J4522*Assumptions!$E$37</f>
        <v>0.928017296064856</v>
      </c>
      <c r="K4526" s="48" t="n">
        <f aca="false">K4522*Assumptions!$E$37</f>
        <v>1.19319931497222</v>
      </c>
      <c r="L4526" s="48" t="n">
        <f aca="false">L4522*Assumptions!$E$37</f>
        <v>1.20487933662213</v>
      </c>
      <c r="M4526" s="48" t="n">
        <f aca="false">M4522*Assumptions!$E$37</f>
        <v>1.16902986172687</v>
      </c>
      <c r="N4526" s="48" t="n">
        <f aca="false">N4522*Assumptions!$E$37</f>
        <v>1.13566816619309</v>
      </c>
      <c r="P4526" s="49" t="n">
        <f aca="false">SUM(C4526:F4526)</f>
        <v>0.90265336815919</v>
      </c>
      <c r="Q4526" s="49" t="n">
        <f aca="false">SUM(G4526:J4526)</f>
        <v>2.49798521765379</v>
      </c>
      <c r="R4526" s="49" t="n">
        <f aca="false">SUM(K4526:N4526)</f>
        <v>4.70277667951431</v>
      </c>
      <c r="S4526" s="50" t="n">
        <f aca="false">SUM(P4526:R4526)</f>
        <v>8.10341526532729</v>
      </c>
    </row>
    <row r="4527" customFormat="false" ht="15" hidden="false" customHeight="false" outlineLevel="0" collapsed="false">
      <c r="A4527" s="4" t="s">
        <v>521</v>
      </c>
      <c r="B4527" s="36" t="s">
        <v>516</v>
      </c>
      <c r="C4527" s="48" t="n">
        <f aca="false">C4522*(1-Assumptions!$E$37)</f>
        <v>0</v>
      </c>
      <c r="D4527" s="48" t="n">
        <f aca="false">D4522*(1-Assumptions!$E$37)</f>
        <v>0.458526334551208</v>
      </c>
      <c r="E4527" s="48" t="n">
        <f aca="false">E4522*(1-Assumptions!$E$37)</f>
        <v>0.780038565204206</v>
      </c>
      <c r="F4527" s="48" t="n">
        <f aca="false">F4522*(1-Assumptions!$E$37)</f>
        <v>0.867626292616029</v>
      </c>
      <c r="G4527" s="48" t="n">
        <f aca="false">G4522*(1-Assumptions!$E$37)</f>
        <v>0.956867350825589</v>
      </c>
      <c r="H4527" s="48" t="n">
        <f aca="false">H4522*(1-Assumptions!$E$37)</f>
        <v>1.22705053686895</v>
      </c>
      <c r="I4527" s="48" t="n">
        <f aca="false">I4522*(1-Assumptions!$E$37)</f>
        <v>1.47934059601296</v>
      </c>
      <c r="J4527" s="48" t="n">
        <f aca="false">J4522*(1-Assumptions!$E$37)</f>
        <v>2.165373690818</v>
      </c>
      <c r="K4527" s="48" t="n">
        <f aca="false">K4522*(1-Assumptions!$E$37)</f>
        <v>2.78413173493517</v>
      </c>
      <c r="L4527" s="48" t="n">
        <f aca="false">L4522*(1-Assumptions!$E$37)</f>
        <v>2.81138511878498</v>
      </c>
      <c r="M4527" s="48" t="n">
        <f aca="false">M4522*(1-Assumptions!$E$37)</f>
        <v>2.72773634402937</v>
      </c>
      <c r="N4527" s="48" t="n">
        <f aca="false">N4522*(1-Assumptions!$E$37)</f>
        <v>2.64989238778387</v>
      </c>
      <c r="P4527" s="49" t="n">
        <f aca="false">SUM(C4527:F4527)</f>
        <v>2.10619119237144</v>
      </c>
      <c r="Q4527" s="49" t="n">
        <f aca="false">SUM(G4527:J4527)</f>
        <v>5.8286321745255</v>
      </c>
      <c r="R4527" s="49" t="n">
        <f aca="false">SUM(K4527:N4527)</f>
        <v>10.9731455855334</v>
      </c>
      <c r="S4527" s="50" t="n">
        <f aca="false">SUM(P4527:R4527)</f>
        <v>18.9079689524303</v>
      </c>
    </row>
    <row r="4528" customFormat="false" ht="15" hidden="false" customHeight="false" outlineLevel="0" collapsed="false">
      <c r="A4528" s="4" t="s">
        <v>522</v>
      </c>
      <c r="B4528" s="36" t="s">
        <v>125</v>
      </c>
      <c r="C4528" s="54" t="n">
        <f aca="false">C4527*$C$4481+C4523*$C$4482+C4524*$C$4483</f>
        <v>0</v>
      </c>
      <c r="D4528" s="54" t="n">
        <f aca="false">D4527*$C$4481+D4523*$C$4482+D4524*$C$4483</f>
        <v>5659.43936895539</v>
      </c>
      <c r="E4528" s="54" t="n">
        <f aca="false">E4527*$C$4481+E4523*$C$4482+E4524*$C$4483</f>
        <v>12956.9338531241</v>
      </c>
      <c r="F4528" s="54" t="n">
        <f aca="false">F4527*$C$4481+F4523*$C$4482+F4524*$C$4483</f>
        <v>16372.3710993506</v>
      </c>
      <c r="G4528" s="54" t="n">
        <f aca="false">G4527*$C$4481+G4523*$C$4482+G4524*$C$4483</f>
        <v>18109.783266896</v>
      </c>
      <c r="H4528" s="54" t="n">
        <f aca="false">H4527*$C$4481+H4523*$C$4482+H4524*$C$4483</f>
        <v>21923.2876633336</v>
      </c>
      <c r="I4528" s="54" t="n">
        <f aca="false">I4527*$C$4481+I4523*$C$4482+I4524*$C$4483</f>
        <v>26105.4624591145</v>
      </c>
      <c r="J4528" s="54" t="n">
        <f aca="false">J4527*$C$4481+J4523*$C$4482+J4524*$C$4483</f>
        <v>34714.6407479432</v>
      </c>
      <c r="K4528" s="54" t="n">
        <f aca="false">K4527*$C$4481+K4523*$C$4482+K4524*$C$4483</f>
        <v>44449.6791477381</v>
      </c>
      <c r="L4528" s="54" t="n">
        <f aca="false">L4527*$C$4481+L4523*$C$4482+L4524*$C$4483</f>
        <v>47537.2108339093</v>
      </c>
      <c r="M4528" s="54" t="n">
        <f aca="false">M4527*$C$4481+M4523*$C$4482+M4524*$C$4483</f>
        <v>46717.8874981598</v>
      </c>
      <c r="N4528" s="54" t="n">
        <f aca="false">N4527*$C$4481+N4523*$C$4482+N4524*$C$4483</f>
        <v>45366.1820360447</v>
      </c>
      <c r="P4528" s="55" t="n">
        <f aca="false">SUM(C4528:F4528)</f>
        <v>34988.7443214301</v>
      </c>
      <c r="Q4528" s="55" t="n">
        <f aca="false">SUM(G4528:J4528)</f>
        <v>100853.174137287</v>
      </c>
      <c r="R4528" s="55" t="n">
        <f aca="false">SUM(K4528:N4528)</f>
        <v>184070.959515852</v>
      </c>
      <c r="S4528" s="56" t="n">
        <f aca="false">SUM(P4528:R4528)</f>
        <v>319912.877974569</v>
      </c>
    </row>
    <row r="4529" customFormat="false" ht="15" hidden="false" customHeight="false" outlineLevel="0" collapsed="false">
      <c r="A4529" s="4" t="s">
        <v>523</v>
      </c>
      <c r="B4529" s="36" t="s">
        <v>125</v>
      </c>
      <c r="C4529" s="54" t="n">
        <f aca="false">(C4505+Assumptions!$D$104*C4491)*$C$4486</f>
        <v>306250</v>
      </c>
      <c r="D4529" s="54" t="n">
        <f aca="false">(D4505+Assumptions!$D$104*D4491)*$C$4486</f>
        <v>306250</v>
      </c>
      <c r="E4529" s="54" t="n">
        <f aca="false">(E4505+Assumptions!$D$104*E4491)*$C$4486</f>
        <v>306250</v>
      </c>
      <c r="F4529" s="54" t="n">
        <f aca="false">(F4505+Assumptions!$D$104*F4491)*$C$4486</f>
        <v>306250</v>
      </c>
      <c r="G4529" s="54" t="n">
        <f aca="false">(G4505+Assumptions!$D$104*G4491)*$C$4486</f>
        <v>306250</v>
      </c>
      <c r="H4529" s="54" t="n">
        <f aca="false">(H4505+Assumptions!$D$104*H4491)*$C$4486</f>
        <v>306250</v>
      </c>
      <c r="I4529" s="54" t="n">
        <f aca="false">(I4505+Assumptions!$D$104*I4491)*$C$4486</f>
        <v>306250</v>
      </c>
      <c r="J4529" s="54" t="n">
        <f aca="false">(J4505+Assumptions!$D$104*J4491)*$C$4486</f>
        <v>306250</v>
      </c>
      <c r="K4529" s="54" t="n">
        <f aca="false">(K4505+Assumptions!$D$104*K4491)*$C$4486</f>
        <v>306250</v>
      </c>
      <c r="L4529" s="54" t="n">
        <f aca="false">(L4505+Assumptions!$D$104*L4491)*$C$4486</f>
        <v>306250</v>
      </c>
      <c r="M4529" s="54" t="n">
        <f aca="false">(M4505+Assumptions!$D$104*M4491)*$C$4486</f>
        <v>306250</v>
      </c>
      <c r="N4529" s="54" t="n">
        <f aca="false">(N4505+Assumptions!$D$104*N4491)*$C$4486</f>
        <v>306250</v>
      </c>
      <c r="P4529" s="55" t="n">
        <f aca="false">SUM(C4529:F4529)</f>
        <v>1225000</v>
      </c>
      <c r="Q4529" s="55" t="n">
        <f aca="false">SUM(G4529:J4529)</f>
        <v>1225000</v>
      </c>
      <c r="R4529" s="55" t="n">
        <f aca="false">SUM(K4529:N4529)</f>
        <v>1225000</v>
      </c>
      <c r="S4529" s="56" t="n">
        <f aca="false">SUM(P4529:R4529)</f>
        <v>3675000</v>
      </c>
    </row>
    <row r="4530" customFormat="false" ht="15" hidden="false" customHeight="false" outlineLevel="0" collapsed="false">
      <c r="A4530" s="4" t="s">
        <v>524</v>
      </c>
      <c r="B4530" s="36" t="s">
        <v>77</v>
      </c>
      <c r="C4530" s="51" t="n">
        <f aca="false">IF(C4528&gt;0,MIN(1,C4529/C4528),1)</f>
        <v>1</v>
      </c>
      <c r="D4530" s="51" t="n">
        <f aca="false">IF(D4528&gt;0,MIN(1,D4529/D4528),1)</f>
        <v>1</v>
      </c>
      <c r="E4530" s="51" t="n">
        <f aca="false">IF(E4528&gt;0,MIN(1,E4529/E4528),1)</f>
        <v>1</v>
      </c>
      <c r="F4530" s="51" t="n">
        <f aca="false">IF(F4528&gt;0,MIN(1,F4529/F4528),1)</f>
        <v>1</v>
      </c>
      <c r="G4530" s="51" t="n">
        <f aca="false">IF(G4528&gt;0,MIN(1,G4529/G4528),1)</f>
        <v>1</v>
      </c>
      <c r="H4530" s="51" t="n">
        <f aca="false">IF(H4528&gt;0,MIN(1,H4529/H4528),1)</f>
        <v>1</v>
      </c>
      <c r="I4530" s="51" t="n">
        <f aca="false">IF(I4528&gt;0,MIN(1,I4529/I4528),1)</f>
        <v>1</v>
      </c>
      <c r="J4530" s="51" t="n">
        <f aca="false">IF(J4528&gt;0,MIN(1,J4529/J4528),1)</f>
        <v>1</v>
      </c>
      <c r="K4530" s="51" t="n">
        <f aca="false">IF(K4528&gt;0,MIN(1,K4529/K4528),1)</f>
        <v>1</v>
      </c>
      <c r="L4530" s="51" t="n">
        <f aca="false">IF(L4528&gt;0,MIN(1,L4529/L4528),1)</f>
        <v>1</v>
      </c>
      <c r="M4530" s="51" t="n">
        <f aca="false">IF(M4528&gt;0,MIN(1,M4529/M4528),1)</f>
        <v>1</v>
      </c>
      <c r="N4530" s="51" t="n">
        <f aca="false">IF(N4528&gt;0,MIN(1,N4529/N4528),1)</f>
        <v>1</v>
      </c>
      <c r="P4530" s="52"/>
      <c r="Q4530" s="52"/>
      <c r="R4530" s="52"/>
      <c r="S4530" s="53"/>
    </row>
    <row r="4531" customFormat="false" ht="15" hidden="false" customHeight="false" outlineLevel="0" collapsed="false">
      <c r="A4531" s="4" t="s">
        <v>525</v>
      </c>
      <c r="B4531" s="36" t="s">
        <v>125</v>
      </c>
      <c r="C4531" s="54" t="n">
        <f aca="false">C4528*(1-C4530)</f>
        <v>0</v>
      </c>
      <c r="D4531" s="54" t="n">
        <f aca="false">D4528*(1-D4530)</f>
        <v>0</v>
      </c>
      <c r="E4531" s="54" t="n">
        <f aca="false">E4528*(1-E4530)</f>
        <v>0</v>
      </c>
      <c r="F4531" s="54" t="n">
        <f aca="false">F4528*(1-F4530)</f>
        <v>0</v>
      </c>
      <c r="G4531" s="54" t="n">
        <f aca="false">G4528*(1-G4530)</f>
        <v>0</v>
      </c>
      <c r="H4531" s="54" t="n">
        <f aca="false">H4528*(1-H4530)</f>
        <v>0</v>
      </c>
      <c r="I4531" s="54" t="n">
        <f aca="false">I4528*(1-I4530)</f>
        <v>0</v>
      </c>
      <c r="J4531" s="54" t="n">
        <f aca="false">J4528*(1-J4530)</f>
        <v>0</v>
      </c>
      <c r="K4531" s="54" t="n">
        <f aca="false">K4528*(1-K4530)</f>
        <v>0</v>
      </c>
      <c r="L4531" s="54" t="n">
        <f aca="false">L4528*(1-L4530)</f>
        <v>0</v>
      </c>
      <c r="M4531" s="54" t="n">
        <f aca="false">M4528*(1-M4530)</f>
        <v>0</v>
      </c>
      <c r="N4531" s="54" t="n">
        <f aca="false">N4528*(1-N4530)</f>
        <v>0</v>
      </c>
      <c r="P4531" s="55" t="n">
        <f aca="false">SUM(C4531:F4531)</f>
        <v>0</v>
      </c>
      <c r="Q4531" s="55" t="n">
        <f aca="false">SUM(G4531:J4531)</f>
        <v>0</v>
      </c>
      <c r="R4531" s="55" t="n">
        <f aca="false">SUM(K4531:N4531)</f>
        <v>0</v>
      </c>
      <c r="S4531" s="56" t="n">
        <f aca="false">SUM(P4531:R4531)</f>
        <v>0</v>
      </c>
    </row>
    <row r="4532" customFormat="false" ht="15" hidden="false" customHeight="false" outlineLevel="0" collapsed="false">
      <c r="A4532" s="4" t="s">
        <v>526</v>
      </c>
      <c r="B4532" s="36" t="s">
        <v>527</v>
      </c>
      <c r="C4532" s="48" t="n">
        <f aca="false">C4526+C4527*C4530</f>
        <v>0</v>
      </c>
      <c r="D4532" s="48" t="n">
        <f aca="false">D4526+D4527*D4530</f>
        <v>0.655037620787439</v>
      </c>
      <c r="E4532" s="48" t="n">
        <f aca="false">E4526+E4527*E4530</f>
        <v>1.11434080743458</v>
      </c>
      <c r="F4532" s="48" t="n">
        <f aca="false">F4526+F4527*F4530</f>
        <v>1.23946613230861</v>
      </c>
      <c r="G4532" s="48" t="n">
        <f aca="false">G4526+G4527*G4530</f>
        <v>1.36695335832227</v>
      </c>
      <c r="H4532" s="48" t="n">
        <f aca="false">H4526+H4527*H4530</f>
        <v>1.75292933838422</v>
      </c>
      <c r="I4532" s="48" t="n">
        <f aca="false">I4526+I4527*I4530</f>
        <v>2.11334370858995</v>
      </c>
      <c r="J4532" s="48" t="n">
        <f aca="false">J4526+J4527*J4530</f>
        <v>3.09339098688285</v>
      </c>
      <c r="K4532" s="48" t="n">
        <f aca="false">K4526+K4527*K4530</f>
        <v>3.97733104990739</v>
      </c>
      <c r="L4532" s="48" t="n">
        <f aca="false">L4526+L4527*L4530</f>
        <v>4.01626445540711</v>
      </c>
      <c r="M4532" s="48" t="n">
        <f aca="false">M4526+M4527*M4530</f>
        <v>3.89676620575625</v>
      </c>
      <c r="N4532" s="48" t="n">
        <f aca="false">N4526+N4527*N4530</f>
        <v>3.78556055397696</v>
      </c>
      <c r="P4532" s="49" t="n">
        <f aca="false">SUM(C4532:F4532)</f>
        <v>3.00884456053063</v>
      </c>
      <c r="Q4532" s="49" t="n">
        <f aca="false">SUM(G4532:J4532)</f>
        <v>8.32661739217929</v>
      </c>
      <c r="R4532" s="49" t="n">
        <f aca="false">SUM(K4532:N4532)</f>
        <v>15.6759222650477</v>
      </c>
      <c r="S4532" s="50" t="n">
        <f aca="false">SUM(P4532:R4532)</f>
        <v>27.0113842177576</v>
      </c>
    </row>
    <row r="4533" customFormat="false" ht="15" hidden="false" customHeight="false" outlineLevel="0" collapsed="false">
      <c r="A4533" s="4" t="s">
        <v>528</v>
      </c>
      <c r="B4533" s="36" t="s">
        <v>527</v>
      </c>
      <c r="C4533" s="48" t="n">
        <f aca="false">C4523*C4530</f>
        <v>0</v>
      </c>
      <c r="D4533" s="48" t="n">
        <f aca="false">D4523*D4530</f>
        <v>0.32819681368784</v>
      </c>
      <c r="E4533" s="48" t="n">
        <f aca="false">E4523*E4530</f>
        <v>0.55832381340589</v>
      </c>
      <c r="F4533" s="48" t="n">
        <f aca="false">F4523*F4530</f>
        <v>0.621015988072052</v>
      </c>
      <c r="G4533" s="48" t="n">
        <f aca="false">G4523*G4530</f>
        <v>0.684891558017616</v>
      </c>
      <c r="H4533" s="48" t="n">
        <f aca="false">H4523*H4530</f>
        <v>0.860952772407189</v>
      </c>
      <c r="I4533" s="48" t="n">
        <f aca="false">I4523*I4530</f>
        <v>1.02587264639656</v>
      </c>
      <c r="J4533" s="48" t="n">
        <f aca="false">J4523*J4530</f>
        <v>1.41239470895668</v>
      </c>
      <c r="K4533" s="48" t="n">
        <f aca="false">K4523*K4530</f>
        <v>1.76850245260278</v>
      </c>
      <c r="L4533" s="48" t="n">
        <f aca="false">L4523*L4530</f>
        <v>1.78581401712945</v>
      </c>
      <c r="M4533" s="48" t="n">
        <f aca="false">M4523*M4530</f>
        <v>1.73267965518234</v>
      </c>
      <c r="N4533" s="48" t="n">
        <f aca="false">N4523*N4530</f>
        <v>1.68323255976906</v>
      </c>
      <c r="P4533" s="49" t="n">
        <f aca="false">SUM(C4533:F4533)</f>
        <v>1.50753661516578</v>
      </c>
      <c r="Q4533" s="49" t="n">
        <f aca="false">SUM(G4533:J4533)</f>
        <v>3.98411168577805</v>
      </c>
      <c r="R4533" s="49" t="n">
        <f aca="false">SUM(K4533:N4533)</f>
        <v>6.97022868468362</v>
      </c>
      <c r="S4533" s="50" t="n">
        <f aca="false">SUM(P4533:R4533)</f>
        <v>12.4618769856275</v>
      </c>
    </row>
    <row r="4534" customFormat="false" ht="15" hidden="false" customHeight="false" outlineLevel="0" collapsed="false">
      <c r="A4534" s="4" t="s">
        <v>529</v>
      </c>
      <c r="B4534" s="36" t="s">
        <v>527</v>
      </c>
      <c r="C4534" s="48" t="n">
        <f aca="false">C4524*C4530</f>
        <v>0</v>
      </c>
      <c r="D4534" s="48" t="n">
        <f aca="false">D4524*D4530</f>
        <v>0</v>
      </c>
      <c r="E4534" s="48" t="n">
        <f aca="false">E4524*E4530</f>
        <v>0.0538891064450404</v>
      </c>
      <c r="F4534" s="48" t="n">
        <f aca="false">F4524*F4530</f>
        <v>0.0916753915839301</v>
      </c>
      <c r="G4534" s="48" t="n">
        <f aca="false">G4524*G4530</f>
        <v>0.101969291868621</v>
      </c>
      <c r="H4534" s="48" t="n">
        <f aca="false">H4524*H4530</f>
        <v>0.112457502736226</v>
      </c>
      <c r="I4534" s="48" t="n">
        <f aca="false">I4524*I4530</f>
        <v>0.132224848418194</v>
      </c>
      <c r="J4534" s="48" t="n">
        <f aca="false">J4524*J4530</f>
        <v>0.151041766019273</v>
      </c>
      <c r="K4534" s="48" t="n">
        <f aca="false">K4524*K4530</f>
        <v>0.198719393392642</v>
      </c>
      <c r="L4534" s="48" t="n">
        <f aca="false">L4524*L4530</f>
        <v>0.243599170514157</v>
      </c>
      <c r="M4534" s="48" t="n">
        <f aca="false">M4524*M4530</f>
        <v>0.245983720647403</v>
      </c>
      <c r="N4534" s="48" t="n">
        <f aca="false">N4524*N4530</f>
        <v>0.238664824099046</v>
      </c>
      <c r="P4534" s="49" t="n">
        <f aca="false">SUM(C4534:F4534)</f>
        <v>0.14556449802897</v>
      </c>
      <c r="Q4534" s="49" t="n">
        <f aca="false">SUM(G4534:J4534)</f>
        <v>0.497693409042313</v>
      </c>
      <c r="R4534" s="49" t="n">
        <f aca="false">SUM(K4534:N4534)</f>
        <v>0.926967108653248</v>
      </c>
      <c r="S4534" s="50" t="n">
        <f aca="false">SUM(P4534:R4534)</f>
        <v>1.57022501572453</v>
      </c>
    </row>
    <row r="4535" customFormat="false" ht="15" hidden="false" customHeight="false" outlineLevel="0" collapsed="false">
      <c r="A4535" s="9" t="s">
        <v>530</v>
      </c>
      <c r="B4535" s="36" t="s">
        <v>527</v>
      </c>
      <c r="C4535" s="49" t="n">
        <f aca="false">C4532+C4533+C4534</f>
        <v>0</v>
      </c>
      <c r="D4535" s="49" t="n">
        <f aca="false">D4532+D4533+D4534</f>
        <v>0.98323443447528</v>
      </c>
      <c r="E4535" s="49" t="n">
        <f aca="false">E4532+E4533+E4534</f>
        <v>1.72655372728551</v>
      </c>
      <c r="F4535" s="49" t="n">
        <f aca="false">F4532+F4533+F4534</f>
        <v>1.95215751196459</v>
      </c>
      <c r="G4535" s="49" t="n">
        <f aca="false">G4532+G4533+G4534</f>
        <v>2.15381420820851</v>
      </c>
      <c r="H4535" s="49" t="n">
        <f aca="false">H4532+H4533+H4534</f>
        <v>2.72633961352763</v>
      </c>
      <c r="I4535" s="49" t="n">
        <f aca="false">I4532+I4533+I4534</f>
        <v>3.27144120340471</v>
      </c>
      <c r="J4535" s="49" t="n">
        <f aca="false">J4532+J4533+J4534</f>
        <v>4.65682746185881</v>
      </c>
      <c r="K4535" s="49" t="n">
        <f aca="false">K4532+K4533+K4534</f>
        <v>5.94455289590281</v>
      </c>
      <c r="L4535" s="49" t="n">
        <f aca="false">L4532+L4533+L4534</f>
        <v>6.04567764305072</v>
      </c>
      <c r="M4535" s="49" t="n">
        <f aca="false">M4532+M4533+M4534</f>
        <v>5.87542958158599</v>
      </c>
      <c r="N4535" s="49" t="n">
        <f aca="false">N4532+N4533+N4534</f>
        <v>5.70745793784506</v>
      </c>
      <c r="P4535" s="49" t="n">
        <f aca="false">SUM(C4535:F4535)</f>
        <v>4.66194567372539</v>
      </c>
      <c r="Q4535" s="49" t="n">
        <f aca="false">SUM(G4535:J4535)</f>
        <v>12.8084224869997</v>
      </c>
      <c r="R4535" s="49" t="n">
        <f aca="false">SUM(K4535:N4535)</f>
        <v>23.5731180583846</v>
      </c>
      <c r="S4535" s="50" t="n">
        <f aca="false">SUM(P4535:R4535)</f>
        <v>41.0434862191096</v>
      </c>
    </row>
    <row r="4536" customFormat="false" ht="15" hidden="false" customHeight="false" outlineLevel="0" collapsed="false">
      <c r="A4536" s="35" t="s">
        <v>533</v>
      </c>
      <c r="B4536" s="35" t="s">
        <v>444</v>
      </c>
      <c r="C4536" s="6" t="s">
        <v>354</v>
      </c>
      <c r="D4536" s="6" t="s">
        <v>355</v>
      </c>
      <c r="E4536" s="6" t="s">
        <v>356</v>
      </c>
      <c r="F4536" s="6" t="s">
        <v>357</v>
      </c>
      <c r="G4536" s="6" t="s">
        <v>358</v>
      </c>
      <c r="H4536" s="6" t="s">
        <v>359</v>
      </c>
      <c r="I4536" s="6" t="s">
        <v>360</v>
      </c>
      <c r="J4536" s="6" t="s">
        <v>361</v>
      </c>
      <c r="K4536" s="6" t="s">
        <v>362</v>
      </c>
      <c r="L4536" s="6" t="s">
        <v>363</v>
      </c>
      <c r="M4536" s="6" t="s">
        <v>364</v>
      </c>
      <c r="N4536" s="6" t="s">
        <v>365</v>
      </c>
      <c r="P4536" s="6" t="s">
        <v>445</v>
      </c>
      <c r="Q4536" s="6" t="s">
        <v>446</v>
      </c>
      <c r="R4536" s="6" t="s">
        <v>447</v>
      </c>
      <c r="S4536" s="6" t="s">
        <v>448</v>
      </c>
    </row>
    <row r="4537" customFormat="false" ht="15" hidden="false" customHeight="false" outlineLevel="0" collapsed="false">
      <c r="A4537" s="4" t="s">
        <v>534</v>
      </c>
      <c r="B4537" s="36" t="s">
        <v>527</v>
      </c>
      <c r="C4537" s="48" t="n">
        <f aca="false">0*Assumptions!$E$59^(1/4)+C4532</f>
        <v>0</v>
      </c>
      <c r="D4537" s="48" t="n">
        <f aca="false">C4537*Assumptions!$E$59^(1/4)+D4532</f>
        <v>0.655037620787439</v>
      </c>
      <c r="E4537" s="48" t="n">
        <f aca="false">D4537*Assumptions!$E$59^(1/4)+E4532</f>
        <v>1.74877548284926</v>
      </c>
      <c r="F4537" s="48" t="n">
        <f aca="false">E4537*Assumptions!$E$59^(1/4)+F4532</f>
        <v>2.93323725418841</v>
      </c>
      <c r="G4537" s="48" t="n">
        <f aca="false">F4537*Assumptions!$E$59^(1/4)+G4532</f>
        <v>4.20793129030451</v>
      </c>
      <c r="H4537" s="48" t="n">
        <f aca="false">G4537*Assumptions!$E$59^(1/4)+H4532</f>
        <v>5.82850826333564</v>
      </c>
      <c r="I4537" s="48" t="n">
        <f aca="false">H4537*Assumptions!$E$59^(1/4)+I4532</f>
        <v>7.75852748254766</v>
      </c>
      <c r="J4537" s="48" t="n">
        <f aca="false">I4537*Assumptions!$E$59^(1/4)+J4532</f>
        <v>10.6078889468149</v>
      </c>
      <c r="K4537" s="48" t="n">
        <f aca="false">J4537*Assumptions!$E$59^(1/4)+K4532</f>
        <v>14.2515693031502</v>
      </c>
      <c r="L4537" s="48" t="n">
        <f aca="false">K4537*Assumptions!$E$59^(1/4)+L4532</f>
        <v>17.8195781248184</v>
      </c>
      <c r="M4537" s="48" t="n">
        <f aca="false">L4537*Assumptions!$E$59^(1/4)+M4532</f>
        <v>21.1558638588882</v>
      </c>
      <c r="N4537" s="48" t="n">
        <f aca="false">M4537*Assumptions!$E$59^(1/4)+N4532</f>
        <v>24.2760075061625</v>
      </c>
      <c r="P4537" s="49" t="n">
        <f aca="false">F4537</f>
        <v>2.93323725418841</v>
      </c>
      <c r="Q4537" s="49" t="n">
        <f aca="false">J4537</f>
        <v>10.6078889468149</v>
      </c>
      <c r="R4537" s="49" t="n">
        <f aca="false">N4537</f>
        <v>24.2760075061625</v>
      </c>
      <c r="S4537" s="50" t="n">
        <f aca="false">R4537</f>
        <v>24.2760075061625</v>
      </c>
    </row>
    <row r="4538" customFormat="false" ht="15" hidden="false" customHeight="false" outlineLevel="0" collapsed="false">
      <c r="A4538" s="4" t="s">
        <v>535</v>
      </c>
      <c r="B4538" s="36" t="s">
        <v>527</v>
      </c>
      <c r="C4538" s="48" t="n">
        <f aca="false">0*Assumptions!$E$60^(1/4)+C4533</f>
        <v>0</v>
      </c>
      <c r="D4538" s="48" t="n">
        <f aca="false">C4538*Assumptions!$E$60^(1/4)+D4533</f>
        <v>0.32819681368784</v>
      </c>
      <c r="E4538" s="48" t="n">
        <f aca="false">D4538*Assumptions!$E$60^(1/4)+E4533</f>
        <v>0.877988739502692</v>
      </c>
      <c r="F4538" s="48" t="n">
        <f aca="false">E4538*Assumptions!$E$60^(1/4)+F4533</f>
        <v>1.4761803096669</v>
      </c>
      <c r="G4538" s="48" t="n">
        <f aca="false">F4538*Assumptions!$E$60^(1/4)+G4533</f>
        <v>2.12269671003243</v>
      </c>
      <c r="H4538" s="48" t="n">
        <f aca="false">G4538*Assumptions!$E$60^(1/4)+H4533</f>
        <v>2.92846732050343</v>
      </c>
      <c r="I4538" s="48" t="n">
        <f aca="false">H4538*Assumptions!$E$60^(1/4)+I4533</f>
        <v>3.87821078785095</v>
      </c>
      <c r="J4538" s="48" t="n">
        <f aca="false">I4538*Assumptions!$E$60^(1/4)+J4533</f>
        <v>5.18978654575051</v>
      </c>
      <c r="K4538" s="48" t="n">
        <f aca="false">J4538*Assumptions!$E$60^(1/4)+K4533</f>
        <v>6.82337399131137</v>
      </c>
      <c r="L4538" s="48" t="n">
        <f aca="false">K4538*Assumptions!$E$60^(1/4)+L4533</f>
        <v>8.43180584792766</v>
      </c>
      <c r="M4538" s="48" t="n">
        <f aca="false">L4538*Assumptions!$E$60^(1/4)+M4533</f>
        <v>9.9452901401946</v>
      </c>
      <c r="N4538" s="48" t="n">
        <f aca="false">M4538*Assumptions!$E$60^(1/4)+N4533</f>
        <v>11.3699824156052</v>
      </c>
      <c r="P4538" s="49" t="n">
        <f aca="false">F4538</f>
        <v>1.4761803096669</v>
      </c>
      <c r="Q4538" s="49" t="n">
        <f aca="false">J4538</f>
        <v>5.18978654575051</v>
      </c>
      <c r="R4538" s="49" t="n">
        <f aca="false">N4538</f>
        <v>11.3699824156052</v>
      </c>
      <c r="S4538" s="50" t="n">
        <f aca="false">R4538</f>
        <v>11.3699824156052</v>
      </c>
    </row>
    <row r="4539" customFormat="false" ht="15" hidden="false" customHeight="false" outlineLevel="0" collapsed="false">
      <c r="A4539" s="4" t="s">
        <v>536</v>
      </c>
      <c r="B4539" s="36" t="s">
        <v>527</v>
      </c>
      <c r="C4539" s="48" t="n">
        <f aca="false">0*Assumptions!$E$61^(1/4)+C4534</f>
        <v>0</v>
      </c>
      <c r="D4539" s="48" t="n">
        <f aca="false">C4539*Assumptions!$E$61^(1/4)+D4534</f>
        <v>0</v>
      </c>
      <c r="E4539" s="48" t="n">
        <f aca="false">D4539*Assumptions!$E$61^(1/4)+E4534</f>
        <v>0.0538891064450404</v>
      </c>
      <c r="F4539" s="48" t="n">
        <f aca="false">E4539*Assumptions!$E$61^(1/4)+F4534</f>
        <v>0.14445278523506</v>
      </c>
      <c r="G4539" s="48" t="n">
        <f aca="false">F4539*Assumptions!$E$61^(1/4)+G4534</f>
        <v>0.243442068340209</v>
      </c>
      <c r="H4539" s="48" t="n">
        <f aca="false">G4539*Assumptions!$E$61^(1/4)+H4534</f>
        <v>0.350877449170853</v>
      </c>
      <c r="I4539" s="48" t="n">
        <f aca="false">H4539*Assumptions!$E$61^(1/4)+I4534</f>
        <v>0.475863822597151</v>
      </c>
      <c r="J4539" s="48" t="n">
        <f aca="false">I4539*Assumptions!$E$61^(1/4)+J4534</f>
        <v>0.617088689902765</v>
      </c>
      <c r="K4539" s="48" t="n">
        <f aca="false">J4539*Assumptions!$E$61^(1/4)+K4534</f>
        <v>0.8030777665988</v>
      </c>
      <c r="L4539" s="48" t="n">
        <f aca="false">K4539*Assumptions!$E$61^(1/4)+L4534</f>
        <v>1.03010973296858</v>
      </c>
      <c r="M4539" s="48" t="n">
        <f aca="false">L4539*Assumptions!$E$61^(1/4)+M4534</f>
        <v>1.25484266204012</v>
      </c>
      <c r="N4539" s="48" t="n">
        <f aca="false">M4539*Assumptions!$E$61^(1/4)+N4534</f>
        <v>1.46762053544055</v>
      </c>
      <c r="P4539" s="49" t="n">
        <f aca="false">F4539</f>
        <v>0.14445278523506</v>
      </c>
      <c r="Q4539" s="49" t="n">
        <f aca="false">J4539</f>
        <v>0.617088689902765</v>
      </c>
      <c r="R4539" s="49" t="n">
        <f aca="false">N4539</f>
        <v>1.46762053544055</v>
      </c>
      <c r="S4539" s="50" t="n">
        <f aca="false">R4539</f>
        <v>1.46762053544055</v>
      </c>
    </row>
    <row r="4540" customFormat="false" ht="15" hidden="false" customHeight="false" outlineLevel="0" collapsed="false">
      <c r="A4540" s="9" t="s">
        <v>537</v>
      </c>
      <c r="B4540" s="36" t="s">
        <v>527</v>
      </c>
      <c r="C4540" s="49" t="n">
        <f aca="false">C4537+C4538+C4539</f>
        <v>0</v>
      </c>
      <c r="D4540" s="49" t="n">
        <f aca="false">D4537+D4538+D4539</f>
        <v>0.98323443447528</v>
      </c>
      <c r="E4540" s="49" t="n">
        <f aca="false">E4537+E4538+E4539</f>
        <v>2.68065332879699</v>
      </c>
      <c r="F4540" s="49" t="n">
        <f aca="false">F4537+F4538+F4539</f>
        <v>4.55387034909037</v>
      </c>
      <c r="G4540" s="49" t="n">
        <f aca="false">G4537+G4538+G4539</f>
        <v>6.57407006867715</v>
      </c>
      <c r="H4540" s="49" t="n">
        <f aca="false">H4537+H4538+H4539</f>
        <v>9.10785303300992</v>
      </c>
      <c r="I4540" s="49" t="n">
        <f aca="false">I4537+I4538+I4539</f>
        <v>12.1126020929958</v>
      </c>
      <c r="J4540" s="49" t="n">
        <f aca="false">J4537+J4538+J4539</f>
        <v>16.4147641824682</v>
      </c>
      <c r="K4540" s="49" t="n">
        <f aca="false">K4537+K4538+K4539</f>
        <v>21.8780210610604</v>
      </c>
      <c r="L4540" s="49" t="n">
        <f aca="false">L4537+L4538+L4539</f>
        <v>27.2814937057146</v>
      </c>
      <c r="M4540" s="49" t="n">
        <f aca="false">M4537+M4538+M4539</f>
        <v>32.355996661123</v>
      </c>
      <c r="N4540" s="49" t="n">
        <f aca="false">N4537+N4538+N4539</f>
        <v>37.1136104572082</v>
      </c>
      <c r="P4540" s="49" t="n">
        <f aca="false">F4540</f>
        <v>4.55387034909037</v>
      </c>
      <c r="Q4540" s="49" t="n">
        <f aca="false">J4540</f>
        <v>16.4147641824682</v>
      </c>
      <c r="R4540" s="49" t="n">
        <f aca="false">N4540</f>
        <v>37.1136104572082</v>
      </c>
      <c r="S4540" s="50" t="n">
        <f aca="false">R4540</f>
        <v>37.1136104572082</v>
      </c>
    </row>
    <row r="4541" customFormat="false" ht="15" hidden="false" customHeight="false" outlineLevel="0" collapsed="false">
      <c r="A4541" s="4" t="s">
        <v>538</v>
      </c>
      <c r="B4541" s="36" t="s">
        <v>125</v>
      </c>
      <c r="C4541" s="54" t="n">
        <f aca="false">0*Assumptions!$E$62^(1/4)+C4532*$C$4481</f>
        <v>0</v>
      </c>
      <c r="D4541" s="54" t="n">
        <f aca="false">C4541*Assumptions!$E$62^(1/4)+D4532*$C$4481</f>
        <v>3505.76134645438</v>
      </c>
      <c r="E4541" s="54" t="n">
        <f aca="false">D4541*Assumptions!$E$62^(1/4)+E4532*$C$4481</f>
        <v>9469.71334784425</v>
      </c>
      <c r="F4541" s="54" t="n">
        <f aca="false">E4541*Assumptions!$E$62^(1/4)+F4532*$C$4481</f>
        <v>16103.3360879599</v>
      </c>
      <c r="G4541" s="54" t="n">
        <f aca="false">F4541*Assumptions!$E$62^(1/4)+G4532*$C$4481</f>
        <v>23419.2704617007</v>
      </c>
      <c r="H4541" s="54" t="n">
        <f aca="false">G4541*Assumptions!$E$62^(1/4)+H4532*$C$4481</f>
        <v>32800.9482807331</v>
      </c>
      <c r="I4541" s="54" t="n">
        <f aca="false">H4541*Assumptions!$E$62^(1/4)+I4532*$C$4481</f>
        <v>44111.5638091065</v>
      </c>
      <c r="J4541" s="54" t="n">
        <f aca="false">I4541*Assumptions!$E$62^(1/4)+J4532*$C$4481</f>
        <v>60667.3923709035</v>
      </c>
      <c r="K4541" s="54" t="n">
        <f aca="false">J4541*Assumptions!$E$62^(1/4)+K4532*$C$4481</f>
        <v>81954.0681500079</v>
      </c>
      <c r="L4541" s="54" t="n">
        <f aca="false">K4541*Assumptions!$E$62^(1/4)+L4532*$C$4481</f>
        <v>103449.115515347</v>
      </c>
      <c r="M4541" s="54" t="n">
        <f aca="false">L4541*Assumptions!$E$62^(1/4)+M4532*$C$4481</f>
        <v>124304.608248554</v>
      </c>
      <c r="N4541" s="54" t="n">
        <f aca="false">M4541*Assumptions!$E$62^(1/4)+N4532*$C$4481</f>
        <v>144564.928333439</v>
      </c>
      <c r="P4541" s="55" t="n">
        <f aca="false">F4541</f>
        <v>16103.3360879599</v>
      </c>
      <c r="Q4541" s="55" t="n">
        <f aca="false">J4541</f>
        <v>60667.3923709035</v>
      </c>
      <c r="R4541" s="55" t="n">
        <f aca="false">N4541</f>
        <v>144564.928333439</v>
      </c>
      <c r="S4541" s="56" t="n">
        <f aca="false">R4541</f>
        <v>144564.928333439</v>
      </c>
    </row>
    <row r="4542" customFormat="false" ht="15" hidden="false" customHeight="false" outlineLevel="0" collapsed="false">
      <c r="A4542" s="4" t="s">
        <v>539</v>
      </c>
      <c r="B4542" s="36" t="s">
        <v>125</v>
      </c>
      <c r="C4542" s="54" t="n">
        <f aca="false">0*Assumptions!$E$63^(1/4)+C4533*$C$4482</f>
        <v>0</v>
      </c>
      <c r="D4542" s="54" t="n">
        <f aca="false">C4542*Assumptions!$E$63^(1/4)+D4533*$C$4482</f>
        <v>3205.40642643733</v>
      </c>
      <c r="E4542" s="54" t="n">
        <f aca="false">D4542*Assumptions!$E$63^(1/4)+E4533*$C$4482</f>
        <v>8705.43449399983</v>
      </c>
      <c r="F4542" s="54" t="n">
        <f aca="false">E4542*Assumptions!$E$63^(1/4)+F4533*$C$4482</f>
        <v>14898.4660515763</v>
      </c>
      <c r="G4542" s="54" t="n">
        <f aca="false">F4542*Assumptions!$E$63^(1/4)+G4533*$C$4482</f>
        <v>21806.2280162691</v>
      </c>
      <c r="H4542" s="54" t="n">
        <f aca="false">G4542*Assumptions!$E$63^(1/4)+H4533*$C$4482</f>
        <v>30534.8940238728</v>
      </c>
      <c r="I4542" s="54" t="n">
        <f aca="false">H4542*Assumptions!$E$63^(1/4)+I4533*$C$4482</f>
        <v>41002.3693866529</v>
      </c>
      <c r="J4542" s="54" t="n">
        <f aca="false">I4542*Assumptions!$E$63^(1/4)+J4533*$C$4482</f>
        <v>55398.4956812933</v>
      </c>
      <c r="K4542" s="54" t="n">
        <f aca="false">J4542*Assumptions!$E$63^(1/4)+K4533*$C$4482</f>
        <v>73483.8731864787</v>
      </c>
      <c r="L4542" s="54" t="n">
        <f aca="false">K4542*Assumptions!$E$63^(1/4)+L4533*$C$4482</f>
        <v>92003.7099448002</v>
      </c>
      <c r="M4542" s="54" t="n">
        <f aca="false">L4542*Assumptions!$E$63^(1/4)+M4533*$C$4482</f>
        <v>110276.355496425</v>
      </c>
      <c r="N4542" s="54" t="n">
        <f aca="false">M4542*Assumptions!$E$63^(1/4)+N4533*$C$4482</f>
        <v>128334.195095887</v>
      </c>
      <c r="P4542" s="55" t="n">
        <f aca="false">F4542</f>
        <v>14898.4660515763</v>
      </c>
      <c r="Q4542" s="55" t="n">
        <f aca="false">J4542</f>
        <v>55398.4956812933</v>
      </c>
      <c r="R4542" s="55" t="n">
        <f aca="false">N4542</f>
        <v>128334.195095887</v>
      </c>
      <c r="S4542" s="56" t="n">
        <f aca="false">R4542</f>
        <v>128334.195095887</v>
      </c>
    </row>
    <row r="4543" customFormat="false" ht="15" hidden="false" customHeight="false" outlineLevel="0" collapsed="false">
      <c r="A4543" s="4" t="s">
        <v>540</v>
      </c>
      <c r="B4543" s="36" t="s">
        <v>125</v>
      </c>
      <c r="C4543" s="54" t="n">
        <f aca="false">0*Assumptions!$E$64^(1/4)+C4534*$C$4483</f>
        <v>0</v>
      </c>
      <c r="D4543" s="54" t="n">
        <f aca="false">C4543*Assumptions!$E$64^(1/4)+D4534*$C$4483</f>
        <v>0</v>
      </c>
      <c r="E4543" s="54" t="n">
        <f aca="false">D4543*Assumptions!$E$64^(1/4)+E4534*$C$4483</f>
        <v>3329.17502539831</v>
      </c>
      <c r="F4543" s="54" t="n">
        <f aca="false">E4543*Assumptions!$E$64^(1/4)+F4534*$C$4483</f>
        <v>9111.09991539543</v>
      </c>
      <c r="G4543" s="54" t="n">
        <f aca="false">F4543*Assumptions!$E$64^(1/4)+G4534*$C$4483</f>
        <v>15734.5581413176</v>
      </c>
      <c r="H4543" s="54" t="n">
        <f aca="false">G4543*Assumptions!$E$64^(1/4)+H4534*$C$4483</f>
        <v>23241.477178745</v>
      </c>
      <c r="I4543" s="54" t="n">
        <f aca="false">H4543*Assumptions!$E$64^(1/4)+I4534*$C$4483</f>
        <v>32236.5199627145</v>
      </c>
      <c r="J4543" s="54" t="n">
        <f aca="false">I4543*Assumptions!$E$64^(1/4)+J4534*$C$4483</f>
        <v>42713.8855215121</v>
      </c>
      <c r="K4543" s="54" t="n">
        <f aca="false">J4543*Assumptions!$E$64^(1/4)+K4534*$C$4483</f>
        <v>56509.2467245153</v>
      </c>
      <c r="L4543" s="54" t="n">
        <f aca="false">K4543*Assumptions!$E$64^(1/4)+L4534*$C$4483</f>
        <v>73567.7388044195</v>
      </c>
      <c r="M4543" s="54" t="n">
        <f aca="false">L4543*Assumptions!$E$64^(1/4)+M4534*$C$4483</f>
        <v>91380.1113970736</v>
      </c>
      <c r="N4543" s="54" t="n">
        <f aca="false">M4543*Assumptions!$E$64^(1/4)+N4534*$C$4483</f>
        <v>109373.709027995</v>
      </c>
      <c r="P4543" s="55" t="n">
        <f aca="false">F4543</f>
        <v>9111.09991539543</v>
      </c>
      <c r="Q4543" s="55" t="n">
        <f aca="false">J4543</f>
        <v>42713.8855215121</v>
      </c>
      <c r="R4543" s="55" t="n">
        <f aca="false">N4543</f>
        <v>109373.709027995</v>
      </c>
      <c r="S4543" s="56" t="n">
        <f aca="false">R4543</f>
        <v>109373.709027995</v>
      </c>
    </row>
    <row r="4544" customFormat="false" ht="15" hidden="false" customHeight="false" outlineLevel="0" collapsed="false">
      <c r="A4544" s="9" t="s">
        <v>541</v>
      </c>
      <c r="B4544" s="36" t="s">
        <v>125</v>
      </c>
      <c r="C4544" s="55" t="n">
        <f aca="false">C4541+C4542+C4543</f>
        <v>0</v>
      </c>
      <c r="D4544" s="55" t="n">
        <f aca="false">D4541+D4542+D4543</f>
        <v>6711.1677728917</v>
      </c>
      <c r="E4544" s="55" t="n">
        <f aca="false">E4541+E4542+E4543</f>
        <v>21504.3228672424</v>
      </c>
      <c r="F4544" s="55" t="n">
        <f aca="false">F4541+F4542+F4543</f>
        <v>40112.9020549317</v>
      </c>
      <c r="G4544" s="55" t="n">
        <f aca="false">G4541+G4542+G4543</f>
        <v>60960.0566192875</v>
      </c>
      <c r="H4544" s="55" t="n">
        <f aca="false">H4541+H4542+H4543</f>
        <v>86577.3194833509</v>
      </c>
      <c r="I4544" s="55" t="n">
        <f aca="false">I4541+I4542+I4543</f>
        <v>117350.453158474</v>
      </c>
      <c r="J4544" s="55" t="n">
        <f aca="false">J4541+J4542+J4543</f>
        <v>158779.773573709</v>
      </c>
      <c r="K4544" s="55" t="n">
        <f aca="false">K4541+K4542+K4543</f>
        <v>211947.188061002</v>
      </c>
      <c r="L4544" s="55" t="n">
        <f aca="false">L4541+L4542+L4543</f>
        <v>269020.564264566</v>
      </c>
      <c r="M4544" s="55" t="n">
        <f aca="false">M4541+M4542+M4543</f>
        <v>325961.075142053</v>
      </c>
      <c r="N4544" s="55" t="n">
        <f aca="false">N4541+N4542+N4543</f>
        <v>382272.832457321</v>
      </c>
      <c r="P4544" s="55" t="n">
        <f aca="false">F4544</f>
        <v>40112.9020549317</v>
      </c>
      <c r="Q4544" s="55" t="n">
        <f aca="false">J4544</f>
        <v>158779.773573709</v>
      </c>
      <c r="R4544" s="55" t="n">
        <f aca="false">N4544</f>
        <v>382272.832457321</v>
      </c>
      <c r="S4544" s="56" t="n">
        <f aca="false">R4544</f>
        <v>382272.832457321</v>
      </c>
    </row>
    <row r="4545" customFormat="false" ht="15" hidden="false" customHeight="false" outlineLevel="0" collapsed="false">
      <c r="A4545" s="4" t="s">
        <v>542</v>
      </c>
      <c r="B4545" s="36" t="s">
        <v>125</v>
      </c>
      <c r="C4545" s="54" t="n">
        <f aca="false">C4532*$C$4481+C4533*$C$4482+C4534*$C$4483</f>
        <v>0</v>
      </c>
      <c r="D4545" s="54" t="n">
        <f aca="false">D4532*$C$4481+D4533*$C$4482+D4534*$C$4483</f>
        <v>6711.1677728917</v>
      </c>
      <c r="E4545" s="54" t="n">
        <f aca="false">E4532*$C$4481+E4533*$C$4482+E4534*$C$4483</f>
        <v>14746.1194535411</v>
      </c>
      <c r="F4545" s="54" t="n">
        <f aca="false">F4532*$C$4481+F4533*$C$4482+F4534*$C$4483</f>
        <v>18362.4579213853</v>
      </c>
      <c r="G4545" s="54" t="n">
        <f aca="false">G4532*$C$4481+G4533*$C$4482+G4534*$C$4483</f>
        <v>20304.5635790182</v>
      </c>
      <c r="H4545" s="54" t="n">
        <f aca="false">H4532*$C$4481+H4533*$C$4482+H4534*$C$4483</f>
        <v>24737.7910090433</v>
      </c>
      <c r="I4545" s="54" t="n">
        <f aca="false">I4532*$C$4481+I4533*$C$4482+I4534*$C$4483</f>
        <v>29498.6471176265</v>
      </c>
      <c r="J4545" s="54" t="n">
        <f aca="false">J4532*$C$4481+J4533*$C$4482+J4534*$C$4483</f>
        <v>39681.3893164823</v>
      </c>
      <c r="K4545" s="54" t="n">
        <f aca="false">K4532*$C$4481+K4533*$C$4482+K4534*$C$4483</f>
        <v>50835.6818814694</v>
      </c>
      <c r="L4545" s="54" t="n">
        <f aca="false">L4532*$C$4481+L4533*$C$4482+L4534*$C$4483</f>
        <v>53985.725043511</v>
      </c>
      <c r="M4545" s="54" t="n">
        <f aca="false">M4532*$C$4481+M4533*$C$4482+M4534*$C$4483</f>
        <v>52974.5353181221</v>
      </c>
      <c r="N4545" s="54" t="n">
        <f aca="false">N4532*$C$4481+N4533*$C$4482+N4534*$C$4483</f>
        <v>51444.2780615101</v>
      </c>
      <c r="P4545" s="55" t="n">
        <f aca="false">SUM(C4545:F4545)</f>
        <v>39819.7451478181</v>
      </c>
      <c r="Q4545" s="55" t="n">
        <f aca="false">SUM(G4545:J4545)</f>
        <v>114222.39102217</v>
      </c>
      <c r="R4545" s="55" t="n">
        <f aca="false">SUM(K4545:N4545)</f>
        <v>209240.220304613</v>
      </c>
      <c r="S4545" s="56" t="n">
        <f aca="false">SUM(P4545:R4545)</f>
        <v>363282.356474601</v>
      </c>
    </row>
    <row r="4546" customFormat="false" ht="15" hidden="false" customHeight="false" outlineLevel="0" collapsed="false">
      <c r="A4546" s="9" t="s">
        <v>543</v>
      </c>
      <c r="B4546" s="36" t="s">
        <v>125</v>
      </c>
      <c r="C4546" s="55" t="n">
        <f aca="false">(0+C4544)/8</f>
        <v>0</v>
      </c>
      <c r="D4546" s="55" t="n">
        <f aca="false">(C4544+D4544)/8</f>
        <v>838.895971611463</v>
      </c>
      <c r="E4546" s="55" t="n">
        <f aca="false">(D4544+E4544)/8</f>
        <v>3526.93633001676</v>
      </c>
      <c r="F4546" s="55" t="n">
        <f aca="false">(E4544+F4544)/8</f>
        <v>7702.15311527176</v>
      </c>
      <c r="G4546" s="55" t="n">
        <f aca="false">(F4544+G4544)/8</f>
        <v>12634.1198342774</v>
      </c>
      <c r="H4546" s="55" t="n">
        <f aca="false">(G4544+H4544)/8</f>
        <v>18442.1720128298</v>
      </c>
      <c r="I4546" s="55" t="n">
        <f aca="false">(H4544+I4544)/8</f>
        <v>25490.9715802281</v>
      </c>
      <c r="J4546" s="55" t="n">
        <f aca="false">(I4544+J4544)/8</f>
        <v>34516.2783415229</v>
      </c>
      <c r="K4546" s="55" t="n">
        <f aca="false">(J4544+K4544)/8</f>
        <v>46340.8702043389</v>
      </c>
      <c r="L4546" s="55" t="n">
        <f aca="false">(K4544+L4544)/8</f>
        <v>60120.969040696</v>
      </c>
      <c r="M4546" s="55" t="n">
        <f aca="false">(L4544+M4544)/8</f>
        <v>74372.7049258274</v>
      </c>
      <c r="N4546" s="55" t="n">
        <f aca="false">(M4544+N4544)/8</f>
        <v>88529.2384499216</v>
      </c>
      <c r="P4546" s="55" t="n">
        <f aca="false">SUM(C4546:F4546)</f>
        <v>12067.9854169</v>
      </c>
      <c r="Q4546" s="55" t="n">
        <f aca="false">SUM(G4546:J4546)</f>
        <v>91083.5417688581</v>
      </c>
      <c r="R4546" s="55" t="n">
        <f aca="false">SUM(K4546:N4546)</f>
        <v>269363.782620784</v>
      </c>
      <c r="S4546" s="56" t="n">
        <f aca="false">SUM(P4546:R4546)</f>
        <v>372515.309806542</v>
      </c>
    </row>
    <row r="4547" customFormat="false" ht="15" hidden="false" customHeight="false" outlineLevel="0" collapsed="false">
      <c r="A4547" s="4" t="s">
        <v>544</v>
      </c>
      <c r="B4547" s="36" t="s">
        <v>125</v>
      </c>
      <c r="C4547" s="54" t="n">
        <f aca="false">C4546*Assumptions!$E$76</f>
        <v>0</v>
      </c>
      <c r="D4547" s="54" t="n">
        <f aca="false">D4546*Assumptions!$E$76</f>
        <v>545.282381547451</v>
      </c>
      <c r="E4547" s="54" t="n">
        <f aca="false">E4546*Assumptions!$E$76</f>
        <v>2292.50861451089</v>
      </c>
      <c r="F4547" s="54" t="n">
        <f aca="false">F4546*Assumptions!$E$76</f>
        <v>5006.39952492664</v>
      </c>
      <c r="G4547" s="54" t="n">
        <f aca="false">G4546*Assumptions!$E$76</f>
        <v>8212.1778922803</v>
      </c>
      <c r="H4547" s="54" t="n">
        <f aca="false">H4546*Assumptions!$E$76</f>
        <v>11987.4118083394</v>
      </c>
      <c r="I4547" s="54" t="n">
        <f aca="false">I4546*Assumptions!$E$76</f>
        <v>16569.1315271483</v>
      </c>
      <c r="J4547" s="54" t="n">
        <f aca="false">J4546*Assumptions!$E$76</f>
        <v>22435.5809219899</v>
      </c>
      <c r="K4547" s="54" t="n">
        <f aca="false">K4546*Assumptions!$E$76</f>
        <v>30121.5656328203</v>
      </c>
      <c r="L4547" s="54" t="n">
        <f aca="false">L4546*Assumptions!$E$76</f>
        <v>39078.6298764524</v>
      </c>
      <c r="M4547" s="54" t="n">
        <f aca="false">M4546*Assumptions!$E$76</f>
        <v>48342.2582017878</v>
      </c>
      <c r="N4547" s="54" t="n">
        <f aca="false">N4546*Assumptions!$E$76</f>
        <v>57544.0049924491</v>
      </c>
      <c r="P4547" s="55" t="n">
        <f aca="false">SUM(C4547:F4547)</f>
        <v>7844.19052098499</v>
      </c>
      <c r="Q4547" s="55" t="n">
        <f aca="false">SUM(G4547:J4547)</f>
        <v>59204.3021497578</v>
      </c>
      <c r="R4547" s="55" t="n">
        <f aca="false">SUM(K4547:N4547)</f>
        <v>175086.45870351</v>
      </c>
      <c r="S4547" s="56" t="n">
        <f aca="false">SUM(P4547:R4547)</f>
        <v>242134.951374252</v>
      </c>
    </row>
    <row r="4548" customFormat="false" ht="15" hidden="false" customHeight="false" outlineLevel="0" collapsed="false">
      <c r="A4548" s="35" t="s">
        <v>547</v>
      </c>
      <c r="B4548" s="35" t="s">
        <v>444</v>
      </c>
      <c r="C4548" s="6" t="s">
        <v>354</v>
      </c>
      <c r="D4548" s="6" t="s">
        <v>355</v>
      </c>
      <c r="E4548" s="6" t="s">
        <v>356</v>
      </c>
      <c r="F4548" s="6" t="s">
        <v>357</v>
      </c>
      <c r="G4548" s="6" t="s">
        <v>358</v>
      </c>
      <c r="H4548" s="6" t="s">
        <v>359</v>
      </c>
      <c r="I4548" s="6" t="s">
        <v>360</v>
      </c>
      <c r="J4548" s="6" t="s">
        <v>361</v>
      </c>
      <c r="K4548" s="6" t="s">
        <v>362</v>
      </c>
      <c r="L4548" s="6" t="s">
        <v>363</v>
      </c>
      <c r="M4548" s="6" t="s">
        <v>364</v>
      </c>
      <c r="N4548" s="6" t="s">
        <v>365</v>
      </c>
      <c r="P4548" s="6" t="s">
        <v>445</v>
      </c>
      <c r="Q4548" s="6" t="s">
        <v>446</v>
      </c>
      <c r="R4548" s="6" t="s">
        <v>447</v>
      </c>
      <c r="S4548" s="6" t="s">
        <v>448</v>
      </c>
    </row>
    <row r="4549" customFormat="false" ht="15" hidden="false" customHeight="false" outlineLevel="0" collapsed="false">
      <c r="A4549" s="4" t="s">
        <v>548</v>
      </c>
      <c r="B4549" s="36" t="s">
        <v>321</v>
      </c>
      <c r="C4549" s="48" t="n">
        <f aca="false">Assumptions!$D$97*C4491</f>
        <v>1</v>
      </c>
      <c r="D4549" s="48" t="n">
        <f aca="false">Assumptions!$D$97*D4491</f>
        <v>1</v>
      </c>
      <c r="E4549" s="48" t="n">
        <f aca="false">Assumptions!$D$97*E4491</f>
        <v>1</v>
      </c>
      <c r="F4549" s="48" t="n">
        <f aca="false">Assumptions!$D$97*F4491</f>
        <v>1</v>
      </c>
      <c r="G4549" s="48" t="n">
        <f aca="false">Assumptions!$D$97*G4491</f>
        <v>1</v>
      </c>
      <c r="H4549" s="48" t="n">
        <f aca="false">Assumptions!$D$97*H4491</f>
        <v>1</v>
      </c>
      <c r="I4549" s="48" t="n">
        <f aca="false">Assumptions!$D$97*I4491</f>
        <v>1</v>
      </c>
      <c r="J4549" s="48" t="n">
        <f aca="false">Assumptions!$D$97*J4491</f>
        <v>1</v>
      </c>
      <c r="K4549" s="48" t="n">
        <f aca="false">Assumptions!$D$97*K4491</f>
        <v>1</v>
      </c>
      <c r="L4549" s="48" t="n">
        <f aca="false">Assumptions!$D$97*L4491</f>
        <v>1</v>
      </c>
      <c r="M4549" s="48" t="n">
        <f aca="false">Assumptions!$D$97*M4491</f>
        <v>1</v>
      </c>
      <c r="N4549" s="48" t="n">
        <f aca="false">Assumptions!$D$97*N4491</f>
        <v>1</v>
      </c>
      <c r="P4549" s="49" t="n">
        <f aca="false">AVERAGE(C4549:F4549)</f>
        <v>1</v>
      </c>
      <c r="Q4549" s="49" t="n">
        <f aca="false">AVERAGE(G4549:J4549)</f>
        <v>1</v>
      </c>
      <c r="R4549" s="49" t="n">
        <f aca="false">AVERAGE(K4549:N4549)</f>
        <v>1</v>
      </c>
      <c r="S4549" s="50"/>
    </row>
    <row r="4550" customFormat="false" ht="15" hidden="false" customHeight="false" outlineLevel="0" collapsed="false">
      <c r="A4550" s="4" t="s">
        <v>549</v>
      </c>
      <c r="B4550" s="36" t="s">
        <v>321</v>
      </c>
      <c r="C4550" s="48" t="n">
        <f aca="false">C4504*C4491</f>
        <v>0</v>
      </c>
      <c r="D4550" s="48" t="n">
        <f aca="false">D4504*D4491</f>
        <v>0</v>
      </c>
      <c r="E4550" s="48" t="n">
        <f aca="false">E4504*E4491</f>
        <v>0</v>
      </c>
      <c r="F4550" s="48" t="n">
        <f aca="false">F4504*F4491</f>
        <v>0</v>
      </c>
      <c r="G4550" s="48" t="n">
        <f aca="false">G4504*G4491</f>
        <v>0</v>
      </c>
      <c r="H4550" s="48" t="n">
        <f aca="false">H4504*H4491</f>
        <v>0</v>
      </c>
      <c r="I4550" s="48" t="n">
        <f aca="false">I4504*I4491</f>
        <v>0</v>
      </c>
      <c r="J4550" s="48" t="n">
        <f aca="false">J4504*J4491</f>
        <v>0</v>
      </c>
      <c r="K4550" s="48" t="n">
        <f aca="false">K4504*K4491</f>
        <v>0</v>
      </c>
      <c r="L4550" s="48" t="n">
        <f aca="false">L4504*L4491</f>
        <v>0</v>
      </c>
      <c r="M4550" s="48" t="n">
        <f aca="false">M4504*M4491</f>
        <v>0</v>
      </c>
      <c r="N4550" s="48" t="n">
        <f aca="false">N4504*N4491</f>
        <v>0</v>
      </c>
      <c r="P4550" s="49" t="n">
        <f aca="false">AVERAGE(C4550:F4550)</f>
        <v>0</v>
      </c>
      <c r="Q4550" s="49" t="n">
        <f aca="false">AVERAGE(G4550:J4550)</f>
        <v>0</v>
      </c>
      <c r="R4550" s="49" t="n">
        <f aca="false">AVERAGE(K4550:N4550)</f>
        <v>0</v>
      </c>
      <c r="S4550" s="50"/>
    </row>
    <row r="4551" customFormat="false" ht="15" hidden="false" customHeight="false" outlineLevel="0" collapsed="false">
      <c r="A4551" s="4" t="s">
        <v>550</v>
      </c>
      <c r="B4551" s="36" t="s">
        <v>321</v>
      </c>
      <c r="C4551" s="48" t="n">
        <f aca="false">IF(C4490&lt;=4,Assumptions!$D$98,Assumptions!$D$99)*C4491</f>
        <v>0</v>
      </c>
      <c r="D4551" s="48" t="n">
        <f aca="false">IF(D4490&lt;=4,Assumptions!$D$98,Assumptions!$D$99)*D4491</f>
        <v>0</v>
      </c>
      <c r="E4551" s="48" t="n">
        <f aca="false">IF(E4490&lt;=4,Assumptions!$D$98,Assumptions!$D$99)*E4491</f>
        <v>0</v>
      </c>
      <c r="F4551" s="48" t="n">
        <f aca="false">IF(F4490&lt;=4,Assumptions!$D$98,Assumptions!$D$99)*F4491</f>
        <v>0</v>
      </c>
      <c r="G4551" s="48" t="n">
        <f aca="false">IF(G4490&lt;=4,Assumptions!$D$98,Assumptions!$D$99)*G4491</f>
        <v>0.5</v>
      </c>
      <c r="H4551" s="48" t="n">
        <f aca="false">IF(H4490&lt;=4,Assumptions!$D$98,Assumptions!$D$99)*H4491</f>
        <v>0.5</v>
      </c>
      <c r="I4551" s="48" t="n">
        <f aca="false">IF(I4490&lt;=4,Assumptions!$D$98,Assumptions!$D$99)*I4491</f>
        <v>0.5</v>
      </c>
      <c r="J4551" s="48" t="n">
        <f aca="false">IF(J4490&lt;=4,Assumptions!$D$98,Assumptions!$D$99)*J4491</f>
        <v>0.5</v>
      </c>
      <c r="K4551" s="48" t="n">
        <f aca="false">IF(K4490&lt;=4,Assumptions!$D$98,Assumptions!$D$99)*K4491</f>
        <v>0.5</v>
      </c>
      <c r="L4551" s="48" t="n">
        <f aca="false">IF(L4490&lt;=4,Assumptions!$D$98,Assumptions!$D$99)*L4491</f>
        <v>0.5</v>
      </c>
      <c r="M4551" s="48" t="n">
        <f aca="false">IF(M4490&lt;=4,Assumptions!$D$98,Assumptions!$D$99)*M4491</f>
        <v>0.5</v>
      </c>
      <c r="N4551" s="48" t="n">
        <f aca="false">IF(N4490&lt;=4,Assumptions!$D$98,Assumptions!$D$99)*N4491</f>
        <v>0.5</v>
      </c>
      <c r="P4551" s="49" t="n">
        <f aca="false">AVERAGE(C4551:F4551)</f>
        <v>0</v>
      </c>
      <c r="Q4551" s="49" t="n">
        <f aca="false">AVERAGE(G4551:J4551)</f>
        <v>0.5</v>
      </c>
      <c r="R4551" s="49" t="n">
        <f aca="false">AVERAGE(K4551:N4551)</f>
        <v>0.5</v>
      </c>
      <c r="S4551" s="50"/>
    </row>
    <row r="4552" customFormat="false" ht="15" hidden="false" customHeight="false" outlineLevel="0" collapsed="false">
      <c r="A4552" s="4" t="s">
        <v>551</v>
      </c>
      <c r="B4552" s="36" t="s">
        <v>321</v>
      </c>
      <c r="C4552" s="48" t="n">
        <f aca="false">IF(C4490&lt;=4,Assumptions!$D$100,Assumptions!$D$101)*C4491</f>
        <v>1</v>
      </c>
      <c r="D4552" s="48" t="n">
        <f aca="false">IF(D4490&lt;=4,Assumptions!$D$100,Assumptions!$D$101)*D4491</f>
        <v>1</v>
      </c>
      <c r="E4552" s="48" t="n">
        <f aca="false">IF(E4490&lt;=4,Assumptions!$D$100,Assumptions!$D$101)*E4491</f>
        <v>1</v>
      </c>
      <c r="F4552" s="48" t="n">
        <f aca="false">IF(F4490&lt;=4,Assumptions!$D$100,Assumptions!$D$101)*F4491</f>
        <v>1</v>
      </c>
      <c r="G4552" s="48" t="n">
        <f aca="false">IF(G4490&lt;=4,Assumptions!$D$100,Assumptions!$D$101)*G4491</f>
        <v>0.5</v>
      </c>
      <c r="H4552" s="48" t="n">
        <f aca="false">IF(H4490&lt;=4,Assumptions!$D$100,Assumptions!$D$101)*H4491</f>
        <v>0.5</v>
      </c>
      <c r="I4552" s="48" t="n">
        <f aca="false">IF(I4490&lt;=4,Assumptions!$D$100,Assumptions!$D$101)*I4491</f>
        <v>0.5</v>
      </c>
      <c r="J4552" s="48" t="n">
        <f aca="false">IF(J4490&lt;=4,Assumptions!$D$100,Assumptions!$D$101)*J4491</f>
        <v>0.5</v>
      </c>
      <c r="K4552" s="48" t="n">
        <f aca="false">IF(K4490&lt;=4,Assumptions!$D$100,Assumptions!$D$101)*K4491</f>
        <v>0.5</v>
      </c>
      <c r="L4552" s="48" t="n">
        <f aca="false">IF(L4490&lt;=4,Assumptions!$D$100,Assumptions!$D$101)*L4491</f>
        <v>0.5</v>
      </c>
      <c r="M4552" s="48" t="n">
        <f aca="false">IF(M4490&lt;=4,Assumptions!$D$100,Assumptions!$D$101)*M4491</f>
        <v>0.5</v>
      </c>
      <c r="N4552" s="48" t="n">
        <f aca="false">IF(N4490&lt;=4,Assumptions!$D$100,Assumptions!$D$101)*N4491</f>
        <v>0.5</v>
      </c>
      <c r="P4552" s="49" t="n">
        <f aca="false">AVERAGE(C4552:F4552)</f>
        <v>1</v>
      </c>
      <c r="Q4552" s="49" t="n">
        <f aca="false">AVERAGE(G4552:J4552)</f>
        <v>0.5</v>
      </c>
      <c r="R4552" s="49" t="n">
        <f aca="false">AVERAGE(K4552:N4552)</f>
        <v>0.5</v>
      </c>
      <c r="S4552" s="50"/>
    </row>
    <row r="4553" customFormat="false" ht="15" hidden="false" customHeight="false" outlineLevel="0" collapsed="false">
      <c r="A4553" s="4" t="s">
        <v>552</v>
      </c>
      <c r="B4553" s="36" t="s">
        <v>321</v>
      </c>
      <c r="C4553" s="48" t="n">
        <f aca="false">Assumptions!$D$102*C4491</f>
        <v>0.25</v>
      </c>
      <c r="D4553" s="48" t="n">
        <f aca="false">Assumptions!$D$102*D4491</f>
        <v>0.25</v>
      </c>
      <c r="E4553" s="48" t="n">
        <f aca="false">Assumptions!$D$102*E4491</f>
        <v>0.25</v>
      </c>
      <c r="F4553" s="48" t="n">
        <f aca="false">Assumptions!$D$102*F4491</f>
        <v>0.25</v>
      </c>
      <c r="G4553" s="48" t="n">
        <f aca="false">Assumptions!$D$102*G4491</f>
        <v>0.25</v>
      </c>
      <c r="H4553" s="48" t="n">
        <f aca="false">Assumptions!$D$102*H4491</f>
        <v>0.25</v>
      </c>
      <c r="I4553" s="48" t="n">
        <f aca="false">Assumptions!$D$102*I4491</f>
        <v>0.25</v>
      </c>
      <c r="J4553" s="48" t="n">
        <f aca="false">Assumptions!$D$102*J4491</f>
        <v>0.25</v>
      </c>
      <c r="K4553" s="48" t="n">
        <f aca="false">Assumptions!$D$102*K4491</f>
        <v>0.25</v>
      </c>
      <c r="L4553" s="48" t="n">
        <f aca="false">Assumptions!$D$102*L4491</f>
        <v>0.25</v>
      </c>
      <c r="M4553" s="48" t="n">
        <f aca="false">Assumptions!$D$102*M4491</f>
        <v>0.25</v>
      </c>
      <c r="N4553" s="48" t="n">
        <f aca="false">Assumptions!$D$102*N4491</f>
        <v>0.25</v>
      </c>
      <c r="P4553" s="49" t="n">
        <f aca="false">AVERAGE(C4553:F4553)</f>
        <v>0.25</v>
      </c>
      <c r="Q4553" s="49" t="n">
        <f aca="false">AVERAGE(G4553:J4553)</f>
        <v>0.25</v>
      </c>
      <c r="R4553" s="49" t="n">
        <f aca="false">AVERAGE(K4553:N4553)</f>
        <v>0.25</v>
      </c>
      <c r="S4553" s="50"/>
    </row>
    <row r="4554" customFormat="false" ht="15" hidden="false" customHeight="false" outlineLevel="0" collapsed="false">
      <c r="A4554" s="4" t="s">
        <v>553</v>
      </c>
      <c r="B4554" s="36" t="s">
        <v>321</v>
      </c>
      <c r="C4554" s="48" t="n">
        <f aca="false">(C4538+C4539)/Assumptions!$E$74+C4537/Assumptions!$E$75</f>
        <v>0</v>
      </c>
      <c r="D4554" s="48" t="n">
        <f aca="false">(D4538+D4539)/Assumptions!$E$74+D4537/Assumptions!$E$75</f>
        <v>0.0108250708253458</v>
      </c>
      <c r="E4554" s="48" t="n">
        <f aca="false">(E4538+E4539)/Assumptions!$E$74+E4537/Assumptions!$E$75</f>
        <v>0.0302920480800903</v>
      </c>
      <c r="F4554" s="48" t="n">
        <f aca="false">(F4538+F4539)/Assumptions!$E$74+F4537/Assumptions!$E$75</f>
        <v>0.0522487763893026</v>
      </c>
      <c r="G4554" s="48" t="n">
        <f aca="false">(G4538+G4539)/Assumptions!$E$74+G4537/Assumptions!$E$75</f>
        <v>0.075985194620534</v>
      </c>
      <c r="H4554" s="48" t="n">
        <f aca="false">(H4538+H4539)/Assumptions!$E$74+H4537/Assumptions!$E$75</f>
        <v>0.1052976522952</v>
      </c>
      <c r="I4554" s="48" t="n">
        <f aca="false">(I4538+I4539)/Assumptions!$E$74+I4537/Assumptions!$E$75</f>
        <v>0.139885975191393</v>
      </c>
      <c r="J4554" s="48" t="n">
        <f aca="false">(J4538+J4539)/Assumptions!$E$74+J4537/Assumptions!$E$75</f>
        <v>0.187603436678592</v>
      </c>
      <c r="K4554" s="48" t="n">
        <f aca="false">(K4538+K4539)/Assumptions!$E$74+K4537/Assumptions!$E$75</f>
        <v>0.247667571160355</v>
      </c>
      <c r="L4554" s="48" t="n">
        <f aca="false">(L4538+L4539)/Assumptions!$E$74+L4537/Assumptions!$E$75</f>
        <v>0.30782620202168</v>
      </c>
      <c r="M4554" s="48" t="n">
        <f aca="false">(M4538+M4539)/Assumptions!$E$74+M4537/Assumptions!$E$75</f>
        <v>0.364626775491421</v>
      </c>
      <c r="N4554" s="48" t="n">
        <f aca="false">(N4538+N4539)/Assumptions!$E$74+N4537/Assumptions!$E$75</f>
        <v>0.418044103800793</v>
      </c>
      <c r="P4554" s="49" t="n">
        <f aca="false">AVERAGE(C4554:F4554)</f>
        <v>0.0233414738236847</v>
      </c>
      <c r="Q4554" s="49" t="n">
        <f aca="false">AVERAGE(G4554:J4554)</f>
        <v>0.12719306469643</v>
      </c>
      <c r="R4554" s="49" t="n">
        <f aca="false">AVERAGE(K4554:N4554)</f>
        <v>0.334541163118562</v>
      </c>
      <c r="S4554" s="50"/>
    </row>
    <row r="4555" customFormat="false" ht="15" hidden="false" customHeight="false" outlineLevel="0" collapsed="false">
      <c r="A4555" s="4" t="s">
        <v>554</v>
      </c>
      <c r="B4555" s="36" t="s">
        <v>125</v>
      </c>
      <c r="C4555" s="54" t="n">
        <f aca="false">(C4549+C4551)*Assumptions!$E$70/Assumptions!$E$69/4</f>
        <v>66753.5714285714</v>
      </c>
      <c r="D4555" s="54" t="n">
        <f aca="false">(D4549+D4551)*Assumptions!$E$70/Assumptions!$E$69/4</f>
        <v>66753.5714285714</v>
      </c>
      <c r="E4555" s="54" t="n">
        <f aca="false">(E4549+E4551)*Assumptions!$E$70/Assumptions!$E$69/4</f>
        <v>66753.5714285714</v>
      </c>
      <c r="F4555" s="54" t="n">
        <f aca="false">(F4549+F4551)*Assumptions!$E$70/Assumptions!$E$69/4</f>
        <v>66753.5714285714</v>
      </c>
      <c r="G4555" s="54" t="n">
        <f aca="false">(G4549+G4551)*Assumptions!$E$70/Assumptions!$E$69/4</f>
        <v>100130.357142857</v>
      </c>
      <c r="H4555" s="54" t="n">
        <f aca="false">(H4549+H4551)*Assumptions!$E$70/Assumptions!$E$69/4</f>
        <v>100130.357142857</v>
      </c>
      <c r="I4555" s="54" t="n">
        <f aca="false">(I4549+I4551)*Assumptions!$E$70/Assumptions!$E$69/4</f>
        <v>100130.357142857</v>
      </c>
      <c r="J4555" s="54" t="n">
        <f aca="false">(J4549+J4551)*Assumptions!$E$70/Assumptions!$E$69/4</f>
        <v>100130.357142857</v>
      </c>
      <c r="K4555" s="54" t="n">
        <f aca="false">(K4549+K4551)*Assumptions!$E$70/Assumptions!$E$69/4</f>
        <v>100130.357142857</v>
      </c>
      <c r="L4555" s="54" t="n">
        <f aca="false">(L4549+L4551)*Assumptions!$E$70/Assumptions!$E$69/4</f>
        <v>100130.357142857</v>
      </c>
      <c r="M4555" s="54" t="n">
        <f aca="false">(M4549+M4551)*Assumptions!$E$70/Assumptions!$E$69/4</f>
        <v>100130.357142857</v>
      </c>
      <c r="N4555" s="54" t="n">
        <f aca="false">(N4549+N4551)*Assumptions!$E$70/Assumptions!$E$69/4</f>
        <v>100130.357142857</v>
      </c>
      <c r="P4555" s="55" t="n">
        <f aca="false">SUM(C4555:F4555)</f>
        <v>267014.285714286</v>
      </c>
      <c r="Q4555" s="55" t="n">
        <f aca="false">SUM(G4555:J4555)</f>
        <v>400521.428571429</v>
      </c>
      <c r="R4555" s="55" t="n">
        <f aca="false">SUM(K4555:N4555)</f>
        <v>400521.428571429</v>
      </c>
      <c r="S4555" s="56" t="n">
        <f aca="false">SUM(P4555:R4555)</f>
        <v>1068057.14285714</v>
      </c>
    </row>
    <row r="4556" customFormat="false" ht="15" hidden="false" customHeight="false" outlineLevel="0" collapsed="false">
      <c r="A4556" s="4" t="s">
        <v>555</v>
      </c>
      <c r="B4556" s="36" t="s">
        <v>125</v>
      </c>
      <c r="C4556" s="54" t="n">
        <f aca="false">C4550*$C$4485/4</f>
        <v>0</v>
      </c>
      <c r="D4556" s="54" t="n">
        <f aca="false">D4550*$C$4485/4</f>
        <v>0</v>
      </c>
      <c r="E4556" s="54" t="n">
        <f aca="false">E4550*$C$4485/4</f>
        <v>0</v>
      </c>
      <c r="F4556" s="54" t="n">
        <f aca="false">F4550*$C$4485/4</f>
        <v>0</v>
      </c>
      <c r="G4556" s="54" t="n">
        <f aca="false">G4550*$C$4485/4</f>
        <v>0</v>
      </c>
      <c r="H4556" s="54" t="n">
        <f aca="false">H4550*$C$4485/4</f>
        <v>0</v>
      </c>
      <c r="I4556" s="54" t="n">
        <f aca="false">I4550*$C$4485/4</f>
        <v>0</v>
      </c>
      <c r="J4556" s="54" t="n">
        <f aca="false">J4550*$C$4485/4</f>
        <v>0</v>
      </c>
      <c r="K4556" s="54" t="n">
        <f aca="false">K4550*$C$4485/4</f>
        <v>0</v>
      </c>
      <c r="L4556" s="54" t="n">
        <f aca="false">L4550*$C$4485/4</f>
        <v>0</v>
      </c>
      <c r="M4556" s="54" t="n">
        <f aca="false">M4550*$C$4485/4</f>
        <v>0</v>
      </c>
      <c r="N4556" s="54" t="n">
        <f aca="false">N4550*$C$4485/4</f>
        <v>0</v>
      </c>
      <c r="P4556" s="55" t="n">
        <f aca="false">SUM(C4556:F4556)</f>
        <v>0</v>
      </c>
      <c r="Q4556" s="55" t="n">
        <f aca="false">SUM(G4556:J4556)</f>
        <v>0</v>
      </c>
      <c r="R4556" s="55" t="n">
        <f aca="false">SUM(K4556:N4556)</f>
        <v>0</v>
      </c>
      <c r="S4556" s="56" t="n">
        <f aca="false">SUM(P4556:R4556)</f>
        <v>0</v>
      </c>
    </row>
    <row r="4557" customFormat="false" ht="15" hidden="false" customHeight="false" outlineLevel="0" collapsed="false">
      <c r="A4557" s="4" t="s">
        <v>556</v>
      </c>
      <c r="B4557" s="36" t="s">
        <v>125</v>
      </c>
      <c r="C4557" s="54" t="n">
        <f aca="false">MAX(0,(C4545-C4526*$C$4481)-C4505*$C$4486)*$C$4487*Assumptions!$D$105</f>
        <v>0</v>
      </c>
      <c r="D4557" s="54" t="n">
        <f aca="false">MAX(0,(D4545-D4526*$C$4481)-D4505*$C$4486)*$C$4487*Assumptions!$D$105</f>
        <v>2639.97171729698</v>
      </c>
      <c r="E4557" s="54" t="n">
        <f aca="false">MAX(0,(E4545-E4526*$C$4481)-E4505*$C$4486)*$C$4487*Assumptions!$D$105</f>
        <v>6044.05077696753</v>
      </c>
      <c r="F4557" s="54" t="n">
        <f aca="false">MAX(0,(F4545-F4526*$C$4481)-F4505*$C$4486)*$C$4487*Assumptions!$D$105</f>
        <v>7637.25765567373</v>
      </c>
      <c r="G4557" s="54" t="n">
        <f aca="false">MAX(0,(G4545-G4526*$C$4481)-G4505*$C$4486)*$C$4487*Assumptions!$D$105</f>
        <v>8447.71231108849</v>
      </c>
      <c r="H4557" s="54" t="n">
        <f aca="false">MAX(0,(H4545-H4526*$C$4481)-H4505*$C$4486)*$C$4487*Assumptions!$D$105</f>
        <v>10226.6064901848</v>
      </c>
      <c r="I4557" s="54" t="n">
        <f aca="false">MAX(0,(I4545-I4526*$C$4481)-I4505*$C$4486)*$C$4487*Assumptions!$D$105</f>
        <v>12177.4751995869</v>
      </c>
      <c r="J4557" s="54" t="n">
        <f aca="false">MAX(0,(J4545-J4526*$C$4481)-J4505*$C$4486)*$C$4487*Assumptions!$D$105</f>
        <v>16193.4184246965</v>
      </c>
      <c r="K4557" s="54" t="n">
        <f aca="false">MAX(0,(K4545-K4526*$C$4481)-K4505*$C$4486)*$C$4487*Assumptions!$D$105</f>
        <v>20734.5442088574</v>
      </c>
      <c r="L4557" s="54" t="n">
        <f aca="false">MAX(0,(L4545-L4526*$C$4481)-L4505*$C$4486)*$C$4487*Assumptions!$D$105</f>
        <v>22174.7922257303</v>
      </c>
      <c r="M4557" s="54" t="n">
        <f aca="false">MAX(0,(M4545-M4526*$C$4481)-M4505*$C$4486)*$C$4487*Assumptions!$D$105</f>
        <v>21792.600582232</v>
      </c>
      <c r="N4557" s="54" t="n">
        <f aca="false">MAX(0,(N4545-N4526*$C$4481)-N4505*$C$4486)*$C$4487*Assumptions!$D$105</f>
        <v>21162.0674220617</v>
      </c>
      <c r="P4557" s="55" t="n">
        <f aca="false">SUM(C4557:F4557)</f>
        <v>16321.2801499382</v>
      </c>
      <c r="Q4557" s="55" t="n">
        <f aca="false">SUM(G4557:J4557)</f>
        <v>47045.2124255567</v>
      </c>
      <c r="R4557" s="55" t="n">
        <f aca="false">SUM(K4557:N4557)</f>
        <v>85864.0044388814</v>
      </c>
      <c r="S4557" s="56" t="n">
        <f aca="false">SUM(P4557:R4557)</f>
        <v>149230.497014376</v>
      </c>
    </row>
    <row r="4558" customFormat="false" ht="15" hidden="false" customHeight="false" outlineLevel="0" collapsed="false">
      <c r="A4558" s="4" t="s">
        <v>557</v>
      </c>
      <c r="B4558" s="36" t="s">
        <v>125</v>
      </c>
      <c r="C4558" s="54" t="n">
        <f aca="false">C4553*Assumptions!$E$71/Assumptions!$E$69/4</f>
        <v>18475.8928571429</v>
      </c>
      <c r="D4558" s="54" t="n">
        <f aca="false">D4553*Assumptions!$E$71/Assumptions!$E$69/4</f>
        <v>18475.8928571429</v>
      </c>
      <c r="E4558" s="54" t="n">
        <f aca="false">E4553*Assumptions!$E$71/Assumptions!$E$69/4</f>
        <v>18475.8928571429</v>
      </c>
      <c r="F4558" s="54" t="n">
        <f aca="false">F4553*Assumptions!$E$71/Assumptions!$E$69/4</f>
        <v>18475.8928571429</v>
      </c>
      <c r="G4558" s="54" t="n">
        <f aca="false">G4553*Assumptions!$E$71/Assumptions!$E$69/4</f>
        <v>18475.8928571429</v>
      </c>
      <c r="H4558" s="54" t="n">
        <f aca="false">H4553*Assumptions!$E$71/Assumptions!$E$69/4</f>
        <v>18475.8928571429</v>
      </c>
      <c r="I4558" s="54" t="n">
        <f aca="false">I4553*Assumptions!$E$71/Assumptions!$E$69/4</f>
        <v>18475.8928571429</v>
      </c>
      <c r="J4558" s="54" t="n">
        <f aca="false">J4553*Assumptions!$E$71/Assumptions!$E$69/4</f>
        <v>18475.8928571429</v>
      </c>
      <c r="K4558" s="54" t="n">
        <f aca="false">K4553*Assumptions!$E$71/Assumptions!$E$69/4</f>
        <v>18475.8928571429</v>
      </c>
      <c r="L4558" s="54" t="n">
        <f aca="false">L4553*Assumptions!$E$71/Assumptions!$E$69/4</f>
        <v>18475.8928571429</v>
      </c>
      <c r="M4558" s="54" t="n">
        <f aca="false">M4553*Assumptions!$E$71/Assumptions!$E$69/4</f>
        <v>18475.8928571429</v>
      </c>
      <c r="N4558" s="54" t="n">
        <f aca="false">N4553*Assumptions!$E$71/Assumptions!$E$69/4</f>
        <v>18475.8928571429</v>
      </c>
      <c r="P4558" s="55" t="n">
        <f aca="false">SUM(C4558:F4558)</f>
        <v>73903.5714285714</v>
      </c>
      <c r="Q4558" s="55" t="n">
        <f aca="false">SUM(G4558:J4558)</f>
        <v>73903.5714285714</v>
      </c>
      <c r="R4558" s="55" t="n">
        <f aca="false">SUM(K4558:N4558)</f>
        <v>73903.5714285714</v>
      </c>
      <c r="S4558" s="56" t="n">
        <f aca="false">SUM(P4558:R4558)</f>
        <v>221710.714285714</v>
      </c>
    </row>
    <row r="4559" customFormat="false" ht="15" hidden="false" customHeight="false" outlineLevel="0" collapsed="false">
      <c r="A4559" s="4" t="s">
        <v>558</v>
      </c>
      <c r="B4559" s="36" t="s">
        <v>125</v>
      </c>
      <c r="C4559" s="54" t="n">
        <f aca="false">(Assumptions!$D$103+Assumptions!$E$77*((C4490=Assumptions!$E$13)+(C4490=Assumptions!$E$14)+(C4490=Assumptions!$E$15)))*C4491</f>
        <v>65000</v>
      </c>
      <c r="D4559" s="54" t="n">
        <f aca="false">(Assumptions!$D$103+Assumptions!$E$77*((D4490=Assumptions!$E$13)+(D4490=Assumptions!$E$14)+(D4490=Assumptions!$E$15)))*D4491</f>
        <v>25000</v>
      </c>
      <c r="E4559" s="54" t="n">
        <f aca="false">(Assumptions!$D$103+Assumptions!$E$77*((E4490=Assumptions!$E$13)+(E4490=Assumptions!$E$14)+(E4490=Assumptions!$E$15)))*E4491</f>
        <v>25000</v>
      </c>
      <c r="F4559" s="54" t="n">
        <f aca="false">(Assumptions!$D$103+Assumptions!$E$77*((F4490=Assumptions!$E$13)+(F4490=Assumptions!$E$14)+(F4490=Assumptions!$E$15)))*F4491</f>
        <v>25000</v>
      </c>
      <c r="G4559" s="54" t="n">
        <f aca="false">(Assumptions!$D$103+Assumptions!$E$77*((G4490=Assumptions!$E$13)+(G4490=Assumptions!$E$14)+(G4490=Assumptions!$E$15)))*G4491</f>
        <v>65000</v>
      </c>
      <c r="H4559" s="54" t="n">
        <f aca="false">(Assumptions!$D$103+Assumptions!$E$77*((H4490=Assumptions!$E$13)+(H4490=Assumptions!$E$14)+(H4490=Assumptions!$E$15)))*H4491</f>
        <v>25000</v>
      </c>
      <c r="I4559" s="54" t="n">
        <f aca="false">(Assumptions!$D$103+Assumptions!$E$77*((I4490=Assumptions!$E$13)+(I4490=Assumptions!$E$14)+(I4490=Assumptions!$E$15)))*I4491</f>
        <v>65000</v>
      </c>
      <c r="J4559" s="54" t="n">
        <f aca="false">(Assumptions!$D$103+Assumptions!$E$77*((J4490=Assumptions!$E$13)+(J4490=Assumptions!$E$14)+(J4490=Assumptions!$E$15)))*J4491</f>
        <v>25000</v>
      </c>
      <c r="K4559" s="54" t="n">
        <f aca="false">(Assumptions!$D$103+Assumptions!$E$77*((K4490=Assumptions!$E$13)+(K4490=Assumptions!$E$14)+(K4490=Assumptions!$E$15)))*K4491</f>
        <v>25000</v>
      </c>
      <c r="L4559" s="54" t="n">
        <f aca="false">(Assumptions!$D$103+Assumptions!$E$77*((L4490=Assumptions!$E$13)+(L4490=Assumptions!$E$14)+(L4490=Assumptions!$E$15)))*L4491</f>
        <v>25000</v>
      </c>
      <c r="M4559" s="54" t="n">
        <f aca="false">(Assumptions!$D$103+Assumptions!$E$77*((M4490=Assumptions!$E$13)+(M4490=Assumptions!$E$14)+(M4490=Assumptions!$E$15)))*M4491</f>
        <v>25000</v>
      </c>
      <c r="N4559" s="54" t="n">
        <f aca="false">(Assumptions!$D$103+Assumptions!$E$77*((N4490=Assumptions!$E$13)+(N4490=Assumptions!$E$14)+(N4490=Assumptions!$E$15)))*N4491</f>
        <v>25000</v>
      </c>
      <c r="P4559" s="55" t="n">
        <f aca="false">SUM(C4559:F4559)</f>
        <v>140000</v>
      </c>
      <c r="Q4559" s="55" t="n">
        <f aca="false">SUM(G4559:J4559)</f>
        <v>180000</v>
      </c>
      <c r="R4559" s="55" t="n">
        <f aca="false">SUM(K4559:N4559)</f>
        <v>100000</v>
      </c>
      <c r="S4559" s="56" t="n">
        <f aca="false">SUM(P4559:R4559)</f>
        <v>420000</v>
      </c>
    </row>
    <row r="4560" customFormat="false" ht="15" hidden="false" customHeight="false" outlineLevel="0" collapsed="false">
      <c r="A4560" s="4" t="s">
        <v>559</v>
      </c>
      <c r="B4560" s="36" t="s">
        <v>125</v>
      </c>
      <c r="C4560" s="54" t="n">
        <f aca="false">C4545*C4525*Assumptions!$E$79</f>
        <v>0</v>
      </c>
      <c r="D4560" s="54" t="n">
        <f aca="false">D4545*D4525*Assumptions!$E$79</f>
        <v>652.271098684334</v>
      </c>
      <c r="E4560" s="54" t="n">
        <f aca="false">E4545*E4525*Assumptions!$E$79</f>
        <v>1263.70951498837</v>
      </c>
      <c r="F4560" s="54" t="n">
        <f aca="false">F4545*F4525*Assumptions!$E$79</f>
        <v>1886.35066012072</v>
      </c>
      <c r="G4560" s="54" t="n">
        <f aca="false">G4545*G4525*Assumptions!$E$79</f>
        <v>2364.15668014491</v>
      </c>
      <c r="H4560" s="54" t="n">
        <f aca="false">H4545*H4525*Assumptions!$E$79</f>
        <v>2724.11384998924</v>
      </c>
      <c r="I4560" s="54" t="n">
        <f aca="false">I4545*I4525*Assumptions!$E$79</f>
        <v>3163.01102234415</v>
      </c>
      <c r="J4560" s="54" t="n">
        <f aca="false">J4545*J4525*Assumptions!$E$79</f>
        <v>3400.89677212294</v>
      </c>
      <c r="K4560" s="54" t="n">
        <f aca="false">K4545*K4525*Assumptions!$E$79</f>
        <v>3849.95817805745</v>
      </c>
      <c r="L4560" s="54" t="n">
        <f aca="false">L4545*L4525*Assumptions!$E$79</f>
        <v>4498.76415831062</v>
      </c>
      <c r="M4560" s="54" t="n">
        <f aca="false">M4545*M4525*Assumptions!$E$79</f>
        <v>4549.87426675683</v>
      </c>
      <c r="N4560" s="54" t="n">
        <f aca="false">N4545*N4525*Assumptions!$E$79</f>
        <v>4548.24100296691</v>
      </c>
      <c r="P4560" s="55" t="n">
        <f aca="false">SUM(C4560:F4560)</f>
        <v>3802.33127379342</v>
      </c>
      <c r="Q4560" s="55" t="n">
        <f aca="false">SUM(G4560:J4560)</f>
        <v>11652.1783246012</v>
      </c>
      <c r="R4560" s="55" t="n">
        <f aca="false">SUM(K4560:N4560)</f>
        <v>17446.8376060918</v>
      </c>
      <c r="S4560" s="56" t="n">
        <f aca="false">SUM(P4560:R4560)</f>
        <v>32901.3472044865</v>
      </c>
    </row>
    <row r="4561" customFormat="false" ht="15" hidden="false" customHeight="false" outlineLevel="0" collapsed="false">
      <c r="A4561" s="4" t="s">
        <v>560</v>
      </c>
      <c r="B4561" s="36" t="s">
        <v>125</v>
      </c>
      <c r="C4561" s="54" t="n">
        <f aca="false">C4510*Assumptions!$E$80</f>
        <v>4000</v>
      </c>
      <c r="D4561" s="54" t="n">
        <f aca="false">D4510*Assumptions!$E$80</f>
        <v>6000</v>
      </c>
      <c r="E4561" s="54" t="n">
        <f aca="false">E4510*Assumptions!$E$80</f>
        <v>8000</v>
      </c>
      <c r="F4561" s="54" t="n">
        <f aca="false">F4510*Assumptions!$E$80</f>
        <v>10000</v>
      </c>
      <c r="G4561" s="54" t="n">
        <f aca="false">G4510*Assumptions!$E$80</f>
        <v>12000</v>
      </c>
      <c r="H4561" s="54" t="n">
        <f aca="false">H4510*Assumptions!$E$80</f>
        <v>14000</v>
      </c>
      <c r="I4561" s="54" t="n">
        <f aca="false">I4510*Assumptions!$E$80</f>
        <v>16000</v>
      </c>
      <c r="J4561" s="54" t="n">
        <f aca="false">J4510*Assumptions!$E$80</f>
        <v>18000</v>
      </c>
      <c r="K4561" s="54" t="n">
        <f aca="false">K4510*Assumptions!$E$80</f>
        <v>20000</v>
      </c>
      <c r="L4561" s="54" t="n">
        <f aca="false">L4510*Assumptions!$E$80</f>
        <v>20000</v>
      </c>
      <c r="M4561" s="54" t="n">
        <f aca="false">M4510*Assumptions!$E$80</f>
        <v>20000</v>
      </c>
      <c r="N4561" s="54" t="n">
        <f aca="false">N4510*Assumptions!$E$80</f>
        <v>20000</v>
      </c>
      <c r="P4561" s="55" t="n">
        <f aca="false">SUM(C4561:F4561)</f>
        <v>28000</v>
      </c>
      <c r="Q4561" s="55" t="n">
        <f aca="false">SUM(G4561:J4561)</f>
        <v>60000</v>
      </c>
      <c r="R4561" s="55" t="n">
        <f aca="false">SUM(K4561:N4561)</f>
        <v>80000</v>
      </c>
      <c r="S4561" s="56" t="n">
        <f aca="false">SUM(P4561:R4561)</f>
        <v>168000</v>
      </c>
    </row>
    <row r="4562" customFormat="false" ht="15" hidden="false" customHeight="false" outlineLevel="0" collapsed="false">
      <c r="A4562" s="4" t="s">
        <v>561</v>
      </c>
      <c r="B4562" s="36" t="s">
        <v>125</v>
      </c>
      <c r="C4562" s="54" t="n">
        <f aca="false">(C4533*$C$4482+C4534*$C$4483)*Assumptions!$E$81</f>
        <v>0</v>
      </c>
      <c r="D4562" s="54" t="n">
        <f aca="false">(D4533*$C$4482+D4534*$C$4483)*Assumptions!$E$81</f>
        <v>480.810963965599</v>
      </c>
      <c r="E4562" s="54" t="n">
        <f aca="false">(E4533*$C$4482+E4534*$C$4483)*Assumptions!$E$81</f>
        <v>1317.32511782269</v>
      </c>
      <c r="F4562" s="54" t="n">
        <f aca="false">(F4533*$C$4482+F4534*$C$4483)*Assumptions!$E$81</f>
        <v>1759.32527719043</v>
      </c>
      <c r="G4562" s="54" t="n">
        <f aca="false">(G4533*$C$4482+G4534*$C$4483)*Assumptions!$E$81</f>
        <v>1948.29438079161</v>
      </c>
      <c r="H4562" s="54" t="n">
        <f aca="false">(H4533*$C$4482+H4534*$C$4483)*Assumptions!$E$81</f>
        <v>2303.41697850165</v>
      </c>
      <c r="I4562" s="54" t="n">
        <f aca="false">(I4533*$C$4482+I4534*$C$4483)*Assumptions!$E$81</f>
        <v>2728.20473838796</v>
      </c>
      <c r="J4562" s="54" t="n">
        <f aca="false">(J4533*$C$4482+J4534*$C$4483)*Assumptions!$E$81</f>
        <v>3468.83411320279</v>
      </c>
      <c r="K4562" s="54" t="n">
        <f aca="false">(K4533*$C$4482+K4534*$C$4483)*Assumptions!$E$81</f>
        <v>4432.35091535475</v>
      </c>
      <c r="L4562" s="54" t="n">
        <f aca="false">(L4533*$C$4482+L4534*$C$4483)*Assumptions!$E$81</f>
        <v>4873.60165172582</v>
      </c>
      <c r="M4562" s="54" t="n">
        <f aca="false">(M4533*$C$4482+M4534*$C$4483)*Assumptions!$E$81</f>
        <v>4817.85638773719</v>
      </c>
      <c r="N4562" s="54" t="n">
        <f aca="false">(N4533*$C$4482+N4534*$C$4483)*Assumptions!$E$81</f>
        <v>4677.59369649381</v>
      </c>
      <c r="P4562" s="55" t="n">
        <f aca="false">SUM(C4562:F4562)</f>
        <v>3557.46135897872</v>
      </c>
      <c r="Q4562" s="55" t="n">
        <f aca="false">SUM(G4562:J4562)</f>
        <v>10448.750210884</v>
      </c>
      <c r="R4562" s="55" t="n">
        <f aca="false">SUM(K4562:N4562)</f>
        <v>18801.4026513116</v>
      </c>
      <c r="S4562" s="56" t="n">
        <f aca="false">SUM(P4562:R4562)</f>
        <v>32807.6142211743</v>
      </c>
    </row>
    <row r="4563" customFormat="false" ht="15" hidden="false" customHeight="false" outlineLevel="0" collapsed="false">
      <c r="A4563" s="9" t="s">
        <v>562</v>
      </c>
      <c r="B4563" s="36" t="s">
        <v>125</v>
      </c>
      <c r="C4563" s="55" t="n">
        <f aca="false">C4555+C4556+C4557+C4558+C4559+C4560+C4561+C4562</f>
        <v>154229.464285714</v>
      </c>
      <c r="D4563" s="55" t="n">
        <f aca="false">D4555+D4556+D4557+D4558+D4559+D4560+D4561+D4562</f>
        <v>120002.518065661</v>
      </c>
      <c r="E4563" s="55" t="n">
        <f aca="false">E4555+E4556+E4557+E4558+E4559+E4560+E4561+E4562</f>
        <v>126854.549695493</v>
      </c>
      <c r="F4563" s="55" t="n">
        <f aca="false">F4555+F4556+F4557+F4558+F4559+F4560+F4561+F4562</f>
        <v>131512.397878699</v>
      </c>
      <c r="G4563" s="55" t="n">
        <f aca="false">G4555+G4556+G4557+G4558+G4559+G4560+G4561+G4562</f>
        <v>208366.413372025</v>
      </c>
      <c r="H4563" s="55" t="n">
        <f aca="false">H4555+H4556+H4557+H4558+H4559+H4560+H4561+H4562</f>
        <v>172860.387318676</v>
      </c>
      <c r="I4563" s="55" t="n">
        <f aca="false">I4555+I4556+I4557+I4558+I4559+I4560+I4561+I4562</f>
        <v>217674.940960319</v>
      </c>
      <c r="J4563" s="55" t="n">
        <f aca="false">J4555+J4556+J4557+J4558+J4559+J4560+J4561+J4562</f>
        <v>184669.399310022</v>
      </c>
      <c r="K4563" s="55" t="n">
        <f aca="false">K4555+K4556+K4557+K4558+K4559+K4560+K4561+K4562</f>
        <v>192623.10330227</v>
      </c>
      <c r="L4563" s="55" t="n">
        <f aca="false">L4555+L4556+L4557+L4558+L4559+L4560+L4561+L4562</f>
        <v>195153.408035767</v>
      </c>
      <c r="M4563" s="55" t="n">
        <f aca="false">M4555+M4556+M4557+M4558+M4559+M4560+M4561+M4562</f>
        <v>194766.581236726</v>
      </c>
      <c r="N4563" s="55" t="n">
        <f aca="false">N4555+N4556+N4557+N4558+N4559+N4560+N4561+N4562</f>
        <v>193994.152121522</v>
      </c>
      <c r="P4563" s="55" t="n">
        <f aca="false">SUM(C4563:F4563)</f>
        <v>532598.929925568</v>
      </c>
      <c r="Q4563" s="55" t="n">
        <f aca="false">SUM(G4563:J4563)</f>
        <v>783571.140961042</v>
      </c>
      <c r="R4563" s="55" t="n">
        <f aca="false">SUM(K4563:N4563)</f>
        <v>776537.244696285</v>
      </c>
      <c r="S4563" s="56" t="n">
        <f aca="false">SUM(P4563:R4563)</f>
        <v>2092707.31558289</v>
      </c>
    </row>
    <row r="4564" customFormat="false" ht="15" hidden="false" customHeight="false" outlineLevel="0" collapsed="false">
      <c r="A4564" s="4" t="s">
        <v>563</v>
      </c>
      <c r="B4564" s="36" t="s">
        <v>125</v>
      </c>
      <c r="C4564" s="54" t="n">
        <f aca="false">C4552*Assumptions!$E$72/Assumptions!$E$69/4</f>
        <v>56535.7142857143</v>
      </c>
      <c r="D4564" s="54" t="n">
        <f aca="false">D4552*Assumptions!$E$72/Assumptions!$E$69/4</f>
        <v>56535.7142857143</v>
      </c>
      <c r="E4564" s="54" t="n">
        <f aca="false">E4552*Assumptions!$E$72/Assumptions!$E$69/4</f>
        <v>56535.7142857143</v>
      </c>
      <c r="F4564" s="54" t="n">
        <f aca="false">F4552*Assumptions!$E$72/Assumptions!$E$69/4</f>
        <v>56535.7142857143</v>
      </c>
      <c r="G4564" s="54" t="n">
        <f aca="false">G4552*Assumptions!$E$72/Assumptions!$E$69/4</f>
        <v>28267.8571428571</v>
      </c>
      <c r="H4564" s="54" t="n">
        <f aca="false">H4552*Assumptions!$E$72/Assumptions!$E$69/4</f>
        <v>28267.8571428571</v>
      </c>
      <c r="I4564" s="54" t="n">
        <f aca="false">I4552*Assumptions!$E$72/Assumptions!$E$69/4</f>
        <v>28267.8571428571</v>
      </c>
      <c r="J4564" s="54" t="n">
        <f aca="false">J4552*Assumptions!$E$72/Assumptions!$E$69/4</f>
        <v>28267.8571428571</v>
      </c>
      <c r="K4564" s="54" t="n">
        <f aca="false">K4552*Assumptions!$E$72/Assumptions!$E$69/4</f>
        <v>28267.8571428571</v>
      </c>
      <c r="L4564" s="54" t="n">
        <f aca="false">L4552*Assumptions!$E$72/Assumptions!$E$69/4</f>
        <v>28267.8571428571</v>
      </c>
      <c r="M4564" s="54" t="n">
        <f aca="false">M4552*Assumptions!$E$72/Assumptions!$E$69/4</f>
        <v>28267.8571428571</v>
      </c>
      <c r="N4564" s="54" t="n">
        <f aca="false">N4552*Assumptions!$E$72/Assumptions!$E$69/4</f>
        <v>28267.8571428571</v>
      </c>
      <c r="P4564" s="55" t="n">
        <f aca="false">SUM(C4564:F4564)</f>
        <v>226142.857142857</v>
      </c>
      <c r="Q4564" s="55" t="n">
        <f aca="false">SUM(G4564:J4564)</f>
        <v>113071.428571429</v>
      </c>
      <c r="R4564" s="55" t="n">
        <f aca="false">SUM(K4564:N4564)</f>
        <v>113071.428571429</v>
      </c>
      <c r="S4564" s="56" t="n">
        <f aca="false">SUM(P4564:R4564)</f>
        <v>452285.714285714</v>
      </c>
    </row>
    <row r="4565" customFormat="false" ht="15" hidden="false" customHeight="false" outlineLevel="0" collapsed="false">
      <c r="A4565" s="4" t="s">
        <v>564</v>
      </c>
      <c r="B4565" s="36" t="s">
        <v>125</v>
      </c>
      <c r="C4565" s="54" t="n">
        <f aca="false">IF(C4490&lt;=Assumptions!$E$83,Assumptions!$E$82*Assumptions!$D$108/Assumptions!$E$83,0)</f>
        <v>62500</v>
      </c>
      <c r="D4565" s="54" t="n">
        <f aca="false">IF(D4490&lt;=Assumptions!$E$83,Assumptions!$E$82*Assumptions!$D$108/Assumptions!$E$83,0)</f>
        <v>62500</v>
      </c>
      <c r="E4565" s="54" t="n">
        <f aca="false">IF(E4490&lt;=Assumptions!$E$83,Assumptions!$E$82*Assumptions!$D$108/Assumptions!$E$83,0)</f>
        <v>62500</v>
      </c>
      <c r="F4565" s="54" t="n">
        <f aca="false">IF(F4490&lt;=Assumptions!$E$83,Assumptions!$E$82*Assumptions!$D$108/Assumptions!$E$83,0)</f>
        <v>62500</v>
      </c>
      <c r="G4565" s="54" t="n">
        <f aca="false">IF(G4490&lt;=Assumptions!$E$83,Assumptions!$E$82*Assumptions!$D$108/Assumptions!$E$83,0)</f>
        <v>0</v>
      </c>
      <c r="H4565" s="54" t="n">
        <f aca="false">IF(H4490&lt;=Assumptions!$E$83,Assumptions!$E$82*Assumptions!$D$108/Assumptions!$E$83,0)</f>
        <v>0</v>
      </c>
      <c r="I4565" s="54" t="n">
        <f aca="false">IF(I4490&lt;=Assumptions!$E$83,Assumptions!$E$82*Assumptions!$D$108/Assumptions!$E$83,0)</f>
        <v>0</v>
      </c>
      <c r="J4565" s="54" t="n">
        <f aca="false">IF(J4490&lt;=Assumptions!$E$83,Assumptions!$E$82*Assumptions!$D$108/Assumptions!$E$83,0)</f>
        <v>0</v>
      </c>
      <c r="K4565" s="54" t="n">
        <f aca="false">IF(K4490&lt;=Assumptions!$E$83,Assumptions!$E$82*Assumptions!$D$108/Assumptions!$E$83,0)</f>
        <v>0</v>
      </c>
      <c r="L4565" s="54" t="n">
        <f aca="false">IF(L4490&lt;=Assumptions!$E$83,Assumptions!$E$82*Assumptions!$D$108/Assumptions!$E$83,0)</f>
        <v>0</v>
      </c>
      <c r="M4565" s="54" t="n">
        <f aca="false">IF(M4490&lt;=Assumptions!$E$83,Assumptions!$E$82*Assumptions!$D$108/Assumptions!$E$83,0)</f>
        <v>0</v>
      </c>
      <c r="N4565" s="54" t="n">
        <f aca="false">IF(N4490&lt;=Assumptions!$E$83,Assumptions!$E$82*Assumptions!$D$108/Assumptions!$E$83,0)</f>
        <v>0</v>
      </c>
      <c r="P4565" s="55" t="n">
        <f aca="false">SUM(C4565:F4565)</f>
        <v>250000</v>
      </c>
      <c r="Q4565" s="55" t="n">
        <f aca="false">SUM(G4565:J4565)</f>
        <v>0</v>
      </c>
      <c r="R4565" s="55" t="n">
        <f aca="false">SUM(K4565:N4565)</f>
        <v>0</v>
      </c>
      <c r="S4565" s="56" t="n">
        <f aca="false">SUM(P4565:R4565)</f>
        <v>250000</v>
      </c>
    </row>
    <row r="4566" customFormat="false" ht="15" hidden="false" customHeight="false" outlineLevel="0" collapsed="false">
      <c r="A4566" s="4" t="s">
        <v>565</v>
      </c>
      <c r="B4566" s="36" t="s">
        <v>125</v>
      </c>
      <c r="C4566" s="54" t="n">
        <f aca="false">C4554*Assumptions!$E$73/Assumptions!$E$69/4</f>
        <v>0</v>
      </c>
      <c r="D4566" s="54" t="n">
        <f aca="false">D4554*Assumptions!$E$73/Assumptions!$E$69/4</f>
        <v>434.974542342733</v>
      </c>
      <c r="E4566" s="54" t="n">
        <f aca="false">E4554*Assumptions!$E$73/Assumptions!$E$69/4</f>
        <v>1217.19940338963</v>
      </c>
      <c r="F4566" s="54" t="n">
        <f aca="false">F4554*Assumptions!$E$73/Assumptions!$E$69/4</f>
        <v>2099.46779698587</v>
      </c>
      <c r="G4566" s="54" t="n">
        <f aca="false">G4554*Assumptions!$E$73/Assumptions!$E$69/4</f>
        <v>3053.2479452701</v>
      </c>
      <c r="H4566" s="54" t="n">
        <f aca="false">H4554*Assumptions!$E$73/Assumptions!$E$69/4</f>
        <v>4231.08530704746</v>
      </c>
      <c r="I4566" s="54" t="n">
        <f aca="false">I4554*Assumptions!$E$73/Assumptions!$E$69/4</f>
        <v>5620.9182388513</v>
      </c>
      <c r="J4566" s="54" t="n">
        <f aca="false">J4554*Assumptions!$E$73/Assumptions!$E$69/4</f>
        <v>7538.30809311012</v>
      </c>
      <c r="K4566" s="54" t="n">
        <f aca="false">K4554*Assumptions!$E$73/Assumptions!$E$69/4</f>
        <v>9951.81372544699</v>
      </c>
      <c r="L4566" s="54" t="n">
        <f aca="false">L4554*Assumptions!$E$73/Assumptions!$E$69/4</f>
        <v>12369.1164248068</v>
      </c>
      <c r="M4566" s="54" t="n">
        <f aca="false">M4554*Assumptions!$E$73/Assumptions!$E$69/4</f>
        <v>14651.4851823356</v>
      </c>
      <c r="N4566" s="54" t="n">
        <f aca="false">N4554*Assumptions!$E$73/Assumptions!$E$69/4</f>
        <v>16797.9078995097</v>
      </c>
      <c r="P4566" s="55" t="n">
        <f aca="false">SUM(C4566:F4566)</f>
        <v>3751.64174271823</v>
      </c>
      <c r="Q4566" s="55" t="n">
        <f aca="false">SUM(G4566:J4566)</f>
        <v>20443.559584279</v>
      </c>
      <c r="R4566" s="55" t="n">
        <f aca="false">SUM(K4566:N4566)</f>
        <v>53770.3232320992</v>
      </c>
      <c r="S4566" s="56" t="n">
        <f aca="false">SUM(P4566:R4566)</f>
        <v>77965.5245590964</v>
      </c>
    </row>
    <row r="4567" customFormat="false" ht="15" hidden="false" customHeight="false" outlineLevel="0" collapsed="false">
      <c r="A4567" s="9" t="s">
        <v>566</v>
      </c>
      <c r="B4567" s="36" t="s">
        <v>125</v>
      </c>
      <c r="C4567" s="55" t="n">
        <f aca="false">C4563+C4564+C4565+C4566</f>
        <v>273265.178571429</v>
      </c>
      <c r="D4567" s="55" t="n">
        <f aca="false">D4563+D4564+D4565+D4566</f>
        <v>239473.206893718</v>
      </c>
      <c r="E4567" s="55" t="n">
        <f aca="false">E4563+E4564+E4565+E4566</f>
        <v>247107.463384597</v>
      </c>
      <c r="F4567" s="55" t="n">
        <f aca="false">F4563+F4564+F4565+F4566</f>
        <v>252647.579961399</v>
      </c>
      <c r="G4567" s="55" t="n">
        <f aca="false">G4563+G4564+G4565+G4566</f>
        <v>239687.518460152</v>
      </c>
      <c r="H4567" s="55" t="n">
        <f aca="false">H4563+H4564+H4565+H4566</f>
        <v>205359.32976858</v>
      </c>
      <c r="I4567" s="55" t="n">
        <f aca="false">I4563+I4564+I4565+I4566</f>
        <v>251563.716342027</v>
      </c>
      <c r="J4567" s="55" t="n">
        <f aca="false">J4563+J4564+J4565+J4566</f>
        <v>220475.56454599</v>
      </c>
      <c r="K4567" s="55" t="n">
        <f aca="false">K4563+K4564+K4565+K4566</f>
        <v>230842.774170574</v>
      </c>
      <c r="L4567" s="55" t="n">
        <f aca="false">L4563+L4564+L4565+L4566</f>
        <v>235790.381603431</v>
      </c>
      <c r="M4567" s="55" t="n">
        <f aca="false">M4563+M4564+M4565+M4566</f>
        <v>237685.923561919</v>
      </c>
      <c r="N4567" s="55" t="n">
        <f aca="false">N4563+N4564+N4565+N4566</f>
        <v>239059.917163889</v>
      </c>
      <c r="P4567" s="55" t="n">
        <f aca="false">SUM(C4567:F4567)</f>
        <v>1012493.42881114</v>
      </c>
      <c r="Q4567" s="55" t="n">
        <f aca="false">SUM(G4567:J4567)</f>
        <v>917086.12911675</v>
      </c>
      <c r="R4567" s="55" t="n">
        <f aca="false">SUM(K4567:N4567)</f>
        <v>943378.996499813</v>
      </c>
      <c r="S4567" s="56" t="n">
        <f aca="false">SUM(P4567:R4567)</f>
        <v>2872958.55442771</v>
      </c>
    </row>
    <row r="4568" customFormat="false" ht="15" hidden="false" customHeight="false" outlineLevel="0" collapsed="false">
      <c r="A4568" s="35" t="s">
        <v>567</v>
      </c>
      <c r="B4568" s="35" t="s">
        <v>444</v>
      </c>
      <c r="C4568" s="6" t="s">
        <v>354</v>
      </c>
      <c r="D4568" s="6" t="s">
        <v>355</v>
      </c>
      <c r="E4568" s="6" t="s">
        <v>356</v>
      </c>
      <c r="F4568" s="6" t="s">
        <v>357</v>
      </c>
      <c r="G4568" s="6" t="s">
        <v>358</v>
      </c>
      <c r="H4568" s="6" t="s">
        <v>359</v>
      </c>
      <c r="I4568" s="6" t="s">
        <v>360</v>
      </c>
      <c r="J4568" s="6" t="s">
        <v>361</v>
      </c>
      <c r="K4568" s="6" t="s">
        <v>362</v>
      </c>
      <c r="L4568" s="6" t="s">
        <v>363</v>
      </c>
      <c r="M4568" s="6" t="s">
        <v>364</v>
      </c>
      <c r="N4568" s="6" t="s">
        <v>365</v>
      </c>
      <c r="P4568" s="6" t="s">
        <v>445</v>
      </c>
      <c r="Q4568" s="6" t="s">
        <v>446</v>
      </c>
      <c r="R4568" s="6" t="s">
        <v>447</v>
      </c>
      <c r="S4568" s="6" t="s">
        <v>448</v>
      </c>
    </row>
    <row r="4569" customFormat="false" ht="15" hidden="false" customHeight="false" outlineLevel="0" collapsed="false">
      <c r="A4569" s="9" t="s">
        <v>568</v>
      </c>
      <c r="B4569" s="36" t="s">
        <v>125</v>
      </c>
      <c r="C4569" s="55" t="n">
        <f aca="false">C4547-C4567</f>
        <v>-273265.178571429</v>
      </c>
      <c r="D4569" s="55" t="n">
        <f aca="false">D4547-D4567</f>
        <v>-238927.924512171</v>
      </c>
      <c r="E4569" s="55" t="n">
        <f aca="false">E4547-E4567</f>
        <v>-244814.954770086</v>
      </c>
      <c r="F4569" s="55" t="n">
        <f aca="false">F4547-F4567</f>
        <v>-247641.180436473</v>
      </c>
      <c r="G4569" s="55" t="n">
        <f aca="false">G4547-G4567</f>
        <v>-231475.340567872</v>
      </c>
      <c r="H4569" s="55" t="n">
        <f aca="false">H4547-H4567</f>
        <v>-193371.917960241</v>
      </c>
      <c r="I4569" s="55" t="n">
        <f aca="false">I4547-I4567</f>
        <v>-234994.584814879</v>
      </c>
      <c r="J4569" s="55" t="n">
        <f aca="false">J4547-J4567</f>
        <v>-198039.983624</v>
      </c>
      <c r="K4569" s="55" t="n">
        <f aca="false">K4547-K4567</f>
        <v>-200721.208537754</v>
      </c>
      <c r="L4569" s="55" t="n">
        <f aca="false">L4547-L4567</f>
        <v>-196711.751726978</v>
      </c>
      <c r="M4569" s="55" t="n">
        <f aca="false">M4547-M4567</f>
        <v>-189343.665360131</v>
      </c>
      <c r="N4569" s="55" t="n">
        <f aca="false">N4547-N4567</f>
        <v>-181515.91217144</v>
      </c>
      <c r="P4569" s="55" t="n">
        <f aca="false">SUM(C4569:F4569)</f>
        <v>-1004649.23829016</v>
      </c>
      <c r="Q4569" s="55" t="n">
        <f aca="false">SUM(G4569:J4569)</f>
        <v>-857881.826966992</v>
      </c>
      <c r="R4569" s="55" t="n">
        <f aca="false">SUM(K4569:N4569)</f>
        <v>-768292.537796303</v>
      </c>
      <c r="S4569" s="56" t="n">
        <f aca="false">SUM(P4569:R4569)</f>
        <v>-2630823.60305345</v>
      </c>
    </row>
    <row r="4570" customFormat="false" ht="15" hidden="false" customHeight="false" outlineLevel="0" collapsed="false">
      <c r="A4570" s="9" t="s">
        <v>569</v>
      </c>
      <c r="B4570" s="36" t="s">
        <v>125</v>
      </c>
      <c r="C4570" s="55" t="n">
        <f aca="false">0+C4569</f>
        <v>-273265.178571429</v>
      </c>
      <c r="D4570" s="55" t="n">
        <f aca="false">C4570+D4569</f>
        <v>-512193.103083599</v>
      </c>
      <c r="E4570" s="55" t="n">
        <f aca="false">D4570+E4569</f>
        <v>-757008.057853685</v>
      </c>
      <c r="F4570" s="55" t="n">
        <f aca="false">E4570+F4569</f>
        <v>-1004649.23829016</v>
      </c>
      <c r="G4570" s="55" t="n">
        <f aca="false">F4570+G4569</f>
        <v>-1236124.57885803</v>
      </c>
      <c r="H4570" s="55" t="n">
        <f aca="false">G4570+H4569</f>
        <v>-1429496.49681827</v>
      </c>
      <c r="I4570" s="55" t="n">
        <f aca="false">H4570+I4569</f>
        <v>-1664491.08163315</v>
      </c>
      <c r="J4570" s="55" t="n">
        <f aca="false">I4570+J4569</f>
        <v>-1862531.06525715</v>
      </c>
      <c r="K4570" s="55" t="n">
        <f aca="false">J4570+K4569</f>
        <v>-2063252.2737949</v>
      </c>
      <c r="L4570" s="55" t="n">
        <f aca="false">K4570+L4569</f>
        <v>-2259964.02552188</v>
      </c>
      <c r="M4570" s="55" t="n">
        <f aca="false">L4570+M4569</f>
        <v>-2449307.69088201</v>
      </c>
      <c r="N4570" s="55" t="n">
        <f aca="false">M4570+N4569</f>
        <v>-2630823.60305345</v>
      </c>
      <c r="P4570" s="55" t="n">
        <f aca="false">F4570</f>
        <v>-1004649.23829016</v>
      </c>
      <c r="Q4570" s="55" t="n">
        <f aca="false">J4570</f>
        <v>-1862531.06525715</v>
      </c>
      <c r="R4570" s="55" t="n">
        <f aca="false">N4570</f>
        <v>-2630823.60305345</v>
      </c>
      <c r="S4570" s="56" t="n">
        <f aca="false">R4570</f>
        <v>-2630823.60305345</v>
      </c>
    </row>
    <row r="4571" customFormat="false" ht="15" hidden="false" customHeight="false" outlineLevel="0" collapsed="false">
      <c r="A4571" s="4" t="s">
        <v>570</v>
      </c>
      <c r="B4571" s="36" t="s">
        <v>107</v>
      </c>
      <c r="C4571" s="57" t="n">
        <f aca="false">1/(1+Assumptions!$E$87)^(C4490/4)</f>
        <v>0.972065420906982</v>
      </c>
      <c r="D4571" s="57" t="n">
        <f aca="false">1/(1+Assumptions!$E$87)^(D4490/4)</f>
        <v>0.944911182523068</v>
      </c>
      <c r="E4571" s="57" t="n">
        <f aca="false">1/(1+Assumptions!$E$87)^(E4490/4)</f>
        <v>0.918515486359</v>
      </c>
      <c r="F4571" s="57" t="n">
        <f aca="false">1/(1+Assumptions!$E$87)^(F4490/4)</f>
        <v>0.892857142857143</v>
      </c>
      <c r="G4571" s="57" t="n">
        <f aca="false">1/(1+Assumptions!$E$87)^(G4490/4)</f>
        <v>0.867915554381234</v>
      </c>
      <c r="H4571" s="57" t="n">
        <f aca="false">1/(1+Assumptions!$E$87)^(H4490/4)</f>
        <v>0.843670698681311</v>
      </c>
      <c r="I4571" s="57" t="n">
        <f aca="false">1/(1+Assumptions!$E$87)^(I4490/4)</f>
        <v>0.820103112820536</v>
      </c>
      <c r="J4571" s="57" t="n">
        <f aca="false">1/(1+Assumptions!$E$87)^(J4490/4)</f>
        <v>0.79719387755102</v>
      </c>
      <c r="K4571" s="57" t="n">
        <f aca="false">1/(1+Assumptions!$E$87)^(K4490/4)</f>
        <v>0.774924602126102</v>
      </c>
      <c r="L4571" s="57" t="n">
        <f aca="false">1/(1+Assumptions!$E$87)^(L4490/4)</f>
        <v>0.753277409536885</v>
      </c>
      <c r="M4571" s="57" t="n">
        <f aca="false">1/(1+Assumptions!$E$87)^(M4490/4)</f>
        <v>0.732234922161193</v>
      </c>
      <c r="N4571" s="57" t="n">
        <f aca="false">1/(1+Assumptions!$E$87)^(N4490/4)</f>
        <v>0.711780247813411</v>
      </c>
      <c r="P4571" s="58"/>
      <c r="Q4571" s="58"/>
      <c r="R4571" s="58"/>
      <c r="S4571" s="59"/>
    </row>
    <row r="4572" customFormat="false" ht="15" hidden="false" customHeight="false" outlineLevel="0" collapsed="false">
      <c r="A4572" s="4" t="s">
        <v>571</v>
      </c>
      <c r="B4572" s="36" t="s">
        <v>125</v>
      </c>
      <c r="C4572" s="54" t="n">
        <f aca="false">(C4547*(1-Assumptions!$E$88)-C4567)*C4571</f>
        <v>-265631.630827257</v>
      </c>
      <c r="D4572" s="54" t="n">
        <f aca="false">(D4547*(1-Assumptions!$E$88)-D4567)*D4571</f>
        <v>-225868.716372569</v>
      </c>
      <c r="E4572" s="54" t="n">
        <f aca="false">(E4547*(1-Assumptions!$E$88)-E4567)*E4571</f>
        <v>-225287.46818161</v>
      </c>
      <c r="F4572" s="54" t="n">
        <f aca="false">(F4547*(1-Assumptions!$E$88)-F4567)*F4571</f>
        <v>-222002.196733445</v>
      </c>
      <c r="G4572" s="54" t="n">
        <f aca="false">(G4547*(1-Assumptions!$E$88)-G4567)*G4571</f>
        <v>-202326.543920161</v>
      </c>
      <c r="H4572" s="54" t="n">
        <f aca="false">(H4547*(1-Assumptions!$E$88)-H4567)*H4571</f>
        <v>-165164.906750006</v>
      </c>
      <c r="I4572" s="54" t="n">
        <f aca="false">(I4547*(1-Assumptions!$E$88)-I4567)*I4571</f>
        <v>-195437.469771081</v>
      </c>
      <c r="J4572" s="54" t="n">
        <f aca="false">(J4547*(1-Assumptions!$E$88)-J4567)*J4571</f>
        <v>-161453.364005419</v>
      </c>
      <c r="K4572" s="54" t="n">
        <f aca="false">(K4547*(1-Assumptions!$E$88)-K4567)*K4571</f>
        <v>-160212.191117075</v>
      </c>
      <c r="L4572" s="54" t="n">
        <f aca="false">(L4547*(1-Assumptions!$E$88)-L4567)*L4571</f>
        <v>-154065.928582678</v>
      </c>
      <c r="M4572" s="54" t="n">
        <f aca="false">(M4547*(1-Assumptions!$E$88)-M4567)*M4571</f>
        <v>-145723.622000987</v>
      </c>
      <c r="N4572" s="54" t="n">
        <f aca="false">(N4547*(1-Assumptions!$E$88)-N4567)*N4571</f>
        <v>-137391.178174205</v>
      </c>
      <c r="P4572" s="55" t="n">
        <f aca="false">SUM(C4572:F4572)</f>
        <v>-938790.012114881</v>
      </c>
      <c r="Q4572" s="55" t="n">
        <f aca="false">SUM(G4572:J4572)</f>
        <v>-724382.284446667</v>
      </c>
      <c r="R4572" s="55" t="n">
        <f aca="false">SUM(K4572:N4572)</f>
        <v>-597392.919874945</v>
      </c>
      <c r="S4572" s="56" t="n">
        <f aca="false">SUM(P4572:R4572)</f>
        <v>-2260565.21643649</v>
      </c>
    </row>
    <row r="4573" customFormat="false" ht="15" hidden="false" customHeight="false" outlineLevel="0" collapsed="false">
      <c r="A4573" s="4" t="s">
        <v>572</v>
      </c>
      <c r="B4573" s="36" t="s">
        <v>125</v>
      </c>
      <c r="C4573" s="54" t="n">
        <f aca="false">(C4567-C4566)*12/(Assumptions!$E$89*Assumptions!$E$76)*Assumptions!$E$90</f>
        <v>189183.585164835</v>
      </c>
      <c r="D4573" s="54" t="n">
        <f aca="false">(D4567-D4566)*12/(Assumptions!$E$89*Assumptions!$E$76)*Assumptions!$E$90</f>
        <v>165488.007012491</v>
      </c>
      <c r="E4573" s="54" t="n">
        <f aca="false">(E4567-E4566)*12/(Assumptions!$E$89*Assumptions!$E$76)*Assumptions!$E$90</f>
        <v>170231.721217759</v>
      </c>
      <c r="F4573" s="54" t="n">
        <f aca="false">(F4567-F4566)*12/(Assumptions!$E$89*Assumptions!$E$76)*Assumptions!$E$90</f>
        <v>173456.385344594</v>
      </c>
      <c r="G4573" s="54" t="n">
        <f aca="false">(G4567-G4566)*12/(Assumptions!$E$89*Assumptions!$E$76)*Assumptions!$E$90</f>
        <v>163823.725741072</v>
      </c>
      <c r="H4573" s="54" t="n">
        <f aca="false">(H4567-H4566)*12/(Assumptions!$E$89*Assumptions!$E$76)*Assumptions!$E$90</f>
        <v>139242.630781061</v>
      </c>
      <c r="I4573" s="54" t="n">
        <f aca="false">(I4567-I4566)*12/(Assumptions!$E$89*Assumptions!$E$76)*Assumptions!$E$90</f>
        <v>170268.090994507</v>
      </c>
      <c r="J4573" s="54" t="n">
        <f aca="false">(J4567-J4566)*12/(Assumptions!$E$89*Assumptions!$E$76)*Assumptions!$E$90</f>
        <v>147418.100621224</v>
      </c>
      <c r="K4573" s="54" t="n">
        <f aca="false">(K4567-K4566)*12/(Assumptions!$E$89*Assumptions!$E$76)*Assumptions!$E$90</f>
        <v>152924.511077395</v>
      </c>
      <c r="L4573" s="54" t="n">
        <f aca="false">(L4567-L4566)*12/(Assumptions!$E$89*Assumptions!$E$76)*Assumptions!$E$90</f>
        <v>154676.260508278</v>
      </c>
      <c r="M4573" s="54" t="n">
        <f aca="false">(M4567-M4566)*12/(Assumptions!$E$89*Assumptions!$E$76)*Assumptions!$E$90</f>
        <v>154408.457339711</v>
      </c>
      <c r="N4573" s="54" t="n">
        <f aca="false">(N4567-N4566)*12/(Assumptions!$E$89*Assumptions!$E$76)*Assumptions!$E$90</f>
        <v>153873.698721494</v>
      </c>
      <c r="P4573" s="55" t="n">
        <f aca="false">SUM(C4573:F4573)</f>
        <v>698359.698739679</v>
      </c>
      <c r="Q4573" s="55" t="n">
        <f aca="false">SUM(G4573:J4573)</f>
        <v>620752.548137864</v>
      </c>
      <c r="R4573" s="55" t="n">
        <f aca="false">SUM(K4573:N4573)</f>
        <v>615882.927646878</v>
      </c>
      <c r="S4573" s="56" t="n">
        <f aca="false">SUM(P4573:R4573)</f>
        <v>1934995.17452442</v>
      </c>
    </row>
    <row r="4574" customFormat="false" ht="15" hidden="false" customHeight="false" outlineLevel="0" collapsed="false">
      <c r="A4574" s="4" t="s">
        <v>573</v>
      </c>
      <c r="B4574" s="36" t="s">
        <v>125</v>
      </c>
      <c r="C4574" s="54" t="n">
        <f aca="false">0*Assumptions!$E$92^(1/4)+C4573</f>
        <v>189183.585164835</v>
      </c>
      <c r="D4574" s="54" t="n">
        <f aca="false">C4574*Assumptions!$E$92^(1/4)+D4573</f>
        <v>355142.787819505</v>
      </c>
      <c r="E4574" s="54" t="n">
        <f aca="false">D4574*Assumptions!$E$92^(1/4)+E4573</f>
        <v>526259.055832516</v>
      </c>
      <c r="F4574" s="54" t="n">
        <f aca="false">E4574*Assumptions!$E$92^(1/4)+F4573</f>
        <v>701026.183721446</v>
      </c>
      <c r="G4574" s="54" t="n">
        <f aca="false">F4574*Assumptions!$E$92^(1/4)+G4573</f>
        <v>866595.940877111</v>
      </c>
      <c r="H4574" s="54" t="n">
        <f aca="false">G4574*Assumptions!$E$92^(1/4)+H4573</f>
        <v>1007996.98424199</v>
      </c>
      <c r="I4574" s="54" t="n">
        <f aca="false">H4574*Assumptions!$E$92^(1/4)+I4573</f>
        <v>1180775.67247405</v>
      </c>
      <c r="J4574" s="54" t="n">
        <f aca="false">I4574*Assumptions!$E$92^(1/4)+J4573</f>
        <v>1331134.70663755</v>
      </c>
      <c r="K4574" s="54" t="n">
        <f aca="false">J4574*Assumptions!$E$92^(1/4)+K4573</f>
        <v>1487374.64739335</v>
      </c>
      <c r="L4574" s="54" t="n">
        <f aca="false">K4574*Assumptions!$E$92^(1/4)+L4573</f>
        <v>1645755.48116853</v>
      </c>
      <c r="M4574" s="54" t="n">
        <f aca="false">L4574*Assumptions!$E$92^(1/4)+M4573</f>
        <v>1804262.98764162</v>
      </c>
      <c r="N4574" s="54" t="n">
        <f aca="false">M4574*Assumptions!$E$92^(1/4)+N4573</f>
        <v>1962630.52686403</v>
      </c>
      <c r="P4574" s="55" t="n">
        <f aca="false">F4574</f>
        <v>701026.183721446</v>
      </c>
      <c r="Q4574" s="55" t="n">
        <f aca="false">J4574</f>
        <v>1331134.70663755</v>
      </c>
      <c r="R4574" s="55" t="n">
        <f aca="false">N4574</f>
        <v>1962630.52686403</v>
      </c>
      <c r="S4574" s="56" t="n">
        <f aca="false">R4574</f>
        <v>1962630.52686403</v>
      </c>
    </row>
    <row r="4575" customFormat="false" ht="15" hidden="false" customHeight="false" outlineLevel="0" collapsed="false">
      <c r="A4575" s="4" t="s">
        <v>574</v>
      </c>
      <c r="B4575" s="36" t="s">
        <v>125</v>
      </c>
      <c r="C4575" s="54" t="n">
        <f aca="false">(0+C4574)/8*Assumptions!$E$76-(C4567-C4566)-C4574*Assumptions!$E$93/4</f>
        <v>-260258.807091346</v>
      </c>
      <c r="D4575" s="54" t="n">
        <f aca="false">(C4574+D4574)/8*Assumptions!$E$76-(D4567-D4566)-D4574*Assumptions!$E$93/4</f>
        <v>-199250.999394142</v>
      </c>
      <c r="E4575" s="54" t="n">
        <f aca="false">(D4574+E4574)/8*Assumptions!$E$76-(E4567-E4566)-E4574*Assumptions!$E$93/4</f>
        <v>-180854.602382387</v>
      </c>
      <c r="F4575" s="54" t="n">
        <f aca="false">(E4574+F4574)/8*Assumptions!$E$76-(F4567-F4566)-F4574*Assumptions!$E$93/4</f>
        <v>-159594.013747172</v>
      </c>
      <c r="G4575" s="54" t="n">
        <f aca="false">(F4574+G4574)/8*Assumptions!$E$76-(G4567-G4566)-G4574*Assumptions!$E$93/4</f>
        <v>-120097.422152213</v>
      </c>
      <c r="H4575" s="54" t="n">
        <f aca="false">(G4574+H4574)/8*Assumptions!$E$76-(H4567-H4566)-H4574*Assumptions!$E$93/4</f>
        <v>-61417.5315986308</v>
      </c>
      <c r="I4575" s="54" t="n">
        <f aca="false">(H4574+I4574)/8*Assumptions!$E$76-(I4567-I4566)-I4574*Assumptions!$E$93/4</f>
        <v>-82864.7156509239</v>
      </c>
      <c r="J4575" s="54" t="n">
        <f aca="false">(I4574+J4574)/8*Assumptions!$E$76-(J4567-J4566)-J4574*Assumptions!$E$93/4</f>
        <v>-25483.7219830313</v>
      </c>
      <c r="K4575" s="54" t="n">
        <f aca="false">(J4574+K4574)/8*Assumptions!$E$76-(K4567-K4566)-K4574*Assumptions!$E$93/4</f>
        <v>-10479.2585225329</v>
      </c>
      <c r="L4575" s="54" t="n">
        <f aca="false">(K4574+L4574)/8*Assumptions!$E$76-(L4567-L4566)-L4574*Assumptions!$E$93/4</f>
        <v>10573.6142524222</v>
      </c>
      <c r="M4575" s="54" t="n">
        <f aca="false">(L4574+M4574)/8*Assumptions!$E$76-(M4567-M4566)-M4574*Assumptions!$E$93/4</f>
        <v>34726.2748657216</v>
      </c>
      <c r="N4575" s="54" t="n">
        <f aca="false">(M4574+N4574)/8*Assumptions!$E$76-(N4567-N4566)-N4574*Assumptions!$E$93/4</f>
        <v>59265.2072034043</v>
      </c>
      <c r="P4575" s="55" t="n">
        <f aca="false">SUM(C4575:F4575)</f>
        <v>-799958.422615047</v>
      </c>
      <c r="Q4575" s="55" t="n">
        <f aca="false">SUM(G4575:J4575)</f>
        <v>-289863.391384799</v>
      </c>
      <c r="R4575" s="55" t="n">
        <f aca="false">SUM(K4575:N4575)</f>
        <v>94085.8377990153</v>
      </c>
      <c r="S4575" s="56" t="n">
        <f aca="false">SUM(P4575:R4575)</f>
        <v>-995735.976200831</v>
      </c>
    </row>
    <row r="4576" customFormat="false" ht="15" hidden="false" customHeight="false" outlineLevel="0" collapsed="false">
      <c r="A4576" s="4" t="s">
        <v>575</v>
      </c>
      <c r="B4576" s="36" t="s">
        <v>125</v>
      </c>
      <c r="C4576" s="54" t="n">
        <f aca="false">C4575*C4571</f>
        <v>-252988.586859998</v>
      </c>
      <c r="D4576" s="54" t="n">
        <f aca="false">D4575*D4571</f>
        <v>-188274.497456422</v>
      </c>
      <c r="E4576" s="54" t="n">
        <f aca="false">E4575*E4571</f>
        <v>-166117.753067522</v>
      </c>
      <c r="F4576" s="54" t="n">
        <f aca="false">F4575*F4571</f>
        <v>-142494.655131404</v>
      </c>
      <c r="G4576" s="54" t="n">
        <f aca="false">G4575*G4571</f>
        <v>-104234.420726995</v>
      </c>
      <c r="H4576" s="54" t="n">
        <f aca="false">H4575*H4571</f>
        <v>-51816.1717950983</v>
      </c>
      <c r="I4576" s="54" t="n">
        <f aca="false">I4575*I4571</f>
        <v>-67957.6112483113</v>
      </c>
      <c r="J4576" s="54" t="n">
        <f aca="false">J4575*J4571</f>
        <v>-20315.4671420849</v>
      </c>
      <c r="K4576" s="54" t="n">
        <f aca="false">K4575*K4571</f>
        <v>-8120.63524115034</v>
      </c>
      <c r="L4576" s="54" t="n">
        <f aca="false">L4575*L4571</f>
        <v>7964.86475350687</v>
      </c>
      <c r="M4576" s="54" t="n">
        <f aca="false">M4575*M4571</f>
        <v>25427.7911732499</v>
      </c>
      <c r="N4576" s="54" t="n">
        <f aca="false">N4575*N4571</f>
        <v>42183.8038699522</v>
      </c>
      <c r="P4576" s="55" t="n">
        <f aca="false">SUM(C4576:F4576)</f>
        <v>-749875.492515345</v>
      </c>
      <c r="Q4576" s="55" t="n">
        <f aca="false">SUM(G4576:J4576)</f>
        <v>-244323.67091249</v>
      </c>
      <c r="R4576" s="55" t="n">
        <f aca="false">SUM(K4576:N4576)</f>
        <v>67455.8245555587</v>
      </c>
      <c r="S4576" s="56" t="n">
        <f aca="false">SUM(P4576:R4576)</f>
        <v>-926743.338872276</v>
      </c>
    </row>
    <row r="4577" customFormat="false" ht="15" hidden="false" customHeight="false" outlineLevel="0" collapsed="false">
      <c r="A4577" s="4" t="s">
        <v>576</v>
      </c>
      <c r="B4577" s="36"/>
      <c r="C4577" s="37" t="n">
        <f aca="false">IFERROR((S4532*$C$4481*Assumptions!$E$59+S4533*$C$4482*Assumptions!$E$60+S4534*$C$4483*Assumptions!$E$61)/(S4532*$C$4481+S4533*$C$4482+S4534*$C$4483),0.9)</f>
        <v>0.897381696955979</v>
      </c>
    </row>
    <row r="4578" customFormat="false" ht="15" hidden="false" customHeight="false" outlineLevel="0" collapsed="false">
      <c r="A4578" s="4" t="s">
        <v>577</v>
      </c>
      <c r="B4578" s="36"/>
      <c r="C4578" s="37" t="n">
        <f aca="false">IFERROR(N4566*4/N4544,0)</f>
        <v>0.175768785780874</v>
      </c>
    </row>
    <row r="4579" customFormat="false" ht="15" hidden="false" customHeight="false" outlineLevel="0" collapsed="false">
      <c r="A4579" s="4" t="s">
        <v>578</v>
      </c>
      <c r="B4579" s="36"/>
      <c r="C4579" s="60" t="n">
        <f aca="false">$C$4577/(1+Assumptions!$E$87)</f>
        <v>0.801233657996409</v>
      </c>
    </row>
    <row r="4580" customFormat="false" ht="15" hidden="false" customHeight="false" outlineLevel="0" collapsed="false">
      <c r="A4580" s="4" t="s">
        <v>579</v>
      </c>
      <c r="B4580" s="36"/>
      <c r="C4580" s="60" t="n">
        <f aca="false">Assumptions!$E$91/(1+Assumptions!$E$87)</f>
        <v>0.803571428571429</v>
      </c>
    </row>
    <row r="4581" customFormat="false" ht="15" hidden="false" customHeight="false" outlineLevel="0" collapsed="false">
      <c r="A4581" s="35" t="s">
        <v>580</v>
      </c>
      <c r="B4581" s="35" t="s">
        <v>444</v>
      </c>
      <c r="C4581" s="6" t="s">
        <v>354</v>
      </c>
      <c r="D4581" s="6" t="s">
        <v>355</v>
      </c>
      <c r="E4581" s="6" t="s">
        <v>356</v>
      </c>
      <c r="F4581" s="6" t="s">
        <v>357</v>
      </c>
      <c r="G4581" s="6" t="s">
        <v>358</v>
      </c>
      <c r="H4581" s="6" t="s">
        <v>359</v>
      </c>
      <c r="I4581" s="6" t="s">
        <v>360</v>
      </c>
      <c r="J4581" s="6" t="s">
        <v>361</v>
      </c>
      <c r="K4581" s="6" t="s">
        <v>362</v>
      </c>
      <c r="L4581" s="6" t="s">
        <v>363</v>
      </c>
      <c r="M4581" s="6" t="s">
        <v>364</v>
      </c>
      <c r="N4581" s="6" t="s">
        <v>365</v>
      </c>
      <c r="P4581" s="6" t="s">
        <v>445</v>
      </c>
      <c r="Q4581" s="6" t="s">
        <v>446</v>
      </c>
      <c r="R4581" s="6" t="s">
        <v>447</v>
      </c>
      <c r="S4581" s="6" t="s">
        <v>448</v>
      </c>
    </row>
    <row r="4582" customFormat="false" ht="15" hidden="false" customHeight="false" outlineLevel="0" collapsed="false">
      <c r="A4582" s="9" t="s">
        <v>581</v>
      </c>
      <c r="C4582" s="61" t="n">
        <f aca="false">N4544</f>
        <v>382272.832457321</v>
      </c>
      <c r="D4582" s="61"/>
    </row>
    <row r="4583" customFormat="false" ht="15" hidden="false" customHeight="false" outlineLevel="0" collapsed="false">
      <c r="A4583" s="9" t="s">
        <v>582</v>
      </c>
      <c r="C4583" s="62" t="n">
        <f aca="false">N4540</f>
        <v>37.1136104572082</v>
      </c>
      <c r="D4583" s="62"/>
    </row>
    <row r="4584" customFormat="false" ht="15" hidden="false" customHeight="false" outlineLevel="0" collapsed="false">
      <c r="A4584" s="9" t="s">
        <v>583</v>
      </c>
      <c r="C4584" s="63" t="n">
        <f aca="false">S4535</f>
        <v>41.0434862191096</v>
      </c>
      <c r="D4584" s="63"/>
    </row>
    <row r="4585" customFormat="false" ht="15" hidden="false" customHeight="false" outlineLevel="0" collapsed="false">
      <c r="A4585" s="9" t="s">
        <v>584</v>
      </c>
      <c r="C4585" s="61" t="n">
        <f aca="false">S4546</f>
        <v>372515.309806542</v>
      </c>
      <c r="D4585" s="61"/>
    </row>
    <row r="4586" customFormat="false" ht="15" hidden="false" customHeight="false" outlineLevel="0" collapsed="false">
      <c r="A4586" s="9" t="s">
        <v>22</v>
      </c>
      <c r="C4586" s="61" t="n">
        <f aca="false">IFERROR(S4545/S4535,0)</f>
        <v>8851.15739280107</v>
      </c>
      <c r="D4586" s="61"/>
    </row>
    <row r="4587" customFormat="false" ht="15" hidden="false" customHeight="false" outlineLevel="0" collapsed="false">
      <c r="A4587" s="9" t="s">
        <v>585</v>
      </c>
      <c r="C4587" s="61" t="n">
        <f aca="false">IFERROR(S4563/S4535,0)</f>
        <v>50987.562421258</v>
      </c>
      <c r="D4587" s="61"/>
    </row>
    <row r="4588" customFormat="false" ht="23.85" hidden="false" customHeight="false" outlineLevel="0" collapsed="false">
      <c r="A4588" s="9" t="s">
        <v>586</v>
      </c>
      <c r="C4588" s="61" t="n">
        <f aca="false">IFERROR((S4557+S4559+S4560+S4561+S4562)/S4535,0)</f>
        <v>19563.1397916241</v>
      </c>
      <c r="D4588" s="61"/>
    </row>
    <row r="4589" customFormat="false" ht="15" hidden="false" customHeight="false" outlineLevel="0" collapsed="false">
      <c r="A4589" s="9" t="s">
        <v>587</v>
      </c>
      <c r="C4589" s="64" t="n">
        <f aca="false">IFERROR('Engine Runs'!$C$4587/('Engine Runs'!$C$4586*Assumptions!$E$76/12),0)</f>
        <v>106.348673165133</v>
      </c>
      <c r="D4589" s="64"/>
    </row>
    <row r="4590" customFormat="false" ht="15" hidden="false" customHeight="false" outlineLevel="0" collapsed="false">
      <c r="A4590" s="9" t="s">
        <v>588</v>
      </c>
      <c r="C4590" s="64" t="n">
        <f aca="false">IFERROR((R4563/R4535)/((R4545/R4535)*Assumptions!$E$76/12),0)</f>
        <v>68.5148973218776</v>
      </c>
      <c r="D4590" s="64"/>
    </row>
    <row r="4591" customFormat="false" ht="15" hidden="false" customHeight="false" outlineLevel="0" collapsed="false">
      <c r="A4591" s="9" t="s">
        <v>589</v>
      </c>
      <c r="C4591" s="61" t="n">
        <f aca="false">S4567</f>
        <v>2872958.55442771</v>
      </c>
      <c r="D4591" s="61"/>
    </row>
    <row r="4592" customFormat="false" ht="15" hidden="false" customHeight="false" outlineLevel="0" collapsed="false">
      <c r="A4592" s="9" t="s">
        <v>590</v>
      </c>
      <c r="C4592" s="61" t="n">
        <f aca="false">N4570</f>
        <v>-2630823.60305345</v>
      </c>
      <c r="D4592" s="61"/>
    </row>
    <row r="4593" customFormat="false" ht="15" hidden="false" customHeight="false" outlineLevel="0" collapsed="false">
      <c r="A4593" s="9" t="s">
        <v>591</v>
      </c>
      <c r="C4593" s="61" t="n">
        <f aca="false">MIN($C$4570:$N$4570)</f>
        <v>-2630823.60305345</v>
      </c>
      <c r="D4593" s="61"/>
    </row>
    <row r="4594" customFormat="false" ht="15" hidden="false" customHeight="false" outlineLevel="0" collapsed="false">
      <c r="A4594" s="9" t="s">
        <v>592</v>
      </c>
      <c r="C4594" s="61" t="n">
        <f aca="false">N4544*(Assumptions!$E$76-$C$4578)*$C$4577*(1-$C$4577^Assumptions!$E$85)/(1-$C$4577)</f>
        <v>662740.742211381</v>
      </c>
      <c r="D4594" s="61"/>
    </row>
    <row r="4595" customFormat="false" ht="15" hidden="false" customHeight="false" outlineLevel="0" collapsed="false">
      <c r="A4595" s="9" t="s">
        <v>593</v>
      </c>
      <c r="C4595" s="61" t="n">
        <f aca="false">N4544*(Assumptions!$E$76-$C$4578)*(1-Assumptions!$E$88)/(1+Assumptions!$E$87)^2.5*$C$4579*(1-$C$4579^Assumptions!$E$85)/(1-$C$4579)</f>
        <v>294958.34531537</v>
      </c>
      <c r="D4595" s="61"/>
    </row>
    <row r="4596" customFormat="false" ht="15" hidden="false" customHeight="false" outlineLevel="0" collapsed="false">
      <c r="A4596" s="9" t="s">
        <v>594</v>
      </c>
      <c r="C4596" s="61" t="n">
        <f aca="false">SUM($C$4572:$N$4572)+'Engine Runs'!$C$4595</f>
        <v>-1965606.87112112</v>
      </c>
      <c r="D4596" s="61"/>
    </row>
    <row r="4597" customFormat="false" ht="15" hidden="false" customHeight="false" outlineLevel="0" collapsed="false">
      <c r="A4597" s="9" t="s">
        <v>595</v>
      </c>
      <c r="C4597" s="61" t="n">
        <f aca="false">SUM($C$4576:$N$4576)+N4574*(Assumptions!$E$76-Assumptions!$E$93)/(1+Assumptions!$E$87)^2.5*$C$4580*(1-$C$4580^Assumptions!$E$85)/(1-$C$4580)</f>
        <v>1486199.90490611</v>
      </c>
      <c r="D4597" s="61"/>
    </row>
    <row r="4598" customFormat="false" ht="15" hidden="false" customHeight="false" outlineLevel="0" collapsed="false">
      <c r="A4598" s="9" t="s">
        <v>596</v>
      </c>
      <c r="C4598" s="61" t="n">
        <f aca="false">'Engine Runs'!$C$4596-'Engine Runs'!$C$4597</f>
        <v>-3451806.77602723</v>
      </c>
      <c r="D4598" s="61"/>
    </row>
    <row r="4599" customFormat="false" ht="15" hidden="false" customHeight="false" outlineLevel="0" collapsed="false">
      <c r="A4599" s="9" t="s">
        <v>597</v>
      </c>
      <c r="C4599" s="61" t="n">
        <f aca="false">S4531</f>
        <v>0</v>
      </c>
      <c r="D4599" s="61"/>
    </row>
    <row r="4600" customFormat="false" ht="15" hidden="false" customHeight="false" outlineLevel="0" collapsed="false">
      <c r="A4600" s="9" t="s">
        <v>598</v>
      </c>
      <c r="C4600" s="63" t="n">
        <f aca="false">P4515</f>
        <v>32.991511355572</v>
      </c>
      <c r="D4600" s="63"/>
    </row>
    <row r="4601" customFormat="false" ht="15" hidden="false" customHeight="false" outlineLevel="0" collapsed="false">
      <c r="A4601" s="9" t="s">
        <v>599</v>
      </c>
      <c r="C4601" s="63" t="n">
        <f aca="false">P4535</f>
        <v>4.66194567372539</v>
      </c>
      <c r="D4601" s="63"/>
    </row>
    <row r="4602" customFormat="false" ht="15" hidden="false" customHeight="false" outlineLevel="0" collapsed="false">
      <c r="A4602" s="9" t="s">
        <v>600</v>
      </c>
      <c r="C4602" s="63" t="n">
        <f aca="false">P4511</f>
        <v>42</v>
      </c>
      <c r="D4602" s="63"/>
    </row>
    <row r="4603" customFormat="false" ht="15" hidden="false" customHeight="false" outlineLevel="0" collapsed="false">
      <c r="A4603" s="9" t="s">
        <v>601</v>
      </c>
      <c r="C4603" s="61" t="n">
        <f aca="false">IFERROR(P4545/P4535,0)</f>
        <v>8541.44340897004</v>
      </c>
      <c r="D4603" s="61"/>
    </row>
    <row r="4606" customFormat="false" ht="15" hidden="false" customHeight="true" outlineLevel="0" collapsed="false">
      <c r="A4606" s="78" t="s">
        <v>840</v>
      </c>
      <c r="B4606" s="78"/>
      <c r="C4606" s="78"/>
      <c r="D4606" s="78"/>
      <c r="E4606" s="78"/>
      <c r="F4606" s="78"/>
      <c r="G4606" s="78"/>
      <c r="H4606" s="78"/>
      <c r="I4606" s="78"/>
      <c r="J4606" s="78"/>
      <c r="K4606" s="78"/>
      <c r="L4606" s="78"/>
      <c r="M4606" s="78"/>
      <c r="N4606" s="78"/>
    </row>
    <row r="4607" customFormat="false" ht="15" hidden="false" customHeight="true" outlineLevel="0" collapsed="false">
      <c r="A4607" s="79" t="s">
        <v>841</v>
      </c>
      <c r="B4607" s="79"/>
      <c r="C4607" s="79"/>
      <c r="D4607" s="79"/>
      <c r="E4607" s="79"/>
      <c r="F4607" s="79"/>
      <c r="G4607" s="79"/>
      <c r="H4607" s="79"/>
      <c r="I4607" s="79"/>
      <c r="J4607" s="79"/>
      <c r="K4607" s="79"/>
      <c r="L4607" s="79"/>
      <c r="M4607" s="79"/>
      <c r="N4607" s="79"/>
    </row>
    <row r="4608" customFormat="false" ht="23.85" hidden="false" customHeight="false" outlineLevel="0" collapsed="false">
      <c r="A4608" s="35" t="s">
        <v>842</v>
      </c>
      <c r="B4608" s="35" t="s">
        <v>444</v>
      </c>
      <c r="C4608" s="6" t="s">
        <v>354</v>
      </c>
      <c r="D4608" s="6" t="s">
        <v>355</v>
      </c>
      <c r="E4608" s="6" t="s">
        <v>356</v>
      </c>
      <c r="F4608" s="6" t="s">
        <v>357</v>
      </c>
      <c r="G4608" s="6" t="s">
        <v>358</v>
      </c>
      <c r="H4608" s="6" t="s">
        <v>359</v>
      </c>
      <c r="I4608" s="6" t="s">
        <v>360</v>
      </c>
      <c r="J4608" s="6" t="s">
        <v>361</v>
      </c>
      <c r="K4608" s="6" t="s">
        <v>362</v>
      </c>
      <c r="L4608" s="6" t="s">
        <v>363</v>
      </c>
      <c r="M4608" s="6" t="s">
        <v>364</v>
      </c>
      <c r="N4608" s="6" t="s">
        <v>365</v>
      </c>
      <c r="P4608" s="6" t="s">
        <v>445</v>
      </c>
      <c r="Q4608" s="6" t="s">
        <v>446</v>
      </c>
      <c r="R4608" s="6" t="s">
        <v>447</v>
      </c>
      <c r="S4608" s="6" t="s">
        <v>448</v>
      </c>
    </row>
    <row r="4609" customFormat="false" ht="15" hidden="false" customHeight="false" outlineLevel="0" collapsed="false">
      <c r="A4609" s="4" t="s">
        <v>449</v>
      </c>
      <c r="B4609" s="36" t="s">
        <v>450</v>
      </c>
      <c r="C4609" s="34" t="n">
        <f aca="false">'Market Sizing'!$C$17*Assumptions!$E$10*Assumptions!$E$11*(1-Assumptions!$E$12)</f>
        <v>843.03944704</v>
      </c>
    </row>
    <row r="4610" customFormat="false" ht="15" hidden="false" customHeight="false" outlineLevel="0" collapsed="false">
      <c r="A4610" s="4" t="s">
        <v>451</v>
      </c>
      <c r="B4610" s="36" t="s">
        <v>450</v>
      </c>
      <c r="C4610" s="34" t="n">
        <f aca="false">'Market Sizing'!$D$17*Assumptions!$E$10*Assumptions!$E$11*(1-Assumptions!$E$12)</f>
        <v>211.19616</v>
      </c>
    </row>
    <row r="4611" customFormat="false" ht="15" hidden="false" customHeight="false" outlineLevel="0" collapsed="false">
      <c r="A4611" s="4" t="s">
        <v>452</v>
      </c>
      <c r="B4611" s="36" t="s">
        <v>450</v>
      </c>
      <c r="C4611" s="34" t="n">
        <f aca="false">'Market Sizing'!$E$17*Assumptions!$E$10*Assumptions!$E$11*(1-Assumptions!$E$12)</f>
        <v>49.53984</v>
      </c>
    </row>
    <row r="4612" customFormat="false" ht="15" hidden="false" customHeight="false" outlineLevel="0" collapsed="false">
      <c r="A4612" s="4" t="s">
        <v>453</v>
      </c>
      <c r="B4612" s="36"/>
      <c r="C4612" s="34" t="n">
        <f aca="false">$C$4609+$C$4610+$C$4611</f>
        <v>1103.77544704</v>
      </c>
    </row>
    <row r="4613" customFormat="false" ht="15" hidden="false" customHeight="false" outlineLevel="0" collapsed="false">
      <c r="A4613" s="4" t="s">
        <v>454</v>
      </c>
      <c r="B4613" s="36" t="s">
        <v>450</v>
      </c>
      <c r="C4613" s="34" t="n">
        <f aca="false">'Market Sizing'!$C$18*Assumptions!$E$10*Assumptions!$E$11*(1-Assumptions!$E$12)</f>
        <v>612.57706944</v>
      </c>
    </row>
    <row r="4614" customFormat="false" ht="15" hidden="false" customHeight="false" outlineLevel="0" collapsed="false">
      <c r="A4614" s="4" t="s">
        <v>455</v>
      </c>
      <c r="B4614" s="36" t="s">
        <v>450</v>
      </c>
      <c r="C4614" s="34" t="n">
        <f aca="false">'Market Sizing'!$D$18*Assumptions!$E$10*Assumptions!$E$11*(1-Assumptions!$E$12)</f>
        <v>142.10112</v>
      </c>
    </row>
    <row r="4615" customFormat="false" ht="15" hidden="false" customHeight="false" outlineLevel="0" collapsed="false">
      <c r="A4615" s="4" t="s">
        <v>456</v>
      </c>
      <c r="B4615" s="36" t="s">
        <v>450</v>
      </c>
      <c r="C4615" s="34" t="n">
        <f aca="false">'Market Sizing'!$E$18*Assumptions!$E$10*Assumptions!$E$11*(1-Assumptions!$E$12)</f>
        <v>24.76992</v>
      </c>
    </row>
    <row r="4616" customFormat="false" ht="15" hidden="false" customHeight="false" outlineLevel="0" collapsed="false">
      <c r="A4616" s="4" t="s">
        <v>457</v>
      </c>
      <c r="B4616" s="36"/>
      <c r="C4616" s="34" t="n">
        <f aca="false">$C$4613+$C$4614+$C$4615</f>
        <v>779.44810944</v>
      </c>
    </row>
    <row r="4617" customFormat="false" ht="15" hidden="false" customHeight="false" outlineLevel="0" collapsed="false">
      <c r="A4617" s="4" t="s">
        <v>458</v>
      </c>
      <c r="B4617" s="36" t="s">
        <v>450</v>
      </c>
      <c r="C4617" s="34" t="n">
        <f aca="false">'Market Sizing'!$C$19*Assumptions!$E$10*Assumptions!$E$11*(1-Assumptions!$E$12)</f>
        <v>2060.77303936</v>
      </c>
    </row>
    <row r="4618" customFormat="false" ht="15" hidden="false" customHeight="false" outlineLevel="0" collapsed="false">
      <c r="A4618" s="4" t="s">
        <v>459</v>
      </c>
      <c r="B4618" s="36" t="s">
        <v>450</v>
      </c>
      <c r="C4618" s="34" t="n">
        <f aca="false">'Market Sizing'!$D$19*Assumptions!$E$10*Assumptions!$E$11*(1-Assumptions!$E$12)</f>
        <v>428.47616</v>
      </c>
    </row>
    <row r="4619" customFormat="false" ht="15" hidden="false" customHeight="false" outlineLevel="0" collapsed="false">
      <c r="A4619" s="4" t="s">
        <v>460</v>
      </c>
      <c r="B4619" s="36" t="s">
        <v>450</v>
      </c>
      <c r="C4619" s="34" t="n">
        <f aca="false">'Market Sizing'!$E$19*Assumptions!$E$10*Assumptions!$E$11*(1-Assumptions!$E$12)</f>
        <v>79.52448</v>
      </c>
    </row>
    <row r="4620" customFormat="false" ht="15" hidden="false" customHeight="false" outlineLevel="0" collapsed="false">
      <c r="A4620" s="4" t="s">
        <v>461</v>
      </c>
      <c r="B4620" s="36"/>
      <c r="C4620" s="34" t="n">
        <f aca="false">$C$4617+$C$4618+$C$4619</f>
        <v>2568.77367936</v>
      </c>
    </row>
    <row r="4621" customFormat="false" ht="15" hidden="false" customHeight="false" outlineLevel="0" collapsed="false">
      <c r="A4621" s="4" t="s">
        <v>462</v>
      </c>
      <c r="B4621" s="36" t="s">
        <v>463</v>
      </c>
      <c r="C4621" s="33" t="n">
        <f aca="false">MAX((Assumptions!$E$51+Assumptions!$E$53)*12,(((('Market Sizing'!$E$25*Assumptions!$E$41*Assumptions!$E$42*Assumptions!$E$43)*Assumptions!$E$44)*Assumptions!$E$45*Assumptions!$E$46+('Market Sizing'!$E$25*Assumptions!$E$41*Assumptions!$E$42*Assumptions!$E$43)*Assumptions!$E$47+('Market Sizing'!$E$25*Assumptions!$E$41*Assumptions!$E$42*Assumptions!$E$43)*Assumptions!$E$48*Assumptions!$E$49)*(Assumptions!$E$51*12/Assumptions!$E$52)+((('Market Sizing'!$E$25*Assumptions!$E$41*Assumptions!$E$42*Assumptions!$E$43)*Assumptions!$E$44)*Assumptions!$E$45+('Market Sizing'!$E$25*Assumptions!$E$41*Assumptions!$E$42*Assumptions!$E$43)+('Market Sizing'!$E$25*Assumptions!$E$41*Assumptions!$E$42*Assumptions!$E$43)*Assumptions!$E$48)*Assumptions!$E$50*(Assumptions!$E$53*12/Assumptions!$E$54)))</f>
        <v>5352</v>
      </c>
    </row>
    <row r="4622" customFormat="false" ht="15" hidden="false" customHeight="false" outlineLevel="0" collapsed="false">
      <c r="A4622" s="4" t="s">
        <v>464</v>
      </c>
      <c r="B4622" s="36" t="s">
        <v>463</v>
      </c>
      <c r="C4622" s="33" t="n">
        <f aca="false">MAX((Assumptions!$E$51+Assumptions!$E$53)*12,(((('Market Sizing'!$E$26*Assumptions!$E$41*Assumptions!$E$42*Assumptions!$E$43)*Assumptions!$E$44)*Assumptions!$E$45*Assumptions!$E$46+('Market Sizing'!$E$26*Assumptions!$E$41*Assumptions!$E$42*Assumptions!$E$43)*Assumptions!$E$47+('Market Sizing'!$E$26*Assumptions!$E$41*Assumptions!$E$42*Assumptions!$E$43)*Assumptions!$E$48*Assumptions!$E$49)*(Assumptions!$E$51*12/Assumptions!$E$52)+((('Market Sizing'!$E$26*Assumptions!$E$41*Assumptions!$E$42*Assumptions!$E$43)*Assumptions!$E$44)*Assumptions!$E$45+('Market Sizing'!$E$26*Assumptions!$E$41*Assumptions!$E$42*Assumptions!$E$43)+('Market Sizing'!$E$26*Assumptions!$E$41*Assumptions!$E$42*Assumptions!$E$43)*Assumptions!$E$48)*Assumptions!$E$50*(Assumptions!$E$53*12/Assumptions!$E$54)))</f>
        <v>9766.72012875208</v>
      </c>
    </row>
    <row r="4623" customFormat="false" ht="15" hidden="false" customHeight="false" outlineLevel="0" collapsed="false">
      <c r="A4623" s="4" t="s">
        <v>465</v>
      </c>
      <c r="B4623" s="36" t="s">
        <v>463</v>
      </c>
      <c r="C4623" s="33" t="n">
        <f aca="false">MAX(Assumptions!$E$55*(Assumptions!$E$51*12/Assumptions!$E$52)+Assumptions!$E$56*(Assumptions!$E$53*12/Assumptions!$E$54),(((('Market Sizing'!$E$27*Assumptions!$E$41*Assumptions!$E$42*Assumptions!$E$43)*Assumptions!$E$44)*Assumptions!$E$45*Assumptions!$E$46+('Market Sizing'!$E$27*Assumptions!$E$41*Assumptions!$E$42*Assumptions!$E$43)*Assumptions!$E$47+('Market Sizing'!$E$27*Assumptions!$E$41*Assumptions!$E$42*Assumptions!$E$43)*Assumptions!$E$48*Assumptions!$E$49)*(Assumptions!$E$51*12/Assumptions!$E$52)+((('Market Sizing'!$E$27*Assumptions!$E$41*Assumptions!$E$42*Assumptions!$E$43)*Assumptions!$E$44)*Assumptions!$E$45+('Market Sizing'!$E$27*Assumptions!$E$41*Assumptions!$E$42*Assumptions!$E$43)+('Market Sizing'!$E$27*Assumptions!$E$41*Assumptions!$E$42*Assumptions!$E$43)*Assumptions!$E$48)*Assumptions!$E$50*(Assumptions!$E$53*12/Assumptions!$E$54)))*(1-Assumptions!$E$57)</f>
        <v>61778.2562194386</v>
      </c>
    </row>
    <row r="4624" customFormat="false" ht="23.85" hidden="false" customHeight="false" outlineLevel="0" collapsed="false">
      <c r="A4624" s="4" t="s">
        <v>466</v>
      </c>
      <c r="B4624" s="36" t="s">
        <v>467</v>
      </c>
      <c r="C4624" s="37" t="n">
        <f aca="false">Assumptions!$E$17*Assumptions!$D$106</f>
        <v>0.4</v>
      </c>
    </row>
    <row r="4625" customFormat="false" ht="23.85" hidden="false" customHeight="false" outlineLevel="0" collapsed="false">
      <c r="A4625" s="4" t="s">
        <v>468</v>
      </c>
      <c r="B4625" s="36" t="s">
        <v>469</v>
      </c>
      <c r="C4625" s="33" t="n">
        <f aca="false">Assumptions!$E$68/Assumptions!$E$69</f>
        <v>285714.285714286</v>
      </c>
    </row>
    <row r="4626" customFormat="false" ht="23.85" hidden="false" customHeight="false" outlineLevel="0" collapsed="false">
      <c r="A4626" s="4" t="s">
        <v>470</v>
      </c>
      <c r="B4626" s="36" t="s">
        <v>471</v>
      </c>
      <c r="C4626" s="33" t="n">
        <f aca="false">Assumptions!$E$66*Assumptions!$E$67/4</f>
        <v>153125</v>
      </c>
    </row>
    <row r="4627" customFormat="false" ht="15" hidden="false" customHeight="false" outlineLevel="0" collapsed="false">
      <c r="A4627" s="4" t="s">
        <v>472</v>
      </c>
      <c r="B4627" s="36"/>
      <c r="C4627" s="38" t="n">
        <f aca="false">$C$4625/Assumptions!$E$66/Assumptions!$E$67</f>
        <v>0.466472303206997</v>
      </c>
    </row>
    <row r="4628" customFormat="false" ht="15" hidden="false" customHeight="false" outlineLevel="0" collapsed="false">
      <c r="A4628" s="4" t="s">
        <v>473</v>
      </c>
      <c r="B4628" s="36"/>
      <c r="C4628" s="33" t="n">
        <f aca="false">MAX(0,Assumptions!$D$103-Assumptions!$E$78)</f>
        <v>0</v>
      </c>
    </row>
    <row r="4629" customFormat="false" ht="15" hidden="false" customHeight="false" outlineLevel="0" collapsed="false">
      <c r="A4629" s="35" t="s">
        <v>474</v>
      </c>
      <c r="B4629" s="35" t="s">
        <v>444</v>
      </c>
      <c r="C4629" s="6" t="s">
        <v>354</v>
      </c>
      <c r="D4629" s="6" t="s">
        <v>355</v>
      </c>
      <c r="E4629" s="6" t="s">
        <v>356</v>
      </c>
      <c r="F4629" s="6" t="s">
        <v>357</v>
      </c>
      <c r="G4629" s="6" t="s">
        <v>358</v>
      </c>
      <c r="H4629" s="6" t="s">
        <v>359</v>
      </c>
      <c r="I4629" s="6" t="s">
        <v>360</v>
      </c>
      <c r="J4629" s="6" t="s">
        <v>361</v>
      </c>
      <c r="K4629" s="6" t="s">
        <v>362</v>
      </c>
      <c r="L4629" s="6" t="s">
        <v>363</v>
      </c>
      <c r="M4629" s="6" t="s">
        <v>364</v>
      </c>
      <c r="N4629" s="6" t="s">
        <v>365</v>
      </c>
      <c r="P4629" s="6" t="s">
        <v>445</v>
      </c>
      <c r="Q4629" s="6" t="s">
        <v>446</v>
      </c>
      <c r="R4629" s="6" t="s">
        <v>447</v>
      </c>
      <c r="S4629" s="6" t="s">
        <v>448</v>
      </c>
    </row>
    <row r="4630" customFormat="false" ht="15" hidden="false" customHeight="false" outlineLevel="0" collapsed="false">
      <c r="A4630" s="4" t="s">
        <v>475</v>
      </c>
      <c r="B4630" s="36" t="s">
        <v>133</v>
      </c>
      <c r="C4630" s="39" t="n">
        <v>1</v>
      </c>
      <c r="D4630" s="39" t="n">
        <v>2</v>
      </c>
      <c r="E4630" s="39" t="n">
        <v>3</v>
      </c>
      <c r="F4630" s="39" t="n">
        <v>4</v>
      </c>
      <c r="G4630" s="39" t="n">
        <v>5</v>
      </c>
      <c r="H4630" s="39" t="n">
        <v>6</v>
      </c>
      <c r="I4630" s="39" t="n">
        <v>7</v>
      </c>
      <c r="J4630" s="39" t="n">
        <v>8</v>
      </c>
      <c r="K4630" s="39" t="n">
        <v>9</v>
      </c>
      <c r="L4630" s="39" t="n">
        <v>10</v>
      </c>
      <c r="M4630" s="39" t="n">
        <v>11</v>
      </c>
      <c r="N4630" s="39" t="n">
        <v>12</v>
      </c>
      <c r="P4630" s="40"/>
      <c r="Q4630" s="40"/>
      <c r="R4630" s="40"/>
      <c r="S4630" s="41"/>
    </row>
    <row r="4631" customFormat="false" ht="15" hidden="false" customHeight="false" outlineLevel="0" collapsed="false">
      <c r="A4631" s="4" t="s">
        <v>476</v>
      </c>
      <c r="B4631" s="36" t="s">
        <v>343</v>
      </c>
      <c r="C4631" s="39" t="n">
        <f aca="false">IF(C4630&lt;=Assumptions!$E$84,1,0)</f>
        <v>1</v>
      </c>
      <c r="D4631" s="39" t="n">
        <f aca="false">IF(D4630&lt;=Assumptions!$E$84,1,0)</f>
        <v>1</v>
      </c>
      <c r="E4631" s="39" t="n">
        <f aca="false">IF(E4630&lt;=Assumptions!$E$84,1,0)</f>
        <v>1</v>
      </c>
      <c r="F4631" s="39" t="n">
        <f aca="false">IF(F4630&lt;=Assumptions!$E$84,1,0)</f>
        <v>1</v>
      </c>
      <c r="G4631" s="39" t="n">
        <f aca="false">IF(G4630&lt;=Assumptions!$E$84,1,0)</f>
        <v>1</v>
      </c>
      <c r="H4631" s="39" t="n">
        <f aca="false">IF(H4630&lt;=Assumptions!$E$84,1,0)</f>
        <v>1</v>
      </c>
      <c r="I4631" s="39" t="n">
        <f aca="false">IF(I4630&lt;=Assumptions!$E$84,1,0)</f>
        <v>1</v>
      </c>
      <c r="J4631" s="39" t="n">
        <f aca="false">IF(J4630&lt;=Assumptions!$E$84,1,0)</f>
        <v>1</v>
      </c>
      <c r="K4631" s="39" t="n">
        <f aca="false">IF(K4630&lt;=Assumptions!$E$84,1,0)</f>
        <v>1</v>
      </c>
      <c r="L4631" s="39" t="n">
        <f aca="false">IF(L4630&lt;=Assumptions!$E$84,1,0)</f>
        <v>1</v>
      </c>
      <c r="M4631" s="39" t="n">
        <f aca="false">IF(M4630&lt;=Assumptions!$E$84,1,0)</f>
        <v>1</v>
      </c>
      <c r="N4631" s="39" t="n">
        <f aca="false">IF(N4630&lt;=Assumptions!$E$84,1,0)</f>
        <v>1</v>
      </c>
      <c r="P4631" s="40"/>
      <c r="Q4631" s="40"/>
      <c r="R4631" s="40"/>
      <c r="S4631" s="41"/>
    </row>
    <row r="4632" customFormat="false" ht="15" hidden="false" customHeight="false" outlineLevel="0" collapsed="false">
      <c r="A4632" s="4" t="s">
        <v>477</v>
      </c>
      <c r="B4632" s="36" t="s">
        <v>478</v>
      </c>
      <c r="C4632" s="42" t="n">
        <f aca="false">IF(C4630=Assumptions!$E$13,0.5,IF(C4630&gt;Assumptions!$E$13,1,0))</f>
        <v>0.5</v>
      </c>
      <c r="D4632" s="42" t="n">
        <f aca="false">IF(D4630=Assumptions!$E$13,0.5,IF(D4630&gt;Assumptions!$E$13,1,0))</f>
        <v>1</v>
      </c>
      <c r="E4632" s="42" t="n">
        <f aca="false">IF(E4630=Assumptions!$E$13,0.5,IF(E4630&gt;Assumptions!$E$13,1,0))</f>
        <v>1</v>
      </c>
      <c r="F4632" s="42" t="n">
        <f aca="false">IF(F4630=Assumptions!$E$13,0.5,IF(F4630&gt;Assumptions!$E$13,1,0))</f>
        <v>1</v>
      </c>
      <c r="G4632" s="42" t="n">
        <f aca="false">IF(G4630=Assumptions!$E$13,0.5,IF(G4630&gt;Assumptions!$E$13,1,0))</f>
        <v>1</v>
      </c>
      <c r="H4632" s="42" t="n">
        <f aca="false">IF(H4630=Assumptions!$E$13,0.5,IF(H4630&gt;Assumptions!$E$13,1,0))</f>
        <v>1</v>
      </c>
      <c r="I4632" s="42" t="n">
        <f aca="false">IF(I4630=Assumptions!$E$13,0.5,IF(I4630&gt;Assumptions!$E$13,1,0))</f>
        <v>1</v>
      </c>
      <c r="J4632" s="42" t="n">
        <f aca="false">IF(J4630=Assumptions!$E$13,0.5,IF(J4630&gt;Assumptions!$E$13,1,0))</f>
        <v>1</v>
      </c>
      <c r="K4632" s="42" t="n">
        <f aca="false">IF(K4630=Assumptions!$E$13,0.5,IF(K4630&gt;Assumptions!$E$13,1,0))</f>
        <v>1</v>
      </c>
      <c r="L4632" s="42" t="n">
        <f aca="false">IF(L4630=Assumptions!$E$13,0.5,IF(L4630&gt;Assumptions!$E$13,1,0))</f>
        <v>1</v>
      </c>
      <c r="M4632" s="42" t="n">
        <f aca="false">IF(M4630=Assumptions!$E$13,0.5,IF(M4630&gt;Assumptions!$E$13,1,0))</f>
        <v>1</v>
      </c>
      <c r="N4632" s="42" t="n">
        <f aca="false">IF(N4630=Assumptions!$E$13,0.5,IF(N4630&gt;Assumptions!$E$13,1,0))</f>
        <v>1</v>
      </c>
      <c r="P4632" s="43"/>
      <c r="Q4632" s="43"/>
      <c r="R4632" s="43"/>
      <c r="S4632" s="44"/>
    </row>
    <row r="4633" customFormat="false" ht="15" hidden="false" customHeight="false" outlineLevel="0" collapsed="false">
      <c r="A4633" s="4" t="s">
        <v>479</v>
      </c>
      <c r="B4633" s="36" t="s">
        <v>478</v>
      </c>
      <c r="C4633" s="42" t="n">
        <f aca="false">IF(C4630=Assumptions!$E$14,0.5,IF(C4630&gt;Assumptions!$E$14,1,0))</f>
        <v>0</v>
      </c>
      <c r="D4633" s="42" t="n">
        <f aca="false">IF(D4630=Assumptions!$E$14,0.5,IF(D4630&gt;Assumptions!$E$14,1,0))</f>
        <v>0</v>
      </c>
      <c r="E4633" s="42" t="n">
        <f aca="false">IF(E4630=Assumptions!$E$14,0.5,IF(E4630&gt;Assumptions!$E$14,1,0))</f>
        <v>0</v>
      </c>
      <c r="F4633" s="42" t="n">
        <f aca="false">IF(F4630=Assumptions!$E$14,0.5,IF(F4630&gt;Assumptions!$E$14,1,0))</f>
        <v>0</v>
      </c>
      <c r="G4633" s="42" t="n">
        <f aca="false">IF(G4630=Assumptions!$E$14,0.5,IF(G4630&gt;Assumptions!$E$14,1,0))</f>
        <v>0.5</v>
      </c>
      <c r="H4633" s="42" t="n">
        <f aca="false">IF(H4630=Assumptions!$E$14,0.5,IF(H4630&gt;Assumptions!$E$14,1,0))</f>
        <v>1</v>
      </c>
      <c r="I4633" s="42" t="n">
        <f aca="false">IF(I4630=Assumptions!$E$14,0.5,IF(I4630&gt;Assumptions!$E$14,1,0))</f>
        <v>1</v>
      </c>
      <c r="J4633" s="42" t="n">
        <f aca="false">IF(J4630=Assumptions!$E$14,0.5,IF(J4630&gt;Assumptions!$E$14,1,0))</f>
        <v>1</v>
      </c>
      <c r="K4633" s="42" t="n">
        <f aca="false">IF(K4630=Assumptions!$E$14,0.5,IF(K4630&gt;Assumptions!$E$14,1,0))</f>
        <v>1</v>
      </c>
      <c r="L4633" s="42" t="n">
        <f aca="false">IF(L4630=Assumptions!$E$14,0.5,IF(L4630&gt;Assumptions!$E$14,1,0))</f>
        <v>1</v>
      </c>
      <c r="M4633" s="42" t="n">
        <f aca="false">IF(M4630=Assumptions!$E$14,0.5,IF(M4630&gt;Assumptions!$E$14,1,0))</f>
        <v>1</v>
      </c>
      <c r="N4633" s="42" t="n">
        <f aca="false">IF(N4630=Assumptions!$E$14,0.5,IF(N4630&gt;Assumptions!$E$14,1,0))</f>
        <v>1</v>
      </c>
      <c r="P4633" s="43"/>
      <c r="Q4633" s="43"/>
      <c r="R4633" s="43"/>
      <c r="S4633" s="44"/>
    </row>
    <row r="4634" customFormat="false" ht="15" hidden="false" customHeight="false" outlineLevel="0" collapsed="false">
      <c r="A4634" s="4" t="s">
        <v>480</v>
      </c>
      <c r="B4634" s="36" t="s">
        <v>478</v>
      </c>
      <c r="C4634" s="42" t="n">
        <f aca="false">IF(C4630=Assumptions!$E$15,0.5,IF(C4630&gt;Assumptions!$E$15,1,0))</f>
        <v>0</v>
      </c>
      <c r="D4634" s="42" t="n">
        <f aca="false">IF(D4630=Assumptions!$E$15,0.5,IF(D4630&gt;Assumptions!$E$15,1,0))</f>
        <v>0</v>
      </c>
      <c r="E4634" s="42" t="n">
        <f aca="false">IF(E4630=Assumptions!$E$15,0.5,IF(E4630&gt;Assumptions!$E$15,1,0))</f>
        <v>0</v>
      </c>
      <c r="F4634" s="42" t="n">
        <f aca="false">IF(F4630=Assumptions!$E$15,0.5,IF(F4630&gt;Assumptions!$E$15,1,0))</f>
        <v>0</v>
      </c>
      <c r="G4634" s="42" t="n">
        <f aca="false">IF(G4630=Assumptions!$E$15,0.5,IF(G4630&gt;Assumptions!$E$15,1,0))</f>
        <v>0</v>
      </c>
      <c r="H4634" s="42" t="n">
        <f aca="false">IF(H4630=Assumptions!$E$15,0.5,IF(H4630&gt;Assumptions!$E$15,1,0))</f>
        <v>0</v>
      </c>
      <c r="I4634" s="42" t="n">
        <f aca="false">IF(I4630=Assumptions!$E$15,0.5,IF(I4630&gt;Assumptions!$E$15,1,0))</f>
        <v>0.5</v>
      </c>
      <c r="J4634" s="42" t="n">
        <f aca="false">IF(J4630=Assumptions!$E$15,0.5,IF(J4630&gt;Assumptions!$E$15,1,0))</f>
        <v>1</v>
      </c>
      <c r="K4634" s="42" t="n">
        <f aca="false">IF(K4630=Assumptions!$E$15,0.5,IF(K4630&gt;Assumptions!$E$15,1,0))</f>
        <v>1</v>
      </c>
      <c r="L4634" s="42" t="n">
        <f aca="false">IF(L4630=Assumptions!$E$15,0.5,IF(L4630&gt;Assumptions!$E$15,1,0))</f>
        <v>1</v>
      </c>
      <c r="M4634" s="42" t="n">
        <f aca="false">IF(M4630=Assumptions!$E$15,0.5,IF(M4630&gt;Assumptions!$E$15,1,0))</f>
        <v>1</v>
      </c>
      <c r="N4634" s="42" t="n">
        <f aca="false">IF(N4630=Assumptions!$E$15,0.5,IF(N4630&gt;Assumptions!$E$15,1,0))</f>
        <v>1</v>
      </c>
      <c r="P4634" s="43"/>
      <c r="Q4634" s="43"/>
      <c r="R4634" s="43"/>
      <c r="S4634" s="44"/>
    </row>
    <row r="4635" customFormat="false" ht="15" hidden="false" customHeight="false" outlineLevel="0" collapsed="false">
      <c r="A4635" s="4" t="s">
        <v>481</v>
      </c>
      <c r="B4635" s="36" t="s">
        <v>478</v>
      </c>
      <c r="C4635" s="45" t="n">
        <f aca="false">Assumptions!$E$21^(MAX(0,C4630-Assumptions!$E$13)/4)</f>
        <v>1</v>
      </c>
      <c r="D4635" s="45" t="n">
        <f aca="false">Assumptions!$E$21^(MAX(0,D4630-Assumptions!$E$13)/4)</f>
        <v>0.9306048591021</v>
      </c>
      <c r="E4635" s="45" t="n">
        <f aca="false">Assumptions!$E$21^(MAX(0,E4630-Assumptions!$E$13)/4)</f>
        <v>0.866025403784439</v>
      </c>
      <c r="F4635" s="45" t="n">
        <f aca="false">Assumptions!$E$21^(MAX(0,F4630-Assumptions!$E$13)/4)</f>
        <v>0.805927448867656</v>
      </c>
      <c r="G4635" s="45" t="n">
        <f aca="false">Assumptions!$E$21^(MAX(0,G4630-Assumptions!$E$13)/4)</f>
        <v>0.75</v>
      </c>
      <c r="H4635" s="45" t="n">
        <f aca="false">Assumptions!$E$21^(MAX(0,H4630-Assumptions!$E$13)/4)</f>
        <v>0.697953644326575</v>
      </c>
      <c r="I4635" s="45" t="n">
        <f aca="false">Assumptions!$E$21^(MAX(0,I4630-Assumptions!$E$13)/4)</f>
        <v>0.649519052838329</v>
      </c>
      <c r="J4635" s="45" t="n">
        <f aca="false">Assumptions!$E$21^(MAX(0,J4630-Assumptions!$E$13)/4)</f>
        <v>0.604445586650742</v>
      </c>
      <c r="K4635" s="45" t="n">
        <f aca="false">Assumptions!$E$21^(MAX(0,K4630-Assumptions!$E$13)/4)</f>
        <v>0.5625</v>
      </c>
      <c r="L4635" s="45" t="n">
        <f aca="false">Assumptions!$E$21^(MAX(0,L4630-Assumptions!$E$13)/4)</f>
        <v>0.523465233244931</v>
      </c>
      <c r="M4635" s="45" t="n">
        <f aca="false">Assumptions!$E$21^(MAX(0,M4630-Assumptions!$E$13)/4)</f>
        <v>0.487139289628747</v>
      </c>
      <c r="N4635" s="45" t="n">
        <f aca="false">Assumptions!$E$21^(MAX(0,N4630-Assumptions!$E$13)/4)</f>
        <v>0.453334189988057</v>
      </c>
      <c r="P4635" s="46"/>
      <c r="Q4635" s="46"/>
      <c r="R4635" s="46"/>
      <c r="S4635" s="47"/>
    </row>
    <row r="4636" customFormat="false" ht="15" hidden="false" customHeight="false" outlineLevel="0" collapsed="false">
      <c r="A4636" s="4" t="s">
        <v>482</v>
      </c>
      <c r="B4636" s="36" t="s">
        <v>478</v>
      </c>
      <c r="C4636" s="45" t="n">
        <f aca="false">Assumptions!$E$21^(MAX(0,C4630-Assumptions!$E$14)/4)</f>
        <v>1</v>
      </c>
      <c r="D4636" s="45" t="n">
        <f aca="false">Assumptions!$E$21^(MAX(0,D4630-Assumptions!$E$14)/4)</f>
        <v>1</v>
      </c>
      <c r="E4636" s="45" t="n">
        <f aca="false">Assumptions!$E$21^(MAX(0,E4630-Assumptions!$E$14)/4)</f>
        <v>1</v>
      </c>
      <c r="F4636" s="45" t="n">
        <f aca="false">Assumptions!$E$21^(MAX(0,F4630-Assumptions!$E$14)/4)</f>
        <v>1</v>
      </c>
      <c r="G4636" s="45" t="n">
        <f aca="false">Assumptions!$E$21^(MAX(0,G4630-Assumptions!$E$14)/4)</f>
        <v>1</v>
      </c>
      <c r="H4636" s="45" t="n">
        <f aca="false">Assumptions!$E$21^(MAX(0,H4630-Assumptions!$E$14)/4)</f>
        <v>0.9306048591021</v>
      </c>
      <c r="I4636" s="45" t="n">
        <f aca="false">Assumptions!$E$21^(MAX(0,I4630-Assumptions!$E$14)/4)</f>
        <v>0.866025403784439</v>
      </c>
      <c r="J4636" s="45" t="n">
        <f aca="false">Assumptions!$E$21^(MAX(0,J4630-Assumptions!$E$14)/4)</f>
        <v>0.805927448867656</v>
      </c>
      <c r="K4636" s="45" t="n">
        <f aca="false">Assumptions!$E$21^(MAX(0,K4630-Assumptions!$E$14)/4)</f>
        <v>0.75</v>
      </c>
      <c r="L4636" s="45" t="n">
        <f aca="false">Assumptions!$E$21^(MAX(0,L4630-Assumptions!$E$14)/4)</f>
        <v>0.697953644326575</v>
      </c>
      <c r="M4636" s="45" t="n">
        <f aca="false">Assumptions!$E$21^(MAX(0,M4630-Assumptions!$E$14)/4)</f>
        <v>0.649519052838329</v>
      </c>
      <c r="N4636" s="45" t="n">
        <f aca="false">Assumptions!$E$21^(MAX(0,N4630-Assumptions!$E$14)/4)</f>
        <v>0.604445586650742</v>
      </c>
      <c r="P4636" s="46"/>
      <c r="Q4636" s="46"/>
      <c r="R4636" s="46"/>
      <c r="S4636" s="47"/>
    </row>
    <row r="4637" customFormat="false" ht="15" hidden="false" customHeight="false" outlineLevel="0" collapsed="false">
      <c r="A4637" s="4" t="s">
        <v>483</v>
      </c>
      <c r="B4637" s="36" t="s">
        <v>478</v>
      </c>
      <c r="C4637" s="45" t="n">
        <f aca="false">Assumptions!$E$21^(MAX(0,C4630-Assumptions!$E$15)/4)</f>
        <v>1</v>
      </c>
      <c r="D4637" s="45" t="n">
        <f aca="false">Assumptions!$E$21^(MAX(0,D4630-Assumptions!$E$15)/4)</f>
        <v>1</v>
      </c>
      <c r="E4637" s="45" t="n">
        <f aca="false">Assumptions!$E$21^(MAX(0,E4630-Assumptions!$E$15)/4)</f>
        <v>1</v>
      </c>
      <c r="F4637" s="45" t="n">
        <f aca="false">Assumptions!$E$21^(MAX(0,F4630-Assumptions!$E$15)/4)</f>
        <v>1</v>
      </c>
      <c r="G4637" s="45" t="n">
        <f aca="false">Assumptions!$E$21^(MAX(0,G4630-Assumptions!$E$15)/4)</f>
        <v>1</v>
      </c>
      <c r="H4637" s="45" t="n">
        <f aca="false">Assumptions!$E$21^(MAX(0,H4630-Assumptions!$E$15)/4)</f>
        <v>1</v>
      </c>
      <c r="I4637" s="45" t="n">
        <f aca="false">Assumptions!$E$21^(MAX(0,I4630-Assumptions!$E$15)/4)</f>
        <v>1</v>
      </c>
      <c r="J4637" s="45" t="n">
        <f aca="false">Assumptions!$E$21^(MAX(0,J4630-Assumptions!$E$15)/4)</f>
        <v>0.9306048591021</v>
      </c>
      <c r="K4637" s="45" t="n">
        <f aca="false">Assumptions!$E$21^(MAX(0,K4630-Assumptions!$E$15)/4)</f>
        <v>0.866025403784439</v>
      </c>
      <c r="L4637" s="45" t="n">
        <f aca="false">Assumptions!$E$21^(MAX(0,L4630-Assumptions!$E$15)/4)</f>
        <v>0.805927448867656</v>
      </c>
      <c r="M4637" s="45" t="n">
        <f aca="false">Assumptions!$E$21^(MAX(0,M4630-Assumptions!$E$15)/4)</f>
        <v>0.75</v>
      </c>
      <c r="N4637" s="45" t="n">
        <f aca="false">Assumptions!$E$21^(MAX(0,N4630-Assumptions!$E$15)/4)</f>
        <v>0.697953644326575</v>
      </c>
      <c r="P4637" s="46"/>
      <c r="Q4637" s="46"/>
      <c r="R4637" s="46"/>
      <c r="S4637" s="47"/>
    </row>
    <row r="4638" customFormat="false" ht="15" hidden="false" customHeight="false" outlineLevel="0" collapsed="false">
      <c r="A4638" s="4" t="s">
        <v>484</v>
      </c>
      <c r="B4638" s="36" t="s">
        <v>485</v>
      </c>
      <c r="C4638" s="39" t="n">
        <f aca="false">$C$4609*C4632+$C$4613*C4633+$C$4617*C4634</f>
        <v>421.51972352</v>
      </c>
      <c r="D4638" s="39" t="n">
        <f aca="false">$C$4609*D4632+$C$4613*D4633+$C$4617*D4634</f>
        <v>843.03944704</v>
      </c>
      <c r="E4638" s="39" t="n">
        <f aca="false">$C$4609*E4632+$C$4613*E4633+$C$4617*E4634</f>
        <v>843.03944704</v>
      </c>
      <c r="F4638" s="39" t="n">
        <f aca="false">$C$4609*F4632+$C$4613*F4633+$C$4617*F4634</f>
        <v>843.03944704</v>
      </c>
      <c r="G4638" s="39" t="n">
        <f aca="false">$C$4609*G4632+$C$4613*G4633+$C$4617*G4634</f>
        <v>1149.32798176</v>
      </c>
      <c r="H4638" s="39" t="n">
        <f aca="false">$C$4609*H4632+$C$4613*H4633+$C$4617*H4634</f>
        <v>1455.61651648</v>
      </c>
      <c r="I4638" s="39" t="n">
        <f aca="false">$C$4609*I4632+$C$4613*I4633+$C$4617*I4634</f>
        <v>2486.00303616</v>
      </c>
      <c r="J4638" s="39" t="n">
        <f aca="false">$C$4609*J4632+$C$4613*J4633+$C$4617*J4634</f>
        <v>3516.38955584</v>
      </c>
      <c r="K4638" s="39" t="n">
        <f aca="false">$C$4609*K4632+$C$4613*K4633+$C$4617*K4634</f>
        <v>3516.38955584</v>
      </c>
      <c r="L4638" s="39" t="n">
        <f aca="false">$C$4609*L4632+$C$4613*L4633+$C$4617*L4634</f>
        <v>3516.38955584</v>
      </c>
      <c r="M4638" s="39" t="n">
        <f aca="false">$C$4609*M4632+$C$4613*M4633+$C$4617*M4634</f>
        <v>3516.38955584</v>
      </c>
      <c r="N4638" s="39" t="n">
        <f aca="false">$C$4609*N4632+$C$4613*N4633+$C$4617*N4634</f>
        <v>3516.38955584</v>
      </c>
      <c r="P4638" s="40" t="n">
        <f aca="false">F4638</f>
        <v>843.03944704</v>
      </c>
      <c r="Q4638" s="40" t="n">
        <f aca="false">J4638</f>
        <v>3516.38955584</v>
      </c>
      <c r="R4638" s="40" t="n">
        <f aca="false">N4638</f>
        <v>3516.38955584</v>
      </c>
      <c r="S4638" s="41" t="n">
        <f aca="false">R4638</f>
        <v>3516.38955584</v>
      </c>
    </row>
    <row r="4639" customFormat="false" ht="15" hidden="false" customHeight="false" outlineLevel="0" collapsed="false">
      <c r="A4639" s="4" t="s">
        <v>486</v>
      </c>
      <c r="B4639" s="36" t="s">
        <v>485</v>
      </c>
      <c r="C4639" s="39" t="n">
        <f aca="false">$C$4610*C4632+$C$4614*C4633+$C$4618*C4634</f>
        <v>105.59808</v>
      </c>
      <c r="D4639" s="39" t="n">
        <f aca="false">$C$4610*D4632+$C$4614*D4633+$C$4618*D4634</f>
        <v>211.19616</v>
      </c>
      <c r="E4639" s="39" t="n">
        <f aca="false">$C$4610*E4632+$C$4614*E4633+$C$4618*E4634</f>
        <v>211.19616</v>
      </c>
      <c r="F4639" s="39" t="n">
        <f aca="false">$C$4610*F4632+$C$4614*F4633+$C$4618*F4634</f>
        <v>211.19616</v>
      </c>
      <c r="G4639" s="39" t="n">
        <f aca="false">$C$4610*G4632+$C$4614*G4633+$C$4618*G4634</f>
        <v>282.24672</v>
      </c>
      <c r="H4639" s="39" t="n">
        <f aca="false">$C$4610*H4632+$C$4614*H4633+$C$4618*H4634</f>
        <v>353.29728</v>
      </c>
      <c r="I4639" s="39" t="n">
        <f aca="false">$C$4610*I4632+$C$4614*I4633+$C$4618*I4634</f>
        <v>567.53536</v>
      </c>
      <c r="J4639" s="39" t="n">
        <f aca="false">$C$4610*J4632+$C$4614*J4633+$C$4618*J4634</f>
        <v>781.77344</v>
      </c>
      <c r="K4639" s="39" t="n">
        <f aca="false">$C$4610*K4632+$C$4614*K4633+$C$4618*K4634</f>
        <v>781.77344</v>
      </c>
      <c r="L4639" s="39" t="n">
        <f aca="false">$C$4610*L4632+$C$4614*L4633+$C$4618*L4634</f>
        <v>781.77344</v>
      </c>
      <c r="M4639" s="39" t="n">
        <f aca="false">$C$4610*M4632+$C$4614*M4633+$C$4618*M4634</f>
        <v>781.77344</v>
      </c>
      <c r="N4639" s="39" t="n">
        <f aca="false">$C$4610*N4632+$C$4614*N4633+$C$4618*N4634</f>
        <v>781.77344</v>
      </c>
      <c r="P4639" s="40" t="n">
        <f aca="false">F4639</f>
        <v>211.19616</v>
      </c>
      <c r="Q4639" s="40" t="n">
        <f aca="false">J4639</f>
        <v>781.77344</v>
      </c>
      <c r="R4639" s="40" t="n">
        <f aca="false">N4639</f>
        <v>781.77344</v>
      </c>
      <c r="S4639" s="41" t="n">
        <f aca="false">R4639</f>
        <v>781.77344</v>
      </c>
    </row>
    <row r="4640" customFormat="false" ht="15" hidden="false" customHeight="false" outlineLevel="0" collapsed="false">
      <c r="A4640" s="4" t="s">
        <v>487</v>
      </c>
      <c r="B4640" s="36" t="s">
        <v>485</v>
      </c>
      <c r="C4640" s="39" t="n">
        <f aca="false">$C$4611*C4632+$C$4615*C4633+$C$4619*C4634</f>
        <v>24.76992</v>
      </c>
      <c r="D4640" s="39" t="n">
        <f aca="false">$C$4611*D4632+$C$4615*D4633+$C$4619*D4634</f>
        <v>49.53984</v>
      </c>
      <c r="E4640" s="39" t="n">
        <f aca="false">$C$4611*E4632+$C$4615*E4633+$C$4619*E4634</f>
        <v>49.53984</v>
      </c>
      <c r="F4640" s="39" t="n">
        <f aca="false">$C$4611*F4632+$C$4615*F4633+$C$4619*F4634</f>
        <v>49.53984</v>
      </c>
      <c r="G4640" s="39" t="n">
        <f aca="false">$C$4611*G4632+$C$4615*G4633+$C$4619*G4634</f>
        <v>61.9248</v>
      </c>
      <c r="H4640" s="39" t="n">
        <f aca="false">$C$4611*H4632+$C$4615*H4633+$C$4619*H4634</f>
        <v>74.30976</v>
      </c>
      <c r="I4640" s="39" t="n">
        <f aca="false">$C$4611*I4632+$C$4615*I4633+$C$4619*I4634</f>
        <v>114.072</v>
      </c>
      <c r="J4640" s="39" t="n">
        <f aca="false">$C$4611*J4632+$C$4615*J4633+$C$4619*J4634</f>
        <v>153.83424</v>
      </c>
      <c r="K4640" s="39" t="n">
        <f aca="false">$C$4611*K4632+$C$4615*K4633+$C$4619*K4634</f>
        <v>153.83424</v>
      </c>
      <c r="L4640" s="39" t="n">
        <f aca="false">$C$4611*L4632+$C$4615*L4633+$C$4619*L4634</f>
        <v>153.83424</v>
      </c>
      <c r="M4640" s="39" t="n">
        <f aca="false">$C$4611*M4632+$C$4615*M4633+$C$4619*M4634</f>
        <v>153.83424</v>
      </c>
      <c r="N4640" s="39" t="n">
        <f aca="false">$C$4611*N4632+$C$4615*N4633+$C$4619*N4634</f>
        <v>153.83424</v>
      </c>
      <c r="P4640" s="40" t="n">
        <f aca="false">F4640</f>
        <v>49.53984</v>
      </c>
      <c r="Q4640" s="40" t="n">
        <f aca="false">J4640</f>
        <v>153.83424</v>
      </c>
      <c r="R4640" s="40" t="n">
        <f aca="false">N4640</f>
        <v>153.83424</v>
      </c>
      <c r="S4640" s="41" t="n">
        <f aca="false">R4640</f>
        <v>153.83424</v>
      </c>
    </row>
    <row r="4641" customFormat="false" ht="15" hidden="false" customHeight="false" outlineLevel="0" collapsed="false">
      <c r="A4641" s="4" t="s">
        <v>488</v>
      </c>
      <c r="B4641" s="36" t="s">
        <v>485</v>
      </c>
      <c r="C4641" s="39" t="n">
        <f aca="false">C4638+C4639+C4640</f>
        <v>551.88772352</v>
      </c>
      <c r="D4641" s="39" t="n">
        <f aca="false">D4638+D4639+D4640</f>
        <v>1103.77544704</v>
      </c>
      <c r="E4641" s="39" t="n">
        <f aca="false">E4638+E4639+E4640</f>
        <v>1103.77544704</v>
      </c>
      <c r="F4641" s="39" t="n">
        <f aca="false">F4638+F4639+F4640</f>
        <v>1103.77544704</v>
      </c>
      <c r="G4641" s="39" t="n">
        <f aca="false">G4638+G4639+G4640</f>
        <v>1493.49950176</v>
      </c>
      <c r="H4641" s="39" t="n">
        <f aca="false">H4638+H4639+H4640</f>
        <v>1883.22355648</v>
      </c>
      <c r="I4641" s="39" t="n">
        <f aca="false">I4638+I4639+I4640</f>
        <v>3167.61039616</v>
      </c>
      <c r="J4641" s="39" t="n">
        <f aca="false">J4638+J4639+J4640</f>
        <v>4451.99723584</v>
      </c>
      <c r="K4641" s="39" t="n">
        <f aca="false">K4638+K4639+K4640</f>
        <v>4451.99723584</v>
      </c>
      <c r="L4641" s="39" t="n">
        <f aca="false">L4638+L4639+L4640</f>
        <v>4451.99723584</v>
      </c>
      <c r="M4641" s="39" t="n">
        <f aca="false">M4638+M4639+M4640</f>
        <v>4451.99723584</v>
      </c>
      <c r="N4641" s="39" t="n">
        <f aca="false">N4638+N4639+N4640</f>
        <v>4451.99723584</v>
      </c>
      <c r="P4641" s="40" t="n">
        <f aca="false">F4641</f>
        <v>1103.77544704</v>
      </c>
      <c r="Q4641" s="40" t="n">
        <f aca="false">J4641</f>
        <v>4451.99723584</v>
      </c>
      <c r="R4641" s="40" t="n">
        <f aca="false">N4641</f>
        <v>4451.99723584</v>
      </c>
      <c r="S4641" s="41" t="n">
        <f aca="false">R4641</f>
        <v>4451.99723584</v>
      </c>
    </row>
    <row r="4642" customFormat="false" ht="15" hidden="false" customHeight="false" outlineLevel="0" collapsed="false">
      <c r="A4642" s="4" t="s">
        <v>489</v>
      </c>
      <c r="B4642" s="36" t="s">
        <v>485</v>
      </c>
      <c r="C4642" s="39" t="n">
        <f aca="false">$C$4612*C4632*C4635+$C$4616*C4633*C4636+$C$4620*C4634*C4637</f>
        <v>551.88772352</v>
      </c>
      <c r="D4642" s="39" t="n">
        <f aca="false">$C$4612*D4632*D4635+$C$4616*D4633*D4636+$C$4620*D4634*D4637</f>
        <v>1027.17879437302</v>
      </c>
      <c r="E4642" s="39" t="n">
        <f aca="false">$C$4612*E4632*E4635+$C$4616*E4633*E4636+$C$4620*E4634*E4637</f>
        <v>955.897577210165</v>
      </c>
      <c r="F4642" s="39" t="n">
        <f aca="false">$C$4612*F4632*F4635+$C$4616*F4633*F4636+$C$4620*F4634*F4637</f>
        <v>889.562930155704</v>
      </c>
      <c r="G4642" s="39" t="n">
        <f aca="false">$C$4612*G4632*G4635+$C$4616*G4633*G4636+$C$4620*G4634*G4637</f>
        <v>1217.55564</v>
      </c>
      <c r="H4642" s="39" t="n">
        <f aca="false">$C$4612*H4632*H4635+$C$4616*H4633*H4636+$C$4620*H4634*H4637</f>
        <v>1495.74229384257</v>
      </c>
      <c r="I4642" s="39" t="n">
        <f aca="false">$C$4612*I4632*I4635+$C$4616*I4633*I4636+$C$4620*I4634*I4637</f>
        <v>2676.33188629442</v>
      </c>
      <c r="J4642" s="39" t="n">
        <f aca="false">$C$4612*J4632*J4635+$C$4616*J4633*J4636+$C$4620*J4634*J4637</f>
        <v>3685.86409192847</v>
      </c>
      <c r="K4642" s="39" t="n">
        <f aca="false">$C$4612*K4632*K4635+$C$4616*K4633*K4636+$C$4620*K4634*K4637</f>
        <v>3430.08303393858</v>
      </c>
      <c r="L4642" s="39" t="n">
        <f aca="false">$C$4612*L4632*L4635+$C$4616*L4633*L4636+$C$4620*L4634*L4637</f>
        <v>3192.05193850692</v>
      </c>
      <c r="M4642" s="39" t="n">
        <f aca="false">$C$4612*M4632*M4635+$C$4616*M4633*M4636+$C$4620*M4634*M4637</f>
        <v>2970.53904448081</v>
      </c>
      <c r="N4642" s="39" t="n">
        <f aca="false">$C$4612*N4632*N4635+$C$4616*N4633*N4636+$C$4620*N4634*N4637</f>
        <v>2764.39806894635</v>
      </c>
      <c r="P4642" s="40"/>
      <c r="Q4642" s="40"/>
      <c r="R4642" s="40"/>
      <c r="S4642" s="41"/>
    </row>
    <row r="4643" customFormat="false" ht="15" hidden="false" customHeight="false" outlineLevel="0" collapsed="false">
      <c r="A4643" s="4" t="s">
        <v>490</v>
      </c>
      <c r="B4643" s="36" t="s">
        <v>491</v>
      </c>
      <c r="C4643" s="48" t="n">
        <f aca="false">$C$4624*Assumptions!$E$20*C4631*C4642</f>
        <v>6.62265268224</v>
      </c>
      <c r="D4643" s="48" t="n">
        <f aca="false">$C$4624*Assumptions!$E$20*D4631*D4642</f>
        <v>12.3261455324762</v>
      </c>
      <c r="E4643" s="48" t="n">
        <f aca="false">$C$4624*Assumptions!$E$20*E4631*E4642</f>
        <v>11.470770926522</v>
      </c>
      <c r="F4643" s="48" t="n">
        <f aca="false">$C$4624*Assumptions!$E$20*F4631*F4642</f>
        <v>10.6747551618685</v>
      </c>
      <c r="G4643" s="48" t="n">
        <f aca="false">$C$4624*Assumptions!$E$20*G4631*G4642</f>
        <v>14.61066768</v>
      </c>
      <c r="H4643" s="48" t="n">
        <f aca="false">$C$4624*Assumptions!$E$20*H4631*H4642</f>
        <v>17.9489075261109</v>
      </c>
      <c r="I4643" s="48" t="n">
        <f aca="false">$C$4624*Assumptions!$E$20*I4631*I4642</f>
        <v>32.115982635533</v>
      </c>
      <c r="J4643" s="48" t="n">
        <f aca="false">$C$4624*Assumptions!$E$20*J4631*J4642</f>
        <v>44.2303691031417</v>
      </c>
      <c r="K4643" s="48" t="n">
        <f aca="false">$C$4624*Assumptions!$E$20*K4631*K4642</f>
        <v>41.160996407263</v>
      </c>
      <c r="L4643" s="48" t="n">
        <f aca="false">$C$4624*Assumptions!$E$20*L4631*L4642</f>
        <v>38.304623262083</v>
      </c>
      <c r="M4643" s="48" t="n">
        <f aca="false">$C$4624*Assumptions!$E$20*M4631*M4642</f>
        <v>35.6464685337698</v>
      </c>
      <c r="N4643" s="48" t="n">
        <f aca="false">$C$4624*Assumptions!$E$20*N4631*N4642</f>
        <v>33.1727768273562</v>
      </c>
      <c r="P4643" s="49" t="n">
        <f aca="false">SUM(C4643:F4643)</f>
        <v>41.0943243031066</v>
      </c>
      <c r="Q4643" s="49" t="n">
        <f aca="false">SUM(G4643:J4643)</f>
        <v>108.905926944786</v>
      </c>
      <c r="R4643" s="49" t="n">
        <f aca="false">SUM(K4643:N4643)</f>
        <v>148.284865030472</v>
      </c>
      <c r="S4643" s="50" t="n">
        <f aca="false">SUM(P4643:R4643)</f>
        <v>298.285116278364</v>
      </c>
    </row>
    <row r="4644" customFormat="false" ht="15" hidden="false" customHeight="false" outlineLevel="0" collapsed="false">
      <c r="A4644" s="4" t="s">
        <v>492</v>
      </c>
      <c r="B4644" s="36" t="s">
        <v>321</v>
      </c>
      <c r="C4644" s="48" t="n">
        <f aca="false">Assumptions!$D$111</f>
        <v>0</v>
      </c>
      <c r="D4644" s="48" t="n">
        <f aca="false">Assumptions!$E$111</f>
        <v>0</v>
      </c>
      <c r="E4644" s="48" t="n">
        <f aca="false">Assumptions!$F$111</f>
        <v>0</v>
      </c>
      <c r="F4644" s="48" t="n">
        <f aca="false">Assumptions!$G$111</f>
        <v>0</v>
      </c>
      <c r="G4644" s="48" t="n">
        <f aca="false">Assumptions!$H$111</f>
        <v>0</v>
      </c>
      <c r="H4644" s="48" t="n">
        <f aca="false">Assumptions!$I$111</f>
        <v>0</v>
      </c>
      <c r="I4644" s="48" t="n">
        <f aca="false">Assumptions!$J$111</f>
        <v>0</v>
      </c>
      <c r="J4644" s="48" t="n">
        <f aca="false">Assumptions!$K$111</f>
        <v>0</v>
      </c>
      <c r="K4644" s="48" t="n">
        <f aca="false">Assumptions!$L$111</f>
        <v>0</v>
      </c>
      <c r="L4644" s="48" t="n">
        <f aca="false">Assumptions!$M$111</f>
        <v>0</v>
      </c>
      <c r="M4644" s="48" t="n">
        <f aca="false">Assumptions!$N$111</f>
        <v>0</v>
      </c>
      <c r="N4644" s="48" t="n">
        <f aca="false">Assumptions!$O$111</f>
        <v>0</v>
      </c>
      <c r="P4644" s="49" t="n">
        <f aca="false">F4644</f>
        <v>0</v>
      </c>
      <c r="Q4644" s="49" t="n">
        <f aca="false">J4644</f>
        <v>0</v>
      </c>
      <c r="R4644" s="49" t="n">
        <f aca="false">N4644</f>
        <v>0</v>
      </c>
      <c r="S4644" s="50" t="n">
        <f aca="false">R4644</f>
        <v>0</v>
      </c>
    </row>
    <row r="4645" customFormat="false" ht="15" hidden="false" customHeight="false" outlineLevel="0" collapsed="false">
      <c r="A4645" s="4" t="s">
        <v>493</v>
      </c>
      <c r="B4645" s="36" t="s">
        <v>321</v>
      </c>
      <c r="C4645" s="48" t="n">
        <f aca="false">0</f>
        <v>0</v>
      </c>
      <c r="D4645" s="48" t="n">
        <f aca="false">0.5*C4644</f>
        <v>0</v>
      </c>
      <c r="E4645" s="48" t="n">
        <f aca="false">C4644+0.5*(D4644-C4644)</f>
        <v>0</v>
      </c>
      <c r="F4645" s="48" t="n">
        <f aca="false">D4644+0.5*(E4644-D4644)</f>
        <v>0</v>
      </c>
      <c r="G4645" s="48" t="n">
        <f aca="false">E4644+0.5*(F4644-E4644)</f>
        <v>0</v>
      </c>
      <c r="H4645" s="48" t="n">
        <f aca="false">F4644+0.5*(G4644-F4644)</f>
        <v>0</v>
      </c>
      <c r="I4645" s="48" t="n">
        <f aca="false">G4644+0.5*(H4644-G4644)</f>
        <v>0</v>
      </c>
      <c r="J4645" s="48" t="n">
        <f aca="false">H4644+0.5*(I4644-H4644)</f>
        <v>0</v>
      </c>
      <c r="K4645" s="48" t="n">
        <f aca="false">I4644+0.5*(J4644-I4644)</f>
        <v>0</v>
      </c>
      <c r="L4645" s="48" t="n">
        <f aca="false">J4644+0.5*(K4644-J4644)</f>
        <v>0</v>
      </c>
      <c r="M4645" s="48" t="n">
        <f aca="false">K4644+0.5*(L4644-K4644)</f>
        <v>0</v>
      </c>
      <c r="N4645" s="48" t="n">
        <f aca="false">L4644+0.5*(M4644-L4644)</f>
        <v>0</v>
      </c>
      <c r="P4645" s="49" t="n">
        <f aca="false">F4645</f>
        <v>0</v>
      </c>
      <c r="Q4645" s="49" t="n">
        <f aca="false">J4645</f>
        <v>0</v>
      </c>
      <c r="R4645" s="49" t="n">
        <f aca="false">N4645</f>
        <v>0</v>
      </c>
      <c r="S4645" s="50" t="n">
        <f aca="false">R4645</f>
        <v>0</v>
      </c>
    </row>
    <row r="4646" customFormat="false" ht="15" hidden="false" customHeight="false" outlineLevel="0" collapsed="false">
      <c r="A4646" s="4" t="s">
        <v>494</v>
      </c>
      <c r="B4646" s="36" t="s">
        <v>485</v>
      </c>
      <c r="C4646" s="39" t="n">
        <f aca="false">MIN(C4645*Assumptions!$E$38,C4641*(1-$C$4624))</f>
        <v>0</v>
      </c>
      <c r="D4646" s="39" t="n">
        <f aca="false">MIN(D4645*Assumptions!$E$38,D4641*(1-$C$4624))</f>
        <v>0</v>
      </c>
      <c r="E4646" s="39" t="n">
        <f aca="false">MIN(E4645*Assumptions!$E$38,E4641*(1-$C$4624))</f>
        <v>0</v>
      </c>
      <c r="F4646" s="39" t="n">
        <f aca="false">MIN(F4645*Assumptions!$E$38,F4641*(1-$C$4624))</f>
        <v>0</v>
      </c>
      <c r="G4646" s="39" t="n">
        <f aca="false">MIN(G4645*Assumptions!$E$38,G4641*(1-$C$4624))</f>
        <v>0</v>
      </c>
      <c r="H4646" s="39" t="n">
        <f aca="false">MIN(H4645*Assumptions!$E$38,H4641*(1-$C$4624))</f>
        <v>0</v>
      </c>
      <c r="I4646" s="39" t="n">
        <f aca="false">MIN(I4645*Assumptions!$E$38,I4641*(1-$C$4624))</f>
        <v>0</v>
      </c>
      <c r="J4646" s="39" t="n">
        <f aca="false">MIN(J4645*Assumptions!$E$38,J4641*(1-$C$4624))</f>
        <v>0</v>
      </c>
      <c r="K4646" s="39" t="n">
        <f aca="false">MIN(K4645*Assumptions!$E$38,K4641*(1-$C$4624))</f>
        <v>0</v>
      </c>
      <c r="L4646" s="39" t="n">
        <f aca="false">MIN(L4645*Assumptions!$E$38,L4641*(1-$C$4624))</f>
        <v>0</v>
      </c>
      <c r="M4646" s="39" t="n">
        <f aca="false">MIN(M4645*Assumptions!$E$38,M4641*(1-$C$4624))</f>
        <v>0</v>
      </c>
      <c r="N4646" s="39" t="n">
        <f aca="false">MIN(N4645*Assumptions!$E$38,N4641*(1-$C$4624))</f>
        <v>0</v>
      </c>
      <c r="P4646" s="40" t="n">
        <f aca="false">SUM(C4646:F4646)</f>
        <v>0</v>
      </c>
      <c r="Q4646" s="40" t="n">
        <f aca="false">SUM(G4646:J4646)</f>
        <v>0</v>
      </c>
      <c r="R4646" s="40" t="n">
        <f aca="false">SUM(K4646:N4646)</f>
        <v>0</v>
      </c>
      <c r="S4646" s="41" t="n">
        <f aca="false">SUM(P4646:R4646)</f>
        <v>0</v>
      </c>
    </row>
    <row r="4647" customFormat="false" ht="15" hidden="false" customHeight="false" outlineLevel="0" collapsed="false">
      <c r="A4647" s="4" t="s">
        <v>495</v>
      </c>
      <c r="B4647" s="36" t="s">
        <v>491</v>
      </c>
      <c r="C4647" s="48" t="n">
        <f aca="false">C4646*Assumptions!$E$20*Assumptions!$E$39*IF(C4641&gt;0,C4642/C4641,0)*C4631</f>
        <v>0</v>
      </c>
      <c r="D4647" s="48" t="n">
        <f aca="false">D4646*Assumptions!$E$20*Assumptions!$E$39*IF(D4641&gt;0,D4642/D4641,0)*D4631</f>
        <v>0</v>
      </c>
      <c r="E4647" s="48" t="n">
        <f aca="false">E4646*Assumptions!$E$20*Assumptions!$E$39*IF(E4641&gt;0,E4642/E4641,0)*E4631</f>
        <v>0</v>
      </c>
      <c r="F4647" s="48" t="n">
        <f aca="false">F4646*Assumptions!$E$20*Assumptions!$E$39*IF(F4641&gt;0,F4642/F4641,0)*F4631</f>
        <v>0</v>
      </c>
      <c r="G4647" s="48" t="n">
        <f aca="false">G4646*Assumptions!$E$20*Assumptions!$E$39*IF(G4641&gt;0,G4642/G4641,0)*G4631</f>
        <v>0</v>
      </c>
      <c r="H4647" s="48" t="n">
        <f aca="false">H4646*Assumptions!$E$20*Assumptions!$E$39*IF(H4641&gt;0,H4642/H4641,0)*H4631</f>
        <v>0</v>
      </c>
      <c r="I4647" s="48" t="n">
        <f aca="false">I4646*Assumptions!$E$20*Assumptions!$E$39*IF(I4641&gt;0,I4642/I4641,0)*I4631</f>
        <v>0</v>
      </c>
      <c r="J4647" s="48" t="n">
        <f aca="false">J4646*Assumptions!$E$20*Assumptions!$E$39*IF(J4641&gt;0,J4642/J4641,0)*J4631</f>
        <v>0</v>
      </c>
      <c r="K4647" s="48" t="n">
        <f aca="false">K4646*Assumptions!$E$20*Assumptions!$E$39*IF(K4641&gt;0,K4642/K4641,0)*K4631</f>
        <v>0</v>
      </c>
      <c r="L4647" s="48" t="n">
        <f aca="false">L4646*Assumptions!$E$20*Assumptions!$E$39*IF(L4641&gt;0,L4642/L4641,0)*L4631</f>
        <v>0</v>
      </c>
      <c r="M4647" s="48" t="n">
        <f aca="false">M4646*Assumptions!$E$20*Assumptions!$E$39*IF(M4641&gt;0,M4642/M4641,0)*M4631</f>
        <v>0</v>
      </c>
      <c r="N4647" s="48" t="n">
        <f aca="false">N4646*Assumptions!$E$20*Assumptions!$E$39*IF(N4641&gt;0,N4642/N4641,0)*N4631</f>
        <v>0</v>
      </c>
      <c r="P4647" s="49" t="n">
        <f aca="false">SUM(C4647:F4647)</f>
        <v>0</v>
      </c>
      <c r="Q4647" s="49" t="n">
        <f aca="false">SUM(G4647:J4647)</f>
        <v>0</v>
      </c>
      <c r="R4647" s="49" t="n">
        <f aca="false">SUM(K4647:N4647)</f>
        <v>0</v>
      </c>
      <c r="S4647" s="50" t="n">
        <f aca="false">SUM(P4647:R4647)</f>
        <v>0</v>
      </c>
    </row>
    <row r="4648" customFormat="false" ht="15" hidden="false" customHeight="false" outlineLevel="0" collapsed="false">
      <c r="A4648" s="4" t="s">
        <v>496</v>
      </c>
      <c r="B4648" s="36" t="s">
        <v>497</v>
      </c>
      <c r="C4648" s="48" t="n">
        <f aca="false">IF(AND(C4641&gt;0,$C$4628&gt;0),C4641*Assumptions!$E$24*(1-EXP(-$C$4628/(Assumptions!$E$23*C4641*Assumptions!$E$24))),0)</f>
        <v>0</v>
      </c>
      <c r="D4648" s="48" t="n">
        <f aca="false">IF(AND(D4641&gt;0,$C$4628&gt;0),D4641*Assumptions!$E$24*(1-EXP(-$C$4628/(Assumptions!$E$23*D4641*Assumptions!$E$24))),0)</f>
        <v>0</v>
      </c>
      <c r="E4648" s="48" t="n">
        <f aca="false">IF(AND(E4641&gt;0,$C$4628&gt;0),E4641*Assumptions!$E$24*(1-EXP(-$C$4628/(Assumptions!$E$23*E4641*Assumptions!$E$24))),0)</f>
        <v>0</v>
      </c>
      <c r="F4648" s="48" t="n">
        <f aca="false">IF(AND(F4641&gt;0,$C$4628&gt;0),F4641*Assumptions!$E$24*(1-EXP(-$C$4628/(Assumptions!$E$23*F4641*Assumptions!$E$24))),0)</f>
        <v>0</v>
      </c>
      <c r="G4648" s="48" t="n">
        <f aca="false">IF(AND(G4641&gt;0,$C$4628&gt;0),G4641*Assumptions!$E$24*(1-EXP(-$C$4628/(Assumptions!$E$23*G4641*Assumptions!$E$24))),0)</f>
        <v>0</v>
      </c>
      <c r="H4648" s="48" t="n">
        <f aca="false">IF(AND(H4641&gt;0,$C$4628&gt;0),H4641*Assumptions!$E$24*(1-EXP(-$C$4628/(Assumptions!$E$23*H4641*Assumptions!$E$24))),0)</f>
        <v>0</v>
      </c>
      <c r="I4648" s="48" t="n">
        <f aca="false">IF(AND(I4641&gt;0,$C$4628&gt;0),I4641*Assumptions!$E$24*(1-EXP(-$C$4628/(Assumptions!$E$23*I4641*Assumptions!$E$24))),0)</f>
        <v>0</v>
      </c>
      <c r="J4648" s="48" t="n">
        <f aca="false">IF(AND(J4641&gt;0,$C$4628&gt;0),J4641*Assumptions!$E$24*(1-EXP(-$C$4628/(Assumptions!$E$23*J4641*Assumptions!$E$24))),0)</f>
        <v>0</v>
      </c>
      <c r="K4648" s="48" t="n">
        <f aca="false">IF(AND(K4641&gt;0,$C$4628&gt;0),K4641*Assumptions!$E$24*(1-EXP(-$C$4628/(Assumptions!$E$23*K4641*Assumptions!$E$24))),0)</f>
        <v>0</v>
      </c>
      <c r="L4648" s="48" t="n">
        <f aca="false">IF(AND(L4641&gt;0,$C$4628&gt;0),L4641*Assumptions!$E$24*(1-EXP(-$C$4628/(Assumptions!$E$23*L4641*Assumptions!$E$24))),0)</f>
        <v>0</v>
      </c>
      <c r="M4648" s="48" t="n">
        <f aca="false">IF(AND(M4641&gt;0,$C$4628&gt;0),M4641*Assumptions!$E$24*(1-EXP(-$C$4628/(Assumptions!$E$23*M4641*Assumptions!$E$24))),0)</f>
        <v>0</v>
      </c>
      <c r="N4648" s="48" t="n">
        <f aca="false">IF(AND(N4641&gt;0,$C$4628&gt;0),N4641*Assumptions!$E$24*(1-EXP(-$C$4628/(Assumptions!$E$23*N4641*Assumptions!$E$24))),0)</f>
        <v>0</v>
      </c>
      <c r="P4648" s="49" t="n">
        <f aca="false">SUM(C4648:F4648)</f>
        <v>0</v>
      </c>
      <c r="Q4648" s="49" t="n">
        <f aca="false">SUM(G4648:J4648)</f>
        <v>0</v>
      </c>
      <c r="R4648" s="49" t="n">
        <f aca="false">SUM(K4648:N4648)</f>
        <v>0</v>
      </c>
      <c r="S4648" s="50" t="n">
        <f aca="false">SUM(P4648:R4648)</f>
        <v>0</v>
      </c>
    </row>
    <row r="4649" customFormat="false" ht="15" hidden="false" customHeight="false" outlineLevel="0" collapsed="false">
      <c r="A4649" s="4" t="s">
        <v>498</v>
      </c>
      <c r="B4649" s="36" t="s">
        <v>497</v>
      </c>
      <c r="C4649" s="48" t="n">
        <f aca="false">(C4641*Assumptions!$E$22*MIN(1,Assumptions!$D$103/Assumptions!$E$78)+C4648)*C4631</f>
        <v>5.5188772352</v>
      </c>
      <c r="D4649" s="48" t="n">
        <f aca="false">(D4641*Assumptions!$E$22*MIN(1,Assumptions!$D$103/Assumptions!$E$78)+D4648)*D4631</f>
        <v>11.0377544704</v>
      </c>
      <c r="E4649" s="48" t="n">
        <f aca="false">(E4641*Assumptions!$E$22*MIN(1,Assumptions!$D$103/Assumptions!$E$78)+E4648)*E4631</f>
        <v>11.0377544704</v>
      </c>
      <c r="F4649" s="48" t="n">
        <f aca="false">(F4641*Assumptions!$E$22*MIN(1,Assumptions!$D$103/Assumptions!$E$78)+F4648)*F4631</f>
        <v>11.0377544704</v>
      </c>
      <c r="G4649" s="48" t="n">
        <f aca="false">(G4641*Assumptions!$E$22*MIN(1,Assumptions!$D$103/Assumptions!$E$78)+G4648)*G4631</f>
        <v>14.9349950176</v>
      </c>
      <c r="H4649" s="48" t="n">
        <f aca="false">(H4641*Assumptions!$E$22*MIN(1,Assumptions!$D$103/Assumptions!$E$78)+H4648)*H4631</f>
        <v>18.8322355648</v>
      </c>
      <c r="I4649" s="48" t="n">
        <f aca="false">(I4641*Assumptions!$E$22*MIN(1,Assumptions!$D$103/Assumptions!$E$78)+I4648)*I4631</f>
        <v>31.6761039616</v>
      </c>
      <c r="J4649" s="48" t="n">
        <f aca="false">(J4641*Assumptions!$E$22*MIN(1,Assumptions!$D$103/Assumptions!$E$78)+J4648)*J4631</f>
        <v>44.5199723584</v>
      </c>
      <c r="K4649" s="48" t="n">
        <f aca="false">(K4641*Assumptions!$E$22*MIN(1,Assumptions!$D$103/Assumptions!$E$78)+K4648)*K4631</f>
        <v>44.5199723584</v>
      </c>
      <c r="L4649" s="48" t="n">
        <f aca="false">(L4641*Assumptions!$E$22*MIN(1,Assumptions!$D$103/Assumptions!$E$78)+L4648)*L4631</f>
        <v>44.5199723584</v>
      </c>
      <c r="M4649" s="48" t="n">
        <f aca="false">(M4641*Assumptions!$E$22*MIN(1,Assumptions!$D$103/Assumptions!$E$78)+M4648)*M4631</f>
        <v>44.5199723584</v>
      </c>
      <c r="N4649" s="48" t="n">
        <f aca="false">(N4641*Assumptions!$E$22*MIN(1,Assumptions!$D$103/Assumptions!$E$78)+N4648)*N4631</f>
        <v>44.5199723584</v>
      </c>
      <c r="P4649" s="49" t="n">
        <f aca="false">SUM(C4649:F4649)</f>
        <v>38.6321406464</v>
      </c>
      <c r="Q4649" s="49" t="n">
        <f aca="false">SUM(G4649:J4649)</f>
        <v>109.9633069024</v>
      </c>
      <c r="R4649" s="49" t="n">
        <f aca="false">SUM(K4649:N4649)</f>
        <v>178.0798894336</v>
      </c>
      <c r="S4649" s="50" t="n">
        <f aca="false">SUM(P4649:R4649)</f>
        <v>326.6753369824</v>
      </c>
    </row>
    <row r="4650" customFormat="false" ht="15" hidden="false" customHeight="false" outlineLevel="0" collapsed="false">
      <c r="A4650" s="4" t="s">
        <v>499</v>
      </c>
      <c r="B4650" s="36" t="s">
        <v>500</v>
      </c>
      <c r="C4650" s="48" t="n">
        <f aca="false">C4631*MIN(Assumptions!$E$27,Assumptions!$E$25+Assumptions!$E$26*(C4630-1))*Assumptions!$D$107</f>
        <v>2</v>
      </c>
      <c r="D4650" s="48" t="n">
        <f aca="false">D4631*MIN(Assumptions!$E$27,Assumptions!$E$25+Assumptions!$E$26*(D4630-1))*Assumptions!$D$107</f>
        <v>3</v>
      </c>
      <c r="E4650" s="48" t="n">
        <f aca="false">E4631*MIN(Assumptions!$E$27,Assumptions!$E$25+Assumptions!$E$26*(E4630-1))*Assumptions!$D$107</f>
        <v>4</v>
      </c>
      <c r="F4650" s="48" t="n">
        <f aca="false">F4631*MIN(Assumptions!$E$27,Assumptions!$E$25+Assumptions!$E$26*(F4630-1))*Assumptions!$D$107</f>
        <v>5</v>
      </c>
      <c r="G4650" s="48" t="n">
        <f aca="false">G4631*MIN(Assumptions!$E$27,Assumptions!$E$25+Assumptions!$E$26*(G4630-1))*Assumptions!$D$107</f>
        <v>6</v>
      </c>
      <c r="H4650" s="48" t="n">
        <f aca="false">H4631*MIN(Assumptions!$E$27,Assumptions!$E$25+Assumptions!$E$26*(H4630-1))*Assumptions!$D$107</f>
        <v>7</v>
      </c>
      <c r="I4650" s="48" t="n">
        <f aca="false">I4631*MIN(Assumptions!$E$27,Assumptions!$E$25+Assumptions!$E$26*(I4630-1))*Assumptions!$D$107</f>
        <v>8</v>
      </c>
      <c r="J4650" s="48" t="n">
        <f aca="false">J4631*MIN(Assumptions!$E$27,Assumptions!$E$25+Assumptions!$E$26*(J4630-1))*Assumptions!$D$107</f>
        <v>9</v>
      </c>
      <c r="K4650" s="48" t="n">
        <f aca="false">K4631*MIN(Assumptions!$E$27,Assumptions!$E$25+Assumptions!$E$26*(K4630-1))*Assumptions!$D$107</f>
        <v>10</v>
      </c>
      <c r="L4650" s="48" t="n">
        <f aca="false">L4631*MIN(Assumptions!$E$27,Assumptions!$E$25+Assumptions!$E$26*(L4630-1))*Assumptions!$D$107</f>
        <v>10</v>
      </c>
      <c r="M4650" s="48" t="n">
        <f aca="false">M4631*MIN(Assumptions!$E$27,Assumptions!$E$25+Assumptions!$E$26*(M4630-1))*Assumptions!$D$107</f>
        <v>10</v>
      </c>
      <c r="N4650" s="48" t="n">
        <f aca="false">N4631*MIN(Assumptions!$E$27,Assumptions!$E$25+Assumptions!$E$26*(N4630-1))*Assumptions!$D$107</f>
        <v>10</v>
      </c>
      <c r="P4650" s="49" t="n">
        <f aca="false">F4650</f>
        <v>5</v>
      </c>
      <c r="Q4650" s="49" t="n">
        <f aca="false">J4650</f>
        <v>9</v>
      </c>
      <c r="R4650" s="49" t="n">
        <f aca="false">N4650</f>
        <v>10</v>
      </c>
      <c r="S4650" s="50" t="n">
        <f aca="false">R4650</f>
        <v>10</v>
      </c>
    </row>
    <row r="4651" customFormat="false" ht="15" hidden="false" customHeight="false" outlineLevel="0" collapsed="false">
      <c r="A4651" s="4" t="s">
        <v>501</v>
      </c>
      <c r="B4651" s="36" t="s">
        <v>502</v>
      </c>
      <c r="C4651" s="48" t="n">
        <f aca="false">C4650*Assumptions!$E$28</f>
        <v>6</v>
      </c>
      <c r="D4651" s="48" t="n">
        <f aca="false">D4650*Assumptions!$E$28</f>
        <v>9</v>
      </c>
      <c r="E4651" s="48" t="n">
        <f aca="false">E4650*Assumptions!$E$28</f>
        <v>12</v>
      </c>
      <c r="F4651" s="48" t="n">
        <f aca="false">F4650*Assumptions!$E$28</f>
        <v>15</v>
      </c>
      <c r="G4651" s="48" t="n">
        <f aca="false">G4650*Assumptions!$E$28</f>
        <v>18</v>
      </c>
      <c r="H4651" s="48" t="n">
        <f aca="false">H4650*Assumptions!$E$28</f>
        <v>21</v>
      </c>
      <c r="I4651" s="48" t="n">
        <f aca="false">I4650*Assumptions!$E$28</f>
        <v>24</v>
      </c>
      <c r="J4651" s="48" t="n">
        <f aca="false">J4650*Assumptions!$E$28</f>
        <v>27</v>
      </c>
      <c r="K4651" s="48" t="n">
        <f aca="false">K4650*Assumptions!$E$28</f>
        <v>30</v>
      </c>
      <c r="L4651" s="48" t="n">
        <f aca="false">L4650*Assumptions!$E$28</f>
        <v>30</v>
      </c>
      <c r="M4651" s="48" t="n">
        <f aca="false">M4650*Assumptions!$E$28</f>
        <v>30</v>
      </c>
      <c r="N4651" s="48" t="n">
        <f aca="false">N4650*Assumptions!$E$28</f>
        <v>30</v>
      </c>
      <c r="P4651" s="49" t="n">
        <f aca="false">SUM(C4651:F4651)</f>
        <v>42</v>
      </c>
      <c r="Q4651" s="49" t="n">
        <f aca="false">SUM(G4651:J4651)</f>
        <v>90</v>
      </c>
      <c r="R4651" s="49" t="n">
        <f aca="false">SUM(K4651:N4651)</f>
        <v>120</v>
      </c>
      <c r="S4651" s="50" t="n">
        <f aca="false">SUM(P4651:R4651)</f>
        <v>252</v>
      </c>
    </row>
    <row r="4652" customFormat="false" ht="15" hidden="false" customHeight="false" outlineLevel="0" collapsed="false">
      <c r="A4652" s="4" t="s">
        <v>503</v>
      </c>
      <c r="B4652" s="36" t="s">
        <v>504</v>
      </c>
      <c r="C4652" s="48" t="n">
        <f aca="false">(C4643+C4647)*Assumptions!$F$29</f>
        <v>3.31132634112</v>
      </c>
      <c r="D4652" s="48" t="n">
        <f aca="false">(D4643+D4647)*Assumptions!$F$29</f>
        <v>6.1630727662381</v>
      </c>
      <c r="E4652" s="48" t="n">
        <f aca="false">(E4643+E4647)*Assumptions!$F$29</f>
        <v>5.73538546326099</v>
      </c>
      <c r="F4652" s="48" t="n">
        <f aca="false">(F4643+F4647)*Assumptions!$F$29</f>
        <v>5.33737758093423</v>
      </c>
      <c r="G4652" s="48" t="n">
        <f aca="false">(G4643+G4647)*Assumptions!$F$29</f>
        <v>7.30533384</v>
      </c>
      <c r="H4652" s="48" t="n">
        <f aca="false">(H4643+H4647)*Assumptions!$F$29</f>
        <v>8.97445376305543</v>
      </c>
      <c r="I4652" s="48" t="n">
        <f aca="false">(I4643+I4647)*Assumptions!$F$29</f>
        <v>16.0579913177665</v>
      </c>
      <c r="J4652" s="48" t="n">
        <f aca="false">(J4643+J4647)*Assumptions!$F$29</f>
        <v>22.1151845515708</v>
      </c>
      <c r="K4652" s="48" t="n">
        <f aca="false">(K4643+K4647)*Assumptions!$F$29</f>
        <v>20.5804982036315</v>
      </c>
      <c r="L4652" s="48" t="n">
        <f aca="false">(L4643+L4647)*Assumptions!$F$29</f>
        <v>19.1523116310415</v>
      </c>
      <c r="M4652" s="48" t="n">
        <f aca="false">(M4643+M4647)*Assumptions!$F$29</f>
        <v>17.8232342668849</v>
      </c>
      <c r="N4652" s="48" t="n">
        <f aca="false">(N4643+N4647)*Assumptions!$F$29</f>
        <v>16.5863884136781</v>
      </c>
      <c r="P4652" s="49" t="n">
        <f aca="false">SUM(C4652:F4652)</f>
        <v>20.5471621515533</v>
      </c>
      <c r="Q4652" s="49" t="n">
        <f aca="false">SUM(G4652:J4652)</f>
        <v>54.4529634723928</v>
      </c>
      <c r="R4652" s="49" t="n">
        <f aca="false">SUM(K4652:N4652)</f>
        <v>74.142432515236</v>
      </c>
      <c r="S4652" s="50" t="n">
        <f aca="false">SUM(P4652:R4652)</f>
        <v>149.142558139182</v>
      </c>
    </row>
    <row r="4653" customFormat="false" ht="15" hidden="false" customHeight="false" outlineLevel="0" collapsed="false">
      <c r="A4653" s="4" t="s">
        <v>505</v>
      </c>
      <c r="B4653" s="36" t="s">
        <v>504</v>
      </c>
      <c r="C4653" s="48" t="n">
        <f aca="false">C4649*Assumptions!$F$31</f>
        <v>1.214152991744</v>
      </c>
      <c r="D4653" s="48" t="n">
        <f aca="false">D4649*Assumptions!$F$31</f>
        <v>2.428305983488</v>
      </c>
      <c r="E4653" s="48" t="n">
        <f aca="false">E4649*Assumptions!$F$31</f>
        <v>2.428305983488</v>
      </c>
      <c r="F4653" s="48" t="n">
        <f aca="false">F4649*Assumptions!$F$31</f>
        <v>2.428305983488</v>
      </c>
      <c r="G4653" s="48" t="n">
        <f aca="false">G4649*Assumptions!$F$31</f>
        <v>3.285698903872</v>
      </c>
      <c r="H4653" s="48" t="n">
        <f aca="false">H4649*Assumptions!$F$31</f>
        <v>4.143091824256</v>
      </c>
      <c r="I4653" s="48" t="n">
        <f aca="false">I4649*Assumptions!$F$31</f>
        <v>6.968742871552</v>
      </c>
      <c r="J4653" s="48" t="n">
        <f aca="false">J4649*Assumptions!$F$31</f>
        <v>9.794393918848</v>
      </c>
      <c r="K4653" s="48" t="n">
        <f aca="false">K4649*Assumptions!$F$31</f>
        <v>9.794393918848</v>
      </c>
      <c r="L4653" s="48" t="n">
        <f aca="false">L4649*Assumptions!$F$31</f>
        <v>9.794393918848</v>
      </c>
      <c r="M4653" s="48" t="n">
        <f aca="false">M4649*Assumptions!$F$31</f>
        <v>9.794393918848</v>
      </c>
      <c r="N4653" s="48" t="n">
        <f aca="false">N4649*Assumptions!$F$31</f>
        <v>9.794393918848</v>
      </c>
      <c r="P4653" s="49" t="n">
        <f aca="false">SUM(C4653:F4653)</f>
        <v>8.499070942208</v>
      </c>
      <c r="Q4653" s="49" t="n">
        <f aca="false">SUM(G4653:J4653)</f>
        <v>24.191927518528</v>
      </c>
      <c r="R4653" s="49" t="n">
        <f aca="false">SUM(K4653:N4653)</f>
        <v>39.177575675392</v>
      </c>
      <c r="S4653" s="50" t="n">
        <f aca="false">SUM(P4653:R4653)</f>
        <v>71.868574136128</v>
      </c>
    </row>
    <row r="4654" customFormat="false" ht="15" hidden="false" customHeight="false" outlineLevel="0" collapsed="false">
      <c r="A4654" s="4" t="s">
        <v>506</v>
      </c>
      <c r="B4654" s="36" t="s">
        <v>504</v>
      </c>
      <c r="C4654" s="48" t="n">
        <f aca="false">C4651*Assumptions!$F$30</f>
        <v>3.6</v>
      </c>
      <c r="D4654" s="48" t="n">
        <f aca="false">D4651*Assumptions!$F$30</f>
        <v>5.4</v>
      </c>
      <c r="E4654" s="48" t="n">
        <f aca="false">E4651*Assumptions!$F$30</f>
        <v>7.2</v>
      </c>
      <c r="F4654" s="48" t="n">
        <f aca="false">F4651*Assumptions!$F$30</f>
        <v>9</v>
      </c>
      <c r="G4654" s="48" t="n">
        <f aca="false">G4651*Assumptions!$F$30</f>
        <v>10.8</v>
      </c>
      <c r="H4654" s="48" t="n">
        <f aca="false">H4651*Assumptions!$F$30</f>
        <v>12.6</v>
      </c>
      <c r="I4654" s="48" t="n">
        <f aca="false">I4651*Assumptions!$F$30</f>
        <v>14.4</v>
      </c>
      <c r="J4654" s="48" t="n">
        <f aca="false">J4651*Assumptions!$F$30</f>
        <v>16.2</v>
      </c>
      <c r="K4654" s="48" t="n">
        <f aca="false">K4651*Assumptions!$F$30</f>
        <v>18</v>
      </c>
      <c r="L4654" s="48" t="n">
        <f aca="false">L4651*Assumptions!$F$30</f>
        <v>18</v>
      </c>
      <c r="M4654" s="48" t="n">
        <f aca="false">M4651*Assumptions!$F$30</f>
        <v>18</v>
      </c>
      <c r="N4654" s="48" t="n">
        <f aca="false">N4651*Assumptions!$F$30</f>
        <v>18</v>
      </c>
      <c r="P4654" s="49" t="n">
        <f aca="false">SUM(C4654:F4654)</f>
        <v>25.2</v>
      </c>
      <c r="Q4654" s="49" t="n">
        <f aca="false">SUM(G4654:J4654)</f>
        <v>54</v>
      </c>
      <c r="R4654" s="49" t="n">
        <f aca="false">SUM(K4654:N4654)</f>
        <v>72</v>
      </c>
      <c r="S4654" s="50" t="n">
        <f aca="false">SUM(P4654:R4654)</f>
        <v>151.2</v>
      </c>
    </row>
    <row r="4655" customFormat="false" ht="15" hidden="false" customHeight="false" outlineLevel="0" collapsed="false">
      <c r="A4655" s="9" t="s">
        <v>507</v>
      </c>
      <c r="B4655" s="36" t="s">
        <v>504</v>
      </c>
      <c r="C4655" s="49" t="n">
        <f aca="false">C4652+C4653+C4654</f>
        <v>8.125479332864</v>
      </c>
      <c r="D4655" s="49" t="n">
        <f aca="false">D4652+D4653+D4654</f>
        <v>13.9913787497261</v>
      </c>
      <c r="E4655" s="49" t="n">
        <f aca="false">E4652+E4653+E4654</f>
        <v>15.363691446749</v>
      </c>
      <c r="F4655" s="49" t="n">
        <f aca="false">F4652+F4653+F4654</f>
        <v>16.7656835644222</v>
      </c>
      <c r="G4655" s="49" t="n">
        <f aca="false">G4652+G4653+G4654</f>
        <v>21.391032743872</v>
      </c>
      <c r="H4655" s="49" t="n">
        <f aca="false">H4652+H4653+H4654</f>
        <v>25.7175455873114</v>
      </c>
      <c r="I4655" s="49" t="n">
        <f aca="false">I4652+I4653+I4654</f>
        <v>37.4267341893185</v>
      </c>
      <c r="J4655" s="49" t="n">
        <f aca="false">J4652+J4653+J4654</f>
        <v>48.1095784704188</v>
      </c>
      <c r="K4655" s="49" t="n">
        <f aca="false">K4652+K4653+K4654</f>
        <v>48.3748921224795</v>
      </c>
      <c r="L4655" s="49" t="n">
        <f aca="false">L4652+L4653+L4654</f>
        <v>46.9467055498895</v>
      </c>
      <c r="M4655" s="49" t="n">
        <f aca="false">M4652+M4653+M4654</f>
        <v>45.6176281857329</v>
      </c>
      <c r="N4655" s="49" t="n">
        <f aca="false">N4652+N4653+N4654</f>
        <v>44.3807823325261</v>
      </c>
      <c r="P4655" s="49" t="n">
        <f aca="false">SUM(C4655:F4655)</f>
        <v>54.2462330937613</v>
      </c>
      <c r="Q4655" s="49" t="n">
        <f aca="false">SUM(G4655:J4655)</f>
        <v>132.644890990921</v>
      </c>
      <c r="R4655" s="49" t="n">
        <f aca="false">SUM(K4655:N4655)</f>
        <v>185.320008190628</v>
      </c>
      <c r="S4655" s="50" t="n">
        <f aca="false">SUM(P4655:R4655)</f>
        <v>372.21113227531</v>
      </c>
    </row>
    <row r="4656" customFormat="false" ht="15" hidden="false" customHeight="false" outlineLevel="0" collapsed="false">
      <c r="A4656" s="4" t="s">
        <v>508</v>
      </c>
      <c r="B4656" s="36" t="s">
        <v>509</v>
      </c>
      <c r="C4656" s="48" t="n">
        <f aca="false">C4638</f>
        <v>421.51972352</v>
      </c>
      <c r="D4656" s="48" t="n">
        <f aca="false">D4638</f>
        <v>843.03944704</v>
      </c>
      <c r="E4656" s="48" t="n">
        <f aca="false">E4638</f>
        <v>843.03944704</v>
      </c>
      <c r="F4656" s="48" t="n">
        <f aca="false">F4638</f>
        <v>843.03944704</v>
      </c>
      <c r="G4656" s="48" t="n">
        <f aca="false">G4638</f>
        <v>1149.32798176</v>
      </c>
      <c r="H4656" s="48" t="n">
        <f aca="false">H4638</f>
        <v>1455.61651648</v>
      </c>
      <c r="I4656" s="48" t="n">
        <f aca="false">I4638</f>
        <v>2486.00303616</v>
      </c>
      <c r="J4656" s="48" t="n">
        <f aca="false">J4638</f>
        <v>3516.38955584</v>
      </c>
      <c r="K4656" s="48" t="n">
        <f aca="false">K4638</f>
        <v>3516.38955584</v>
      </c>
      <c r="L4656" s="48" t="n">
        <f aca="false">L4638</f>
        <v>3516.38955584</v>
      </c>
      <c r="M4656" s="48" t="n">
        <f aca="false">M4638</f>
        <v>3516.38955584</v>
      </c>
      <c r="N4656" s="48" t="n">
        <f aca="false">N4638</f>
        <v>3516.38955584</v>
      </c>
      <c r="P4656" s="49"/>
      <c r="Q4656" s="49"/>
      <c r="R4656" s="49"/>
      <c r="S4656" s="50"/>
    </row>
    <row r="4657" customFormat="false" ht="15" hidden="false" customHeight="false" outlineLevel="0" collapsed="false">
      <c r="A4657" s="4" t="s">
        <v>510</v>
      </c>
      <c r="B4657" s="36" t="s">
        <v>509</v>
      </c>
      <c r="C4657" s="48" t="n">
        <f aca="false">C4639*Assumptions!$E$18*Assumptions!$E$33</f>
        <v>211.19616</v>
      </c>
      <c r="D4657" s="48" t="n">
        <f aca="false">D4639*Assumptions!$E$18*Assumptions!$E$33</f>
        <v>422.39232</v>
      </c>
      <c r="E4657" s="48" t="n">
        <f aca="false">E4639*Assumptions!$E$18*Assumptions!$E$33</f>
        <v>422.39232</v>
      </c>
      <c r="F4657" s="48" t="n">
        <f aca="false">F4639*Assumptions!$E$18*Assumptions!$E$33</f>
        <v>422.39232</v>
      </c>
      <c r="G4657" s="48" t="n">
        <f aca="false">G4639*Assumptions!$E$18*Assumptions!$E$33</f>
        <v>564.49344</v>
      </c>
      <c r="H4657" s="48" t="n">
        <f aca="false">H4639*Assumptions!$E$18*Assumptions!$E$33</f>
        <v>706.59456</v>
      </c>
      <c r="I4657" s="48" t="n">
        <f aca="false">I4639*Assumptions!$E$18*Assumptions!$E$33</f>
        <v>1135.07072</v>
      </c>
      <c r="J4657" s="48" t="n">
        <f aca="false">J4639*Assumptions!$E$18*Assumptions!$E$33</f>
        <v>1563.54688</v>
      </c>
      <c r="K4657" s="48" t="n">
        <f aca="false">K4639*Assumptions!$E$18*Assumptions!$E$33</f>
        <v>1563.54688</v>
      </c>
      <c r="L4657" s="48" t="n">
        <f aca="false">L4639*Assumptions!$E$18*Assumptions!$E$33</f>
        <v>1563.54688</v>
      </c>
      <c r="M4657" s="48" t="n">
        <f aca="false">M4639*Assumptions!$E$18*Assumptions!$E$33</f>
        <v>1563.54688</v>
      </c>
      <c r="N4657" s="48" t="n">
        <f aca="false">N4639*Assumptions!$E$18*Assumptions!$E$33</f>
        <v>1563.54688</v>
      </c>
      <c r="P4657" s="49"/>
      <c r="Q4657" s="49"/>
      <c r="R4657" s="49"/>
      <c r="S4657" s="50"/>
    </row>
    <row r="4658" customFormat="false" ht="15" hidden="false" customHeight="false" outlineLevel="0" collapsed="false">
      <c r="A4658" s="4" t="s">
        <v>511</v>
      </c>
      <c r="B4658" s="36" t="s">
        <v>509</v>
      </c>
      <c r="C4658" s="48" t="n">
        <f aca="false">C4640*Assumptions!$E$19*Assumptions!$E$34</f>
        <v>34.677888</v>
      </c>
      <c r="D4658" s="48" t="n">
        <f aca="false">D4640*Assumptions!$E$19*Assumptions!$E$34</f>
        <v>69.355776</v>
      </c>
      <c r="E4658" s="48" t="n">
        <f aca="false">E4640*Assumptions!$E$19*Assumptions!$E$34</f>
        <v>69.355776</v>
      </c>
      <c r="F4658" s="48" t="n">
        <f aca="false">F4640*Assumptions!$E$19*Assumptions!$E$34</f>
        <v>69.355776</v>
      </c>
      <c r="G4658" s="48" t="n">
        <f aca="false">G4640*Assumptions!$E$19*Assumptions!$E$34</f>
        <v>86.69472</v>
      </c>
      <c r="H4658" s="48" t="n">
        <f aca="false">H4640*Assumptions!$E$19*Assumptions!$E$34</f>
        <v>104.033664</v>
      </c>
      <c r="I4658" s="48" t="n">
        <f aca="false">I4640*Assumptions!$E$19*Assumptions!$E$34</f>
        <v>159.7008</v>
      </c>
      <c r="J4658" s="48" t="n">
        <f aca="false">J4640*Assumptions!$E$19*Assumptions!$E$34</f>
        <v>215.367936</v>
      </c>
      <c r="K4658" s="48" t="n">
        <f aca="false">K4640*Assumptions!$E$19*Assumptions!$E$34</f>
        <v>215.367936</v>
      </c>
      <c r="L4658" s="48" t="n">
        <f aca="false">L4640*Assumptions!$E$19*Assumptions!$E$34</f>
        <v>215.367936</v>
      </c>
      <c r="M4658" s="48" t="n">
        <f aca="false">M4640*Assumptions!$E$19*Assumptions!$E$34</f>
        <v>215.367936</v>
      </c>
      <c r="N4658" s="48" t="n">
        <f aca="false">N4640*Assumptions!$E$19*Assumptions!$E$34</f>
        <v>215.367936</v>
      </c>
      <c r="P4658" s="49"/>
      <c r="Q4658" s="49"/>
      <c r="R4658" s="49"/>
      <c r="S4658" s="50"/>
    </row>
    <row r="4659" customFormat="false" ht="15" hidden="false" customHeight="false" outlineLevel="0" collapsed="false">
      <c r="A4659" s="4" t="s">
        <v>512</v>
      </c>
      <c r="B4659" s="36" t="s">
        <v>77</v>
      </c>
      <c r="C4659" s="51" t="n">
        <f aca="false">IFERROR(C4656/(C4656+C4657+C4658),0)</f>
        <v>0.631590736245533</v>
      </c>
      <c r="D4659" s="51" t="n">
        <f aca="false">IFERROR(D4656/(D4656+D4657+D4658),0)</f>
        <v>0.631590736245533</v>
      </c>
      <c r="E4659" s="51" t="n">
        <f aca="false">IFERROR(E4656/(E4656+E4657+E4658),0)</f>
        <v>0.631590736245533</v>
      </c>
      <c r="F4659" s="51" t="n">
        <f aca="false">IFERROR(F4656/(F4656+F4657+F4658),0)</f>
        <v>0.631590736245533</v>
      </c>
      <c r="G4659" s="51" t="n">
        <f aca="false">IFERROR(G4656/(G4656+G4657+G4658),0)</f>
        <v>0.638332506498128</v>
      </c>
      <c r="H4659" s="51" t="n">
        <f aca="false">IFERROR(H4656/(H4656+H4657+H4658),0)</f>
        <v>0.642303318118984</v>
      </c>
      <c r="I4659" s="51" t="n">
        <f aca="false">IFERROR(I4656/(I4656+I4657+I4658),0)</f>
        <v>0.657538025405288</v>
      </c>
      <c r="J4659" s="51" t="n">
        <f aca="false">IFERROR(J4656/(J4656+J4657+J4658),0)</f>
        <v>0.664058061428891</v>
      </c>
      <c r="K4659" s="51" t="n">
        <f aca="false">IFERROR(K4656/(K4656+K4657+K4658),0)</f>
        <v>0.664058061428891</v>
      </c>
      <c r="L4659" s="51" t="n">
        <f aca="false">IFERROR(L4656/(L4656+L4657+L4658),0)</f>
        <v>0.664058061428891</v>
      </c>
      <c r="M4659" s="51" t="n">
        <f aca="false">IFERROR(M4656/(M4656+M4657+M4658),0)</f>
        <v>0.664058061428891</v>
      </c>
      <c r="N4659" s="51" t="n">
        <f aca="false">IFERROR(N4656/(N4656+N4657+N4658),0)</f>
        <v>0.664058061428891</v>
      </c>
      <c r="P4659" s="52"/>
      <c r="Q4659" s="52"/>
      <c r="R4659" s="52"/>
      <c r="S4659" s="53"/>
    </row>
    <row r="4660" customFormat="false" ht="15" hidden="false" customHeight="false" outlineLevel="0" collapsed="false">
      <c r="A4660" s="4" t="s">
        <v>513</v>
      </c>
      <c r="B4660" s="36" t="s">
        <v>77</v>
      </c>
      <c r="C4660" s="51" t="n">
        <f aca="false">IFERROR(C4657/(C4656+C4657+C4658),0)</f>
        <v>0.316449102482628</v>
      </c>
      <c r="D4660" s="51" t="n">
        <f aca="false">IFERROR(D4657/(D4656+D4657+D4658),0)</f>
        <v>0.316449102482628</v>
      </c>
      <c r="E4660" s="51" t="n">
        <f aca="false">IFERROR(E4657/(E4656+E4657+E4658),0)</f>
        <v>0.316449102482628</v>
      </c>
      <c r="F4660" s="51" t="n">
        <f aca="false">IFERROR(F4657/(F4656+F4657+F4658),0)</f>
        <v>0.316449102482628</v>
      </c>
      <c r="G4660" s="51" t="n">
        <f aca="false">IFERROR(G4657/(G4656+G4657+G4658),0)</f>
        <v>0.313517566939561</v>
      </c>
      <c r="H4660" s="51" t="n">
        <f aca="false">IFERROR(H4657/(H4656+H4657+H4658),0)</f>
        <v>0.311790932099567</v>
      </c>
      <c r="I4660" s="51" t="n">
        <f aca="false">IFERROR(I4657/(I4656+I4657+I4658),0)</f>
        <v>0.300221741111391</v>
      </c>
      <c r="J4660" s="51" t="n">
        <f aca="false">IFERROR(J4657/(J4656+J4657+J4658),0)</f>
        <v>0.295270445324128</v>
      </c>
      <c r="K4660" s="51" t="n">
        <f aca="false">IFERROR(K4657/(K4656+K4657+K4658),0)</f>
        <v>0.295270445324128</v>
      </c>
      <c r="L4660" s="51" t="n">
        <f aca="false">IFERROR(L4657/(L4656+L4657+L4658),0)</f>
        <v>0.295270445324128</v>
      </c>
      <c r="M4660" s="51" t="n">
        <f aca="false">IFERROR(M4657/(M4656+M4657+M4658),0)</f>
        <v>0.295270445324128</v>
      </c>
      <c r="N4660" s="51" t="n">
        <f aca="false">IFERROR(N4657/(N4656+N4657+N4658),0)</f>
        <v>0.295270445324128</v>
      </c>
      <c r="P4660" s="52"/>
      <c r="Q4660" s="52"/>
      <c r="R4660" s="52"/>
      <c r="S4660" s="53"/>
    </row>
    <row r="4661" customFormat="false" ht="15" hidden="false" customHeight="false" outlineLevel="0" collapsed="false">
      <c r="A4661" s="4" t="s">
        <v>514</v>
      </c>
      <c r="B4661" s="36" t="s">
        <v>77</v>
      </c>
      <c r="C4661" s="51" t="n">
        <f aca="false">IFERROR(C4658/(C4656+C4657+C4658),0)</f>
        <v>0.0519601612718389</v>
      </c>
      <c r="D4661" s="51" t="n">
        <f aca="false">IFERROR(D4658/(D4656+D4657+D4658),0)</f>
        <v>0.0519601612718389</v>
      </c>
      <c r="E4661" s="51" t="n">
        <f aca="false">IFERROR(E4658/(E4656+E4657+E4658),0)</f>
        <v>0.0519601612718389</v>
      </c>
      <c r="F4661" s="51" t="n">
        <f aca="false">IFERROR(F4658/(F4656+F4657+F4658),0)</f>
        <v>0.0519601612718389</v>
      </c>
      <c r="G4661" s="51" t="n">
        <f aca="false">IFERROR(G4658/(G4656+G4657+G4658),0)</f>
        <v>0.0481499265623113</v>
      </c>
      <c r="H4661" s="51" t="n">
        <f aca="false">IFERROR(H4658/(H4656+H4657+H4658),0)</f>
        <v>0.0459057497814491</v>
      </c>
      <c r="I4661" s="51" t="n">
        <f aca="false">IFERROR(I4658/(I4656+I4657+I4658),0)</f>
        <v>0.0422402334833216</v>
      </c>
      <c r="J4661" s="51" t="n">
        <f aca="false">IFERROR(J4658/(J4656+J4657+J4658),0)</f>
        <v>0.0406714932469811</v>
      </c>
      <c r="K4661" s="51" t="n">
        <f aca="false">IFERROR(K4658/(K4656+K4657+K4658),0)</f>
        <v>0.0406714932469811</v>
      </c>
      <c r="L4661" s="51" t="n">
        <f aca="false">IFERROR(L4658/(L4656+L4657+L4658),0)</f>
        <v>0.0406714932469811</v>
      </c>
      <c r="M4661" s="51" t="n">
        <f aca="false">IFERROR(M4658/(M4656+M4657+M4658),0)</f>
        <v>0.0406714932469811</v>
      </c>
      <c r="N4661" s="51" t="n">
        <f aca="false">IFERROR(N4658/(N4656+N4657+N4658),0)</f>
        <v>0.0406714932469811</v>
      </c>
      <c r="P4661" s="52"/>
      <c r="Q4661" s="52"/>
      <c r="R4661" s="52"/>
      <c r="S4661" s="53"/>
    </row>
    <row r="4662" customFormat="false" ht="15" hidden="false" customHeight="false" outlineLevel="0" collapsed="false">
      <c r="A4662" s="4" t="s">
        <v>515</v>
      </c>
      <c r="B4662" s="36" t="s">
        <v>516</v>
      </c>
      <c r="C4662" s="48" t="n">
        <f aca="false">IF(C4630-Assumptions!$E$35&lt;1,0,INDEX($C$4655:$N$4655,1,C4630-Assumptions!$E$35)*INDEX($C$4659:$N$4659,1,C4630-Assumptions!$E$35)*Assumptions!$E$32)</f>
        <v>0</v>
      </c>
      <c r="D4662" s="48" t="n">
        <f aca="false">IF(D4630-Assumptions!$E$35&lt;1,0,INDEX($C$4655:$N$4655,1,D4630-Assumptions!$E$35)*INDEX($C$4659:$N$4659,1,D4630-Assumptions!$E$35)*Assumptions!$E$32)</f>
        <v>1.0777152695802</v>
      </c>
      <c r="E4662" s="48" t="n">
        <f aca="false">IF(E4630-Assumptions!$E$35&lt;1,0,INDEX($C$4655:$N$4655,1,E4630-Assumptions!$E$35)*INDEX($C$4659:$N$4659,1,E4630-Assumptions!$E$35)*Assumptions!$E$32)</f>
        <v>1.85573329318222</v>
      </c>
      <c r="F4662" s="48" t="n">
        <f aca="false">IF(F4630-Assumptions!$E$35&lt;1,0,INDEX($C$4655:$N$4655,1,F4630-Assumptions!$E$35)*INDEX($C$4659:$N$4659,1,F4630-Assumptions!$E$35)*Assumptions!$E$32)</f>
        <v>2.03774869038329</v>
      </c>
      <c r="G4662" s="48" t="n">
        <f aca="false">IF(G4630-Assumptions!$E$35&lt;1,0,INDEX($C$4655:$N$4655,1,G4630-Assumptions!$E$35)*INDEX($C$4659:$N$4659,1,G4630-Assumptions!$E$35)*Assumptions!$E$32)</f>
        <v>2.22370058948374</v>
      </c>
      <c r="H4662" s="48" t="n">
        <f aca="false">IF(H4630-Assumptions!$E$35&lt;1,0,INDEX($C$4655:$N$4655,1,H4630-Assumptions!$E$35)*INDEX($C$4659:$N$4659,1,H4630-Assumptions!$E$35)*Assumptions!$E$32)</f>
        <v>2.86746422507566</v>
      </c>
      <c r="I4662" s="48" t="n">
        <f aca="false">IF(I4630-Assumptions!$E$35&lt;1,0,INDEX($C$4655:$N$4655,1,I4630-Assumptions!$E$35)*INDEX($C$4659:$N$4659,1,I4630-Assumptions!$E$35)*Assumptions!$E$32)</f>
        <v>3.46887762156734</v>
      </c>
      <c r="J4662" s="48" t="n">
        <f aca="false">IF(J4630-Assumptions!$E$35&lt;1,0,INDEX($C$4655:$N$4655,1,J4630-Assumptions!$E$35)*INDEX($C$4659:$N$4659,1,J4630-Assumptions!$E$35)*Assumptions!$E$32)</f>
        <v>5.16799518820474</v>
      </c>
      <c r="K4662" s="48" t="n">
        <f aca="false">IF(K4630-Assumptions!$E$35&lt;1,0,INDEX($C$4655:$N$4655,1,K4630-Assumptions!$E$35)*INDEX($C$4659:$N$4659,1,K4630-Assumptions!$E$35)*Assumptions!$E$32)</f>
        <v>6.70898621719776</v>
      </c>
      <c r="L4662" s="48" t="n">
        <f aca="false">IF(L4630-Assumptions!$E$35&lt;1,0,INDEX($C$4655:$N$4655,1,L4630-Assumptions!$E$35)*INDEX($C$4659:$N$4659,1,L4630-Assumptions!$E$35)*Assumptions!$E$32)</f>
        <v>6.74598478778395</v>
      </c>
      <c r="M4662" s="48" t="n">
        <f aca="false">IF(M4630-Assumptions!$E$35&lt;1,0,INDEX($C$4655:$N$4655,1,M4630-Assumptions!$E$35)*INDEX($C$4659:$N$4659,1,M4630-Assumptions!$E$35)*Assumptions!$E$32)</f>
        <v>6.54682103836584</v>
      </c>
      <c r="N4662" s="48" t="n">
        <f aca="false">IF(N4630-Assumptions!$E$35&lt;1,0,INDEX($C$4655:$N$4655,1,N4630-Assumptions!$E$35)*INDEX($C$4659:$N$4659,1,N4630-Assumptions!$E$35)*Assumptions!$E$32)</f>
        <v>6.36147828540036</v>
      </c>
      <c r="P4662" s="49" t="n">
        <f aca="false">SUM(C4662:F4662)</f>
        <v>4.97119725314571</v>
      </c>
      <c r="Q4662" s="49" t="n">
        <f aca="false">SUM(G4662:J4662)</f>
        <v>13.7280376243315</v>
      </c>
      <c r="R4662" s="49" t="n">
        <f aca="false">SUM(K4662:N4662)</f>
        <v>26.3632703287479</v>
      </c>
      <c r="S4662" s="50" t="n">
        <f aca="false">SUM(P4662:R4662)</f>
        <v>45.0625052062251</v>
      </c>
    </row>
    <row r="4663" customFormat="false" ht="15" hidden="false" customHeight="false" outlineLevel="0" collapsed="false">
      <c r="A4663" s="4" t="s">
        <v>517</v>
      </c>
      <c r="B4663" s="36" t="s">
        <v>516</v>
      </c>
      <c r="C4663" s="48" t="n">
        <f aca="false">IF(C4630-Assumptions!$E$35&lt;1,0,INDEX($C$4655:$N$4655,1,C4630-Assumptions!$E$35)*INDEX($C$4660:$N$4660,1,C4630-Assumptions!$E$35)*Assumptions!$E$32)</f>
        <v>0</v>
      </c>
      <c r="D4663" s="48" t="n">
        <f aca="false">IF(D4630-Assumptions!$E$35&lt;1,0,INDEX($C$4655:$N$4655,1,D4630-Assumptions!$E$35)*INDEX($C$4660:$N$4660,1,D4630-Assumptions!$E$35)*Assumptions!$E$32)</f>
        <v>0.539973134846451</v>
      </c>
      <c r="E4663" s="48" t="n">
        <f aca="false">IF(E4630-Assumptions!$E$35&lt;1,0,INDEX($C$4655:$N$4655,1,E4630-Assumptions!$E$35)*INDEX($C$4660:$N$4660,1,E4630-Assumptions!$E$35)*Assumptions!$E$32)</f>
        <v>0.92978744204752</v>
      </c>
      <c r="F4663" s="48" t="n">
        <f aca="false">IF(F4630-Assumptions!$E$35&lt;1,0,INDEX($C$4655:$N$4655,1,F4630-Assumptions!$E$35)*INDEX($C$4660:$N$4660,1,F4630-Assumptions!$E$35)*Assumptions!$E$32)</f>
        <v>1.02098353752019</v>
      </c>
      <c r="G4663" s="48" t="n">
        <f aca="false">IF(G4630-Assumptions!$E$35&lt;1,0,INDEX($C$4655:$N$4655,1,G4630-Assumptions!$E$35)*INDEX($C$4660:$N$4660,1,G4630-Assumptions!$E$35)*Assumptions!$E$32)</f>
        <v>1.11415195845852</v>
      </c>
      <c r="H4663" s="48" t="n">
        <f aca="false">IF(H4630-Assumptions!$E$35&lt;1,0,INDEX($C$4655:$N$4655,1,H4630-Assumptions!$E$35)*INDEX($C$4660:$N$4660,1,H4630-Assumptions!$E$35)*Assumptions!$E$32)</f>
        <v>1.40835755343848</v>
      </c>
      <c r="I4663" s="48" t="n">
        <f aca="false">IF(I4630-Assumptions!$E$35&lt;1,0,INDEX($C$4655:$N$4655,1,I4630-Assumptions!$E$35)*INDEX($C$4660:$N$4660,1,I4630-Assumptions!$E$35)*Assumptions!$E$32)</f>
        <v>1.683884477096</v>
      </c>
      <c r="J4663" s="48" t="n">
        <f aca="false">IF(J4630-Assumptions!$E$35&lt;1,0,INDEX($C$4655:$N$4655,1,J4630-Assumptions!$E$35)*INDEX($C$4660:$N$4660,1,J4630-Assumptions!$E$35)*Assumptions!$E$32)</f>
        <v>2.35962705351039</v>
      </c>
      <c r="K4663" s="48" t="n">
        <f aca="false">IF(K4630-Assumptions!$E$35&lt;1,0,INDEX($C$4655:$N$4655,1,K4630-Assumptions!$E$35)*INDEX($C$4660:$N$4660,1,K4630-Assumptions!$E$35)*Assumptions!$E$32)</f>
        <v>2.9831206984565</v>
      </c>
      <c r="L4663" s="48" t="n">
        <f aca="false">IF(L4630-Assumptions!$E$35&lt;1,0,INDEX($C$4655:$N$4655,1,L4630-Assumptions!$E$35)*INDEX($C$4660:$N$4660,1,L4630-Assumptions!$E$35)*Assumptions!$E$32)</f>
        <v>2.99957194729735</v>
      </c>
      <c r="M4663" s="48" t="n">
        <f aca="false">IF(M4630-Assumptions!$E$35&lt;1,0,INDEX($C$4655:$N$4655,1,M4630-Assumptions!$E$35)*INDEX($C$4660:$N$4660,1,M4630-Assumptions!$E$35)*Assumptions!$E$32)</f>
        <v>2.91101467738549</v>
      </c>
      <c r="N4663" s="48" t="n">
        <f aca="false">IF(N4630-Assumptions!$E$35&lt;1,0,INDEX($C$4655:$N$4655,1,N4630-Assumptions!$E$35)*INDEX($C$4660:$N$4660,1,N4630-Assumptions!$E$35)*Assumptions!$E$32)</f>
        <v>2.82860285169669</v>
      </c>
      <c r="P4663" s="49" t="n">
        <f aca="false">SUM(C4663:F4663)</f>
        <v>2.49074411441416</v>
      </c>
      <c r="Q4663" s="49" t="n">
        <f aca="false">SUM(G4663:J4663)</f>
        <v>6.56602104250338</v>
      </c>
      <c r="R4663" s="49" t="n">
        <f aca="false">SUM(K4663:N4663)</f>
        <v>11.722310174836</v>
      </c>
      <c r="S4663" s="50" t="n">
        <f aca="false">SUM(P4663:R4663)</f>
        <v>20.7790753317536</v>
      </c>
    </row>
    <row r="4664" customFormat="false" ht="15" hidden="false" customHeight="false" outlineLevel="0" collapsed="false">
      <c r="A4664" s="4" t="s">
        <v>518</v>
      </c>
      <c r="B4664" s="36" t="s">
        <v>516</v>
      </c>
      <c r="C4664" s="48" t="n">
        <f aca="false">IF(C4630-Assumptions!$E$36&lt;1,0,INDEX($C$4655:$N$4655,1,C4630-Assumptions!$E$36)*INDEX($C$4661:$N$4661,1,C4630-Assumptions!$E$36)*Assumptions!$E$32)</f>
        <v>0</v>
      </c>
      <c r="D4664" s="48" t="n">
        <f aca="false">IF(D4630-Assumptions!$E$36&lt;1,0,INDEX($C$4655:$N$4655,1,D4630-Assumptions!$E$36)*INDEX($C$4661:$N$4661,1,D4630-Assumptions!$E$36)*Assumptions!$E$32)</f>
        <v>0</v>
      </c>
      <c r="E4664" s="48" t="n">
        <f aca="false">IF(E4630-Assumptions!$E$36&lt;1,0,INDEX($C$4655:$N$4655,1,E4630-Assumptions!$E$36)*INDEX($C$4661:$N$4661,1,E4630-Assumptions!$E$36)*Assumptions!$E$32)</f>
        <v>0.0886622554747875</v>
      </c>
      <c r="F4664" s="48" t="n">
        <f aca="false">IF(F4630-Assumptions!$E$36&lt;1,0,INDEX($C$4655:$N$4655,1,F4630-Assumptions!$E$36)*INDEX($C$4661:$N$4661,1,F4630-Assumptions!$E$36)*Assumptions!$E$32)</f>
        <v>0.152668802212741</v>
      </c>
      <c r="G4664" s="48" t="n">
        <f aca="false">IF(G4630-Assumptions!$E$36&lt;1,0,INDEX($C$4655:$N$4655,1,G4630-Assumptions!$E$36)*INDEX($C$4661:$N$4661,1,G4630-Assumptions!$E$36)*Assumptions!$E$32)</f>
        <v>0.167642975913808</v>
      </c>
      <c r="H4664" s="48" t="n">
        <f aca="false">IF(H4630-Assumptions!$E$36&lt;1,0,INDEX($C$4655:$N$4655,1,H4630-Assumptions!$E$36)*INDEX($C$4661:$N$4661,1,H4630-Assumptions!$E$36)*Assumptions!$E$32)</f>
        <v>0.182941000586399</v>
      </c>
      <c r="I4664" s="48" t="n">
        <f aca="false">IF(I4630-Assumptions!$E$36&lt;1,0,INDEX($C$4655:$N$4655,1,I4630-Assumptions!$E$36)*INDEX($C$4661:$N$4661,1,I4630-Assumptions!$E$36)*Assumptions!$E$32)</f>
        <v>0.216295097698981</v>
      </c>
      <c r="J4664" s="48" t="n">
        <f aca="false">IF(J4630-Assumptions!$E$36&lt;1,0,INDEX($C$4655:$N$4655,1,J4630-Assumptions!$E$36)*INDEX($C$4661:$N$4661,1,J4630-Assumptions!$E$36)*Assumptions!$E$32)</f>
        <v>0.247922474672067</v>
      </c>
      <c r="K4664" s="48" t="n">
        <f aca="false">IF(K4630-Assumptions!$E$36&lt;1,0,INDEX($C$4655:$N$4655,1,K4630-Assumptions!$E$36)*INDEX($C$4661:$N$4661,1,K4630-Assumptions!$E$36)*Assumptions!$E$32)</f>
        <v>0.331991938041756</v>
      </c>
      <c r="L4664" s="48" t="n">
        <f aca="false">IF(L4630-Assumptions!$E$36&lt;1,0,INDEX($C$4655:$N$4655,1,L4630-Assumptions!$E$36)*INDEX($C$4661:$N$4661,1,L4630-Assumptions!$E$36)*Assumptions!$E$32)</f>
        <v>0.410904563133697</v>
      </c>
      <c r="M4664" s="48" t="n">
        <f aca="false">IF(M4630-Assumptions!$E$36&lt;1,0,INDEX($C$4655:$N$4655,1,M4630-Assumptions!$E$36)*INDEX($C$4661:$N$4661,1,M4630-Assumptions!$E$36)*Assumptions!$E$32)</f>
        <v>0.413170610639401</v>
      </c>
      <c r="N4664" s="48" t="n">
        <f aca="false">IF(N4630-Assumptions!$E$36&lt;1,0,INDEX($C$4655:$N$4655,1,N4630-Assumptions!$E$36)*INDEX($C$4661:$N$4661,1,N4630-Assumptions!$E$36)*Assumptions!$E$32)</f>
        <v>0.400972449725471</v>
      </c>
      <c r="P4664" s="49" t="n">
        <f aca="false">SUM(C4664:F4664)</f>
        <v>0.241331057687529</v>
      </c>
      <c r="Q4664" s="49" t="n">
        <f aca="false">SUM(G4664:J4664)</f>
        <v>0.814801548871256</v>
      </c>
      <c r="R4664" s="49" t="n">
        <f aca="false">SUM(K4664:N4664)</f>
        <v>1.55703956154033</v>
      </c>
      <c r="S4664" s="50" t="n">
        <f aca="false">SUM(P4664:R4664)</f>
        <v>2.61317216809911</v>
      </c>
    </row>
    <row r="4665" customFormat="false" ht="15" hidden="false" customHeight="false" outlineLevel="0" collapsed="false">
      <c r="A4665" s="4" t="s">
        <v>519</v>
      </c>
      <c r="B4665" s="36" t="s">
        <v>77</v>
      </c>
      <c r="C4665" s="51" t="n">
        <f aca="false">IF(C4630-Assumptions!$E$35&lt;1,0,IFERROR(INDEX($C$4654:$N$4654,1,C4630-Assumptions!$E$35)/INDEX($C$4655:$N$4655,1,C4630-Assumptions!$E$35),0))</f>
        <v>0</v>
      </c>
      <c r="D4665" s="51" t="n">
        <f aca="false">IF(D4630-Assumptions!$E$35&lt;1,0,IFERROR(INDEX($C$4654:$N$4654,1,D4630-Assumptions!$E$35)/INDEX($C$4655:$N$4655,1,D4630-Assumptions!$E$35),0))</f>
        <v>0.443050785378233</v>
      </c>
      <c r="E4665" s="51" t="n">
        <f aca="false">IF(E4630-Assumptions!$E$35&lt;1,0,IFERROR(INDEX($C$4654:$N$4654,1,E4630-Assumptions!$E$35)/INDEX($C$4655:$N$4655,1,E4630-Assumptions!$E$35),0))</f>
        <v>0.385951956314935</v>
      </c>
      <c r="F4665" s="51" t="n">
        <f aca="false">IF(F4630-Assumptions!$E$35&lt;1,0,IFERROR(INDEX($C$4654:$N$4654,1,F4630-Assumptions!$E$35)/INDEX($C$4655:$N$4655,1,F4630-Assumptions!$E$35),0))</f>
        <v>0.468637373052916</v>
      </c>
      <c r="G4665" s="51" t="n">
        <f aca="false">IF(G4630-Assumptions!$E$35&lt;1,0,IFERROR(INDEX($C$4654:$N$4654,1,G4630-Assumptions!$E$35)/INDEX($C$4655:$N$4655,1,G4630-Assumptions!$E$35),0))</f>
        <v>0.536810799596536</v>
      </c>
      <c r="H4665" s="51" t="n">
        <f aca="false">IF(H4630-Assumptions!$E$35&lt;1,0,IFERROR(INDEX($C$4654:$N$4654,1,H4630-Assumptions!$E$35)/INDEX($C$4655:$N$4655,1,H4630-Assumptions!$E$35),0))</f>
        <v>0.504884459264545</v>
      </c>
      <c r="I4665" s="51" t="n">
        <f aca="false">IF(I4630-Assumptions!$E$35&lt;1,0,IFERROR(INDEX($C$4654:$N$4654,1,I4630-Assumptions!$E$35)/INDEX($C$4655:$N$4655,1,I4630-Assumptions!$E$35),0))</f>
        <v>0.489937889182419</v>
      </c>
      <c r="J4665" s="51" t="n">
        <f aca="false">IF(J4630-Assumptions!$E$35&lt;1,0,IFERROR(INDEX($C$4654:$N$4654,1,J4630-Assumptions!$E$35)/INDEX($C$4655:$N$4655,1,J4630-Assumptions!$E$35),0))</f>
        <v>0.384751710559606</v>
      </c>
      <c r="K4665" s="51" t="n">
        <f aca="false">IF(K4630-Assumptions!$E$35&lt;1,0,IFERROR(INDEX($C$4654:$N$4654,1,K4630-Assumptions!$E$35)/INDEX($C$4655:$N$4655,1,K4630-Assumptions!$E$35),0))</f>
        <v>0.336731281276158</v>
      </c>
      <c r="L4665" s="51" t="n">
        <f aca="false">IF(L4630-Assumptions!$E$35&lt;1,0,IFERROR(INDEX($C$4654:$N$4654,1,L4630-Assumptions!$E$35)/INDEX($C$4655:$N$4655,1,L4630-Assumptions!$E$35),0))</f>
        <v>0.372093853034879</v>
      </c>
      <c r="M4665" s="51" t="n">
        <f aca="false">IF(M4630-Assumptions!$E$35&lt;1,0,IFERROR(INDEX($C$4654:$N$4654,1,M4630-Assumptions!$E$35)/INDEX($C$4655:$N$4655,1,M4630-Assumptions!$E$35),0))</f>
        <v>0.383413485337575</v>
      </c>
      <c r="N4665" s="51" t="n">
        <f aca="false">IF(N4630-Assumptions!$E$35&lt;1,0,IFERROR(INDEX($C$4654:$N$4654,1,N4630-Assumptions!$E$35)/INDEX($C$4655:$N$4655,1,N4630-Assumptions!$E$35),0))</f>
        <v>0.394584302513772</v>
      </c>
      <c r="P4665" s="52"/>
      <c r="Q4665" s="52"/>
      <c r="R4665" s="52"/>
      <c r="S4665" s="53"/>
    </row>
    <row r="4666" customFormat="false" ht="15" hidden="false" customHeight="false" outlineLevel="0" collapsed="false">
      <c r="A4666" s="4" t="s">
        <v>520</v>
      </c>
      <c r="B4666" s="36" t="s">
        <v>516</v>
      </c>
      <c r="C4666" s="48" t="n">
        <f aca="false">C4662*Assumptions!$E$37</f>
        <v>0</v>
      </c>
      <c r="D4666" s="48" t="n">
        <f aca="false">D4662*Assumptions!$E$37</f>
        <v>0.323314580874061</v>
      </c>
      <c r="E4666" s="48" t="n">
        <f aca="false">E4662*Assumptions!$E$37</f>
        <v>0.556719987954666</v>
      </c>
      <c r="F4666" s="48" t="n">
        <f aca="false">F4662*Assumptions!$E$37</f>
        <v>0.611324607114988</v>
      </c>
      <c r="G4666" s="48" t="n">
        <f aca="false">G4662*Assumptions!$E$37</f>
        <v>0.667110176845123</v>
      </c>
      <c r="H4666" s="48" t="n">
        <f aca="false">H4662*Assumptions!$E$37</f>
        <v>0.860239267522699</v>
      </c>
      <c r="I4666" s="48" t="n">
        <f aca="false">I4662*Assumptions!$E$37</f>
        <v>1.0406632864702</v>
      </c>
      <c r="J4666" s="48" t="n">
        <f aca="false">J4662*Assumptions!$E$37</f>
        <v>1.55039855646142</v>
      </c>
      <c r="K4666" s="48" t="n">
        <f aca="false">K4662*Assumptions!$E$37</f>
        <v>2.01269586515933</v>
      </c>
      <c r="L4666" s="48" t="n">
        <f aca="false">L4662*Assumptions!$E$37</f>
        <v>2.02379543633518</v>
      </c>
      <c r="M4666" s="48" t="n">
        <f aca="false">M4662*Assumptions!$E$37</f>
        <v>1.96404631150975</v>
      </c>
      <c r="N4666" s="48" t="n">
        <f aca="false">N4662*Assumptions!$E$37</f>
        <v>1.90844348562011</v>
      </c>
      <c r="P4666" s="49" t="n">
        <f aca="false">SUM(C4666:F4666)</f>
        <v>1.49135917594371</v>
      </c>
      <c r="Q4666" s="49" t="n">
        <f aca="false">SUM(G4666:J4666)</f>
        <v>4.11841128729945</v>
      </c>
      <c r="R4666" s="49" t="n">
        <f aca="false">SUM(K4666:N4666)</f>
        <v>7.90898109862437</v>
      </c>
      <c r="S4666" s="50" t="n">
        <f aca="false">SUM(P4666:R4666)</f>
        <v>13.5187515618675</v>
      </c>
    </row>
    <row r="4667" customFormat="false" ht="15" hidden="false" customHeight="false" outlineLevel="0" collapsed="false">
      <c r="A4667" s="4" t="s">
        <v>521</v>
      </c>
      <c r="B4667" s="36" t="s">
        <v>516</v>
      </c>
      <c r="C4667" s="48" t="n">
        <f aca="false">C4662*(1-Assumptions!$E$37)</f>
        <v>0</v>
      </c>
      <c r="D4667" s="48" t="n">
        <f aca="false">D4662*(1-Assumptions!$E$37)</f>
        <v>0.754400688706141</v>
      </c>
      <c r="E4667" s="48" t="n">
        <f aca="false">E4662*(1-Assumptions!$E$37)</f>
        <v>1.29901330522755</v>
      </c>
      <c r="F4667" s="48" t="n">
        <f aca="false">F4662*(1-Assumptions!$E$37)</f>
        <v>1.42642408326831</v>
      </c>
      <c r="G4667" s="48" t="n">
        <f aca="false">G4662*(1-Assumptions!$E$37)</f>
        <v>1.55659041263862</v>
      </c>
      <c r="H4667" s="48" t="n">
        <f aca="false">H4662*(1-Assumptions!$E$37)</f>
        <v>2.00722495755296</v>
      </c>
      <c r="I4667" s="48" t="n">
        <f aca="false">I4662*(1-Assumptions!$E$37)</f>
        <v>2.42821433509714</v>
      </c>
      <c r="J4667" s="48" t="n">
        <f aca="false">J4662*(1-Assumptions!$E$37)</f>
        <v>3.61759663174332</v>
      </c>
      <c r="K4667" s="48" t="n">
        <f aca="false">K4662*(1-Assumptions!$E$37)</f>
        <v>4.69629035203843</v>
      </c>
      <c r="L4667" s="48" t="n">
        <f aca="false">L4662*(1-Assumptions!$E$37)</f>
        <v>4.72218935144876</v>
      </c>
      <c r="M4667" s="48" t="n">
        <f aca="false">M4662*(1-Assumptions!$E$37)</f>
        <v>4.58277472685609</v>
      </c>
      <c r="N4667" s="48" t="n">
        <f aca="false">N4662*(1-Assumptions!$E$37)</f>
        <v>4.45303479978025</v>
      </c>
      <c r="P4667" s="49" t="n">
        <f aca="false">SUM(C4667:F4667)</f>
        <v>3.479838077202</v>
      </c>
      <c r="Q4667" s="49" t="n">
        <f aca="false">SUM(G4667:J4667)</f>
        <v>9.60962633703204</v>
      </c>
      <c r="R4667" s="49" t="n">
        <f aca="false">SUM(K4667:N4667)</f>
        <v>18.4542892301235</v>
      </c>
      <c r="S4667" s="50" t="n">
        <f aca="false">SUM(P4667:R4667)</f>
        <v>31.5437536443576</v>
      </c>
    </row>
    <row r="4668" customFormat="false" ht="15" hidden="false" customHeight="false" outlineLevel="0" collapsed="false">
      <c r="A4668" s="4" t="s">
        <v>522</v>
      </c>
      <c r="B4668" s="36" t="s">
        <v>125</v>
      </c>
      <c r="C4668" s="54" t="n">
        <f aca="false">C4667*$C$4621+C4663*$C$4622+C4664*$C$4623</f>
        <v>0</v>
      </c>
      <c r="D4668" s="54" t="n">
        <f aca="false">D4667*$C$4621+D4663*$C$4622+D4664*$C$4623</f>
        <v>9311.31897104546</v>
      </c>
      <c r="E4668" s="54" t="n">
        <f aca="false">E4667*$C$4621+E4663*$C$4622+E4664*$C$4623</f>
        <v>21510.692470999</v>
      </c>
      <c r="F4668" s="54" t="n">
        <f aca="false">F4667*$C$4621+F4663*$C$4622+F4664*$C$4623</f>
        <v>27037.4945404884</v>
      </c>
      <c r="G4668" s="54" t="n">
        <f aca="false">G4667*$C$4621+G4663*$C$4622+G4664*$C$4623</f>
        <v>29569.1729669997</v>
      </c>
      <c r="H4668" s="54" t="n">
        <f aca="false">H4667*$C$4621+H4663*$C$4622+H4664*$C$4623</f>
        <v>35799.4780457381</v>
      </c>
      <c r="I4668" s="54" t="n">
        <f aca="false">I4667*$C$4621+I4663*$C$4622+I4664*$C$4623</f>
        <v>42804.1655030426</v>
      </c>
      <c r="J4668" s="54" t="n">
        <f aca="false">J4667*$C$4621+J4663*$C$4622+J4664*$C$4623</f>
        <v>57723.4123758063</v>
      </c>
      <c r="K4668" s="54" t="n">
        <f aca="false">K4667*$C$4621+K4663*$C$4622+K4664*$C$4623</f>
        <v>74779.7339473533</v>
      </c>
      <c r="L4668" s="54" t="n">
        <f aca="false">L4667*$C$4621+L4663*$C$4622+L4664*$C$4623</f>
        <v>79954.1045072728</v>
      </c>
      <c r="M4668" s="54" t="n">
        <f aca="false">M4667*$C$4621+M4663*$C$4622+M4664*$C$4623</f>
        <v>78483.0358292702</v>
      </c>
      <c r="N4668" s="54" t="n">
        <f aca="false">N4667*$C$4621+N4663*$C$4622+N4664*$C$4623</f>
        <v>76230.1933924116</v>
      </c>
      <c r="P4668" s="55" t="n">
        <f aca="false">SUM(C4668:F4668)</f>
        <v>57859.5059825329</v>
      </c>
      <c r="Q4668" s="55" t="n">
        <f aca="false">SUM(G4668:J4668)</f>
        <v>165896.228891587</v>
      </c>
      <c r="R4668" s="55" t="n">
        <f aca="false">SUM(K4668:N4668)</f>
        <v>309447.067676308</v>
      </c>
      <c r="S4668" s="56" t="n">
        <f aca="false">SUM(P4668:R4668)</f>
        <v>533202.802550428</v>
      </c>
    </row>
    <row r="4669" customFormat="false" ht="15" hidden="false" customHeight="false" outlineLevel="0" collapsed="false">
      <c r="A4669" s="4" t="s">
        <v>523</v>
      </c>
      <c r="B4669" s="36" t="s">
        <v>125</v>
      </c>
      <c r="C4669" s="54" t="n">
        <f aca="false">(C4645+Assumptions!$D$104*C4631)*$C$4626</f>
        <v>306250</v>
      </c>
      <c r="D4669" s="54" t="n">
        <f aca="false">(D4645+Assumptions!$D$104*D4631)*$C$4626</f>
        <v>306250</v>
      </c>
      <c r="E4669" s="54" t="n">
        <f aca="false">(E4645+Assumptions!$D$104*E4631)*$C$4626</f>
        <v>306250</v>
      </c>
      <c r="F4669" s="54" t="n">
        <f aca="false">(F4645+Assumptions!$D$104*F4631)*$C$4626</f>
        <v>306250</v>
      </c>
      <c r="G4669" s="54" t="n">
        <f aca="false">(G4645+Assumptions!$D$104*G4631)*$C$4626</f>
        <v>306250</v>
      </c>
      <c r="H4669" s="54" t="n">
        <f aca="false">(H4645+Assumptions!$D$104*H4631)*$C$4626</f>
        <v>306250</v>
      </c>
      <c r="I4669" s="54" t="n">
        <f aca="false">(I4645+Assumptions!$D$104*I4631)*$C$4626</f>
        <v>306250</v>
      </c>
      <c r="J4669" s="54" t="n">
        <f aca="false">(J4645+Assumptions!$D$104*J4631)*$C$4626</f>
        <v>306250</v>
      </c>
      <c r="K4669" s="54" t="n">
        <f aca="false">(K4645+Assumptions!$D$104*K4631)*$C$4626</f>
        <v>306250</v>
      </c>
      <c r="L4669" s="54" t="n">
        <f aca="false">(L4645+Assumptions!$D$104*L4631)*$C$4626</f>
        <v>306250</v>
      </c>
      <c r="M4669" s="54" t="n">
        <f aca="false">(M4645+Assumptions!$D$104*M4631)*$C$4626</f>
        <v>306250</v>
      </c>
      <c r="N4669" s="54" t="n">
        <f aca="false">(N4645+Assumptions!$D$104*N4631)*$C$4626</f>
        <v>306250</v>
      </c>
      <c r="P4669" s="55" t="n">
        <f aca="false">SUM(C4669:F4669)</f>
        <v>1225000</v>
      </c>
      <c r="Q4669" s="55" t="n">
        <f aca="false">SUM(G4669:J4669)</f>
        <v>1225000</v>
      </c>
      <c r="R4669" s="55" t="n">
        <f aca="false">SUM(K4669:N4669)</f>
        <v>1225000</v>
      </c>
      <c r="S4669" s="56" t="n">
        <f aca="false">SUM(P4669:R4669)</f>
        <v>3675000</v>
      </c>
    </row>
    <row r="4670" customFormat="false" ht="15" hidden="false" customHeight="false" outlineLevel="0" collapsed="false">
      <c r="A4670" s="4" t="s">
        <v>524</v>
      </c>
      <c r="B4670" s="36" t="s">
        <v>77</v>
      </c>
      <c r="C4670" s="51" t="n">
        <f aca="false">IF(C4668&gt;0,MIN(1,C4669/C4668),1)</f>
        <v>1</v>
      </c>
      <c r="D4670" s="51" t="n">
        <f aca="false">IF(D4668&gt;0,MIN(1,D4669/D4668),1)</f>
        <v>1</v>
      </c>
      <c r="E4670" s="51" t="n">
        <f aca="false">IF(E4668&gt;0,MIN(1,E4669/E4668),1)</f>
        <v>1</v>
      </c>
      <c r="F4670" s="51" t="n">
        <f aca="false">IF(F4668&gt;0,MIN(1,F4669/F4668),1)</f>
        <v>1</v>
      </c>
      <c r="G4670" s="51" t="n">
        <f aca="false">IF(G4668&gt;0,MIN(1,G4669/G4668),1)</f>
        <v>1</v>
      </c>
      <c r="H4670" s="51" t="n">
        <f aca="false">IF(H4668&gt;0,MIN(1,H4669/H4668),1)</f>
        <v>1</v>
      </c>
      <c r="I4670" s="51" t="n">
        <f aca="false">IF(I4668&gt;0,MIN(1,I4669/I4668),1)</f>
        <v>1</v>
      </c>
      <c r="J4670" s="51" t="n">
        <f aca="false">IF(J4668&gt;0,MIN(1,J4669/J4668),1)</f>
        <v>1</v>
      </c>
      <c r="K4670" s="51" t="n">
        <f aca="false">IF(K4668&gt;0,MIN(1,K4669/K4668),1)</f>
        <v>1</v>
      </c>
      <c r="L4670" s="51" t="n">
        <f aca="false">IF(L4668&gt;0,MIN(1,L4669/L4668),1)</f>
        <v>1</v>
      </c>
      <c r="M4670" s="51" t="n">
        <f aca="false">IF(M4668&gt;0,MIN(1,M4669/M4668),1)</f>
        <v>1</v>
      </c>
      <c r="N4670" s="51" t="n">
        <f aca="false">IF(N4668&gt;0,MIN(1,N4669/N4668),1)</f>
        <v>1</v>
      </c>
      <c r="P4670" s="52"/>
      <c r="Q4670" s="52"/>
      <c r="R4670" s="52"/>
      <c r="S4670" s="53"/>
    </row>
    <row r="4671" customFormat="false" ht="15" hidden="false" customHeight="false" outlineLevel="0" collapsed="false">
      <c r="A4671" s="4" t="s">
        <v>525</v>
      </c>
      <c r="B4671" s="36" t="s">
        <v>125</v>
      </c>
      <c r="C4671" s="54" t="n">
        <f aca="false">C4668*(1-C4670)</f>
        <v>0</v>
      </c>
      <c r="D4671" s="54" t="n">
        <f aca="false">D4668*(1-D4670)</f>
        <v>0</v>
      </c>
      <c r="E4671" s="54" t="n">
        <f aca="false">E4668*(1-E4670)</f>
        <v>0</v>
      </c>
      <c r="F4671" s="54" t="n">
        <f aca="false">F4668*(1-F4670)</f>
        <v>0</v>
      </c>
      <c r="G4671" s="54" t="n">
        <f aca="false">G4668*(1-G4670)</f>
        <v>0</v>
      </c>
      <c r="H4671" s="54" t="n">
        <f aca="false">H4668*(1-H4670)</f>
        <v>0</v>
      </c>
      <c r="I4671" s="54" t="n">
        <f aca="false">I4668*(1-I4670)</f>
        <v>0</v>
      </c>
      <c r="J4671" s="54" t="n">
        <f aca="false">J4668*(1-J4670)</f>
        <v>0</v>
      </c>
      <c r="K4671" s="54" t="n">
        <f aca="false">K4668*(1-K4670)</f>
        <v>0</v>
      </c>
      <c r="L4671" s="54" t="n">
        <f aca="false">L4668*(1-L4670)</f>
        <v>0</v>
      </c>
      <c r="M4671" s="54" t="n">
        <f aca="false">M4668*(1-M4670)</f>
        <v>0</v>
      </c>
      <c r="N4671" s="54" t="n">
        <f aca="false">N4668*(1-N4670)</f>
        <v>0</v>
      </c>
      <c r="P4671" s="55" t="n">
        <f aca="false">SUM(C4671:F4671)</f>
        <v>0</v>
      </c>
      <c r="Q4671" s="55" t="n">
        <f aca="false">SUM(G4671:J4671)</f>
        <v>0</v>
      </c>
      <c r="R4671" s="55" t="n">
        <f aca="false">SUM(K4671:N4671)</f>
        <v>0</v>
      </c>
      <c r="S4671" s="56" t="n">
        <f aca="false">SUM(P4671:R4671)</f>
        <v>0</v>
      </c>
    </row>
    <row r="4672" customFormat="false" ht="15" hidden="false" customHeight="false" outlineLevel="0" collapsed="false">
      <c r="A4672" s="4" t="s">
        <v>526</v>
      </c>
      <c r="B4672" s="36" t="s">
        <v>527</v>
      </c>
      <c r="C4672" s="48" t="n">
        <f aca="false">C4666+C4667*C4670</f>
        <v>0</v>
      </c>
      <c r="D4672" s="48" t="n">
        <f aca="false">D4666+D4667*D4670</f>
        <v>1.0777152695802</v>
      </c>
      <c r="E4672" s="48" t="n">
        <f aca="false">E4666+E4667*E4670</f>
        <v>1.85573329318222</v>
      </c>
      <c r="F4672" s="48" t="n">
        <f aca="false">F4666+F4667*F4670</f>
        <v>2.03774869038329</v>
      </c>
      <c r="G4672" s="48" t="n">
        <f aca="false">G4666+G4667*G4670</f>
        <v>2.22370058948374</v>
      </c>
      <c r="H4672" s="48" t="n">
        <f aca="false">H4666+H4667*H4670</f>
        <v>2.86746422507566</v>
      </c>
      <c r="I4672" s="48" t="n">
        <f aca="false">I4666+I4667*I4670</f>
        <v>3.46887762156734</v>
      </c>
      <c r="J4672" s="48" t="n">
        <f aca="false">J4666+J4667*J4670</f>
        <v>5.16799518820474</v>
      </c>
      <c r="K4672" s="48" t="n">
        <f aca="false">K4666+K4667*K4670</f>
        <v>6.70898621719776</v>
      </c>
      <c r="L4672" s="48" t="n">
        <f aca="false">L4666+L4667*L4670</f>
        <v>6.74598478778395</v>
      </c>
      <c r="M4672" s="48" t="n">
        <f aca="false">M4666+M4667*M4670</f>
        <v>6.54682103836584</v>
      </c>
      <c r="N4672" s="48" t="n">
        <f aca="false">N4666+N4667*N4670</f>
        <v>6.36147828540036</v>
      </c>
      <c r="P4672" s="49" t="n">
        <f aca="false">SUM(C4672:F4672)</f>
        <v>4.97119725314571</v>
      </c>
      <c r="Q4672" s="49" t="n">
        <f aca="false">SUM(G4672:J4672)</f>
        <v>13.7280376243315</v>
      </c>
      <c r="R4672" s="49" t="n">
        <f aca="false">SUM(K4672:N4672)</f>
        <v>26.3632703287479</v>
      </c>
      <c r="S4672" s="50" t="n">
        <f aca="false">SUM(P4672:R4672)</f>
        <v>45.0625052062251</v>
      </c>
    </row>
    <row r="4673" customFormat="false" ht="15" hidden="false" customHeight="false" outlineLevel="0" collapsed="false">
      <c r="A4673" s="4" t="s">
        <v>528</v>
      </c>
      <c r="B4673" s="36" t="s">
        <v>527</v>
      </c>
      <c r="C4673" s="48" t="n">
        <f aca="false">C4663*C4670</f>
        <v>0</v>
      </c>
      <c r="D4673" s="48" t="n">
        <f aca="false">D4663*D4670</f>
        <v>0.539973134846451</v>
      </c>
      <c r="E4673" s="48" t="n">
        <f aca="false">E4663*E4670</f>
        <v>0.92978744204752</v>
      </c>
      <c r="F4673" s="48" t="n">
        <f aca="false">F4663*F4670</f>
        <v>1.02098353752019</v>
      </c>
      <c r="G4673" s="48" t="n">
        <f aca="false">G4663*G4670</f>
        <v>1.11415195845852</v>
      </c>
      <c r="H4673" s="48" t="n">
        <f aca="false">H4663*H4670</f>
        <v>1.40835755343848</v>
      </c>
      <c r="I4673" s="48" t="n">
        <f aca="false">I4663*I4670</f>
        <v>1.683884477096</v>
      </c>
      <c r="J4673" s="48" t="n">
        <f aca="false">J4663*J4670</f>
        <v>2.35962705351039</v>
      </c>
      <c r="K4673" s="48" t="n">
        <f aca="false">K4663*K4670</f>
        <v>2.9831206984565</v>
      </c>
      <c r="L4673" s="48" t="n">
        <f aca="false">L4663*L4670</f>
        <v>2.99957194729735</v>
      </c>
      <c r="M4673" s="48" t="n">
        <f aca="false">M4663*M4670</f>
        <v>2.91101467738549</v>
      </c>
      <c r="N4673" s="48" t="n">
        <f aca="false">N4663*N4670</f>
        <v>2.82860285169669</v>
      </c>
      <c r="P4673" s="49" t="n">
        <f aca="false">SUM(C4673:F4673)</f>
        <v>2.49074411441416</v>
      </c>
      <c r="Q4673" s="49" t="n">
        <f aca="false">SUM(G4673:J4673)</f>
        <v>6.56602104250338</v>
      </c>
      <c r="R4673" s="49" t="n">
        <f aca="false">SUM(K4673:N4673)</f>
        <v>11.722310174836</v>
      </c>
      <c r="S4673" s="50" t="n">
        <f aca="false">SUM(P4673:R4673)</f>
        <v>20.7790753317536</v>
      </c>
    </row>
    <row r="4674" customFormat="false" ht="15" hidden="false" customHeight="false" outlineLevel="0" collapsed="false">
      <c r="A4674" s="4" t="s">
        <v>529</v>
      </c>
      <c r="B4674" s="36" t="s">
        <v>527</v>
      </c>
      <c r="C4674" s="48" t="n">
        <f aca="false">C4664*C4670</f>
        <v>0</v>
      </c>
      <c r="D4674" s="48" t="n">
        <f aca="false">D4664*D4670</f>
        <v>0</v>
      </c>
      <c r="E4674" s="48" t="n">
        <f aca="false">E4664*E4670</f>
        <v>0.0886622554747875</v>
      </c>
      <c r="F4674" s="48" t="n">
        <f aca="false">F4664*F4670</f>
        <v>0.152668802212741</v>
      </c>
      <c r="G4674" s="48" t="n">
        <f aca="false">G4664*G4670</f>
        <v>0.167642975913808</v>
      </c>
      <c r="H4674" s="48" t="n">
        <f aca="false">H4664*H4670</f>
        <v>0.182941000586399</v>
      </c>
      <c r="I4674" s="48" t="n">
        <f aca="false">I4664*I4670</f>
        <v>0.216295097698981</v>
      </c>
      <c r="J4674" s="48" t="n">
        <f aca="false">J4664*J4670</f>
        <v>0.247922474672067</v>
      </c>
      <c r="K4674" s="48" t="n">
        <f aca="false">K4664*K4670</f>
        <v>0.331991938041756</v>
      </c>
      <c r="L4674" s="48" t="n">
        <f aca="false">L4664*L4670</f>
        <v>0.410904563133697</v>
      </c>
      <c r="M4674" s="48" t="n">
        <f aca="false">M4664*M4670</f>
        <v>0.413170610639401</v>
      </c>
      <c r="N4674" s="48" t="n">
        <f aca="false">N4664*N4670</f>
        <v>0.400972449725471</v>
      </c>
      <c r="P4674" s="49" t="n">
        <f aca="false">SUM(C4674:F4674)</f>
        <v>0.241331057687529</v>
      </c>
      <c r="Q4674" s="49" t="n">
        <f aca="false">SUM(G4674:J4674)</f>
        <v>0.814801548871256</v>
      </c>
      <c r="R4674" s="49" t="n">
        <f aca="false">SUM(K4674:N4674)</f>
        <v>1.55703956154033</v>
      </c>
      <c r="S4674" s="50" t="n">
        <f aca="false">SUM(P4674:R4674)</f>
        <v>2.61317216809911</v>
      </c>
    </row>
    <row r="4675" customFormat="false" ht="15" hidden="false" customHeight="false" outlineLevel="0" collapsed="false">
      <c r="A4675" s="9" t="s">
        <v>530</v>
      </c>
      <c r="B4675" s="36" t="s">
        <v>527</v>
      </c>
      <c r="C4675" s="49" t="n">
        <f aca="false">C4672+C4673+C4674</f>
        <v>0</v>
      </c>
      <c r="D4675" s="49" t="n">
        <f aca="false">D4672+D4673+D4674</f>
        <v>1.61768840442665</v>
      </c>
      <c r="E4675" s="49" t="n">
        <f aca="false">E4672+E4673+E4674</f>
        <v>2.87418299070453</v>
      </c>
      <c r="F4675" s="49" t="n">
        <f aca="false">F4672+F4673+F4674</f>
        <v>3.21140103011622</v>
      </c>
      <c r="G4675" s="49" t="n">
        <f aca="false">G4672+G4673+G4674</f>
        <v>3.50549552385608</v>
      </c>
      <c r="H4675" s="49" t="n">
        <f aca="false">H4672+H4673+H4674</f>
        <v>4.45876277910054</v>
      </c>
      <c r="I4675" s="49" t="n">
        <f aca="false">I4672+I4673+I4674</f>
        <v>5.36905719636231</v>
      </c>
      <c r="J4675" s="49" t="n">
        <f aca="false">J4672+J4673+J4674</f>
        <v>7.7755447163872</v>
      </c>
      <c r="K4675" s="49" t="n">
        <f aca="false">K4672+K4673+K4674</f>
        <v>10.024098853696</v>
      </c>
      <c r="L4675" s="49" t="n">
        <f aca="false">L4672+L4673+L4674</f>
        <v>10.156461298215</v>
      </c>
      <c r="M4675" s="49" t="n">
        <f aca="false">M4672+M4673+M4674</f>
        <v>9.87100632639073</v>
      </c>
      <c r="N4675" s="49" t="n">
        <f aca="false">N4672+N4673+N4674</f>
        <v>9.59105358682252</v>
      </c>
      <c r="P4675" s="49" t="n">
        <f aca="false">SUM(C4675:F4675)</f>
        <v>7.7032724252474</v>
      </c>
      <c r="Q4675" s="49" t="n">
        <f aca="false">SUM(G4675:J4675)</f>
        <v>21.1088602157061</v>
      </c>
      <c r="R4675" s="49" t="n">
        <f aca="false">SUM(K4675:N4675)</f>
        <v>39.6426200651243</v>
      </c>
      <c r="S4675" s="50" t="n">
        <f aca="false">SUM(P4675:R4675)</f>
        <v>68.4547527060778</v>
      </c>
    </row>
    <row r="4676" customFormat="false" ht="15" hidden="false" customHeight="false" outlineLevel="0" collapsed="false">
      <c r="A4676" s="35" t="s">
        <v>533</v>
      </c>
      <c r="B4676" s="35" t="s">
        <v>444</v>
      </c>
      <c r="C4676" s="6" t="s">
        <v>354</v>
      </c>
      <c r="D4676" s="6" t="s">
        <v>355</v>
      </c>
      <c r="E4676" s="6" t="s">
        <v>356</v>
      </c>
      <c r="F4676" s="6" t="s">
        <v>357</v>
      </c>
      <c r="G4676" s="6" t="s">
        <v>358</v>
      </c>
      <c r="H4676" s="6" t="s">
        <v>359</v>
      </c>
      <c r="I4676" s="6" t="s">
        <v>360</v>
      </c>
      <c r="J4676" s="6" t="s">
        <v>361</v>
      </c>
      <c r="K4676" s="6" t="s">
        <v>362</v>
      </c>
      <c r="L4676" s="6" t="s">
        <v>363</v>
      </c>
      <c r="M4676" s="6" t="s">
        <v>364</v>
      </c>
      <c r="N4676" s="6" t="s">
        <v>365</v>
      </c>
      <c r="P4676" s="6" t="s">
        <v>445</v>
      </c>
      <c r="Q4676" s="6" t="s">
        <v>446</v>
      </c>
      <c r="R4676" s="6" t="s">
        <v>447</v>
      </c>
      <c r="S4676" s="6" t="s">
        <v>448</v>
      </c>
    </row>
    <row r="4677" customFormat="false" ht="15" hidden="false" customHeight="false" outlineLevel="0" collapsed="false">
      <c r="A4677" s="4" t="s">
        <v>534</v>
      </c>
      <c r="B4677" s="36" t="s">
        <v>527</v>
      </c>
      <c r="C4677" s="48" t="n">
        <f aca="false">0*Assumptions!$E$59^(1/4)+C4672</f>
        <v>0</v>
      </c>
      <c r="D4677" s="48" t="n">
        <f aca="false">C4677*Assumptions!$E$59^(1/4)+D4672</f>
        <v>1.0777152695802</v>
      </c>
      <c r="E4677" s="48" t="n">
        <f aca="false">D4677*Assumptions!$E$59^(1/4)+E4672</f>
        <v>2.8995511069188</v>
      </c>
      <c r="F4677" s="48" t="n">
        <f aca="false">E4677*Assumptions!$E$59^(1/4)+F4672</f>
        <v>4.84610000790746</v>
      </c>
      <c r="G4677" s="48" t="n">
        <f aca="false">F4677*Assumptions!$E$59^(1/4)+G4672</f>
        <v>6.91737586548981</v>
      </c>
      <c r="H4677" s="48" t="n">
        <f aca="false">G4677*Assumptions!$E$59^(1/4)+H4672</f>
        <v>9.56726737022581</v>
      </c>
      <c r="I4677" s="48" t="n">
        <f aca="false">H4677*Assumptions!$E$59^(1/4)+I4672</f>
        <v>12.7352250434726</v>
      </c>
      <c r="J4677" s="48" t="n">
        <f aca="false">I4677*Assumptions!$E$59^(1/4)+J4672</f>
        <v>17.5026582829376</v>
      </c>
      <c r="K4677" s="48" t="n">
        <f aca="false">J4677*Assumptions!$E$59^(1/4)+K4672</f>
        <v>23.6611321310168</v>
      </c>
      <c r="L4677" s="48" t="n">
        <f aca="false">K4677*Assumptions!$E$59^(1/4)+L4672</f>
        <v>29.6629016290484</v>
      </c>
      <c r="M4677" s="48" t="n">
        <f aca="false">L4677*Assumptions!$E$59^(1/4)+M4672</f>
        <v>35.2767332902144</v>
      </c>
      <c r="N4677" s="48" t="n">
        <f aca="false">M4677*Assumptions!$E$59^(1/4)+N4672</f>
        <v>40.5286499476368</v>
      </c>
      <c r="P4677" s="49" t="n">
        <f aca="false">F4677</f>
        <v>4.84610000790746</v>
      </c>
      <c r="Q4677" s="49" t="n">
        <f aca="false">J4677</f>
        <v>17.5026582829376</v>
      </c>
      <c r="R4677" s="49" t="n">
        <f aca="false">N4677</f>
        <v>40.5286499476368</v>
      </c>
      <c r="S4677" s="50" t="n">
        <f aca="false">R4677</f>
        <v>40.5286499476368</v>
      </c>
    </row>
    <row r="4678" customFormat="false" ht="15" hidden="false" customHeight="false" outlineLevel="0" collapsed="false">
      <c r="A4678" s="4" t="s">
        <v>535</v>
      </c>
      <c r="B4678" s="36" t="s">
        <v>527</v>
      </c>
      <c r="C4678" s="48" t="n">
        <f aca="false">0*Assumptions!$E$60^(1/4)+C4673</f>
        <v>0</v>
      </c>
      <c r="D4678" s="48" t="n">
        <f aca="false">C4678*Assumptions!$E$60^(1/4)+D4673</f>
        <v>0.539973134846451</v>
      </c>
      <c r="E4678" s="48" t="n">
        <f aca="false">D4678*Assumptions!$E$60^(1/4)+E4673</f>
        <v>1.45572329835698</v>
      </c>
      <c r="F4678" s="48" t="n">
        <f aca="false">E4678*Assumptions!$E$60^(1/4)+F4673</f>
        <v>2.43886348387847</v>
      </c>
      <c r="G4678" s="48" t="n">
        <f aca="false">F4678*Assumptions!$E$60^(1/4)+G4673</f>
        <v>3.489614128776</v>
      </c>
      <c r="H4678" s="48" t="n">
        <f aca="false">G4678*Assumptions!$E$60^(1/4)+H4673</f>
        <v>4.80725478844495</v>
      </c>
      <c r="I4678" s="48" t="n">
        <f aca="false">H4678*Assumptions!$E$60^(1/4)+I4673</f>
        <v>6.36616865106233</v>
      </c>
      <c r="J4678" s="48" t="n">
        <f aca="false">I4678*Assumptions!$E$60^(1/4)+J4673</f>
        <v>8.56029917002037</v>
      </c>
      <c r="K4678" s="48" t="n">
        <f aca="false">J4678*Assumptions!$E$60^(1/4)+K4673</f>
        <v>11.3208841605777</v>
      </c>
      <c r="L4678" s="48" t="n">
        <f aca="false">K4678*Assumptions!$E$60^(1/4)+L4673</f>
        <v>14.0261555325468</v>
      </c>
      <c r="M4678" s="48" t="n">
        <f aca="false">L4678*Assumptions!$E$60^(1/4)+M4673</f>
        <v>16.57254271403</v>
      </c>
      <c r="N4678" s="48" t="n">
        <f aca="false">M4678*Assumptions!$E$60^(1/4)+N4673</f>
        <v>18.9703215429552</v>
      </c>
      <c r="P4678" s="49" t="n">
        <f aca="false">F4678</f>
        <v>2.43886348387847</v>
      </c>
      <c r="Q4678" s="49" t="n">
        <f aca="false">J4678</f>
        <v>8.56029917002037</v>
      </c>
      <c r="R4678" s="49" t="n">
        <f aca="false">N4678</f>
        <v>18.9703215429552</v>
      </c>
      <c r="S4678" s="50" t="n">
        <f aca="false">R4678</f>
        <v>18.9703215429552</v>
      </c>
    </row>
    <row r="4679" customFormat="false" ht="15" hidden="false" customHeight="false" outlineLevel="0" collapsed="false">
      <c r="A4679" s="4" t="s">
        <v>536</v>
      </c>
      <c r="B4679" s="36" t="s">
        <v>527</v>
      </c>
      <c r="C4679" s="48" t="n">
        <f aca="false">0*Assumptions!$E$61^(1/4)+C4674</f>
        <v>0</v>
      </c>
      <c r="D4679" s="48" t="n">
        <f aca="false">C4679*Assumptions!$E$61^(1/4)+D4674</f>
        <v>0</v>
      </c>
      <c r="E4679" s="48" t="n">
        <f aca="false">D4679*Assumptions!$E$61^(1/4)+E4674</f>
        <v>0.0886622554747875</v>
      </c>
      <c r="F4679" s="48" t="n">
        <f aca="false">E4679*Assumptions!$E$61^(1/4)+F4674</f>
        <v>0.239501987393909</v>
      </c>
      <c r="G4679" s="48" t="n">
        <f aca="false">F4679*Assumptions!$E$61^(1/4)+G4674</f>
        <v>0.402204123848366</v>
      </c>
      <c r="H4679" s="48" t="n">
        <f aca="false">G4679*Assumptions!$E$61^(1/4)+H4674</f>
        <v>0.576847798690426</v>
      </c>
      <c r="I4679" s="48" t="n">
        <f aca="false">H4679*Assumptions!$E$61^(1/4)+I4674</f>
        <v>0.781242734738045</v>
      </c>
      <c r="J4679" s="48" t="n">
        <f aca="false">I4679*Assumptions!$E$61^(1/4)+J4674</f>
        <v>1.01304845408325</v>
      </c>
      <c r="K4679" s="48" t="n">
        <f aca="false">J4679*Assumptions!$E$61^(1/4)+K4674</f>
        <v>1.3241415685677</v>
      </c>
      <c r="L4679" s="48" t="n">
        <f aca="false">K4679*Assumptions!$E$61^(1/4)+L4674</f>
        <v>1.70772956960127</v>
      </c>
      <c r="M4679" s="48" t="n">
        <f aca="false">L4679*Assumptions!$E$61^(1/4)+M4674</f>
        <v>2.08567033628322</v>
      </c>
      <c r="N4679" s="48" t="n">
        <f aca="false">M4679*Assumptions!$E$61^(1/4)+N4674</f>
        <v>2.44361616059803</v>
      </c>
      <c r="P4679" s="49" t="n">
        <f aca="false">F4679</f>
        <v>0.239501987393909</v>
      </c>
      <c r="Q4679" s="49" t="n">
        <f aca="false">J4679</f>
        <v>1.01304845408325</v>
      </c>
      <c r="R4679" s="49" t="n">
        <f aca="false">N4679</f>
        <v>2.44361616059803</v>
      </c>
      <c r="S4679" s="50" t="n">
        <f aca="false">R4679</f>
        <v>2.44361616059803</v>
      </c>
    </row>
    <row r="4680" customFormat="false" ht="15" hidden="false" customHeight="false" outlineLevel="0" collapsed="false">
      <c r="A4680" s="9" t="s">
        <v>537</v>
      </c>
      <c r="B4680" s="36" t="s">
        <v>527</v>
      </c>
      <c r="C4680" s="49" t="n">
        <f aca="false">C4677+C4678+C4679</f>
        <v>0</v>
      </c>
      <c r="D4680" s="49" t="n">
        <f aca="false">D4677+D4678+D4679</f>
        <v>1.61768840442665</v>
      </c>
      <c r="E4680" s="49" t="n">
        <f aca="false">E4677+E4678+E4679</f>
        <v>4.44393666075056</v>
      </c>
      <c r="F4680" s="49" t="n">
        <f aca="false">F4677+F4678+F4679</f>
        <v>7.52446547917984</v>
      </c>
      <c r="G4680" s="49" t="n">
        <f aca="false">G4677+G4678+G4679</f>
        <v>10.8091941181142</v>
      </c>
      <c r="H4680" s="49" t="n">
        <f aca="false">H4677+H4678+H4679</f>
        <v>14.9513699573612</v>
      </c>
      <c r="I4680" s="49" t="n">
        <f aca="false">I4677+I4678+I4679</f>
        <v>19.882636429273</v>
      </c>
      <c r="J4680" s="49" t="n">
        <f aca="false">J4677+J4678+J4679</f>
        <v>27.0760059070412</v>
      </c>
      <c r="K4680" s="49" t="n">
        <f aca="false">K4677+K4678+K4679</f>
        <v>36.3061578601622</v>
      </c>
      <c r="L4680" s="49" t="n">
        <f aca="false">L4677+L4678+L4679</f>
        <v>45.3967867311965</v>
      </c>
      <c r="M4680" s="49" t="n">
        <f aca="false">M4677+M4678+M4679</f>
        <v>53.9349463405277</v>
      </c>
      <c r="N4680" s="49" t="n">
        <f aca="false">N4677+N4678+N4679</f>
        <v>61.94258765119</v>
      </c>
      <c r="P4680" s="49" t="n">
        <f aca="false">F4680</f>
        <v>7.52446547917984</v>
      </c>
      <c r="Q4680" s="49" t="n">
        <f aca="false">J4680</f>
        <v>27.0760059070412</v>
      </c>
      <c r="R4680" s="49" t="n">
        <f aca="false">N4680</f>
        <v>61.94258765119</v>
      </c>
      <c r="S4680" s="50" t="n">
        <f aca="false">R4680</f>
        <v>61.94258765119</v>
      </c>
    </row>
    <row r="4681" customFormat="false" ht="15" hidden="false" customHeight="false" outlineLevel="0" collapsed="false">
      <c r="A4681" s="4" t="s">
        <v>538</v>
      </c>
      <c r="B4681" s="36" t="s">
        <v>125</v>
      </c>
      <c r="C4681" s="54" t="n">
        <f aca="false">0*Assumptions!$E$62^(1/4)+C4672*$C$4621</f>
        <v>0</v>
      </c>
      <c r="D4681" s="54" t="n">
        <f aca="false">C4681*Assumptions!$E$62^(1/4)+D4672*$C$4621</f>
        <v>5767.93212279324</v>
      </c>
      <c r="E4681" s="54" t="n">
        <f aca="false">D4681*Assumptions!$E$62^(1/4)+E4672*$C$4621</f>
        <v>15699.8167079045</v>
      </c>
      <c r="F4681" s="54" t="n">
        <f aca="false">E4681*Assumptions!$E$62^(1/4)+F4672*$C$4621</f>
        <v>26605.8476988359</v>
      </c>
      <c r="G4681" s="54" t="n">
        <f aca="false">F4681*Assumptions!$E$62^(1/4)+G4672*$C$4621</f>
        <v>38507.0932537529</v>
      </c>
      <c r="H4681" s="54" t="n">
        <f aca="false">G4681*Assumptions!$E$62^(1/4)+H4672*$C$4621</f>
        <v>53853.7617863578</v>
      </c>
      <c r="I4681" s="54" t="n">
        <f aca="false">H4681*Assumptions!$E$62^(1/4)+I4672*$C$4621</f>
        <v>72419.1948169862</v>
      </c>
      <c r="J4681" s="54" t="n">
        <f aca="false">I4681*Assumptions!$E$62^(1/4)+J4672*$C$4621</f>
        <v>100078.305064258</v>
      </c>
      <c r="K4681" s="54" t="n">
        <f aca="false">J4681*Assumptions!$E$62^(1/4)+K4672*$C$4621</f>
        <v>135984.7992987</v>
      </c>
      <c r="L4681" s="54" t="n">
        <f aca="false">K4681*Assumptions!$E$62^(1/4)+L4672*$C$4621</f>
        <v>172089.30988292</v>
      </c>
      <c r="M4681" s="54" t="n">
        <f aca="false">L4681*Assumptions!$E$62^(1/4)+M4672*$C$4621</f>
        <v>207127.896080254</v>
      </c>
      <c r="N4681" s="54" t="n">
        <f aca="false">M4681*Assumptions!$E$62^(1/4)+N4672*$C$4621</f>
        <v>241174.527863717</v>
      </c>
      <c r="P4681" s="55" t="n">
        <f aca="false">F4681</f>
        <v>26605.8476988359</v>
      </c>
      <c r="Q4681" s="55" t="n">
        <f aca="false">J4681</f>
        <v>100078.305064258</v>
      </c>
      <c r="R4681" s="55" t="n">
        <f aca="false">N4681</f>
        <v>241174.527863717</v>
      </c>
      <c r="S4681" s="56" t="n">
        <f aca="false">R4681</f>
        <v>241174.527863717</v>
      </c>
    </row>
    <row r="4682" customFormat="false" ht="15" hidden="false" customHeight="false" outlineLevel="0" collapsed="false">
      <c r="A4682" s="4" t="s">
        <v>539</v>
      </c>
      <c r="B4682" s="36" t="s">
        <v>125</v>
      </c>
      <c r="C4682" s="54" t="n">
        <f aca="false">0*Assumptions!$E$63^(1/4)+C4673*$C$4622</f>
        <v>0</v>
      </c>
      <c r="D4682" s="54" t="n">
        <f aca="false">C4682*Assumptions!$E$63^(1/4)+D4673*$C$4622</f>
        <v>5273.76648509019</v>
      </c>
      <c r="E4682" s="54" t="n">
        <f aca="false">D4682*Assumptions!$E$63^(1/4)+E4673*$C$4622</f>
        <v>14432.1266489283</v>
      </c>
      <c r="F4682" s="54" t="n">
        <f aca="false">E4682*Assumptions!$E$63^(1/4)+F4673*$C$4622</f>
        <v>24615.5619222842</v>
      </c>
      <c r="G4682" s="54" t="n">
        <f aca="false">F4682*Assumptions!$E$63^(1/4)+G4673*$C$4622</f>
        <v>35858.3772504523</v>
      </c>
      <c r="H4682" s="54" t="n">
        <f aca="false">G4682*Assumptions!$E$63^(1/4)+H4673*$C$4622</f>
        <v>50139.5916277308</v>
      </c>
      <c r="I4682" s="54" t="n">
        <f aca="false">H4682*Assumptions!$E$63^(1/4)+I4673*$C$4622</f>
        <v>67321.3606991821</v>
      </c>
      <c r="J4682" s="54" t="n">
        <f aca="false">I4682*Assumptions!$E$63^(1/4)+J4673*$C$4622</f>
        <v>91355.0410298146</v>
      </c>
      <c r="K4682" s="54" t="n">
        <f aca="false">J4682*Assumptions!$E$63^(1/4)+K4673*$C$4622</f>
        <v>121830.87582073</v>
      </c>
      <c r="L4682" s="54" t="n">
        <f aca="false">K4682*Assumptions!$E$63^(1/4)+L4673*$C$4622</f>
        <v>152914.583066425</v>
      </c>
      <c r="M4682" s="54" t="n">
        <f aca="false">L4682*Assumptions!$E$63^(1/4)+M4673*$C$4622</f>
        <v>183589.49378</v>
      </c>
      <c r="N4682" s="54" t="n">
        <f aca="false">M4682*Assumptions!$E$63^(1/4)+N4673*$C$4622</f>
        <v>213909.630177822</v>
      </c>
      <c r="P4682" s="55" t="n">
        <f aca="false">F4682</f>
        <v>24615.5619222842</v>
      </c>
      <c r="Q4682" s="55" t="n">
        <f aca="false">J4682</f>
        <v>91355.0410298146</v>
      </c>
      <c r="R4682" s="55" t="n">
        <f aca="false">N4682</f>
        <v>213909.630177822</v>
      </c>
      <c r="S4682" s="56" t="n">
        <f aca="false">R4682</f>
        <v>213909.630177822</v>
      </c>
    </row>
    <row r="4683" customFormat="false" ht="15" hidden="false" customHeight="false" outlineLevel="0" collapsed="false">
      <c r="A4683" s="4" t="s">
        <v>540</v>
      </c>
      <c r="B4683" s="36" t="s">
        <v>125</v>
      </c>
      <c r="C4683" s="54" t="n">
        <f aca="false">0*Assumptions!$E$64^(1/4)+C4674*$C$4623</f>
        <v>0</v>
      </c>
      <c r="D4683" s="54" t="n">
        <f aca="false">C4683*Assumptions!$E$64^(1/4)+D4674*$C$4623</f>
        <v>0</v>
      </c>
      <c r="E4683" s="54" t="n">
        <f aca="false">D4683*Assumptions!$E$64^(1/4)+E4674*$C$4623</f>
        <v>5477.39953571474</v>
      </c>
      <c r="F4683" s="54" t="n">
        <f aca="false">E4683*Assumptions!$E$64^(1/4)+F4674*$C$4623</f>
        <v>15103.7777063728</v>
      </c>
      <c r="G4683" s="54" t="n">
        <f aca="false">F4683*Assumptions!$E$64^(1/4)+G4674*$C$4623</f>
        <v>25997.5297064953</v>
      </c>
      <c r="H4683" s="54" t="n">
        <f aca="false">G4683*Assumptions!$E$64^(1/4)+H4674*$C$4623</f>
        <v>38223.7278597595</v>
      </c>
      <c r="I4683" s="54" t="n">
        <f aca="false">H4683*Assumptions!$E$64^(1/4)+I4674*$C$4623</f>
        <v>52945.2240577143</v>
      </c>
      <c r="J4683" s="54" t="n">
        <f aca="false">I4683*Assumptions!$E$64^(1/4)+J4674*$C$4623</f>
        <v>70144.072539531</v>
      </c>
      <c r="K4683" s="54" t="n">
        <f aca="false">J4683*Assumptions!$E$64^(1/4)+K4674*$C$4623</f>
        <v>93148.1438369356</v>
      </c>
      <c r="L4683" s="54" t="n">
        <f aca="false">K4683*Assumptions!$E$64^(1/4)+L4674*$C$4623</f>
        <v>121845.28002958</v>
      </c>
      <c r="M4683" s="54" t="n">
        <f aca="false">L4683*Assumptions!$E$64^(1/4)+M4674*$C$4623</f>
        <v>151702.823645161</v>
      </c>
      <c r="N4683" s="54" t="n">
        <f aca="false">M4683*Assumptions!$E$64^(1/4)+N4674*$C$4623</f>
        <v>181868.462965651</v>
      </c>
      <c r="P4683" s="55" t="n">
        <f aca="false">F4683</f>
        <v>15103.7777063728</v>
      </c>
      <c r="Q4683" s="55" t="n">
        <f aca="false">J4683</f>
        <v>70144.072539531</v>
      </c>
      <c r="R4683" s="55" t="n">
        <f aca="false">N4683</f>
        <v>181868.462965651</v>
      </c>
      <c r="S4683" s="56" t="n">
        <f aca="false">R4683</f>
        <v>181868.462965651</v>
      </c>
    </row>
    <row r="4684" customFormat="false" ht="15" hidden="false" customHeight="false" outlineLevel="0" collapsed="false">
      <c r="A4684" s="9" t="s">
        <v>541</v>
      </c>
      <c r="B4684" s="36" t="s">
        <v>125</v>
      </c>
      <c r="C4684" s="55" t="n">
        <f aca="false">C4681+C4682+C4683</f>
        <v>0</v>
      </c>
      <c r="D4684" s="55" t="n">
        <f aca="false">D4681+D4682+D4683</f>
        <v>11041.6986078834</v>
      </c>
      <c r="E4684" s="55" t="n">
        <f aca="false">E4681+E4682+E4683</f>
        <v>35609.3428925475</v>
      </c>
      <c r="F4684" s="55" t="n">
        <f aca="false">F4681+F4682+F4683</f>
        <v>66325.1873274928</v>
      </c>
      <c r="G4684" s="55" t="n">
        <f aca="false">G4681+G4682+G4683</f>
        <v>100363.0002107</v>
      </c>
      <c r="H4684" s="55" t="n">
        <f aca="false">H4681+H4682+H4683</f>
        <v>142217.081273848</v>
      </c>
      <c r="I4684" s="55" t="n">
        <f aca="false">I4681+I4682+I4683</f>
        <v>192685.779573883</v>
      </c>
      <c r="J4684" s="55" t="n">
        <f aca="false">J4681+J4682+J4683</f>
        <v>261577.418633604</v>
      </c>
      <c r="K4684" s="55" t="n">
        <f aca="false">K4681+K4682+K4683</f>
        <v>350963.818956366</v>
      </c>
      <c r="L4684" s="55" t="n">
        <f aca="false">L4681+L4682+L4683</f>
        <v>446849.172978925</v>
      </c>
      <c r="M4684" s="55" t="n">
        <f aca="false">M4681+M4682+M4683</f>
        <v>542420.213505415</v>
      </c>
      <c r="N4684" s="55" t="n">
        <f aca="false">N4681+N4682+N4683</f>
        <v>636952.621007189</v>
      </c>
      <c r="P4684" s="55" t="n">
        <f aca="false">F4684</f>
        <v>66325.1873274928</v>
      </c>
      <c r="Q4684" s="55" t="n">
        <f aca="false">J4684</f>
        <v>261577.418633604</v>
      </c>
      <c r="R4684" s="55" t="n">
        <f aca="false">N4684</f>
        <v>636952.621007189</v>
      </c>
      <c r="S4684" s="56" t="n">
        <f aca="false">R4684</f>
        <v>636952.621007189</v>
      </c>
    </row>
    <row r="4685" customFormat="false" ht="15" hidden="false" customHeight="false" outlineLevel="0" collapsed="false">
      <c r="A4685" s="4" t="s">
        <v>542</v>
      </c>
      <c r="B4685" s="36" t="s">
        <v>125</v>
      </c>
      <c r="C4685" s="54" t="n">
        <f aca="false">C4672*$C$4621+C4673*$C$4622+C4674*$C$4623</f>
        <v>0</v>
      </c>
      <c r="D4685" s="54" t="n">
        <f aca="false">D4672*$C$4621+D4673*$C$4622+D4674*$C$4623</f>
        <v>11041.6986078834</v>
      </c>
      <c r="E4685" s="54" t="n">
        <f aca="false">E4672*$C$4621+E4673*$C$4622+E4674*$C$4623</f>
        <v>24490.2578465324</v>
      </c>
      <c r="F4685" s="54" t="n">
        <f aca="false">F4672*$C$4621+F4673*$C$4622+F4674*$C$4623</f>
        <v>30309.3038377678</v>
      </c>
      <c r="G4685" s="54" t="n">
        <f aca="false">G4672*$C$4621+G4673*$C$4622+G4674*$C$4623</f>
        <v>33139.5466334748</v>
      </c>
      <c r="H4685" s="54" t="n">
        <f aca="false">H4672*$C$4621+H4673*$C$4622+H4674*$C$4623</f>
        <v>40403.4786055196</v>
      </c>
      <c r="I4685" s="54" t="n">
        <f aca="false">I4672*$C$4621+I4673*$C$4622+I4674*$C$4623</f>
        <v>48373.7954122311</v>
      </c>
      <c r="J4685" s="54" t="n">
        <f aca="false">J4672*$C$4621+J4673*$C$4622+J4674*$C$4623</f>
        <v>66021.1454499879</v>
      </c>
      <c r="K4685" s="54" t="n">
        <f aca="false">K4672*$C$4621+K4673*$C$4622+K4674*$C$4623</f>
        <v>85551.682217686</v>
      </c>
      <c r="L4685" s="54" t="n">
        <f aca="false">L4672*$C$4621+L4673*$C$4622+L4674*$C$4623</f>
        <v>90785.4576825388</v>
      </c>
      <c r="M4685" s="54" t="n">
        <f aca="false">M4672*$C$4621+M4673*$C$4622+M4674*$C$4623</f>
        <v>88994.6116884704</v>
      </c>
      <c r="N4685" s="54" t="n">
        <f aca="false">N4672*$C$4621+N4673*$C$4622+N4674*$C$4623</f>
        <v>86444.1829274504</v>
      </c>
      <c r="P4685" s="55" t="n">
        <f aca="false">SUM(C4685:F4685)</f>
        <v>65841.2602921836</v>
      </c>
      <c r="Q4685" s="55" t="n">
        <f aca="false">SUM(G4685:J4685)</f>
        <v>187937.966101213</v>
      </c>
      <c r="R4685" s="55" t="n">
        <f aca="false">SUM(K4685:N4685)</f>
        <v>351775.934516146</v>
      </c>
      <c r="S4685" s="56" t="n">
        <f aca="false">SUM(P4685:R4685)</f>
        <v>605555.160909543</v>
      </c>
    </row>
    <row r="4686" customFormat="false" ht="15" hidden="false" customHeight="false" outlineLevel="0" collapsed="false">
      <c r="A4686" s="9" t="s">
        <v>543</v>
      </c>
      <c r="B4686" s="36" t="s">
        <v>125</v>
      </c>
      <c r="C4686" s="55" t="n">
        <f aca="false">(0+C4684)/8</f>
        <v>0</v>
      </c>
      <c r="D4686" s="55" t="n">
        <f aca="false">(C4684+D4684)/8</f>
        <v>1380.21232598543</v>
      </c>
      <c r="E4686" s="55" t="n">
        <f aca="false">(D4684+E4684)/8</f>
        <v>5831.38018755386</v>
      </c>
      <c r="F4686" s="55" t="n">
        <f aca="false">(E4684+F4684)/8</f>
        <v>12741.816277505</v>
      </c>
      <c r="G4686" s="55" t="n">
        <f aca="false">(F4684+G4684)/8</f>
        <v>20836.0234422741</v>
      </c>
      <c r="H4686" s="55" t="n">
        <f aca="false">(G4684+H4684)/8</f>
        <v>30322.5101855686</v>
      </c>
      <c r="I4686" s="55" t="n">
        <f aca="false">(H4684+I4684)/8</f>
        <v>41862.8576059663</v>
      </c>
      <c r="J4686" s="55" t="n">
        <f aca="false">(I4684+J4684)/8</f>
        <v>56782.8997759358</v>
      </c>
      <c r="K4686" s="55" t="n">
        <f aca="false">(J4684+K4684)/8</f>
        <v>76567.6546987462</v>
      </c>
      <c r="L4686" s="55" t="n">
        <f aca="false">(K4684+L4684)/8</f>
        <v>99726.6239919113</v>
      </c>
      <c r="M4686" s="55" t="n">
        <f aca="false">(L4684+M4684)/8</f>
        <v>123658.673310542</v>
      </c>
      <c r="N4686" s="55" t="n">
        <f aca="false">(M4684+N4684)/8</f>
        <v>147421.604314076</v>
      </c>
      <c r="P4686" s="55" t="n">
        <f aca="false">SUM(C4686:F4686)</f>
        <v>19953.4087910443</v>
      </c>
      <c r="Q4686" s="55" t="n">
        <f aca="false">SUM(G4686:J4686)</f>
        <v>149804.291009745</v>
      </c>
      <c r="R4686" s="55" t="n">
        <f aca="false">SUM(K4686:N4686)</f>
        <v>447374.556315275</v>
      </c>
      <c r="S4686" s="56" t="n">
        <f aca="false">SUM(P4686:R4686)</f>
        <v>617132.256116065</v>
      </c>
    </row>
    <row r="4687" customFormat="false" ht="15" hidden="false" customHeight="false" outlineLevel="0" collapsed="false">
      <c r="A4687" s="4" t="s">
        <v>544</v>
      </c>
      <c r="B4687" s="36" t="s">
        <v>125</v>
      </c>
      <c r="C4687" s="54" t="n">
        <f aca="false">C4686*Assumptions!$E$76</f>
        <v>0</v>
      </c>
      <c r="D4687" s="54" t="n">
        <f aca="false">D4686*Assumptions!$E$76</f>
        <v>897.138011890529</v>
      </c>
      <c r="E4687" s="54" t="n">
        <f aca="false">E4686*Assumptions!$E$76</f>
        <v>3790.39712191001</v>
      </c>
      <c r="F4687" s="54" t="n">
        <f aca="false">F4686*Assumptions!$E$76</f>
        <v>8282.18058037827</v>
      </c>
      <c r="G4687" s="54" t="n">
        <f aca="false">G4686*Assumptions!$E$76</f>
        <v>13543.4152374782</v>
      </c>
      <c r="H4687" s="54" t="n">
        <f aca="false">H4686*Assumptions!$E$76</f>
        <v>19709.6316206196</v>
      </c>
      <c r="I4687" s="54" t="n">
        <f aca="false">I4686*Assumptions!$E$76</f>
        <v>27210.8574438781</v>
      </c>
      <c r="J4687" s="54" t="n">
        <f aca="false">J4686*Assumptions!$E$76</f>
        <v>36908.8848543583</v>
      </c>
      <c r="K4687" s="54" t="n">
        <f aca="false">K4686*Assumptions!$E$76</f>
        <v>49768.975554185</v>
      </c>
      <c r="L4687" s="54" t="n">
        <f aca="false">L4686*Assumptions!$E$76</f>
        <v>64822.3055947424</v>
      </c>
      <c r="M4687" s="54" t="n">
        <f aca="false">M4686*Assumptions!$E$76</f>
        <v>80378.1376518526</v>
      </c>
      <c r="N4687" s="54" t="n">
        <f aca="false">N4686*Assumptions!$E$76</f>
        <v>95824.0428041491</v>
      </c>
      <c r="P4687" s="55" t="n">
        <f aca="false">SUM(C4687:F4687)</f>
        <v>12969.7157141788</v>
      </c>
      <c r="Q4687" s="55" t="n">
        <f aca="false">SUM(G4687:J4687)</f>
        <v>97372.7891563341</v>
      </c>
      <c r="R4687" s="55" t="n">
        <f aca="false">SUM(K4687:N4687)</f>
        <v>290793.461604929</v>
      </c>
      <c r="S4687" s="56" t="n">
        <f aca="false">SUM(P4687:R4687)</f>
        <v>401135.966475442</v>
      </c>
    </row>
    <row r="4688" customFormat="false" ht="15" hidden="false" customHeight="false" outlineLevel="0" collapsed="false">
      <c r="A4688" s="35" t="s">
        <v>547</v>
      </c>
      <c r="B4688" s="35" t="s">
        <v>444</v>
      </c>
      <c r="C4688" s="6" t="s">
        <v>354</v>
      </c>
      <c r="D4688" s="6" t="s">
        <v>355</v>
      </c>
      <c r="E4688" s="6" t="s">
        <v>356</v>
      </c>
      <c r="F4688" s="6" t="s">
        <v>357</v>
      </c>
      <c r="G4688" s="6" t="s">
        <v>358</v>
      </c>
      <c r="H4688" s="6" t="s">
        <v>359</v>
      </c>
      <c r="I4688" s="6" t="s">
        <v>360</v>
      </c>
      <c r="J4688" s="6" t="s">
        <v>361</v>
      </c>
      <c r="K4688" s="6" t="s">
        <v>362</v>
      </c>
      <c r="L4688" s="6" t="s">
        <v>363</v>
      </c>
      <c r="M4688" s="6" t="s">
        <v>364</v>
      </c>
      <c r="N4688" s="6" t="s">
        <v>365</v>
      </c>
      <c r="P4688" s="6" t="s">
        <v>445</v>
      </c>
      <c r="Q4688" s="6" t="s">
        <v>446</v>
      </c>
      <c r="R4688" s="6" t="s">
        <v>447</v>
      </c>
      <c r="S4688" s="6" t="s">
        <v>448</v>
      </c>
    </row>
    <row r="4689" customFormat="false" ht="15" hidden="false" customHeight="false" outlineLevel="0" collapsed="false">
      <c r="A4689" s="4" t="s">
        <v>548</v>
      </c>
      <c r="B4689" s="36" t="s">
        <v>321</v>
      </c>
      <c r="C4689" s="48" t="n">
        <f aca="false">Assumptions!$D$97*C4631</f>
        <v>1</v>
      </c>
      <c r="D4689" s="48" t="n">
        <f aca="false">Assumptions!$D$97*D4631</f>
        <v>1</v>
      </c>
      <c r="E4689" s="48" t="n">
        <f aca="false">Assumptions!$D$97*E4631</f>
        <v>1</v>
      </c>
      <c r="F4689" s="48" t="n">
        <f aca="false">Assumptions!$D$97*F4631</f>
        <v>1</v>
      </c>
      <c r="G4689" s="48" t="n">
        <f aca="false">Assumptions!$D$97*G4631</f>
        <v>1</v>
      </c>
      <c r="H4689" s="48" t="n">
        <f aca="false">Assumptions!$D$97*H4631</f>
        <v>1</v>
      </c>
      <c r="I4689" s="48" t="n">
        <f aca="false">Assumptions!$D$97*I4631</f>
        <v>1</v>
      </c>
      <c r="J4689" s="48" t="n">
        <f aca="false">Assumptions!$D$97*J4631</f>
        <v>1</v>
      </c>
      <c r="K4689" s="48" t="n">
        <f aca="false">Assumptions!$D$97*K4631</f>
        <v>1</v>
      </c>
      <c r="L4689" s="48" t="n">
        <f aca="false">Assumptions!$D$97*L4631</f>
        <v>1</v>
      </c>
      <c r="M4689" s="48" t="n">
        <f aca="false">Assumptions!$D$97*M4631</f>
        <v>1</v>
      </c>
      <c r="N4689" s="48" t="n">
        <f aca="false">Assumptions!$D$97*N4631</f>
        <v>1</v>
      </c>
      <c r="P4689" s="49" t="n">
        <f aca="false">AVERAGE(C4689:F4689)</f>
        <v>1</v>
      </c>
      <c r="Q4689" s="49" t="n">
        <f aca="false">AVERAGE(G4689:J4689)</f>
        <v>1</v>
      </c>
      <c r="R4689" s="49" t="n">
        <f aca="false">AVERAGE(K4689:N4689)</f>
        <v>1</v>
      </c>
      <c r="S4689" s="50"/>
    </row>
    <row r="4690" customFormat="false" ht="15" hidden="false" customHeight="false" outlineLevel="0" collapsed="false">
      <c r="A4690" s="4" t="s">
        <v>549</v>
      </c>
      <c r="B4690" s="36" t="s">
        <v>321</v>
      </c>
      <c r="C4690" s="48" t="n">
        <f aca="false">C4644*C4631</f>
        <v>0</v>
      </c>
      <c r="D4690" s="48" t="n">
        <f aca="false">D4644*D4631</f>
        <v>0</v>
      </c>
      <c r="E4690" s="48" t="n">
        <f aca="false">E4644*E4631</f>
        <v>0</v>
      </c>
      <c r="F4690" s="48" t="n">
        <f aca="false">F4644*F4631</f>
        <v>0</v>
      </c>
      <c r="G4690" s="48" t="n">
        <f aca="false">G4644*G4631</f>
        <v>0</v>
      </c>
      <c r="H4690" s="48" t="n">
        <f aca="false">H4644*H4631</f>
        <v>0</v>
      </c>
      <c r="I4690" s="48" t="n">
        <f aca="false">I4644*I4631</f>
        <v>0</v>
      </c>
      <c r="J4690" s="48" t="n">
        <f aca="false">J4644*J4631</f>
        <v>0</v>
      </c>
      <c r="K4690" s="48" t="n">
        <f aca="false">K4644*K4631</f>
        <v>0</v>
      </c>
      <c r="L4690" s="48" t="n">
        <f aca="false">L4644*L4631</f>
        <v>0</v>
      </c>
      <c r="M4690" s="48" t="n">
        <f aca="false">M4644*M4631</f>
        <v>0</v>
      </c>
      <c r="N4690" s="48" t="n">
        <f aca="false">N4644*N4631</f>
        <v>0</v>
      </c>
      <c r="P4690" s="49" t="n">
        <f aca="false">AVERAGE(C4690:F4690)</f>
        <v>0</v>
      </c>
      <c r="Q4690" s="49" t="n">
        <f aca="false">AVERAGE(G4690:J4690)</f>
        <v>0</v>
      </c>
      <c r="R4690" s="49" t="n">
        <f aca="false">AVERAGE(K4690:N4690)</f>
        <v>0</v>
      </c>
      <c r="S4690" s="50"/>
    </row>
    <row r="4691" customFormat="false" ht="15" hidden="false" customHeight="false" outlineLevel="0" collapsed="false">
      <c r="A4691" s="4" t="s">
        <v>550</v>
      </c>
      <c r="B4691" s="36" t="s">
        <v>321</v>
      </c>
      <c r="C4691" s="48" t="n">
        <f aca="false">IF(C4630&lt;=4,Assumptions!$D$98,Assumptions!$D$99)*C4631</f>
        <v>0</v>
      </c>
      <c r="D4691" s="48" t="n">
        <f aca="false">IF(D4630&lt;=4,Assumptions!$D$98,Assumptions!$D$99)*D4631</f>
        <v>0</v>
      </c>
      <c r="E4691" s="48" t="n">
        <f aca="false">IF(E4630&lt;=4,Assumptions!$D$98,Assumptions!$D$99)*E4631</f>
        <v>0</v>
      </c>
      <c r="F4691" s="48" t="n">
        <f aca="false">IF(F4630&lt;=4,Assumptions!$D$98,Assumptions!$D$99)*F4631</f>
        <v>0</v>
      </c>
      <c r="G4691" s="48" t="n">
        <f aca="false">IF(G4630&lt;=4,Assumptions!$D$98,Assumptions!$D$99)*G4631</f>
        <v>0.5</v>
      </c>
      <c r="H4691" s="48" t="n">
        <f aca="false">IF(H4630&lt;=4,Assumptions!$D$98,Assumptions!$D$99)*H4631</f>
        <v>0.5</v>
      </c>
      <c r="I4691" s="48" t="n">
        <f aca="false">IF(I4630&lt;=4,Assumptions!$D$98,Assumptions!$D$99)*I4631</f>
        <v>0.5</v>
      </c>
      <c r="J4691" s="48" t="n">
        <f aca="false">IF(J4630&lt;=4,Assumptions!$D$98,Assumptions!$D$99)*J4631</f>
        <v>0.5</v>
      </c>
      <c r="K4691" s="48" t="n">
        <f aca="false">IF(K4630&lt;=4,Assumptions!$D$98,Assumptions!$D$99)*K4631</f>
        <v>0.5</v>
      </c>
      <c r="L4691" s="48" t="n">
        <f aca="false">IF(L4630&lt;=4,Assumptions!$D$98,Assumptions!$D$99)*L4631</f>
        <v>0.5</v>
      </c>
      <c r="M4691" s="48" t="n">
        <f aca="false">IF(M4630&lt;=4,Assumptions!$D$98,Assumptions!$D$99)*M4631</f>
        <v>0.5</v>
      </c>
      <c r="N4691" s="48" t="n">
        <f aca="false">IF(N4630&lt;=4,Assumptions!$D$98,Assumptions!$D$99)*N4631</f>
        <v>0.5</v>
      </c>
      <c r="P4691" s="49" t="n">
        <f aca="false">AVERAGE(C4691:F4691)</f>
        <v>0</v>
      </c>
      <c r="Q4691" s="49" t="n">
        <f aca="false">AVERAGE(G4691:J4691)</f>
        <v>0.5</v>
      </c>
      <c r="R4691" s="49" t="n">
        <f aca="false">AVERAGE(K4691:N4691)</f>
        <v>0.5</v>
      </c>
      <c r="S4691" s="50"/>
    </row>
    <row r="4692" customFormat="false" ht="15" hidden="false" customHeight="false" outlineLevel="0" collapsed="false">
      <c r="A4692" s="4" t="s">
        <v>551</v>
      </c>
      <c r="B4692" s="36" t="s">
        <v>321</v>
      </c>
      <c r="C4692" s="48" t="n">
        <f aca="false">IF(C4630&lt;=4,Assumptions!$D$100,Assumptions!$D$101)*C4631</f>
        <v>1</v>
      </c>
      <c r="D4692" s="48" t="n">
        <f aca="false">IF(D4630&lt;=4,Assumptions!$D$100,Assumptions!$D$101)*D4631</f>
        <v>1</v>
      </c>
      <c r="E4692" s="48" t="n">
        <f aca="false">IF(E4630&lt;=4,Assumptions!$D$100,Assumptions!$D$101)*E4631</f>
        <v>1</v>
      </c>
      <c r="F4692" s="48" t="n">
        <f aca="false">IF(F4630&lt;=4,Assumptions!$D$100,Assumptions!$D$101)*F4631</f>
        <v>1</v>
      </c>
      <c r="G4692" s="48" t="n">
        <f aca="false">IF(G4630&lt;=4,Assumptions!$D$100,Assumptions!$D$101)*G4631</f>
        <v>0.5</v>
      </c>
      <c r="H4692" s="48" t="n">
        <f aca="false">IF(H4630&lt;=4,Assumptions!$D$100,Assumptions!$D$101)*H4631</f>
        <v>0.5</v>
      </c>
      <c r="I4692" s="48" t="n">
        <f aca="false">IF(I4630&lt;=4,Assumptions!$D$100,Assumptions!$D$101)*I4631</f>
        <v>0.5</v>
      </c>
      <c r="J4692" s="48" t="n">
        <f aca="false">IF(J4630&lt;=4,Assumptions!$D$100,Assumptions!$D$101)*J4631</f>
        <v>0.5</v>
      </c>
      <c r="K4692" s="48" t="n">
        <f aca="false">IF(K4630&lt;=4,Assumptions!$D$100,Assumptions!$D$101)*K4631</f>
        <v>0.5</v>
      </c>
      <c r="L4692" s="48" t="n">
        <f aca="false">IF(L4630&lt;=4,Assumptions!$D$100,Assumptions!$D$101)*L4631</f>
        <v>0.5</v>
      </c>
      <c r="M4692" s="48" t="n">
        <f aca="false">IF(M4630&lt;=4,Assumptions!$D$100,Assumptions!$D$101)*M4631</f>
        <v>0.5</v>
      </c>
      <c r="N4692" s="48" t="n">
        <f aca="false">IF(N4630&lt;=4,Assumptions!$D$100,Assumptions!$D$101)*N4631</f>
        <v>0.5</v>
      </c>
      <c r="P4692" s="49" t="n">
        <f aca="false">AVERAGE(C4692:F4692)</f>
        <v>1</v>
      </c>
      <c r="Q4692" s="49" t="n">
        <f aca="false">AVERAGE(G4692:J4692)</f>
        <v>0.5</v>
      </c>
      <c r="R4692" s="49" t="n">
        <f aca="false">AVERAGE(K4692:N4692)</f>
        <v>0.5</v>
      </c>
      <c r="S4692" s="50"/>
    </row>
    <row r="4693" customFormat="false" ht="15" hidden="false" customHeight="false" outlineLevel="0" collapsed="false">
      <c r="A4693" s="4" t="s">
        <v>552</v>
      </c>
      <c r="B4693" s="36" t="s">
        <v>321</v>
      </c>
      <c r="C4693" s="48" t="n">
        <f aca="false">Assumptions!$D$102*C4631</f>
        <v>0.25</v>
      </c>
      <c r="D4693" s="48" t="n">
        <f aca="false">Assumptions!$D$102*D4631</f>
        <v>0.25</v>
      </c>
      <c r="E4693" s="48" t="n">
        <f aca="false">Assumptions!$D$102*E4631</f>
        <v>0.25</v>
      </c>
      <c r="F4693" s="48" t="n">
        <f aca="false">Assumptions!$D$102*F4631</f>
        <v>0.25</v>
      </c>
      <c r="G4693" s="48" t="n">
        <f aca="false">Assumptions!$D$102*G4631</f>
        <v>0.25</v>
      </c>
      <c r="H4693" s="48" t="n">
        <f aca="false">Assumptions!$D$102*H4631</f>
        <v>0.25</v>
      </c>
      <c r="I4693" s="48" t="n">
        <f aca="false">Assumptions!$D$102*I4631</f>
        <v>0.25</v>
      </c>
      <c r="J4693" s="48" t="n">
        <f aca="false">Assumptions!$D$102*J4631</f>
        <v>0.25</v>
      </c>
      <c r="K4693" s="48" t="n">
        <f aca="false">Assumptions!$D$102*K4631</f>
        <v>0.25</v>
      </c>
      <c r="L4693" s="48" t="n">
        <f aca="false">Assumptions!$D$102*L4631</f>
        <v>0.25</v>
      </c>
      <c r="M4693" s="48" t="n">
        <f aca="false">Assumptions!$D$102*M4631</f>
        <v>0.25</v>
      </c>
      <c r="N4693" s="48" t="n">
        <f aca="false">Assumptions!$D$102*N4631</f>
        <v>0.25</v>
      </c>
      <c r="P4693" s="49" t="n">
        <f aca="false">AVERAGE(C4693:F4693)</f>
        <v>0.25</v>
      </c>
      <c r="Q4693" s="49" t="n">
        <f aca="false">AVERAGE(G4693:J4693)</f>
        <v>0.25</v>
      </c>
      <c r="R4693" s="49" t="n">
        <f aca="false">AVERAGE(K4693:N4693)</f>
        <v>0.25</v>
      </c>
      <c r="S4693" s="50"/>
    </row>
    <row r="4694" customFormat="false" ht="15" hidden="false" customHeight="false" outlineLevel="0" collapsed="false">
      <c r="A4694" s="4" t="s">
        <v>553</v>
      </c>
      <c r="B4694" s="36" t="s">
        <v>321</v>
      </c>
      <c r="C4694" s="48" t="n">
        <f aca="false">(C4678+C4679)/Assumptions!$E$74+C4677/Assumptions!$E$75</f>
        <v>0</v>
      </c>
      <c r="D4694" s="48" t="n">
        <f aca="false">(D4678+D4679)/Assumptions!$E$74+D4677/Assumptions!$E$75</f>
        <v>0.0178101894494821</v>
      </c>
      <c r="E4694" s="48" t="n">
        <f aca="false">(E4678+E4679)/Assumptions!$E$74+E4677/Assumptions!$E$75</f>
        <v>0.0502078432734693</v>
      </c>
      <c r="F4694" s="48" t="n">
        <f aca="false">(F4678+F4679)/Assumptions!$E$74+F4677/Assumptions!$E$75</f>
        <v>0.0863435368134393</v>
      </c>
      <c r="G4694" s="48" t="n">
        <f aca="false">(G4678+G4679)/Assumptions!$E$74+G4677/Assumptions!$E$75</f>
        <v>0.124964959777568</v>
      </c>
      <c r="H4694" s="48" t="n">
        <f aca="false">(H4678+H4679)/Assumptions!$E$74+H4677/Assumptions!$E$75</f>
        <v>0.172871634159288</v>
      </c>
      <c r="I4694" s="48" t="n">
        <f aca="false">(I4678+I4679)/Assumptions!$E$74+I4677/Assumptions!$E$75</f>
        <v>0.2296261848189</v>
      </c>
      <c r="J4694" s="48" t="n">
        <f aca="false">(J4678+J4679)/Assumptions!$E$74+J4677/Assumptions!$E$75</f>
        <v>0.309344323734341</v>
      </c>
      <c r="K4694" s="48" t="n">
        <f aca="false">(K4678+K4679)/Assumptions!$E$74+K4677/Assumptions!$E$75</f>
        <v>0.410770171752702</v>
      </c>
      <c r="L4694" s="48" t="n">
        <f aca="false">(L4678+L4679)/Assumptions!$E$74+L4677/Assumptions!$E$75</f>
        <v>0.511998734069896</v>
      </c>
      <c r="M4694" s="48" t="n">
        <f aca="false">(M4678+M4679)/Assumptions!$E$74+M4677/Assumptions!$E$75</f>
        <v>0.607562259418688</v>
      </c>
      <c r="N4694" s="48" t="n">
        <f aca="false">(N4678+N4679)/Assumptions!$E$74+N4677/Assumptions!$E$75</f>
        <v>0.697463042379377</v>
      </c>
      <c r="P4694" s="49" t="n">
        <f aca="false">AVERAGE(C4694:F4694)</f>
        <v>0.0385903923840977</v>
      </c>
      <c r="Q4694" s="49" t="n">
        <f aca="false">AVERAGE(G4694:J4694)</f>
        <v>0.209201775622524</v>
      </c>
      <c r="R4694" s="49" t="n">
        <f aca="false">AVERAGE(K4694:N4694)</f>
        <v>0.556948551905166</v>
      </c>
      <c r="S4694" s="50"/>
    </row>
    <row r="4695" customFormat="false" ht="15" hidden="false" customHeight="false" outlineLevel="0" collapsed="false">
      <c r="A4695" s="4" t="s">
        <v>554</v>
      </c>
      <c r="B4695" s="36" t="s">
        <v>125</v>
      </c>
      <c r="C4695" s="54" t="n">
        <f aca="false">(C4689+C4691)*Assumptions!$E$70/Assumptions!$E$69/4</f>
        <v>66753.5714285714</v>
      </c>
      <c r="D4695" s="54" t="n">
        <f aca="false">(D4689+D4691)*Assumptions!$E$70/Assumptions!$E$69/4</f>
        <v>66753.5714285714</v>
      </c>
      <c r="E4695" s="54" t="n">
        <f aca="false">(E4689+E4691)*Assumptions!$E$70/Assumptions!$E$69/4</f>
        <v>66753.5714285714</v>
      </c>
      <c r="F4695" s="54" t="n">
        <f aca="false">(F4689+F4691)*Assumptions!$E$70/Assumptions!$E$69/4</f>
        <v>66753.5714285714</v>
      </c>
      <c r="G4695" s="54" t="n">
        <f aca="false">(G4689+G4691)*Assumptions!$E$70/Assumptions!$E$69/4</f>
        <v>100130.357142857</v>
      </c>
      <c r="H4695" s="54" t="n">
        <f aca="false">(H4689+H4691)*Assumptions!$E$70/Assumptions!$E$69/4</f>
        <v>100130.357142857</v>
      </c>
      <c r="I4695" s="54" t="n">
        <f aca="false">(I4689+I4691)*Assumptions!$E$70/Assumptions!$E$69/4</f>
        <v>100130.357142857</v>
      </c>
      <c r="J4695" s="54" t="n">
        <f aca="false">(J4689+J4691)*Assumptions!$E$70/Assumptions!$E$69/4</f>
        <v>100130.357142857</v>
      </c>
      <c r="K4695" s="54" t="n">
        <f aca="false">(K4689+K4691)*Assumptions!$E$70/Assumptions!$E$69/4</f>
        <v>100130.357142857</v>
      </c>
      <c r="L4695" s="54" t="n">
        <f aca="false">(L4689+L4691)*Assumptions!$E$70/Assumptions!$E$69/4</f>
        <v>100130.357142857</v>
      </c>
      <c r="M4695" s="54" t="n">
        <f aca="false">(M4689+M4691)*Assumptions!$E$70/Assumptions!$E$69/4</f>
        <v>100130.357142857</v>
      </c>
      <c r="N4695" s="54" t="n">
        <f aca="false">(N4689+N4691)*Assumptions!$E$70/Assumptions!$E$69/4</f>
        <v>100130.357142857</v>
      </c>
      <c r="P4695" s="55" t="n">
        <f aca="false">SUM(C4695:F4695)</f>
        <v>267014.285714286</v>
      </c>
      <c r="Q4695" s="55" t="n">
        <f aca="false">SUM(G4695:J4695)</f>
        <v>400521.428571429</v>
      </c>
      <c r="R4695" s="55" t="n">
        <f aca="false">SUM(K4695:N4695)</f>
        <v>400521.428571429</v>
      </c>
      <c r="S4695" s="56" t="n">
        <f aca="false">SUM(P4695:R4695)</f>
        <v>1068057.14285714</v>
      </c>
    </row>
    <row r="4696" customFormat="false" ht="15" hidden="false" customHeight="false" outlineLevel="0" collapsed="false">
      <c r="A4696" s="4" t="s">
        <v>555</v>
      </c>
      <c r="B4696" s="36" t="s">
        <v>125</v>
      </c>
      <c r="C4696" s="54" t="n">
        <f aca="false">C4690*$C$4625/4</f>
        <v>0</v>
      </c>
      <c r="D4696" s="54" t="n">
        <f aca="false">D4690*$C$4625/4</f>
        <v>0</v>
      </c>
      <c r="E4696" s="54" t="n">
        <f aca="false">E4690*$C$4625/4</f>
        <v>0</v>
      </c>
      <c r="F4696" s="54" t="n">
        <f aca="false">F4690*$C$4625/4</f>
        <v>0</v>
      </c>
      <c r="G4696" s="54" t="n">
        <f aca="false">G4690*$C$4625/4</f>
        <v>0</v>
      </c>
      <c r="H4696" s="54" t="n">
        <f aca="false">H4690*$C$4625/4</f>
        <v>0</v>
      </c>
      <c r="I4696" s="54" t="n">
        <f aca="false">I4690*$C$4625/4</f>
        <v>0</v>
      </c>
      <c r="J4696" s="54" t="n">
        <f aca="false">J4690*$C$4625/4</f>
        <v>0</v>
      </c>
      <c r="K4696" s="54" t="n">
        <f aca="false">K4690*$C$4625/4</f>
        <v>0</v>
      </c>
      <c r="L4696" s="54" t="n">
        <f aca="false">L4690*$C$4625/4</f>
        <v>0</v>
      </c>
      <c r="M4696" s="54" t="n">
        <f aca="false">M4690*$C$4625/4</f>
        <v>0</v>
      </c>
      <c r="N4696" s="54" t="n">
        <f aca="false">N4690*$C$4625/4</f>
        <v>0</v>
      </c>
      <c r="P4696" s="55" t="n">
        <f aca="false">SUM(C4696:F4696)</f>
        <v>0</v>
      </c>
      <c r="Q4696" s="55" t="n">
        <f aca="false">SUM(G4696:J4696)</f>
        <v>0</v>
      </c>
      <c r="R4696" s="55" t="n">
        <f aca="false">SUM(K4696:N4696)</f>
        <v>0</v>
      </c>
      <c r="S4696" s="56" t="n">
        <f aca="false">SUM(P4696:R4696)</f>
        <v>0</v>
      </c>
    </row>
    <row r="4697" customFormat="false" ht="15" hidden="false" customHeight="false" outlineLevel="0" collapsed="false">
      <c r="A4697" s="4" t="s">
        <v>556</v>
      </c>
      <c r="B4697" s="36" t="s">
        <v>125</v>
      </c>
      <c r="C4697" s="54" t="n">
        <f aca="false">MAX(0,(C4685-C4666*$C$4621)-C4645*$C$4626)*$C$4627*Assumptions!$D$105</f>
        <v>0</v>
      </c>
      <c r="D4697" s="54" t="n">
        <f aca="false">MAX(0,(D4685-D4666*$C$4621)-D4645*$C$4626)*$C$4627*Assumptions!$D$105</f>
        <v>4343.47240631858</v>
      </c>
      <c r="E4697" s="54" t="n">
        <f aca="false">MAX(0,(E4685-E4666*$C$4621)-E4645*$C$4626)*$C$4627*Assumptions!$D$105</f>
        <v>10034.1422605243</v>
      </c>
      <c r="F4697" s="54" t="n">
        <f aca="false">MAX(0,(F4685-F4666*$C$4621)-F4645*$C$4626)*$C$4627*Assumptions!$D$105</f>
        <v>12612.2423512482</v>
      </c>
      <c r="G4697" s="54" t="n">
        <f aca="false">MAX(0,(G4685-G4666*$C$4621)-G4645*$C$4626)*$C$4627*Assumptions!$D$105</f>
        <v>13793.2002178424</v>
      </c>
      <c r="H4697" s="54" t="n">
        <f aca="false">MAX(0,(H4685-H4666*$C$4621)-H4645*$C$4626)*$C$4627*Assumptions!$D$105</f>
        <v>16699.4649776038</v>
      </c>
      <c r="I4697" s="54" t="n">
        <f aca="false">MAX(0,(I4685-I4666*$C$4621)-I4645*$C$4626)*$C$4627*Assumptions!$D$105</f>
        <v>19966.9576690578</v>
      </c>
      <c r="J4697" s="54" t="n">
        <f aca="false">MAX(0,(J4685-J4666*$C$4621)-J4645*$C$4626)*$C$4627*Assumptions!$D$105</f>
        <v>26926.3731199097</v>
      </c>
      <c r="K4697" s="54" t="n">
        <f aca="false">MAX(0,(K4685-K4666*$C$4621)-K4645*$C$4626)*$C$4627*Assumptions!$D$105</f>
        <v>34882.6747276284</v>
      </c>
      <c r="L4697" s="54" t="n">
        <f aca="false">MAX(0,(L4685-L4666*$C$4621)-L4645*$C$4626)*$C$4627*Assumptions!$D$105</f>
        <v>37296.3752803605</v>
      </c>
      <c r="M4697" s="54" t="n">
        <f aca="false">MAX(0,(M4685-M4666*$C$4621)-M4645*$C$4626)*$C$4627*Assumptions!$D$105</f>
        <v>36610.1624859569</v>
      </c>
      <c r="N4697" s="54" t="n">
        <f aca="false">MAX(0,(N4685-N4666*$C$4621)-N4645*$C$4626)*$C$4627*Assumptions!$D$105</f>
        <v>35559.2738856731</v>
      </c>
      <c r="P4697" s="55" t="n">
        <f aca="false">SUM(C4697:F4697)</f>
        <v>26989.8570180911</v>
      </c>
      <c r="Q4697" s="55" t="n">
        <f aca="false">SUM(G4697:J4697)</f>
        <v>77385.9959844137</v>
      </c>
      <c r="R4697" s="55" t="n">
        <f aca="false">SUM(K4697:N4697)</f>
        <v>144348.486379619</v>
      </c>
      <c r="S4697" s="56" t="n">
        <f aca="false">SUM(P4697:R4697)</f>
        <v>248724.339382124</v>
      </c>
    </row>
    <row r="4698" customFormat="false" ht="15" hidden="false" customHeight="false" outlineLevel="0" collapsed="false">
      <c r="A4698" s="4" t="s">
        <v>557</v>
      </c>
      <c r="B4698" s="36" t="s">
        <v>125</v>
      </c>
      <c r="C4698" s="54" t="n">
        <f aca="false">C4693*Assumptions!$E$71/Assumptions!$E$69/4</f>
        <v>18475.8928571429</v>
      </c>
      <c r="D4698" s="54" t="n">
        <f aca="false">D4693*Assumptions!$E$71/Assumptions!$E$69/4</f>
        <v>18475.8928571429</v>
      </c>
      <c r="E4698" s="54" t="n">
        <f aca="false">E4693*Assumptions!$E$71/Assumptions!$E$69/4</f>
        <v>18475.8928571429</v>
      </c>
      <c r="F4698" s="54" t="n">
        <f aca="false">F4693*Assumptions!$E$71/Assumptions!$E$69/4</f>
        <v>18475.8928571429</v>
      </c>
      <c r="G4698" s="54" t="n">
        <f aca="false">G4693*Assumptions!$E$71/Assumptions!$E$69/4</f>
        <v>18475.8928571429</v>
      </c>
      <c r="H4698" s="54" t="n">
        <f aca="false">H4693*Assumptions!$E$71/Assumptions!$E$69/4</f>
        <v>18475.8928571429</v>
      </c>
      <c r="I4698" s="54" t="n">
        <f aca="false">I4693*Assumptions!$E$71/Assumptions!$E$69/4</f>
        <v>18475.8928571429</v>
      </c>
      <c r="J4698" s="54" t="n">
        <f aca="false">J4693*Assumptions!$E$71/Assumptions!$E$69/4</f>
        <v>18475.8928571429</v>
      </c>
      <c r="K4698" s="54" t="n">
        <f aca="false">K4693*Assumptions!$E$71/Assumptions!$E$69/4</f>
        <v>18475.8928571429</v>
      </c>
      <c r="L4698" s="54" t="n">
        <f aca="false">L4693*Assumptions!$E$71/Assumptions!$E$69/4</f>
        <v>18475.8928571429</v>
      </c>
      <c r="M4698" s="54" t="n">
        <f aca="false">M4693*Assumptions!$E$71/Assumptions!$E$69/4</f>
        <v>18475.8928571429</v>
      </c>
      <c r="N4698" s="54" t="n">
        <f aca="false">N4693*Assumptions!$E$71/Assumptions!$E$69/4</f>
        <v>18475.8928571429</v>
      </c>
      <c r="P4698" s="55" t="n">
        <f aca="false">SUM(C4698:F4698)</f>
        <v>73903.5714285714</v>
      </c>
      <c r="Q4698" s="55" t="n">
        <f aca="false">SUM(G4698:J4698)</f>
        <v>73903.5714285714</v>
      </c>
      <c r="R4698" s="55" t="n">
        <f aca="false">SUM(K4698:N4698)</f>
        <v>73903.5714285714</v>
      </c>
      <c r="S4698" s="56" t="n">
        <f aca="false">SUM(P4698:R4698)</f>
        <v>221710.714285714</v>
      </c>
    </row>
    <row r="4699" customFormat="false" ht="15" hidden="false" customHeight="false" outlineLevel="0" collapsed="false">
      <c r="A4699" s="4" t="s">
        <v>558</v>
      </c>
      <c r="B4699" s="36" t="s">
        <v>125</v>
      </c>
      <c r="C4699" s="54" t="n">
        <f aca="false">(Assumptions!$D$103+Assumptions!$E$77*((C4630=Assumptions!$E$13)+(C4630=Assumptions!$E$14)+(C4630=Assumptions!$E$15)))*C4631</f>
        <v>65000</v>
      </c>
      <c r="D4699" s="54" t="n">
        <f aca="false">(Assumptions!$D$103+Assumptions!$E$77*((D4630=Assumptions!$E$13)+(D4630=Assumptions!$E$14)+(D4630=Assumptions!$E$15)))*D4631</f>
        <v>25000</v>
      </c>
      <c r="E4699" s="54" t="n">
        <f aca="false">(Assumptions!$D$103+Assumptions!$E$77*((E4630=Assumptions!$E$13)+(E4630=Assumptions!$E$14)+(E4630=Assumptions!$E$15)))*E4631</f>
        <v>25000</v>
      </c>
      <c r="F4699" s="54" t="n">
        <f aca="false">(Assumptions!$D$103+Assumptions!$E$77*((F4630=Assumptions!$E$13)+(F4630=Assumptions!$E$14)+(F4630=Assumptions!$E$15)))*F4631</f>
        <v>25000</v>
      </c>
      <c r="G4699" s="54" t="n">
        <f aca="false">(Assumptions!$D$103+Assumptions!$E$77*((G4630=Assumptions!$E$13)+(G4630=Assumptions!$E$14)+(G4630=Assumptions!$E$15)))*G4631</f>
        <v>65000</v>
      </c>
      <c r="H4699" s="54" t="n">
        <f aca="false">(Assumptions!$D$103+Assumptions!$E$77*((H4630=Assumptions!$E$13)+(H4630=Assumptions!$E$14)+(H4630=Assumptions!$E$15)))*H4631</f>
        <v>25000</v>
      </c>
      <c r="I4699" s="54" t="n">
        <f aca="false">(Assumptions!$D$103+Assumptions!$E$77*((I4630=Assumptions!$E$13)+(I4630=Assumptions!$E$14)+(I4630=Assumptions!$E$15)))*I4631</f>
        <v>65000</v>
      </c>
      <c r="J4699" s="54" t="n">
        <f aca="false">(Assumptions!$D$103+Assumptions!$E$77*((J4630=Assumptions!$E$13)+(J4630=Assumptions!$E$14)+(J4630=Assumptions!$E$15)))*J4631</f>
        <v>25000</v>
      </c>
      <c r="K4699" s="54" t="n">
        <f aca="false">(Assumptions!$D$103+Assumptions!$E$77*((K4630=Assumptions!$E$13)+(K4630=Assumptions!$E$14)+(K4630=Assumptions!$E$15)))*K4631</f>
        <v>25000</v>
      </c>
      <c r="L4699" s="54" t="n">
        <f aca="false">(Assumptions!$D$103+Assumptions!$E$77*((L4630=Assumptions!$E$13)+(L4630=Assumptions!$E$14)+(L4630=Assumptions!$E$15)))*L4631</f>
        <v>25000</v>
      </c>
      <c r="M4699" s="54" t="n">
        <f aca="false">(Assumptions!$D$103+Assumptions!$E$77*((M4630=Assumptions!$E$13)+(M4630=Assumptions!$E$14)+(M4630=Assumptions!$E$15)))*M4631</f>
        <v>25000</v>
      </c>
      <c r="N4699" s="54" t="n">
        <f aca="false">(Assumptions!$D$103+Assumptions!$E$77*((N4630=Assumptions!$E$13)+(N4630=Assumptions!$E$14)+(N4630=Assumptions!$E$15)))*N4631</f>
        <v>25000</v>
      </c>
      <c r="P4699" s="55" t="n">
        <f aca="false">SUM(C4699:F4699)</f>
        <v>140000</v>
      </c>
      <c r="Q4699" s="55" t="n">
        <f aca="false">SUM(G4699:J4699)</f>
        <v>180000</v>
      </c>
      <c r="R4699" s="55" t="n">
        <f aca="false">SUM(K4699:N4699)</f>
        <v>100000</v>
      </c>
      <c r="S4699" s="56" t="n">
        <f aca="false">SUM(P4699:R4699)</f>
        <v>420000</v>
      </c>
    </row>
    <row r="4700" customFormat="false" ht="15" hidden="false" customHeight="false" outlineLevel="0" collapsed="false">
      <c r="A4700" s="4" t="s">
        <v>559</v>
      </c>
      <c r="B4700" s="36" t="s">
        <v>125</v>
      </c>
      <c r="C4700" s="54" t="n">
        <f aca="false">C4685*C4665*Assumptions!$E$79</f>
        <v>0</v>
      </c>
      <c r="D4700" s="54" t="n">
        <f aca="false">D4685*D4665*Assumptions!$E$79</f>
        <v>978.4066480265</v>
      </c>
      <c r="E4700" s="54" t="n">
        <f aca="false">E4685*E4665*Assumptions!$E$79</f>
        <v>1890.41258530528</v>
      </c>
      <c r="F4700" s="54" t="n">
        <f aca="false">F4685*F4665*Assumptions!$E$79</f>
        <v>2840.81450591883</v>
      </c>
      <c r="G4700" s="54" t="n">
        <f aca="false">G4685*G4665*Assumptions!$E$79</f>
        <v>3557.93330531647</v>
      </c>
      <c r="H4700" s="54" t="n">
        <f aca="false">H4685*H4665*Assumptions!$E$79</f>
        <v>4079.81768963088</v>
      </c>
      <c r="I4700" s="54" t="n">
        <f aca="false">I4685*I4665*Assumptions!$E$79</f>
        <v>4740.03104320214</v>
      </c>
      <c r="J4700" s="54" t="n">
        <f aca="false">J4685*J4665*Assumptions!$E$79</f>
        <v>5080.34972899748</v>
      </c>
      <c r="K4700" s="54" t="n">
        <f aca="false">K4685*K4665*Assumptions!$E$79</f>
        <v>5761.58551369843</v>
      </c>
      <c r="L4700" s="54" t="n">
        <f aca="false">L4685*L4665*Assumptions!$E$79</f>
        <v>6756.14214972616</v>
      </c>
      <c r="M4700" s="54" t="n">
        <f aca="false">M4685*M4665*Assumptions!$E$79</f>
        <v>6824.3468487481</v>
      </c>
      <c r="N4700" s="54" t="n">
        <f aca="false">N4685*N4665*Assumptions!$E$79</f>
        <v>6821.90352536019</v>
      </c>
      <c r="P4700" s="55" t="n">
        <f aca="false">SUM(C4700:F4700)</f>
        <v>5709.63373925061</v>
      </c>
      <c r="Q4700" s="55" t="n">
        <f aca="false">SUM(G4700:J4700)</f>
        <v>17458.131767147</v>
      </c>
      <c r="R4700" s="55" t="n">
        <f aca="false">SUM(K4700:N4700)</f>
        <v>26163.9780375329</v>
      </c>
      <c r="S4700" s="56" t="n">
        <f aca="false">SUM(P4700:R4700)</f>
        <v>49331.7435439305</v>
      </c>
    </row>
    <row r="4701" customFormat="false" ht="15" hidden="false" customHeight="false" outlineLevel="0" collapsed="false">
      <c r="A4701" s="4" t="s">
        <v>560</v>
      </c>
      <c r="B4701" s="36" t="s">
        <v>125</v>
      </c>
      <c r="C4701" s="54" t="n">
        <f aca="false">C4650*Assumptions!$E$80</f>
        <v>4000</v>
      </c>
      <c r="D4701" s="54" t="n">
        <f aca="false">D4650*Assumptions!$E$80</f>
        <v>6000</v>
      </c>
      <c r="E4701" s="54" t="n">
        <f aca="false">E4650*Assumptions!$E$80</f>
        <v>8000</v>
      </c>
      <c r="F4701" s="54" t="n">
        <f aca="false">F4650*Assumptions!$E$80</f>
        <v>10000</v>
      </c>
      <c r="G4701" s="54" t="n">
        <f aca="false">G4650*Assumptions!$E$80</f>
        <v>12000</v>
      </c>
      <c r="H4701" s="54" t="n">
        <f aca="false">H4650*Assumptions!$E$80</f>
        <v>14000</v>
      </c>
      <c r="I4701" s="54" t="n">
        <f aca="false">I4650*Assumptions!$E$80</f>
        <v>16000</v>
      </c>
      <c r="J4701" s="54" t="n">
        <f aca="false">J4650*Assumptions!$E$80</f>
        <v>18000</v>
      </c>
      <c r="K4701" s="54" t="n">
        <f aca="false">K4650*Assumptions!$E$80</f>
        <v>20000</v>
      </c>
      <c r="L4701" s="54" t="n">
        <f aca="false">L4650*Assumptions!$E$80</f>
        <v>20000</v>
      </c>
      <c r="M4701" s="54" t="n">
        <f aca="false">M4650*Assumptions!$E$80</f>
        <v>20000</v>
      </c>
      <c r="N4701" s="54" t="n">
        <f aca="false">N4650*Assumptions!$E$80</f>
        <v>20000</v>
      </c>
      <c r="P4701" s="55" t="n">
        <f aca="false">SUM(C4701:F4701)</f>
        <v>28000</v>
      </c>
      <c r="Q4701" s="55" t="n">
        <f aca="false">SUM(G4701:J4701)</f>
        <v>60000</v>
      </c>
      <c r="R4701" s="55" t="n">
        <f aca="false">SUM(K4701:N4701)</f>
        <v>80000</v>
      </c>
      <c r="S4701" s="56" t="n">
        <f aca="false">SUM(P4701:R4701)</f>
        <v>168000</v>
      </c>
    </row>
    <row r="4702" customFormat="false" ht="15" hidden="false" customHeight="false" outlineLevel="0" collapsed="false">
      <c r="A4702" s="4" t="s">
        <v>561</v>
      </c>
      <c r="B4702" s="36" t="s">
        <v>125</v>
      </c>
      <c r="C4702" s="54" t="n">
        <f aca="false">(C4673*$C$4622+C4674*$C$4623)*Assumptions!$E$81</f>
        <v>0</v>
      </c>
      <c r="D4702" s="54" t="n">
        <f aca="false">(D4673*$C$4622+D4674*$C$4623)*Assumptions!$E$81</f>
        <v>791.064972763529</v>
      </c>
      <c r="E4702" s="54" t="n">
        <f aca="false">(E4673*$C$4622+E4674*$C$4623)*Assumptions!$E$81</f>
        <v>2183.75598921318</v>
      </c>
      <c r="F4702" s="54" t="n">
        <f aca="false">(F4673*$C$4622+F4674*$C$4623)*Assumptions!$E$81</f>
        <v>2910.49092702546</v>
      </c>
      <c r="G4702" s="54" t="n">
        <f aca="false">(G4673*$C$4622+G4674*$C$4623)*Assumptions!$E$81</f>
        <v>3185.74516178367</v>
      </c>
      <c r="H4702" s="54" t="n">
        <f aca="false">(H4673*$C$4622+H4674*$C$4623)*Assumptions!$E$81</f>
        <v>3758.5215109372</v>
      </c>
      <c r="I4702" s="54" t="n">
        <f aca="false">(I4673*$C$4622+I4674*$C$4623)*Assumptions!$E$81</f>
        <v>4471.25435724041</v>
      </c>
      <c r="J4702" s="54" t="n">
        <f aca="false">(J4673*$C$4622+J4674*$C$4623)*Assumptions!$E$81</f>
        <v>5754.30528040741</v>
      </c>
      <c r="K4702" s="54" t="n">
        <f aca="false">(K4673*$C$4622+K4674*$C$4623)*Assumptions!$E$81</f>
        <v>7446.77819748654</v>
      </c>
      <c r="L4702" s="54" t="n">
        <f aca="false">(L4673*$C$4622+L4674*$C$4623)*Assumptions!$E$81</f>
        <v>8202.14206474786</v>
      </c>
      <c r="M4702" s="54" t="n">
        <f aca="false">(M4673*$C$4622+M4674*$C$4623)*Assumptions!$E$81</f>
        <v>8093.40382367046</v>
      </c>
      <c r="N4702" s="54" t="n">
        <f aca="false">(N4673*$C$4622+N4674*$C$4623)*Assumptions!$E$81</f>
        <v>7859.63267159816</v>
      </c>
      <c r="P4702" s="55" t="n">
        <f aca="false">SUM(C4702:F4702)</f>
        <v>5885.31188900217</v>
      </c>
      <c r="Q4702" s="55" t="n">
        <f aca="false">SUM(G4702:J4702)</f>
        <v>17169.8263103687</v>
      </c>
      <c r="R4702" s="55" t="n">
        <f aca="false">SUM(K4702:N4702)</f>
        <v>31601.956757503</v>
      </c>
      <c r="S4702" s="56" t="n">
        <f aca="false">SUM(P4702:R4702)</f>
        <v>54657.0949568739</v>
      </c>
    </row>
    <row r="4703" customFormat="false" ht="15" hidden="false" customHeight="false" outlineLevel="0" collapsed="false">
      <c r="A4703" s="9" t="s">
        <v>562</v>
      </c>
      <c r="B4703" s="36" t="s">
        <v>125</v>
      </c>
      <c r="C4703" s="55" t="n">
        <f aca="false">C4695+C4696+C4697+C4698+C4699+C4700+C4701+C4702</f>
        <v>154229.464285714</v>
      </c>
      <c r="D4703" s="55" t="n">
        <f aca="false">D4695+D4696+D4697+D4698+D4699+D4700+D4701+D4702</f>
        <v>122342.408312823</v>
      </c>
      <c r="E4703" s="55" t="n">
        <f aca="false">E4695+E4696+E4697+E4698+E4699+E4700+E4701+E4702</f>
        <v>132337.775120757</v>
      </c>
      <c r="F4703" s="55" t="n">
        <f aca="false">F4695+F4696+F4697+F4698+F4699+F4700+F4701+F4702</f>
        <v>138593.012069907</v>
      </c>
      <c r="G4703" s="55" t="n">
        <f aca="false">G4695+G4696+G4697+G4698+G4699+G4700+G4701+G4702</f>
        <v>216143.128684943</v>
      </c>
      <c r="H4703" s="55" t="n">
        <f aca="false">H4695+H4696+H4697+H4698+H4699+H4700+H4701+H4702</f>
        <v>182144.054178172</v>
      </c>
      <c r="I4703" s="55" t="n">
        <f aca="false">I4695+I4696+I4697+I4698+I4699+I4700+I4701+I4702</f>
        <v>228784.4930695</v>
      </c>
      <c r="J4703" s="55" t="n">
        <f aca="false">J4695+J4696+J4697+J4698+J4699+J4700+J4701+J4702</f>
        <v>199367.278129315</v>
      </c>
      <c r="K4703" s="55" t="n">
        <f aca="false">K4695+K4696+K4697+K4698+K4699+K4700+K4701+K4702</f>
        <v>211697.288438813</v>
      </c>
      <c r="L4703" s="55" t="n">
        <f aca="false">L4695+L4696+L4697+L4698+L4699+L4700+L4701+L4702</f>
        <v>215860.909494835</v>
      </c>
      <c r="M4703" s="55" t="n">
        <f aca="false">M4695+M4696+M4697+M4698+M4699+M4700+M4701+M4702</f>
        <v>215134.163158376</v>
      </c>
      <c r="N4703" s="55" t="n">
        <f aca="false">N4695+N4696+N4697+N4698+N4699+N4700+N4701+N4702</f>
        <v>213847.060082631</v>
      </c>
      <c r="P4703" s="55" t="n">
        <f aca="false">SUM(C4703:F4703)</f>
        <v>547502.659789201</v>
      </c>
      <c r="Q4703" s="55" t="n">
        <f aca="false">SUM(G4703:J4703)</f>
        <v>826438.954061929</v>
      </c>
      <c r="R4703" s="55" t="n">
        <f aca="false">SUM(K4703:N4703)</f>
        <v>856539.421174655</v>
      </c>
      <c r="S4703" s="56" t="n">
        <f aca="false">SUM(P4703:R4703)</f>
        <v>2230481.03502579</v>
      </c>
    </row>
    <row r="4704" customFormat="false" ht="15" hidden="false" customHeight="false" outlineLevel="0" collapsed="false">
      <c r="A4704" s="4" t="s">
        <v>563</v>
      </c>
      <c r="B4704" s="36" t="s">
        <v>125</v>
      </c>
      <c r="C4704" s="54" t="n">
        <f aca="false">C4692*Assumptions!$E$72/Assumptions!$E$69/4</f>
        <v>56535.7142857143</v>
      </c>
      <c r="D4704" s="54" t="n">
        <f aca="false">D4692*Assumptions!$E$72/Assumptions!$E$69/4</f>
        <v>56535.7142857143</v>
      </c>
      <c r="E4704" s="54" t="n">
        <f aca="false">E4692*Assumptions!$E$72/Assumptions!$E$69/4</f>
        <v>56535.7142857143</v>
      </c>
      <c r="F4704" s="54" t="n">
        <f aca="false">F4692*Assumptions!$E$72/Assumptions!$E$69/4</f>
        <v>56535.7142857143</v>
      </c>
      <c r="G4704" s="54" t="n">
        <f aca="false">G4692*Assumptions!$E$72/Assumptions!$E$69/4</f>
        <v>28267.8571428571</v>
      </c>
      <c r="H4704" s="54" t="n">
        <f aca="false">H4692*Assumptions!$E$72/Assumptions!$E$69/4</f>
        <v>28267.8571428571</v>
      </c>
      <c r="I4704" s="54" t="n">
        <f aca="false">I4692*Assumptions!$E$72/Assumptions!$E$69/4</f>
        <v>28267.8571428571</v>
      </c>
      <c r="J4704" s="54" t="n">
        <f aca="false">J4692*Assumptions!$E$72/Assumptions!$E$69/4</f>
        <v>28267.8571428571</v>
      </c>
      <c r="K4704" s="54" t="n">
        <f aca="false">K4692*Assumptions!$E$72/Assumptions!$E$69/4</f>
        <v>28267.8571428571</v>
      </c>
      <c r="L4704" s="54" t="n">
        <f aca="false">L4692*Assumptions!$E$72/Assumptions!$E$69/4</f>
        <v>28267.8571428571</v>
      </c>
      <c r="M4704" s="54" t="n">
        <f aca="false">M4692*Assumptions!$E$72/Assumptions!$E$69/4</f>
        <v>28267.8571428571</v>
      </c>
      <c r="N4704" s="54" t="n">
        <f aca="false">N4692*Assumptions!$E$72/Assumptions!$E$69/4</f>
        <v>28267.8571428571</v>
      </c>
      <c r="P4704" s="55" t="n">
        <f aca="false">SUM(C4704:F4704)</f>
        <v>226142.857142857</v>
      </c>
      <c r="Q4704" s="55" t="n">
        <f aca="false">SUM(G4704:J4704)</f>
        <v>113071.428571429</v>
      </c>
      <c r="R4704" s="55" t="n">
        <f aca="false">SUM(K4704:N4704)</f>
        <v>113071.428571429</v>
      </c>
      <c r="S4704" s="56" t="n">
        <f aca="false">SUM(P4704:R4704)</f>
        <v>452285.714285714</v>
      </c>
    </row>
    <row r="4705" customFormat="false" ht="15" hidden="false" customHeight="false" outlineLevel="0" collapsed="false">
      <c r="A4705" s="4" t="s">
        <v>564</v>
      </c>
      <c r="B4705" s="36" t="s">
        <v>125</v>
      </c>
      <c r="C4705" s="54" t="n">
        <f aca="false">IF(C4630&lt;=Assumptions!$E$83,Assumptions!$E$82*Assumptions!$D$108/Assumptions!$E$83,0)</f>
        <v>62500</v>
      </c>
      <c r="D4705" s="54" t="n">
        <f aca="false">IF(D4630&lt;=Assumptions!$E$83,Assumptions!$E$82*Assumptions!$D$108/Assumptions!$E$83,0)</f>
        <v>62500</v>
      </c>
      <c r="E4705" s="54" t="n">
        <f aca="false">IF(E4630&lt;=Assumptions!$E$83,Assumptions!$E$82*Assumptions!$D$108/Assumptions!$E$83,0)</f>
        <v>62500</v>
      </c>
      <c r="F4705" s="54" t="n">
        <f aca="false">IF(F4630&lt;=Assumptions!$E$83,Assumptions!$E$82*Assumptions!$D$108/Assumptions!$E$83,0)</f>
        <v>62500</v>
      </c>
      <c r="G4705" s="54" t="n">
        <f aca="false">IF(G4630&lt;=Assumptions!$E$83,Assumptions!$E$82*Assumptions!$D$108/Assumptions!$E$83,0)</f>
        <v>0</v>
      </c>
      <c r="H4705" s="54" t="n">
        <f aca="false">IF(H4630&lt;=Assumptions!$E$83,Assumptions!$E$82*Assumptions!$D$108/Assumptions!$E$83,0)</f>
        <v>0</v>
      </c>
      <c r="I4705" s="54" t="n">
        <f aca="false">IF(I4630&lt;=Assumptions!$E$83,Assumptions!$E$82*Assumptions!$D$108/Assumptions!$E$83,0)</f>
        <v>0</v>
      </c>
      <c r="J4705" s="54" t="n">
        <f aca="false">IF(J4630&lt;=Assumptions!$E$83,Assumptions!$E$82*Assumptions!$D$108/Assumptions!$E$83,0)</f>
        <v>0</v>
      </c>
      <c r="K4705" s="54" t="n">
        <f aca="false">IF(K4630&lt;=Assumptions!$E$83,Assumptions!$E$82*Assumptions!$D$108/Assumptions!$E$83,0)</f>
        <v>0</v>
      </c>
      <c r="L4705" s="54" t="n">
        <f aca="false">IF(L4630&lt;=Assumptions!$E$83,Assumptions!$E$82*Assumptions!$D$108/Assumptions!$E$83,0)</f>
        <v>0</v>
      </c>
      <c r="M4705" s="54" t="n">
        <f aca="false">IF(M4630&lt;=Assumptions!$E$83,Assumptions!$E$82*Assumptions!$D$108/Assumptions!$E$83,0)</f>
        <v>0</v>
      </c>
      <c r="N4705" s="54" t="n">
        <f aca="false">IF(N4630&lt;=Assumptions!$E$83,Assumptions!$E$82*Assumptions!$D$108/Assumptions!$E$83,0)</f>
        <v>0</v>
      </c>
      <c r="P4705" s="55" t="n">
        <f aca="false">SUM(C4705:F4705)</f>
        <v>250000</v>
      </c>
      <c r="Q4705" s="55" t="n">
        <f aca="false">SUM(G4705:J4705)</f>
        <v>0</v>
      </c>
      <c r="R4705" s="55" t="n">
        <f aca="false">SUM(K4705:N4705)</f>
        <v>0</v>
      </c>
      <c r="S4705" s="56" t="n">
        <f aca="false">SUM(P4705:R4705)</f>
        <v>250000</v>
      </c>
    </row>
    <row r="4706" customFormat="false" ht="15" hidden="false" customHeight="false" outlineLevel="0" collapsed="false">
      <c r="A4706" s="4" t="s">
        <v>565</v>
      </c>
      <c r="B4706" s="36" t="s">
        <v>125</v>
      </c>
      <c r="C4706" s="54" t="n">
        <f aca="false">C4694*Assumptions!$E$73/Assumptions!$E$69/4</f>
        <v>0</v>
      </c>
      <c r="D4706" s="54" t="n">
        <f aca="false">D4694*Assumptions!$E$73/Assumptions!$E$69/4</f>
        <v>715.651576771867</v>
      </c>
      <c r="E4706" s="54" t="n">
        <f aca="false">E4694*Assumptions!$E$73/Assumptions!$E$69/4</f>
        <v>2017.45873096358</v>
      </c>
      <c r="F4706" s="54" t="n">
        <f aca="false">F4694*Assumptions!$E$73/Assumptions!$E$69/4</f>
        <v>3469.46833102859</v>
      </c>
      <c r="G4706" s="54" t="n">
        <f aca="false">G4694*Assumptions!$E$73/Assumptions!$E$69/4</f>
        <v>5021.35986591937</v>
      </c>
      <c r="H4706" s="54" t="n">
        <f aca="false">H4694*Assumptions!$E$73/Assumptions!$E$69/4</f>
        <v>6946.35269973623</v>
      </c>
      <c r="I4706" s="54" t="n">
        <f aca="false">I4694*Assumptions!$E$73/Assumptions!$E$69/4</f>
        <v>9226.87216213372</v>
      </c>
      <c r="J4706" s="54" t="n">
        <f aca="false">J4694*Assumptions!$E$73/Assumptions!$E$69/4</f>
        <v>12430.1178083395</v>
      </c>
      <c r="K4706" s="54" t="n">
        <f aca="false">K4694*Assumptions!$E$73/Assumptions!$E$69/4</f>
        <v>16505.6257228202</v>
      </c>
      <c r="L4706" s="54" t="n">
        <f aca="false">L4694*Assumptions!$E$73/Assumptions!$E$69/4</f>
        <v>20573.2062750729</v>
      </c>
      <c r="M4706" s="54" t="n">
        <f aca="false">M4694*Assumptions!$E$73/Assumptions!$E$69/4</f>
        <v>24413.1535025702</v>
      </c>
      <c r="N4706" s="54" t="n">
        <f aca="false">N4694*Assumptions!$E$73/Assumptions!$E$69/4</f>
        <v>28025.5596064656</v>
      </c>
      <c r="P4706" s="55" t="n">
        <f aca="false">SUM(C4706:F4706)</f>
        <v>6202.57863876404</v>
      </c>
      <c r="Q4706" s="55" t="n">
        <f aca="false">SUM(G4706:J4706)</f>
        <v>33624.7025361289</v>
      </c>
      <c r="R4706" s="55" t="n">
        <f aca="false">SUM(K4706:N4706)</f>
        <v>89517.5451069289</v>
      </c>
      <c r="S4706" s="56" t="n">
        <f aca="false">SUM(P4706:R4706)</f>
        <v>129344.826281822</v>
      </c>
    </row>
    <row r="4707" customFormat="false" ht="15" hidden="false" customHeight="false" outlineLevel="0" collapsed="false">
      <c r="A4707" s="9" t="s">
        <v>566</v>
      </c>
      <c r="B4707" s="36" t="s">
        <v>125</v>
      </c>
      <c r="C4707" s="55" t="n">
        <f aca="false">C4703+C4704+C4705+C4706</f>
        <v>273265.178571429</v>
      </c>
      <c r="D4707" s="55" t="n">
        <f aca="false">D4703+D4704+D4705+D4706</f>
        <v>242093.774175309</v>
      </c>
      <c r="E4707" s="55" t="n">
        <f aca="false">E4703+E4704+E4705+E4706</f>
        <v>253390.948137435</v>
      </c>
      <c r="F4707" s="55" t="n">
        <f aca="false">F4703+F4704+F4705+F4706</f>
        <v>261098.19468665</v>
      </c>
      <c r="G4707" s="55" t="n">
        <f aca="false">G4703+G4704+G4705+G4706</f>
        <v>249432.345693719</v>
      </c>
      <c r="H4707" s="55" t="n">
        <f aca="false">H4703+H4704+H4705+H4706</f>
        <v>217358.264020765</v>
      </c>
      <c r="I4707" s="55" t="n">
        <f aca="false">I4703+I4704+I4705+I4706</f>
        <v>266279.222374491</v>
      </c>
      <c r="J4707" s="55" t="n">
        <f aca="false">J4703+J4704+J4705+J4706</f>
        <v>240065.253080511</v>
      </c>
      <c r="K4707" s="55" t="n">
        <f aca="false">K4703+K4704+K4705+K4706</f>
        <v>256470.771304491</v>
      </c>
      <c r="L4707" s="55" t="n">
        <f aca="false">L4703+L4704+L4705+L4706</f>
        <v>264701.972912765</v>
      </c>
      <c r="M4707" s="55" t="n">
        <f aca="false">M4703+M4704+M4705+M4706</f>
        <v>267815.173803803</v>
      </c>
      <c r="N4707" s="55" t="n">
        <f aca="false">N4703+N4704+N4705+N4706</f>
        <v>270140.476831954</v>
      </c>
      <c r="P4707" s="55" t="n">
        <f aca="false">SUM(C4707:F4707)</f>
        <v>1029848.09557082</v>
      </c>
      <c r="Q4707" s="55" t="n">
        <f aca="false">SUM(G4707:J4707)</f>
        <v>973135.085169487</v>
      </c>
      <c r="R4707" s="55" t="n">
        <f aca="false">SUM(K4707:N4707)</f>
        <v>1059128.39485301</v>
      </c>
      <c r="S4707" s="56" t="n">
        <f aca="false">SUM(P4707:R4707)</f>
        <v>3062111.57559332</v>
      </c>
    </row>
    <row r="4708" customFormat="false" ht="15" hidden="false" customHeight="false" outlineLevel="0" collapsed="false">
      <c r="A4708" s="35" t="s">
        <v>567</v>
      </c>
      <c r="B4708" s="35" t="s">
        <v>444</v>
      </c>
      <c r="C4708" s="6" t="s">
        <v>354</v>
      </c>
      <c r="D4708" s="6" t="s">
        <v>355</v>
      </c>
      <c r="E4708" s="6" t="s">
        <v>356</v>
      </c>
      <c r="F4708" s="6" t="s">
        <v>357</v>
      </c>
      <c r="G4708" s="6" t="s">
        <v>358</v>
      </c>
      <c r="H4708" s="6" t="s">
        <v>359</v>
      </c>
      <c r="I4708" s="6" t="s">
        <v>360</v>
      </c>
      <c r="J4708" s="6" t="s">
        <v>361</v>
      </c>
      <c r="K4708" s="6" t="s">
        <v>362</v>
      </c>
      <c r="L4708" s="6" t="s">
        <v>363</v>
      </c>
      <c r="M4708" s="6" t="s">
        <v>364</v>
      </c>
      <c r="N4708" s="6" t="s">
        <v>365</v>
      </c>
      <c r="P4708" s="6" t="s">
        <v>445</v>
      </c>
      <c r="Q4708" s="6" t="s">
        <v>446</v>
      </c>
      <c r="R4708" s="6" t="s">
        <v>447</v>
      </c>
      <c r="S4708" s="6" t="s">
        <v>448</v>
      </c>
    </row>
    <row r="4709" customFormat="false" ht="15" hidden="false" customHeight="false" outlineLevel="0" collapsed="false">
      <c r="A4709" s="9" t="s">
        <v>568</v>
      </c>
      <c r="B4709" s="36" t="s">
        <v>125</v>
      </c>
      <c r="C4709" s="55" t="n">
        <f aca="false">C4687-C4707</f>
        <v>-273265.178571429</v>
      </c>
      <c r="D4709" s="55" t="n">
        <f aca="false">D4687-D4707</f>
        <v>-241196.636163419</v>
      </c>
      <c r="E4709" s="55" t="n">
        <f aca="false">E4687-E4707</f>
        <v>-249600.551015525</v>
      </c>
      <c r="F4709" s="55" t="n">
        <f aca="false">F4687-F4707</f>
        <v>-252816.014106271</v>
      </c>
      <c r="G4709" s="55" t="n">
        <f aca="false">G4687-G4707</f>
        <v>-235888.930456241</v>
      </c>
      <c r="H4709" s="55" t="n">
        <f aca="false">H4687-H4707</f>
        <v>-197648.632400146</v>
      </c>
      <c r="I4709" s="55" t="n">
        <f aca="false">I4687-I4707</f>
        <v>-239068.364930613</v>
      </c>
      <c r="J4709" s="55" t="n">
        <f aca="false">J4687-J4707</f>
        <v>-203156.368226153</v>
      </c>
      <c r="K4709" s="55" t="n">
        <f aca="false">K4687-K4707</f>
        <v>-206701.795750306</v>
      </c>
      <c r="L4709" s="55" t="n">
        <f aca="false">L4687-L4707</f>
        <v>-199879.667318022</v>
      </c>
      <c r="M4709" s="55" t="n">
        <f aca="false">M4687-M4707</f>
        <v>-187437.03615195</v>
      </c>
      <c r="N4709" s="55" t="n">
        <f aca="false">N4687-N4707</f>
        <v>-174316.434027805</v>
      </c>
      <c r="P4709" s="55" t="n">
        <f aca="false">SUM(C4709:F4709)</f>
        <v>-1016878.37985664</v>
      </c>
      <c r="Q4709" s="55" t="n">
        <f aca="false">SUM(G4709:J4709)</f>
        <v>-875762.296013153</v>
      </c>
      <c r="R4709" s="55" t="n">
        <f aca="false">SUM(K4709:N4709)</f>
        <v>-768334.933248083</v>
      </c>
      <c r="S4709" s="56" t="n">
        <f aca="false">SUM(P4709:R4709)</f>
        <v>-2660975.60911788</v>
      </c>
    </row>
    <row r="4710" customFormat="false" ht="15" hidden="false" customHeight="false" outlineLevel="0" collapsed="false">
      <c r="A4710" s="9" t="s">
        <v>569</v>
      </c>
      <c r="B4710" s="36" t="s">
        <v>125</v>
      </c>
      <c r="C4710" s="55" t="n">
        <f aca="false">0+C4709</f>
        <v>-273265.178571429</v>
      </c>
      <c r="D4710" s="55" t="n">
        <f aca="false">C4710+D4709</f>
        <v>-514461.814734847</v>
      </c>
      <c r="E4710" s="55" t="n">
        <f aca="false">D4710+E4709</f>
        <v>-764062.365750372</v>
      </c>
      <c r="F4710" s="55" t="n">
        <f aca="false">E4710+F4709</f>
        <v>-1016878.37985664</v>
      </c>
      <c r="G4710" s="55" t="n">
        <f aca="false">F4710+G4709</f>
        <v>-1252767.31031288</v>
      </c>
      <c r="H4710" s="55" t="n">
        <f aca="false">G4710+H4709</f>
        <v>-1450415.94271303</v>
      </c>
      <c r="I4710" s="55" t="n">
        <f aca="false">H4710+I4709</f>
        <v>-1689484.30764364</v>
      </c>
      <c r="J4710" s="55" t="n">
        <f aca="false">I4710+J4709</f>
        <v>-1892640.6758698</v>
      </c>
      <c r="K4710" s="55" t="n">
        <f aca="false">J4710+K4709</f>
        <v>-2099342.4716201</v>
      </c>
      <c r="L4710" s="55" t="n">
        <f aca="false">K4710+L4709</f>
        <v>-2299222.13893812</v>
      </c>
      <c r="M4710" s="55" t="n">
        <f aca="false">L4710+M4709</f>
        <v>-2486659.17509007</v>
      </c>
      <c r="N4710" s="55" t="n">
        <f aca="false">M4710+N4709</f>
        <v>-2660975.60911788</v>
      </c>
      <c r="P4710" s="55" t="n">
        <f aca="false">F4710</f>
        <v>-1016878.37985664</v>
      </c>
      <c r="Q4710" s="55" t="n">
        <f aca="false">J4710</f>
        <v>-1892640.6758698</v>
      </c>
      <c r="R4710" s="55" t="n">
        <f aca="false">N4710</f>
        <v>-2660975.60911788</v>
      </c>
      <c r="S4710" s="56" t="n">
        <f aca="false">R4710</f>
        <v>-2660975.60911788</v>
      </c>
    </row>
    <row r="4711" customFormat="false" ht="15" hidden="false" customHeight="false" outlineLevel="0" collapsed="false">
      <c r="A4711" s="4" t="s">
        <v>570</v>
      </c>
      <c r="B4711" s="36" t="s">
        <v>107</v>
      </c>
      <c r="C4711" s="57" t="n">
        <f aca="false">1/(1+Assumptions!$E$87)^(C4630/4)</f>
        <v>0.972065420906982</v>
      </c>
      <c r="D4711" s="57" t="n">
        <f aca="false">1/(1+Assumptions!$E$87)^(D4630/4)</f>
        <v>0.944911182523068</v>
      </c>
      <c r="E4711" s="57" t="n">
        <f aca="false">1/(1+Assumptions!$E$87)^(E4630/4)</f>
        <v>0.918515486359</v>
      </c>
      <c r="F4711" s="57" t="n">
        <f aca="false">1/(1+Assumptions!$E$87)^(F4630/4)</f>
        <v>0.892857142857143</v>
      </c>
      <c r="G4711" s="57" t="n">
        <f aca="false">1/(1+Assumptions!$E$87)^(G4630/4)</f>
        <v>0.867915554381234</v>
      </c>
      <c r="H4711" s="57" t="n">
        <f aca="false">1/(1+Assumptions!$E$87)^(H4630/4)</f>
        <v>0.843670698681311</v>
      </c>
      <c r="I4711" s="57" t="n">
        <f aca="false">1/(1+Assumptions!$E$87)^(I4630/4)</f>
        <v>0.820103112820536</v>
      </c>
      <c r="J4711" s="57" t="n">
        <f aca="false">1/(1+Assumptions!$E$87)^(J4630/4)</f>
        <v>0.79719387755102</v>
      </c>
      <c r="K4711" s="57" t="n">
        <f aca="false">1/(1+Assumptions!$E$87)^(K4630/4)</f>
        <v>0.774924602126102</v>
      </c>
      <c r="L4711" s="57" t="n">
        <f aca="false">1/(1+Assumptions!$E$87)^(L4630/4)</f>
        <v>0.753277409536885</v>
      </c>
      <c r="M4711" s="57" t="n">
        <f aca="false">1/(1+Assumptions!$E$87)^(M4630/4)</f>
        <v>0.732234922161193</v>
      </c>
      <c r="N4711" s="57" t="n">
        <f aca="false">1/(1+Assumptions!$E$87)^(N4630/4)</f>
        <v>0.711780247813411</v>
      </c>
      <c r="P4711" s="58"/>
      <c r="Q4711" s="58"/>
      <c r="R4711" s="58"/>
      <c r="S4711" s="59"/>
    </row>
    <row r="4712" customFormat="false" ht="15" hidden="false" customHeight="false" outlineLevel="0" collapsed="false">
      <c r="A4712" s="4" t="s">
        <v>571</v>
      </c>
      <c r="B4712" s="36" t="s">
        <v>125</v>
      </c>
      <c r="C4712" s="54" t="n">
        <f aca="false">(C4687*(1-Assumptions!$E$88)-C4707)*C4711</f>
        <v>-265631.630827257</v>
      </c>
      <c r="D4712" s="54" t="n">
        <f aca="false">(D4687*(1-Assumptions!$E$88)-D4707)*D4711</f>
        <v>-228078.941845702</v>
      </c>
      <c r="E4712" s="54" t="n">
        <f aca="false">(E4687*(1-Assumptions!$E$88)-E4707)*E4711</f>
        <v>-229958.279202684</v>
      </c>
      <c r="F4712" s="54" t="n">
        <f aca="false">(F4687*(1-Assumptions!$E$88)-F4707)*F4711</f>
        <v>-227207.544841381</v>
      </c>
      <c r="G4712" s="54" t="n">
        <f aca="false">(G4687*(1-Assumptions!$E$88)-G4707)*G4711</f>
        <v>-207082.579998135</v>
      </c>
      <c r="H4712" s="54" t="n">
        <f aca="false">(H4687*(1-Assumptions!$E$88)-H4707)*H4711</f>
        <v>-170076.04752646</v>
      </c>
      <c r="I4712" s="54" t="n">
        <f aca="false">(I4687*(1-Assumptions!$E$88)-I4707)*I4711</f>
        <v>-200523.85203496</v>
      </c>
      <c r="J4712" s="54" t="n">
        <f aca="false">(J4687*(1-Assumptions!$E$88)-J4707)*J4711</f>
        <v>-167839.720342016</v>
      </c>
      <c r="K4712" s="54" t="n">
        <f aca="false">(K4687*(1-Assumptions!$E$88)-K4707)*K4711</f>
        <v>-167891.747546466</v>
      </c>
      <c r="L4712" s="54" t="n">
        <f aca="false">(L4687*(1-Assumptions!$E$88)-L4707)*L4711</f>
        <v>-160330.673704137</v>
      </c>
      <c r="M4712" s="54" t="n">
        <f aca="false">(M4687*(1-Assumptions!$E$88)-M4707)*M4711</f>
        <v>-149019.079450241</v>
      </c>
      <c r="N4712" s="54" t="n">
        <f aca="false">(N4687*(1-Assumptions!$E$88)-N4707)*N4711</f>
        <v>-137716.126796985</v>
      </c>
      <c r="P4712" s="55" t="n">
        <f aca="false">SUM(C4712:F4712)</f>
        <v>-950876.396717025</v>
      </c>
      <c r="Q4712" s="55" t="n">
        <f aca="false">SUM(G4712:J4712)</f>
        <v>-745522.199901571</v>
      </c>
      <c r="R4712" s="55" t="n">
        <f aca="false">SUM(K4712:N4712)</f>
        <v>-614957.62749783</v>
      </c>
      <c r="S4712" s="56" t="n">
        <f aca="false">SUM(P4712:R4712)</f>
        <v>-2311356.22411643</v>
      </c>
    </row>
    <row r="4713" customFormat="false" ht="15" hidden="false" customHeight="false" outlineLevel="0" collapsed="false">
      <c r="A4713" s="4" t="s">
        <v>572</v>
      </c>
      <c r="B4713" s="36" t="s">
        <v>125</v>
      </c>
      <c r="C4713" s="54" t="n">
        <f aca="false">(C4707-C4706)*12/(Assumptions!$E$89*Assumptions!$E$76)*Assumptions!$E$90</f>
        <v>189183.585164835</v>
      </c>
      <c r="D4713" s="54" t="n">
        <f aca="false">(D4707-D4706)*12/(Assumptions!$E$89*Assumptions!$E$76)*Assumptions!$E$90</f>
        <v>167107.931029756</v>
      </c>
      <c r="E4713" s="54" t="n">
        <f aca="false">(E4707-E4706)*12/(Assumptions!$E$89*Assumptions!$E$76)*Assumptions!$E$90</f>
        <v>174027.800358326</v>
      </c>
      <c r="F4713" s="54" t="n">
        <f aca="false">(F4707-F4706)*12/(Assumptions!$E$89*Assumptions!$E$76)*Assumptions!$E$90</f>
        <v>178358.34901543</v>
      </c>
      <c r="G4713" s="54" t="n">
        <f aca="false">(G4707-G4706)*12/(Assumptions!$E$89*Assumptions!$E$76)*Assumptions!$E$90</f>
        <v>169207.605573092</v>
      </c>
      <c r="H4713" s="54" t="n">
        <f aca="false">(H4707-H4706)*12/(Assumptions!$E$89*Assumptions!$E$76)*Assumptions!$E$90</f>
        <v>145669.784760712</v>
      </c>
      <c r="I4713" s="54" t="n">
        <f aca="false">(I4707-I4706)*12/(Assumptions!$E$89*Assumptions!$E$76)*Assumptions!$E$90</f>
        <v>177959.319377786</v>
      </c>
      <c r="J4713" s="54" t="n">
        <f aca="false">(J4707-J4706)*12/(Assumptions!$E$89*Assumptions!$E$76)*Assumptions!$E$90</f>
        <v>157593.555188427</v>
      </c>
      <c r="K4713" s="54" t="n">
        <f aca="false">(K4707-K4706)*12/(Assumptions!$E$89*Assumptions!$E$76)*Assumptions!$E$90</f>
        <v>166129.716171926</v>
      </c>
      <c r="L4713" s="54" t="n">
        <f aca="false">(L4707-L4706)*12/(Assumptions!$E$89*Assumptions!$E$76)*Assumptions!$E$90</f>
        <v>169012.223056864</v>
      </c>
      <c r="M4713" s="54" t="n">
        <f aca="false">(M4707-M4706)*12/(Assumptions!$E$89*Assumptions!$E$76)*Assumptions!$E$90</f>
        <v>168509.090977776</v>
      </c>
      <c r="N4713" s="54" t="n">
        <f aca="false">(N4707-N4706)*12/(Assumptions!$E$89*Assumptions!$E$76)*Assumptions!$E$90</f>
        <v>167618.019617646</v>
      </c>
      <c r="P4713" s="55" t="n">
        <f aca="false">SUM(C4713:F4713)</f>
        <v>708677.665568348</v>
      </c>
      <c r="Q4713" s="55" t="n">
        <f aca="false">SUM(G4713:J4713)</f>
        <v>650430.264900017</v>
      </c>
      <c r="R4713" s="55" t="n">
        <f aca="false">SUM(K4713:N4713)</f>
        <v>671269.049824212</v>
      </c>
      <c r="S4713" s="56" t="n">
        <f aca="false">SUM(P4713:R4713)</f>
        <v>2030376.98029258</v>
      </c>
    </row>
    <row r="4714" customFormat="false" ht="15" hidden="false" customHeight="false" outlineLevel="0" collapsed="false">
      <c r="A4714" s="4" t="s">
        <v>573</v>
      </c>
      <c r="B4714" s="36" t="s">
        <v>125</v>
      </c>
      <c r="C4714" s="54" t="n">
        <f aca="false">0*Assumptions!$E$92^(1/4)+C4713</f>
        <v>189183.585164835</v>
      </c>
      <c r="D4714" s="54" t="n">
        <f aca="false">C4714*Assumptions!$E$92^(1/4)+D4713</f>
        <v>356762.711836771</v>
      </c>
      <c r="E4714" s="54" t="n">
        <f aca="false">D4714*Assumptions!$E$92^(1/4)+E4713</f>
        <v>531679.09370159</v>
      </c>
      <c r="F4714" s="54" t="n">
        <f aca="false">E4714*Assumptions!$E$92^(1/4)+F4713</f>
        <v>711361.68483756</v>
      </c>
      <c r="G4714" s="54" t="n">
        <f aca="false">F4714*Assumptions!$E$92^(1/4)+G4713</f>
        <v>882341.064244077</v>
      </c>
      <c r="H4714" s="54" t="n">
        <f aca="false">G4714*Assumptions!$E$92^(1/4)+H4713</f>
        <v>1030208.47764168</v>
      </c>
      <c r="I4714" s="54" t="n">
        <f aca="false">H4714*Assumptions!$E$92^(1/4)+I4713</f>
        <v>1210733.71596416</v>
      </c>
      <c r="J4714" s="54" t="n">
        <f aca="false">I4714*Assumptions!$E$92^(1/4)+J4713</f>
        <v>1371342.82057409</v>
      </c>
      <c r="K4714" s="54" t="n">
        <f aca="false">J4714*Assumptions!$E$92^(1/4)+K4713</f>
        <v>1540888.11194207</v>
      </c>
      <c r="L4714" s="54" t="n">
        <f aca="false">K4714*Assumptions!$E$92^(1/4)+L4713</f>
        <v>1713738.19314503</v>
      </c>
      <c r="M4714" s="54" t="n">
        <f aca="false">L4714*Assumptions!$E$92^(1/4)+M4713</f>
        <v>1886515.65639063</v>
      </c>
      <c r="N4714" s="54" t="n">
        <f aca="false">M4714*Assumptions!$E$92^(1/4)+N4713</f>
        <v>2058832.38152979</v>
      </c>
      <c r="P4714" s="55" t="n">
        <f aca="false">F4714</f>
        <v>711361.68483756</v>
      </c>
      <c r="Q4714" s="55" t="n">
        <f aca="false">J4714</f>
        <v>1371342.82057409</v>
      </c>
      <c r="R4714" s="55" t="n">
        <f aca="false">N4714</f>
        <v>2058832.38152979</v>
      </c>
      <c r="S4714" s="56" t="n">
        <f aca="false">R4714</f>
        <v>2058832.38152979</v>
      </c>
    </row>
    <row r="4715" customFormat="false" ht="15" hidden="false" customHeight="false" outlineLevel="0" collapsed="false">
      <c r="A4715" s="4" t="s">
        <v>574</v>
      </c>
      <c r="B4715" s="36" t="s">
        <v>125</v>
      </c>
      <c r="C4715" s="54" t="n">
        <f aca="false">(0+C4714)/8*Assumptions!$E$76-(C4707-C4706)-C4714*Assumptions!$E$93/4</f>
        <v>-260258.807091346</v>
      </c>
      <c r="D4715" s="54" t="n">
        <f aca="false">(C4714+D4714)/8*Assumptions!$E$76-(D4707-D4706)-D4714*Assumptions!$E$93/4</f>
        <v>-201479.519865116</v>
      </c>
      <c r="E4715" s="54" t="n">
        <f aca="false">(D4714+E4714)/8*Assumptions!$E$76-(E4707-E4706)-E4714*Assumptions!$E$93/4</f>
        <v>-185833.581377749</v>
      </c>
      <c r="F4715" s="54" t="n">
        <f aca="false">(E4714+F4714)/8*Assumptions!$E$76-(F4707-F4706)-F4714*Assumptions!$E$93/4</f>
        <v>-165523.684159785</v>
      </c>
      <c r="G4715" s="54" t="n">
        <f aca="false">(F4714+G4714)/8*Assumptions!$E$76-(G4707-G4706)-G4714*Assumptions!$E$93/4</f>
        <v>-125951.900767968</v>
      </c>
      <c r="H4715" s="54" t="n">
        <f aca="false">(G4714+H4714)/8*Assumptions!$E$76-(H4707-H4706)-H4714*Assumptions!$E$93/4</f>
        <v>-67894.8670133324</v>
      </c>
      <c r="I4715" s="54" t="n">
        <f aca="false">(H4714+I4714)/8*Assumptions!$E$76-(I4707-I4706)-I4714*Assumptions!$E$93/4</f>
        <v>-90109.9684314348</v>
      </c>
      <c r="J4715" s="54" t="n">
        <f aca="false">(I4714+J4714)/8*Assumptions!$E$76-(J4707-J4706)-J4714*Assumptions!$E$93/4</f>
        <v>-34983.2019356143</v>
      </c>
      <c r="K4715" s="54" t="n">
        <f aca="false">(J4714+K4714)/8*Assumptions!$E$76-(K4707-K4706)-K4714*Assumptions!$E$93/4</f>
        <v>-22607.4837140083</v>
      </c>
      <c r="L4715" s="54" t="n">
        <f aca="false">(K4714+L4714)/8*Assumptions!$E$76-(L4707-L4706)-L4714*Assumptions!$E$93/4</f>
        <v>-1112.10676367818</v>
      </c>
      <c r="M4715" s="54" t="n">
        <f aca="false">(L4714+M4714)/8*Assumptions!$E$76-(M4707-M4706)-M4714*Assumptions!$E$93/4</f>
        <v>25537.1592686568</v>
      </c>
      <c r="N4715" s="54" t="n">
        <f aca="false">(M4714+N4714)/8*Assumptions!$E$76-(N4707-N4706)-N4714*Assumptions!$E$93/4</f>
        <v>52709.2060864236</v>
      </c>
      <c r="P4715" s="55" t="n">
        <f aca="false">SUM(C4715:F4715)</f>
        <v>-813095.592493997</v>
      </c>
      <c r="Q4715" s="55" t="n">
        <f aca="false">SUM(G4715:J4715)</f>
        <v>-318939.938148349</v>
      </c>
      <c r="R4715" s="55" t="n">
        <f aca="false">SUM(K4715:N4715)</f>
        <v>54526.774877394</v>
      </c>
      <c r="S4715" s="56" t="n">
        <f aca="false">SUM(P4715:R4715)</f>
        <v>-1077508.75576495</v>
      </c>
    </row>
    <row r="4716" customFormat="false" ht="15" hidden="false" customHeight="false" outlineLevel="0" collapsed="false">
      <c r="A4716" s="4" t="s">
        <v>575</v>
      </c>
      <c r="B4716" s="36" t="s">
        <v>125</v>
      </c>
      <c r="C4716" s="54" t="n">
        <f aca="false">C4715*C4711</f>
        <v>-252988.586859998</v>
      </c>
      <c r="D4716" s="54" t="n">
        <f aca="false">D4715*D4711</f>
        <v>-190380.251369927</v>
      </c>
      <c r="E4716" s="54" t="n">
        <f aca="false">E4715*E4711</f>
        <v>-170691.022381018</v>
      </c>
      <c r="F4716" s="54" t="n">
        <f aca="false">F4715*F4711</f>
        <v>-147789.003714094</v>
      </c>
      <c r="G4716" s="54" t="n">
        <f aca="false">G4715*G4711</f>
        <v>-109315.613780401</v>
      </c>
      <c r="H4716" s="54" t="n">
        <f aca="false">H4715*H4711</f>
        <v>-57280.9098900128</v>
      </c>
      <c r="I4716" s="54" t="n">
        <f aca="false">I4715*I4711</f>
        <v>-73899.4656067799</v>
      </c>
      <c r="J4716" s="54" t="n">
        <f aca="false">J4715*J4711</f>
        <v>-27888.3944002027</v>
      </c>
      <c r="K4716" s="54" t="n">
        <f aca="false">K4715*K4711</f>
        <v>-17519.0953221502</v>
      </c>
      <c r="L4716" s="54" t="n">
        <f aca="false">L4715*L4711</f>
        <v>-837.724902071948</v>
      </c>
      <c r="M4716" s="54" t="n">
        <f aca="false">M4715*M4711</f>
        <v>18699.1998293029</v>
      </c>
      <c r="N4716" s="54" t="n">
        <f aca="false">N4715*N4711</f>
        <v>37517.3717702428</v>
      </c>
      <c r="P4716" s="55" t="n">
        <f aca="false">SUM(C4716:F4716)</f>
        <v>-761848.864325037</v>
      </c>
      <c r="Q4716" s="55" t="n">
        <f aca="false">SUM(G4716:J4716)</f>
        <v>-268384.383677396</v>
      </c>
      <c r="R4716" s="55" t="n">
        <f aca="false">SUM(K4716:N4716)</f>
        <v>37859.7513753235</v>
      </c>
      <c r="S4716" s="56" t="n">
        <f aca="false">SUM(P4716:R4716)</f>
        <v>-992373.49662711</v>
      </c>
    </row>
    <row r="4717" customFormat="false" ht="15" hidden="false" customHeight="false" outlineLevel="0" collapsed="false">
      <c r="A4717" s="4" t="s">
        <v>576</v>
      </c>
      <c r="B4717" s="36"/>
      <c r="C4717" s="37" t="n">
        <f aca="false">IFERROR((S4672*$C$4621*Assumptions!$E$59+S4673*$C$4622*Assumptions!$E$60+S4674*$C$4623*Assumptions!$E$61)/(S4672*$C$4621+S4673*$C$4622+S4674*$C$4623),0.9)</f>
        <v>0.897366472511022</v>
      </c>
    </row>
    <row r="4718" customFormat="false" ht="15" hidden="false" customHeight="false" outlineLevel="0" collapsed="false">
      <c r="A4718" s="4" t="s">
        <v>577</v>
      </c>
      <c r="B4718" s="36"/>
      <c r="C4718" s="37" t="n">
        <f aca="false">IFERROR(N4706*4/N4684,0)</f>
        <v>0.175997766126779</v>
      </c>
    </row>
    <row r="4719" customFormat="false" ht="15" hidden="false" customHeight="false" outlineLevel="0" collapsed="false">
      <c r="A4719" s="4" t="s">
        <v>578</v>
      </c>
      <c r="B4719" s="36"/>
      <c r="C4719" s="60" t="n">
        <f aca="false">$C$4717/(1+Assumptions!$E$87)</f>
        <v>0.801220064741984</v>
      </c>
    </row>
    <row r="4720" customFormat="false" ht="15" hidden="false" customHeight="false" outlineLevel="0" collapsed="false">
      <c r="A4720" s="4" t="s">
        <v>579</v>
      </c>
      <c r="B4720" s="36"/>
      <c r="C4720" s="60" t="n">
        <f aca="false">Assumptions!$E$91/(1+Assumptions!$E$87)</f>
        <v>0.803571428571429</v>
      </c>
    </row>
    <row r="4721" customFormat="false" ht="15" hidden="false" customHeight="false" outlineLevel="0" collapsed="false">
      <c r="A4721" s="35" t="s">
        <v>580</v>
      </c>
      <c r="B4721" s="35" t="s">
        <v>444</v>
      </c>
      <c r="C4721" s="6" t="s">
        <v>354</v>
      </c>
      <c r="D4721" s="6" t="s">
        <v>355</v>
      </c>
      <c r="E4721" s="6" t="s">
        <v>356</v>
      </c>
      <c r="F4721" s="6" t="s">
        <v>357</v>
      </c>
      <c r="G4721" s="6" t="s">
        <v>358</v>
      </c>
      <c r="H4721" s="6" t="s">
        <v>359</v>
      </c>
      <c r="I4721" s="6" t="s">
        <v>360</v>
      </c>
      <c r="J4721" s="6" t="s">
        <v>361</v>
      </c>
      <c r="K4721" s="6" t="s">
        <v>362</v>
      </c>
      <c r="L4721" s="6" t="s">
        <v>363</v>
      </c>
      <c r="M4721" s="6" t="s">
        <v>364</v>
      </c>
      <c r="N4721" s="6" t="s">
        <v>365</v>
      </c>
      <c r="P4721" s="6" t="s">
        <v>445</v>
      </c>
      <c r="Q4721" s="6" t="s">
        <v>446</v>
      </c>
      <c r="R4721" s="6" t="s">
        <v>447</v>
      </c>
      <c r="S4721" s="6" t="s">
        <v>448</v>
      </c>
    </row>
    <row r="4722" customFormat="false" ht="15" hidden="false" customHeight="false" outlineLevel="0" collapsed="false">
      <c r="A4722" s="9" t="s">
        <v>581</v>
      </c>
      <c r="C4722" s="61" t="n">
        <f aca="false">N4684</f>
        <v>636952.621007189</v>
      </c>
      <c r="D4722" s="61"/>
    </row>
    <row r="4723" customFormat="false" ht="15" hidden="false" customHeight="false" outlineLevel="0" collapsed="false">
      <c r="A4723" s="9" t="s">
        <v>582</v>
      </c>
      <c r="C4723" s="62" t="n">
        <f aca="false">N4680</f>
        <v>61.94258765119</v>
      </c>
      <c r="D4723" s="62"/>
    </row>
    <row r="4724" customFormat="false" ht="15" hidden="false" customHeight="false" outlineLevel="0" collapsed="false">
      <c r="A4724" s="9" t="s">
        <v>583</v>
      </c>
      <c r="C4724" s="63" t="n">
        <f aca="false">S4675</f>
        <v>68.4547527060778</v>
      </c>
      <c r="D4724" s="63"/>
    </row>
    <row r="4725" customFormat="false" ht="15" hidden="false" customHeight="false" outlineLevel="0" collapsed="false">
      <c r="A4725" s="9" t="s">
        <v>584</v>
      </c>
      <c r="C4725" s="61" t="n">
        <f aca="false">S4686</f>
        <v>617132.256116065</v>
      </c>
      <c r="D4725" s="61"/>
    </row>
    <row r="4726" customFormat="false" ht="15" hidden="false" customHeight="false" outlineLevel="0" collapsed="false">
      <c r="A4726" s="9" t="s">
        <v>22</v>
      </c>
      <c r="C4726" s="61" t="n">
        <f aca="false">IFERROR(S4685/S4675,0)</f>
        <v>8846.06454587014</v>
      </c>
      <c r="D4726" s="61"/>
    </row>
    <row r="4727" customFormat="false" ht="15" hidden="false" customHeight="false" outlineLevel="0" collapsed="false">
      <c r="A4727" s="9" t="s">
        <v>585</v>
      </c>
      <c r="C4727" s="61" t="n">
        <f aca="false">IFERROR(S4703/S4675,0)</f>
        <v>32583.2896453916</v>
      </c>
      <c r="D4727" s="61"/>
    </row>
    <row r="4728" customFormat="false" ht="23.85" hidden="false" customHeight="false" outlineLevel="0" collapsed="false">
      <c r="A4728" s="9" t="s">
        <v>586</v>
      </c>
      <c r="C4728" s="61" t="n">
        <f aca="false">IFERROR((S4697+S4699+S4700+S4701+S4702)/S4675,0)</f>
        <v>13742.1163717009</v>
      </c>
      <c r="D4728" s="61"/>
    </row>
    <row r="4729" customFormat="false" ht="15" hidden="false" customHeight="false" outlineLevel="0" collapsed="false">
      <c r="A4729" s="9" t="s">
        <v>587</v>
      </c>
      <c r="C4729" s="64" t="n">
        <f aca="false">IFERROR('Engine Runs'!$C$4727/('Engine Runs'!$C$4726*Assumptions!$E$76/12),0)</f>
        <v>68.0005952785725</v>
      </c>
      <c r="D4729" s="64"/>
    </row>
    <row r="4730" customFormat="false" ht="15" hidden="false" customHeight="false" outlineLevel="0" collapsed="false">
      <c r="A4730" s="9" t="s">
        <v>588</v>
      </c>
      <c r="C4730" s="64" t="n">
        <f aca="false">IFERROR((R4703/R4675)/((R4685/R4675)*Assumptions!$E$76/12),0)</f>
        <v>44.9520104028435</v>
      </c>
      <c r="D4730" s="64"/>
    </row>
    <row r="4731" customFormat="false" ht="15" hidden="false" customHeight="false" outlineLevel="0" collapsed="false">
      <c r="A4731" s="9" t="s">
        <v>589</v>
      </c>
      <c r="C4731" s="61" t="n">
        <f aca="false">S4707</f>
        <v>3062111.57559332</v>
      </c>
      <c r="D4731" s="61"/>
    </row>
    <row r="4732" customFormat="false" ht="15" hidden="false" customHeight="false" outlineLevel="0" collapsed="false">
      <c r="A4732" s="9" t="s">
        <v>590</v>
      </c>
      <c r="C4732" s="61" t="n">
        <f aca="false">N4710</f>
        <v>-2660975.60911788</v>
      </c>
      <c r="D4732" s="61"/>
    </row>
    <row r="4733" customFormat="false" ht="15" hidden="false" customHeight="false" outlineLevel="0" collapsed="false">
      <c r="A4733" s="9" t="s">
        <v>591</v>
      </c>
      <c r="C4733" s="61" t="n">
        <f aca="false">MIN($C$4710:$N$4710)</f>
        <v>-2660975.60911788</v>
      </c>
      <c r="D4733" s="61"/>
    </row>
    <row r="4734" customFormat="false" ht="15" hidden="false" customHeight="false" outlineLevel="0" collapsed="false">
      <c r="A4734" s="9" t="s">
        <v>592</v>
      </c>
      <c r="C4734" s="61" t="n">
        <f aca="false">N4684*(Assumptions!$E$76-$C$4718)*$C$4717*(1-$C$4717^Assumptions!$E$85)/(1-$C$4717)</f>
        <v>1103689.98091937</v>
      </c>
      <c r="D4734" s="61"/>
    </row>
    <row r="4735" customFormat="false" ht="15" hidden="false" customHeight="false" outlineLevel="0" collapsed="false">
      <c r="A4735" s="9" t="s">
        <v>593</v>
      </c>
      <c r="C4735" s="61" t="n">
        <f aca="false">N4684*(Assumptions!$E$76-$C$4718)*(1-Assumptions!$E$88)/(1+Assumptions!$E$87)^2.5*$C$4719*(1-$C$4719^Assumptions!$E$85)/(1-$C$4719)</f>
        <v>491208.336881231</v>
      </c>
      <c r="D4735" s="61"/>
    </row>
    <row r="4736" customFormat="false" ht="15" hidden="false" customHeight="false" outlineLevel="0" collapsed="false">
      <c r="A4736" s="9" t="s">
        <v>594</v>
      </c>
      <c r="C4736" s="61" t="n">
        <f aca="false">SUM($C$4712:$N$4712)+'Engine Runs'!$C$4735</f>
        <v>-1820147.88723519</v>
      </c>
      <c r="D4736" s="61"/>
    </row>
    <row r="4737" customFormat="false" ht="15" hidden="false" customHeight="false" outlineLevel="0" collapsed="false">
      <c r="A4737" s="9" t="s">
        <v>595</v>
      </c>
      <c r="C4737" s="61" t="n">
        <f aca="false">SUM($C$4716:$N$4716)+N4714*(Assumptions!$E$76-Assumptions!$E$93)/(1+Assumptions!$E$87)^2.5*$C$4720*(1-$C$4720^Assumptions!$E$85)/(1-$C$4720)</f>
        <v>1538844.48713792</v>
      </c>
      <c r="D4737" s="61"/>
    </row>
    <row r="4738" customFormat="false" ht="15" hidden="false" customHeight="false" outlineLevel="0" collapsed="false">
      <c r="A4738" s="9" t="s">
        <v>596</v>
      </c>
      <c r="C4738" s="61" t="n">
        <f aca="false">'Engine Runs'!$C$4736-'Engine Runs'!$C$4737</f>
        <v>-3358992.37437312</v>
      </c>
      <c r="D4738" s="61"/>
    </row>
    <row r="4739" customFormat="false" ht="15" hidden="false" customHeight="false" outlineLevel="0" collapsed="false">
      <c r="A4739" s="9" t="s">
        <v>597</v>
      </c>
      <c r="C4739" s="61" t="n">
        <f aca="false">S4671</f>
        <v>0</v>
      </c>
      <c r="D4739" s="61"/>
    </row>
    <row r="4740" customFormat="false" ht="15" hidden="false" customHeight="false" outlineLevel="0" collapsed="false">
      <c r="A4740" s="9" t="s">
        <v>598</v>
      </c>
      <c r="C4740" s="63" t="n">
        <f aca="false">P4655</f>
        <v>54.2462330937613</v>
      </c>
      <c r="D4740" s="63"/>
    </row>
    <row r="4741" customFormat="false" ht="15" hidden="false" customHeight="false" outlineLevel="0" collapsed="false">
      <c r="A4741" s="9" t="s">
        <v>599</v>
      </c>
      <c r="C4741" s="63" t="n">
        <f aca="false">P4675</f>
        <v>7.7032724252474</v>
      </c>
      <c r="D4741" s="63"/>
    </row>
    <row r="4742" customFormat="false" ht="15" hidden="false" customHeight="false" outlineLevel="0" collapsed="false">
      <c r="A4742" s="9" t="s">
        <v>600</v>
      </c>
      <c r="C4742" s="63" t="n">
        <f aca="false">P4651</f>
        <v>42</v>
      </c>
      <c r="D4742" s="63"/>
    </row>
    <row r="4743" customFormat="false" ht="15" hidden="false" customHeight="false" outlineLevel="0" collapsed="false">
      <c r="A4743" s="9" t="s">
        <v>601</v>
      </c>
      <c r="C4743" s="61" t="n">
        <f aca="false">IFERROR(P4685/P4675,0)</f>
        <v>8547.18055619967</v>
      </c>
      <c r="D4743" s="61"/>
    </row>
    <row r="4746" customFormat="false" ht="15" hidden="false" customHeight="true" outlineLevel="0" collapsed="false">
      <c r="A4746" s="78" t="s">
        <v>843</v>
      </c>
      <c r="B4746" s="78"/>
      <c r="C4746" s="78"/>
      <c r="D4746" s="78"/>
      <c r="E4746" s="78"/>
      <c r="F4746" s="78"/>
      <c r="G4746" s="78"/>
      <c r="H4746" s="78"/>
      <c r="I4746" s="78"/>
      <c r="J4746" s="78"/>
      <c r="K4746" s="78"/>
      <c r="L4746" s="78"/>
      <c r="M4746" s="78"/>
      <c r="N4746" s="78"/>
    </row>
    <row r="4747" customFormat="false" ht="15" hidden="false" customHeight="true" outlineLevel="0" collapsed="false">
      <c r="A4747" s="79" t="s">
        <v>844</v>
      </c>
      <c r="B4747" s="79"/>
      <c r="C4747" s="79"/>
      <c r="D4747" s="79"/>
      <c r="E4747" s="79"/>
      <c r="F4747" s="79"/>
      <c r="G4747" s="79"/>
      <c r="H4747" s="79"/>
      <c r="I4747" s="79"/>
      <c r="J4747" s="79"/>
      <c r="K4747" s="79"/>
      <c r="L4747" s="79"/>
      <c r="M4747" s="79"/>
      <c r="N4747" s="79"/>
    </row>
    <row r="4748" customFormat="false" ht="15" hidden="false" customHeight="false" outlineLevel="0" collapsed="false">
      <c r="A4748" s="35" t="s">
        <v>845</v>
      </c>
      <c r="B4748" s="35" t="s">
        <v>444</v>
      </c>
      <c r="C4748" s="6" t="s">
        <v>354</v>
      </c>
      <c r="D4748" s="6" t="s">
        <v>355</v>
      </c>
      <c r="E4748" s="6" t="s">
        <v>356</v>
      </c>
      <c r="F4748" s="6" t="s">
        <v>357</v>
      </c>
      <c r="G4748" s="6" t="s">
        <v>358</v>
      </c>
      <c r="H4748" s="6" t="s">
        <v>359</v>
      </c>
      <c r="I4748" s="6" t="s">
        <v>360</v>
      </c>
      <c r="J4748" s="6" t="s">
        <v>361</v>
      </c>
      <c r="K4748" s="6" t="s">
        <v>362</v>
      </c>
      <c r="L4748" s="6" t="s">
        <v>363</v>
      </c>
      <c r="M4748" s="6" t="s">
        <v>364</v>
      </c>
      <c r="N4748" s="6" t="s">
        <v>365</v>
      </c>
      <c r="P4748" s="6" t="s">
        <v>445</v>
      </c>
      <c r="Q4748" s="6" t="s">
        <v>446</v>
      </c>
      <c r="R4748" s="6" t="s">
        <v>447</v>
      </c>
      <c r="S4748" s="6" t="s">
        <v>448</v>
      </c>
    </row>
    <row r="4749" customFormat="false" ht="15" hidden="false" customHeight="false" outlineLevel="0" collapsed="false">
      <c r="A4749" s="4" t="s">
        <v>449</v>
      </c>
      <c r="B4749" s="36" t="s">
        <v>450</v>
      </c>
      <c r="C4749" s="34" t="n">
        <f aca="false">'Market Sizing'!$C$17*Assumptions!$E$10*Assumptions!$E$11*(1-Assumptions!$E$12)</f>
        <v>843.03944704</v>
      </c>
    </row>
    <row r="4750" customFormat="false" ht="15" hidden="false" customHeight="false" outlineLevel="0" collapsed="false">
      <c r="A4750" s="4" t="s">
        <v>451</v>
      </c>
      <c r="B4750" s="36" t="s">
        <v>450</v>
      </c>
      <c r="C4750" s="34" t="n">
        <f aca="false">'Market Sizing'!$D$17*Assumptions!$E$10*Assumptions!$E$11*(1-Assumptions!$E$12)</f>
        <v>211.19616</v>
      </c>
    </row>
    <row r="4751" customFormat="false" ht="15" hidden="false" customHeight="false" outlineLevel="0" collapsed="false">
      <c r="A4751" s="4" t="s">
        <v>452</v>
      </c>
      <c r="B4751" s="36" t="s">
        <v>450</v>
      </c>
      <c r="C4751" s="34" t="n">
        <f aca="false">'Market Sizing'!$E$17*Assumptions!$E$10*Assumptions!$E$11*(1-Assumptions!$E$12)</f>
        <v>49.53984</v>
      </c>
    </row>
    <row r="4752" customFormat="false" ht="15" hidden="false" customHeight="false" outlineLevel="0" collapsed="false">
      <c r="A4752" s="4" t="s">
        <v>453</v>
      </c>
      <c r="B4752" s="36"/>
      <c r="C4752" s="34" t="n">
        <f aca="false">$C$4749+$C$4750+$C$4751</f>
        <v>1103.77544704</v>
      </c>
    </row>
    <row r="4753" customFormat="false" ht="15" hidden="false" customHeight="false" outlineLevel="0" collapsed="false">
      <c r="A4753" s="4" t="s">
        <v>454</v>
      </c>
      <c r="B4753" s="36" t="s">
        <v>450</v>
      </c>
      <c r="C4753" s="34" t="n">
        <f aca="false">'Market Sizing'!$C$18*Assumptions!$E$10*Assumptions!$E$11*(1-Assumptions!$E$12)</f>
        <v>612.57706944</v>
      </c>
    </row>
    <row r="4754" customFormat="false" ht="15" hidden="false" customHeight="false" outlineLevel="0" collapsed="false">
      <c r="A4754" s="4" t="s">
        <v>455</v>
      </c>
      <c r="B4754" s="36" t="s">
        <v>450</v>
      </c>
      <c r="C4754" s="34" t="n">
        <f aca="false">'Market Sizing'!$D$18*Assumptions!$E$10*Assumptions!$E$11*(1-Assumptions!$E$12)</f>
        <v>142.10112</v>
      </c>
    </row>
    <row r="4755" customFormat="false" ht="15" hidden="false" customHeight="false" outlineLevel="0" collapsed="false">
      <c r="A4755" s="4" t="s">
        <v>456</v>
      </c>
      <c r="B4755" s="36" t="s">
        <v>450</v>
      </c>
      <c r="C4755" s="34" t="n">
        <f aca="false">'Market Sizing'!$E$18*Assumptions!$E$10*Assumptions!$E$11*(1-Assumptions!$E$12)</f>
        <v>24.76992</v>
      </c>
    </row>
    <row r="4756" customFormat="false" ht="15" hidden="false" customHeight="false" outlineLevel="0" collapsed="false">
      <c r="A4756" s="4" t="s">
        <v>457</v>
      </c>
      <c r="B4756" s="36"/>
      <c r="C4756" s="34" t="n">
        <f aca="false">$C$4753+$C$4754+$C$4755</f>
        <v>779.44810944</v>
      </c>
    </row>
    <row r="4757" customFormat="false" ht="15" hidden="false" customHeight="false" outlineLevel="0" collapsed="false">
      <c r="A4757" s="4" t="s">
        <v>458</v>
      </c>
      <c r="B4757" s="36" t="s">
        <v>450</v>
      </c>
      <c r="C4757" s="34" t="n">
        <f aca="false">'Market Sizing'!$C$19*Assumptions!$E$10*Assumptions!$E$11*(1-Assumptions!$E$12)</f>
        <v>2060.77303936</v>
      </c>
    </row>
    <row r="4758" customFormat="false" ht="15" hidden="false" customHeight="false" outlineLevel="0" collapsed="false">
      <c r="A4758" s="4" t="s">
        <v>459</v>
      </c>
      <c r="B4758" s="36" t="s">
        <v>450</v>
      </c>
      <c r="C4758" s="34" t="n">
        <f aca="false">'Market Sizing'!$D$19*Assumptions!$E$10*Assumptions!$E$11*(1-Assumptions!$E$12)</f>
        <v>428.47616</v>
      </c>
    </row>
    <row r="4759" customFormat="false" ht="15" hidden="false" customHeight="false" outlineLevel="0" collapsed="false">
      <c r="A4759" s="4" t="s">
        <v>460</v>
      </c>
      <c r="B4759" s="36" t="s">
        <v>450</v>
      </c>
      <c r="C4759" s="34" t="n">
        <f aca="false">'Market Sizing'!$E$19*Assumptions!$E$10*Assumptions!$E$11*(1-Assumptions!$E$12)</f>
        <v>79.52448</v>
      </c>
    </row>
    <row r="4760" customFormat="false" ht="15" hidden="false" customHeight="false" outlineLevel="0" collapsed="false">
      <c r="A4760" s="4" t="s">
        <v>461</v>
      </c>
      <c r="B4760" s="36"/>
      <c r="C4760" s="34" t="n">
        <f aca="false">$C$4757+$C$4758+$C$4759</f>
        <v>2568.77367936</v>
      </c>
    </row>
    <row r="4761" customFormat="false" ht="15" hidden="false" customHeight="false" outlineLevel="0" collapsed="false">
      <c r="A4761" s="4" t="s">
        <v>462</v>
      </c>
      <c r="B4761" s="36" t="s">
        <v>463</v>
      </c>
      <c r="C4761" s="33" t="n">
        <f aca="false">MAX((Assumptions!$E$51+Assumptions!$E$53)*12,(((('Market Sizing'!$E$25*Assumptions!$E$41*Assumptions!$E$42*Assumptions!$E$43)*Assumptions!$E$44)*Assumptions!$E$45*Assumptions!$E$46+('Market Sizing'!$E$25*Assumptions!$E$41*Assumptions!$E$42*Assumptions!$E$43)*Assumptions!$E$47+('Market Sizing'!$E$25*Assumptions!$E$41*Assumptions!$E$42*Assumptions!$E$43)*Assumptions!$E$48*Assumptions!$E$49)*(Assumptions!$E$51*12/Assumptions!$E$52)+((('Market Sizing'!$E$25*Assumptions!$E$41*Assumptions!$E$42*Assumptions!$E$43)*Assumptions!$E$44)*Assumptions!$E$45+('Market Sizing'!$E$25*Assumptions!$E$41*Assumptions!$E$42*Assumptions!$E$43)+('Market Sizing'!$E$25*Assumptions!$E$41*Assumptions!$E$42*Assumptions!$E$43)*Assumptions!$E$48)*Assumptions!$E$50*(Assumptions!$E$53*12/Assumptions!$E$54)))</f>
        <v>5352</v>
      </c>
    </row>
    <row r="4762" customFormat="false" ht="15" hidden="false" customHeight="false" outlineLevel="0" collapsed="false">
      <c r="A4762" s="4" t="s">
        <v>464</v>
      </c>
      <c r="B4762" s="36" t="s">
        <v>463</v>
      </c>
      <c r="C4762" s="33" t="n">
        <f aca="false">MAX((Assumptions!$E$51+Assumptions!$E$53)*12,(((('Market Sizing'!$E$26*Assumptions!$E$41*Assumptions!$E$42*Assumptions!$E$43)*Assumptions!$E$44)*Assumptions!$E$45*Assumptions!$E$46+('Market Sizing'!$E$26*Assumptions!$E$41*Assumptions!$E$42*Assumptions!$E$43)*Assumptions!$E$47+('Market Sizing'!$E$26*Assumptions!$E$41*Assumptions!$E$42*Assumptions!$E$43)*Assumptions!$E$48*Assumptions!$E$49)*(Assumptions!$E$51*12/Assumptions!$E$52)+((('Market Sizing'!$E$26*Assumptions!$E$41*Assumptions!$E$42*Assumptions!$E$43)*Assumptions!$E$44)*Assumptions!$E$45+('Market Sizing'!$E$26*Assumptions!$E$41*Assumptions!$E$42*Assumptions!$E$43)+('Market Sizing'!$E$26*Assumptions!$E$41*Assumptions!$E$42*Assumptions!$E$43)*Assumptions!$E$48)*Assumptions!$E$50*(Assumptions!$E$53*12/Assumptions!$E$54)))</f>
        <v>9766.72012875208</v>
      </c>
    </row>
    <row r="4763" customFormat="false" ht="15" hidden="false" customHeight="false" outlineLevel="0" collapsed="false">
      <c r="A4763" s="4" t="s">
        <v>465</v>
      </c>
      <c r="B4763" s="36" t="s">
        <v>463</v>
      </c>
      <c r="C4763" s="33" t="n">
        <f aca="false">MAX(Assumptions!$E$55*(Assumptions!$E$51*12/Assumptions!$E$52)+Assumptions!$E$56*(Assumptions!$E$53*12/Assumptions!$E$54),(((('Market Sizing'!$E$27*Assumptions!$E$41*Assumptions!$E$42*Assumptions!$E$43)*Assumptions!$E$44)*Assumptions!$E$45*Assumptions!$E$46+('Market Sizing'!$E$27*Assumptions!$E$41*Assumptions!$E$42*Assumptions!$E$43)*Assumptions!$E$47+('Market Sizing'!$E$27*Assumptions!$E$41*Assumptions!$E$42*Assumptions!$E$43)*Assumptions!$E$48*Assumptions!$E$49)*(Assumptions!$E$51*12/Assumptions!$E$52)+((('Market Sizing'!$E$27*Assumptions!$E$41*Assumptions!$E$42*Assumptions!$E$43)*Assumptions!$E$44)*Assumptions!$E$45+('Market Sizing'!$E$27*Assumptions!$E$41*Assumptions!$E$42*Assumptions!$E$43)+('Market Sizing'!$E$27*Assumptions!$E$41*Assumptions!$E$42*Assumptions!$E$43)*Assumptions!$E$48)*Assumptions!$E$50*(Assumptions!$E$53*12/Assumptions!$E$54)))*(1-Assumptions!$E$57)</f>
        <v>61778.2562194386</v>
      </c>
    </row>
    <row r="4764" customFormat="false" ht="23.85" hidden="false" customHeight="false" outlineLevel="0" collapsed="false">
      <c r="A4764" s="4" t="s">
        <v>466</v>
      </c>
      <c r="B4764" s="36" t="s">
        <v>467</v>
      </c>
      <c r="C4764" s="37" t="n">
        <f aca="false">Assumptions!$E$17*Assumptions!$D$106</f>
        <v>0.4</v>
      </c>
    </row>
    <row r="4765" customFormat="false" ht="23.85" hidden="false" customHeight="false" outlineLevel="0" collapsed="false">
      <c r="A4765" s="4" t="s">
        <v>468</v>
      </c>
      <c r="B4765" s="36" t="s">
        <v>469</v>
      </c>
      <c r="C4765" s="33" t="n">
        <f aca="false">Assumptions!$E$68/Assumptions!$E$69</f>
        <v>285714.285714286</v>
      </c>
    </row>
    <row r="4766" customFormat="false" ht="23.85" hidden="false" customHeight="false" outlineLevel="0" collapsed="false">
      <c r="A4766" s="4" t="s">
        <v>470</v>
      </c>
      <c r="B4766" s="36" t="s">
        <v>471</v>
      </c>
      <c r="C4766" s="33" t="n">
        <f aca="false">Assumptions!$E$66*Assumptions!$E$67/4</f>
        <v>153125</v>
      </c>
    </row>
    <row r="4767" customFormat="false" ht="15" hidden="false" customHeight="false" outlineLevel="0" collapsed="false">
      <c r="A4767" s="4" t="s">
        <v>472</v>
      </c>
      <c r="B4767" s="36"/>
      <c r="C4767" s="38" t="n">
        <f aca="false">$C$4765/Assumptions!$E$66/Assumptions!$E$67</f>
        <v>0.466472303206997</v>
      </c>
    </row>
    <row r="4768" customFormat="false" ht="15" hidden="false" customHeight="false" outlineLevel="0" collapsed="false">
      <c r="A4768" s="4" t="s">
        <v>473</v>
      </c>
      <c r="B4768" s="36"/>
      <c r="C4768" s="33" t="n">
        <f aca="false">MAX(0,Assumptions!$D$103-Assumptions!$E$78)</f>
        <v>0</v>
      </c>
    </row>
    <row r="4769" customFormat="false" ht="15" hidden="false" customHeight="false" outlineLevel="0" collapsed="false">
      <c r="A4769" s="35" t="s">
        <v>474</v>
      </c>
      <c r="B4769" s="35" t="s">
        <v>444</v>
      </c>
      <c r="C4769" s="6" t="s">
        <v>354</v>
      </c>
      <c r="D4769" s="6" t="s">
        <v>355</v>
      </c>
      <c r="E4769" s="6" t="s">
        <v>356</v>
      </c>
      <c r="F4769" s="6" t="s">
        <v>357</v>
      </c>
      <c r="G4769" s="6" t="s">
        <v>358</v>
      </c>
      <c r="H4769" s="6" t="s">
        <v>359</v>
      </c>
      <c r="I4769" s="6" t="s">
        <v>360</v>
      </c>
      <c r="J4769" s="6" t="s">
        <v>361</v>
      </c>
      <c r="K4769" s="6" t="s">
        <v>362</v>
      </c>
      <c r="L4769" s="6" t="s">
        <v>363</v>
      </c>
      <c r="M4769" s="6" t="s">
        <v>364</v>
      </c>
      <c r="N4769" s="6" t="s">
        <v>365</v>
      </c>
      <c r="P4769" s="6" t="s">
        <v>445</v>
      </c>
      <c r="Q4769" s="6" t="s">
        <v>446</v>
      </c>
      <c r="R4769" s="6" t="s">
        <v>447</v>
      </c>
      <c r="S4769" s="6" t="s">
        <v>448</v>
      </c>
    </row>
    <row r="4770" customFormat="false" ht="15" hidden="false" customHeight="false" outlineLevel="0" collapsed="false">
      <c r="A4770" s="4" t="s">
        <v>475</v>
      </c>
      <c r="B4770" s="36" t="s">
        <v>133</v>
      </c>
      <c r="C4770" s="39" t="n">
        <v>1</v>
      </c>
      <c r="D4770" s="39" t="n">
        <v>2</v>
      </c>
      <c r="E4770" s="39" t="n">
        <v>3</v>
      </c>
      <c r="F4770" s="39" t="n">
        <v>4</v>
      </c>
      <c r="G4770" s="39" t="n">
        <v>5</v>
      </c>
      <c r="H4770" s="39" t="n">
        <v>6</v>
      </c>
      <c r="I4770" s="39" t="n">
        <v>7</v>
      </c>
      <c r="J4770" s="39" t="n">
        <v>8</v>
      </c>
      <c r="K4770" s="39" t="n">
        <v>9</v>
      </c>
      <c r="L4770" s="39" t="n">
        <v>10</v>
      </c>
      <c r="M4770" s="39" t="n">
        <v>11</v>
      </c>
      <c r="N4770" s="39" t="n">
        <v>12</v>
      </c>
      <c r="P4770" s="40"/>
      <c r="Q4770" s="40"/>
      <c r="R4770" s="40"/>
      <c r="S4770" s="41"/>
    </row>
    <row r="4771" customFormat="false" ht="15" hidden="false" customHeight="false" outlineLevel="0" collapsed="false">
      <c r="A4771" s="4" t="s">
        <v>476</v>
      </c>
      <c r="B4771" s="36" t="s">
        <v>343</v>
      </c>
      <c r="C4771" s="39" t="n">
        <f aca="false">IF(C4770&lt;=Assumptions!$E$84,1,0)</f>
        <v>1</v>
      </c>
      <c r="D4771" s="39" t="n">
        <f aca="false">IF(D4770&lt;=Assumptions!$E$84,1,0)</f>
        <v>1</v>
      </c>
      <c r="E4771" s="39" t="n">
        <f aca="false">IF(E4770&lt;=Assumptions!$E$84,1,0)</f>
        <v>1</v>
      </c>
      <c r="F4771" s="39" t="n">
        <f aca="false">IF(F4770&lt;=Assumptions!$E$84,1,0)</f>
        <v>1</v>
      </c>
      <c r="G4771" s="39" t="n">
        <f aca="false">IF(G4770&lt;=Assumptions!$E$84,1,0)</f>
        <v>1</v>
      </c>
      <c r="H4771" s="39" t="n">
        <f aca="false">IF(H4770&lt;=Assumptions!$E$84,1,0)</f>
        <v>1</v>
      </c>
      <c r="I4771" s="39" t="n">
        <f aca="false">IF(I4770&lt;=Assumptions!$E$84,1,0)</f>
        <v>1</v>
      </c>
      <c r="J4771" s="39" t="n">
        <f aca="false">IF(J4770&lt;=Assumptions!$E$84,1,0)</f>
        <v>1</v>
      </c>
      <c r="K4771" s="39" t="n">
        <f aca="false">IF(K4770&lt;=Assumptions!$E$84,1,0)</f>
        <v>1</v>
      </c>
      <c r="L4771" s="39" t="n">
        <f aca="false">IF(L4770&lt;=Assumptions!$E$84,1,0)</f>
        <v>1</v>
      </c>
      <c r="M4771" s="39" t="n">
        <f aca="false">IF(M4770&lt;=Assumptions!$E$84,1,0)</f>
        <v>1</v>
      </c>
      <c r="N4771" s="39" t="n">
        <f aca="false">IF(N4770&lt;=Assumptions!$E$84,1,0)</f>
        <v>1</v>
      </c>
      <c r="P4771" s="40"/>
      <c r="Q4771" s="40"/>
      <c r="R4771" s="40"/>
      <c r="S4771" s="41"/>
    </row>
    <row r="4772" customFormat="false" ht="15" hidden="false" customHeight="false" outlineLevel="0" collapsed="false">
      <c r="A4772" s="4" t="s">
        <v>477</v>
      </c>
      <c r="B4772" s="36" t="s">
        <v>478</v>
      </c>
      <c r="C4772" s="42" t="n">
        <f aca="false">IF(C4770=Assumptions!$E$13,0.5,IF(C4770&gt;Assumptions!$E$13,1,0))</f>
        <v>0.5</v>
      </c>
      <c r="D4772" s="42" t="n">
        <f aca="false">IF(D4770=Assumptions!$E$13,0.5,IF(D4770&gt;Assumptions!$E$13,1,0))</f>
        <v>1</v>
      </c>
      <c r="E4772" s="42" t="n">
        <f aca="false">IF(E4770=Assumptions!$E$13,0.5,IF(E4770&gt;Assumptions!$E$13,1,0))</f>
        <v>1</v>
      </c>
      <c r="F4772" s="42" t="n">
        <f aca="false">IF(F4770=Assumptions!$E$13,0.5,IF(F4770&gt;Assumptions!$E$13,1,0))</f>
        <v>1</v>
      </c>
      <c r="G4772" s="42" t="n">
        <f aca="false">IF(G4770=Assumptions!$E$13,0.5,IF(G4770&gt;Assumptions!$E$13,1,0))</f>
        <v>1</v>
      </c>
      <c r="H4772" s="42" t="n">
        <f aca="false">IF(H4770=Assumptions!$E$13,0.5,IF(H4770&gt;Assumptions!$E$13,1,0))</f>
        <v>1</v>
      </c>
      <c r="I4772" s="42" t="n">
        <f aca="false">IF(I4770=Assumptions!$E$13,0.5,IF(I4770&gt;Assumptions!$E$13,1,0))</f>
        <v>1</v>
      </c>
      <c r="J4772" s="42" t="n">
        <f aca="false">IF(J4770=Assumptions!$E$13,0.5,IF(J4770&gt;Assumptions!$E$13,1,0))</f>
        <v>1</v>
      </c>
      <c r="K4772" s="42" t="n">
        <f aca="false">IF(K4770=Assumptions!$E$13,0.5,IF(K4770&gt;Assumptions!$E$13,1,0))</f>
        <v>1</v>
      </c>
      <c r="L4772" s="42" t="n">
        <f aca="false">IF(L4770=Assumptions!$E$13,0.5,IF(L4770&gt;Assumptions!$E$13,1,0))</f>
        <v>1</v>
      </c>
      <c r="M4772" s="42" t="n">
        <f aca="false">IF(M4770=Assumptions!$E$13,0.5,IF(M4770&gt;Assumptions!$E$13,1,0))</f>
        <v>1</v>
      </c>
      <c r="N4772" s="42" t="n">
        <f aca="false">IF(N4770=Assumptions!$E$13,0.5,IF(N4770&gt;Assumptions!$E$13,1,0))</f>
        <v>1</v>
      </c>
      <c r="P4772" s="43"/>
      <c r="Q4772" s="43"/>
      <c r="R4772" s="43"/>
      <c r="S4772" s="44"/>
    </row>
    <row r="4773" customFormat="false" ht="15" hidden="false" customHeight="false" outlineLevel="0" collapsed="false">
      <c r="A4773" s="4" t="s">
        <v>479</v>
      </c>
      <c r="B4773" s="36" t="s">
        <v>478</v>
      </c>
      <c r="C4773" s="42" t="n">
        <f aca="false">IF(C4770=Assumptions!$E$14,0.5,IF(C4770&gt;Assumptions!$E$14,1,0))</f>
        <v>0</v>
      </c>
      <c r="D4773" s="42" t="n">
        <f aca="false">IF(D4770=Assumptions!$E$14,0.5,IF(D4770&gt;Assumptions!$E$14,1,0))</f>
        <v>0</v>
      </c>
      <c r="E4773" s="42" t="n">
        <f aca="false">IF(E4770=Assumptions!$E$14,0.5,IF(E4770&gt;Assumptions!$E$14,1,0))</f>
        <v>0</v>
      </c>
      <c r="F4773" s="42" t="n">
        <f aca="false">IF(F4770=Assumptions!$E$14,0.5,IF(F4770&gt;Assumptions!$E$14,1,0))</f>
        <v>0</v>
      </c>
      <c r="G4773" s="42" t="n">
        <f aca="false">IF(G4770=Assumptions!$E$14,0.5,IF(G4770&gt;Assumptions!$E$14,1,0))</f>
        <v>0.5</v>
      </c>
      <c r="H4773" s="42" t="n">
        <f aca="false">IF(H4770=Assumptions!$E$14,0.5,IF(H4770&gt;Assumptions!$E$14,1,0))</f>
        <v>1</v>
      </c>
      <c r="I4773" s="42" t="n">
        <f aca="false">IF(I4770=Assumptions!$E$14,0.5,IF(I4770&gt;Assumptions!$E$14,1,0))</f>
        <v>1</v>
      </c>
      <c r="J4773" s="42" t="n">
        <f aca="false">IF(J4770=Assumptions!$E$14,0.5,IF(J4770&gt;Assumptions!$E$14,1,0))</f>
        <v>1</v>
      </c>
      <c r="K4773" s="42" t="n">
        <f aca="false">IF(K4770=Assumptions!$E$14,0.5,IF(K4770&gt;Assumptions!$E$14,1,0))</f>
        <v>1</v>
      </c>
      <c r="L4773" s="42" t="n">
        <f aca="false">IF(L4770=Assumptions!$E$14,0.5,IF(L4770&gt;Assumptions!$E$14,1,0))</f>
        <v>1</v>
      </c>
      <c r="M4773" s="42" t="n">
        <f aca="false">IF(M4770=Assumptions!$E$14,0.5,IF(M4770&gt;Assumptions!$E$14,1,0))</f>
        <v>1</v>
      </c>
      <c r="N4773" s="42" t="n">
        <f aca="false">IF(N4770=Assumptions!$E$14,0.5,IF(N4770&gt;Assumptions!$E$14,1,0))</f>
        <v>1</v>
      </c>
      <c r="P4773" s="43"/>
      <c r="Q4773" s="43"/>
      <c r="R4773" s="43"/>
      <c r="S4773" s="44"/>
    </row>
    <row r="4774" customFormat="false" ht="15" hidden="false" customHeight="false" outlineLevel="0" collapsed="false">
      <c r="A4774" s="4" t="s">
        <v>480</v>
      </c>
      <c r="B4774" s="36" t="s">
        <v>478</v>
      </c>
      <c r="C4774" s="42" t="n">
        <f aca="false">IF(C4770=Assumptions!$E$15,0.5,IF(C4770&gt;Assumptions!$E$15,1,0))</f>
        <v>0</v>
      </c>
      <c r="D4774" s="42" t="n">
        <f aca="false">IF(D4770=Assumptions!$E$15,0.5,IF(D4770&gt;Assumptions!$E$15,1,0))</f>
        <v>0</v>
      </c>
      <c r="E4774" s="42" t="n">
        <f aca="false">IF(E4770=Assumptions!$E$15,0.5,IF(E4770&gt;Assumptions!$E$15,1,0))</f>
        <v>0</v>
      </c>
      <c r="F4774" s="42" t="n">
        <f aca="false">IF(F4770=Assumptions!$E$15,0.5,IF(F4770&gt;Assumptions!$E$15,1,0))</f>
        <v>0</v>
      </c>
      <c r="G4774" s="42" t="n">
        <f aca="false">IF(G4770=Assumptions!$E$15,0.5,IF(G4770&gt;Assumptions!$E$15,1,0))</f>
        <v>0</v>
      </c>
      <c r="H4774" s="42" t="n">
        <f aca="false">IF(H4770=Assumptions!$E$15,0.5,IF(H4770&gt;Assumptions!$E$15,1,0))</f>
        <v>0</v>
      </c>
      <c r="I4774" s="42" t="n">
        <f aca="false">IF(I4770=Assumptions!$E$15,0.5,IF(I4770&gt;Assumptions!$E$15,1,0))</f>
        <v>0.5</v>
      </c>
      <c r="J4774" s="42" t="n">
        <f aca="false">IF(J4770=Assumptions!$E$15,0.5,IF(J4770&gt;Assumptions!$E$15,1,0))</f>
        <v>1</v>
      </c>
      <c r="K4774" s="42" t="n">
        <f aca="false">IF(K4770=Assumptions!$E$15,0.5,IF(K4770&gt;Assumptions!$E$15,1,0))</f>
        <v>1</v>
      </c>
      <c r="L4774" s="42" t="n">
        <f aca="false">IF(L4770=Assumptions!$E$15,0.5,IF(L4770&gt;Assumptions!$E$15,1,0))</f>
        <v>1</v>
      </c>
      <c r="M4774" s="42" t="n">
        <f aca="false">IF(M4770=Assumptions!$E$15,0.5,IF(M4770&gt;Assumptions!$E$15,1,0))</f>
        <v>1</v>
      </c>
      <c r="N4774" s="42" t="n">
        <f aca="false">IF(N4770=Assumptions!$E$15,0.5,IF(N4770&gt;Assumptions!$E$15,1,0))</f>
        <v>1</v>
      </c>
      <c r="P4774" s="43"/>
      <c r="Q4774" s="43"/>
      <c r="R4774" s="43"/>
      <c r="S4774" s="44"/>
    </row>
    <row r="4775" customFormat="false" ht="15" hidden="false" customHeight="false" outlineLevel="0" collapsed="false">
      <c r="A4775" s="4" t="s">
        <v>481</v>
      </c>
      <c r="B4775" s="36" t="s">
        <v>478</v>
      </c>
      <c r="C4775" s="45" t="n">
        <f aca="false">Assumptions!$E$21^(MAX(0,C4770-Assumptions!$E$13)/4)</f>
        <v>1</v>
      </c>
      <c r="D4775" s="45" t="n">
        <f aca="false">Assumptions!$E$21^(MAX(0,D4770-Assumptions!$E$13)/4)</f>
        <v>0.9306048591021</v>
      </c>
      <c r="E4775" s="45" t="n">
        <f aca="false">Assumptions!$E$21^(MAX(0,E4770-Assumptions!$E$13)/4)</f>
        <v>0.866025403784439</v>
      </c>
      <c r="F4775" s="45" t="n">
        <f aca="false">Assumptions!$E$21^(MAX(0,F4770-Assumptions!$E$13)/4)</f>
        <v>0.805927448867656</v>
      </c>
      <c r="G4775" s="45" t="n">
        <f aca="false">Assumptions!$E$21^(MAX(0,G4770-Assumptions!$E$13)/4)</f>
        <v>0.75</v>
      </c>
      <c r="H4775" s="45" t="n">
        <f aca="false">Assumptions!$E$21^(MAX(0,H4770-Assumptions!$E$13)/4)</f>
        <v>0.697953644326575</v>
      </c>
      <c r="I4775" s="45" t="n">
        <f aca="false">Assumptions!$E$21^(MAX(0,I4770-Assumptions!$E$13)/4)</f>
        <v>0.649519052838329</v>
      </c>
      <c r="J4775" s="45" t="n">
        <f aca="false">Assumptions!$E$21^(MAX(0,J4770-Assumptions!$E$13)/4)</f>
        <v>0.604445586650742</v>
      </c>
      <c r="K4775" s="45" t="n">
        <f aca="false">Assumptions!$E$21^(MAX(0,K4770-Assumptions!$E$13)/4)</f>
        <v>0.5625</v>
      </c>
      <c r="L4775" s="45" t="n">
        <f aca="false">Assumptions!$E$21^(MAX(0,L4770-Assumptions!$E$13)/4)</f>
        <v>0.523465233244931</v>
      </c>
      <c r="M4775" s="45" t="n">
        <f aca="false">Assumptions!$E$21^(MAX(0,M4770-Assumptions!$E$13)/4)</f>
        <v>0.487139289628747</v>
      </c>
      <c r="N4775" s="45" t="n">
        <f aca="false">Assumptions!$E$21^(MAX(0,N4770-Assumptions!$E$13)/4)</f>
        <v>0.453334189988057</v>
      </c>
      <c r="P4775" s="46"/>
      <c r="Q4775" s="46"/>
      <c r="R4775" s="46"/>
      <c r="S4775" s="47"/>
    </row>
    <row r="4776" customFormat="false" ht="15" hidden="false" customHeight="false" outlineLevel="0" collapsed="false">
      <c r="A4776" s="4" t="s">
        <v>482</v>
      </c>
      <c r="B4776" s="36" t="s">
        <v>478</v>
      </c>
      <c r="C4776" s="45" t="n">
        <f aca="false">Assumptions!$E$21^(MAX(0,C4770-Assumptions!$E$14)/4)</f>
        <v>1</v>
      </c>
      <c r="D4776" s="45" t="n">
        <f aca="false">Assumptions!$E$21^(MAX(0,D4770-Assumptions!$E$14)/4)</f>
        <v>1</v>
      </c>
      <c r="E4776" s="45" t="n">
        <f aca="false">Assumptions!$E$21^(MAX(0,E4770-Assumptions!$E$14)/4)</f>
        <v>1</v>
      </c>
      <c r="F4776" s="45" t="n">
        <f aca="false">Assumptions!$E$21^(MAX(0,F4770-Assumptions!$E$14)/4)</f>
        <v>1</v>
      </c>
      <c r="G4776" s="45" t="n">
        <f aca="false">Assumptions!$E$21^(MAX(0,G4770-Assumptions!$E$14)/4)</f>
        <v>1</v>
      </c>
      <c r="H4776" s="45" t="n">
        <f aca="false">Assumptions!$E$21^(MAX(0,H4770-Assumptions!$E$14)/4)</f>
        <v>0.9306048591021</v>
      </c>
      <c r="I4776" s="45" t="n">
        <f aca="false">Assumptions!$E$21^(MAX(0,I4770-Assumptions!$E$14)/4)</f>
        <v>0.866025403784439</v>
      </c>
      <c r="J4776" s="45" t="n">
        <f aca="false">Assumptions!$E$21^(MAX(0,J4770-Assumptions!$E$14)/4)</f>
        <v>0.805927448867656</v>
      </c>
      <c r="K4776" s="45" t="n">
        <f aca="false">Assumptions!$E$21^(MAX(0,K4770-Assumptions!$E$14)/4)</f>
        <v>0.75</v>
      </c>
      <c r="L4776" s="45" t="n">
        <f aca="false">Assumptions!$E$21^(MAX(0,L4770-Assumptions!$E$14)/4)</f>
        <v>0.697953644326575</v>
      </c>
      <c r="M4776" s="45" t="n">
        <f aca="false">Assumptions!$E$21^(MAX(0,M4770-Assumptions!$E$14)/4)</f>
        <v>0.649519052838329</v>
      </c>
      <c r="N4776" s="45" t="n">
        <f aca="false">Assumptions!$E$21^(MAX(0,N4770-Assumptions!$E$14)/4)</f>
        <v>0.604445586650742</v>
      </c>
      <c r="P4776" s="46"/>
      <c r="Q4776" s="46"/>
      <c r="R4776" s="46"/>
      <c r="S4776" s="47"/>
    </row>
    <row r="4777" customFormat="false" ht="15" hidden="false" customHeight="false" outlineLevel="0" collapsed="false">
      <c r="A4777" s="4" t="s">
        <v>483</v>
      </c>
      <c r="B4777" s="36" t="s">
        <v>478</v>
      </c>
      <c r="C4777" s="45" t="n">
        <f aca="false">Assumptions!$E$21^(MAX(0,C4770-Assumptions!$E$15)/4)</f>
        <v>1</v>
      </c>
      <c r="D4777" s="45" t="n">
        <f aca="false">Assumptions!$E$21^(MAX(0,D4770-Assumptions!$E$15)/4)</f>
        <v>1</v>
      </c>
      <c r="E4777" s="45" t="n">
        <f aca="false">Assumptions!$E$21^(MAX(0,E4770-Assumptions!$E$15)/4)</f>
        <v>1</v>
      </c>
      <c r="F4777" s="45" t="n">
        <f aca="false">Assumptions!$E$21^(MAX(0,F4770-Assumptions!$E$15)/4)</f>
        <v>1</v>
      </c>
      <c r="G4777" s="45" t="n">
        <f aca="false">Assumptions!$E$21^(MAX(0,G4770-Assumptions!$E$15)/4)</f>
        <v>1</v>
      </c>
      <c r="H4777" s="45" t="n">
        <f aca="false">Assumptions!$E$21^(MAX(0,H4770-Assumptions!$E$15)/4)</f>
        <v>1</v>
      </c>
      <c r="I4777" s="45" t="n">
        <f aca="false">Assumptions!$E$21^(MAX(0,I4770-Assumptions!$E$15)/4)</f>
        <v>1</v>
      </c>
      <c r="J4777" s="45" t="n">
        <f aca="false">Assumptions!$E$21^(MAX(0,J4770-Assumptions!$E$15)/4)</f>
        <v>0.9306048591021</v>
      </c>
      <c r="K4777" s="45" t="n">
        <f aca="false">Assumptions!$E$21^(MAX(0,K4770-Assumptions!$E$15)/4)</f>
        <v>0.866025403784439</v>
      </c>
      <c r="L4777" s="45" t="n">
        <f aca="false">Assumptions!$E$21^(MAX(0,L4770-Assumptions!$E$15)/4)</f>
        <v>0.805927448867656</v>
      </c>
      <c r="M4777" s="45" t="n">
        <f aca="false">Assumptions!$E$21^(MAX(0,M4770-Assumptions!$E$15)/4)</f>
        <v>0.75</v>
      </c>
      <c r="N4777" s="45" t="n">
        <f aca="false">Assumptions!$E$21^(MAX(0,N4770-Assumptions!$E$15)/4)</f>
        <v>0.697953644326575</v>
      </c>
      <c r="P4777" s="46"/>
      <c r="Q4777" s="46"/>
      <c r="R4777" s="46"/>
      <c r="S4777" s="47"/>
    </row>
    <row r="4778" customFormat="false" ht="15" hidden="false" customHeight="false" outlineLevel="0" collapsed="false">
      <c r="A4778" s="4" t="s">
        <v>484</v>
      </c>
      <c r="B4778" s="36" t="s">
        <v>485</v>
      </c>
      <c r="C4778" s="39" t="n">
        <f aca="false">$C$4749*C4772+$C$4753*C4773+$C$4757*C4774</f>
        <v>421.51972352</v>
      </c>
      <c r="D4778" s="39" t="n">
        <f aca="false">$C$4749*D4772+$C$4753*D4773+$C$4757*D4774</f>
        <v>843.03944704</v>
      </c>
      <c r="E4778" s="39" t="n">
        <f aca="false">$C$4749*E4772+$C$4753*E4773+$C$4757*E4774</f>
        <v>843.03944704</v>
      </c>
      <c r="F4778" s="39" t="n">
        <f aca="false">$C$4749*F4772+$C$4753*F4773+$C$4757*F4774</f>
        <v>843.03944704</v>
      </c>
      <c r="G4778" s="39" t="n">
        <f aca="false">$C$4749*G4772+$C$4753*G4773+$C$4757*G4774</f>
        <v>1149.32798176</v>
      </c>
      <c r="H4778" s="39" t="n">
        <f aca="false">$C$4749*H4772+$C$4753*H4773+$C$4757*H4774</f>
        <v>1455.61651648</v>
      </c>
      <c r="I4778" s="39" t="n">
        <f aca="false">$C$4749*I4772+$C$4753*I4773+$C$4757*I4774</f>
        <v>2486.00303616</v>
      </c>
      <c r="J4778" s="39" t="n">
        <f aca="false">$C$4749*J4772+$C$4753*J4773+$C$4757*J4774</f>
        <v>3516.38955584</v>
      </c>
      <c r="K4778" s="39" t="n">
        <f aca="false">$C$4749*K4772+$C$4753*K4773+$C$4757*K4774</f>
        <v>3516.38955584</v>
      </c>
      <c r="L4778" s="39" t="n">
        <f aca="false">$C$4749*L4772+$C$4753*L4773+$C$4757*L4774</f>
        <v>3516.38955584</v>
      </c>
      <c r="M4778" s="39" t="n">
        <f aca="false">$C$4749*M4772+$C$4753*M4773+$C$4757*M4774</f>
        <v>3516.38955584</v>
      </c>
      <c r="N4778" s="39" t="n">
        <f aca="false">$C$4749*N4772+$C$4753*N4773+$C$4757*N4774</f>
        <v>3516.38955584</v>
      </c>
      <c r="P4778" s="40" t="n">
        <f aca="false">F4778</f>
        <v>843.03944704</v>
      </c>
      <c r="Q4778" s="40" t="n">
        <f aca="false">J4778</f>
        <v>3516.38955584</v>
      </c>
      <c r="R4778" s="40" t="n">
        <f aca="false">N4778</f>
        <v>3516.38955584</v>
      </c>
      <c r="S4778" s="41" t="n">
        <f aca="false">R4778</f>
        <v>3516.38955584</v>
      </c>
    </row>
    <row r="4779" customFormat="false" ht="15" hidden="false" customHeight="false" outlineLevel="0" collapsed="false">
      <c r="A4779" s="4" t="s">
        <v>486</v>
      </c>
      <c r="B4779" s="36" t="s">
        <v>485</v>
      </c>
      <c r="C4779" s="39" t="n">
        <f aca="false">$C$4750*C4772+$C$4754*C4773+$C$4758*C4774</f>
        <v>105.59808</v>
      </c>
      <c r="D4779" s="39" t="n">
        <f aca="false">$C$4750*D4772+$C$4754*D4773+$C$4758*D4774</f>
        <v>211.19616</v>
      </c>
      <c r="E4779" s="39" t="n">
        <f aca="false">$C$4750*E4772+$C$4754*E4773+$C$4758*E4774</f>
        <v>211.19616</v>
      </c>
      <c r="F4779" s="39" t="n">
        <f aca="false">$C$4750*F4772+$C$4754*F4773+$C$4758*F4774</f>
        <v>211.19616</v>
      </c>
      <c r="G4779" s="39" t="n">
        <f aca="false">$C$4750*G4772+$C$4754*G4773+$C$4758*G4774</f>
        <v>282.24672</v>
      </c>
      <c r="H4779" s="39" t="n">
        <f aca="false">$C$4750*H4772+$C$4754*H4773+$C$4758*H4774</f>
        <v>353.29728</v>
      </c>
      <c r="I4779" s="39" t="n">
        <f aca="false">$C$4750*I4772+$C$4754*I4773+$C$4758*I4774</f>
        <v>567.53536</v>
      </c>
      <c r="J4779" s="39" t="n">
        <f aca="false">$C$4750*J4772+$C$4754*J4773+$C$4758*J4774</f>
        <v>781.77344</v>
      </c>
      <c r="K4779" s="39" t="n">
        <f aca="false">$C$4750*K4772+$C$4754*K4773+$C$4758*K4774</f>
        <v>781.77344</v>
      </c>
      <c r="L4779" s="39" t="n">
        <f aca="false">$C$4750*L4772+$C$4754*L4773+$C$4758*L4774</f>
        <v>781.77344</v>
      </c>
      <c r="M4779" s="39" t="n">
        <f aca="false">$C$4750*M4772+$C$4754*M4773+$C$4758*M4774</f>
        <v>781.77344</v>
      </c>
      <c r="N4779" s="39" t="n">
        <f aca="false">$C$4750*N4772+$C$4754*N4773+$C$4758*N4774</f>
        <v>781.77344</v>
      </c>
      <c r="P4779" s="40" t="n">
        <f aca="false">F4779</f>
        <v>211.19616</v>
      </c>
      <c r="Q4779" s="40" t="n">
        <f aca="false">J4779</f>
        <v>781.77344</v>
      </c>
      <c r="R4779" s="40" t="n">
        <f aca="false">N4779</f>
        <v>781.77344</v>
      </c>
      <c r="S4779" s="41" t="n">
        <f aca="false">R4779</f>
        <v>781.77344</v>
      </c>
    </row>
    <row r="4780" customFormat="false" ht="15" hidden="false" customHeight="false" outlineLevel="0" collapsed="false">
      <c r="A4780" s="4" t="s">
        <v>487</v>
      </c>
      <c r="B4780" s="36" t="s">
        <v>485</v>
      </c>
      <c r="C4780" s="39" t="n">
        <f aca="false">$C$4751*C4772+$C$4755*C4773+$C$4759*C4774</f>
        <v>24.76992</v>
      </c>
      <c r="D4780" s="39" t="n">
        <f aca="false">$C$4751*D4772+$C$4755*D4773+$C$4759*D4774</f>
        <v>49.53984</v>
      </c>
      <c r="E4780" s="39" t="n">
        <f aca="false">$C$4751*E4772+$C$4755*E4773+$C$4759*E4774</f>
        <v>49.53984</v>
      </c>
      <c r="F4780" s="39" t="n">
        <f aca="false">$C$4751*F4772+$C$4755*F4773+$C$4759*F4774</f>
        <v>49.53984</v>
      </c>
      <c r="G4780" s="39" t="n">
        <f aca="false">$C$4751*G4772+$C$4755*G4773+$C$4759*G4774</f>
        <v>61.9248</v>
      </c>
      <c r="H4780" s="39" t="n">
        <f aca="false">$C$4751*H4772+$C$4755*H4773+$C$4759*H4774</f>
        <v>74.30976</v>
      </c>
      <c r="I4780" s="39" t="n">
        <f aca="false">$C$4751*I4772+$C$4755*I4773+$C$4759*I4774</f>
        <v>114.072</v>
      </c>
      <c r="J4780" s="39" t="n">
        <f aca="false">$C$4751*J4772+$C$4755*J4773+$C$4759*J4774</f>
        <v>153.83424</v>
      </c>
      <c r="K4780" s="39" t="n">
        <f aca="false">$C$4751*K4772+$C$4755*K4773+$C$4759*K4774</f>
        <v>153.83424</v>
      </c>
      <c r="L4780" s="39" t="n">
        <f aca="false">$C$4751*L4772+$C$4755*L4773+$C$4759*L4774</f>
        <v>153.83424</v>
      </c>
      <c r="M4780" s="39" t="n">
        <f aca="false">$C$4751*M4772+$C$4755*M4773+$C$4759*M4774</f>
        <v>153.83424</v>
      </c>
      <c r="N4780" s="39" t="n">
        <f aca="false">$C$4751*N4772+$C$4755*N4773+$C$4759*N4774</f>
        <v>153.83424</v>
      </c>
      <c r="P4780" s="40" t="n">
        <f aca="false">F4780</f>
        <v>49.53984</v>
      </c>
      <c r="Q4780" s="40" t="n">
        <f aca="false">J4780</f>
        <v>153.83424</v>
      </c>
      <c r="R4780" s="40" t="n">
        <f aca="false">N4780</f>
        <v>153.83424</v>
      </c>
      <c r="S4780" s="41" t="n">
        <f aca="false">R4780</f>
        <v>153.83424</v>
      </c>
    </row>
    <row r="4781" customFormat="false" ht="15" hidden="false" customHeight="false" outlineLevel="0" collapsed="false">
      <c r="A4781" s="4" t="s">
        <v>488</v>
      </c>
      <c r="B4781" s="36" t="s">
        <v>485</v>
      </c>
      <c r="C4781" s="39" t="n">
        <f aca="false">C4778+C4779+C4780</f>
        <v>551.88772352</v>
      </c>
      <c r="D4781" s="39" t="n">
        <f aca="false">D4778+D4779+D4780</f>
        <v>1103.77544704</v>
      </c>
      <c r="E4781" s="39" t="n">
        <f aca="false">E4778+E4779+E4780</f>
        <v>1103.77544704</v>
      </c>
      <c r="F4781" s="39" t="n">
        <f aca="false">F4778+F4779+F4780</f>
        <v>1103.77544704</v>
      </c>
      <c r="G4781" s="39" t="n">
        <f aca="false">G4778+G4779+G4780</f>
        <v>1493.49950176</v>
      </c>
      <c r="H4781" s="39" t="n">
        <f aca="false">H4778+H4779+H4780</f>
        <v>1883.22355648</v>
      </c>
      <c r="I4781" s="39" t="n">
        <f aca="false">I4778+I4779+I4780</f>
        <v>3167.61039616</v>
      </c>
      <c r="J4781" s="39" t="n">
        <f aca="false">J4778+J4779+J4780</f>
        <v>4451.99723584</v>
      </c>
      <c r="K4781" s="39" t="n">
        <f aca="false">K4778+K4779+K4780</f>
        <v>4451.99723584</v>
      </c>
      <c r="L4781" s="39" t="n">
        <f aca="false">L4778+L4779+L4780</f>
        <v>4451.99723584</v>
      </c>
      <c r="M4781" s="39" t="n">
        <f aca="false">M4778+M4779+M4780</f>
        <v>4451.99723584</v>
      </c>
      <c r="N4781" s="39" t="n">
        <f aca="false">N4778+N4779+N4780</f>
        <v>4451.99723584</v>
      </c>
      <c r="P4781" s="40" t="n">
        <f aca="false">F4781</f>
        <v>1103.77544704</v>
      </c>
      <c r="Q4781" s="40" t="n">
        <f aca="false">J4781</f>
        <v>4451.99723584</v>
      </c>
      <c r="R4781" s="40" t="n">
        <f aca="false">N4781</f>
        <v>4451.99723584</v>
      </c>
      <c r="S4781" s="41" t="n">
        <f aca="false">R4781</f>
        <v>4451.99723584</v>
      </c>
    </row>
    <row r="4782" customFormat="false" ht="15" hidden="false" customHeight="false" outlineLevel="0" collapsed="false">
      <c r="A4782" s="4" t="s">
        <v>489</v>
      </c>
      <c r="B4782" s="36" t="s">
        <v>485</v>
      </c>
      <c r="C4782" s="39" t="n">
        <f aca="false">$C$4752*C4772*C4775+$C$4756*C4773*C4776+$C$4760*C4774*C4777</f>
        <v>551.88772352</v>
      </c>
      <c r="D4782" s="39" t="n">
        <f aca="false">$C$4752*D4772*D4775+$C$4756*D4773*D4776+$C$4760*D4774*D4777</f>
        <v>1027.17879437302</v>
      </c>
      <c r="E4782" s="39" t="n">
        <f aca="false">$C$4752*E4772*E4775+$C$4756*E4773*E4776+$C$4760*E4774*E4777</f>
        <v>955.897577210165</v>
      </c>
      <c r="F4782" s="39" t="n">
        <f aca="false">$C$4752*F4772*F4775+$C$4756*F4773*F4776+$C$4760*F4774*F4777</f>
        <v>889.562930155704</v>
      </c>
      <c r="G4782" s="39" t="n">
        <f aca="false">$C$4752*G4772*G4775+$C$4756*G4773*G4776+$C$4760*G4774*G4777</f>
        <v>1217.55564</v>
      </c>
      <c r="H4782" s="39" t="n">
        <f aca="false">$C$4752*H4772*H4775+$C$4756*H4773*H4776+$C$4760*H4774*H4777</f>
        <v>1495.74229384257</v>
      </c>
      <c r="I4782" s="39" t="n">
        <f aca="false">$C$4752*I4772*I4775+$C$4756*I4773*I4776+$C$4760*I4774*I4777</f>
        <v>2676.33188629442</v>
      </c>
      <c r="J4782" s="39" t="n">
        <f aca="false">$C$4752*J4772*J4775+$C$4756*J4773*J4776+$C$4760*J4774*J4777</f>
        <v>3685.86409192847</v>
      </c>
      <c r="K4782" s="39" t="n">
        <f aca="false">$C$4752*K4772*K4775+$C$4756*K4773*K4776+$C$4760*K4774*K4777</f>
        <v>3430.08303393858</v>
      </c>
      <c r="L4782" s="39" t="n">
        <f aca="false">$C$4752*L4772*L4775+$C$4756*L4773*L4776+$C$4760*L4774*L4777</f>
        <v>3192.05193850692</v>
      </c>
      <c r="M4782" s="39" t="n">
        <f aca="false">$C$4752*M4772*M4775+$C$4756*M4773*M4776+$C$4760*M4774*M4777</f>
        <v>2970.53904448081</v>
      </c>
      <c r="N4782" s="39" t="n">
        <f aca="false">$C$4752*N4772*N4775+$C$4756*N4773*N4776+$C$4760*N4774*N4777</f>
        <v>2764.39806894635</v>
      </c>
      <c r="P4782" s="40"/>
      <c r="Q4782" s="40"/>
      <c r="R4782" s="40"/>
      <c r="S4782" s="41"/>
    </row>
    <row r="4783" customFormat="false" ht="15" hidden="false" customHeight="false" outlineLevel="0" collapsed="false">
      <c r="A4783" s="4" t="s">
        <v>490</v>
      </c>
      <c r="B4783" s="36" t="s">
        <v>491</v>
      </c>
      <c r="C4783" s="48" t="n">
        <f aca="false">$C$4764*Assumptions!$E$20*C4771*C4782</f>
        <v>6.62265268224</v>
      </c>
      <c r="D4783" s="48" t="n">
        <f aca="false">$C$4764*Assumptions!$E$20*D4771*D4782</f>
        <v>12.3261455324762</v>
      </c>
      <c r="E4783" s="48" t="n">
        <f aca="false">$C$4764*Assumptions!$E$20*E4771*E4782</f>
        <v>11.470770926522</v>
      </c>
      <c r="F4783" s="48" t="n">
        <f aca="false">$C$4764*Assumptions!$E$20*F4771*F4782</f>
        <v>10.6747551618685</v>
      </c>
      <c r="G4783" s="48" t="n">
        <f aca="false">$C$4764*Assumptions!$E$20*G4771*G4782</f>
        <v>14.61066768</v>
      </c>
      <c r="H4783" s="48" t="n">
        <f aca="false">$C$4764*Assumptions!$E$20*H4771*H4782</f>
        <v>17.9489075261109</v>
      </c>
      <c r="I4783" s="48" t="n">
        <f aca="false">$C$4764*Assumptions!$E$20*I4771*I4782</f>
        <v>32.115982635533</v>
      </c>
      <c r="J4783" s="48" t="n">
        <f aca="false">$C$4764*Assumptions!$E$20*J4771*J4782</f>
        <v>44.2303691031417</v>
      </c>
      <c r="K4783" s="48" t="n">
        <f aca="false">$C$4764*Assumptions!$E$20*K4771*K4782</f>
        <v>41.160996407263</v>
      </c>
      <c r="L4783" s="48" t="n">
        <f aca="false">$C$4764*Assumptions!$E$20*L4771*L4782</f>
        <v>38.304623262083</v>
      </c>
      <c r="M4783" s="48" t="n">
        <f aca="false">$C$4764*Assumptions!$E$20*M4771*M4782</f>
        <v>35.6464685337698</v>
      </c>
      <c r="N4783" s="48" t="n">
        <f aca="false">$C$4764*Assumptions!$E$20*N4771*N4782</f>
        <v>33.1727768273562</v>
      </c>
      <c r="P4783" s="49" t="n">
        <f aca="false">SUM(C4783:F4783)</f>
        <v>41.0943243031066</v>
      </c>
      <c r="Q4783" s="49" t="n">
        <f aca="false">SUM(G4783:J4783)</f>
        <v>108.905926944786</v>
      </c>
      <c r="R4783" s="49" t="n">
        <f aca="false">SUM(K4783:N4783)</f>
        <v>148.284865030472</v>
      </c>
      <c r="S4783" s="50" t="n">
        <f aca="false">SUM(P4783:R4783)</f>
        <v>298.285116278364</v>
      </c>
    </row>
    <row r="4784" customFormat="false" ht="15" hidden="false" customHeight="false" outlineLevel="0" collapsed="false">
      <c r="A4784" s="4" t="s">
        <v>492</v>
      </c>
      <c r="B4784" s="36" t="s">
        <v>321</v>
      </c>
      <c r="C4784" s="48" t="n">
        <f aca="false">Assumptions!$D$111</f>
        <v>0</v>
      </c>
      <c r="D4784" s="48" t="n">
        <f aca="false">Assumptions!$E$111</f>
        <v>0</v>
      </c>
      <c r="E4784" s="48" t="n">
        <f aca="false">Assumptions!$F$111</f>
        <v>0</v>
      </c>
      <c r="F4784" s="48" t="n">
        <f aca="false">Assumptions!$G$111</f>
        <v>0</v>
      </c>
      <c r="G4784" s="48" t="n">
        <f aca="false">Assumptions!$H$111</f>
        <v>0</v>
      </c>
      <c r="H4784" s="48" t="n">
        <f aca="false">Assumptions!$I$111</f>
        <v>0</v>
      </c>
      <c r="I4784" s="48" t="n">
        <f aca="false">Assumptions!$J$111</f>
        <v>0</v>
      </c>
      <c r="J4784" s="48" t="n">
        <f aca="false">Assumptions!$K$111</f>
        <v>0</v>
      </c>
      <c r="K4784" s="48" t="n">
        <f aca="false">Assumptions!$L$111</f>
        <v>0</v>
      </c>
      <c r="L4784" s="48" t="n">
        <f aca="false">Assumptions!$M$111</f>
        <v>0</v>
      </c>
      <c r="M4784" s="48" t="n">
        <f aca="false">Assumptions!$N$111</f>
        <v>0</v>
      </c>
      <c r="N4784" s="48" t="n">
        <f aca="false">Assumptions!$O$111</f>
        <v>0</v>
      </c>
      <c r="P4784" s="49" t="n">
        <f aca="false">F4784</f>
        <v>0</v>
      </c>
      <c r="Q4784" s="49" t="n">
        <f aca="false">J4784</f>
        <v>0</v>
      </c>
      <c r="R4784" s="49" t="n">
        <f aca="false">N4784</f>
        <v>0</v>
      </c>
      <c r="S4784" s="50" t="n">
        <f aca="false">R4784</f>
        <v>0</v>
      </c>
    </row>
    <row r="4785" customFormat="false" ht="15" hidden="false" customHeight="false" outlineLevel="0" collapsed="false">
      <c r="A4785" s="4" t="s">
        <v>493</v>
      </c>
      <c r="B4785" s="36" t="s">
        <v>321</v>
      </c>
      <c r="C4785" s="48" t="n">
        <f aca="false">0</f>
        <v>0</v>
      </c>
      <c r="D4785" s="48" t="n">
        <f aca="false">0.5*C4784</f>
        <v>0</v>
      </c>
      <c r="E4785" s="48" t="n">
        <f aca="false">C4784+0.5*(D4784-C4784)</f>
        <v>0</v>
      </c>
      <c r="F4785" s="48" t="n">
        <f aca="false">D4784+0.5*(E4784-D4784)</f>
        <v>0</v>
      </c>
      <c r="G4785" s="48" t="n">
        <f aca="false">E4784+0.5*(F4784-E4784)</f>
        <v>0</v>
      </c>
      <c r="H4785" s="48" t="n">
        <f aca="false">F4784+0.5*(G4784-F4784)</f>
        <v>0</v>
      </c>
      <c r="I4785" s="48" t="n">
        <f aca="false">G4784+0.5*(H4784-G4784)</f>
        <v>0</v>
      </c>
      <c r="J4785" s="48" t="n">
        <f aca="false">H4784+0.5*(I4784-H4784)</f>
        <v>0</v>
      </c>
      <c r="K4785" s="48" t="n">
        <f aca="false">I4784+0.5*(J4784-I4784)</f>
        <v>0</v>
      </c>
      <c r="L4785" s="48" t="n">
        <f aca="false">J4784+0.5*(K4784-J4784)</f>
        <v>0</v>
      </c>
      <c r="M4785" s="48" t="n">
        <f aca="false">K4784+0.5*(L4784-K4784)</f>
        <v>0</v>
      </c>
      <c r="N4785" s="48" t="n">
        <f aca="false">L4784+0.5*(M4784-L4784)</f>
        <v>0</v>
      </c>
      <c r="P4785" s="49" t="n">
        <f aca="false">F4785</f>
        <v>0</v>
      </c>
      <c r="Q4785" s="49" t="n">
        <f aca="false">J4785</f>
        <v>0</v>
      </c>
      <c r="R4785" s="49" t="n">
        <f aca="false">N4785</f>
        <v>0</v>
      </c>
      <c r="S4785" s="50" t="n">
        <f aca="false">R4785</f>
        <v>0</v>
      </c>
    </row>
    <row r="4786" customFormat="false" ht="15" hidden="false" customHeight="false" outlineLevel="0" collapsed="false">
      <c r="A4786" s="4" t="s">
        <v>494</v>
      </c>
      <c r="B4786" s="36" t="s">
        <v>485</v>
      </c>
      <c r="C4786" s="39" t="n">
        <f aca="false">MIN(C4785*Assumptions!$E$38,C4781*(1-$C$4764))</f>
        <v>0</v>
      </c>
      <c r="D4786" s="39" t="n">
        <f aca="false">MIN(D4785*Assumptions!$E$38,D4781*(1-$C$4764))</f>
        <v>0</v>
      </c>
      <c r="E4786" s="39" t="n">
        <f aca="false">MIN(E4785*Assumptions!$E$38,E4781*(1-$C$4764))</f>
        <v>0</v>
      </c>
      <c r="F4786" s="39" t="n">
        <f aca="false">MIN(F4785*Assumptions!$E$38,F4781*(1-$C$4764))</f>
        <v>0</v>
      </c>
      <c r="G4786" s="39" t="n">
        <f aca="false">MIN(G4785*Assumptions!$E$38,G4781*(1-$C$4764))</f>
        <v>0</v>
      </c>
      <c r="H4786" s="39" t="n">
        <f aca="false">MIN(H4785*Assumptions!$E$38,H4781*(1-$C$4764))</f>
        <v>0</v>
      </c>
      <c r="I4786" s="39" t="n">
        <f aca="false">MIN(I4785*Assumptions!$E$38,I4781*(1-$C$4764))</f>
        <v>0</v>
      </c>
      <c r="J4786" s="39" t="n">
        <f aca="false">MIN(J4785*Assumptions!$E$38,J4781*(1-$C$4764))</f>
        <v>0</v>
      </c>
      <c r="K4786" s="39" t="n">
        <f aca="false">MIN(K4785*Assumptions!$E$38,K4781*(1-$C$4764))</f>
        <v>0</v>
      </c>
      <c r="L4786" s="39" t="n">
        <f aca="false">MIN(L4785*Assumptions!$E$38,L4781*(1-$C$4764))</f>
        <v>0</v>
      </c>
      <c r="M4786" s="39" t="n">
        <f aca="false">MIN(M4785*Assumptions!$E$38,M4781*(1-$C$4764))</f>
        <v>0</v>
      </c>
      <c r="N4786" s="39" t="n">
        <f aca="false">MIN(N4785*Assumptions!$E$38,N4781*(1-$C$4764))</f>
        <v>0</v>
      </c>
      <c r="P4786" s="40" t="n">
        <f aca="false">SUM(C4786:F4786)</f>
        <v>0</v>
      </c>
      <c r="Q4786" s="40" t="n">
        <f aca="false">SUM(G4786:J4786)</f>
        <v>0</v>
      </c>
      <c r="R4786" s="40" t="n">
        <f aca="false">SUM(K4786:N4786)</f>
        <v>0</v>
      </c>
      <c r="S4786" s="41" t="n">
        <f aca="false">SUM(P4786:R4786)</f>
        <v>0</v>
      </c>
    </row>
    <row r="4787" customFormat="false" ht="15" hidden="false" customHeight="false" outlineLevel="0" collapsed="false">
      <c r="A4787" s="4" t="s">
        <v>495</v>
      </c>
      <c r="B4787" s="36" t="s">
        <v>491</v>
      </c>
      <c r="C4787" s="48" t="n">
        <f aca="false">C4786*Assumptions!$E$20*Assumptions!$E$39*IF(C4781&gt;0,C4782/C4781,0)*C4771</f>
        <v>0</v>
      </c>
      <c r="D4787" s="48" t="n">
        <f aca="false">D4786*Assumptions!$E$20*Assumptions!$E$39*IF(D4781&gt;0,D4782/D4781,0)*D4771</f>
        <v>0</v>
      </c>
      <c r="E4787" s="48" t="n">
        <f aca="false">E4786*Assumptions!$E$20*Assumptions!$E$39*IF(E4781&gt;0,E4782/E4781,0)*E4771</f>
        <v>0</v>
      </c>
      <c r="F4787" s="48" t="n">
        <f aca="false">F4786*Assumptions!$E$20*Assumptions!$E$39*IF(F4781&gt;0,F4782/F4781,0)*F4771</f>
        <v>0</v>
      </c>
      <c r="G4787" s="48" t="n">
        <f aca="false">G4786*Assumptions!$E$20*Assumptions!$E$39*IF(G4781&gt;0,G4782/G4781,0)*G4771</f>
        <v>0</v>
      </c>
      <c r="H4787" s="48" t="n">
        <f aca="false">H4786*Assumptions!$E$20*Assumptions!$E$39*IF(H4781&gt;0,H4782/H4781,0)*H4771</f>
        <v>0</v>
      </c>
      <c r="I4787" s="48" t="n">
        <f aca="false">I4786*Assumptions!$E$20*Assumptions!$E$39*IF(I4781&gt;0,I4782/I4781,0)*I4771</f>
        <v>0</v>
      </c>
      <c r="J4787" s="48" t="n">
        <f aca="false">J4786*Assumptions!$E$20*Assumptions!$E$39*IF(J4781&gt;0,J4782/J4781,0)*J4771</f>
        <v>0</v>
      </c>
      <c r="K4787" s="48" t="n">
        <f aca="false">K4786*Assumptions!$E$20*Assumptions!$E$39*IF(K4781&gt;0,K4782/K4781,0)*K4771</f>
        <v>0</v>
      </c>
      <c r="L4787" s="48" t="n">
        <f aca="false">L4786*Assumptions!$E$20*Assumptions!$E$39*IF(L4781&gt;0,L4782/L4781,0)*L4771</f>
        <v>0</v>
      </c>
      <c r="M4787" s="48" t="n">
        <f aca="false">M4786*Assumptions!$E$20*Assumptions!$E$39*IF(M4781&gt;0,M4782/M4781,0)*M4771</f>
        <v>0</v>
      </c>
      <c r="N4787" s="48" t="n">
        <f aca="false">N4786*Assumptions!$E$20*Assumptions!$E$39*IF(N4781&gt;0,N4782/N4781,0)*N4771</f>
        <v>0</v>
      </c>
      <c r="P4787" s="49" t="n">
        <f aca="false">SUM(C4787:F4787)</f>
        <v>0</v>
      </c>
      <c r="Q4787" s="49" t="n">
        <f aca="false">SUM(G4787:J4787)</f>
        <v>0</v>
      </c>
      <c r="R4787" s="49" t="n">
        <f aca="false">SUM(K4787:N4787)</f>
        <v>0</v>
      </c>
      <c r="S4787" s="50" t="n">
        <f aca="false">SUM(P4787:R4787)</f>
        <v>0</v>
      </c>
    </row>
    <row r="4788" customFormat="false" ht="15" hidden="false" customHeight="false" outlineLevel="0" collapsed="false">
      <c r="A4788" s="4" t="s">
        <v>496</v>
      </c>
      <c r="B4788" s="36" t="s">
        <v>497</v>
      </c>
      <c r="C4788" s="48" t="n">
        <f aca="false">IF(AND(C4781&gt;0,$C$4768&gt;0),C4781*Assumptions!$E$24*(1-EXP(-$C$4768/(Assumptions!$E$23*C4781*Assumptions!$E$24))),0)</f>
        <v>0</v>
      </c>
      <c r="D4788" s="48" t="n">
        <f aca="false">IF(AND(D4781&gt;0,$C$4768&gt;0),D4781*Assumptions!$E$24*(1-EXP(-$C$4768/(Assumptions!$E$23*D4781*Assumptions!$E$24))),0)</f>
        <v>0</v>
      </c>
      <c r="E4788" s="48" t="n">
        <f aca="false">IF(AND(E4781&gt;0,$C$4768&gt;0),E4781*Assumptions!$E$24*(1-EXP(-$C$4768/(Assumptions!$E$23*E4781*Assumptions!$E$24))),0)</f>
        <v>0</v>
      </c>
      <c r="F4788" s="48" t="n">
        <f aca="false">IF(AND(F4781&gt;0,$C$4768&gt;0),F4781*Assumptions!$E$24*(1-EXP(-$C$4768/(Assumptions!$E$23*F4781*Assumptions!$E$24))),0)</f>
        <v>0</v>
      </c>
      <c r="G4788" s="48" t="n">
        <f aca="false">IF(AND(G4781&gt;0,$C$4768&gt;0),G4781*Assumptions!$E$24*(1-EXP(-$C$4768/(Assumptions!$E$23*G4781*Assumptions!$E$24))),0)</f>
        <v>0</v>
      </c>
      <c r="H4788" s="48" t="n">
        <f aca="false">IF(AND(H4781&gt;0,$C$4768&gt;0),H4781*Assumptions!$E$24*(1-EXP(-$C$4768/(Assumptions!$E$23*H4781*Assumptions!$E$24))),0)</f>
        <v>0</v>
      </c>
      <c r="I4788" s="48" t="n">
        <f aca="false">IF(AND(I4781&gt;0,$C$4768&gt;0),I4781*Assumptions!$E$24*(1-EXP(-$C$4768/(Assumptions!$E$23*I4781*Assumptions!$E$24))),0)</f>
        <v>0</v>
      </c>
      <c r="J4788" s="48" t="n">
        <f aca="false">IF(AND(J4781&gt;0,$C$4768&gt;0),J4781*Assumptions!$E$24*(1-EXP(-$C$4768/(Assumptions!$E$23*J4781*Assumptions!$E$24))),0)</f>
        <v>0</v>
      </c>
      <c r="K4788" s="48" t="n">
        <f aca="false">IF(AND(K4781&gt;0,$C$4768&gt;0),K4781*Assumptions!$E$24*(1-EXP(-$C$4768/(Assumptions!$E$23*K4781*Assumptions!$E$24))),0)</f>
        <v>0</v>
      </c>
      <c r="L4788" s="48" t="n">
        <f aca="false">IF(AND(L4781&gt;0,$C$4768&gt;0),L4781*Assumptions!$E$24*(1-EXP(-$C$4768/(Assumptions!$E$23*L4781*Assumptions!$E$24))),0)</f>
        <v>0</v>
      </c>
      <c r="M4788" s="48" t="n">
        <f aca="false">IF(AND(M4781&gt;0,$C$4768&gt;0),M4781*Assumptions!$E$24*(1-EXP(-$C$4768/(Assumptions!$E$23*M4781*Assumptions!$E$24))),0)</f>
        <v>0</v>
      </c>
      <c r="N4788" s="48" t="n">
        <f aca="false">IF(AND(N4781&gt;0,$C$4768&gt;0),N4781*Assumptions!$E$24*(1-EXP(-$C$4768/(Assumptions!$E$23*N4781*Assumptions!$E$24))),0)</f>
        <v>0</v>
      </c>
      <c r="P4788" s="49" t="n">
        <f aca="false">SUM(C4788:F4788)</f>
        <v>0</v>
      </c>
      <c r="Q4788" s="49" t="n">
        <f aca="false">SUM(G4788:J4788)</f>
        <v>0</v>
      </c>
      <c r="R4788" s="49" t="n">
        <f aca="false">SUM(K4788:N4788)</f>
        <v>0</v>
      </c>
      <c r="S4788" s="50" t="n">
        <f aca="false">SUM(P4788:R4788)</f>
        <v>0</v>
      </c>
    </row>
    <row r="4789" customFormat="false" ht="15" hidden="false" customHeight="false" outlineLevel="0" collapsed="false">
      <c r="A4789" s="4" t="s">
        <v>498</v>
      </c>
      <c r="B4789" s="36" t="s">
        <v>497</v>
      </c>
      <c r="C4789" s="48" t="n">
        <f aca="false">(C4781*Assumptions!$E$22*MIN(1,Assumptions!$D$103/Assumptions!$E$78)+C4788)*C4771</f>
        <v>5.5188772352</v>
      </c>
      <c r="D4789" s="48" t="n">
        <f aca="false">(D4781*Assumptions!$E$22*MIN(1,Assumptions!$D$103/Assumptions!$E$78)+D4788)*D4771</f>
        <v>11.0377544704</v>
      </c>
      <c r="E4789" s="48" t="n">
        <f aca="false">(E4781*Assumptions!$E$22*MIN(1,Assumptions!$D$103/Assumptions!$E$78)+E4788)*E4771</f>
        <v>11.0377544704</v>
      </c>
      <c r="F4789" s="48" t="n">
        <f aca="false">(F4781*Assumptions!$E$22*MIN(1,Assumptions!$D$103/Assumptions!$E$78)+F4788)*F4771</f>
        <v>11.0377544704</v>
      </c>
      <c r="G4789" s="48" t="n">
        <f aca="false">(G4781*Assumptions!$E$22*MIN(1,Assumptions!$D$103/Assumptions!$E$78)+G4788)*G4771</f>
        <v>14.9349950176</v>
      </c>
      <c r="H4789" s="48" t="n">
        <f aca="false">(H4781*Assumptions!$E$22*MIN(1,Assumptions!$D$103/Assumptions!$E$78)+H4788)*H4771</f>
        <v>18.8322355648</v>
      </c>
      <c r="I4789" s="48" t="n">
        <f aca="false">(I4781*Assumptions!$E$22*MIN(1,Assumptions!$D$103/Assumptions!$E$78)+I4788)*I4771</f>
        <v>31.6761039616</v>
      </c>
      <c r="J4789" s="48" t="n">
        <f aca="false">(J4781*Assumptions!$E$22*MIN(1,Assumptions!$D$103/Assumptions!$E$78)+J4788)*J4771</f>
        <v>44.5199723584</v>
      </c>
      <c r="K4789" s="48" t="n">
        <f aca="false">(K4781*Assumptions!$E$22*MIN(1,Assumptions!$D$103/Assumptions!$E$78)+K4788)*K4771</f>
        <v>44.5199723584</v>
      </c>
      <c r="L4789" s="48" t="n">
        <f aca="false">(L4781*Assumptions!$E$22*MIN(1,Assumptions!$D$103/Assumptions!$E$78)+L4788)*L4771</f>
        <v>44.5199723584</v>
      </c>
      <c r="M4789" s="48" t="n">
        <f aca="false">(M4781*Assumptions!$E$22*MIN(1,Assumptions!$D$103/Assumptions!$E$78)+M4788)*M4771</f>
        <v>44.5199723584</v>
      </c>
      <c r="N4789" s="48" t="n">
        <f aca="false">(N4781*Assumptions!$E$22*MIN(1,Assumptions!$D$103/Assumptions!$E$78)+N4788)*N4771</f>
        <v>44.5199723584</v>
      </c>
      <c r="P4789" s="49" t="n">
        <f aca="false">SUM(C4789:F4789)</f>
        <v>38.6321406464</v>
      </c>
      <c r="Q4789" s="49" t="n">
        <f aca="false">SUM(G4789:J4789)</f>
        <v>109.9633069024</v>
      </c>
      <c r="R4789" s="49" t="n">
        <f aca="false">SUM(K4789:N4789)</f>
        <v>178.0798894336</v>
      </c>
      <c r="S4789" s="50" t="n">
        <f aca="false">SUM(P4789:R4789)</f>
        <v>326.6753369824</v>
      </c>
    </row>
    <row r="4790" customFormat="false" ht="15" hidden="false" customHeight="false" outlineLevel="0" collapsed="false">
      <c r="A4790" s="4" t="s">
        <v>499</v>
      </c>
      <c r="B4790" s="36" t="s">
        <v>500</v>
      </c>
      <c r="C4790" s="48" t="n">
        <f aca="false">C4771*MIN(Assumptions!$E$27,Assumptions!$E$25+Assumptions!$E$26*(C4770-1))*Assumptions!$D$107</f>
        <v>2</v>
      </c>
      <c r="D4790" s="48" t="n">
        <f aca="false">D4771*MIN(Assumptions!$E$27,Assumptions!$E$25+Assumptions!$E$26*(D4770-1))*Assumptions!$D$107</f>
        <v>3</v>
      </c>
      <c r="E4790" s="48" t="n">
        <f aca="false">E4771*MIN(Assumptions!$E$27,Assumptions!$E$25+Assumptions!$E$26*(E4770-1))*Assumptions!$D$107</f>
        <v>4</v>
      </c>
      <c r="F4790" s="48" t="n">
        <f aca="false">F4771*MIN(Assumptions!$E$27,Assumptions!$E$25+Assumptions!$E$26*(F4770-1))*Assumptions!$D$107</f>
        <v>5</v>
      </c>
      <c r="G4790" s="48" t="n">
        <f aca="false">G4771*MIN(Assumptions!$E$27,Assumptions!$E$25+Assumptions!$E$26*(G4770-1))*Assumptions!$D$107</f>
        <v>6</v>
      </c>
      <c r="H4790" s="48" t="n">
        <f aca="false">H4771*MIN(Assumptions!$E$27,Assumptions!$E$25+Assumptions!$E$26*(H4770-1))*Assumptions!$D$107</f>
        <v>7</v>
      </c>
      <c r="I4790" s="48" t="n">
        <f aca="false">I4771*MIN(Assumptions!$E$27,Assumptions!$E$25+Assumptions!$E$26*(I4770-1))*Assumptions!$D$107</f>
        <v>8</v>
      </c>
      <c r="J4790" s="48" t="n">
        <f aca="false">J4771*MIN(Assumptions!$E$27,Assumptions!$E$25+Assumptions!$E$26*(J4770-1))*Assumptions!$D$107</f>
        <v>9</v>
      </c>
      <c r="K4790" s="48" t="n">
        <f aca="false">K4771*MIN(Assumptions!$E$27,Assumptions!$E$25+Assumptions!$E$26*(K4770-1))*Assumptions!$D$107</f>
        <v>10</v>
      </c>
      <c r="L4790" s="48" t="n">
        <f aca="false">L4771*MIN(Assumptions!$E$27,Assumptions!$E$25+Assumptions!$E$26*(L4770-1))*Assumptions!$D$107</f>
        <v>10</v>
      </c>
      <c r="M4790" s="48" t="n">
        <f aca="false">M4771*MIN(Assumptions!$E$27,Assumptions!$E$25+Assumptions!$E$26*(M4770-1))*Assumptions!$D$107</f>
        <v>10</v>
      </c>
      <c r="N4790" s="48" t="n">
        <f aca="false">N4771*MIN(Assumptions!$E$27,Assumptions!$E$25+Assumptions!$E$26*(N4770-1))*Assumptions!$D$107</f>
        <v>10</v>
      </c>
      <c r="P4790" s="49" t="n">
        <f aca="false">F4790</f>
        <v>5</v>
      </c>
      <c r="Q4790" s="49" t="n">
        <f aca="false">J4790</f>
        <v>9</v>
      </c>
      <c r="R4790" s="49" t="n">
        <f aca="false">N4790</f>
        <v>10</v>
      </c>
      <c r="S4790" s="50" t="n">
        <f aca="false">R4790</f>
        <v>10</v>
      </c>
    </row>
    <row r="4791" customFormat="false" ht="15" hidden="false" customHeight="false" outlineLevel="0" collapsed="false">
      <c r="A4791" s="4" t="s">
        <v>501</v>
      </c>
      <c r="B4791" s="36" t="s">
        <v>502</v>
      </c>
      <c r="C4791" s="48" t="n">
        <f aca="false">C4790*Assumptions!$E$28</f>
        <v>6</v>
      </c>
      <c r="D4791" s="48" t="n">
        <f aca="false">D4790*Assumptions!$E$28</f>
        <v>9</v>
      </c>
      <c r="E4791" s="48" t="n">
        <f aca="false">E4790*Assumptions!$E$28</f>
        <v>12</v>
      </c>
      <c r="F4791" s="48" t="n">
        <f aca="false">F4790*Assumptions!$E$28</f>
        <v>15</v>
      </c>
      <c r="G4791" s="48" t="n">
        <f aca="false">G4790*Assumptions!$E$28</f>
        <v>18</v>
      </c>
      <c r="H4791" s="48" t="n">
        <f aca="false">H4790*Assumptions!$E$28</f>
        <v>21</v>
      </c>
      <c r="I4791" s="48" t="n">
        <f aca="false">I4790*Assumptions!$E$28</f>
        <v>24</v>
      </c>
      <c r="J4791" s="48" t="n">
        <f aca="false">J4790*Assumptions!$E$28</f>
        <v>27</v>
      </c>
      <c r="K4791" s="48" t="n">
        <f aca="false">K4790*Assumptions!$E$28</f>
        <v>30</v>
      </c>
      <c r="L4791" s="48" t="n">
        <f aca="false">L4790*Assumptions!$E$28</f>
        <v>30</v>
      </c>
      <c r="M4791" s="48" t="n">
        <f aca="false">M4790*Assumptions!$E$28</f>
        <v>30</v>
      </c>
      <c r="N4791" s="48" t="n">
        <f aca="false">N4790*Assumptions!$E$28</f>
        <v>30</v>
      </c>
      <c r="P4791" s="49" t="n">
        <f aca="false">SUM(C4791:F4791)</f>
        <v>42</v>
      </c>
      <c r="Q4791" s="49" t="n">
        <f aca="false">SUM(G4791:J4791)</f>
        <v>90</v>
      </c>
      <c r="R4791" s="49" t="n">
        <f aca="false">SUM(K4791:N4791)</f>
        <v>120</v>
      </c>
      <c r="S4791" s="50" t="n">
        <f aca="false">SUM(P4791:R4791)</f>
        <v>252</v>
      </c>
    </row>
    <row r="4792" customFormat="false" ht="15" hidden="false" customHeight="false" outlineLevel="0" collapsed="false">
      <c r="A4792" s="4" t="s">
        <v>503</v>
      </c>
      <c r="B4792" s="36" t="s">
        <v>504</v>
      </c>
      <c r="C4792" s="48" t="n">
        <f aca="false">(C4783+C4787)*Assumptions!$E$29</f>
        <v>2.649061072896</v>
      </c>
      <c r="D4792" s="48" t="n">
        <f aca="false">(D4783+D4787)*Assumptions!$E$29</f>
        <v>4.93045821299048</v>
      </c>
      <c r="E4792" s="48" t="n">
        <f aca="false">(E4783+E4787)*Assumptions!$E$29</f>
        <v>4.58830837060879</v>
      </c>
      <c r="F4792" s="48" t="n">
        <f aca="false">(F4783+F4787)*Assumptions!$E$29</f>
        <v>4.26990206474738</v>
      </c>
      <c r="G4792" s="48" t="n">
        <f aca="false">(G4783+G4787)*Assumptions!$E$29</f>
        <v>5.844267072</v>
      </c>
      <c r="H4792" s="48" t="n">
        <f aca="false">(H4783+H4787)*Assumptions!$E$29</f>
        <v>7.17956301044434</v>
      </c>
      <c r="I4792" s="48" t="n">
        <f aca="false">(I4783+I4787)*Assumptions!$E$29</f>
        <v>12.8463930542132</v>
      </c>
      <c r="J4792" s="48" t="n">
        <f aca="false">(J4783+J4787)*Assumptions!$E$29</f>
        <v>17.6921476412567</v>
      </c>
      <c r="K4792" s="48" t="n">
        <f aca="false">(K4783+K4787)*Assumptions!$E$29</f>
        <v>16.4643985629052</v>
      </c>
      <c r="L4792" s="48" t="n">
        <f aca="false">(L4783+L4787)*Assumptions!$E$29</f>
        <v>15.3218493048332</v>
      </c>
      <c r="M4792" s="48" t="n">
        <f aca="false">(M4783+M4787)*Assumptions!$E$29</f>
        <v>14.2585874135079</v>
      </c>
      <c r="N4792" s="48" t="n">
        <f aca="false">(N4783+N4787)*Assumptions!$E$29</f>
        <v>13.2691107309425</v>
      </c>
      <c r="P4792" s="49" t="n">
        <f aca="false">SUM(C4792:F4792)</f>
        <v>16.4377297212427</v>
      </c>
      <c r="Q4792" s="49" t="n">
        <f aca="false">SUM(G4792:J4792)</f>
        <v>43.5623707779142</v>
      </c>
      <c r="R4792" s="49" t="n">
        <f aca="false">SUM(K4792:N4792)</f>
        <v>59.3139460121888</v>
      </c>
      <c r="S4792" s="50" t="n">
        <f aca="false">SUM(P4792:R4792)</f>
        <v>119.314046511346</v>
      </c>
    </row>
    <row r="4793" customFormat="false" ht="15" hidden="false" customHeight="false" outlineLevel="0" collapsed="false">
      <c r="A4793" s="4" t="s">
        <v>505</v>
      </c>
      <c r="B4793" s="36" t="s">
        <v>504</v>
      </c>
      <c r="C4793" s="48" t="n">
        <f aca="false">C4789*Assumptions!$E$31</f>
        <v>0.883020357632</v>
      </c>
      <c r="D4793" s="48" t="n">
        <f aca="false">D4789*Assumptions!$E$31</f>
        <v>1.766040715264</v>
      </c>
      <c r="E4793" s="48" t="n">
        <f aca="false">E4789*Assumptions!$E$31</f>
        <v>1.766040715264</v>
      </c>
      <c r="F4793" s="48" t="n">
        <f aca="false">F4789*Assumptions!$E$31</f>
        <v>1.766040715264</v>
      </c>
      <c r="G4793" s="48" t="n">
        <f aca="false">G4789*Assumptions!$E$31</f>
        <v>2.389599202816</v>
      </c>
      <c r="H4793" s="48" t="n">
        <f aca="false">H4789*Assumptions!$E$31</f>
        <v>3.013157690368</v>
      </c>
      <c r="I4793" s="48" t="n">
        <f aca="false">I4789*Assumptions!$E$31</f>
        <v>5.068176633856</v>
      </c>
      <c r="J4793" s="48" t="n">
        <f aca="false">J4789*Assumptions!$E$31</f>
        <v>7.123195577344</v>
      </c>
      <c r="K4793" s="48" t="n">
        <f aca="false">K4789*Assumptions!$E$31</f>
        <v>7.123195577344</v>
      </c>
      <c r="L4793" s="48" t="n">
        <f aca="false">L4789*Assumptions!$E$31</f>
        <v>7.123195577344</v>
      </c>
      <c r="M4793" s="48" t="n">
        <f aca="false">M4789*Assumptions!$E$31</f>
        <v>7.123195577344</v>
      </c>
      <c r="N4793" s="48" t="n">
        <f aca="false">N4789*Assumptions!$E$31</f>
        <v>7.123195577344</v>
      </c>
      <c r="P4793" s="49" t="n">
        <f aca="false">SUM(C4793:F4793)</f>
        <v>6.181142503424</v>
      </c>
      <c r="Q4793" s="49" t="n">
        <f aca="false">SUM(G4793:J4793)</f>
        <v>17.594129104384</v>
      </c>
      <c r="R4793" s="49" t="n">
        <f aca="false">SUM(K4793:N4793)</f>
        <v>28.492782309376</v>
      </c>
      <c r="S4793" s="50" t="n">
        <f aca="false">SUM(P4793:R4793)</f>
        <v>52.268053917184</v>
      </c>
    </row>
    <row r="4794" customFormat="false" ht="15" hidden="false" customHeight="false" outlineLevel="0" collapsed="false">
      <c r="A4794" s="4" t="s">
        <v>506</v>
      </c>
      <c r="B4794" s="36" t="s">
        <v>504</v>
      </c>
      <c r="C4794" s="48" t="n">
        <f aca="false">C4791*Assumptions!$E$30</f>
        <v>3</v>
      </c>
      <c r="D4794" s="48" t="n">
        <f aca="false">D4791*Assumptions!$E$30</f>
        <v>4.5</v>
      </c>
      <c r="E4794" s="48" t="n">
        <f aca="false">E4791*Assumptions!$E$30</f>
        <v>6</v>
      </c>
      <c r="F4794" s="48" t="n">
        <f aca="false">F4791*Assumptions!$E$30</f>
        <v>7.5</v>
      </c>
      <c r="G4794" s="48" t="n">
        <f aca="false">G4791*Assumptions!$E$30</f>
        <v>9</v>
      </c>
      <c r="H4794" s="48" t="n">
        <f aca="false">H4791*Assumptions!$E$30</f>
        <v>10.5</v>
      </c>
      <c r="I4794" s="48" t="n">
        <f aca="false">I4791*Assumptions!$E$30</f>
        <v>12</v>
      </c>
      <c r="J4794" s="48" t="n">
        <f aca="false">J4791*Assumptions!$E$30</f>
        <v>13.5</v>
      </c>
      <c r="K4794" s="48" t="n">
        <f aca="false">K4791*Assumptions!$E$30</f>
        <v>15</v>
      </c>
      <c r="L4794" s="48" t="n">
        <f aca="false">L4791*Assumptions!$E$30</f>
        <v>15</v>
      </c>
      <c r="M4794" s="48" t="n">
        <f aca="false">M4791*Assumptions!$E$30</f>
        <v>15</v>
      </c>
      <c r="N4794" s="48" t="n">
        <f aca="false">N4791*Assumptions!$E$30</f>
        <v>15</v>
      </c>
      <c r="P4794" s="49" t="n">
        <f aca="false">SUM(C4794:F4794)</f>
        <v>21</v>
      </c>
      <c r="Q4794" s="49" t="n">
        <f aca="false">SUM(G4794:J4794)</f>
        <v>45</v>
      </c>
      <c r="R4794" s="49" t="n">
        <f aca="false">SUM(K4794:N4794)</f>
        <v>60</v>
      </c>
      <c r="S4794" s="50" t="n">
        <f aca="false">SUM(P4794:R4794)</f>
        <v>126</v>
      </c>
    </row>
    <row r="4795" customFormat="false" ht="15" hidden="false" customHeight="false" outlineLevel="0" collapsed="false">
      <c r="A4795" s="9" t="s">
        <v>507</v>
      </c>
      <c r="B4795" s="36" t="s">
        <v>504</v>
      </c>
      <c r="C4795" s="49" t="n">
        <f aca="false">C4792+C4793+C4794</f>
        <v>6.532081430528</v>
      </c>
      <c r="D4795" s="49" t="n">
        <f aca="false">D4792+D4793+D4794</f>
        <v>11.1964989282545</v>
      </c>
      <c r="E4795" s="49" t="n">
        <f aca="false">E4792+E4793+E4794</f>
        <v>12.3543490858728</v>
      </c>
      <c r="F4795" s="49" t="n">
        <f aca="false">F4792+F4793+F4794</f>
        <v>13.5359427800114</v>
      </c>
      <c r="G4795" s="49" t="n">
        <f aca="false">G4792+G4793+G4794</f>
        <v>17.233866274816</v>
      </c>
      <c r="H4795" s="49" t="n">
        <f aca="false">H4792+H4793+H4794</f>
        <v>20.6927207008123</v>
      </c>
      <c r="I4795" s="49" t="n">
        <f aca="false">I4792+I4793+I4794</f>
        <v>29.9145696880692</v>
      </c>
      <c r="J4795" s="49" t="n">
        <f aca="false">J4792+J4793+J4794</f>
        <v>38.3153432186007</v>
      </c>
      <c r="K4795" s="49" t="n">
        <f aca="false">K4792+K4793+K4794</f>
        <v>38.5875941402492</v>
      </c>
      <c r="L4795" s="49" t="n">
        <f aca="false">L4792+L4793+L4794</f>
        <v>37.4450448821772</v>
      </c>
      <c r="M4795" s="49" t="n">
        <f aca="false">M4792+M4793+M4794</f>
        <v>36.3817829908519</v>
      </c>
      <c r="N4795" s="49" t="n">
        <f aca="false">N4792+N4793+N4794</f>
        <v>35.3923063082865</v>
      </c>
      <c r="P4795" s="49" t="n">
        <f aca="false">SUM(C4795:F4795)</f>
        <v>43.6188722246667</v>
      </c>
      <c r="Q4795" s="49" t="n">
        <f aca="false">SUM(G4795:J4795)</f>
        <v>106.156499882298</v>
      </c>
      <c r="R4795" s="49" t="n">
        <f aca="false">SUM(K4795:N4795)</f>
        <v>147.806728321565</v>
      </c>
      <c r="S4795" s="50" t="n">
        <f aca="false">SUM(P4795:R4795)</f>
        <v>297.58210042853</v>
      </c>
    </row>
    <row r="4796" customFormat="false" ht="15" hidden="false" customHeight="false" outlineLevel="0" collapsed="false">
      <c r="A4796" s="4" t="s">
        <v>508</v>
      </c>
      <c r="B4796" s="36" t="s">
        <v>509</v>
      </c>
      <c r="C4796" s="48" t="n">
        <f aca="false">C4778</f>
        <v>421.51972352</v>
      </c>
      <c r="D4796" s="48" t="n">
        <f aca="false">D4778</f>
        <v>843.03944704</v>
      </c>
      <c r="E4796" s="48" t="n">
        <f aca="false">E4778</f>
        <v>843.03944704</v>
      </c>
      <c r="F4796" s="48" t="n">
        <f aca="false">F4778</f>
        <v>843.03944704</v>
      </c>
      <c r="G4796" s="48" t="n">
        <f aca="false">G4778</f>
        <v>1149.32798176</v>
      </c>
      <c r="H4796" s="48" t="n">
        <f aca="false">H4778</f>
        <v>1455.61651648</v>
      </c>
      <c r="I4796" s="48" t="n">
        <f aca="false">I4778</f>
        <v>2486.00303616</v>
      </c>
      <c r="J4796" s="48" t="n">
        <f aca="false">J4778</f>
        <v>3516.38955584</v>
      </c>
      <c r="K4796" s="48" t="n">
        <f aca="false">K4778</f>
        <v>3516.38955584</v>
      </c>
      <c r="L4796" s="48" t="n">
        <f aca="false">L4778</f>
        <v>3516.38955584</v>
      </c>
      <c r="M4796" s="48" t="n">
        <f aca="false">M4778</f>
        <v>3516.38955584</v>
      </c>
      <c r="N4796" s="48" t="n">
        <f aca="false">N4778</f>
        <v>3516.38955584</v>
      </c>
      <c r="P4796" s="49"/>
      <c r="Q4796" s="49"/>
      <c r="R4796" s="49"/>
      <c r="S4796" s="50"/>
    </row>
    <row r="4797" customFormat="false" ht="15" hidden="false" customHeight="false" outlineLevel="0" collapsed="false">
      <c r="A4797" s="4" t="s">
        <v>510</v>
      </c>
      <c r="B4797" s="36" t="s">
        <v>509</v>
      </c>
      <c r="C4797" s="48" t="n">
        <f aca="false">C4779*Assumptions!$E$18*Assumptions!$E$33</f>
        <v>211.19616</v>
      </c>
      <c r="D4797" s="48" t="n">
        <f aca="false">D4779*Assumptions!$E$18*Assumptions!$E$33</f>
        <v>422.39232</v>
      </c>
      <c r="E4797" s="48" t="n">
        <f aca="false">E4779*Assumptions!$E$18*Assumptions!$E$33</f>
        <v>422.39232</v>
      </c>
      <c r="F4797" s="48" t="n">
        <f aca="false">F4779*Assumptions!$E$18*Assumptions!$E$33</f>
        <v>422.39232</v>
      </c>
      <c r="G4797" s="48" t="n">
        <f aca="false">G4779*Assumptions!$E$18*Assumptions!$E$33</f>
        <v>564.49344</v>
      </c>
      <c r="H4797" s="48" t="n">
        <f aca="false">H4779*Assumptions!$E$18*Assumptions!$E$33</f>
        <v>706.59456</v>
      </c>
      <c r="I4797" s="48" t="n">
        <f aca="false">I4779*Assumptions!$E$18*Assumptions!$E$33</f>
        <v>1135.07072</v>
      </c>
      <c r="J4797" s="48" t="n">
        <f aca="false">J4779*Assumptions!$E$18*Assumptions!$E$33</f>
        <v>1563.54688</v>
      </c>
      <c r="K4797" s="48" t="n">
        <f aca="false">K4779*Assumptions!$E$18*Assumptions!$E$33</f>
        <v>1563.54688</v>
      </c>
      <c r="L4797" s="48" t="n">
        <f aca="false">L4779*Assumptions!$E$18*Assumptions!$E$33</f>
        <v>1563.54688</v>
      </c>
      <c r="M4797" s="48" t="n">
        <f aca="false">M4779*Assumptions!$E$18*Assumptions!$E$33</f>
        <v>1563.54688</v>
      </c>
      <c r="N4797" s="48" t="n">
        <f aca="false">N4779*Assumptions!$E$18*Assumptions!$E$33</f>
        <v>1563.54688</v>
      </c>
      <c r="P4797" s="49"/>
      <c r="Q4797" s="49"/>
      <c r="R4797" s="49"/>
      <c r="S4797" s="50"/>
    </row>
    <row r="4798" customFormat="false" ht="15" hidden="false" customHeight="false" outlineLevel="0" collapsed="false">
      <c r="A4798" s="4" t="s">
        <v>511</v>
      </c>
      <c r="B4798" s="36" t="s">
        <v>509</v>
      </c>
      <c r="C4798" s="48" t="n">
        <f aca="false">C4780*Assumptions!$E$19*Assumptions!$E$34</f>
        <v>34.677888</v>
      </c>
      <c r="D4798" s="48" t="n">
        <f aca="false">D4780*Assumptions!$E$19*Assumptions!$E$34</f>
        <v>69.355776</v>
      </c>
      <c r="E4798" s="48" t="n">
        <f aca="false">E4780*Assumptions!$E$19*Assumptions!$E$34</f>
        <v>69.355776</v>
      </c>
      <c r="F4798" s="48" t="n">
        <f aca="false">F4780*Assumptions!$E$19*Assumptions!$E$34</f>
        <v>69.355776</v>
      </c>
      <c r="G4798" s="48" t="n">
        <f aca="false">G4780*Assumptions!$E$19*Assumptions!$E$34</f>
        <v>86.69472</v>
      </c>
      <c r="H4798" s="48" t="n">
        <f aca="false">H4780*Assumptions!$E$19*Assumptions!$E$34</f>
        <v>104.033664</v>
      </c>
      <c r="I4798" s="48" t="n">
        <f aca="false">I4780*Assumptions!$E$19*Assumptions!$E$34</f>
        <v>159.7008</v>
      </c>
      <c r="J4798" s="48" t="n">
        <f aca="false">J4780*Assumptions!$E$19*Assumptions!$E$34</f>
        <v>215.367936</v>
      </c>
      <c r="K4798" s="48" t="n">
        <f aca="false">K4780*Assumptions!$E$19*Assumptions!$E$34</f>
        <v>215.367936</v>
      </c>
      <c r="L4798" s="48" t="n">
        <f aca="false">L4780*Assumptions!$E$19*Assumptions!$E$34</f>
        <v>215.367936</v>
      </c>
      <c r="M4798" s="48" t="n">
        <f aca="false">M4780*Assumptions!$E$19*Assumptions!$E$34</f>
        <v>215.367936</v>
      </c>
      <c r="N4798" s="48" t="n">
        <f aca="false">N4780*Assumptions!$E$19*Assumptions!$E$34</f>
        <v>215.367936</v>
      </c>
      <c r="P4798" s="49"/>
      <c r="Q4798" s="49"/>
      <c r="R4798" s="49"/>
      <c r="S4798" s="50"/>
    </row>
    <row r="4799" customFormat="false" ht="15" hidden="false" customHeight="false" outlineLevel="0" collapsed="false">
      <c r="A4799" s="4" t="s">
        <v>512</v>
      </c>
      <c r="B4799" s="36" t="s">
        <v>77</v>
      </c>
      <c r="C4799" s="51" t="n">
        <f aca="false">IFERROR(C4796/(C4796+C4797+C4798),0)</f>
        <v>0.631590736245533</v>
      </c>
      <c r="D4799" s="51" t="n">
        <f aca="false">IFERROR(D4796/(D4796+D4797+D4798),0)</f>
        <v>0.631590736245533</v>
      </c>
      <c r="E4799" s="51" t="n">
        <f aca="false">IFERROR(E4796/(E4796+E4797+E4798),0)</f>
        <v>0.631590736245533</v>
      </c>
      <c r="F4799" s="51" t="n">
        <f aca="false">IFERROR(F4796/(F4796+F4797+F4798),0)</f>
        <v>0.631590736245533</v>
      </c>
      <c r="G4799" s="51" t="n">
        <f aca="false">IFERROR(G4796/(G4796+G4797+G4798),0)</f>
        <v>0.638332506498128</v>
      </c>
      <c r="H4799" s="51" t="n">
        <f aca="false">IFERROR(H4796/(H4796+H4797+H4798),0)</f>
        <v>0.642303318118984</v>
      </c>
      <c r="I4799" s="51" t="n">
        <f aca="false">IFERROR(I4796/(I4796+I4797+I4798),0)</f>
        <v>0.657538025405288</v>
      </c>
      <c r="J4799" s="51" t="n">
        <f aca="false">IFERROR(J4796/(J4796+J4797+J4798),0)</f>
        <v>0.664058061428891</v>
      </c>
      <c r="K4799" s="51" t="n">
        <f aca="false">IFERROR(K4796/(K4796+K4797+K4798),0)</f>
        <v>0.664058061428891</v>
      </c>
      <c r="L4799" s="51" t="n">
        <f aca="false">IFERROR(L4796/(L4796+L4797+L4798),0)</f>
        <v>0.664058061428891</v>
      </c>
      <c r="M4799" s="51" t="n">
        <f aca="false">IFERROR(M4796/(M4796+M4797+M4798),0)</f>
        <v>0.664058061428891</v>
      </c>
      <c r="N4799" s="51" t="n">
        <f aca="false">IFERROR(N4796/(N4796+N4797+N4798),0)</f>
        <v>0.664058061428891</v>
      </c>
      <c r="P4799" s="52"/>
      <c r="Q4799" s="52"/>
      <c r="R4799" s="52"/>
      <c r="S4799" s="53"/>
    </row>
    <row r="4800" customFormat="false" ht="15" hidden="false" customHeight="false" outlineLevel="0" collapsed="false">
      <c r="A4800" s="4" t="s">
        <v>513</v>
      </c>
      <c r="B4800" s="36" t="s">
        <v>77</v>
      </c>
      <c r="C4800" s="51" t="n">
        <f aca="false">IFERROR(C4797/(C4796+C4797+C4798),0)</f>
        <v>0.316449102482628</v>
      </c>
      <c r="D4800" s="51" t="n">
        <f aca="false">IFERROR(D4797/(D4796+D4797+D4798),0)</f>
        <v>0.316449102482628</v>
      </c>
      <c r="E4800" s="51" t="n">
        <f aca="false">IFERROR(E4797/(E4796+E4797+E4798),0)</f>
        <v>0.316449102482628</v>
      </c>
      <c r="F4800" s="51" t="n">
        <f aca="false">IFERROR(F4797/(F4796+F4797+F4798),0)</f>
        <v>0.316449102482628</v>
      </c>
      <c r="G4800" s="51" t="n">
        <f aca="false">IFERROR(G4797/(G4796+G4797+G4798),0)</f>
        <v>0.313517566939561</v>
      </c>
      <c r="H4800" s="51" t="n">
        <f aca="false">IFERROR(H4797/(H4796+H4797+H4798),0)</f>
        <v>0.311790932099567</v>
      </c>
      <c r="I4800" s="51" t="n">
        <f aca="false">IFERROR(I4797/(I4796+I4797+I4798),0)</f>
        <v>0.300221741111391</v>
      </c>
      <c r="J4800" s="51" t="n">
        <f aca="false">IFERROR(J4797/(J4796+J4797+J4798),0)</f>
        <v>0.295270445324128</v>
      </c>
      <c r="K4800" s="51" t="n">
        <f aca="false">IFERROR(K4797/(K4796+K4797+K4798),0)</f>
        <v>0.295270445324128</v>
      </c>
      <c r="L4800" s="51" t="n">
        <f aca="false">IFERROR(L4797/(L4796+L4797+L4798),0)</f>
        <v>0.295270445324128</v>
      </c>
      <c r="M4800" s="51" t="n">
        <f aca="false">IFERROR(M4797/(M4796+M4797+M4798),0)</f>
        <v>0.295270445324128</v>
      </c>
      <c r="N4800" s="51" t="n">
        <f aca="false">IFERROR(N4797/(N4796+N4797+N4798),0)</f>
        <v>0.295270445324128</v>
      </c>
      <c r="P4800" s="52"/>
      <c r="Q4800" s="52"/>
      <c r="R4800" s="52"/>
      <c r="S4800" s="53"/>
    </row>
    <row r="4801" customFormat="false" ht="15" hidden="false" customHeight="false" outlineLevel="0" collapsed="false">
      <c r="A4801" s="4" t="s">
        <v>514</v>
      </c>
      <c r="B4801" s="36" t="s">
        <v>77</v>
      </c>
      <c r="C4801" s="51" t="n">
        <f aca="false">IFERROR(C4798/(C4796+C4797+C4798),0)</f>
        <v>0.0519601612718389</v>
      </c>
      <c r="D4801" s="51" t="n">
        <f aca="false">IFERROR(D4798/(D4796+D4797+D4798),0)</f>
        <v>0.0519601612718389</v>
      </c>
      <c r="E4801" s="51" t="n">
        <f aca="false">IFERROR(E4798/(E4796+E4797+E4798),0)</f>
        <v>0.0519601612718389</v>
      </c>
      <c r="F4801" s="51" t="n">
        <f aca="false">IFERROR(F4798/(F4796+F4797+F4798),0)</f>
        <v>0.0519601612718389</v>
      </c>
      <c r="G4801" s="51" t="n">
        <f aca="false">IFERROR(G4798/(G4796+G4797+G4798),0)</f>
        <v>0.0481499265623113</v>
      </c>
      <c r="H4801" s="51" t="n">
        <f aca="false">IFERROR(H4798/(H4796+H4797+H4798),0)</f>
        <v>0.0459057497814491</v>
      </c>
      <c r="I4801" s="51" t="n">
        <f aca="false">IFERROR(I4798/(I4796+I4797+I4798),0)</f>
        <v>0.0422402334833216</v>
      </c>
      <c r="J4801" s="51" t="n">
        <f aca="false">IFERROR(J4798/(J4796+J4797+J4798),0)</f>
        <v>0.0406714932469811</v>
      </c>
      <c r="K4801" s="51" t="n">
        <f aca="false">IFERROR(K4798/(K4796+K4797+K4798),0)</f>
        <v>0.0406714932469811</v>
      </c>
      <c r="L4801" s="51" t="n">
        <f aca="false">IFERROR(L4798/(L4796+L4797+L4798),0)</f>
        <v>0.0406714932469811</v>
      </c>
      <c r="M4801" s="51" t="n">
        <f aca="false">IFERROR(M4798/(M4796+M4797+M4798),0)</f>
        <v>0.0406714932469811</v>
      </c>
      <c r="N4801" s="51" t="n">
        <f aca="false">IFERROR(N4798/(N4796+N4797+N4798),0)</f>
        <v>0.0406714932469811</v>
      </c>
      <c r="P4801" s="52"/>
      <c r="Q4801" s="52"/>
      <c r="R4801" s="52"/>
      <c r="S4801" s="53"/>
    </row>
    <row r="4802" customFormat="false" ht="15" hidden="false" customHeight="false" outlineLevel="0" collapsed="false">
      <c r="A4802" s="4" t="s">
        <v>515</v>
      </c>
      <c r="B4802" s="36" t="s">
        <v>516</v>
      </c>
      <c r="C4802" s="48" t="n">
        <f aca="false">IF(C4770-Assumptions!$E$35&lt;1,0,INDEX($C$4795:$N$4795,1,C4770-Assumptions!$E$35)*INDEX($C$4799:$N$4799,1,C4770-Assumptions!$E$35)*Assumptions!$D$32)</f>
        <v>0</v>
      </c>
      <c r="D4802" s="48" t="n">
        <f aca="false">IF(D4770-Assumptions!$E$35&lt;1,0,INDEX($C$4795:$N$4795,1,D4770-Assumptions!$E$35)*INDEX($C$4799:$N$4799,1,D4770-Assumptions!$E$35)*Assumptions!$D$32)</f>
        <v>0.618840317988444</v>
      </c>
      <c r="E4802" s="48" t="n">
        <f aca="false">IF(E4770-Assumptions!$E$35&lt;1,0,INDEX($C$4795:$N$4795,1,E4770-Assumptions!$E$35)*INDEX($C$4799:$N$4799,1,E4770-Assumptions!$E$35)*Assumptions!$D$32)</f>
        <v>1.06074075022029</v>
      </c>
      <c r="F4802" s="48" t="n">
        <f aca="false">IF(F4770-Assumptions!$E$35&lt;1,0,INDEX($C$4795:$N$4795,1,F4770-Assumptions!$E$35)*INDEX($C$4799:$N$4799,1,F4770-Assumptions!$E$35)*Assumptions!$D$32)</f>
        <v>1.17043386524711</v>
      </c>
      <c r="G4802" s="48" t="n">
        <f aca="false">IF(G4770-Assumptions!$E$35&lt;1,0,INDEX($C$4795:$N$4795,1,G4770-Assumptions!$E$35)*INDEX($C$4799:$N$4799,1,G4770-Assumptions!$E$35)*Assumptions!$D$32)</f>
        <v>1.28237640993072</v>
      </c>
      <c r="H4802" s="48" t="n">
        <f aca="false">IF(H4770-Assumptions!$E$35&lt;1,0,INDEX($C$4795:$N$4795,1,H4770-Assumptions!$E$35)*INDEX($C$4799:$N$4799,1,H4770-Assumptions!$E$35)*Assumptions!$D$32)</f>
        <v>1.65014055837853</v>
      </c>
      <c r="I4802" s="48" t="n">
        <f aca="false">IF(I4770-Assumptions!$E$35&lt;1,0,INDEX($C$4795:$N$4795,1,I4770-Assumptions!$E$35)*INDEX($C$4799:$N$4799,1,I4770-Assumptions!$E$35)*Assumptions!$D$32)</f>
        <v>1.99365047505617</v>
      </c>
      <c r="J4802" s="48" t="n">
        <f aca="false">IF(J4770-Assumptions!$E$35&lt;1,0,INDEX($C$4795:$N$4795,1,J4770-Assumptions!$E$35)*INDEX($C$4799:$N$4799,1,J4770-Assumptions!$E$35)*Assumptions!$D$32)</f>
        <v>2.95049506253129</v>
      </c>
      <c r="K4802" s="48" t="n">
        <f aca="false">IF(K4770-Assumptions!$E$35&lt;1,0,INDEX($C$4795:$N$4795,1,K4770-Assumptions!$E$35)*INDEX($C$4799:$N$4799,1,K4770-Assumptions!$E$35)*Assumptions!$D$32)</f>
        <v>3.81654188110898</v>
      </c>
      <c r="L4802" s="48" t="n">
        <f aca="false">IF(L4770-Assumptions!$E$35&lt;1,0,INDEX($C$4795:$N$4795,1,L4770-Assumptions!$E$35)*INDEX($C$4799:$N$4799,1,L4770-Assumptions!$E$35)*Assumptions!$D$32)</f>
        <v>3.84366044399681</v>
      </c>
      <c r="M4802" s="48" t="n">
        <f aca="false">IF(M4770-Assumptions!$E$35&lt;1,0,INDEX($C$4795:$N$4795,1,M4770-Assumptions!$E$35)*INDEX($C$4799:$N$4799,1,M4770-Assumptions!$E$35)*Assumptions!$D$32)</f>
        <v>3.72985258718646</v>
      </c>
      <c r="N4802" s="48" t="n">
        <f aca="false">IF(N4770-Assumptions!$E$35&lt;1,0,INDEX($C$4795:$N$4795,1,N4770-Assumptions!$E$35)*INDEX($C$4799:$N$4799,1,N4770-Assumptions!$E$35)*Assumptions!$D$32)</f>
        <v>3.62394244263476</v>
      </c>
      <c r="P4802" s="49" t="n">
        <f aca="false">SUM(C4802:F4802)</f>
        <v>2.85001493345584</v>
      </c>
      <c r="Q4802" s="49" t="n">
        <f aca="false">SUM(G4802:J4802)</f>
        <v>7.87666250589671</v>
      </c>
      <c r="R4802" s="49" t="n">
        <f aca="false">SUM(K4802:N4802)</f>
        <v>15.013997354927</v>
      </c>
      <c r="S4802" s="50" t="n">
        <f aca="false">SUM(P4802:R4802)</f>
        <v>25.7406747942796</v>
      </c>
    </row>
    <row r="4803" customFormat="false" ht="15" hidden="false" customHeight="false" outlineLevel="0" collapsed="false">
      <c r="A4803" s="4" t="s">
        <v>517</v>
      </c>
      <c r="B4803" s="36" t="s">
        <v>516</v>
      </c>
      <c r="C4803" s="48" t="n">
        <f aca="false">IF(C4770-Assumptions!$E$35&lt;1,0,INDEX($C$4795:$N$4795,1,C4770-Assumptions!$E$35)*INDEX($C$4800:$N$4800,1,C4770-Assumptions!$E$35)*Assumptions!$D$32)</f>
        <v>0</v>
      </c>
      <c r="D4803" s="48" t="n">
        <f aca="false">IF(D4770-Assumptions!$E$35&lt;1,0,INDEX($C$4795:$N$4795,1,D4770-Assumptions!$E$35)*INDEX($C$4800:$N$4800,1,D4770-Assumptions!$E$35)*Assumptions!$D$32)</f>
        <v>0.310060695905104</v>
      </c>
      <c r="E4803" s="48" t="n">
        <f aca="false">IF(E4770-Assumptions!$E$35&lt;1,0,INDEX($C$4795:$N$4795,1,E4770-Assumptions!$E$35)*INDEX($C$4800:$N$4800,1,E4770-Assumptions!$E$35)*Assumptions!$D$32)</f>
        <v>0.531468305519075</v>
      </c>
      <c r="F4803" s="48" t="n">
        <f aca="false">IF(F4770-Assumptions!$E$35&lt;1,0,INDEX($C$4795:$N$4795,1,F4770-Assumptions!$E$35)*INDEX($C$4800:$N$4800,1,F4770-Assumptions!$E$35)*Assumptions!$D$32)</f>
        <v>0.586428401997228</v>
      </c>
      <c r="G4803" s="48" t="n">
        <f aca="false">IF(G4770-Assumptions!$E$35&lt;1,0,INDEX($C$4795:$N$4795,1,G4770-Assumptions!$E$35)*INDEX($C$4800:$N$4800,1,G4770-Assumptions!$E$35)*Assumptions!$D$32)</f>
        <v>0.642515541598621</v>
      </c>
      <c r="H4803" s="48" t="n">
        <f aca="false">IF(H4770-Assumptions!$E$35&lt;1,0,INDEX($C$4795:$N$4795,1,H4770-Assumptions!$E$35)*INDEX($C$4800:$N$4800,1,H4770-Assumptions!$E$35)*Assumptions!$D$32)</f>
        <v>0.810467973516309</v>
      </c>
      <c r="I4803" s="48" t="n">
        <f aca="false">IF(I4770-Assumptions!$E$35&lt;1,0,INDEX($C$4795:$N$4795,1,I4770-Assumptions!$E$35)*INDEX($C$4800:$N$4800,1,I4770-Assumptions!$E$35)*Assumptions!$D$32)</f>
        <v>0.967770401247342</v>
      </c>
      <c r="J4803" s="48" t="n">
        <f aca="false">IF(J4770-Assumptions!$E$35&lt;1,0,INDEX($C$4795:$N$4795,1,J4770-Assumptions!$E$35)*INDEX($C$4800:$N$4800,1,J4770-Assumptions!$E$35)*Assumptions!$D$32)</f>
        <v>1.34715062945252</v>
      </c>
      <c r="K4803" s="48" t="n">
        <f aca="false">IF(K4770-Assumptions!$E$35&lt;1,0,INDEX($C$4795:$N$4795,1,K4770-Assumptions!$E$35)*INDEX($C$4800:$N$4800,1,K4770-Assumptions!$E$35)*Assumptions!$D$32)</f>
        <v>1.69700826823545</v>
      </c>
      <c r="L4803" s="48" t="n">
        <f aca="false">IF(L4770-Assumptions!$E$35&lt;1,0,INDEX($C$4795:$N$4795,1,L4770-Assumptions!$E$35)*INDEX($C$4800:$N$4800,1,L4770-Assumptions!$E$35)*Assumptions!$D$32)</f>
        <v>1.70906641586672</v>
      </c>
      <c r="M4803" s="48" t="n">
        <f aca="false">IF(M4770-Assumptions!$E$35&lt;1,0,INDEX($C$4795:$N$4795,1,M4770-Assumptions!$E$35)*INDEX($C$4800:$N$4800,1,M4770-Assumptions!$E$35)*Assumptions!$D$32)</f>
        <v>1.65846226163137</v>
      </c>
      <c r="N4803" s="48" t="n">
        <f aca="false">IF(N4770-Assumptions!$E$35&lt;1,0,INDEX($C$4795:$N$4795,1,N4770-Assumptions!$E$35)*INDEX($C$4800:$N$4800,1,N4770-Assumptions!$E$35)*Assumptions!$D$32)</f>
        <v>1.6113697898092</v>
      </c>
      <c r="P4803" s="49" t="n">
        <f aca="false">SUM(C4803:F4803)</f>
        <v>1.42795740342141</v>
      </c>
      <c r="Q4803" s="49" t="n">
        <f aca="false">SUM(G4803:J4803)</f>
        <v>3.7679045458148</v>
      </c>
      <c r="R4803" s="49" t="n">
        <f aca="false">SUM(K4803:N4803)</f>
        <v>6.67590673554273</v>
      </c>
      <c r="S4803" s="50" t="n">
        <f aca="false">SUM(P4803:R4803)</f>
        <v>11.8717686847789</v>
      </c>
    </row>
    <row r="4804" customFormat="false" ht="15" hidden="false" customHeight="false" outlineLevel="0" collapsed="false">
      <c r="A4804" s="4" t="s">
        <v>518</v>
      </c>
      <c r="B4804" s="36" t="s">
        <v>516</v>
      </c>
      <c r="C4804" s="48" t="n">
        <f aca="false">IF(C4770-Assumptions!$E$36&lt;1,0,INDEX($C$4795:$N$4795,1,C4770-Assumptions!$E$36)*INDEX($C$4801:$N$4801,1,C4770-Assumptions!$E$36)*Assumptions!$D$32)</f>
        <v>0</v>
      </c>
      <c r="D4804" s="48" t="n">
        <f aca="false">IF(D4770-Assumptions!$E$36&lt;1,0,INDEX($C$4795:$N$4795,1,D4770-Assumptions!$E$36)*INDEX($C$4801:$N$4801,1,D4770-Assumptions!$E$36)*Assumptions!$D$32)</f>
        <v>0</v>
      </c>
      <c r="E4804" s="48" t="n">
        <f aca="false">IF(E4770-Assumptions!$E$36&lt;1,0,INDEX($C$4795:$N$4795,1,E4770-Assumptions!$E$36)*INDEX($C$4801:$N$4801,1,E4770-Assumptions!$E$36)*Assumptions!$D$32)</f>
        <v>0.0509112006856529</v>
      </c>
      <c r="F4804" s="48" t="n">
        <f aca="false">IF(F4770-Assumptions!$E$36&lt;1,0,INDEX($C$4795:$N$4795,1,F4770-Assumptions!$E$36)*INDEX($C$4801:$N$4801,1,F4770-Assumptions!$E$36)*Assumptions!$D$32)</f>
        <v>0.0872657834988111</v>
      </c>
      <c r="G4804" s="48" t="n">
        <f aca="false">IF(G4770-Assumptions!$E$36&lt;1,0,INDEX($C$4795:$N$4795,1,G4770-Assumptions!$E$36)*INDEX($C$4801:$N$4801,1,G4770-Assumptions!$E$36)*Assumptions!$D$32)</f>
        <v>0.0962900956365819</v>
      </c>
      <c r="H4804" s="48" t="n">
        <f aca="false">IF(H4770-Assumptions!$E$36&lt;1,0,INDEX($C$4795:$N$4795,1,H4770-Assumptions!$E$36)*INDEX($C$4801:$N$4801,1,H4770-Assumptions!$E$36)*Assumptions!$D$32)</f>
        <v>0.105499465472366</v>
      </c>
      <c r="I4804" s="48" t="n">
        <f aca="false">IF(I4770-Assumptions!$E$36&lt;1,0,INDEX($C$4795:$N$4795,1,I4770-Assumptions!$E$36)*INDEX($C$4801:$N$4801,1,I4770-Assumptions!$E$36)*Assumptions!$D$32)</f>
        <v>0.124471409327562</v>
      </c>
      <c r="J4804" s="48" t="n">
        <f aca="false">IF(J4770-Assumptions!$E$36&lt;1,0,INDEX($C$4795:$N$4795,1,J4770-Assumptions!$E$36)*INDEX($C$4801:$N$4801,1,J4770-Assumptions!$E$36)*Assumptions!$D$32)</f>
        <v>0.142487228818336</v>
      </c>
      <c r="K4804" s="48" t="n">
        <f aca="false">IF(K4770-Assumptions!$E$36&lt;1,0,INDEX($C$4795:$N$4795,1,K4770-Assumptions!$E$36)*INDEX($C$4801:$N$4801,1,K4770-Assumptions!$E$36)*Assumptions!$D$32)</f>
        <v>0.189539761226571</v>
      </c>
      <c r="L4804" s="48" t="n">
        <f aca="false">IF(L4770-Assumptions!$E$36&lt;1,0,INDEX($C$4795:$N$4795,1,L4770-Assumptions!$E$36)*INDEX($C$4801:$N$4801,1,L4770-Assumptions!$E$36)*Assumptions!$D$32)</f>
        <v>0.233751333445662</v>
      </c>
      <c r="M4804" s="48" t="n">
        <f aca="false">IF(M4770-Assumptions!$E$36&lt;1,0,INDEX($C$4795:$N$4795,1,M4770-Assumptions!$E$36)*INDEX($C$4801:$N$4801,1,M4770-Assumptions!$E$36)*Assumptions!$D$32)</f>
        <v>0.235412261173859</v>
      </c>
      <c r="N4804" s="48" t="n">
        <f aca="false">IF(N4770-Assumptions!$E$36&lt;1,0,INDEX($C$4795:$N$4795,1,N4770-Assumptions!$E$36)*INDEX($C$4801:$N$4801,1,N4770-Assumptions!$E$36)*Assumptions!$D$32)</f>
        <v>0.228441883508756</v>
      </c>
      <c r="P4804" s="49" t="n">
        <f aca="false">SUM(C4804:F4804)</f>
        <v>0.138176984184464</v>
      </c>
      <c r="Q4804" s="49" t="n">
        <f aca="false">SUM(G4804:J4804)</f>
        <v>0.468748199254846</v>
      </c>
      <c r="R4804" s="49" t="n">
        <f aca="false">SUM(K4804:N4804)</f>
        <v>0.887145239354848</v>
      </c>
      <c r="S4804" s="50" t="n">
        <f aca="false">SUM(P4804:R4804)</f>
        <v>1.49407042279416</v>
      </c>
    </row>
    <row r="4805" customFormat="false" ht="15" hidden="false" customHeight="false" outlineLevel="0" collapsed="false">
      <c r="A4805" s="4" t="s">
        <v>519</v>
      </c>
      <c r="B4805" s="36" t="s">
        <v>77</v>
      </c>
      <c r="C4805" s="51" t="n">
        <f aca="false">IF(C4770-Assumptions!$E$35&lt;1,0,IFERROR(INDEX($C$4794:$N$4794,1,C4770-Assumptions!$E$35)/INDEX($C$4795:$N$4795,1,C4770-Assumptions!$E$35),0))</f>
        <v>0</v>
      </c>
      <c r="D4805" s="51" t="n">
        <f aca="false">IF(D4770-Assumptions!$E$35&lt;1,0,IFERROR(INDEX($C$4794:$N$4794,1,D4770-Assumptions!$E$35)/INDEX($C$4795:$N$4795,1,D4770-Assumptions!$E$35),0))</f>
        <v>0.459271678087073</v>
      </c>
      <c r="E4805" s="51" t="n">
        <f aca="false">IF(E4770-Assumptions!$E$35&lt;1,0,IFERROR(INDEX($C$4794:$N$4794,1,E4770-Assumptions!$E$35)/INDEX($C$4795:$N$4795,1,E4770-Assumptions!$E$35),0))</f>
        <v>0.401911350042128</v>
      </c>
      <c r="F4805" s="51" t="n">
        <f aca="false">IF(F4770-Assumptions!$E$35&lt;1,0,IFERROR(INDEX($C$4794:$N$4794,1,F4770-Assumptions!$E$35)/INDEX($C$4795:$N$4795,1,F4770-Assumptions!$E$35),0))</f>
        <v>0.485658933408398</v>
      </c>
      <c r="G4805" s="51" t="n">
        <f aca="false">IF(G4770-Assumptions!$E$35&lt;1,0,IFERROR(INDEX($C$4794:$N$4794,1,G4770-Assumptions!$E$35)/INDEX($C$4795:$N$4795,1,G4770-Assumptions!$E$35),0))</f>
        <v>0.554080356417826</v>
      </c>
      <c r="H4805" s="51" t="n">
        <f aca="false">IF(H4770-Assumptions!$E$35&lt;1,0,IFERROR(INDEX($C$4794:$N$4794,1,H4770-Assumptions!$E$35)/INDEX($C$4795:$N$4795,1,H4770-Assumptions!$E$35),0))</f>
        <v>0.522227563825987</v>
      </c>
      <c r="I4805" s="51" t="n">
        <f aca="false">IF(I4770-Assumptions!$E$35&lt;1,0,IFERROR(INDEX($C$4794:$N$4794,1,I4770-Assumptions!$E$35)/INDEX($C$4795:$N$4795,1,I4770-Assumptions!$E$35),0))</f>
        <v>0.507424816282752</v>
      </c>
      <c r="J4805" s="51" t="n">
        <f aca="false">IF(J4770-Assumptions!$E$35&lt;1,0,IFERROR(INDEX($C$4794:$N$4794,1,J4770-Assumptions!$E$35)/INDEX($C$4795:$N$4795,1,J4770-Assumptions!$E$35),0))</f>
        <v>0.401142323795015</v>
      </c>
      <c r="K4805" s="51" t="n">
        <f aca="false">IF(K4770-Assumptions!$E$35&lt;1,0,IFERROR(INDEX($C$4794:$N$4794,1,K4770-Assumptions!$E$35)/INDEX($C$4795:$N$4795,1,K4770-Assumptions!$E$35),0))</f>
        <v>0.352339268448632</v>
      </c>
      <c r="L4805" s="51" t="n">
        <f aca="false">IF(L4770-Assumptions!$E$35&lt;1,0,IFERROR(INDEX($C$4794:$N$4794,1,L4770-Assumptions!$E$35)/INDEX($C$4795:$N$4795,1,L4770-Assumptions!$E$35),0))</f>
        <v>0.388725970981282</v>
      </c>
      <c r="M4805" s="51" t="n">
        <f aca="false">IF(M4770-Assumptions!$E$35&lt;1,0,IFERROR(INDEX($C$4794:$N$4794,1,M4770-Assumptions!$E$35)/INDEX($C$4795:$N$4795,1,M4770-Assumptions!$E$35),0))</f>
        <v>0.400587048224893</v>
      </c>
      <c r="N4805" s="51" t="n">
        <f aca="false">IF(N4770-Assumptions!$E$35&lt;1,0,IFERROR(INDEX($C$4794:$N$4794,1,N4770-Assumptions!$E$35)/INDEX($C$4795:$N$4795,1,N4770-Assumptions!$E$35),0))</f>
        <v>0.412294251872474</v>
      </c>
      <c r="P4805" s="52"/>
      <c r="Q4805" s="52"/>
      <c r="R4805" s="52"/>
      <c r="S4805" s="53"/>
    </row>
    <row r="4806" customFormat="false" ht="15" hidden="false" customHeight="false" outlineLevel="0" collapsed="false">
      <c r="A4806" s="4" t="s">
        <v>520</v>
      </c>
      <c r="B4806" s="36" t="s">
        <v>516</v>
      </c>
      <c r="C4806" s="48" t="n">
        <f aca="false">C4802*Assumptions!$E$37</f>
        <v>0</v>
      </c>
      <c r="D4806" s="48" t="n">
        <f aca="false">D4802*Assumptions!$E$37</f>
        <v>0.185652095396533</v>
      </c>
      <c r="E4806" s="48" t="n">
        <f aca="false">E4802*Assumptions!$E$37</f>
        <v>0.318222225066086</v>
      </c>
      <c r="F4806" s="48" t="n">
        <f aca="false">F4802*Assumptions!$E$37</f>
        <v>0.351130159574133</v>
      </c>
      <c r="G4806" s="48" t="n">
        <f aca="false">G4802*Assumptions!$E$37</f>
        <v>0.384712922979216</v>
      </c>
      <c r="H4806" s="48" t="n">
        <f aca="false">H4802*Assumptions!$E$37</f>
        <v>0.495042167513559</v>
      </c>
      <c r="I4806" s="48" t="n">
        <f aca="false">I4802*Assumptions!$E$37</f>
        <v>0.598095142516852</v>
      </c>
      <c r="J4806" s="48" t="n">
        <f aca="false">J4802*Assumptions!$E$37</f>
        <v>0.885148518759386</v>
      </c>
      <c r="K4806" s="48" t="n">
        <f aca="false">K4802*Assumptions!$E$37</f>
        <v>1.14496256433269</v>
      </c>
      <c r="L4806" s="48" t="n">
        <f aca="false">L4802*Assumptions!$E$37</f>
        <v>1.15309813319904</v>
      </c>
      <c r="M4806" s="48" t="n">
        <f aca="false">M4802*Assumptions!$E$37</f>
        <v>1.11895577615594</v>
      </c>
      <c r="N4806" s="48" t="n">
        <f aca="false">N4802*Assumptions!$E$37</f>
        <v>1.08718273279043</v>
      </c>
      <c r="P4806" s="49" t="n">
        <f aca="false">SUM(C4806:F4806)</f>
        <v>0.855004480036751</v>
      </c>
      <c r="Q4806" s="49" t="n">
        <f aca="false">SUM(G4806:J4806)</f>
        <v>2.36299875176901</v>
      </c>
      <c r="R4806" s="49" t="n">
        <f aca="false">SUM(K4806:N4806)</f>
        <v>4.5041992064781</v>
      </c>
      <c r="S4806" s="50" t="n">
        <f aca="false">SUM(P4806:R4806)</f>
        <v>7.72220243828386</v>
      </c>
    </row>
    <row r="4807" customFormat="false" ht="15" hidden="false" customHeight="false" outlineLevel="0" collapsed="false">
      <c r="A4807" s="4" t="s">
        <v>521</v>
      </c>
      <c r="B4807" s="36" t="s">
        <v>516</v>
      </c>
      <c r="C4807" s="48" t="n">
        <f aca="false">C4802*(1-Assumptions!$E$37)</f>
        <v>0</v>
      </c>
      <c r="D4807" s="48" t="n">
        <f aca="false">D4802*(1-Assumptions!$E$37)</f>
        <v>0.43318822259191</v>
      </c>
      <c r="E4807" s="48" t="n">
        <f aca="false">E4802*(1-Assumptions!$E$37)</f>
        <v>0.7425185251542</v>
      </c>
      <c r="F4807" s="48" t="n">
        <f aca="false">F4802*(1-Assumptions!$E$37)</f>
        <v>0.819303705672977</v>
      </c>
      <c r="G4807" s="48" t="n">
        <f aca="false">G4802*(1-Assumptions!$E$37)</f>
        <v>0.897663486951504</v>
      </c>
      <c r="H4807" s="48" t="n">
        <f aca="false">H4802*(1-Assumptions!$E$37)</f>
        <v>1.15509839086497</v>
      </c>
      <c r="I4807" s="48" t="n">
        <f aca="false">I4802*(1-Assumptions!$E$37)</f>
        <v>1.39555533253932</v>
      </c>
      <c r="J4807" s="48" t="n">
        <f aca="false">J4802*(1-Assumptions!$E$37)</f>
        <v>2.0653465437719</v>
      </c>
      <c r="K4807" s="48" t="n">
        <f aca="false">K4802*(1-Assumptions!$E$37)</f>
        <v>2.67157931677629</v>
      </c>
      <c r="L4807" s="48" t="n">
        <f aca="false">L4802*(1-Assumptions!$E$37)</f>
        <v>2.69056231079776</v>
      </c>
      <c r="M4807" s="48" t="n">
        <f aca="false">M4802*(1-Assumptions!$E$37)</f>
        <v>2.61089681103052</v>
      </c>
      <c r="N4807" s="48" t="n">
        <f aca="false">N4802*(1-Assumptions!$E$37)</f>
        <v>2.53675970984433</v>
      </c>
      <c r="P4807" s="49" t="n">
        <f aca="false">SUM(C4807:F4807)</f>
        <v>1.99501045341909</v>
      </c>
      <c r="Q4807" s="49" t="n">
        <f aca="false">SUM(G4807:J4807)</f>
        <v>5.5136637541277</v>
      </c>
      <c r="R4807" s="49" t="n">
        <f aca="false">SUM(K4807:N4807)</f>
        <v>10.5097981484489</v>
      </c>
      <c r="S4807" s="50" t="n">
        <f aca="false">SUM(P4807:R4807)</f>
        <v>18.0184723559957</v>
      </c>
    </row>
    <row r="4808" customFormat="false" ht="15" hidden="false" customHeight="false" outlineLevel="0" collapsed="false">
      <c r="A4808" s="4" t="s">
        <v>522</v>
      </c>
      <c r="B4808" s="36" t="s">
        <v>125</v>
      </c>
      <c r="C4808" s="54" t="n">
        <f aca="false">C4807*$C$4761+C4803*$C$4762+C4804*$C$4763</f>
        <v>0</v>
      </c>
      <c r="D4808" s="54" t="n">
        <f aca="false">D4807*$C$4761+D4803*$C$4762+D4804*$C$4763</f>
        <v>5346.69940714316</v>
      </c>
      <c r="E4808" s="54" t="n">
        <f aca="false">E4807*$C$4761+E4803*$C$4762+E4804*$C$4763</f>
        <v>12309.8665443297</v>
      </c>
      <c r="F4808" s="54" t="n">
        <f aca="false">F4807*$C$4761+F4803*$C$4762+F4804*$C$4763</f>
        <v>15503.5234427996</v>
      </c>
      <c r="G4808" s="54" t="n">
        <f aca="false">G4807*$C$4761+G4803*$C$4762+G4804*$C$4763</f>
        <v>17028.1986549627</v>
      </c>
      <c r="H4808" s="54" t="n">
        <f aca="false">H4807*$C$4761+H4803*$C$4762+H4804*$C$4763</f>
        <v>20615.2734675256</v>
      </c>
      <c r="I4808" s="54" t="n">
        <f aca="false">I4807*$C$4761+I4803*$C$4762+I4804*$C$4763</f>
        <v>24610.5814150561</v>
      </c>
      <c r="J4808" s="54" t="n">
        <f aca="false">J4807*$C$4761+J4803*$C$4762+J4804*$C$4763</f>
        <v>33013.5904013391</v>
      </c>
      <c r="K4808" s="54" t="n">
        <f aca="false">K4807*$C$4761+K4803*$C$4762+K4804*$C$4763</f>
        <v>42581.9332482469</v>
      </c>
      <c r="L4808" s="54" t="n">
        <f aca="false">L4807*$C$4761+L4803*$C$4762+L4804*$C$4763</f>
        <v>45532.6126218508</v>
      </c>
      <c r="M4808" s="54" t="n">
        <f aca="false">M4807*$C$4761+M4803*$C$4762+M4804*$C$4763</f>
        <v>44714.6154740821</v>
      </c>
      <c r="N4808" s="54" t="n">
        <f aca="false">N4807*$C$4761+N4803*$C$4762+N4804*$C$4763</f>
        <v>43427.2769387344</v>
      </c>
      <c r="P4808" s="55" t="n">
        <f aca="false">SUM(C4808:F4808)</f>
        <v>33160.0893942725</v>
      </c>
      <c r="Q4808" s="55" t="n">
        <f aca="false">SUM(G4808:J4808)</f>
        <v>95267.6439388836</v>
      </c>
      <c r="R4808" s="55" t="n">
        <f aca="false">SUM(K4808:N4808)</f>
        <v>176256.438282914</v>
      </c>
      <c r="S4808" s="56" t="n">
        <f aca="false">SUM(P4808:R4808)</f>
        <v>304684.17161607</v>
      </c>
    </row>
    <row r="4809" customFormat="false" ht="15" hidden="false" customHeight="false" outlineLevel="0" collapsed="false">
      <c r="A4809" s="4" t="s">
        <v>523</v>
      </c>
      <c r="B4809" s="36" t="s">
        <v>125</v>
      </c>
      <c r="C4809" s="54" t="n">
        <f aca="false">(C4785+Assumptions!$D$104*C4771)*$C$4766</f>
        <v>306250</v>
      </c>
      <c r="D4809" s="54" t="n">
        <f aca="false">(D4785+Assumptions!$D$104*D4771)*$C$4766</f>
        <v>306250</v>
      </c>
      <c r="E4809" s="54" t="n">
        <f aca="false">(E4785+Assumptions!$D$104*E4771)*$C$4766</f>
        <v>306250</v>
      </c>
      <c r="F4809" s="54" t="n">
        <f aca="false">(F4785+Assumptions!$D$104*F4771)*$C$4766</f>
        <v>306250</v>
      </c>
      <c r="G4809" s="54" t="n">
        <f aca="false">(G4785+Assumptions!$D$104*G4771)*$C$4766</f>
        <v>306250</v>
      </c>
      <c r="H4809" s="54" t="n">
        <f aca="false">(H4785+Assumptions!$D$104*H4771)*$C$4766</f>
        <v>306250</v>
      </c>
      <c r="I4809" s="54" t="n">
        <f aca="false">(I4785+Assumptions!$D$104*I4771)*$C$4766</f>
        <v>306250</v>
      </c>
      <c r="J4809" s="54" t="n">
        <f aca="false">(J4785+Assumptions!$D$104*J4771)*$C$4766</f>
        <v>306250</v>
      </c>
      <c r="K4809" s="54" t="n">
        <f aca="false">(K4785+Assumptions!$D$104*K4771)*$C$4766</f>
        <v>306250</v>
      </c>
      <c r="L4809" s="54" t="n">
        <f aca="false">(L4785+Assumptions!$D$104*L4771)*$C$4766</f>
        <v>306250</v>
      </c>
      <c r="M4809" s="54" t="n">
        <f aca="false">(M4785+Assumptions!$D$104*M4771)*$C$4766</f>
        <v>306250</v>
      </c>
      <c r="N4809" s="54" t="n">
        <f aca="false">(N4785+Assumptions!$D$104*N4771)*$C$4766</f>
        <v>306250</v>
      </c>
      <c r="P4809" s="55" t="n">
        <f aca="false">SUM(C4809:F4809)</f>
        <v>1225000</v>
      </c>
      <c r="Q4809" s="55" t="n">
        <f aca="false">SUM(G4809:J4809)</f>
        <v>1225000</v>
      </c>
      <c r="R4809" s="55" t="n">
        <f aca="false">SUM(K4809:N4809)</f>
        <v>1225000</v>
      </c>
      <c r="S4809" s="56" t="n">
        <f aca="false">SUM(P4809:R4809)</f>
        <v>3675000</v>
      </c>
    </row>
    <row r="4810" customFormat="false" ht="15" hidden="false" customHeight="false" outlineLevel="0" collapsed="false">
      <c r="A4810" s="4" t="s">
        <v>524</v>
      </c>
      <c r="B4810" s="36" t="s">
        <v>77</v>
      </c>
      <c r="C4810" s="51" t="n">
        <f aca="false">IF(C4808&gt;0,MIN(1,C4809/C4808),1)</f>
        <v>1</v>
      </c>
      <c r="D4810" s="51" t="n">
        <f aca="false">IF(D4808&gt;0,MIN(1,D4809/D4808),1)</f>
        <v>1</v>
      </c>
      <c r="E4810" s="51" t="n">
        <f aca="false">IF(E4808&gt;0,MIN(1,E4809/E4808),1)</f>
        <v>1</v>
      </c>
      <c r="F4810" s="51" t="n">
        <f aca="false">IF(F4808&gt;0,MIN(1,F4809/F4808),1)</f>
        <v>1</v>
      </c>
      <c r="G4810" s="51" t="n">
        <f aca="false">IF(G4808&gt;0,MIN(1,G4809/G4808),1)</f>
        <v>1</v>
      </c>
      <c r="H4810" s="51" t="n">
        <f aca="false">IF(H4808&gt;0,MIN(1,H4809/H4808),1)</f>
        <v>1</v>
      </c>
      <c r="I4810" s="51" t="n">
        <f aca="false">IF(I4808&gt;0,MIN(1,I4809/I4808),1)</f>
        <v>1</v>
      </c>
      <c r="J4810" s="51" t="n">
        <f aca="false">IF(J4808&gt;0,MIN(1,J4809/J4808),1)</f>
        <v>1</v>
      </c>
      <c r="K4810" s="51" t="n">
        <f aca="false">IF(K4808&gt;0,MIN(1,K4809/K4808),1)</f>
        <v>1</v>
      </c>
      <c r="L4810" s="51" t="n">
        <f aca="false">IF(L4808&gt;0,MIN(1,L4809/L4808),1)</f>
        <v>1</v>
      </c>
      <c r="M4810" s="51" t="n">
        <f aca="false">IF(M4808&gt;0,MIN(1,M4809/M4808),1)</f>
        <v>1</v>
      </c>
      <c r="N4810" s="51" t="n">
        <f aca="false">IF(N4808&gt;0,MIN(1,N4809/N4808),1)</f>
        <v>1</v>
      </c>
      <c r="P4810" s="52"/>
      <c r="Q4810" s="52"/>
      <c r="R4810" s="52"/>
      <c r="S4810" s="53"/>
    </row>
    <row r="4811" customFormat="false" ht="15" hidden="false" customHeight="false" outlineLevel="0" collapsed="false">
      <c r="A4811" s="4" t="s">
        <v>525</v>
      </c>
      <c r="B4811" s="36" t="s">
        <v>125</v>
      </c>
      <c r="C4811" s="54" t="n">
        <f aca="false">C4808*(1-C4810)</f>
        <v>0</v>
      </c>
      <c r="D4811" s="54" t="n">
        <f aca="false">D4808*(1-D4810)</f>
        <v>0</v>
      </c>
      <c r="E4811" s="54" t="n">
        <f aca="false">E4808*(1-E4810)</f>
        <v>0</v>
      </c>
      <c r="F4811" s="54" t="n">
        <f aca="false">F4808*(1-F4810)</f>
        <v>0</v>
      </c>
      <c r="G4811" s="54" t="n">
        <f aca="false">G4808*(1-G4810)</f>
        <v>0</v>
      </c>
      <c r="H4811" s="54" t="n">
        <f aca="false">H4808*(1-H4810)</f>
        <v>0</v>
      </c>
      <c r="I4811" s="54" t="n">
        <f aca="false">I4808*(1-I4810)</f>
        <v>0</v>
      </c>
      <c r="J4811" s="54" t="n">
        <f aca="false">J4808*(1-J4810)</f>
        <v>0</v>
      </c>
      <c r="K4811" s="54" t="n">
        <f aca="false">K4808*(1-K4810)</f>
        <v>0</v>
      </c>
      <c r="L4811" s="54" t="n">
        <f aca="false">L4808*(1-L4810)</f>
        <v>0</v>
      </c>
      <c r="M4811" s="54" t="n">
        <f aca="false">M4808*(1-M4810)</f>
        <v>0</v>
      </c>
      <c r="N4811" s="54" t="n">
        <f aca="false">N4808*(1-N4810)</f>
        <v>0</v>
      </c>
      <c r="P4811" s="55" t="n">
        <f aca="false">SUM(C4811:F4811)</f>
        <v>0</v>
      </c>
      <c r="Q4811" s="55" t="n">
        <f aca="false">SUM(G4811:J4811)</f>
        <v>0</v>
      </c>
      <c r="R4811" s="55" t="n">
        <f aca="false">SUM(K4811:N4811)</f>
        <v>0</v>
      </c>
      <c r="S4811" s="56" t="n">
        <f aca="false">SUM(P4811:R4811)</f>
        <v>0</v>
      </c>
    </row>
    <row r="4812" customFormat="false" ht="15" hidden="false" customHeight="false" outlineLevel="0" collapsed="false">
      <c r="A4812" s="4" t="s">
        <v>526</v>
      </c>
      <c r="B4812" s="36" t="s">
        <v>527</v>
      </c>
      <c r="C4812" s="48" t="n">
        <f aca="false">C4806+C4807*C4810</f>
        <v>0</v>
      </c>
      <c r="D4812" s="48" t="n">
        <f aca="false">D4806+D4807*D4810</f>
        <v>0.618840317988443</v>
      </c>
      <c r="E4812" s="48" t="n">
        <f aca="false">E4806+E4807*E4810</f>
        <v>1.06074075022029</v>
      </c>
      <c r="F4812" s="48" t="n">
        <f aca="false">F4806+F4807*F4810</f>
        <v>1.17043386524711</v>
      </c>
      <c r="G4812" s="48" t="n">
        <f aca="false">G4806+G4807*G4810</f>
        <v>1.28237640993072</v>
      </c>
      <c r="H4812" s="48" t="n">
        <f aca="false">H4806+H4807*H4810</f>
        <v>1.65014055837853</v>
      </c>
      <c r="I4812" s="48" t="n">
        <f aca="false">I4806+I4807*I4810</f>
        <v>1.99365047505617</v>
      </c>
      <c r="J4812" s="48" t="n">
        <f aca="false">J4806+J4807*J4810</f>
        <v>2.95049506253129</v>
      </c>
      <c r="K4812" s="48" t="n">
        <f aca="false">K4806+K4807*K4810</f>
        <v>3.81654188110898</v>
      </c>
      <c r="L4812" s="48" t="n">
        <f aca="false">L4806+L4807*L4810</f>
        <v>3.84366044399681</v>
      </c>
      <c r="M4812" s="48" t="n">
        <f aca="false">M4806+M4807*M4810</f>
        <v>3.72985258718646</v>
      </c>
      <c r="N4812" s="48" t="n">
        <f aca="false">N4806+N4807*N4810</f>
        <v>3.62394244263475</v>
      </c>
      <c r="P4812" s="49" t="n">
        <f aca="false">SUM(C4812:F4812)</f>
        <v>2.85001493345584</v>
      </c>
      <c r="Q4812" s="49" t="n">
        <f aca="false">SUM(G4812:J4812)</f>
        <v>7.87666250589671</v>
      </c>
      <c r="R4812" s="49" t="n">
        <f aca="false">SUM(K4812:N4812)</f>
        <v>15.013997354927</v>
      </c>
      <c r="S4812" s="50" t="n">
        <f aca="false">SUM(P4812:R4812)</f>
        <v>25.7406747942796</v>
      </c>
    </row>
    <row r="4813" customFormat="false" ht="15" hidden="false" customHeight="false" outlineLevel="0" collapsed="false">
      <c r="A4813" s="4" t="s">
        <v>528</v>
      </c>
      <c r="B4813" s="36" t="s">
        <v>527</v>
      </c>
      <c r="C4813" s="48" t="n">
        <f aca="false">C4803*C4810</f>
        <v>0</v>
      </c>
      <c r="D4813" s="48" t="n">
        <f aca="false">D4803*D4810</f>
        <v>0.310060695905104</v>
      </c>
      <c r="E4813" s="48" t="n">
        <f aca="false">E4803*E4810</f>
        <v>0.531468305519075</v>
      </c>
      <c r="F4813" s="48" t="n">
        <f aca="false">F4803*F4810</f>
        <v>0.586428401997228</v>
      </c>
      <c r="G4813" s="48" t="n">
        <f aca="false">G4803*G4810</f>
        <v>0.642515541598621</v>
      </c>
      <c r="H4813" s="48" t="n">
        <f aca="false">H4803*H4810</f>
        <v>0.810467973516309</v>
      </c>
      <c r="I4813" s="48" t="n">
        <f aca="false">I4803*I4810</f>
        <v>0.967770401247342</v>
      </c>
      <c r="J4813" s="48" t="n">
        <f aca="false">J4803*J4810</f>
        <v>1.34715062945252</v>
      </c>
      <c r="K4813" s="48" t="n">
        <f aca="false">K4803*K4810</f>
        <v>1.69700826823545</v>
      </c>
      <c r="L4813" s="48" t="n">
        <f aca="false">L4803*L4810</f>
        <v>1.70906641586672</v>
      </c>
      <c r="M4813" s="48" t="n">
        <f aca="false">M4803*M4810</f>
        <v>1.65846226163137</v>
      </c>
      <c r="N4813" s="48" t="n">
        <f aca="false">N4803*N4810</f>
        <v>1.6113697898092</v>
      </c>
      <c r="P4813" s="49" t="n">
        <f aca="false">SUM(C4813:F4813)</f>
        <v>1.42795740342141</v>
      </c>
      <c r="Q4813" s="49" t="n">
        <f aca="false">SUM(G4813:J4813)</f>
        <v>3.7679045458148</v>
      </c>
      <c r="R4813" s="49" t="n">
        <f aca="false">SUM(K4813:N4813)</f>
        <v>6.67590673554273</v>
      </c>
      <c r="S4813" s="50" t="n">
        <f aca="false">SUM(P4813:R4813)</f>
        <v>11.8717686847789</v>
      </c>
    </row>
    <row r="4814" customFormat="false" ht="15" hidden="false" customHeight="false" outlineLevel="0" collapsed="false">
      <c r="A4814" s="4" t="s">
        <v>529</v>
      </c>
      <c r="B4814" s="36" t="s">
        <v>527</v>
      </c>
      <c r="C4814" s="48" t="n">
        <f aca="false">C4804*C4810</f>
        <v>0</v>
      </c>
      <c r="D4814" s="48" t="n">
        <f aca="false">D4804*D4810</f>
        <v>0</v>
      </c>
      <c r="E4814" s="48" t="n">
        <f aca="false">E4804*E4810</f>
        <v>0.0509112006856529</v>
      </c>
      <c r="F4814" s="48" t="n">
        <f aca="false">F4804*F4810</f>
        <v>0.0872657834988111</v>
      </c>
      <c r="G4814" s="48" t="n">
        <f aca="false">G4804*G4810</f>
        <v>0.0962900956365819</v>
      </c>
      <c r="H4814" s="48" t="n">
        <f aca="false">H4804*H4810</f>
        <v>0.105499465472366</v>
      </c>
      <c r="I4814" s="48" t="n">
        <f aca="false">I4804*I4810</f>
        <v>0.124471409327562</v>
      </c>
      <c r="J4814" s="48" t="n">
        <f aca="false">J4804*J4810</f>
        <v>0.142487228818336</v>
      </c>
      <c r="K4814" s="48" t="n">
        <f aca="false">K4804*K4810</f>
        <v>0.189539761226571</v>
      </c>
      <c r="L4814" s="48" t="n">
        <f aca="false">L4804*L4810</f>
        <v>0.233751333445662</v>
      </c>
      <c r="M4814" s="48" t="n">
        <f aca="false">M4804*M4810</f>
        <v>0.235412261173859</v>
      </c>
      <c r="N4814" s="48" t="n">
        <f aca="false">N4804*N4810</f>
        <v>0.228441883508756</v>
      </c>
      <c r="P4814" s="49" t="n">
        <f aca="false">SUM(C4814:F4814)</f>
        <v>0.138176984184464</v>
      </c>
      <c r="Q4814" s="49" t="n">
        <f aca="false">SUM(G4814:J4814)</f>
        <v>0.468748199254846</v>
      </c>
      <c r="R4814" s="49" t="n">
        <f aca="false">SUM(K4814:N4814)</f>
        <v>0.887145239354848</v>
      </c>
      <c r="S4814" s="50" t="n">
        <f aca="false">SUM(P4814:R4814)</f>
        <v>1.49407042279416</v>
      </c>
    </row>
    <row r="4815" customFormat="false" ht="15" hidden="false" customHeight="false" outlineLevel="0" collapsed="false">
      <c r="A4815" s="9" t="s">
        <v>530</v>
      </c>
      <c r="B4815" s="36" t="s">
        <v>527</v>
      </c>
      <c r="C4815" s="49" t="n">
        <f aca="false">C4812+C4813+C4814</f>
        <v>0</v>
      </c>
      <c r="D4815" s="49" t="n">
        <f aca="false">D4812+D4813+D4814</f>
        <v>0.928901013893547</v>
      </c>
      <c r="E4815" s="49" t="n">
        <f aca="false">E4812+E4813+E4814</f>
        <v>1.64312025642501</v>
      </c>
      <c r="F4815" s="49" t="n">
        <f aca="false">F4812+F4813+F4814</f>
        <v>1.84412805074315</v>
      </c>
      <c r="G4815" s="49" t="n">
        <f aca="false">G4812+G4813+G4814</f>
        <v>2.02118204716592</v>
      </c>
      <c r="H4815" s="49" t="n">
        <f aca="false">H4812+H4813+H4814</f>
        <v>2.5661079973672</v>
      </c>
      <c r="I4815" s="49" t="n">
        <f aca="false">I4812+I4813+I4814</f>
        <v>3.08589228563108</v>
      </c>
      <c r="J4815" s="49" t="n">
        <f aca="false">J4812+J4813+J4814</f>
        <v>4.44013292080215</v>
      </c>
      <c r="K4815" s="49" t="n">
        <f aca="false">K4812+K4813+K4814</f>
        <v>5.70308991057101</v>
      </c>
      <c r="L4815" s="49" t="n">
        <f aca="false">L4812+L4813+L4814</f>
        <v>5.78647819330918</v>
      </c>
      <c r="M4815" s="49" t="n">
        <f aca="false">M4812+M4813+M4814</f>
        <v>5.62372710999168</v>
      </c>
      <c r="N4815" s="49" t="n">
        <f aca="false">N4812+N4813+N4814</f>
        <v>5.46375411595271</v>
      </c>
      <c r="P4815" s="49" t="n">
        <f aca="false">SUM(C4815:F4815)</f>
        <v>4.41614932106171</v>
      </c>
      <c r="Q4815" s="49" t="n">
        <f aca="false">SUM(G4815:J4815)</f>
        <v>12.1133152509664</v>
      </c>
      <c r="R4815" s="49" t="n">
        <f aca="false">SUM(K4815:N4815)</f>
        <v>22.5770493298246</v>
      </c>
      <c r="S4815" s="50" t="n">
        <f aca="false">SUM(P4815:R4815)</f>
        <v>39.1065139018526</v>
      </c>
    </row>
    <row r="4816" customFormat="false" ht="15" hidden="false" customHeight="false" outlineLevel="0" collapsed="false">
      <c r="A4816" s="35" t="s">
        <v>533</v>
      </c>
      <c r="B4816" s="35" t="s">
        <v>444</v>
      </c>
      <c r="C4816" s="6" t="s">
        <v>354</v>
      </c>
      <c r="D4816" s="6" t="s">
        <v>355</v>
      </c>
      <c r="E4816" s="6" t="s">
        <v>356</v>
      </c>
      <c r="F4816" s="6" t="s">
        <v>357</v>
      </c>
      <c r="G4816" s="6" t="s">
        <v>358</v>
      </c>
      <c r="H4816" s="6" t="s">
        <v>359</v>
      </c>
      <c r="I4816" s="6" t="s">
        <v>360</v>
      </c>
      <c r="J4816" s="6" t="s">
        <v>361</v>
      </c>
      <c r="K4816" s="6" t="s">
        <v>362</v>
      </c>
      <c r="L4816" s="6" t="s">
        <v>363</v>
      </c>
      <c r="M4816" s="6" t="s">
        <v>364</v>
      </c>
      <c r="N4816" s="6" t="s">
        <v>365</v>
      </c>
      <c r="P4816" s="6" t="s">
        <v>445</v>
      </c>
      <c r="Q4816" s="6" t="s">
        <v>446</v>
      </c>
      <c r="R4816" s="6" t="s">
        <v>447</v>
      </c>
      <c r="S4816" s="6" t="s">
        <v>448</v>
      </c>
    </row>
    <row r="4817" customFormat="false" ht="15" hidden="false" customHeight="false" outlineLevel="0" collapsed="false">
      <c r="A4817" s="4" t="s">
        <v>534</v>
      </c>
      <c r="B4817" s="36" t="s">
        <v>527</v>
      </c>
      <c r="C4817" s="48" t="n">
        <f aca="false">0*Assumptions!$E$59^(1/4)+C4812</f>
        <v>0</v>
      </c>
      <c r="D4817" s="48" t="n">
        <f aca="false">C4817*Assumptions!$E$59^(1/4)+D4812</f>
        <v>0.618840317988443</v>
      </c>
      <c r="E4817" s="48" t="n">
        <f aca="false">D4817*Assumptions!$E$59^(1/4)+E4812</f>
        <v>1.66011663920288</v>
      </c>
      <c r="F4817" s="48" t="n">
        <f aca="false">E4817*Assumptions!$E$59^(1/4)+F4812</f>
        <v>2.77833473646281</v>
      </c>
      <c r="G4817" s="48" t="n">
        <f aca="false">F4817*Assumptions!$E$59^(1/4)+G4812</f>
        <v>3.97332398421226</v>
      </c>
      <c r="H4817" s="48" t="n">
        <f aca="false">G4817*Assumptions!$E$59^(1/4)+H4812</f>
        <v>5.49849129770052</v>
      </c>
      <c r="I4817" s="48" t="n">
        <f aca="false">H4817*Assumptions!$E$59^(1/4)+I4812</f>
        <v>7.31919733072152</v>
      </c>
      <c r="J4817" s="48" t="n">
        <f aca="false">I4817*Assumptions!$E$59^(1/4)+J4812</f>
        <v>10.039481153483</v>
      </c>
      <c r="K4817" s="48" t="n">
        <f aca="false">J4817*Assumptions!$E$59^(1/4)+K4812</f>
        <v>13.5402505122025</v>
      </c>
      <c r="L4817" s="48" t="n">
        <f aca="false">K4817*Assumptions!$E$59^(1/4)+L4812</f>
        <v>16.9580284835238</v>
      </c>
      <c r="M4817" s="48" t="n">
        <f aca="false">L4817*Assumptions!$E$59^(1/4)+M4812</f>
        <v>20.1544989818224</v>
      </c>
      <c r="N4817" s="48" t="n">
        <f aca="false">M4817*Assumptions!$E$59^(1/4)+N4812</f>
        <v>23.144520519214</v>
      </c>
      <c r="P4817" s="49" t="n">
        <f aca="false">F4817</f>
        <v>2.77833473646281</v>
      </c>
      <c r="Q4817" s="49" t="n">
        <f aca="false">J4817</f>
        <v>10.039481153483</v>
      </c>
      <c r="R4817" s="49" t="n">
        <f aca="false">N4817</f>
        <v>23.144520519214</v>
      </c>
      <c r="S4817" s="50" t="n">
        <f aca="false">R4817</f>
        <v>23.144520519214</v>
      </c>
    </row>
    <row r="4818" customFormat="false" ht="15" hidden="false" customHeight="false" outlineLevel="0" collapsed="false">
      <c r="A4818" s="4" t="s">
        <v>535</v>
      </c>
      <c r="B4818" s="36" t="s">
        <v>527</v>
      </c>
      <c r="C4818" s="48" t="n">
        <f aca="false">0*Assumptions!$E$60^(1/4)+C4813</f>
        <v>0</v>
      </c>
      <c r="D4818" s="48" t="n">
        <f aca="false">C4818*Assumptions!$E$60^(1/4)+D4813</f>
        <v>0.310060695905104</v>
      </c>
      <c r="E4818" s="48" t="n">
        <f aca="false">D4818*Assumptions!$E$60^(1/4)+E4813</f>
        <v>0.833468584949881</v>
      </c>
      <c r="F4818" s="48" t="n">
        <f aca="false">E4818*Assumptions!$E$60^(1/4)+F4813</f>
        <v>1.3982299262662</v>
      </c>
      <c r="G4818" s="48" t="n">
        <f aca="false">F4818*Assumptions!$E$60^(1/4)+G4813</f>
        <v>2.00439672814587</v>
      </c>
      <c r="H4818" s="48" t="n">
        <f aca="false">G4818*Assumptions!$E$60^(1/4)+H4813</f>
        <v>2.76275789605299</v>
      </c>
      <c r="I4818" s="48" t="n">
        <f aca="false">H4818*Assumptions!$E$60^(1/4)+I4813</f>
        <v>3.65870694246903</v>
      </c>
      <c r="J4818" s="48" t="n">
        <f aca="false">I4818*Assumptions!$E$60^(1/4)+J4813</f>
        <v>4.9107448984896</v>
      </c>
      <c r="K4818" s="48" t="n">
        <f aca="false">J4818*Assumptions!$E$60^(1/4)+K4813</f>
        <v>6.48009219710324</v>
      </c>
      <c r="L4818" s="48" t="n">
        <f aca="false">K4818*Assumptions!$E$60^(1/4)+L4813</f>
        <v>8.0207004930266</v>
      </c>
      <c r="M4818" s="48" t="n">
        <f aca="false">L4818*Assumptions!$E$60^(1/4)+M4813</f>
        <v>9.4706545907945</v>
      </c>
      <c r="N4818" s="48" t="n">
        <f aca="false">M4818*Assumptions!$E$60^(1/4)+N4813</f>
        <v>10.835822842343</v>
      </c>
      <c r="P4818" s="49" t="n">
        <f aca="false">F4818</f>
        <v>1.3982299262662</v>
      </c>
      <c r="Q4818" s="49" t="n">
        <f aca="false">J4818</f>
        <v>4.9107448984896</v>
      </c>
      <c r="R4818" s="49" t="n">
        <f aca="false">N4818</f>
        <v>10.835822842343</v>
      </c>
      <c r="S4818" s="50" t="n">
        <f aca="false">R4818</f>
        <v>10.835822842343</v>
      </c>
    </row>
    <row r="4819" customFormat="false" ht="15" hidden="false" customHeight="false" outlineLevel="0" collapsed="false">
      <c r="A4819" s="4" t="s">
        <v>536</v>
      </c>
      <c r="B4819" s="36" t="s">
        <v>527</v>
      </c>
      <c r="C4819" s="48" t="n">
        <f aca="false">0*Assumptions!$E$61^(1/4)+C4814</f>
        <v>0</v>
      </c>
      <c r="D4819" s="48" t="n">
        <f aca="false">C4819*Assumptions!$E$61^(1/4)+D4814</f>
        <v>0</v>
      </c>
      <c r="E4819" s="48" t="n">
        <f aca="false">D4819*Assumptions!$E$61^(1/4)+E4814</f>
        <v>0.0509112006856529</v>
      </c>
      <c r="F4819" s="48" t="n">
        <f aca="false">E4819*Assumptions!$E$61^(1/4)+F4814</f>
        <v>0.137126704510346</v>
      </c>
      <c r="G4819" s="48" t="n">
        <f aca="false">F4819*Assumptions!$E$61^(1/4)+G4814</f>
        <v>0.230587925781634</v>
      </c>
      <c r="H4819" s="48" t="n">
        <f aca="false">G4819*Assumptions!$E$61^(1/4)+H4814</f>
        <v>0.331330445664742</v>
      </c>
      <c r="I4819" s="48" t="n">
        <f aca="false">H4819*Assumptions!$E$61^(1/4)+I4814</f>
        <v>0.448966627619713</v>
      </c>
      <c r="J4819" s="48" t="n">
        <f aca="false">I4819*Assumptions!$E$61^(1/4)+J4814</f>
        <v>0.582191837137861</v>
      </c>
      <c r="K4819" s="48" t="n">
        <f aca="false">J4819*Assumptions!$E$61^(1/4)+K4814</f>
        <v>0.759721191130891</v>
      </c>
      <c r="L4819" s="48" t="n">
        <f aca="false">K4819*Assumptions!$E$61^(1/4)+L4814</f>
        <v>0.977799750917804</v>
      </c>
      <c r="M4819" s="48" t="n">
        <f aca="false">L4819*Assumptions!$E$61^(1/4)+M4814</f>
        <v>1.19304035654405</v>
      </c>
      <c r="N4819" s="48" t="n">
        <f aca="false">M4819*Assumptions!$E$61^(1/4)+N4814</f>
        <v>1.39687024858521</v>
      </c>
      <c r="P4819" s="49" t="n">
        <f aca="false">F4819</f>
        <v>0.137126704510346</v>
      </c>
      <c r="Q4819" s="49" t="n">
        <f aca="false">J4819</f>
        <v>0.582191837137861</v>
      </c>
      <c r="R4819" s="49" t="n">
        <f aca="false">N4819</f>
        <v>1.39687024858521</v>
      </c>
      <c r="S4819" s="50" t="n">
        <f aca="false">R4819</f>
        <v>1.39687024858521</v>
      </c>
    </row>
    <row r="4820" customFormat="false" ht="15" hidden="false" customHeight="false" outlineLevel="0" collapsed="false">
      <c r="A4820" s="9" t="s">
        <v>537</v>
      </c>
      <c r="B4820" s="36" t="s">
        <v>527</v>
      </c>
      <c r="C4820" s="49" t="n">
        <f aca="false">C4817+C4818+C4819</f>
        <v>0</v>
      </c>
      <c r="D4820" s="49" t="n">
        <f aca="false">D4817+D4818+D4819</f>
        <v>0.928901013893547</v>
      </c>
      <c r="E4820" s="49" t="n">
        <f aca="false">E4817+E4818+E4819</f>
        <v>2.54449642483841</v>
      </c>
      <c r="F4820" s="49" t="n">
        <f aca="false">F4817+F4818+F4819</f>
        <v>4.31369136723936</v>
      </c>
      <c r="G4820" s="49" t="n">
        <f aca="false">G4817+G4818+G4819</f>
        <v>6.20830863813976</v>
      </c>
      <c r="H4820" s="49" t="n">
        <f aca="false">H4817+H4818+H4819</f>
        <v>8.59257963941825</v>
      </c>
      <c r="I4820" s="49" t="n">
        <f aca="false">I4817+I4818+I4819</f>
        <v>11.4268709008103</v>
      </c>
      <c r="J4820" s="49" t="n">
        <f aca="false">J4817+J4818+J4819</f>
        <v>15.5324178891105</v>
      </c>
      <c r="K4820" s="49" t="n">
        <f aca="false">K4817+K4818+K4819</f>
        <v>20.7800639004366</v>
      </c>
      <c r="L4820" s="49" t="n">
        <f aca="false">L4817+L4818+L4819</f>
        <v>25.9565287274682</v>
      </c>
      <c r="M4820" s="49" t="n">
        <f aca="false">M4817+M4818+M4819</f>
        <v>30.8181939291609</v>
      </c>
      <c r="N4820" s="49" t="n">
        <f aca="false">N4817+N4818+N4819</f>
        <v>35.3772136101422</v>
      </c>
      <c r="P4820" s="49" t="n">
        <f aca="false">F4820</f>
        <v>4.31369136723936</v>
      </c>
      <c r="Q4820" s="49" t="n">
        <f aca="false">J4820</f>
        <v>15.5324178891105</v>
      </c>
      <c r="R4820" s="49" t="n">
        <f aca="false">N4820</f>
        <v>35.3772136101422</v>
      </c>
      <c r="S4820" s="50" t="n">
        <f aca="false">R4820</f>
        <v>35.3772136101422</v>
      </c>
    </row>
    <row r="4821" customFormat="false" ht="15" hidden="false" customHeight="false" outlineLevel="0" collapsed="false">
      <c r="A4821" s="4" t="s">
        <v>538</v>
      </c>
      <c r="B4821" s="36" t="s">
        <v>125</v>
      </c>
      <c r="C4821" s="54" t="n">
        <f aca="false">0*Assumptions!$E$62^(1/4)+C4812*$C$4761</f>
        <v>0</v>
      </c>
      <c r="D4821" s="54" t="n">
        <f aca="false">C4821*Assumptions!$E$62^(1/4)+D4812*$C$4761</f>
        <v>3312.03338187415</v>
      </c>
      <c r="E4821" s="54" t="n">
        <f aca="false">D4821*Assumptions!$E$62^(1/4)+E4812*$C$4761</f>
        <v>8989.11787705312</v>
      </c>
      <c r="F4821" s="54" t="n">
        <f aca="false">E4821*Assumptions!$E$62^(1/4)+F4812*$C$4761</f>
        <v>15253.2799238556</v>
      </c>
      <c r="G4821" s="54" t="n">
        <f aca="false">F4821*Assumptions!$E$62^(1/4)+G4812*$C$4761</f>
        <v>22116.5584698049</v>
      </c>
      <c r="H4821" s="54" t="n">
        <f aca="false">G4821*Assumptions!$E$62^(1/4)+H4812*$C$4761</f>
        <v>30948.1107382467</v>
      </c>
      <c r="I4821" s="54" t="n">
        <f aca="false">H4821*Assumptions!$E$62^(1/4)+I4812*$C$4761</f>
        <v>41618.1280807474</v>
      </c>
      <c r="J4821" s="54" t="n">
        <f aca="false">I4821*Assumptions!$E$62^(1/4)+J4812*$C$4761</f>
        <v>57409.1776554148</v>
      </c>
      <c r="K4821" s="54" t="n">
        <f aca="false">J4821*Assumptions!$E$62^(1/4)+K4812*$C$4761</f>
        <v>77835.3098031101</v>
      </c>
      <c r="L4821" s="54" t="n">
        <f aca="false">K4821*Assumptions!$E$62^(1/4)+L4812*$C$4761</f>
        <v>98406.580499381</v>
      </c>
      <c r="M4821" s="54" t="n">
        <f aca="false">L4821*Assumptions!$E$62^(1/4)+M4812*$C$4761</f>
        <v>118368.751546003</v>
      </c>
      <c r="N4821" s="54" t="n">
        <f aca="false">M4821*Assumptions!$E$62^(1/4)+N4812*$C$4761</f>
        <v>137764.091498984</v>
      </c>
      <c r="P4821" s="55" t="n">
        <f aca="false">F4821</f>
        <v>15253.2799238556</v>
      </c>
      <c r="Q4821" s="55" t="n">
        <f aca="false">J4821</f>
        <v>57409.1776554148</v>
      </c>
      <c r="R4821" s="55" t="n">
        <f aca="false">N4821</f>
        <v>137764.091498984</v>
      </c>
      <c r="S4821" s="56" t="n">
        <f aca="false">R4821</f>
        <v>137764.091498984</v>
      </c>
    </row>
    <row r="4822" customFormat="false" ht="15" hidden="false" customHeight="false" outlineLevel="0" collapsed="false">
      <c r="A4822" s="4" t="s">
        <v>539</v>
      </c>
      <c r="B4822" s="36" t="s">
        <v>125</v>
      </c>
      <c r="C4822" s="54" t="n">
        <f aca="false">0*Assumptions!$E$63^(1/4)+C4813*$C$4762</f>
        <v>0</v>
      </c>
      <c r="D4822" s="54" t="n">
        <f aca="false">C4822*Assumptions!$E$63^(1/4)+D4813*$C$4762</f>
        <v>3028.27603983126</v>
      </c>
      <c r="E4822" s="54" t="n">
        <f aca="false">D4822*Assumptions!$E$63^(1/4)+E4813*$C$4762</f>
        <v>8263.41469390289</v>
      </c>
      <c r="F4822" s="54" t="n">
        <f aca="false">E4822*Assumptions!$E$63^(1/4)+F4813*$C$4762</f>
        <v>14112.1528478073</v>
      </c>
      <c r="G4822" s="54" t="n">
        <f aca="false">F4822*Assumptions!$E$63^(1/4)+G4813*$C$4762</f>
        <v>20594.5018809719</v>
      </c>
      <c r="H4822" s="54" t="n">
        <f aca="false">G4822*Assumptions!$E$63^(1/4)+H4813*$C$4762</f>
        <v>28812.3163041441</v>
      </c>
      <c r="I4822" s="54" t="n">
        <f aca="false">H4822*Assumptions!$E$63^(1/4)+I4813*$C$4762</f>
        <v>38687.0464592268</v>
      </c>
      <c r="J4822" s="54" t="n">
        <f aca="false">I4822*Assumptions!$E$63^(1/4)+J4813*$C$4762</f>
        <v>52411.9773968243</v>
      </c>
      <c r="K4822" s="54" t="n">
        <f aca="false">J4822*Assumptions!$E$63^(1/4)+K4813*$C$4762</f>
        <v>69755.2675025744</v>
      </c>
      <c r="L4822" s="54" t="n">
        <f aca="false">K4822*Assumptions!$E$63^(1/4)+L4813*$C$4762</f>
        <v>87470.8189325805</v>
      </c>
      <c r="M4822" s="54" t="n">
        <f aca="false">L4822*Assumptions!$E$63^(1/4)+M4813*$C$4762</f>
        <v>104952.089027295</v>
      </c>
      <c r="N4822" s="54" t="n">
        <f aca="false">M4822*Assumptions!$E$63^(1/4)+N4813*$C$4762</f>
        <v>122229.937597753</v>
      </c>
      <c r="P4822" s="55" t="n">
        <f aca="false">F4822</f>
        <v>14112.1528478073</v>
      </c>
      <c r="Q4822" s="55" t="n">
        <f aca="false">J4822</f>
        <v>52411.9773968243</v>
      </c>
      <c r="R4822" s="55" t="n">
        <f aca="false">N4822</f>
        <v>122229.937597753</v>
      </c>
      <c r="S4822" s="56" t="n">
        <f aca="false">R4822</f>
        <v>122229.937597753</v>
      </c>
    </row>
    <row r="4823" customFormat="false" ht="15" hidden="false" customHeight="false" outlineLevel="0" collapsed="false">
      <c r="A4823" s="4" t="s">
        <v>540</v>
      </c>
      <c r="B4823" s="36" t="s">
        <v>125</v>
      </c>
      <c r="C4823" s="54" t="n">
        <f aca="false">0*Assumptions!$E$64^(1/4)+C4814*$C$4763</f>
        <v>0</v>
      </c>
      <c r="D4823" s="54" t="n">
        <f aca="false">C4823*Assumptions!$E$64^(1/4)+D4814*$C$4763</f>
        <v>0</v>
      </c>
      <c r="E4823" s="54" t="n">
        <f aca="false">D4823*Assumptions!$E$64^(1/4)+E4814*$C$4763</f>
        <v>3145.20520039752</v>
      </c>
      <c r="F4823" s="54" t="n">
        <f aca="false">E4823*Assumptions!$E$64^(1/4)+F4814*$C$4763</f>
        <v>8648.17057920292</v>
      </c>
      <c r="G4823" s="54" t="n">
        <f aca="false">F4823*Assumptions!$E$64^(1/4)+G4814*$C$4763</f>
        <v>14904.3170885046</v>
      </c>
      <c r="H4823" s="54" t="n">
        <f aca="false">G4823*Assumptions!$E$64^(1/4)+H4814*$C$4763</f>
        <v>21951.858942323</v>
      </c>
      <c r="I4823" s="54" t="n">
        <f aca="false">H4823*Assumptions!$E$64^(1/4)+I4814*$C$4763</f>
        <v>30422.0514358674</v>
      </c>
      <c r="J4823" s="54" t="n">
        <f aca="false">I4823*Assumptions!$E$64^(1/4)+J4814*$C$4763</f>
        <v>40306.4135932297</v>
      </c>
      <c r="K4823" s="54" t="n">
        <f aca="false">J4823*Assumptions!$E$64^(1/4)+K4814*$C$4763</f>
        <v>53449.068057661</v>
      </c>
      <c r="L4823" s="54" t="n">
        <f aca="false">K4823*Assumptions!$E$64^(1/4)+L4814*$C$4763</f>
        <v>69790.3638692854</v>
      </c>
      <c r="M4823" s="54" t="n">
        <f aca="false">L4823*Assumptions!$E$64^(1/4)+M4814*$C$4763</f>
        <v>86815.3339436551</v>
      </c>
      <c r="N4823" s="54" t="n">
        <f aca="false">M4823*Assumptions!$E$64^(1/4)+N4814*$C$4763</f>
        <v>104015.061426302</v>
      </c>
      <c r="P4823" s="55" t="n">
        <f aca="false">F4823</f>
        <v>8648.17057920292</v>
      </c>
      <c r="Q4823" s="55" t="n">
        <f aca="false">J4823</f>
        <v>40306.4135932297</v>
      </c>
      <c r="R4823" s="55" t="n">
        <f aca="false">N4823</f>
        <v>104015.061426302</v>
      </c>
      <c r="S4823" s="56" t="n">
        <f aca="false">R4823</f>
        <v>104015.061426302</v>
      </c>
    </row>
    <row r="4824" customFormat="false" ht="15" hidden="false" customHeight="false" outlineLevel="0" collapsed="false">
      <c r="A4824" s="9" t="s">
        <v>541</v>
      </c>
      <c r="B4824" s="36" t="s">
        <v>125</v>
      </c>
      <c r="C4824" s="55" t="n">
        <f aca="false">C4821+C4822+C4823</f>
        <v>0</v>
      </c>
      <c r="D4824" s="55" t="n">
        <f aca="false">D4821+D4822+D4823</f>
        <v>6340.30942170541</v>
      </c>
      <c r="E4824" s="55" t="n">
        <f aca="false">E4821+E4822+E4823</f>
        <v>20397.7377713535</v>
      </c>
      <c r="F4824" s="55" t="n">
        <f aca="false">F4821+F4822+F4823</f>
        <v>38013.6033508659</v>
      </c>
      <c r="G4824" s="55" t="n">
        <f aca="false">G4821+G4822+G4823</f>
        <v>57615.3774392814</v>
      </c>
      <c r="H4824" s="55" t="n">
        <f aca="false">H4821+H4822+H4823</f>
        <v>81712.2859847139</v>
      </c>
      <c r="I4824" s="55" t="n">
        <f aca="false">I4821+I4822+I4823</f>
        <v>110727.225975842</v>
      </c>
      <c r="J4824" s="55" t="n">
        <f aca="false">J4821+J4822+J4823</f>
        <v>150127.568645469</v>
      </c>
      <c r="K4824" s="55" t="n">
        <f aca="false">K4821+K4822+K4823</f>
        <v>201039.645363346</v>
      </c>
      <c r="L4824" s="55" t="n">
        <f aca="false">L4821+L4822+L4823</f>
        <v>255667.763301247</v>
      </c>
      <c r="M4824" s="55" t="n">
        <f aca="false">M4821+M4822+M4823</f>
        <v>310136.174516953</v>
      </c>
      <c r="N4824" s="55" t="n">
        <f aca="false">N4821+N4822+N4823</f>
        <v>364009.090523039</v>
      </c>
      <c r="P4824" s="55" t="n">
        <f aca="false">F4824</f>
        <v>38013.6033508659</v>
      </c>
      <c r="Q4824" s="55" t="n">
        <f aca="false">J4824</f>
        <v>150127.568645469</v>
      </c>
      <c r="R4824" s="55" t="n">
        <f aca="false">N4824</f>
        <v>364009.090523039</v>
      </c>
      <c r="S4824" s="56" t="n">
        <f aca="false">R4824</f>
        <v>364009.090523039</v>
      </c>
    </row>
    <row r="4825" customFormat="false" ht="15" hidden="false" customHeight="false" outlineLevel="0" collapsed="false">
      <c r="A4825" s="4" t="s">
        <v>542</v>
      </c>
      <c r="B4825" s="36" t="s">
        <v>125</v>
      </c>
      <c r="C4825" s="54" t="n">
        <f aca="false">C4812*$C$4761+C4813*$C$4762+C4814*$C$4763</f>
        <v>0</v>
      </c>
      <c r="D4825" s="54" t="n">
        <f aca="false">D4812*$C$4761+D4813*$C$4762+D4814*$C$4763</f>
        <v>6340.30942170541</v>
      </c>
      <c r="E4825" s="54" t="n">
        <f aca="false">E4812*$C$4761+E4813*$C$4762+E4814*$C$4763</f>
        <v>14012.9918928834</v>
      </c>
      <c r="F4825" s="54" t="n">
        <f aca="false">F4812*$C$4761+F4813*$C$4762+F4814*$C$4763</f>
        <v>17382.7720568404</v>
      </c>
      <c r="G4825" s="54" t="n">
        <f aca="false">G4812*$C$4761+G4813*$C$4762+G4814*$C$4763</f>
        <v>19087.1822187475</v>
      </c>
      <c r="H4825" s="54" t="n">
        <f aca="false">H4812*$C$4761+H4813*$C$4762+H4814*$C$4763</f>
        <v>23264.7391480582</v>
      </c>
      <c r="I4825" s="54" t="n">
        <f aca="false">I4812*$C$4761+I4813*$C$4762+I4814*$C$4763</f>
        <v>27811.5866178063</v>
      </c>
      <c r="J4825" s="54" t="n">
        <f aca="false">J4812*$C$4761+J4813*$C$4762+J4814*$C$4763</f>
        <v>37750.9052737394</v>
      </c>
      <c r="K4825" s="54" t="n">
        <f aca="false">K4812*$C$4761+K4813*$C$4762+K4814*$C$4763</f>
        <v>48709.7728925555</v>
      </c>
      <c r="L4825" s="54" t="n">
        <f aca="false">L4812*$C$4761+L4813*$C$4762+L4814*$C$4763</f>
        <v>51703.9938307321</v>
      </c>
      <c r="M4825" s="54" t="n">
        <f aca="false">M4812*$C$4761+M4813*$C$4762+M4814*$C$4763</f>
        <v>50703.2667880687</v>
      </c>
      <c r="N4825" s="54" t="n">
        <f aca="false">N4812*$C$4761+N4813*$C$4762+N4814*$C$4763</f>
        <v>49245.8789246288</v>
      </c>
      <c r="P4825" s="55" t="n">
        <f aca="false">SUM(C4825:F4825)</f>
        <v>37736.0733714292</v>
      </c>
      <c r="Q4825" s="55" t="n">
        <f aca="false">SUM(G4825:J4825)</f>
        <v>107914.413258351</v>
      </c>
      <c r="R4825" s="55" t="n">
        <f aca="false">SUM(K4825:N4825)</f>
        <v>200362.912435985</v>
      </c>
      <c r="S4825" s="56" t="n">
        <f aca="false">SUM(P4825:R4825)</f>
        <v>346013.399065766</v>
      </c>
    </row>
    <row r="4826" customFormat="false" ht="15" hidden="false" customHeight="false" outlineLevel="0" collapsed="false">
      <c r="A4826" s="9" t="s">
        <v>543</v>
      </c>
      <c r="B4826" s="36" t="s">
        <v>125</v>
      </c>
      <c r="C4826" s="55" t="n">
        <f aca="false">(0+C4824)/8</f>
        <v>0</v>
      </c>
      <c r="D4826" s="55" t="n">
        <f aca="false">(C4824+D4824)/8</f>
        <v>792.538677713176</v>
      </c>
      <c r="E4826" s="55" t="n">
        <f aca="false">(D4824+E4824)/8</f>
        <v>3342.25589913237</v>
      </c>
      <c r="F4826" s="55" t="n">
        <f aca="false">(E4824+F4824)/8</f>
        <v>7301.41764027743</v>
      </c>
      <c r="G4826" s="55" t="n">
        <f aca="false">(F4824+G4824)/8</f>
        <v>11953.6225987684</v>
      </c>
      <c r="H4826" s="55" t="n">
        <f aca="false">(G4824+H4824)/8</f>
        <v>17415.9579279994</v>
      </c>
      <c r="I4826" s="55" t="n">
        <f aca="false">(H4824+I4824)/8</f>
        <v>24054.9389950694</v>
      </c>
      <c r="J4826" s="55" t="n">
        <f aca="false">(I4824+J4824)/8</f>
        <v>32606.8493276638</v>
      </c>
      <c r="K4826" s="55" t="n">
        <f aca="false">(J4824+K4824)/8</f>
        <v>43895.9017511018</v>
      </c>
      <c r="L4826" s="55" t="n">
        <f aca="false">(K4824+L4824)/8</f>
        <v>57088.4260830741</v>
      </c>
      <c r="M4826" s="55" t="n">
        <f aca="false">(L4824+M4824)/8</f>
        <v>70725.4922272749</v>
      </c>
      <c r="N4826" s="55" t="n">
        <f aca="false">(M4824+N4824)/8</f>
        <v>84268.158129999</v>
      </c>
      <c r="P4826" s="55" t="n">
        <f aca="false">SUM(C4826:F4826)</f>
        <v>11436.212217123</v>
      </c>
      <c r="Q4826" s="55" t="n">
        <f aca="false">SUM(G4826:J4826)</f>
        <v>86031.368849501</v>
      </c>
      <c r="R4826" s="55" t="n">
        <f aca="false">SUM(K4826:N4826)</f>
        <v>255977.97819145</v>
      </c>
      <c r="S4826" s="56" t="n">
        <f aca="false">SUM(P4826:R4826)</f>
        <v>353445.559258074</v>
      </c>
    </row>
    <row r="4827" customFormat="false" ht="15" hidden="false" customHeight="false" outlineLevel="0" collapsed="false">
      <c r="A4827" s="4" t="s">
        <v>544</v>
      </c>
      <c r="B4827" s="36" t="s">
        <v>125</v>
      </c>
      <c r="C4827" s="54" t="n">
        <f aca="false">C4826*Assumptions!$E$76</f>
        <v>0</v>
      </c>
      <c r="D4827" s="54" t="n">
        <f aca="false">D4826*Assumptions!$E$76</f>
        <v>515.150140513564</v>
      </c>
      <c r="E4827" s="54" t="n">
        <f aca="false">E4826*Assumptions!$E$76</f>
        <v>2172.46633443604</v>
      </c>
      <c r="F4827" s="54" t="n">
        <f aca="false">F4826*Assumptions!$E$76</f>
        <v>4745.92146618033</v>
      </c>
      <c r="G4827" s="54" t="n">
        <f aca="false">G4826*Assumptions!$E$76</f>
        <v>7769.85468919947</v>
      </c>
      <c r="H4827" s="54" t="n">
        <f aca="false">H4826*Assumptions!$E$76</f>
        <v>11320.3726531996</v>
      </c>
      <c r="I4827" s="54" t="n">
        <f aca="false">I4826*Assumptions!$E$76</f>
        <v>15635.7103467951</v>
      </c>
      <c r="J4827" s="54" t="n">
        <f aca="false">J4826*Assumptions!$E$76</f>
        <v>21194.4520629815</v>
      </c>
      <c r="K4827" s="54" t="n">
        <f aca="false">K4826*Assumptions!$E$76</f>
        <v>28532.3361382162</v>
      </c>
      <c r="L4827" s="54" t="n">
        <f aca="false">L4826*Assumptions!$E$76</f>
        <v>37107.4769539981</v>
      </c>
      <c r="M4827" s="54" t="n">
        <f aca="false">M4826*Assumptions!$E$76</f>
        <v>45971.5699477287</v>
      </c>
      <c r="N4827" s="54" t="n">
        <f aca="false">N4826*Assumptions!$E$76</f>
        <v>54774.3027844993</v>
      </c>
      <c r="P4827" s="55" t="n">
        <f aca="false">SUM(C4827:F4827)</f>
        <v>7433.53794112993</v>
      </c>
      <c r="Q4827" s="55" t="n">
        <f aca="false">SUM(G4827:J4827)</f>
        <v>55920.3897521757</v>
      </c>
      <c r="R4827" s="55" t="n">
        <f aca="false">SUM(K4827:N4827)</f>
        <v>166385.685824442</v>
      </c>
      <c r="S4827" s="56" t="n">
        <f aca="false">SUM(P4827:R4827)</f>
        <v>229739.613517748</v>
      </c>
    </row>
    <row r="4828" customFormat="false" ht="15" hidden="false" customHeight="false" outlineLevel="0" collapsed="false">
      <c r="A4828" s="35" t="s">
        <v>547</v>
      </c>
      <c r="B4828" s="35" t="s">
        <v>444</v>
      </c>
      <c r="C4828" s="6" t="s">
        <v>354</v>
      </c>
      <c r="D4828" s="6" t="s">
        <v>355</v>
      </c>
      <c r="E4828" s="6" t="s">
        <v>356</v>
      </c>
      <c r="F4828" s="6" t="s">
        <v>357</v>
      </c>
      <c r="G4828" s="6" t="s">
        <v>358</v>
      </c>
      <c r="H4828" s="6" t="s">
        <v>359</v>
      </c>
      <c r="I4828" s="6" t="s">
        <v>360</v>
      </c>
      <c r="J4828" s="6" t="s">
        <v>361</v>
      </c>
      <c r="K4828" s="6" t="s">
        <v>362</v>
      </c>
      <c r="L4828" s="6" t="s">
        <v>363</v>
      </c>
      <c r="M4828" s="6" t="s">
        <v>364</v>
      </c>
      <c r="N4828" s="6" t="s">
        <v>365</v>
      </c>
      <c r="P4828" s="6" t="s">
        <v>445</v>
      </c>
      <c r="Q4828" s="6" t="s">
        <v>446</v>
      </c>
      <c r="R4828" s="6" t="s">
        <v>447</v>
      </c>
      <c r="S4828" s="6" t="s">
        <v>448</v>
      </c>
    </row>
    <row r="4829" customFormat="false" ht="15" hidden="false" customHeight="false" outlineLevel="0" collapsed="false">
      <c r="A4829" s="4" t="s">
        <v>548</v>
      </c>
      <c r="B4829" s="36" t="s">
        <v>321</v>
      </c>
      <c r="C4829" s="48" t="n">
        <f aca="false">Assumptions!$D$97*C4771</f>
        <v>1</v>
      </c>
      <c r="D4829" s="48" t="n">
        <f aca="false">Assumptions!$D$97*D4771</f>
        <v>1</v>
      </c>
      <c r="E4829" s="48" t="n">
        <f aca="false">Assumptions!$D$97*E4771</f>
        <v>1</v>
      </c>
      <c r="F4829" s="48" t="n">
        <f aca="false">Assumptions!$D$97*F4771</f>
        <v>1</v>
      </c>
      <c r="G4829" s="48" t="n">
        <f aca="false">Assumptions!$D$97*G4771</f>
        <v>1</v>
      </c>
      <c r="H4829" s="48" t="n">
        <f aca="false">Assumptions!$D$97*H4771</f>
        <v>1</v>
      </c>
      <c r="I4829" s="48" t="n">
        <f aca="false">Assumptions!$D$97*I4771</f>
        <v>1</v>
      </c>
      <c r="J4829" s="48" t="n">
        <f aca="false">Assumptions!$D$97*J4771</f>
        <v>1</v>
      </c>
      <c r="K4829" s="48" t="n">
        <f aca="false">Assumptions!$D$97*K4771</f>
        <v>1</v>
      </c>
      <c r="L4829" s="48" t="n">
        <f aca="false">Assumptions!$D$97*L4771</f>
        <v>1</v>
      </c>
      <c r="M4829" s="48" t="n">
        <f aca="false">Assumptions!$D$97*M4771</f>
        <v>1</v>
      </c>
      <c r="N4829" s="48" t="n">
        <f aca="false">Assumptions!$D$97*N4771</f>
        <v>1</v>
      </c>
      <c r="P4829" s="49" t="n">
        <f aca="false">AVERAGE(C4829:F4829)</f>
        <v>1</v>
      </c>
      <c r="Q4829" s="49" t="n">
        <f aca="false">AVERAGE(G4829:J4829)</f>
        <v>1</v>
      </c>
      <c r="R4829" s="49" t="n">
        <f aca="false">AVERAGE(K4829:N4829)</f>
        <v>1</v>
      </c>
      <c r="S4829" s="50"/>
    </row>
    <row r="4830" customFormat="false" ht="15" hidden="false" customHeight="false" outlineLevel="0" collapsed="false">
      <c r="A4830" s="4" t="s">
        <v>549</v>
      </c>
      <c r="B4830" s="36" t="s">
        <v>321</v>
      </c>
      <c r="C4830" s="48" t="n">
        <f aca="false">C4784*C4771</f>
        <v>0</v>
      </c>
      <c r="D4830" s="48" t="n">
        <f aca="false">D4784*D4771</f>
        <v>0</v>
      </c>
      <c r="E4830" s="48" t="n">
        <f aca="false">E4784*E4771</f>
        <v>0</v>
      </c>
      <c r="F4830" s="48" t="n">
        <f aca="false">F4784*F4771</f>
        <v>0</v>
      </c>
      <c r="G4830" s="48" t="n">
        <f aca="false">G4784*G4771</f>
        <v>0</v>
      </c>
      <c r="H4830" s="48" t="n">
        <f aca="false">H4784*H4771</f>
        <v>0</v>
      </c>
      <c r="I4830" s="48" t="n">
        <f aca="false">I4784*I4771</f>
        <v>0</v>
      </c>
      <c r="J4830" s="48" t="n">
        <f aca="false">J4784*J4771</f>
        <v>0</v>
      </c>
      <c r="K4830" s="48" t="n">
        <f aca="false">K4784*K4771</f>
        <v>0</v>
      </c>
      <c r="L4830" s="48" t="n">
        <f aca="false">L4784*L4771</f>
        <v>0</v>
      </c>
      <c r="M4830" s="48" t="n">
        <f aca="false">M4784*M4771</f>
        <v>0</v>
      </c>
      <c r="N4830" s="48" t="n">
        <f aca="false">N4784*N4771</f>
        <v>0</v>
      </c>
      <c r="P4830" s="49" t="n">
        <f aca="false">AVERAGE(C4830:F4830)</f>
        <v>0</v>
      </c>
      <c r="Q4830" s="49" t="n">
        <f aca="false">AVERAGE(G4830:J4830)</f>
        <v>0</v>
      </c>
      <c r="R4830" s="49" t="n">
        <f aca="false">AVERAGE(K4830:N4830)</f>
        <v>0</v>
      </c>
      <c r="S4830" s="50"/>
    </row>
    <row r="4831" customFormat="false" ht="15" hidden="false" customHeight="false" outlineLevel="0" collapsed="false">
      <c r="A4831" s="4" t="s">
        <v>550</v>
      </c>
      <c r="B4831" s="36" t="s">
        <v>321</v>
      </c>
      <c r="C4831" s="48" t="n">
        <f aca="false">IF(C4770&lt;=4,Assumptions!$D$98,Assumptions!$D$99)*C4771</f>
        <v>0</v>
      </c>
      <c r="D4831" s="48" t="n">
        <f aca="false">IF(D4770&lt;=4,Assumptions!$D$98,Assumptions!$D$99)*D4771</f>
        <v>0</v>
      </c>
      <c r="E4831" s="48" t="n">
        <f aca="false">IF(E4770&lt;=4,Assumptions!$D$98,Assumptions!$D$99)*E4771</f>
        <v>0</v>
      </c>
      <c r="F4831" s="48" t="n">
        <f aca="false">IF(F4770&lt;=4,Assumptions!$D$98,Assumptions!$D$99)*F4771</f>
        <v>0</v>
      </c>
      <c r="G4831" s="48" t="n">
        <f aca="false">IF(G4770&lt;=4,Assumptions!$D$98,Assumptions!$D$99)*G4771</f>
        <v>0.5</v>
      </c>
      <c r="H4831" s="48" t="n">
        <f aca="false">IF(H4770&lt;=4,Assumptions!$D$98,Assumptions!$D$99)*H4771</f>
        <v>0.5</v>
      </c>
      <c r="I4831" s="48" t="n">
        <f aca="false">IF(I4770&lt;=4,Assumptions!$D$98,Assumptions!$D$99)*I4771</f>
        <v>0.5</v>
      </c>
      <c r="J4831" s="48" t="n">
        <f aca="false">IF(J4770&lt;=4,Assumptions!$D$98,Assumptions!$D$99)*J4771</f>
        <v>0.5</v>
      </c>
      <c r="K4831" s="48" t="n">
        <f aca="false">IF(K4770&lt;=4,Assumptions!$D$98,Assumptions!$D$99)*K4771</f>
        <v>0.5</v>
      </c>
      <c r="L4831" s="48" t="n">
        <f aca="false">IF(L4770&lt;=4,Assumptions!$D$98,Assumptions!$D$99)*L4771</f>
        <v>0.5</v>
      </c>
      <c r="M4831" s="48" t="n">
        <f aca="false">IF(M4770&lt;=4,Assumptions!$D$98,Assumptions!$D$99)*M4771</f>
        <v>0.5</v>
      </c>
      <c r="N4831" s="48" t="n">
        <f aca="false">IF(N4770&lt;=4,Assumptions!$D$98,Assumptions!$D$99)*N4771</f>
        <v>0.5</v>
      </c>
      <c r="P4831" s="49" t="n">
        <f aca="false">AVERAGE(C4831:F4831)</f>
        <v>0</v>
      </c>
      <c r="Q4831" s="49" t="n">
        <f aca="false">AVERAGE(G4831:J4831)</f>
        <v>0.5</v>
      </c>
      <c r="R4831" s="49" t="n">
        <f aca="false">AVERAGE(K4831:N4831)</f>
        <v>0.5</v>
      </c>
      <c r="S4831" s="50"/>
    </row>
    <row r="4832" customFormat="false" ht="15" hidden="false" customHeight="false" outlineLevel="0" collapsed="false">
      <c r="A4832" s="4" t="s">
        <v>551</v>
      </c>
      <c r="B4832" s="36" t="s">
        <v>321</v>
      </c>
      <c r="C4832" s="48" t="n">
        <f aca="false">IF(C4770&lt;=4,Assumptions!$D$100,Assumptions!$D$101)*C4771</f>
        <v>1</v>
      </c>
      <c r="D4832" s="48" t="n">
        <f aca="false">IF(D4770&lt;=4,Assumptions!$D$100,Assumptions!$D$101)*D4771</f>
        <v>1</v>
      </c>
      <c r="E4832" s="48" t="n">
        <f aca="false">IF(E4770&lt;=4,Assumptions!$D$100,Assumptions!$D$101)*E4771</f>
        <v>1</v>
      </c>
      <c r="F4832" s="48" t="n">
        <f aca="false">IF(F4770&lt;=4,Assumptions!$D$100,Assumptions!$D$101)*F4771</f>
        <v>1</v>
      </c>
      <c r="G4832" s="48" t="n">
        <f aca="false">IF(G4770&lt;=4,Assumptions!$D$100,Assumptions!$D$101)*G4771</f>
        <v>0.5</v>
      </c>
      <c r="H4832" s="48" t="n">
        <f aca="false">IF(H4770&lt;=4,Assumptions!$D$100,Assumptions!$D$101)*H4771</f>
        <v>0.5</v>
      </c>
      <c r="I4832" s="48" t="n">
        <f aca="false">IF(I4770&lt;=4,Assumptions!$D$100,Assumptions!$D$101)*I4771</f>
        <v>0.5</v>
      </c>
      <c r="J4832" s="48" t="n">
        <f aca="false">IF(J4770&lt;=4,Assumptions!$D$100,Assumptions!$D$101)*J4771</f>
        <v>0.5</v>
      </c>
      <c r="K4832" s="48" t="n">
        <f aca="false">IF(K4770&lt;=4,Assumptions!$D$100,Assumptions!$D$101)*K4771</f>
        <v>0.5</v>
      </c>
      <c r="L4832" s="48" t="n">
        <f aca="false">IF(L4770&lt;=4,Assumptions!$D$100,Assumptions!$D$101)*L4771</f>
        <v>0.5</v>
      </c>
      <c r="M4832" s="48" t="n">
        <f aca="false">IF(M4770&lt;=4,Assumptions!$D$100,Assumptions!$D$101)*M4771</f>
        <v>0.5</v>
      </c>
      <c r="N4832" s="48" t="n">
        <f aca="false">IF(N4770&lt;=4,Assumptions!$D$100,Assumptions!$D$101)*N4771</f>
        <v>0.5</v>
      </c>
      <c r="P4832" s="49" t="n">
        <f aca="false">AVERAGE(C4832:F4832)</f>
        <v>1</v>
      </c>
      <c r="Q4832" s="49" t="n">
        <f aca="false">AVERAGE(G4832:J4832)</f>
        <v>0.5</v>
      </c>
      <c r="R4832" s="49" t="n">
        <f aca="false">AVERAGE(K4832:N4832)</f>
        <v>0.5</v>
      </c>
      <c r="S4832" s="50"/>
    </row>
    <row r="4833" customFormat="false" ht="15" hidden="false" customHeight="false" outlineLevel="0" collapsed="false">
      <c r="A4833" s="4" t="s">
        <v>552</v>
      </c>
      <c r="B4833" s="36" t="s">
        <v>321</v>
      </c>
      <c r="C4833" s="48" t="n">
        <f aca="false">Assumptions!$D$102*C4771</f>
        <v>0.25</v>
      </c>
      <c r="D4833" s="48" t="n">
        <f aca="false">Assumptions!$D$102*D4771</f>
        <v>0.25</v>
      </c>
      <c r="E4833" s="48" t="n">
        <f aca="false">Assumptions!$D$102*E4771</f>
        <v>0.25</v>
      </c>
      <c r="F4833" s="48" t="n">
        <f aca="false">Assumptions!$D$102*F4771</f>
        <v>0.25</v>
      </c>
      <c r="G4833" s="48" t="n">
        <f aca="false">Assumptions!$D$102*G4771</f>
        <v>0.25</v>
      </c>
      <c r="H4833" s="48" t="n">
        <f aca="false">Assumptions!$D$102*H4771</f>
        <v>0.25</v>
      </c>
      <c r="I4833" s="48" t="n">
        <f aca="false">Assumptions!$D$102*I4771</f>
        <v>0.25</v>
      </c>
      <c r="J4833" s="48" t="n">
        <f aca="false">Assumptions!$D$102*J4771</f>
        <v>0.25</v>
      </c>
      <c r="K4833" s="48" t="n">
        <f aca="false">Assumptions!$D$102*K4771</f>
        <v>0.25</v>
      </c>
      <c r="L4833" s="48" t="n">
        <f aca="false">Assumptions!$D$102*L4771</f>
        <v>0.25</v>
      </c>
      <c r="M4833" s="48" t="n">
        <f aca="false">Assumptions!$D$102*M4771</f>
        <v>0.25</v>
      </c>
      <c r="N4833" s="48" t="n">
        <f aca="false">Assumptions!$D$102*N4771</f>
        <v>0.25</v>
      </c>
      <c r="P4833" s="49" t="n">
        <f aca="false">AVERAGE(C4833:F4833)</f>
        <v>0.25</v>
      </c>
      <c r="Q4833" s="49" t="n">
        <f aca="false">AVERAGE(G4833:J4833)</f>
        <v>0.25</v>
      </c>
      <c r="R4833" s="49" t="n">
        <f aca="false">AVERAGE(K4833:N4833)</f>
        <v>0.25</v>
      </c>
      <c r="S4833" s="50"/>
    </row>
    <row r="4834" customFormat="false" ht="15" hidden="false" customHeight="false" outlineLevel="0" collapsed="false">
      <c r="A4834" s="4" t="s">
        <v>553</v>
      </c>
      <c r="B4834" s="36" t="s">
        <v>321</v>
      </c>
      <c r="C4834" s="48" t="n">
        <f aca="false">(C4818+C4819)/Assumptions!$E$74+C4817/Assumptions!$E$75</f>
        <v>0</v>
      </c>
      <c r="D4834" s="48" t="n">
        <f aca="false">(D4818+D4819)/Assumptions!$E$74+D4817/Assumptions!$E$75</f>
        <v>0.0102268786695814</v>
      </c>
      <c r="E4834" s="48" t="n">
        <f aca="false">(E4818+E4819)/Assumptions!$E$74+E4817/Assumptions!$E$75</f>
        <v>0.0287499611976999</v>
      </c>
      <c r="F4834" s="48" t="n">
        <f aca="false">(F4818+F4819)/Assumptions!$E$74+F4817/Assumptions!$E$75</f>
        <v>0.049497254715265</v>
      </c>
      <c r="G4834" s="48" t="n">
        <f aca="false">(G4818+G4819)/Assumptions!$E$74+G4817/Assumptions!$E$75</f>
        <v>0.0717679122850366</v>
      </c>
      <c r="H4834" s="48" t="n">
        <f aca="false">(H4818+H4819)/Assumptions!$E$74+H4817/Assumptions!$E$75</f>
        <v>0.0993461737337454</v>
      </c>
      <c r="I4834" s="48" t="n">
        <f aca="false">(I4818+I4819)/Assumptions!$E$74+I4817/Assumptions!$E$75</f>
        <v>0.131968628575105</v>
      </c>
      <c r="J4834" s="48" t="n">
        <f aca="false">(J4818+J4819)/Assumptions!$E$74+J4817/Assumptions!$E$75</f>
        <v>0.177481343004619</v>
      </c>
      <c r="K4834" s="48" t="n">
        <f aca="false">(K4818+K4819)/Assumptions!$E$74+K4817/Assumptions!$E$75</f>
        <v>0.235156336754663</v>
      </c>
      <c r="L4834" s="48" t="n">
        <f aca="false">(L4818+L4819)/Assumptions!$E$74+L4817/Assumptions!$E$75</f>
        <v>0.292794620032706</v>
      </c>
      <c r="M4834" s="48" t="n">
        <f aca="false">(M4818+M4819)/Assumptions!$E$74+M4817/Assumptions!$E$75</f>
        <v>0.347210369610753</v>
      </c>
      <c r="N4834" s="48" t="n">
        <f aca="false">(N4818+N4819)/Assumptions!$E$74+N4817/Assumptions!$E$75</f>
        <v>0.398395409350061</v>
      </c>
      <c r="P4834" s="49" t="n">
        <f aca="false">AVERAGE(C4834:F4834)</f>
        <v>0.0221185236456365</v>
      </c>
      <c r="Q4834" s="49" t="n">
        <f aca="false">AVERAGE(G4834:J4834)</f>
        <v>0.120141014399626</v>
      </c>
      <c r="R4834" s="49" t="n">
        <f aca="false">AVERAGE(K4834:N4834)</f>
        <v>0.318389183937046</v>
      </c>
      <c r="S4834" s="50"/>
    </row>
    <row r="4835" customFormat="false" ht="15" hidden="false" customHeight="false" outlineLevel="0" collapsed="false">
      <c r="A4835" s="4" t="s">
        <v>554</v>
      </c>
      <c r="B4835" s="36" t="s">
        <v>125</v>
      </c>
      <c r="C4835" s="54" t="n">
        <f aca="false">(C4829+C4831)*Assumptions!$E$70/Assumptions!$E$69/4</f>
        <v>66753.5714285714</v>
      </c>
      <c r="D4835" s="54" t="n">
        <f aca="false">(D4829+D4831)*Assumptions!$E$70/Assumptions!$E$69/4</f>
        <v>66753.5714285714</v>
      </c>
      <c r="E4835" s="54" t="n">
        <f aca="false">(E4829+E4831)*Assumptions!$E$70/Assumptions!$E$69/4</f>
        <v>66753.5714285714</v>
      </c>
      <c r="F4835" s="54" t="n">
        <f aca="false">(F4829+F4831)*Assumptions!$E$70/Assumptions!$E$69/4</f>
        <v>66753.5714285714</v>
      </c>
      <c r="G4835" s="54" t="n">
        <f aca="false">(G4829+G4831)*Assumptions!$E$70/Assumptions!$E$69/4</f>
        <v>100130.357142857</v>
      </c>
      <c r="H4835" s="54" t="n">
        <f aca="false">(H4829+H4831)*Assumptions!$E$70/Assumptions!$E$69/4</f>
        <v>100130.357142857</v>
      </c>
      <c r="I4835" s="54" t="n">
        <f aca="false">(I4829+I4831)*Assumptions!$E$70/Assumptions!$E$69/4</f>
        <v>100130.357142857</v>
      </c>
      <c r="J4835" s="54" t="n">
        <f aca="false">(J4829+J4831)*Assumptions!$E$70/Assumptions!$E$69/4</f>
        <v>100130.357142857</v>
      </c>
      <c r="K4835" s="54" t="n">
        <f aca="false">(K4829+K4831)*Assumptions!$E$70/Assumptions!$E$69/4</f>
        <v>100130.357142857</v>
      </c>
      <c r="L4835" s="54" t="n">
        <f aca="false">(L4829+L4831)*Assumptions!$E$70/Assumptions!$E$69/4</f>
        <v>100130.357142857</v>
      </c>
      <c r="M4835" s="54" t="n">
        <f aca="false">(M4829+M4831)*Assumptions!$E$70/Assumptions!$E$69/4</f>
        <v>100130.357142857</v>
      </c>
      <c r="N4835" s="54" t="n">
        <f aca="false">(N4829+N4831)*Assumptions!$E$70/Assumptions!$E$69/4</f>
        <v>100130.357142857</v>
      </c>
      <c r="P4835" s="55" t="n">
        <f aca="false">SUM(C4835:F4835)</f>
        <v>267014.285714286</v>
      </c>
      <c r="Q4835" s="55" t="n">
        <f aca="false">SUM(G4835:J4835)</f>
        <v>400521.428571429</v>
      </c>
      <c r="R4835" s="55" t="n">
        <f aca="false">SUM(K4835:N4835)</f>
        <v>400521.428571429</v>
      </c>
      <c r="S4835" s="56" t="n">
        <f aca="false">SUM(P4835:R4835)</f>
        <v>1068057.14285714</v>
      </c>
    </row>
    <row r="4836" customFormat="false" ht="15" hidden="false" customHeight="false" outlineLevel="0" collapsed="false">
      <c r="A4836" s="4" t="s">
        <v>555</v>
      </c>
      <c r="B4836" s="36" t="s">
        <v>125</v>
      </c>
      <c r="C4836" s="54" t="n">
        <f aca="false">C4830*$C$4765/4</f>
        <v>0</v>
      </c>
      <c r="D4836" s="54" t="n">
        <f aca="false">D4830*$C$4765/4</f>
        <v>0</v>
      </c>
      <c r="E4836" s="54" t="n">
        <f aca="false">E4830*$C$4765/4</f>
        <v>0</v>
      </c>
      <c r="F4836" s="54" t="n">
        <f aca="false">F4830*$C$4765/4</f>
        <v>0</v>
      </c>
      <c r="G4836" s="54" t="n">
        <f aca="false">G4830*$C$4765/4</f>
        <v>0</v>
      </c>
      <c r="H4836" s="54" t="n">
        <f aca="false">H4830*$C$4765/4</f>
        <v>0</v>
      </c>
      <c r="I4836" s="54" t="n">
        <f aca="false">I4830*$C$4765/4</f>
        <v>0</v>
      </c>
      <c r="J4836" s="54" t="n">
        <f aca="false">J4830*$C$4765/4</f>
        <v>0</v>
      </c>
      <c r="K4836" s="54" t="n">
        <f aca="false">K4830*$C$4765/4</f>
        <v>0</v>
      </c>
      <c r="L4836" s="54" t="n">
        <f aca="false">L4830*$C$4765/4</f>
        <v>0</v>
      </c>
      <c r="M4836" s="54" t="n">
        <f aca="false">M4830*$C$4765/4</f>
        <v>0</v>
      </c>
      <c r="N4836" s="54" t="n">
        <f aca="false">N4830*$C$4765/4</f>
        <v>0</v>
      </c>
      <c r="P4836" s="55" t="n">
        <f aca="false">SUM(C4836:F4836)</f>
        <v>0</v>
      </c>
      <c r="Q4836" s="55" t="n">
        <f aca="false">SUM(G4836:J4836)</f>
        <v>0</v>
      </c>
      <c r="R4836" s="55" t="n">
        <f aca="false">SUM(K4836:N4836)</f>
        <v>0</v>
      </c>
      <c r="S4836" s="56" t="n">
        <f aca="false">SUM(P4836:R4836)</f>
        <v>0</v>
      </c>
    </row>
    <row r="4837" customFormat="false" ht="15" hidden="false" customHeight="false" outlineLevel="0" collapsed="false">
      <c r="A4837" s="4" t="s">
        <v>556</v>
      </c>
      <c r="B4837" s="36" t="s">
        <v>125</v>
      </c>
      <c r="C4837" s="54" t="n">
        <f aca="false">MAX(0,(C4825-C4806*$C$4761)-C4785*$C$4766)*$C$4767*Assumptions!$D$105</f>
        <v>0</v>
      </c>
      <c r="D4837" s="54" t="n">
        <f aca="false">MAX(0,(D4825-D4806*$C$4761)-D4785*$C$4766)*$C$4767*Assumptions!$D$105</f>
        <v>2494.08718700556</v>
      </c>
      <c r="E4837" s="54" t="n">
        <f aca="false">MAX(0,(E4825-E4806*$C$4761)-E4785*$C$4766)*$C$4767*Assumptions!$D$105</f>
        <v>5742.21179910424</v>
      </c>
      <c r="F4837" s="54" t="n">
        <f aca="false">MAX(0,(F4825-F4806*$C$4761)-F4785*$C$4766)*$C$4767*Assumptions!$D$105</f>
        <v>7231.96428818641</v>
      </c>
      <c r="G4837" s="54" t="n">
        <f aca="false">MAX(0,(G4825-G4806*$C$4761)-G4785*$C$4766)*$C$4767*Assumptions!$D$105</f>
        <v>7943.18304604676</v>
      </c>
      <c r="H4837" s="54" t="n">
        <f aca="false">MAX(0,(H4825-H4806*$C$4761)-H4785*$C$4766)*$C$4767*Assumptions!$D$105</f>
        <v>9616.45409563877</v>
      </c>
      <c r="I4837" s="54" t="n">
        <f aca="false">MAX(0,(I4825-I4806*$C$4761)-I4785*$C$4766)*$C$4767*Assumptions!$D$105</f>
        <v>11480.1545959445</v>
      </c>
      <c r="J4837" s="54" t="n">
        <f aca="false">MAX(0,(J4825-J4806*$C$4761)-J4785*$C$4766)*$C$4767*Assumptions!$D$105</f>
        <v>15399.9255516451</v>
      </c>
      <c r="K4837" s="54" t="n">
        <f aca="false">MAX(0,(K4825-K4806*$C$4761)-K4785*$C$4766)*$C$4767*Assumptions!$D$105</f>
        <v>19863.2924773164</v>
      </c>
      <c r="L4837" s="54" t="n">
        <f aca="false">MAX(0,(L4825-L4806*$C$4761)-L4785*$C$4766)*$C$4767*Assumptions!$D$105</f>
        <v>21239.7026807467</v>
      </c>
      <c r="M4837" s="54" t="n">
        <f aca="false">MAX(0,(M4825-M4806*$C$4761)-M4785*$C$4766)*$C$4767*Assumptions!$D$105</f>
        <v>20858.1296672103</v>
      </c>
      <c r="N4837" s="54" t="n">
        <f aca="false">MAX(0,(N4825-N4806*$C$4761)-N4785*$C$4766)*$C$4767*Assumptions!$D$105</f>
        <v>20257.6218956195</v>
      </c>
      <c r="P4837" s="55" t="n">
        <f aca="false">SUM(C4837:F4837)</f>
        <v>15468.2632742962</v>
      </c>
      <c r="Q4837" s="55" t="n">
        <f aca="false">SUM(G4837:J4837)</f>
        <v>44439.7172892752</v>
      </c>
      <c r="R4837" s="55" t="n">
        <f aca="false">SUM(K4837:N4837)</f>
        <v>82218.746720893</v>
      </c>
      <c r="S4837" s="56" t="n">
        <f aca="false">SUM(P4837:R4837)</f>
        <v>142126.727284464</v>
      </c>
    </row>
    <row r="4838" customFormat="false" ht="15" hidden="false" customHeight="false" outlineLevel="0" collapsed="false">
      <c r="A4838" s="4" t="s">
        <v>557</v>
      </c>
      <c r="B4838" s="36" t="s">
        <v>125</v>
      </c>
      <c r="C4838" s="54" t="n">
        <f aca="false">C4833*Assumptions!$E$71/Assumptions!$E$69/4</f>
        <v>18475.8928571429</v>
      </c>
      <c r="D4838" s="54" t="n">
        <f aca="false">D4833*Assumptions!$E$71/Assumptions!$E$69/4</f>
        <v>18475.8928571429</v>
      </c>
      <c r="E4838" s="54" t="n">
        <f aca="false">E4833*Assumptions!$E$71/Assumptions!$E$69/4</f>
        <v>18475.8928571429</v>
      </c>
      <c r="F4838" s="54" t="n">
        <f aca="false">F4833*Assumptions!$E$71/Assumptions!$E$69/4</f>
        <v>18475.8928571429</v>
      </c>
      <c r="G4838" s="54" t="n">
        <f aca="false">G4833*Assumptions!$E$71/Assumptions!$E$69/4</f>
        <v>18475.8928571429</v>
      </c>
      <c r="H4838" s="54" t="n">
        <f aca="false">H4833*Assumptions!$E$71/Assumptions!$E$69/4</f>
        <v>18475.8928571429</v>
      </c>
      <c r="I4838" s="54" t="n">
        <f aca="false">I4833*Assumptions!$E$71/Assumptions!$E$69/4</f>
        <v>18475.8928571429</v>
      </c>
      <c r="J4838" s="54" t="n">
        <f aca="false">J4833*Assumptions!$E$71/Assumptions!$E$69/4</f>
        <v>18475.8928571429</v>
      </c>
      <c r="K4838" s="54" t="n">
        <f aca="false">K4833*Assumptions!$E$71/Assumptions!$E$69/4</f>
        <v>18475.8928571429</v>
      </c>
      <c r="L4838" s="54" t="n">
        <f aca="false">L4833*Assumptions!$E$71/Assumptions!$E$69/4</f>
        <v>18475.8928571429</v>
      </c>
      <c r="M4838" s="54" t="n">
        <f aca="false">M4833*Assumptions!$E$71/Assumptions!$E$69/4</f>
        <v>18475.8928571429</v>
      </c>
      <c r="N4838" s="54" t="n">
        <f aca="false">N4833*Assumptions!$E$71/Assumptions!$E$69/4</f>
        <v>18475.8928571429</v>
      </c>
      <c r="P4838" s="55" t="n">
        <f aca="false">SUM(C4838:F4838)</f>
        <v>73903.5714285714</v>
      </c>
      <c r="Q4838" s="55" t="n">
        <f aca="false">SUM(G4838:J4838)</f>
        <v>73903.5714285714</v>
      </c>
      <c r="R4838" s="55" t="n">
        <f aca="false">SUM(K4838:N4838)</f>
        <v>73903.5714285714</v>
      </c>
      <c r="S4838" s="56" t="n">
        <f aca="false">SUM(P4838:R4838)</f>
        <v>221710.714285714</v>
      </c>
    </row>
    <row r="4839" customFormat="false" ht="15" hidden="false" customHeight="false" outlineLevel="0" collapsed="false">
      <c r="A4839" s="4" t="s">
        <v>558</v>
      </c>
      <c r="B4839" s="36" t="s">
        <v>125</v>
      </c>
      <c r="C4839" s="54" t="n">
        <f aca="false">(Assumptions!$D$103+Assumptions!$E$77*((C4770=Assumptions!$E$13)+(C4770=Assumptions!$E$14)+(C4770=Assumptions!$E$15)))*C4771</f>
        <v>65000</v>
      </c>
      <c r="D4839" s="54" t="n">
        <f aca="false">(Assumptions!$D$103+Assumptions!$E$77*((D4770=Assumptions!$E$13)+(D4770=Assumptions!$E$14)+(D4770=Assumptions!$E$15)))*D4771</f>
        <v>25000</v>
      </c>
      <c r="E4839" s="54" t="n">
        <f aca="false">(Assumptions!$D$103+Assumptions!$E$77*((E4770=Assumptions!$E$13)+(E4770=Assumptions!$E$14)+(E4770=Assumptions!$E$15)))*E4771</f>
        <v>25000</v>
      </c>
      <c r="F4839" s="54" t="n">
        <f aca="false">(Assumptions!$D$103+Assumptions!$E$77*((F4770=Assumptions!$E$13)+(F4770=Assumptions!$E$14)+(F4770=Assumptions!$E$15)))*F4771</f>
        <v>25000</v>
      </c>
      <c r="G4839" s="54" t="n">
        <f aca="false">(Assumptions!$D$103+Assumptions!$E$77*((G4770=Assumptions!$E$13)+(G4770=Assumptions!$E$14)+(G4770=Assumptions!$E$15)))*G4771</f>
        <v>65000</v>
      </c>
      <c r="H4839" s="54" t="n">
        <f aca="false">(Assumptions!$D$103+Assumptions!$E$77*((H4770=Assumptions!$E$13)+(H4770=Assumptions!$E$14)+(H4770=Assumptions!$E$15)))*H4771</f>
        <v>25000</v>
      </c>
      <c r="I4839" s="54" t="n">
        <f aca="false">(Assumptions!$D$103+Assumptions!$E$77*((I4770=Assumptions!$E$13)+(I4770=Assumptions!$E$14)+(I4770=Assumptions!$E$15)))*I4771</f>
        <v>65000</v>
      </c>
      <c r="J4839" s="54" t="n">
        <f aca="false">(Assumptions!$D$103+Assumptions!$E$77*((J4770=Assumptions!$E$13)+(J4770=Assumptions!$E$14)+(J4770=Assumptions!$E$15)))*J4771</f>
        <v>25000</v>
      </c>
      <c r="K4839" s="54" t="n">
        <f aca="false">(Assumptions!$D$103+Assumptions!$E$77*((K4770=Assumptions!$E$13)+(K4770=Assumptions!$E$14)+(K4770=Assumptions!$E$15)))*K4771</f>
        <v>25000</v>
      </c>
      <c r="L4839" s="54" t="n">
        <f aca="false">(Assumptions!$D$103+Assumptions!$E$77*((L4770=Assumptions!$E$13)+(L4770=Assumptions!$E$14)+(L4770=Assumptions!$E$15)))*L4771</f>
        <v>25000</v>
      </c>
      <c r="M4839" s="54" t="n">
        <f aca="false">(Assumptions!$D$103+Assumptions!$E$77*((M4770=Assumptions!$E$13)+(M4770=Assumptions!$E$14)+(M4770=Assumptions!$E$15)))*M4771</f>
        <v>25000</v>
      </c>
      <c r="N4839" s="54" t="n">
        <f aca="false">(Assumptions!$D$103+Assumptions!$E$77*((N4770=Assumptions!$E$13)+(N4770=Assumptions!$E$14)+(N4770=Assumptions!$E$15)))*N4771</f>
        <v>25000</v>
      </c>
      <c r="P4839" s="55" t="n">
        <f aca="false">SUM(C4839:F4839)</f>
        <v>140000</v>
      </c>
      <c r="Q4839" s="55" t="n">
        <f aca="false">SUM(G4839:J4839)</f>
        <v>180000</v>
      </c>
      <c r="R4839" s="55" t="n">
        <f aca="false">SUM(K4839:N4839)</f>
        <v>100000</v>
      </c>
      <c r="S4839" s="56" t="n">
        <f aca="false">SUM(P4839:R4839)</f>
        <v>420000</v>
      </c>
    </row>
    <row r="4840" customFormat="false" ht="15" hidden="false" customHeight="false" outlineLevel="0" collapsed="false">
      <c r="A4840" s="4" t="s">
        <v>559</v>
      </c>
      <c r="B4840" s="36" t="s">
        <v>125</v>
      </c>
      <c r="C4840" s="54" t="n">
        <f aca="false">C4825*C4805*Assumptions!$E$79</f>
        <v>0</v>
      </c>
      <c r="D4840" s="54" t="n">
        <f aca="false">D4825*D4805*Assumptions!$E$79</f>
        <v>582.384909539584</v>
      </c>
      <c r="E4840" s="54" t="n">
        <f aca="false">E4825*E4805*Assumptions!$E$79</f>
        <v>1126.39609795963</v>
      </c>
      <c r="F4840" s="54" t="n">
        <f aca="false">F4825*F4805*Assumptions!$E$79</f>
        <v>1688.41970736128</v>
      </c>
      <c r="G4840" s="54" t="n">
        <f aca="false">G4825*G4805*Assumptions!$E$79</f>
        <v>2115.16654535512</v>
      </c>
      <c r="H4840" s="54" t="n">
        <f aca="false">H4825*H4805*Assumptions!$E$79</f>
        <v>2429.8976096675</v>
      </c>
      <c r="I4840" s="54" t="n">
        <f aca="false">I4825*I4805*Assumptions!$E$79</f>
        <v>2822.45784601444</v>
      </c>
      <c r="J4840" s="54" t="n">
        <f aca="false">J4825*J4805*Assumptions!$E$79</f>
        <v>3028.69717337466</v>
      </c>
      <c r="K4840" s="54" t="n">
        <f aca="false">K4825*K4805*Assumptions!$E$79</f>
        <v>3432.4731494524</v>
      </c>
      <c r="L4840" s="54" t="n">
        <f aca="false">L4825*L4805*Assumptions!$E$79</f>
        <v>4019.73704109231</v>
      </c>
      <c r="M4840" s="54" t="n">
        <f aca="false">M4825*M4805*Assumptions!$E$79</f>
        <v>4062.21439559834</v>
      </c>
      <c r="N4840" s="54" t="n">
        <f aca="false">N4825*N4805*Assumptions!$E$79</f>
        <v>4060.75856180645</v>
      </c>
      <c r="P4840" s="55" t="n">
        <f aca="false">SUM(C4840:F4840)</f>
        <v>3397.2007148605</v>
      </c>
      <c r="Q4840" s="55" t="n">
        <f aca="false">SUM(G4840:J4840)</f>
        <v>10396.2191744117</v>
      </c>
      <c r="R4840" s="55" t="n">
        <f aca="false">SUM(K4840:N4840)</f>
        <v>15575.1831479495</v>
      </c>
      <c r="S4840" s="56" t="n">
        <f aca="false">SUM(P4840:R4840)</f>
        <v>29368.6030372217</v>
      </c>
    </row>
    <row r="4841" customFormat="false" ht="15" hidden="false" customHeight="false" outlineLevel="0" collapsed="false">
      <c r="A4841" s="4" t="s">
        <v>560</v>
      </c>
      <c r="B4841" s="36" t="s">
        <v>125</v>
      </c>
      <c r="C4841" s="54" t="n">
        <f aca="false">C4790*Assumptions!$E$80</f>
        <v>4000</v>
      </c>
      <c r="D4841" s="54" t="n">
        <f aca="false">D4790*Assumptions!$E$80</f>
        <v>6000</v>
      </c>
      <c r="E4841" s="54" t="n">
        <f aca="false">E4790*Assumptions!$E$80</f>
        <v>8000</v>
      </c>
      <c r="F4841" s="54" t="n">
        <f aca="false">F4790*Assumptions!$E$80</f>
        <v>10000</v>
      </c>
      <c r="G4841" s="54" t="n">
        <f aca="false">G4790*Assumptions!$E$80</f>
        <v>12000</v>
      </c>
      <c r="H4841" s="54" t="n">
        <f aca="false">H4790*Assumptions!$E$80</f>
        <v>14000</v>
      </c>
      <c r="I4841" s="54" t="n">
        <f aca="false">I4790*Assumptions!$E$80</f>
        <v>16000</v>
      </c>
      <c r="J4841" s="54" t="n">
        <f aca="false">J4790*Assumptions!$E$80</f>
        <v>18000</v>
      </c>
      <c r="K4841" s="54" t="n">
        <f aca="false">K4790*Assumptions!$E$80</f>
        <v>20000</v>
      </c>
      <c r="L4841" s="54" t="n">
        <f aca="false">L4790*Assumptions!$E$80</f>
        <v>20000</v>
      </c>
      <c r="M4841" s="54" t="n">
        <f aca="false">M4790*Assumptions!$E$80</f>
        <v>20000</v>
      </c>
      <c r="N4841" s="54" t="n">
        <f aca="false">N4790*Assumptions!$E$80</f>
        <v>20000</v>
      </c>
      <c r="P4841" s="55" t="n">
        <f aca="false">SUM(C4841:F4841)</f>
        <v>28000</v>
      </c>
      <c r="Q4841" s="55" t="n">
        <f aca="false">SUM(G4841:J4841)</f>
        <v>60000</v>
      </c>
      <c r="R4841" s="55" t="n">
        <f aca="false">SUM(K4841:N4841)</f>
        <v>80000</v>
      </c>
      <c r="S4841" s="56" t="n">
        <f aca="false">SUM(P4841:R4841)</f>
        <v>168000</v>
      </c>
    </row>
    <row r="4842" customFormat="false" ht="15" hidden="false" customHeight="false" outlineLevel="0" collapsed="false">
      <c r="A4842" s="4" t="s">
        <v>561</v>
      </c>
      <c r="B4842" s="36" t="s">
        <v>125</v>
      </c>
      <c r="C4842" s="54" t="n">
        <f aca="false">(C4813*$C$4762+C4814*$C$4763)*Assumptions!$E$81</f>
        <v>0</v>
      </c>
      <c r="D4842" s="54" t="n">
        <f aca="false">(D4813*$C$4762+D4814*$C$4763)*Assumptions!$E$81</f>
        <v>454.241405974688</v>
      </c>
      <c r="E4842" s="54" t="n">
        <f aca="false">(E4813*$C$4762+E4814*$C$4763)*Assumptions!$E$81</f>
        <v>1250.38610965566</v>
      </c>
      <c r="F4842" s="54" t="n">
        <f aca="false">(F4813*$C$4762+F4814*$C$4763)*Assumptions!$E$81</f>
        <v>1667.79150150568</v>
      </c>
      <c r="G4842" s="54" t="n">
        <f aca="false">(G4813*$C$4762+G4814*$C$4763)*Assumptions!$E$81</f>
        <v>1833.58555091974</v>
      </c>
      <c r="H4842" s="54" t="n">
        <f aca="false">(H4813*$C$4762+H4814*$C$4763)*Assumptions!$E$81</f>
        <v>2164.97803194244</v>
      </c>
      <c r="I4842" s="54" t="n">
        <f aca="false">(I4813*$C$4762+I4814*$C$4763)*Assumptions!$E$81</f>
        <v>2571.23539129585</v>
      </c>
      <c r="J4842" s="54" t="n">
        <f aca="false">(J4813*$C$4762+J4814*$C$4763)*Assumptions!$E$81</f>
        <v>3293.97835486079</v>
      </c>
      <c r="K4842" s="54" t="n">
        <f aca="false">(K4813*$C$4762+K4814*$C$4763)*Assumptions!$E$81</f>
        <v>4242.54611172903</v>
      </c>
      <c r="L4842" s="54" t="n">
        <f aca="false">(L4813*$C$4762+L4814*$C$4763)*Assumptions!$E$81</f>
        <v>4669.90847016917</v>
      </c>
      <c r="M4842" s="54" t="n">
        <f aca="false">(M4813*$C$4762+M4814*$C$4763)*Assumptions!$E$81</f>
        <v>4611.16436121702</v>
      </c>
      <c r="N4842" s="54" t="n">
        <f aca="false">(N4813*$C$4762+N4814*$C$4763)*Assumptions!$E$81</f>
        <v>4477.58084574713</v>
      </c>
      <c r="P4842" s="55" t="n">
        <f aca="false">SUM(C4842:F4842)</f>
        <v>3372.41901713603</v>
      </c>
      <c r="Q4842" s="55" t="n">
        <f aca="false">SUM(G4842:J4842)</f>
        <v>9863.77732901883</v>
      </c>
      <c r="R4842" s="55" t="n">
        <f aca="false">SUM(K4842:N4842)</f>
        <v>18001.1997888624</v>
      </c>
      <c r="S4842" s="56" t="n">
        <f aca="false">SUM(P4842:R4842)</f>
        <v>31237.3961350172</v>
      </c>
    </row>
    <row r="4843" customFormat="false" ht="15" hidden="false" customHeight="false" outlineLevel="0" collapsed="false">
      <c r="A4843" s="9" t="s">
        <v>562</v>
      </c>
      <c r="B4843" s="36" t="s">
        <v>125</v>
      </c>
      <c r="C4843" s="55" t="n">
        <f aca="false">C4835+C4836+C4837+C4838+C4839+C4840+C4841+C4842</f>
        <v>154229.464285714</v>
      </c>
      <c r="D4843" s="55" t="n">
        <f aca="false">D4835+D4836+D4837+D4838+D4839+D4840+D4841+D4842</f>
        <v>119760.177788234</v>
      </c>
      <c r="E4843" s="55" t="n">
        <f aca="false">E4835+E4836+E4837+E4838+E4839+E4840+E4841+E4842</f>
        <v>126348.458292434</v>
      </c>
      <c r="F4843" s="55" t="n">
        <f aca="false">F4835+F4836+F4837+F4838+F4839+F4840+F4841+F4842</f>
        <v>130817.639782768</v>
      </c>
      <c r="G4843" s="55" t="n">
        <f aca="false">G4835+G4836+G4837+G4838+G4839+G4840+G4841+G4842</f>
        <v>207498.185142322</v>
      </c>
      <c r="H4843" s="55" t="n">
        <f aca="false">H4835+H4836+H4837+H4838+H4839+H4840+H4841+H4842</f>
        <v>171817.579737249</v>
      </c>
      <c r="I4843" s="55" t="n">
        <f aca="false">I4835+I4836+I4837+I4838+I4839+I4840+I4841+I4842</f>
        <v>216480.097833255</v>
      </c>
      <c r="J4843" s="55" t="n">
        <f aca="false">J4835+J4836+J4837+J4838+J4839+J4840+J4841+J4842</f>
        <v>183328.851079881</v>
      </c>
      <c r="K4843" s="55" t="n">
        <f aca="false">K4835+K4836+K4837+K4838+K4839+K4840+K4841+K4842</f>
        <v>191144.561738498</v>
      </c>
      <c r="L4843" s="55" t="n">
        <f aca="false">L4835+L4836+L4837+L4838+L4839+L4840+L4841+L4842</f>
        <v>193535.598192008</v>
      </c>
      <c r="M4843" s="55" t="n">
        <f aca="false">M4835+M4836+M4837+M4838+M4839+M4840+M4841+M4842</f>
        <v>193137.758424026</v>
      </c>
      <c r="N4843" s="55" t="n">
        <f aca="false">N4835+N4836+N4837+N4838+N4839+N4840+N4841+N4842</f>
        <v>192402.211303173</v>
      </c>
      <c r="P4843" s="55" t="n">
        <f aca="false">SUM(C4843:F4843)</f>
        <v>531155.74014915</v>
      </c>
      <c r="Q4843" s="55" t="n">
        <f aca="false">SUM(G4843:J4843)</f>
        <v>779124.713792706</v>
      </c>
      <c r="R4843" s="55" t="n">
        <f aca="false">SUM(K4843:N4843)</f>
        <v>770220.129657705</v>
      </c>
      <c r="S4843" s="56" t="n">
        <f aca="false">SUM(P4843:R4843)</f>
        <v>2080500.58359956</v>
      </c>
    </row>
    <row r="4844" customFormat="false" ht="15" hidden="false" customHeight="false" outlineLevel="0" collapsed="false">
      <c r="A4844" s="4" t="s">
        <v>563</v>
      </c>
      <c r="B4844" s="36" t="s">
        <v>125</v>
      </c>
      <c r="C4844" s="54" t="n">
        <f aca="false">C4832*Assumptions!$E$72/Assumptions!$E$69/4</f>
        <v>56535.7142857143</v>
      </c>
      <c r="D4844" s="54" t="n">
        <f aca="false">D4832*Assumptions!$E$72/Assumptions!$E$69/4</f>
        <v>56535.7142857143</v>
      </c>
      <c r="E4844" s="54" t="n">
        <f aca="false">E4832*Assumptions!$E$72/Assumptions!$E$69/4</f>
        <v>56535.7142857143</v>
      </c>
      <c r="F4844" s="54" t="n">
        <f aca="false">F4832*Assumptions!$E$72/Assumptions!$E$69/4</f>
        <v>56535.7142857143</v>
      </c>
      <c r="G4844" s="54" t="n">
        <f aca="false">G4832*Assumptions!$E$72/Assumptions!$E$69/4</f>
        <v>28267.8571428571</v>
      </c>
      <c r="H4844" s="54" t="n">
        <f aca="false">H4832*Assumptions!$E$72/Assumptions!$E$69/4</f>
        <v>28267.8571428571</v>
      </c>
      <c r="I4844" s="54" t="n">
        <f aca="false">I4832*Assumptions!$E$72/Assumptions!$E$69/4</f>
        <v>28267.8571428571</v>
      </c>
      <c r="J4844" s="54" t="n">
        <f aca="false">J4832*Assumptions!$E$72/Assumptions!$E$69/4</f>
        <v>28267.8571428571</v>
      </c>
      <c r="K4844" s="54" t="n">
        <f aca="false">K4832*Assumptions!$E$72/Assumptions!$E$69/4</f>
        <v>28267.8571428571</v>
      </c>
      <c r="L4844" s="54" t="n">
        <f aca="false">L4832*Assumptions!$E$72/Assumptions!$E$69/4</f>
        <v>28267.8571428571</v>
      </c>
      <c r="M4844" s="54" t="n">
        <f aca="false">M4832*Assumptions!$E$72/Assumptions!$E$69/4</f>
        <v>28267.8571428571</v>
      </c>
      <c r="N4844" s="54" t="n">
        <f aca="false">N4832*Assumptions!$E$72/Assumptions!$E$69/4</f>
        <v>28267.8571428571</v>
      </c>
      <c r="P4844" s="55" t="n">
        <f aca="false">SUM(C4844:F4844)</f>
        <v>226142.857142857</v>
      </c>
      <c r="Q4844" s="55" t="n">
        <f aca="false">SUM(G4844:J4844)</f>
        <v>113071.428571429</v>
      </c>
      <c r="R4844" s="55" t="n">
        <f aca="false">SUM(K4844:N4844)</f>
        <v>113071.428571429</v>
      </c>
      <c r="S4844" s="56" t="n">
        <f aca="false">SUM(P4844:R4844)</f>
        <v>452285.714285714</v>
      </c>
    </row>
    <row r="4845" customFormat="false" ht="15" hidden="false" customHeight="false" outlineLevel="0" collapsed="false">
      <c r="A4845" s="4" t="s">
        <v>564</v>
      </c>
      <c r="B4845" s="36" t="s">
        <v>125</v>
      </c>
      <c r="C4845" s="54" t="n">
        <f aca="false">IF(C4770&lt;=Assumptions!$E$83,Assumptions!$E$82*Assumptions!$D$108/Assumptions!$E$83,0)</f>
        <v>62500</v>
      </c>
      <c r="D4845" s="54" t="n">
        <f aca="false">IF(D4770&lt;=Assumptions!$E$83,Assumptions!$E$82*Assumptions!$D$108/Assumptions!$E$83,0)</f>
        <v>62500</v>
      </c>
      <c r="E4845" s="54" t="n">
        <f aca="false">IF(E4770&lt;=Assumptions!$E$83,Assumptions!$E$82*Assumptions!$D$108/Assumptions!$E$83,0)</f>
        <v>62500</v>
      </c>
      <c r="F4845" s="54" t="n">
        <f aca="false">IF(F4770&lt;=Assumptions!$E$83,Assumptions!$E$82*Assumptions!$D$108/Assumptions!$E$83,0)</f>
        <v>62500</v>
      </c>
      <c r="G4845" s="54" t="n">
        <f aca="false">IF(G4770&lt;=Assumptions!$E$83,Assumptions!$E$82*Assumptions!$D$108/Assumptions!$E$83,0)</f>
        <v>0</v>
      </c>
      <c r="H4845" s="54" t="n">
        <f aca="false">IF(H4770&lt;=Assumptions!$E$83,Assumptions!$E$82*Assumptions!$D$108/Assumptions!$E$83,0)</f>
        <v>0</v>
      </c>
      <c r="I4845" s="54" t="n">
        <f aca="false">IF(I4770&lt;=Assumptions!$E$83,Assumptions!$E$82*Assumptions!$D$108/Assumptions!$E$83,0)</f>
        <v>0</v>
      </c>
      <c r="J4845" s="54" t="n">
        <f aca="false">IF(J4770&lt;=Assumptions!$E$83,Assumptions!$E$82*Assumptions!$D$108/Assumptions!$E$83,0)</f>
        <v>0</v>
      </c>
      <c r="K4845" s="54" t="n">
        <f aca="false">IF(K4770&lt;=Assumptions!$E$83,Assumptions!$E$82*Assumptions!$D$108/Assumptions!$E$83,0)</f>
        <v>0</v>
      </c>
      <c r="L4845" s="54" t="n">
        <f aca="false">IF(L4770&lt;=Assumptions!$E$83,Assumptions!$E$82*Assumptions!$D$108/Assumptions!$E$83,0)</f>
        <v>0</v>
      </c>
      <c r="M4845" s="54" t="n">
        <f aca="false">IF(M4770&lt;=Assumptions!$E$83,Assumptions!$E$82*Assumptions!$D$108/Assumptions!$E$83,0)</f>
        <v>0</v>
      </c>
      <c r="N4845" s="54" t="n">
        <f aca="false">IF(N4770&lt;=Assumptions!$E$83,Assumptions!$E$82*Assumptions!$D$108/Assumptions!$E$83,0)</f>
        <v>0</v>
      </c>
      <c r="P4845" s="55" t="n">
        <f aca="false">SUM(C4845:F4845)</f>
        <v>250000</v>
      </c>
      <c r="Q4845" s="55" t="n">
        <f aca="false">SUM(G4845:J4845)</f>
        <v>0</v>
      </c>
      <c r="R4845" s="55" t="n">
        <f aca="false">SUM(K4845:N4845)</f>
        <v>0</v>
      </c>
      <c r="S4845" s="56" t="n">
        <f aca="false">SUM(P4845:R4845)</f>
        <v>250000</v>
      </c>
    </row>
    <row r="4846" customFormat="false" ht="15" hidden="false" customHeight="false" outlineLevel="0" collapsed="false">
      <c r="A4846" s="4" t="s">
        <v>565</v>
      </c>
      <c r="B4846" s="36" t="s">
        <v>125</v>
      </c>
      <c r="C4846" s="54" t="n">
        <f aca="false">C4834*Assumptions!$E$73/Assumptions!$E$69/4</f>
        <v>0</v>
      </c>
      <c r="D4846" s="54" t="n">
        <f aca="false">D4834*Assumptions!$E$73/Assumptions!$E$69/4</f>
        <v>410.937899683786</v>
      </c>
      <c r="E4846" s="54" t="n">
        <f aca="false">E4834*Assumptions!$E$73/Assumptions!$E$69/4</f>
        <v>1155.23504798329</v>
      </c>
      <c r="F4846" s="54" t="n">
        <f aca="false">F4834*Assumptions!$E$73/Assumptions!$E$69/4</f>
        <v>1988.90576000517</v>
      </c>
      <c r="G4846" s="54" t="n">
        <f aca="false">G4834*Assumptions!$E$73/Assumptions!$E$69/4</f>
        <v>2883.78850399624</v>
      </c>
      <c r="H4846" s="54" t="n">
        <f aca="false">H4834*Assumptions!$E$73/Assumptions!$E$69/4</f>
        <v>3991.94214527989</v>
      </c>
      <c r="I4846" s="54" t="n">
        <f aca="false">I4834*Assumptions!$E$73/Assumptions!$E$69/4</f>
        <v>5302.78228606608</v>
      </c>
      <c r="J4846" s="54" t="n">
        <f aca="false">J4834*Assumptions!$E$73/Assumptions!$E$69/4</f>
        <v>7131.58067908916</v>
      </c>
      <c r="K4846" s="54" t="n">
        <f aca="false">K4834*Assumptions!$E$73/Assumptions!$E$69/4</f>
        <v>9449.08551723827</v>
      </c>
      <c r="L4846" s="54" t="n">
        <f aca="false">L4834*Assumptions!$E$73/Assumptions!$E$69/4</f>
        <v>11765.115249957</v>
      </c>
      <c r="M4846" s="54" t="n">
        <f aca="false">M4834*Assumptions!$E$73/Assumptions!$E$69/4</f>
        <v>13951.6566731807</v>
      </c>
      <c r="N4846" s="54" t="n">
        <f aca="false">N4834*Assumptions!$E$73/Assumptions!$E$69/4</f>
        <v>16008.381252134</v>
      </c>
      <c r="P4846" s="55" t="n">
        <f aca="false">SUM(C4846:F4846)</f>
        <v>3555.07870767224</v>
      </c>
      <c r="Q4846" s="55" t="n">
        <f aca="false">SUM(G4846:J4846)</f>
        <v>19310.0936144314</v>
      </c>
      <c r="R4846" s="55" t="n">
        <f aca="false">SUM(K4846:N4846)</f>
        <v>51174.23869251</v>
      </c>
      <c r="S4846" s="56" t="n">
        <f aca="false">SUM(P4846:R4846)</f>
        <v>74039.4110146136</v>
      </c>
    </row>
    <row r="4847" customFormat="false" ht="15" hidden="false" customHeight="false" outlineLevel="0" collapsed="false">
      <c r="A4847" s="9" t="s">
        <v>566</v>
      </c>
      <c r="B4847" s="36" t="s">
        <v>125</v>
      </c>
      <c r="C4847" s="55" t="n">
        <f aca="false">C4843+C4844+C4845+C4846</f>
        <v>273265.178571429</v>
      </c>
      <c r="D4847" s="55" t="n">
        <f aca="false">D4843+D4844+D4845+D4846</f>
        <v>239206.829973632</v>
      </c>
      <c r="E4847" s="55" t="n">
        <f aca="false">E4843+E4844+E4845+E4846</f>
        <v>246539.407626131</v>
      </c>
      <c r="F4847" s="55" t="n">
        <f aca="false">F4843+F4844+F4845+F4846</f>
        <v>251842.259828487</v>
      </c>
      <c r="G4847" s="55" t="n">
        <f aca="false">G4843+G4844+G4845+G4846</f>
        <v>238649.830789175</v>
      </c>
      <c r="H4847" s="55" t="n">
        <f aca="false">H4843+H4844+H4845+H4846</f>
        <v>204077.379025386</v>
      </c>
      <c r="I4847" s="55" t="n">
        <f aca="false">I4843+I4844+I4845+I4846</f>
        <v>250050.737262178</v>
      </c>
      <c r="J4847" s="55" t="n">
        <f aca="false">J4843+J4844+J4845+J4846</f>
        <v>218728.288901827</v>
      </c>
      <c r="K4847" s="55" t="n">
        <f aca="false">K4843+K4844+K4845+K4846</f>
        <v>228861.504398593</v>
      </c>
      <c r="L4847" s="55" t="n">
        <f aca="false">L4843+L4844+L4845+L4846</f>
        <v>233568.570584822</v>
      </c>
      <c r="M4847" s="55" t="n">
        <f aca="false">M4843+M4844+M4845+M4846</f>
        <v>235357.272240064</v>
      </c>
      <c r="N4847" s="55" t="n">
        <f aca="false">N4843+N4844+N4845+N4846</f>
        <v>236678.449698164</v>
      </c>
      <c r="P4847" s="55" t="n">
        <f aca="false">SUM(C4847:F4847)</f>
        <v>1010853.67599968</v>
      </c>
      <c r="Q4847" s="55" t="n">
        <f aca="false">SUM(G4847:J4847)</f>
        <v>911506.235978566</v>
      </c>
      <c r="R4847" s="55" t="n">
        <f aca="false">SUM(K4847:N4847)</f>
        <v>934465.796921643</v>
      </c>
      <c r="S4847" s="56" t="n">
        <f aca="false">SUM(P4847:R4847)</f>
        <v>2856825.70889989</v>
      </c>
    </row>
    <row r="4848" customFormat="false" ht="15" hidden="false" customHeight="false" outlineLevel="0" collapsed="false">
      <c r="A4848" s="35" t="s">
        <v>567</v>
      </c>
      <c r="B4848" s="35" t="s">
        <v>444</v>
      </c>
      <c r="C4848" s="6" t="s">
        <v>354</v>
      </c>
      <c r="D4848" s="6" t="s">
        <v>355</v>
      </c>
      <c r="E4848" s="6" t="s">
        <v>356</v>
      </c>
      <c r="F4848" s="6" t="s">
        <v>357</v>
      </c>
      <c r="G4848" s="6" t="s">
        <v>358</v>
      </c>
      <c r="H4848" s="6" t="s">
        <v>359</v>
      </c>
      <c r="I4848" s="6" t="s">
        <v>360</v>
      </c>
      <c r="J4848" s="6" t="s">
        <v>361</v>
      </c>
      <c r="K4848" s="6" t="s">
        <v>362</v>
      </c>
      <c r="L4848" s="6" t="s">
        <v>363</v>
      </c>
      <c r="M4848" s="6" t="s">
        <v>364</v>
      </c>
      <c r="N4848" s="6" t="s">
        <v>365</v>
      </c>
      <c r="P4848" s="6" t="s">
        <v>445</v>
      </c>
      <c r="Q4848" s="6" t="s">
        <v>446</v>
      </c>
      <c r="R4848" s="6" t="s">
        <v>447</v>
      </c>
      <c r="S4848" s="6" t="s">
        <v>448</v>
      </c>
    </row>
    <row r="4849" customFormat="false" ht="15" hidden="false" customHeight="false" outlineLevel="0" collapsed="false">
      <c r="A4849" s="9" t="s">
        <v>568</v>
      </c>
      <c r="B4849" s="36" t="s">
        <v>125</v>
      </c>
      <c r="C4849" s="55" t="n">
        <f aca="false">C4827-C4847</f>
        <v>-273265.178571429</v>
      </c>
      <c r="D4849" s="55" t="n">
        <f aca="false">D4827-D4847</f>
        <v>-238691.679833119</v>
      </c>
      <c r="E4849" s="55" t="n">
        <f aca="false">E4827-E4847</f>
        <v>-244366.941291695</v>
      </c>
      <c r="F4849" s="55" t="n">
        <f aca="false">F4827-F4847</f>
        <v>-247096.338362307</v>
      </c>
      <c r="G4849" s="55" t="n">
        <f aca="false">G4827-G4847</f>
        <v>-230879.976099976</v>
      </c>
      <c r="H4849" s="55" t="n">
        <f aca="false">H4827-H4847</f>
        <v>-192757.006372186</v>
      </c>
      <c r="I4849" s="55" t="n">
        <f aca="false">I4827-I4847</f>
        <v>-234415.026915383</v>
      </c>
      <c r="J4849" s="55" t="n">
        <f aca="false">J4827-J4847</f>
        <v>-197533.836838845</v>
      </c>
      <c r="K4849" s="55" t="n">
        <f aca="false">K4827-K4847</f>
        <v>-200329.168260377</v>
      </c>
      <c r="L4849" s="55" t="n">
        <f aca="false">L4827-L4847</f>
        <v>-196461.093630824</v>
      </c>
      <c r="M4849" s="55" t="n">
        <f aca="false">M4827-M4847</f>
        <v>-189385.702292335</v>
      </c>
      <c r="N4849" s="55" t="n">
        <f aca="false">N4827-N4847</f>
        <v>-181904.146913665</v>
      </c>
      <c r="P4849" s="55" t="n">
        <f aca="false">SUM(C4849:F4849)</f>
        <v>-1003420.13805855</v>
      </c>
      <c r="Q4849" s="55" t="n">
        <f aca="false">SUM(G4849:J4849)</f>
        <v>-855585.84622639</v>
      </c>
      <c r="R4849" s="55" t="n">
        <f aca="false">SUM(K4849:N4849)</f>
        <v>-768080.111097201</v>
      </c>
      <c r="S4849" s="56" t="n">
        <f aca="false">SUM(P4849:R4849)</f>
        <v>-2627086.09538214</v>
      </c>
    </row>
    <row r="4850" customFormat="false" ht="15" hidden="false" customHeight="false" outlineLevel="0" collapsed="false">
      <c r="A4850" s="9" t="s">
        <v>569</v>
      </c>
      <c r="B4850" s="36" t="s">
        <v>125</v>
      </c>
      <c r="C4850" s="55" t="n">
        <f aca="false">0+C4849</f>
        <v>-273265.178571429</v>
      </c>
      <c r="D4850" s="55" t="n">
        <f aca="false">C4850+D4849</f>
        <v>-511956.858404547</v>
      </c>
      <c r="E4850" s="55" t="n">
        <f aca="false">D4850+E4849</f>
        <v>-756323.799696243</v>
      </c>
      <c r="F4850" s="55" t="n">
        <f aca="false">E4850+F4849</f>
        <v>-1003420.13805855</v>
      </c>
      <c r="G4850" s="55" t="n">
        <f aca="false">F4850+G4849</f>
        <v>-1234300.11415853</v>
      </c>
      <c r="H4850" s="55" t="n">
        <f aca="false">G4850+H4849</f>
        <v>-1427057.12053071</v>
      </c>
      <c r="I4850" s="55" t="n">
        <f aca="false">H4850+I4849</f>
        <v>-1661472.14744609</v>
      </c>
      <c r="J4850" s="55" t="n">
        <f aca="false">I4850+J4849</f>
        <v>-1859005.98428494</v>
      </c>
      <c r="K4850" s="55" t="n">
        <f aca="false">J4850+K4849</f>
        <v>-2059335.15254532</v>
      </c>
      <c r="L4850" s="55" t="n">
        <f aca="false">K4850+L4849</f>
        <v>-2255796.24617614</v>
      </c>
      <c r="M4850" s="55" t="n">
        <f aca="false">L4850+M4849</f>
        <v>-2445181.94846848</v>
      </c>
      <c r="N4850" s="55" t="n">
        <f aca="false">M4850+N4849</f>
        <v>-2627086.09538214</v>
      </c>
      <c r="P4850" s="55" t="n">
        <f aca="false">F4850</f>
        <v>-1003420.13805855</v>
      </c>
      <c r="Q4850" s="55" t="n">
        <f aca="false">J4850</f>
        <v>-1859005.98428494</v>
      </c>
      <c r="R4850" s="55" t="n">
        <f aca="false">N4850</f>
        <v>-2627086.09538214</v>
      </c>
      <c r="S4850" s="56" t="n">
        <f aca="false">R4850</f>
        <v>-2627086.09538214</v>
      </c>
    </row>
    <row r="4851" customFormat="false" ht="15" hidden="false" customHeight="false" outlineLevel="0" collapsed="false">
      <c r="A4851" s="4" t="s">
        <v>570</v>
      </c>
      <c r="B4851" s="36" t="s">
        <v>107</v>
      </c>
      <c r="C4851" s="57" t="n">
        <f aca="false">1/(1+Assumptions!$E$87)^(C4770/4)</f>
        <v>0.972065420906982</v>
      </c>
      <c r="D4851" s="57" t="n">
        <f aca="false">1/(1+Assumptions!$E$87)^(D4770/4)</f>
        <v>0.944911182523068</v>
      </c>
      <c r="E4851" s="57" t="n">
        <f aca="false">1/(1+Assumptions!$E$87)^(E4770/4)</f>
        <v>0.918515486359</v>
      </c>
      <c r="F4851" s="57" t="n">
        <f aca="false">1/(1+Assumptions!$E$87)^(F4770/4)</f>
        <v>0.892857142857143</v>
      </c>
      <c r="G4851" s="57" t="n">
        <f aca="false">1/(1+Assumptions!$E$87)^(G4770/4)</f>
        <v>0.867915554381234</v>
      </c>
      <c r="H4851" s="57" t="n">
        <f aca="false">1/(1+Assumptions!$E$87)^(H4770/4)</f>
        <v>0.843670698681311</v>
      </c>
      <c r="I4851" s="57" t="n">
        <f aca="false">1/(1+Assumptions!$E$87)^(I4770/4)</f>
        <v>0.820103112820536</v>
      </c>
      <c r="J4851" s="57" t="n">
        <f aca="false">1/(1+Assumptions!$E$87)^(J4770/4)</f>
        <v>0.79719387755102</v>
      </c>
      <c r="K4851" s="57" t="n">
        <f aca="false">1/(1+Assumptions!$E$87)^(K4770/4)</f>
        <v>0.774924602126102</v>
      </c>
      <c r="L4851" s="57" t="n">
        <f aca="false">1/(1+Assumptions!$E$87)^(L4770/4)</f>
        <v>0.753277409536885</v>
      </c>
      <c r="M4851" s="57" t="n">
        <f aca="false">1/(1+Assumptions!$E$87)^(M4770/4)</f>
        <v>0.732234922161193</v>
      </c>
      <c r="N4851" s="57" t="n">
        <f aca="false">1/(1+Assumptions!$E$87)^(N4770/4)</f>
        <v>0.711780247813411</v>
      </c>
      <c r="P4851" s="58"/>
      <c r="Q4851" s="58"/>
      <c r="R4851" s="58"/>
      <c r="S4851" s="59"/>
    </row>
    <row r="4852" customFormat="false" ht="15" hidden="false" customHeight="false" outlineLevel="0" collapsed="false">
      <c r="A4852" s="4" t="s">
        <v>571</v>
      </c>
      <c r="B4852" s="36" t="s">
        <v>125</v>
      </c>
      <c r="C4852" s="54" t="n">
        <f aca="false">(C4827*(1-Assumptions!$E$88)-C4847)*C4851</f>
        <v>-265631.630827257</v>
      </c>
      <c r="D4852" s="54" t="n">
        <f aca="false">(D4827*(1-Assumptions!$E$88)-D4847)*D4851</f>
        <v>-225639.79167522</v>
      </c>
      <c r="E4852" s="54" t="n">
        <f aca="false">(E4827*(1-Assumptions!$E$88)-E4847)*E4851</f>
        <v>-224853.908724957</v>
      </c>
      <c r="F4852" s="54" t="n">
        <f aca="false">(F4827*(1-Assumptions!$E$88)-F4847)*F4851</f>
        <v>-221469.216656735</v>
      </c>
      <c r="G4852" s="54" t="n">
        <f aca="false">(G4827*(1-Assumptions!$E$88)-G4847)*G4851</f>
        <v>-201733.038000344</v>
      </c>
      <c r="H4852" s="54" t="n">
        <f aca="false">(H4827*(1-Assumptions!$E$88)-H4847)*H4851</f>
        <v>-164533.571582872</v>
      </c>
      <c r="I4852" s="54" t="n">
        <f aca="false">(I4827*(1-Assumptions!$E$88)-I4847)*I4851</f>
        <v>-194809.072210529</v>
      </c>
      <c r="J4852" s="54" t="n">
        <f aca="false">(J4827*(1-Assumptions!$E$88)-J4847)*J4851</f>
        <v>-160851.982821621</v>
      </c>
      <c r="K4852" s="54" t="n">
        <f aca="false">(K4827*(1-Assumptions!$E$88)-K4847)*K4851</f>
        <v>-159662.082854353</v>
      </c>
      <c r="L4852" s="54" t="n">
        <f aca="false">(L4827*(1-Assumptions!$E$88)-L4847)*L4851</f>
        <v>-153580.148507882</v>
      </c>
      <c r="M4852" s="54" t="n">
        <f aca="false">(M4827*(1-Assumptions!$E$88)-M4847)*M4851</f>
        <v>-145407.222764931</v>
      </c>
      <c r="N4852" s="54" t="n">
        <f aca="false">(N4827*(1-Assumptions!$E$88)-N4847)*N4851</f>
        <v>-137273.232130447</v>
      </c>
      <c r="P4852" s="55" t="n">
        <f aca="false">SUM(C4852:F4852)</f>
        <v>-937594.547884169</v>
      </c>
      <c r="Q4852" s="55" t="n">
        <f aca="false">SUM(G4852:J4852)</f>
        <v>-721927.664615365</v>
      </c>
      <c r="R4852" s="55" t="n">
        <f aca="false">SUM(K4852:N4852)</f>
        <v>-595922.686257613</v>
      </c>
      <c r="S4852" s="56" t="n">
        <f aca="false">SUM(P4852:R4852)</f>
        <v>-2255444.89875715</v>
      </c>
    </row>
    <row r="4853" customFormat="false" ht="15" hidden="false" customHeight="false" outlineLevel="0" collapsed="false">
      <c r="A4853" s="4" t="s">
        <v>572</v>
      </c>
      <c r="B4853" s="36" t="s">
        <v>125</v>
      </c>
      <c r="C4853" s="54" t="n">
        <f aca="false">(C4847-C4846)*12/(Assumptions!$E$89*Assumptions!$E$76)*Assumptions!$E$90</f>
        <v>189183.585164835</v>
      </c>
      <c r="D4853" s="54" t="n">
        <f aca="false">(D4847-D4846)*12/(Assumptions!$E$89*Assumptions!$E$76)*Assumptions!$E$90</f>
        <v>165320.232974272</v>
      </c>
      <c r="E4853" s="54" t="n">
        <f aca="false">(E4847-E4846)*12/(Assumptions!$E$89*Assumptions!$E$76)*Assumptions!$E$90</f>
        <v>169881.35024641</v>
      </c>
      <c r="F4853" s="54" t="n">
        <f aca="false">(F4847-F4846)*12/(Assumptions!$E$89*Assumptions!$E$76)*Assumptions!$E$90</f>
        <v>172975.398970488</v>
      </c>
      <c r="G4853" s="54" t="n">
        <f aca="false">(G4847-G4846)*12/(Assumptions!$E$89*Assumptions!$E$76)*Assumptions!$E$90</f>
        <v>163222.64465897</v>
      </c>
      <c r="H4853" s="54" t="n">
        <f aca="false">(H4847-H4846)*12/(Assumptions!$E$89*Assumptions!$E$76)*Assumptions!$E$90</f>
        <v>138520.687070843</v>
      </c>
      <c r="I4853" s="54" t="n">
        <f aca="false">(I4847-I4846)*12/(Assumptions!$E$89*Assumptions!$E$76)*Assumptions!$E$90</f>
        <v>169440.891906539</v>
      </c>
      <c r="J4853" s="54" t="n">
        <f aca="false">(J4847-J4846)*12/(Assumptions!$E$89*Assumptions!$E$76)*Assumptions!$E$90</f>
        <v>146490.028769588</v>
      </c>
      <c r="K4853" s="54" t="n">
        <f aca="false">(K4847-K4846)*12/(Assumptions!$E$89*Assumptions!$E$76)*Assumptions!$E$90</f>
        <v>151900.9053794</v>
      </c>
      <c r="L4853" s="54" t="n">
        <f aca="false">(L4847-L4846)*12/(Assumptions!$E$89*Assumptions!$E$76)*Assumptions!$E$90</f>
        <v>153556.238308753</v>
      </c>
      <c r="M4853" s="54" t="n">
        <f aca="false">(M4847-M4846)*12/(Assumptions!$E$89*Assumptions!$E$76)*Assumptions!$E$90</f>
        <v>153280.810777073</v>
      </c>
      <c r="N4853" s="54" t="n">
        <f aca="false">(N4847-N4846)*12/(Assumptions!$E$89*Assumptions!$E$76)*Assumptions!$E$90</f>
        <v>152771.585847252</v>
      </c>
      <c r="P4853" s="55" t="n">
        <f aca="false">SUM(C4853:F4853)</f>
        <v>697360.567356005</v>
      </c>
      <c r="Q4853" s="55" t="n">
        <f aca="false">SUM(G4853:J4853)</f>
        <v>617674.252405939</v>
      </c>
      <c r="R4853" s="55" t="n">
        <f aca="false">SUM(K4853:N4853)</f>
        <v>611509.540312477</v>
      </c>
      <c r="S4853" s="56" t="n">
        <f aca="false">SUM(P4853:R4853)</f>
        <v>1926544.36007442</v>
      </c>
    </row>
    <row r="4854" customFormat="false" ht="15" hidden="false" customHeight="false" outlineLevel="0" collapsed="false">
      <c r="A4854" s="4" t="s">
        <v>573</v>
      </c>
      <c r="B4854" s="36" t="s">
        <v>125</v>
      </c>
      <c r="C4854" s="54" t="n">
        <f aca="false">0*Assumptions!$E$92^(1/4)+C4853</f>
        <v>189183.585164835</v>
      </c>
      <c r="D4854" s="54" t="n">
        <f aca="false">C4854*Assumptions!$E$92^(1/4)+D4853</f>
        <v>354975.013781286</v>
      </c>
      <c r="E4854" s="54" t="n">
        <f aca="false">D4854*Assumptions!$E$92^(1/4)+E4853</f>
        <v>525740.492951623</v>
      </c>
      <c r="F4854" s="54" t="n">
        <f aca="false">E4854*Assumptions!$E$92^(1/4)+F4853</f>
        <v>700025.342892606</v>
      </c>
      <c r="G4854" s="54" t="n">
        <f aca="false">F4854*Assumptions!$E$92^(1/4)+G4853</f>
        <v>864991.526192619</v>
      </c>
      <c r="H4854" s="54" t="n">
        <f aca="false">G4854*Assumptions!$E$92^(1/4)+H4853</f>
        <v>1005666.62976481</v>
      </c>
      <c r="I4854" s="54" t="n">
        <f aca="false">H4854*Assumptions!$E$92^(1/4)+I4853</f>
        <v>1177612.31474321</v>
      </c>
      <c r="J4854" s="54" t="n">
        <f aca="false">I4854*Assumptions!$E$92^(1/4)+J4853</f>
        <v>1327035.39814542</v>
      </c>
      <c r="K4854" s="54" t="n">
        <f aca="false">J4854*Assumptions!$E$92^(1/4)+K4853</f>
        <v>1482241.52314035</v>
      </c>
      <c r="L4854" s="54" t="n">
        <f aca="false">K4854*Assumptions!$E$92^(1/4)+L4853</f>
        <v>1639489.54974962</v>
      </c>
      <c r="M4854" s="54" t="n">
        <f aca="false">L4854*Assumptions!$E$92^(1/4)+M4853</f>
        <v>1796853.8032343</v>
      </c>
      <c r="N4854" s="54" t="n">
        <f aca="false">M4854*Assumptions!$E$92^(1/4)+N4853</f>
        <v>1954100.77568012</v>
      </c>
      <c r="P4854" s="55" t="n">
        <f aca="false">F4854</f>
        <v>700025.342892606</v>
      </c>
      <c r="Q4854" s="55" t="n">
        <f aca="false">J4854</f>
        <v>1327035.39814542</v>
      </c>
      <c r="R4854" s="55" t="n">
        <f aca="false">N4854</f>
        <v>1954100.77568012</v>
      </c>
      <c r="S4854" s="56" t="n">
        <f aca="false">R4854</f>
        <v>1954100.77568012</v>
      </c>
    </row>
    <row r="4855" customFormat="false" ht="15" hidden="false" customHeight="false" outlineLevel="0" collapsed="false">
      <c r="A4855" s="4" t="s">
        <v>574</v>
      </c>
      <c r="B4855" s="36" t="s">
        <v>125</v>
      </c>
      <c r="C4855" s="54" t="n">
        <f aca="false">(0+C4854)/8*Assumptions!$E$76-(C4847-C4846)-C4854*Assumptions!$E$93/4</f>
        <v>-260258.807091346</v>
      </c>
      <c r="D4855" s="54" t="n">
        <f aca="false">(C4854+D4854)/8*Assumptions!$E$76-(D4847-D4846)-D4854*Assumptions!$E$93/4</f>
        <v>-199020.193581842</v>
      </c>
      <c r="E4855" s="54" t="n">
        <f aca="false">(D4854+E4854)/8*Assumptions!$E$76-(E4847-E4846)-E4854*Assumptions!$E$93/4</f>
        <v>-180397.793817995</v>
      </c>
      <c r="F4855" s="54" t="n">
        <f aca="false">(E4854+F4854)/8*Assumptions!$E$76-(F4847-F4846)-F4854*Assumptions!$E$93/4</f>
        <v>-159010.196692296</v>
      </c>
      <c r="G4855" s="54" t="n">
        <f aca="false">(F4854+G4854)/8*Assumptions!$E$76-(G4847-G4846)-G4854*Assumptions!$E$93/4</f>
        <v>-119420.815749412</v>
      </c>
      <c r="H4855" s="54" t="n">
        <f aca="false">(G4854+H4854)/8*Assumptions!$E$76-(H4847-H4846)-H4854*Assumptions!$E$93/4</f>
        <v>-60665.2945806248</v>
      </c>
      <c r="I4855" s="54" t="n">
        <f aca="false">(H4854+I4854)/8*Assumptions!$E$76-(I4847-I4846)-I4854*Assumptions!$E$93/4</f>
        <v>-82076.6946691254</v>
      </c>
      <c r="J4855" s="54" t="n">
        <f aca="false">(I4854+J4854)/8*Assumptions!$E$76-(J4847-J4846)-J4854*Assumptions!$E$93/4</f>
        <v>-24682.0240273544</v>
      </c>
      <c r="K4855" s="54" t="n">
        <f aca="false">(J4854+K4854)/8*Assumptions!$E$76-(K4847-K4846)-K4854*Assumptions!$E$93/4</f>
        <v>-9686.68806614066</v>
      </c>
      <c r="L4855" s="54" t="n">
        <f aca="false">(K4854+L4854)/8*Assumptions!$E$76-(L4847-L4846)-L4854*Assumptions!$E$93/4</f>
        <v>11343.5749655742</v>
      </c>
      <c r="M4855" s="54" t="n">
        <f aca="false">(L4854+M4854)/8*Assumptions!$E$76-(M4847-M4846)-M4854*Assumptions!$E$93/4</f>
        <v>35336.6093226314</v>
      </c>
      <c r="N4855" s="54" t="n">
        <f aca="false">(M4854+N4854)/8*Assumptions!$E$76-(N4847-N4846)-N4854*Assumptions!$E$93/4</f>
        <v>59668.7313947647</v>
      </c>
      <c r="P4855" s="55" t="n">
        <f aca="false">SUM(C4855:F4855)</f>
        <v>-798686.991183479</v>
      </c>
      <c r="Q4855" s="55" t="n">
        <f aca="false">SUM(G4855:J4855)</f>
        <v>-286844.829026517</v>
      </c>
      <c r="R4855" s="55" t="n">
        <f aca="false">SUM(K4855:N4855)</f>
        <v>96662.2276168296</v>
      </c>
      <c r="S4855" s="56" t="n">
        <f aca="false">SUM(P4855:R4855)</f>
        <v>-988869.592593166</v>
      </c>
    </row>
    <row r="4856" customFormat="false" ht="15" hidden="false" customHeight="false" outlineLevel="0" collapsed="false">
      <c r="A4856" s="4" t="s">
        <v>575</v>
      </c>
      <c r="B4856" s="36" t="s">
        <v>125</v>
      </c>
      <c r="C4856" s="54" t="n">
        <f aca="false">C4855*C4851</f>
        <v>-252988.586859998</v>
      </c>
      <c r="D4856" s="54" t="n">
        <f aca="false">D4855*D4851</f>
        <v>-188056.406463388</v>
      </c>
      <c r="E4856" s="54" t="n">
        <f aca="false">E4855*E4851</f>
        <v>-165698.167326826</v>
      </c>
      <c r="F4856" s="54" t="n">
        <f aca="false">F4855*F4851</f>
        <v>-141973.389903836</v>
      </c>
      <c r="G4856" s="54" t="n">
        <f aca="false">G4855*G4851</f>
        <v>-103647.18350581</v>
      </c>
      <c r="H4856" s="54" t="n">
        <f aca="false">H4855*H4851</f>
        <v>-51181.5314645432</v>
      </c>
      <c r="I4856" s="54" t="n">
        <f aca="false">I4855*I4851</f>
        <v>-67311.3527881704</v>
      </c>
      <c r="J4856" s="54" t="n">
        <f aca="false">J4855*J4851</f>
        <v>-19676.3584401741</v>
      </c>
      <c r="K4856" s="54" t="n">
        <f aca="false">K4855*K4851</f>
        <v>-7506.45289557371</v>
      </c>
      <c r="L4856" s="54" t="n">
        <f aca="false">L4855*L4851</f>
        <v>8544.85876495517</v>
      </c>
      <c r="M4856" s="54" t="n">
        <f aca="false">M4855*M4851</f>
        <v>25874.6993767975</v>
      </c>
      <c r="N4856" s="54" t="n">
        <f aca="false">N4855*N4851</f>
        <v>42471.0244188775</v>
      </c>
      <c r="P4856" s="55" t="n">
        <f aca="false">SUM(C4856:F4856)</f>
        <v>-748716.550554048</v>
      </c>
      <c r="Q4856" s="55" t="n">
        <f aca="false">SUM(G4856:J4856)</f>
        <v>-241816.426198698</v>
      </c>
      <c r="R4856" s="55" t="n">
        <f aca="false">SUM(K4856:N4856)</f>
        <v>69384.1296650564</v>
      </c>
      <c r="S4856" s="56" t="n">
        <f aca="false">SUM(P4856:R4856)</f>
        <v>-921148.84708769</v>
      </c>
    </row>
    <row r="4857" customFormat="false" ht="15" hidden="false" customHeight="false" outlineLevel="0" collapsed="false">
      <c r="A4857" s="4" t="s">
        <v>576</v>
      </c>
      <c r="B4857" s="36"/>
      <c r="C4857" s="37" t="n">
        <f aca="false">IFERROR((S4812*$C$4761*Assumptions!$E$59+S4813*$C$4762*Assumptions!$E$60+S4814*$C$4763*Assumptions!$E$61)/(S4812*$C$4761+S4813*$C$4762+S4814*$C$4763),0.9)</f>
        <v>0.897372181179546</v>
      </c>
    </row>
    <row r="4858" customFormat="false" ht="15" hidden="false" customHeight="false" outlineLevel="0" collapsed="false">
      <c r="A4858" s="4" t="s">
        <v>577</v>
      </c>
      <c r="B4858" s="36"/>
      <c r="C4858" s="37" t="n">
        <f aca="false">IFERROR(N4846*4/N4824,0)</f>
        <v>0.175911884278844</v>
      </c>
    </row>
    <row r="4859" customFormat="false" ht="15" hidden="false" customHeight="false" outlineLevel="0" collapsed="false">
      <c r="A4859" s="4" t="s">
        <v>578</v>
      </c>
      <c r="B4859" s="36"/>
      <c r="C4859" s="60" t="n">
        <f aca="false">$C$4857/(1+Assumptions!$E$87)</f>
        <v>0.801225161767451</v>
      </c>
    </row>
    <row r="4860" customFormat="false" ht="15" hidden="false" customHeight="false" outlineLevel="0" collapsed="false">
      <c r="A4860" s="4" t="s">
        <v>579</v>
      </c>
      <c r="B4860" s="36"/>
      <c r="C4860" s="60" t="n">
        <f aca="false">Assumptions!$E$91/(1+Assumptions!$E$87)</f>
        <v>0.803571428571429</v>
      </c>
    </row>
    <row r="4861" customFormat="false" ht="15" hidden="false" customHeight="false" outlineLevel="0" collapsed="false">
      <c r="A4861" s="35" t="s">
        <v>580</v>
      </c>
      <c r="B4861" s="35" t="s">
        <v>444</v>
      </c>
      <c r="C4861" s="6" t="s">
        <v>354</v>
      </c>
      <c r="D4861" s="6" t="s">
        <v>355</v>
      </c>
      <c r="E4861" s="6" t="s">
        <v>356</v>
      </c>
      <c r="F4861" s="6" t="s">
        <v>357</v>
      </c>
      <c r="G4861" s="6" t="s">
        <v>358</v>
      </c>
      <c r="H4861" s="6" t="s">
        <v>359</v>
      </c>
      <c r="I4861" s="6" t="s">
        <v>360</v>
      </c>
      <c r="J4861" s="6" t="s">
        <v>361</v>
      </c>
      <c r="K4861" s="6" t="s">
        <v>362</v>
      </c>
      <c r="L4861" s="6" t="s">
        <v>363</v>
      </c>
      <c r="M4861" s="6" t="s">
        <v>364</v>
      </c>
      <c r="N4861" s="6" t="s">
        <v>365</v>
      </c>
      <c r="P4861" s="6" t="s">
        <v>445</v>
      </c>
      <c r="Q4861" s="6" t="s">
        <v>446</v>
      </c>
      <c r="R4861" s="6" t="s">
        <v>447</v>
      </c>
      <c r="S4861" s="6" t="s">
        <v>448</v>
      </c>
    </row>
    <row r="4862" customFormat="false" ht="15" hidden="false" customHeight="false" outlineLevel="0" collapsed="false">
      <c r="A4862" s="9" t="s">
        <v>581</v>
      </c>
      <c r="C4862" s="61" t="n">
        <f aca="false">N4824</f>
        <v>364009.090523039</v>
      </c>
      <c r="D4862" s="61"/>
    </row>
    <row r="4863" customFormat="false" ht="15" hidden="false" customHeight="false" outlineLevel="0" collapsed="false">
      <c r="A4863" s="9" t="s">
        <v>582</v>
      </c>
      <c r="C4863" s="62" t="n">
        <f aca="false">N4820</f>
        <v>35.3772136101422</v>
      </c>
      <c r="D4863" s="62"/>
    </row>
    <row r="4864" customFormat="false" ht="15" hidden="false" customHeight="false" outlineLevel="0" collapsed="false">
      <c r="A4864" s="9" t="s">
        <v>583</v>
      </c>
      <c r="C4864" s="63" t="n">
        <f aca="false">S4815</f>
        <v>39.1065139018526</v>
      </c>
      <c r="D4864" s="63"/>
    </row>
    <row r="4865" customFormat="false" ht="15" hidden="false" customHeight="false" outlineLevel="0" collapsed="false">
      <c r="A4865" s="9" t="s">
        <v>584</v>
      </c>
      <c r="C4865" s="61" t="n">
        <f aca="false">S4826</f>
        <v>353445.559258074</v>
      </c>
      <c r="D4865" s="61"/>
    </row>
    <row r="4866" customFormat="false" ht="15" hidden="false" customHeight="false" outlineLevel="0" collapsed="false">
      <c r="A4866" s="9" t="s">
        <v>22</v>
      </c>
      <c r="C4866" s="61" t="n">
        <f aca="false">IFERROR(S4825/S4815,0)</f>
        <v>8847.97350983958</v>
      </c>
      <c r="D4866" s="61"/>
    </row>
    <row r="4867" customFormat="false" ht="15" hidden="false" customHeight="false" outlineLevel="0" collapsed="false">
      <c r="A4867" s="9" t="s">
        <v>585</v>
      </c>
      <c r="C4867" s="61" t="n">
        <f aca="false">IFERROR(S4843/S4815,0)</f>
        <v>53200.8705460447</v>
      </c>
      <c r="D4867" s="61"/>
    </row>
    <row r="4868" customFormat="false" ht="23.85" hidden="false" customHeight="false" outlineLevel="0" collapsed="false">
      <c r="A4868" s="9" t="s">
        <v>586</v>
      </c>
      <c r="C4868" s="61" t="n">
        <f aca="false">IFERROR((S4837+S4839+S4840+S4841+S4842)/S4815,0)</f>
        <v>20219.9748216177</v>
      </c>
      <c r="D4868" s="61"/>
    </row>
    <row r="4869" customFormat="false" ht="15" hidden="false" customHeight="false" outlineLevel="0" collapsed="false">
      <c r="A4869" s="9" t="s">
        <v>587</v>
      </c>
      <c r="C4869" s="64" t="n">
        <f aca="false">IFERROR('Engine Runs'!$C$4867/('Engine Runs'!$C$4866*Assumptions!$E$76/12),0)</f>
        <v>111.005069881922</v>
      </c>
      <c r="D4869" s="64"/>
    </row>
    <row r="4870" customFormat="false" ht="15" hidden="false" customHeight="false" outlineLevel="0" collapsed="false">
      <c r="A4870" s="9" t="s">
        <v>588</v>
      </c>
      <c r="C4870" s="64" t="n">
        <f aca="false">IFERROR((R4843/R4815)/((R4825/R4815)*Assumptions!$E$76/12),0)</f>
        <v>70.968466043185</v>
      </c>
      <c r="D4870" s="64"/>
    </row>
    <row r="4871" customFormat="false" ht="15" hidden="false" customHeight="false" outlineLevel="0" collapsed="false">
      <c r="A4871" s="9" t="s">
        <v>589</v>
      </c>
      <c r="C4871" s="61" t="n">
        <f aca="false">S4847</f>
        <v>2856825.70889989</v>
      </c>
      <c r="D4871" s="61"/>
    </row>
    <row r="4872" customFormat="false" ht="15" hidden="false" customHeight="false" outlineLevel="0" collapsed="false">
      <c r="A4872" s="9" t="s">
        <v>590</v>
      </c>
      <c r="C4872" s="61" t="n">
        <f aca="false">N4850</f>
        <v>-2627086.09538214</v>
      </c>
      <c r="D4872" s="61"/>
    </row>
    <row r="4873" customFormat="false" ht="15" hidden="false" customHeight="false" outlineLevel="0" collapsed="false">
      <c r="A4873" s="9" t="s">
        <v>591</v>
      </c>
      <c r="C4873" s="61" t="n">
        <f aca="false">MIN($C$4850:$N$4850)</f>
        <v>-2627086.09538214</v>
      </c>
      <c r="D4873" s="61"/>
    </row>
    <row r="4874" customFormat="false" ht="15" hidden="false" customHeight="false" outlineLevel="0" collapsed="false">
      <c r="A4874" s="9" t="s">
        <v>592</v>
      </c>
      <c r="C4874" s="61" t="n">
        <f aca="false">N4824*(Assumptions!$E$76-$C$4858)*$C$4857*(1-$C$4857^Assumptions!$E$85)/(1-$C$4857)</f>
        <v>630868.109056122</v>
      </c>
      <c r="D4874" s="61"/>
    </row>
    <row r="4875" customFormat="false" ht="15" hidden="false" customHeight="false" outlineLevel="0" collapsed="false">
      <c r="A4875" s="9" t="s">
        <v>593</v>
      </c>
      <c r="C4875" s="61" t="n">
        <f aca="false">N4824*(Assumptions!$E$76-$C$4858)*(1-Assumptions!$E$88)/(1+Assumptions!$E$87)^2.5*$C$4859*(1-$C$4859^Assumptions!$E$85)/(1-$C$4859)</f>
        <v>280773.81247159</v>
      </c>
      <c r="D4875" s="61"/>
    </row>
    <row r="4876" customFormat="false" ht="15" hidden="false" customHeight="false" outlineLevel="0" collapsed="false">
      <c r="A4876" s="9" t="s">
        <v>594</v>
      </c>
      <c r="C4876" s="61" t="n">
        <f aca="false">SUM($C$4852:$N$4852)+'Engine Runs'!$C$4875</f>
        <v>-1974671.08628556</v>
      </c>
      <c r="D4876" s="61"/>
    </row>
    <row r="4877" customFormat="false" ht="15" hidden="false" customHeight="false" outlineLevel="0" collapsed="false">
      <c r="A4877" s="9" t="s">
        <v>595</v>
      </c>
      <c r="C4877" s="61" t="n">
        <f aca="false">SUM($C$4856:$N$4856)+N4854*(Assumptions!$E$76-Assumptions!$E$93)/(1+Assumptions!$E$87)^2.5*$C$4860*(1-$C$4860^Assumptions!$E$85)/(1-$C$4860)</f>
        <v>1481307.54997726</v>
      </c>
      <c r="D4877" s="61"/>
    </row>
    <row r="4878" customFormat="false" ht="15" hidden="false" customHeight="false" outlineLevel="0" collapsed="false">
      <c r="A4878" s="9" t="s">
        <v>596</v>
      </c>
      <c r="C4878" s="61" t="n">
        <f aca="false">'Engine Runs'!$C$4876-'Engine Runs'!$C$4877</f>
        <v>-3455978.63626282</v>
      </c>
      <c r="D4878" s="61"/>
    </row>
    <row r="4879" customFormat="false" ht="15" hidden="false" customHeight="false" outlineLevel="0" collapsed="false">
      <c r="A4879" s="9" t="s">
        <v>597</v>
      </c>
      <c r="C4879" s="61" t="n">
        <f aca="false">S4811</f>
        <v>0</v>
      </c>
      <c r="D4879" s="61"/>
    </row>
    <row r="4880" customFormat="false" ht="15" hidden="false" customHeight="false" outlineLevel="0" collapsed="false">
      <c r="A4880" s="9" t="s">
        <v>598</v>
      </c>
      <c r="C4880" s="63" t="n">
        <f aca="false">P4795</f>
        <v>43.6188722246667</v>
      </c>
      <c r="D4880" s="63"/>
    </row>
    <row r="4881" customFormat="false" ht="15" hidden="false" customHeight="false" outlineLevel="0" collapsed="false">
      <c r="A4881" s="9" t="s">
        <v>599</v>
      </c>
      <c r="C4881" s="63" t="n">
        <f aca="false">P4815</f>
        <v>4.41614932106171</v>
      </c>
      <c r="D4881" s="63"/>
    </row>
    <row r="4882" customFormat="false" ht="15" hidden="false" customHeight="false" outlineLevel="0" collapsed="false">
      <c r="A4882" s="9" t="s">
        <v>600</v>
      </c>
      <c r="C4882" s="63" t="n">
        <f aca="false">P4791</f>
        <v>42</v>
      </c>
      <c r="D4882" s="63"/>
    </row>
    <row r="4883" customFormat="false" ht="15" hidden="false" customHeight="false" outlineLevel="0" collapsed="false">
      <c r="A4883" s="9" t="s">
        <v>601</v>
      </c>
      <c r="C4883" s="61" t="n">
        <f aca="false">IFERROR(P4825/P4815,0)</f>
        <v>8545.01753177967</v>
      </c>
      <c r="D4883" s="61"/>
    </row>
    <row r="4886" customFormat="false" ht="15" hidden="false" customHeight="true" outlineLevel="0" collapsed="false">
      <c r="A4886" s="78" t="s">
        <v>846</v>
      </c>
      <c r="B4886" s="78"/>
      <c r="C4886" s="78"/>
      <c r="D4886" s="78"/>
      <c r="E4886" s="78"/>
      <c r="F4886" s="78"/>
      <c r="G4886" s="78"/>
      <c r="H4886" s="78"/>
      <c r="I4886" s="78"/>
      <c r="J4886" s="78"/>
      <c r="K4886" s="78"/>
      <c r="L4886" s="78"/>
      <c r="M4886" s="78"/>
      <c r="N4886" s="78"/>
    </row>
    <row r="4887" customFormat="false" ht="15" hidden="false" customHeight="true" outlineLevel="0" collapsed="false">
      <c r="A4887" s="79" t="s">
        <v>847</v>
      </c>
      <c r="B4887" s="79"/>
      <c r="C4887" s="79"/>
      <c r="D4887" s="79"/>
      <c r="E4887" s="79"/>
      <c r="F4887" s="79"/>
      <c r="G4887" s="79"/>
      <c r="H4887" s="79"/>
      <c r="I4887" s="79"/>
      <c r="J4887" s="79"/>
      <c r="K4887" s="79"/>
      <c r="L4887" s="79"/>
      <c r="M4887" s="79"/>
      <c r="N4887" s="79"/>
    </row>
    <row r="4888" customFormat="false" ht="15" hidden="false" customHeight="false" outlineLevel="0" collapsed="false">
      <c r="A4888" s="35" t="s">
        <v>848</v>
      </c>
      <c r="B4888" s="35" t="s">
        <v>444</v>
      </c>
      <c r="C4888" s="6" t="s">
        <v>354</v>
      </c>
      <c r="D4888" s="6" t="s">
        <v>355</v>
      </c>
      <c r="E4888" s="6" t="s">
        <v>356</v>
      </c>
      <c r="F4888" s="6" t="s">
        <v>357</v>
      </c>
      <c r="G4888" s="6" t="s">
        <v>358</v>
      </c>
      <c r="H4888" s="6" t="s">
        <v>359</v>
      </c>
      <c r="I4888" s="6" t="s">
        <v>360</v>
      </c>
      <c r="J4888" s="6" t="s">
        <v>361</v>
      </c>
      <c r="K4888" s="6" t="s">
        <v>362</v>
      </c>
      <c r="L4888" s="6" t="s">
        <v>363</v>
      </c>
      <c r="M4888" s="6" t="s">
        <v>364</v>
      </c>
      <c r="N4888" s="6" t="s">
        <v>365</v>
      </c>
      <c r="P4888" s="6" t="s">
        <v>445</v>
      </c>
      <c r="Q4888" s="6" t="s">
        <v>446</v>
      </c>
      <c r="R4888" s="6" t="s">
        <v>447</v>
      </c>
      <c r="S4888" s="6" t="s">
        <v>448</v>
      </c>
    </row>
    <row r="4889" customFormat="false" ht="15" hidden="false" customHeight="false" outlineLevel="0" collapsed="false">
      <c r="A4889" s="4" t="s">
        <v>449</v>
      </c>
      <c r="B4889" s="36" t="s">
        <v>450</v>
      </c>
      <c r="C4889" s="34" t="n">
        <f aca="false">'Market Sizing'!$C$17*Assumptions!$E$10*Assumptions!$E$11*(1-Assumptions!$E$12)</f>
        <v>843.03944704</v>
      </c>
    </row>
    <row r="4890" customFormat="false" ht="15" hidden="false" customHeight="false" outlineLevel="0" collapsed="false">
      <c r="A4890" s="4" t="s">
        <v>451</v>
      </c>
      <c r="B4890" s="36" t="s">
        <v>450</v>
      </c>
      <c r="C4890" s="34" t="n">
        <f aca="false">'Market Sizing'!$D$17*Assumptions!$E$10*Assumptions!$E$11*(1-Assumptions!$E$12)</f>
        <v>211.19616</v>
      </c>
    </row>
    <row r="4891" customFormat="false" ht="15" hidden="false" customHeight="false" outlineLevel="0" collapsed="false">
      <c r="A4891" s="4" t="s">
        <v>452</v>
      </c>
      <c r="B4891" s="36" t="s">
        <v>450</v>
      </c>
      <c r="C4891" s="34" t="n">
        <f aca="false">'Market Sizing'!$E$17*Assumptions!$E$10*Assumptions!$E$11*(1-Assumptions!$E$12)</f>
        <v>49.53984</v>
      </c>
    </row>
    <row r="4892" customFormat="false" ht="15" hidden="false" customHeight="false" outlineLevel="0" collapsed="false">
      <c r="A4892" s="4" t="s">
        <v>453</v>
      </c>
      <c r="B4892" s="36"/>
      <c r="C4892" s="34" t="n">
        <f aca="false">$C$4889+$C$4890+$C$4891</f>
        <v>1103.77544704</v>
      </c>
    </row>
    <row r="4893" customFormat="false" ht="15" hidden="false" customHeight="false" outlineLevel="0" collapsed="false">
      <c r="A4893" s="4" t="s">
        <v>454</v>
      </c>
      <c r="B4893" s="36" t="s">
        <v>450</v>
      </c>
      <c r="C4893" s="34" t="n">
        <f aca="false">'Market Sizing'!$C$18*Assumptions!$E$10*Assumptions!$E$11*(1-Assumptions!$E$12)</f>
        <v>612.57706944</v>
      </c>
    </row>
    <row r="4894" customFormat="false" ht="15" hidden="false" customHeight="false" outlineLevel="0" collapsed="false">
      <c r="A4894" s="4" t="s">
        <v>455</v>
      </c>
      <c r="B4894" s="36" t="s">
        <v>450</v>
      </c>
      <c r="C4894" s="34" t="n">
        <f aca="false">'Market Sizing'!$D$18*Assumptions!$E$10*Assumptions!$E$11*(1-Assumptions!$E$12)</f>
        <v>142.10112</v>
      </c>
    </row>
    <row r="4895" customFormat="false" ht="15" hidden="false" customHeight="false" outlineLevel="0" collapsed="false">
      <c r="A4895" s="4" t="s">
        <v>456</v>
      </c>
      <c r="B4895" s="36" t="s">
        <v>450</v>
      </c>
      <c r="C4895" s="34" t="n">
        <f aca="false">'Market Sizing'!$E$18*Assumptions!$E$10*Assumptions!$E$11*(1-Assumptions!$E$12)</f>
        <v>24.76992</v>
      </c>
    </row>
    <row r="4896" customFormat="false" ht="15" hidden="false" customHeight="false" outlineLevel="0" collapsed="false">
      <c r="A4896" s="4" t="s">
        <v>457</v>
      </c>
      <c r="B4896" s="36"/>
      <c r="C4896" s="34" t="n">
        <f aca="false">$C$4893+$C$4894+$C$4895</f>
        <v>779.44810944</v>
      </c>
    </row>
    <row r="4897" customFormat="false" ht="15" hidden="false" customHeight="false" outlineLevel="0" collapsed="false">
      <c r="A4897" s="4" t="s">
        <v>458</v>
      </c>
      <c r="B4897" s="36" t="s">
        <v>450</v>
      </c>
      <c r="C4897" s="34" t="n">
        <f aca="false">'Market Sizing'!$C$19*Assumptions!$E$10*Assumptions!$E$11*(1-Assumptions!$E$12)</f>
        <v>2060.77303936</v>
      </c>
    </row>
    <row r="4898" customFormat="false" ht="15" hidden="false" customHeight="false" outlineLevel="0" collapsed="false">
      <c r="A4898" s="4" t="s">
        <v>459</v>
      </c>
      <c r="B4898" s="36" t="s">
        <v>450</v>
      </c>
      <c r="C4898" s="34" t="n">
        <f aca="false">'Market Sizing'!$D$19*Assumptions!$E$10*Assumptions!$E$11*(1-Assumptions!$E$12)</f>
        <v>428.47616</v>
      </c>
    </row>
    <row r="4899" customFormat="false" ht="15" hidden="false" customHeight="false" outlineLevel="0" collapsed="false">
      <c r="A4899" s="4" t="s">
        <v>460</v>
      </c>
      <c r="B4899" s="36" t="s">
        <v>450</v>
      </c>
      <c r="C4899" s="34" t="n">
        <f aca="false">'Market Sizing'!$E$19*Assumptions!$E$10*Assumptions!$E$11*(1-Assumptions!$E$12)</f>
        <v>79.52448</v>
      </c>
    </row>
    <row r="4900" customFormat="false" ht="15" hidden="false" customHeight="false" outlineLevel="0" collapsed="false">
      <c r="A4900" s="4" t="s">
        <v>461</v>
      </c>
      <c r="B4900" s="36"/>
      <c r="C4900" s="34" t="n">
        <f aca="false">$C$4897+$C$4898+$C$4899</f>
        <v>2568.77367936</v>
      </c>
    </row>
    <row r="4901" customFormat="false" ht="15" hidden="false" customHeight="false" outlineLevel="0" collapsed="false">
      <c r="A4901" s="4" t="s">
        <v>462</v>
      </c>
      <c r="B4901" s="36" t="s">
        <v>463</v>
      </c>
      <c r="C4901" s="33" t="n">
        <f aca="false">MAX((Assumptions!$E$51+Assumptions!$E$53)*12,(((('Market Sizing'!$E$25*Assumptions!$E$41*Assumptions!$E$42*Assumptions!$E$43)*Assumptions!$E$44)*Assumptions!$E$45*Assumptions!$E$46+('Market Sizing'!$E$25*Assumptions!$E$41*Assumptions!$E$42*Assumptions!$E$43)*Assumptions!$E$47+('Market Sizing'!$E$25*Assumptions!$E$41*Assumptions!$E$42*Assumptions!$E$43)*Assumptions!$E$48*Assumptions!$E$49)*(Assumptions!$E$51*12/Assumptions!$E$52)+((('Market Sizing'!$E$25*Assumptions!$E$41*Assumptions!$E$42*Assumptions!$E$43)*Assumptions!$E$44)*Assumptions!$E$45+('Market Sizing'!$E$25*Assumptions!$E$41*Assumptions!$E$42*Assumptions!$E$43)+('Market Sizing'!$E$25*Assumptions!$E$41*Assumptions!$E$42*Assumptions!$E$43)*Assumptions!$E$48)*Assumptions!$E$50*(Assumptions!$E$53*12/Assumptions!$E$54)))</f>
        <v>5352</v>
      </c>
    </row>
    <row r="4902" customFormat="false" ht="15" hidden="false" customHeight="false" outlineLevel="0" collapsed="false">
      <c r="A4902" s="4" t="s">
        <v>464</v>
      </c>
      <c r="B4902" s="36" t="s">
        <v>463</v>
      </c>
      <c r="C4902" s="33" t="n">
        <f aca="false">MAX((Assumptions!$E$51+Assumptions!$E$53)*12,(((('Market Sizing'!$E$26*Assumptions!$E$41*Assumptions!$E$42*Assumptions!$E$43)*Assumptions!$E$44)*Assumptions!$E$45*Assumptions!$E$46+('Market Sizing'!$E$26*Assumptions!$E$41*Assumptions!$E$42*Assumptions!$E$43)*Assumptions!$E$47+('Market Sizing'!$E$26*Assumptions!$E$41*Assumptions!$E$42*Assumptions!$E$43)*Assumptions!$E$48*Assumptions!$E$49)*(Assumptions!$E$51*12/Assumptions!$E$52)+((('Market Sizing'!$E$26*Assumptions!$E$41*Assumptions!$E$42*Assumptions!$E$43)*Assumptions!$E$44)*Assumptions!$E$45+('Market Sizing'!$E$26*Assumptions!$E$41*Assumptions!$E$42*Assumptions!$E$43)+('Market Sizing'!$E$26*Assumptions!$E$41*Assumptions!$E$42*Assumptions!$E$43)*Assumptions!$E$48)*Assumptions!$E$50*(Assumptions!$E$53*12/Assumptions!$E$54)))</f>
        <v>9766.72012875208</v>
      </c>
    </row>
    <row r="4903" customFormat="false" ht="15" hidden="false" customHeight="false" outlineLevel="0" collapsed="false">
      <c r="A4903" s="4" t="s">
        <v>465</v>
      </c>
      <c r="B4903" s="36" t="s">
        <v>463</v>
      </c>
      <c r="C4903" s="33" t="n">
        <f aca="false">MAX(Assumptions!$E$55*(Assumptions!$E$51*12/Assumptions!$E$52)+Assumptions!$E$56*(Assumptions!$E$53*12/Assumptions!$E$54),(((('Market Sizing'!$E$27*Assumptions!$E$41*Assumptions!$E$42*Assumptions!$E$43)*Assumptions!$E$44)*Assumptions!$E$45*Assumptions!$E$46+('Market Sizing'!$E$27*Assumptions!$E$41*Assumptions!$E$42*Assumptions!$E$43)*Assumptions!$E$47+('Market Sizing'!$E$27*Assumptions!$E$41*Assumptions!$E$42*Assumptions!$E$43)*Assumptions!$E$48*Assumptions!$E$49)*(Assumptions!$E$51*12/Assumptions!$E$52)+((('Market Sizing'!$E$27*Assumptions!$E$41*Assumptions!$E$42*Assumptions!$E$43)*Assumptions!$E$44)*Assumptions!$E$45+('Market Sizing'!$E$27*Assumptions!$E$41*Assumptions!$E$42*Assumptions!$E$43)+('Market Sizing'!$E$27*Assumptions!$E$41*Assumptions!$E$42*Assumptions!$E$43)*Assumptions!$E$48)*Assumptions!$E$50*(Assumptions!$E$53*12/Assumptions!$E$54)))*(1-Assumptions!$E$57)</f>
        <v>61778.2562194386</v>
      </c>
    </row>
    <row r="4904" customFormat="false" ht="23.85" hidden="false" customHeight="false" outlineLevel="0" collapsed="false">
      <c r="A4904" s="4" t="s">
        <v>466</v>
      </c>
      <c r="B4904" s="36" t="s">
        <v>467</v>
      </c>
      <c r="C4904" s="37" t="n">
        <f aca="false">Assumptions!$E$17*Assumptions!$D$106</f>
        <v>0.4</v>
      </c>
    </row>
    <row r="4905" customFormat="false" ht="23.85" hidden="false" customHeight="false" outlineLevel="0" collapsed="false">
      <c r="A4905" s="4" t="s">
        <v>468</v>
      </c>
      <c r="B4905" s="36" t="s">
        <v>469</v>
      </c>
      <c r="C4905" s="33" t="n">
        <f aca="false">Assumptions!$E$68/Assumptions!$E$69</f>
        <v>285714.285714286</v>
      </c>
    </row>
    <row r="4906" customFormat="false" ht="23.85" hidden="false" customHeight="false" outlineLevel="0" collapsed="false">
      <c r="A4906" s="4" t="s">
        <v>470</v>
      </c>
      <c r="B4906" s="36" t="s">
        <v>471</v>
      </c>
      <c r="C4906" s="33" t="n">
        <f aca="false">Assumptions!$E$66*Assumptions!$E$67/4</f>
        <v>153125</v>
      </c>
    </row>
    <row r="4907" customFormat="false" ht="15" hidden="false" customHeight="false" outlineLevel="0" collapsed="false">
      <c r="A4907" s="4" t="s">
        <v>472</v>
      </c>
      <c r="B4907" s="36"/>
      <c r="C4907" s="38" t="n">
        <f aca="false">$C$4905/Assumptions!$E$66/Assumptions!$E$67</f>
        <v>0.466472303206997</v>
      </c>
    </row>
    <row r="4908" customFormat="false" ht="15" hidden="false" customHeight="false" outlineLevel="0" collapsed="false">
      <c r="A4908" s="4" t="s">
        <v>473</v>
      </c>
      <c r="B4908" s="36"/>
      <c r="C4908" s="33" t="n">
        <f aca="false">MAX(0,Assumptions!$D$103-Assumptions!$E$78)</f>
        <v>0</v>
      </c>
    </row>
    <row r="4909" customFormat="false" ht="15" hidden="false" customHeight="false" outlineLevel="0" collapsed="false">
      <c r="A4909" s="35" t="s">
        <v>474</v>
      </c>
      <c r="B4909" s="35" t="s">
        <v>444</v>
      </c>
      <c r="C4909" s="6" t="s">
        <v>354</v>
      </c>
      <c r="D4909" s="6" t="s">
        <v>355</v>
      </c>
      <c r="E4909" s="6" t="s">
        <v>356</v>
      </c>
      <c r="F4909" s="6" t="s">
        <v>357</v>
      </c>
      <c r="G4909" s="6" t="s">
        <v>358</v>
      </c>
      <c r="H4909" s="6" t="s">
        <v>359</v>
      </c>
      <c r="I4909" s="6" t="s">
        <v>360</v>
      </c>
      <c r="J4909" s="6" t="s">
        <v>361</v>
      </c>
      <c r="K4909" s="6" t="s">
        <v>362</v>
      </c>
      <c r="L4909" s="6" t="s">
        <v>363</v>
      </c>
      <c r="M4909" s="6" t="s">
        <v>364</v>
      </c>
      <c r="N4909" s="6" t="s">
        <v>365</v>
      </c>
      <c r="P4909" s="6" t="s">
        <v>445</v>
      </c>
      <c r="Q4909" s="6" t="s">
        <v>446</v>
      </c>
      <c r="R4909" s="6" t="s">
        <v>447</v>
      </c>
      <c r="S4909" s="6" t="s">
        <v>448</v>
      </c>
    </row>
    <row r="4910" customFormat="false" ht="15" hidden="false" customHeight="false" outlineLevel="0" collapsed="false">
      <c r="A4910" s="4" t="s">
        <v>475</v>
      </c>
      <c r="B4910" s="36" t="s">
        <v>133</v>
      </c>
      <c r="C4910" s="39" t="n">
        <v>1</v>
      </c>
      <c r="D4910" s="39" t="n">
        <v>2</v>
      </c>
      <c r="E4910" s="39" t="n">
        <v>3</v>
      </c>
      <c r="F4910" s="39" t="n">
        <v>4</v>
      </c>
      <c r="G4910" s="39" t="n">
        <v>5</v>
      </c>
      <c r="H4910" s="39" t="n">
        <v>6</v>
      </c>
      <c r="I4910" s="39" t="n">
        <v>7</v>
      </c>
      <c r="J4910" s="39" t="n">
        <v>8</v>
      </c>
      <c r="K4910" s="39" t="n">
        <v>9</v>
      </c>
      <c r="L4910" s="39" t="n">
        <v>10</v>
      </c>
      <c r="M4910" s="39" t="n">
        <v>11</v>
      </c>
      <c r="N4910" s="39" t="n">
        <v>12</v>
      </c>
      <c r="P4910" s="40"/>
      <c r="Q4910" s="40"/>
      <c r="R4910" s="40"/>
      <c r="S4910" s="41"/>
    </row>
    <row r="4911" customFormat="false" ht="15" hidden="false" customHeight="false" outlineLevel="0" collapsed="false">
      <c r="A4911" s="4" t="s">
        <v>476</v>
      </c>
      <c r="B4911" s="36" t="s">
        <v>343</v>
      </c>
      <c r="C4911" s="39" t="n">
        <f aca="false">IF(C4910&lt;=Assumptions!$E$84,1,0)</f>
        <v>1</v>
      </c>
      <c r="D4911" s="39" t="n">
        <f aca="false">IF(D4910&lt;=Assumptions!$E$84,1,0)</f>
        <v>1</v>
      </c>
      <c r="E4911" s="39" t="n">
        <f aca="false">IF(E4910&lt;=Assumptions!$E$84,1,0)</f>
        <v>1</v>
      </c>
      <c r="F4911" s="39" t="n">
        <f aca="false">IF(F4910&lt;=Assumptions!$E$84,1,0)</f>
        <v>1</v>
      </c>
      <c r="G4911" s="39" t="n">
        <f aca="false">IF(G4910&lt;=Assumptions!$E$84,1,0)</f>
        <v>1</v>
      </c>
      <c r="H4911" s="39" t="n">
        <f aca="false">IF(H4910&lt;=Assumptions!$E$84,1,0)</f>
        <v>1</v>
      </c>
      <c r="I4911" s="39" t="n">
        <f aca="false">IF(I4910&lt;=Assumptions!$E$84,1,0)</f>
        <v>1</v>
      </c>
      <c r="J4911" s="39" t="n">
        <f aca="false">IF(J4910&lt;=Assumptions!$E$84,1,0)</f>
        <v>1</v>
      </c>
      <c r="K4911" s="39" t="n">
        <f aca="false">IF(K4910&lt;=Assumptions!$E$84,1,0)</f>
        <v>1</v>
      </c>
      <c r="L4911" s="39" t="n">
        <f aca="false">IF(L4910&lt;=Assumptions!$E$84,1,0)</f>
        <v>1</v>
      </c>
      <c r="M4911" s="39" t="n">
        <f aca="false">IF(M4910&lt;=Assumptions!$E$84,1,0)</f>
        <v>1</v>
      </c>
      <c r="N4911" s="39" t="n">
        <f aca="false">IF(N4910&lt;=Assumptions!$E$84,1,0)</f>
        <v>1</v>
      </c>
      <c r="P4911" s="40"/>
      <c r="Q4911" s="40"/>
      <c r="R4911" s="40"/>
      <c r="S4911" s="41"/>
    </row>
    <row r="4912" customFormat="false" ht="15" hidden="false" customHeight="false" outlineLevel="0" collapsed="false">
      <c r="A4912" s="4" t="s">
        <v>477</v>
      </c>
      <c r="B4912" s="36" t="s">
        <v>478</v>
      </c>
      <c r="C4912" s="42" t="n">
        <f aca="false">IF(C4910=Assumptions!$E$13,0.5,IF(C4910&gt;Assumptions!$E$13,1,0))</f>
        <v>0.5</v>
      </c>
      <c r="D4912" s="42" t="n">
        <f aca="false">IF(D4910=Assumptions!$E$13,0.5,IF(D4910&gt;Assumptions!$E$13,1,0))</f>
        <v>1</v>
      </c>
      <c r="E4912" s="42" t="n">
        <f aca="false">IF(E4910=Assumptions!$E$13,0.5,IF(E4910&gt;Assumptions!$E$13,1,0))</f>
        <v>1</v>
      </c>
      <c r="F4912" s="42" t="n">
        <f aca="false">IF(F4910=Assumptions!$E$13,0.5,IF(F4910&gt;Assumptions!$E$13,1,0))</f>
        <v>1</v>
      </c>
      <c r="G4912" s="42" t="n">
        <f aca="false">IF(G4910=Assumptions!$E$13,0.5,IF(G4910&gt;Assumptions!$E$13,1,0))</f>
        <v>1</v>
      </c>
      <c r="H4912" s="42" t="n">
        <f aca="false">IF(H4910=Assumptions!$E$13,0.5,IF(H4910&gt;Assumptions!$E$13,1,0))</f>
        <v>1</v>
      </c>
      <c r="I4912" s="42" t="n">
        <f aca="false">IF(I4910=Assumptions!$E$13,0.5,IF(I4910&gt;Assumptions!$E$13,1,0))</f>
        <v>1</v>
      </c>
      <c r="J4912" s="42" t="n">
        <f aca="false">IF(J4910=Assumptions!$E$13,0.5,IF(J4910&gt;Assumptions!$E$13,1,0))</f>
        <v>1</v>
      </c>
      <c r="K4912" s="42" t="n">
        <f aca="false">IF(K4910=Assumptions!$E$13,0.5,IF(K4910&gt;Assumptions!$E$13,1,0))</f>
        <v>1</v>
      </c>
      <c r="L4912" s="42" t="n">
        <f aca="false">IF(L4910=Assumptions!$E$13,0.5,IF(L4910&gt;Assumptions!$E$13,1,0))</f>
        <v>1</v>
      </c>
      <c r="M4912" s="42" t="n">
        <f aca="false">IF(M4910=Assumptions!$E$13,0.5,IF(M4910&gt;Assumptions!$E$13,1,0))</f>
        <v>1</v>
      </c>
      <c r="N4912" s="42" t="n">
        <f aca="false">IF(N4910=Assumptions!$E$13,0.5,IF(N4910&gt;Assumptions!$E$13,1,0))</f>
        <v>1</v>
      </c>
      <c r="P4912" s="43"/>
      <c r="Q4912" s="43"/>
      <c r="R4912" s="43"/>
      <c r="S4912" s="44"/>
    </row>
    <row r="4913" customFormat="false" ht="15" hidden="false" customHeight="false" outlineLevel="0" collapsed="false">
      <c r="A4913" s="4" t="s">
        <v>479</v>
      </c>
      <c r="B4913" s="36" t="s">
        <v>478</v>
      </c>
      <c r="C4913" s="42" t="n">
        <f aca="false">IF(C4910=Assumptions!$E$14,0.5,IF(C4910&gt;Assumptions!$E$14,1,0))</f>
        <v>0</v>
      </c>
      <c r="D4913" s="42" t="n">
        <f aca="false">IF(D4910=Assumptions!$E$14,0.5,IF(D4910&gt;Assumptions!$E$14,1,0))</f>
        <v>0</v>
      </c>
      <c r="E4913" s="42" t="n">
        <f aca="false">IF(E4910=Assumptions!$E$14,0.5,IF(E4910&gt;Assumptions!$E$14,1,0))</f>
        <v>0</v>
      </c>
      <c r="F4913" s="42" t="n">
        <f aca="false">IF(F4910=Assumptions!$E$14,0.5,IF(F4910&gt;Assumptions!$E$14,1,0))</f>
        <v>0</v>
      </c>
      <c r="G4913" s="42" t="n">
        <f aca="false">IF(G4910=Assumptions!$E$14,0.5,IF(G4910&gt;Assumptions!$E$14,1,0))</f>
        <v>0.5</v>
      </c>
      <c r="H4913" s="42" t="n">
        <f aca="false">IF(H4910=Assumptions!$E$14,0.5,IF(H4910&gt;Assumptions!$E$14,1,0))</f>
        <v>1</v>
      </c>
      <c r="I4913" s="42" t="n">
        <f aca="false">IF(I4910=Assumptions!$E$14,0.5,IF(I4910&gt;Assumptions!$E$14,1,0))</f>
        <v>1</v>
      </c>
      <c r="J4913" s="42" t="n">
        <f aca="false">IF(J4910=Assumptions!$E$14,0.5,IF(J4910&gt;Assumptions!$E$14,1,0))</f>
        <v>1</v>
      </c>
      <c r="K4913" s="42" t="n">
        <f aca="false">IF(K4910=Assumptions!$E$14,0.5,IF(K4910&gt;Assumptions!$E$14,1,0))</f>
        <v>1</v>
      </c>
      <c r="L4913" s="42" t="n">
        <f aca="false">IF(L4910=Assumptions!$E$14,0.5,IF(L4910&gt;Assumptions!$E$14,1,0))</f>
        <v>1</v>
      </c>
      <c r="M4913" s="42" t="n">
        <f aca="false">IF(M4910=Assumptions!$E$14,0.5,IF(M4910&gt;Assumptions!$E$14,1,0))</f>
        <v>1</v>
      </c>
      <c r="N4913" s="42" t="n">
        <f aca="false">IF(N4910=Assumptions!$E$14,0.5,IF(N4910&gt;Assumptions!$E$14,1,0))</f>
        <v>1</v>
      </c>
      <c r="P4913" s="43"/>
      <c r="Q4913" s="43"/>
      <c r="R4913" s="43"/>
      <c r="S4913" s="44"/>
    </row>
    <row r="4914" customFormat="false" ht="15" hidden="false" customHeight="false" outlineLevel="0" collapsed="false">
      <c r="A4914" s="4" t="s">
        <v>480</v>
      </c>
      <c r="B4914" s="36" t="s">
        <v>478</v>
      </c>
      <c r="C4914" s="42" t="n">
        <f aca="false">IF(C4910=Assumptions!$E$15,0.5,IF(C4910&gt;Assumptions!$E$15,1,0))</f>
        <v>0</v>
      </c>
      <c r="D4914" s="42" t="n">
        <f aca="false">IF(D4910=Assumptions!$E$15,0.5,IF(D4910&gt;Assumptions!$E$15,1,0))</f>
        <v>0</v>
      </c>
      <c r="E4914" s="42" t="n">
        <f aca="false">IF(E4910=Assumptions!$E$15,0.5,IF(E4910&gt;Assumptions!$E$15,1,0))</f>
        <v>0</v>
      </c>
      <c r="F4914" s="42" t="n">
        <f aca="false">IF(F4910=Assumptions!$E$15,0.5,IF(F4910&gt;Assumptions!$E$15,1,0))</f>
        <v>0</v>
      </c>
      <c r="G4914" s="42" t="n">
        <f aca="false">IF(G4910=Assumptions!$E$15,0.5,IF(G4910&gt;Assumptions!$E$15,1,0))</f>
        <v>0</v>
      </c>
      <c r="H4914" s="42" t="n">
        <f aca="false">IF(H4910=Assumptions!$E$15,0.5,IF(H4910&gt;Assumptions!$E$15,1,0))</f>
        <v>0</v>
      </c>
      <c r="I4914" s="42" t="n">
        <f aca="false">IF(I4910=Assumptions!$E$15,0.5,IF(I4910&gt;Assumptions!$E$15,1,0))</f>
        <v>0.5</v>
      </c>
      <c r="J4914" s="42" t="n">
        <f aca="false">IF(J4910=Assumptions!$E$15,0.5,IF(J4910&gt;Assumptions!$E$15,1,0))</f>
        <v>1</v>
      </c>
      <c r="K4914" s="42" t="n">
        <f aca="false">IF(K4910=Assumptions!$E$15,0.5,IF(K4910&gt;Assumptions!$E$15,1,0))</f>
        <v>1</v>
      </c>
      <c r="L4914" s="42" t="n">
        <f aca="false">IF(L4910=Assumptions!$E$15,0.5,IF(L4910&gt;Assumptions!$E$15,1,0))</f>
        <v>1</v>
      </c>
      <c r="M4914" s="42" t="n">
        <f aca="false">IF(M4910=Assumptions!$E$15,0.5,IF(M4910&gt;Assumptions!$E$15,1,0))</f>
        <v>1</v>
      </c>
      <c r="N4914" s="42" t="n">
        <f aca="false">IF(N4910=Assumptions!$E$15,0.5,IF(N4910&gt;Assumptions!$E$15,1,0))</f>
        <v>1</v>
      </c>
      <c r="P4914" s="43"/>
      <c r="Q4914" s="43"/>
      <c r="R4914" s="43"/>
      <c r="S4914" s="44"/>
    </row>
    <row r="4915" customFormat="false" ht="15" hidden="false" customHeight="false" outlineLevel="0" collapsed="false">
      <c r="A4915" s="4" t="s">
        <v>481</v>
      </c>
      <c r="B4915" s="36" t="s">
        <v>478</v>
      </c>
      <c r="C4915" s="45" t="n">
        <f aca="false">Assumptions!$E$21^(MAX(0,C4910-Assumptions!$E$13)/4)</f>
        <v>1</v>
      </c>
      <c r="D4915" s="45" t="n">
        <f aca="false">Assumptions!$E$21^(MAX(0,D4910-Assumptions!$E$13)/4)</f>
        <v>0.9306048591021</v>
      </c>
      <c r="E4915" s="45" t="n">
        <f aca="false">Assumptions!$E$21^(MAX(0,E4910-Assumptions!$E$13)/4)</f>
        <v>0.866025403784439</v>
      </c>
      <c r="F4915" s="45" t="n">
        <f aca="false">Assumptions!$E$21^(MAX(0,F4910-Assumptions!$E$13)/4)</f>
        <v>0.805927448867656</v>
      </c>
      <c r="G4915" s="45" t="n">
        <f aca="false">Assumptions!$E$21^(MAX(0,G4910-Assumptions!$E$13)/4)</f>
        <v>0.75</v>
      </c>
      <c r="H4915" s="45" t="n">
        <f aca="false">Assumptions!$E$21^(MAX(0,H4910-Assumptions!$E$13)/4)</f>
        <v>0.697953644326575</v>
      </c>
      <c r="I4915" s="45" t="n">
        <f aca="false">Assumptions!$E$21^(MAX(0,I4910-Assumptions!$E$13)/4)</f>
        <v>0.649519052838329</v>
      </c>
      <c r="J4915" s="45" t="n">
        <f aca="false">Assumptions!$E$21^(MAX(0,J4910-Assumptions!$E$13)/4)</f>
        <v>0.604445586650742</v>
      </c>
      <c r="K4915" s="45" t="n">
        <f aca="false">Assumptions!$E$21^(MAX(0,K4910-Assumptions!$E$13)/4)</f>
        <v>0.5625</v>
      </c>
      <c r="L4915" s="45" t="n">
        <f aca="false">Assumptions!$E$21^(MAX(0,L4910-Assumptions!$E$13)/4)</f>
        <v>0.523465233244931</v>
      </c>
      <c r="M4915" s="45" t="n">
        <f aca="false">Assumptions!$E$21^(MAX(0,M4910-Assumptions!$E$13)/4)</f>
        <v>0.487139289628747</v>
      </c>
      <c r="N4915" s="45" t="n">
        <f aca="false">Assumptions!$E$21^(MAX(0,N4910-Assumptions!$E$13)/4)</f>
        <v>0.453334189988057</v>
      </c>
      <c r="P4915" s="46"/>
      <c r="Q4915" s="46"/>
      <c r="R4915" s="46"/>
      <c r="S4915" s="47"/>
    </row>
    <row r="4916" customFormat="false" ht="15" hidden="false" customHeight="false" outlineLevel="0" collapsed="false">
      <c r="A4916" s="4" t="s">
        <v>482</v>
      </c>
      <c r="B4916" s="36" t="s">
        <v>478</v>
      </c>
      <c r="C4916" s="45" t="n">
        <f aca="false">Assumptions!$E$21^(MAX(0,C4910-Assumptions!$E$14)/4)</f>
        <v>1</v>
      </c>
      <c r="D4916" s="45" t="n">
        <f aca="false">Assumptions!$E$21^(MAX(0,D4910-Assumptions!$E$14)/4)</f>
        <v>1</v>
      </c>
      <c r="E4916" s="45" t="n">
        <f aca="false">Assumptions!$E$21^(MAX(0,E4910-Assumptions!$E$14)/4)</f>
        <v>1</v>
      </c>
      <c r="F4916" s="45" t="n">
        <f aca="false">Assumptions!$E$21^(MAX(0,F4910-Assumptions!$E$14)/4)</f>
        <v>1</v>
      </c>
      <c r="G4916" s="45" t="n">
        <f aca="false">Assumptions!$E$21^(MAX(0,G4910-Assumptions!$E$14)/4)</f>
        <v>1</v>
      </c>
      <c r="H4916" s="45" t="n">
        <f aca="false">Assumptions!$E$21^(MAX(0,H4910-Assumptions!$E$14)/4)</f>
        <v>0.9306048591021</v>
      </c>
      <c r="I4916" s="45" t="n">
        <f aca="false">Assumptions!$E$21^(MAX(0,I4910-Assumptions!$E$14)/4)</f>
        <v>0.866025403784439</v>
      </c>
      <c r="J4916" s="45" t="n">
        <f aca="false">Assumptions!$E$21^(MAX(0,J4910-Assumptions!$E$14)/4)</f>
        <v>0.805927448867656</v>
      </c>
      <c r="K4916" s="45" t="n">
        <f aca="false">Assumptions!$E$21^(MAX(0,K4910-Assumptions!$E$14)/4)</f>
        <v>0.75</v>
      </c>
      <c r="L4916" s="45" t="n">
        <f aca="false">Assumptions!$E$21^(MAX(0,L4910-Assumptions!$E$14)/4)</f>
        <v>0.697953644326575</v>
      </c>
      <c r="M4916" s="45" t="n">
        <f aca="false">Assumptions!$E$21^(MAX(0,M4910-Assumptions!$E$14)/4)</f>
        <v>0.649519052838329</v>
      </c>
      <c r="N4916" s="45" t="n">
        <f aca="false">Assumptions!$E$21^(MAX(0,N4910-Assumptions!$E$14)/4)</f>
        <v>0.604445586650742</v>
      </c>
      <c r="P4916" s="46"/>
      <c r="Q4916" s="46"/>
      <c r="R4916" s="46"/>
      <c r="S4916" s="47"/>
    </row>
    <row r="4917" customFormat="false" ht="15" hidden="false" customHeight="false" outlineLevel="0" collapsed="false">
      <c r="A4917" s="4" t="s">
        <v>483</v>
      </c>
      <c r="B4917" s="36" t="s">
        <v>478</v>
      </c>
      <c r="C4917" s="45" t="n">
        <f aca="false">Assumptions!$E$21^(MAX(0,C4910-Assumptions!$E$15)/4)</f>
        <v>1</v>
      </c>
      <c r="D4917" s="45" t="n">
        <f aca="false">Assumptions!$E$21^(MAX(0,D4910-Assumptions!$E$15)/4)</f>
        <v>1</v>
      </c>
      <c r="E4917" s="45" t="n">
        <f aca="false">Assumptions!$E$21^(MAX(0,E4910-Assumptions!$E$15)/4)</f>
        <v>1</v>
      </c>
      <c r="F4917" s="45" t="n">
        <f aca="false">Assumptions!$E$21^(MAX(0,F4910-Assumptions!$E$15)/4)</f>
        <v>1</v>
      </c>
      <c r="G4917" s="45" t="n">
        <f aca="false">Assumptions!$E$21^(MAX(0,G4910-Assumptions!$E$15)/4)</f>
        <v>1</v>
      </c>
      <c r="H4917" s="45" t="n">
        <f aca="false">Assumptions!$E$21^(MAX(0,H4910-Assumptions!$E$15)/4)</f>
        <v>1</v>
      </c>
      <c r="I4917" s="45" t="n">
        <f aca="false">Assumptions!$E$21^(MAX(0,I4910-Assumptions!$E$15)/4)</f>
        <v>1</v>
      </c>
      <c r="J4917" s="45" t="n">
        <f aca="false">Assumptions!$E$21^(MAX(0,J4910-Assumptions!$E$15)/4)</f>
        <v>0.9306048591021</v>
      </c>
      <c r="K4917" s="45" t="n">
        <f aca="false">Assumptions!$E$21^(MAX(0,K4910-Assumptions!$E$15)/4)</f>
        <v>0.866025403784439</v>
      </c>
      <c r="L4917" s="45" t="n">
        <f aca="false">Assumptions!$E$21^(MAX(0,L4910-Assumptions!$E$15)/4)</f>
        <v>0.805927448867656</v>
      </c>
      <c r="M4917" s="45" t="n">
        <f aca="false">Assumptions!$E$21^(MAX(0,M4910-Assumptions!$E$15)/4)</f>
        <v>0.75</v>
      </c>
      <c r="N4917" s="45" t="n">
        <f aca="false">Assumptions!$E$21^(MAX(0,N4910-Assumptions!$E$15)/4)</f>
        <v>0.697953644326575</v>
      </c>
      <c r="P4917" s="46"/>
      <c r="Q4917" s="46"/>
      <c r="R4917" s="46"/>
      <c r="S4917" s="47"/>
    </row>
    <row r="4918" customFormat="false" ht="15" hidden="false" customHeight="false" outlineLevel="0" collapsed="false">
      <c r="A4918" s="4" t="s">
        <v>484</v>
      </c>
      <c r="B4918" s="36" t="s">
        <v>485</v>
      </c>
      <c r="C4918" s="39" t="n">
        <f aca="false">$C$4889*C4912+$C$4893*C4913+$C$4897*C4914</f>
        <v>421.51972352</v>
      </c>
      <c r="D4918" s="39" t="n">
        <f aca="false">$C$4889*D4912+$C$4893*D4913+$C$4897*D4914</f>
        <v>843.03944704</v>
      </c>
      <c r="E4918" s="39" t="n">
        <f aca="false">$C$4889*E4912+$C$4893*E4913+$C$4897*E4914</f>
        <v>843.03944704</v>
      </c>
      <c r="F4918" s="39" t="n">
        <f aca="false">$C$4889*F4912+$C$4893*F4913+$C$4897*F4914</f>
        <v>843.03944704</v>
      </c>
      <c r="G4918" s="39" t="n">
        <f aca="false">$C$4889*G4912+$C$4893*G4913+$C$4897*G4914</f>
        <v>1149.32798176</v>
      </c>
      <c r="H4918" s="39" t="n">
        <f aca="false">$C$4889*H4912+$C$4893*H4913+$C$4897*H4914</f>
        <v>1455.61651648</v>
      </c>
      <c r="I4918" s="39" t="n">
        <f aca="false">$C$4889*I4912+$C$4893*I4913+$C$4897*I4914</f>
        <v>2486.00303616</v>
      </c>
      <c r="J4918" s="39" t="n">
        <f aca="false">$C$4889*J4912+$C$4893*J4913+$C$4897*J4914</f>
        <v>3516.38955584</v>
      </c>
      <c r="K4918" s="39" t="n">
        <f aca="false">$C$4889*K4912+$C$4893*K4913+$C$4897*K4914</f>
        <v>3516.38955584</v>
      </c>
      <c r="L4918" s="39" t="n">
        <f aca="false">$C$4889*L4912+$C$4893*L4913+$C$4897*L4914</f>
        <v>3516.38955584</v>
      </c>
      <c r="M4918" s="39" t="n">
        <f aca="false">$C$4889*M4912+$C$4893*M4913+$C$4897*M4914</f>
        <v>3516.38955584</v>
      </c>
      <c r="N4918" s="39" t="n">
        <f aca="false">$C$4889*N4912+$C$4893*N4913+$C$4897*N4914</f>
        <v>3516.38955584</v>
      </c>
      <c r="P4918" s="40" t="n">
        <f aca="false">F4918</f>
        <v>843.03944704</v>
      </c>
      <c r="Q4918" s="40" t="n">
        <f aca="false">J4918</f>
        <v>3516.38955584</v>
      </c>
      <c r="R4918" s="40" t="n">
        <f aca="false">N4918</f>
        <v>3516.38955584</v>
      </c>
      <c r="S4918" s="41" t="n">
        <f aca="false">R4918</f>
        <v>3516.38955584</v>
      </c>
    </row>
    <row r="4919" customFormat="false" ht="15" hidden="false" customHeight="false" outlineLevel="0" collapsed="false">
      <c r="A4919" s="4" t="s">
        <v>486</v>
      </c>
      <c r="B4919" s="36" t="s">
        <v>485</v>
      </c>
      <c r="C4919" s="39" t="n">
        <f aca="false">$C$4890*C4912+$C$4894*C4913+$C$4898*C4914</f>
        <v>105.59808</v>
      </c>
      <c r="D4919" s="39" t="n">
        <f aca="false">$C$4890*D4912+$C$4894*D4913+$C$4898*D4914</f>
        <v>211.19616</v>
      </c>
      <c r="E4919" s="39" t="n">
        <f aca="false">$C$4890*E4912+$C$4894*E4913+$C$4898*E4914</f>
        <v>211.19616</v>
      </c>
      <c r="F4919" s="39" t="n">
        <f aca="false">$C$4890*F4912+$C$4894*F4913+$C$4898*F4914</f>
        <v>211.19616</v>
      </c>
      <c r="G4919" s="39" t="n">
        <f aca="false">$C$4890*G4912+$C$4894*G4913+$C$4898*G4914</f>
        <v>282.24672</v>
      </c>
      <c r="H4919" s="39" t="n">
        <f aca="false">$C$4890*H4912+$C$4894*H4913+$C$4898*H4914</f>
        <v>353.29728</v>
      </c>
      <c r="I4919" s="39" t="n">
        <f aca="false">$C$4890*I4912+$C$4894*I4913+$C$4898*I4914</f>
        <v>567.53536</v>
      </c>
      <c r="J4919" s="39" t="n">
        <f aca="false">$C$4890*J4912+$C$4894*J4913+$C$4898*J4914</f>
        <v>781.77344</v>
      </c>
      <c r="K4919" s="39" t="n">
        <f aca="false">$C$4890*K4912+$C$4894*K4913+$C$4898*K4914</f>
        <v>781.77344</v>
      </c>
      <c r="L4919" s="39" t="n">
        <f aca="false">$C$4890*L4912+$C$4894*L4913+$C$4898*L4914</f>
        <v>781.77344</v>
      </c>
      <c r="M4919" s="39" t="n">
        <f aca="false">$C$4890*M4912+$C$4894*M4913+$C$4898*M4914</f>
        <v>781.77344</v>
      </c>
      <c r="N4919" s="39" t="n">
        <f aca="false">$C$4890*N4912+$C$4894*N4913+$C$4898*N4914</f>
        <v>781.77344</v>
      </c>
      <c r="P4919" s="40" t="n">
        <f aca="false">F4919</f>
        <v>211.19616</v>
      </c>
      <c r="Q4919" s="40" t="n">
        <f aca="false">J4919</f>
        <v>781.77344</v>
      </c>
      <c r="R4919" s="40" t="n">
        <f aca="false">N4919</f>
        <v>781.77344</v>
      </c>
      <c r="S4919" s="41" t="n">
        <f aca="false">R4919</f>
        <v>781.77344</v>
      </c>
    </row>
    <row r="4920" customFormat="false" ht="15" hidden="false" customHeight="false" outlineLevel="0" collapsed="false">
      <c r="A4920" s="4" t="s">
        <v>487</v>
      </c>
      <c r="B4920" s="36" t="s">
        <v>485</v>
      </c>
      <c r="C4920" s="39" t="n">
        <f aca="false">$C$4891*C4912+$C$4895*C4913+$C$4899*C4914</f>
        <v>24.76992</v>
      </c>
      <c r="D4920" s="39" t="n">
        <f aca="false">$C$4891*D4912+$C$4895*D4913+$C$4899*D4914</f>
        <v>49.53984</v>
      </c>
      <c r="E4920" s="39" t="n">
        <f aca="false">$C$4891*E4912+$C$4895*E4913+$C$4899*E4914</f>
        <v>49.53984</v>
      </c>
      <c r="F4920" s="39" t="n">
        <f aca="false">$C$4891*F4912+$C$4895*F4913+$C$4899*F4914</f>
        <v>49.53984</v>
      </c>
      <c r="G4920" s="39" t="n">
        <f aca="false">$C$4891*G4912+$C$4895*G4913+$C$4899*G4914</f>
        <v>61.9248</v>
      </c>
      <c r="H4920" s="39" t="n">
        <f aca="false">$C$4891*H4912+$C$4895*H4913+$C$4899*H4914</f>
        <v>74.30976</v>
      </c>
      <c r="I4920" s="39" t="n">
        <f aca="false">$C$4891*I4912+$C$4895*I4913+$C$4899*I4914</f>
        <v>114.072</v>
      </c>
      <c r="J4920" s="39" t="n">
        <f aca="false">$C$4891*J4912+$C$4895*J4913+$C$4899*J4914</f>
        <v>153.83424</v>
      </c>
      <c r="K4920" s="39" t="n">
        <f aca="false">$C$4891*K4912+$C$4895*K4913+$C$4899*K4914</f>
        <v>153.83424</v>
      </c>
      <c r="L4920" s="39" t="n">
        <f aca="false">$C$4891*L4912+$C$4895*L4913+$C$4899*L4914</f>
        <v>153.83424</v>
      </c>
      <c r="M4920" s="39" t="n">
        <f aca="false">$C$4891*M4912+$C$4895*M4913+$C$4899*M4914</f>
        <v>153.83424</v>
      </c>
      <c r="N4920" s="39" t="n">
        <f aca="false">$C$4891*N4912+$C$4895*N4913+$C$4899*N4914</f>
        <v>153.83424</v>
      </c>
      <c r="P4920" s="40" t="n">
        <f aca="false">F4920</f>
        <v>49.53984</v>
      </c>
      <c r="Q4920" s="40" t="n">
        <f aca="false">J4920</f>
        <v>153.83424</v>
      </c>
      <c r="R4920" s="40" t="n">
        <f aca="false">N4920</f>
        <v>153.83424</v>
      </c>
      <c r="S4920" s="41" t="n">
        <f aca="false">R4920</f>
        <v>153.83424</v>
      </c>
    </row>
    <row r="4921" customFormat="false" ht="15" hidden="false" customHeight="false" outlineLevel="0" collapsed="false">
      <c r="A4921" s="4" t="s">
        <v>488</v>
      </c>
      <c r="B4921" s="36" t="s">
        <v>485</v>
      </c>
      <c r="C4921" s="39" t="n">
        <f aca="false">C4918+C4919+C4920</f>
        <v>551.88772352</v>
      </c>
      <c r="D4921" s="39" t="n">
        <f aca="false">D4918+D4919+D4920</f>
        <v>1103.77544704</v>
      </c>
      <c r="E4921" s="39" t="n">
        <f aca="false">E4918+E4919+E4920</f>
        <v>1103.77544704</v>
      </c>
      <c r="F4921" s="39" t="n">
        <f aca="false">F4918+F4919+F4920</f>
        <v>1103.77544704</v>
      </c>
      <c r="G4921" s="39" t="n">
        <f aca="false">G4918+G4919+G4920</f>
        <v>1493.49950176</v>
      </c>
      <c r="H4921" s="39" t="n">
        <f aca="false">H4918+H4919+H4920</f>
        <v>1883.22355648</v>
      </c>
      <c r="I4921" s="39" t="n">
        <f aca="false">I4918+I4919+I4920</f>
        <v>3167.61039616</v>
      </c>
      <c r="J4921" s="39" t="n">
        <f aca="false">J4918+J4919+J4920</f>
        <v>4451.99723584</v>
      </c>
      <c r="K4921" s="39" t="n">
        <f aca="false">K4918+K4919+K4920</f>
        <v>4451.99723584</v>
      </c>
      <c r="L4921" s="39" t="n">
        <f aca="false">L4918+L4919+L4920</f>
        <v>4451.99723584</v>
      </c>
      <c r="M4921" s="39" t="n">
        <f aca="false">M4918+M4919+M4920</f>
        <v>4451.99723584</v>
      </c>
      <c r="N4921" s="39" t="n">
        <f aca="false">N4918+N4919+N4920</f>
        <v>4451.99723584</v>
      </c>
      <c r="P4921" s="40" t="n">
        <f aca="false">F4921</f>
        <v>1103.77544704</v>
      </c>
      <c r="Q4921" s="40" t="n">
        <f aca="false">J4921</f>
        <v>4451.99723584</v>
      </c>
      <c r="R4921" s="40" t="n">
        <f aca="false">N4921</f>
        <v>4451.99723584</v>
      </c>
      <c r="S4921" s="41" t="n">
        <f aca="false">R4921</f>
        <v>4451.99723584</v>
      </c>
    </row>
    <row r="4922" customFormat="false" ht="15" hidden="false" customHeight="false" outlineLevel="0" collapsed="false">
      <c r="A4922" s="4" t="s">
        <v>489</v>
      </c>
      <c r="B4922" s="36" t="s">
        <v>485</v>
      </c>
      <c r="C4922" s="39" t="n">
        <f aca="false">$C$4892*C4912*C4915+$C$4896*C4913*C4916+$C$4900*C4914*C4917</f>
        <v>551.88772352</v>
      </c>
      <c r="D4922" s="39" t="n">
        <f aca="false">$C$4892*D4912*D4915+$C$4896*D4913*D4916+$C$4900*D4914*D4917</f>
        <v>1027.17879437302</v>
      </c>
      <c r="E4922" s="39" t="n">
        <f aca="false">$C$4892*E4912*E4915+$C$4896*E4913*E4916+$C$4900*E4914*E4917</f>
        <v>955.897577210165</v>
      </c>
      <c r="F4922" s="39" t="n">
        <f aca="false">$C$4892*F4912*F4915+$C$4896*F4913*F4916+$C$4900*F4914*F4917</f>
        <v>889.562930155704</v>
      </c>
      <c r="G4922" s="39" t="n">
        <f aca="false">$C$4892*G4912*G4915+$C$4896*G4913*G4916+$C$4900*G4914*G4917</f>
        <v>1217.55564</v>
      </c>
      <c r="H4922" s="39" t="n">
        <f aca="false">$C$4892*H4912*H4915+$C$4896*H4913*H4916+$C$4900*H4914*H4917</f>
        <v>1495.74229384257</v>
      </c>
      <c r="I4922" s="39" t="n">
        <f aca="false">$C$4892*I4912*I4915+$C$4896*I4913*I4916+$C$4900*I4914*I4917</f>
        <v>2676.33188629442</v>
      </c>
      <c r="J4922" s="39" t="n">
        <f aca="false">$C$4892*J4912*J4915+$C$4896*J4913*J4916+$C$4900*J4914*J4917</f>
        <v>3685.86409192847</v>
      </c>
      <c r="K4922" s="39" t="n">
        <f aca="false">$C$4892*K4912*K4915+$C$4896*K4913*K4916+$C$4900*K4914*K4917</f>
        <v>3430.08303393858</v>
      </c>
      <c r="L4922" s="39" t="n">
        <f aca="false">$C$4892*L4912*L4915+$C$4896*L4913*L4916+$C$4900*L4914*L4917</f>
        <v>3192.05193850692</v>
      </c>
      <c r="M4922" s="39" t="n">
        <f aca="false">$C$4892*M4912*M4915+$C$4896*M4913*M4916+$C$4900*M4914*M4917</f>
        <v>2970.53904448081</v>
      </c>
      <c r="N4922" s="39" t="n">
        <f aca="false">$C$4892*N4912*N4915+$C$4896*N4913*N4916+$C$4900*N4914*N4917</f>
        <v>2764.39806894635</v>
      </c>
      <c r="P4922" s="40"/>
      <c r="Q4922" s="40"/>
      <c r="R4922" s="40"/>
      <c r="S4922" s="41"/>
    </row>
    <row r="4923" customFormat="false" ht="15" hidden="false" customHeight="false" outlineLevel="0" collapsed="false">
      <c r="A4923" s="4" t="s">
        <v>490</v>
      </c>
      <c r="B4923" s="36" t="s">
        <v>491</v>
      </c>
      <c r="C4923" s="48" t="n">
        <f aca="false">$C$4904*Assumptions!$E$20*C4911*C4922</f>
        <v>6.62265268224</v>
      </c>
      <c r="D4923" s="48" t="n">
        <f aca="false">$C$4904*Assumptions!$E$20*D4911*D4922</f>
        <v>12.3261455324762</v>
      </c>
      <c r="E4923" s="48" t="n">
        <f aca="false">$C$4904*Assumptions!$E$20*E4911*E4922</f>
        <v>11.470770926522</v>
      </c>
      <c r="F4923" s="48" t="n">
        <f aca="false">$C$4904*Assumptions!$E$20*F4911*F4922</f>
        <v>10.6747551618685</v>
      </c>
      <c r="G4923" s="48" t="n">
        <f aca="false">$C$4904*Assumptions!$E$20*G4911*G4922</f>
        <v>14.61066768</v>
      </c>
      <c r="H4923" s="48" t="n">
        <f aca="false">$C$4904*Assumptions!$E$20*H4911*H4922</f>
        <v>17.9489075261109</v>
      </c>
      <c r="I4923" s="48" t="n">
        <f aca="false">$C$4904*Assumptions!$E$20*I4911*I4922</f>
        <v>32.115982635533</v>
      </c>
      <c r="J4923" s="48" t="n">
        <f aca="false">$C$4904*Assumptions!$E$20*J4911*J4922</f>
        <v>44.2303691031417</v>
      </c>
      <c r="K4923" s="48" t="n">
        <f aca="false">$C$4904*Assumptions!$E$20*K4911*K4922</f>
        <v>41.160996407263</v>
      </c>
      <c r="L4923" s="48" t="n">
        <f aca="false">$C$4904*Assumptions!$E$20*L4911*L4922</f>
        <v>38.304623262083</v>
      </c>
      <c r="M4923" s="48" t="n">
        <f aca="false">$C$4904*Assumptions!$E$20*M4911*M4922</f>
        <v>35.6464685337698</v>
      </c>
      <c r="N4923" s="48" t="n">
        <f aca="false">$C$4904*Assumptions!$E$20*N4911*N4922</f>
        <v>33.1727768273562</v>
      </c>
      <c r="P4923" s="49" t="n">
        <f aca="false">SUM(C4923:F4923)</f>
        <v>41.0943243031066</v>
      </c>
      <c r="Q4923" s="49" t="n">
        <f aca="false">SUM(G4923:J4923)</f>
        <v>108.905926944786</v>
      </c>
      <c r="R4923" s="49" t="n">
        <f aca="false">SUM(K4923:N4923)</f>
        <v>148.284865030472</v>
      </c>
      <c r="S4923" s="50" t="n">
        <f aca="false">SUM(P4923:R4923)</f>
        <v>298.285116278364</v>
      </c>
    </row>
    <row r="4924" customFormat="false" ht="15" hidden="false" customHeight="false" outlineLevel="0" collapsed="false">
      <c r="A4924" s="4" t="s">
        <v>492</v>
      </c>
      <c r="B4924" s="36" t="s">
        <v>321</v>
      </c>
      <c r="C4924" s="48" t="n">
        <f aca="false">Assumptions!$D$111</f>
        <v>0</v>
      </c>
      <c r="D4924" s="48" t="n">
        <f aca="false">Assumptions!$E$111</f>
        <v>0</v>
      </c>
      <c r="E4924" s="48" t="n">
        <f aca="false">Assumptions!$F$111</f>
        <v>0</v>
      </c>
      <c r="F4924" s="48" t="n">
        <f aca="false">Assumptions!$G$111</f>
        <v>0</v>
      </c>
      <c r="G4924" s="48" t="n">
        <f aca="false">Assumptions!$H$111</f>
        <v>0</v>
      </c>
      <c r="H4924" s="48" t="n">
        <f aca="false">Assumptions!$I$111</f>
        <v>0</v>
      </c>
      <c r="I4924" s="48" t="n">
        <f aca="false">Assumptions!$J$111</f>
        <v>0</v>
      </c>
      <c r="J4924" s="48" t="n">
        <f aca="false">Assumptions!$K$111</f>
        <v>0</v>
      </c>
      <c r="K4924" s="48" t="n">
        <f aca="false">Assumptions!$L$111</f>
        <v>0</v>
      </c>
      <c r="L4924" s="48" t="n">
        <f aca="false">Assumptions!$M$111</f>
        <v>0</v>
      </c>
      <c r="M4924" s="48" t="n">
        <f aca="false">Assumptions!$N$111</f>
        <v>0</v>
      </c>
      <c r="N4924" s="48" t="n">
        <f aca="false">Assumptions!$O$111</f>
        <v>0</v>
      </c>
      <c r="P4924" s="49" t="n">
        <f aca="false">F4924</f>
        <v>0</v>
      </c>
      <c r="Q4924" s="49" t="n">
        <f aca="false">J4924</f>
        <v>0</v>
      </c>
      <c r="R4924" s="49" t="n">
        <f aca="false">N4924</f>
        <v>0</v>
      </c>
      <c r="S4924" s="50" t="n">
        <f aca="false">R4924</f>
        <v>0</v>
      </c>
    </row>
    <row r="4925" customFormat="false" ht="15" hidden="false" customHeight="false" outlineLevel="0" collapsed="false">
      <c r="A4925" s="4" t="s">
        <v>493</v>
      </c>
      <c r="B4925" s="36" t="s">
        <v>321</v>
      </c>
      <c r="C4925" s="48" t="n">
        <f aca="false">0</f>
        <v>0</v>
      </c>
      <c r="D4925" s="48" t="n">
        <f aca="false">0.5*C4924</f>
        <v>0</v>
      </c>
      <c r="E4925" s="48" t="n">
        <f aca="false">C4924+0.5*(D4924-C4924)</f>
        <v>0</v>
      </c>
      <c r="F4925" s="48" t="n">
        <f aca="false">D4924+0.5*(E4924-D4924)</f>
        <v>0</v>
      </c>
      <c r="G4925" s="48" t="n">
        <f aca="false">E4924+0.5*(F4924-E4924)</f>
        <v>0</v>
      </c>
      <c r="H4925" s="48" t="n">
        <f aca="false">F4924+0.5*(G4924-F4924)</f>
        <v>0</v>
      </c>
      <c r="I4925" s="48" t="n">
        <f aca="false">G4924+0.5*(H4924-G4924)</f>
        <v>0</v>
      </c>
      <c r="J4925" s="48" t="n">
        <f aca="false">H4924+0.5*(I4924-H4924)</f>
        <v>0</v>
      </c>
      <c r="K4925" s="48" t="n">
        <f aca="false">I4924+0.5*(J4924-I4924)</f>
        <v>0</v>
      </c>
      <c r="L4925" s="48" t="n">
        <f aca="false">J4924+0.5*(K4924-J4924)</f>
        <v>0</v>
      </c>
      <c r="M4925" s="48" t="n">
        <f aca="false">K4924+0.5*(L4924-K4924)</f>
        <v>0</v>
      </c>
      <c r="N4925" s="48" t="n">
        <f aca="false">L4924+0.5*(M4924-L4924)</f>
        <v>0</v>
      </c>
      <c r="P4925" s="49" t="n">
        <f aca="false">F4925</f>
        <v>0</v>
      </c>
      <c r="Q4925" s="49" t="n">
        <f aca="false">J4925</f>
        <v>0</v>
      </c>
      <c r="R4925" s="49" t="n">
        <f aca="false">N4925</f>
        <v>0</v>
      </c>
      <c r="S4925" s="50" t="n">
        <f aca="false">R4925</f>
        <v>0</v>
      </c>
    </row>
    <row r="4926" customFormat="false" ht="15" hidden="false" customHeight="false" outlineLevel="0" collapsed="false">
      <c r="A4926" s="4" t="s">
        <v>494</v>
      </c>
      <c r="B4926" s="36" t="s">
        <v>485</v>
      </c>
      <c r="C4926" s="39" t="n">
        <f aca="false">MIN(C4925*Assumptions!$E$38,C4921*(1-$C$4904))</f>
        <v>0</v>
      </c>
      <c r="D4926" s="39" t="n">
        <f aca="false">MIN(D4925*Assumptions!$E$38,D4921*(1-$C$4904))</f>
        <v>0</v>
      </c>
      <c r="E4926" s="39" t="n">
        <f aca="false">MIN(E4925*Assumptions!$E$38,E4921*(1-$C$4904))</f>
        <v>0</v>
      </c>
      <c r="F4926" s="39" t="n">
        <f aca="false">MIN(F4925*Assumptions!$E$38,F4921*(1-$C$4904))</f>
        <v>0</v>
      </c>
      <c r="G4926" s="39" t="n">
        <f aca="false">MIN(G4925*Assumptions!$E$38,G4921*(1-$C$4904))</f>
        <v>0</v>
      </c>
      <c r="H4926" s="39" t="n">
        <f aca="false">MIN(H4925*Assumptions!$E$38,H4921*(1-$C$4904))</f>
        <v>0</v>
      </c>
      <c r="I4926" s="39" t="n">
        <f aca="false">MIN(I4925*Assumptions!$E$38,I4921*(1-$C$4904))</f>
        <v>0</v>
      </c>
      <c r="J4926" s="39" t="n">
        <f aca="false">MIN(J4925*Assumptions!$E$38,J4921*(1-$C$4904))</f>
        <v>0</v>
      </c>
      <c r="K4926" s="39" t="n">
        <f aca="false">MIN(K4925*Assumptions!$E$38,K4921*(1-$C$4904))</f>
        <v>0</v>
      </c>
      <c r="L4926" s="39" t="n">
        <f aca="false">MIN(L4925*Assumptions!$E$38,L4921*(1-$C$4904))</f>
        <v>0</v>
      </c>
      <c r="M4926" s="39" t="n">
        <f aca="false">MIN(M4925*Assumptions!$E$38,M4921*(1-$C$4904))</f>
        <v>0</v>
      </c>
      <c r="N4926" s="39" t="n">
        <f aca="false">MIN(N4925*Assumptions!$E$38,N4921*(1-$C$4904))</f>
        <v>0</v>
      </c>
      <c r="P4926" s="40" t="n">
        <f aca="false">SUM(C4926:F4926)</f>
        <v>0</v>
      </c>
      <c r="Q4926" s="40" t="n">
        <f aca="false">SUM(G4926:J4926)</f>
        <v>0</v>
      </c>
      <c r="R4926" s="40" t="n">
        <f aca="false">SUM(K4926:N4926)</f>
        <v>0</v>
      </c>
      <c r="S4926" s="41" t="n">
        <f aca="false">SUM(P4926:R4926)</f>
        <v>0</v>
      </c>
    </row>
    <row r="4927" customFormat="false" ht="15" hidden="false" customHeight="false" outlineLevel="0" collapsed="false">
      <c r="A4927" s="4" t="s">
        <v>495</v>
      </c>
      <c r="B4927" s="36" t="s">
        <v>491</v>
      </c>
      <c r="C4927" s="48" t="n">
        <f aca="false">C4926*Assumptions!$E$20*Assumptions!$E$39*IF(C4921&gt;0,C4922/C4921,0)*C4911</f>
        <v>0</v>
      </c>
      <c r="D4927" s="48" t="n">
        <f aca="false">D4926*Assumptions!$E$20*Assumptions!$E$39*IF(D4921&gt;0,D4922/D4921,0)*D4911</f>
        <v>0</v>
      </c>
      <c r="E4927" s="48" t="n">
        <f aca="false">E4926*Assumptions!$E$20*Assumptions!$E$39*IF(E4921&gt;0,E4922/E4921,0)*E4911</f>
        <v>0</v>
      </c>
      <c r="F4927" s="48" t="n">
        <f aca="false">F4926*Assumptions!$E$20*Assumptions!$E$39*IF(F4921&gt;0,F4922/F4921,0)*F4911</f>
        <v>0</v>
      </c>
      <c r="G4927" s="48" t="n">
        <f aca="false">G4926*Assumptions!$E$20*Assumptions!$E$39*IF(G4921&gt;0,G4922/G4921,0)*G4911</f>
        <v>0</v>
      </c>
      <c r="H4927" s="48" t="n">
        <f aca="false">H4926*Assumptions!$E$20*Assumptions!$E$39*IF(H4921&gt;0,H4922/H4921,0)*H4911</f>
        <v>0</v>
      </c>
      <c r="I4927" s="48" t="n">
        <f aca="false">I4926*Assumptions!$E$20*Assumptions!$E$39*IF(I4921&gt;0,I4922/I4921,0)*I4911</f>
        <v>0</v>
      </c>
      <c r="J4927" s="48" t="n">
        <f aca="false">J4926*Assumptions!$E$20*Assumptions!$E$39*IF(J4921&gt;0,J4922/J4921,0)*J4911</f>
        <v>0</v>
      </c>
      <c r="K4927" s="48" t="n">
        <f aca="false">K4926*Assumptions!$E$20*Assumptions!$E$39*IF(K4921&gt;0,K4922/K4921,0)*K4911</f>
        <v>0</v>
      </c>
      <c r="L4927" s="48" t="n">
        <f aca="false">L4926*Assumptions!$E$20*Assumptions!$E$39*IF(L4921&gt;0,L4922/L4921,0)*L4911</f>
        <v>0</v>
      </c>
      <c r="M4927" s="48" t="n">
        <f aca="false">M4926*Assumptions!$E$20*Assumptions!$E$39*IF(M4921&gt;0,M4922/M4921,0)*M4911</f>
        <v>0</v>
      </c>
      <c r="N4927" s="48" t="n">
        <f aca="false">N4926*Assumptions!$E$20*Assumptions!$E$39*IF(N4921&gt;0,N4922/N4921,0)*N4911</f>
        <v>0</v>
      </c>
      <c r="P4927" s="49" t="n">
        <f aca="false">SUM(C4927:F4927)</f>
        <v>0</v>
      </c>
      <c r="Q4927" s="49" t="n">
        <f aca="false">SUM(G4927:J4927)</f>
        <v>0</v>
      </c>
      <c r="R4927" s="49" t="n">
        <f aca="false">SUM(K4927:N4927)</f>
        <v>0</v>
      </c>
      <c r="S4927" s="50" t="n">
        <f aca="false">SUM(P4927:R4927)</f>
        <v>0</v>
      </c>
    </row>
    <row r="4928" customFormat="false" ht="15" hidden="false" customHeight="false" outlineLevel="0" collapsed="false">
      <c r="A4928" s="4" t="s">
        <v>496</v>
      </c>
      <c r="B4928" s="36" t="s">
        <v>497</v>
      </c>
      <c r="C4928" s="48" t="n">
        <f aca="false">IF(AND(C4921&gt;0,$C$4908&gt;0),C4921*Assumptions!$E$24*(1-EXP(-$C$4908/(Assumptions!$E$23*C4921*Assumptions!$E$24))),0)</f>
        <v>0</v>
      </c>
      <c r="D4928" s="48" t="n">
        <f aca="false">IF(AND(D4921&gt;0,$C$4908&gt;0),D4921*Assumptions!$E$24*(1-EXP(-$C$4908/(Assumptions!$E$23*D4921*Assumptions!$E$24))),0)</f>
        <v>0</v>
      </c>
      <c r="E4928" s="48" t="n">
        <f aca="false">IF(AND(E4921&gt;0,$C$4908&gt;0),E4921*Assumptions!$E$24*(1-EXP(-$C$4908/(Assumptions!$E$23*E4921*Assumptions!$E$24))),0)</f>
        <v>0</v>
      </c>
      <c r="F4928" s="48" t="n">
        <f aca="false">IF(AND(F4921&gt;0,$C$4908&gt;0),F4921*Assumptions!$E$24*(1-EXP(-$C$4908/(Assumptions!$E$23*F4921*Assumptions!$E$24))),0)</f>
        <v>0</v>
      </c>
      <c r="G4928" s="48" t="n">
        <f aca="false">IF(AND(G4921&gt;0,$C$4908&gt;0),G4921*Assumptions!$E$24*(1-EXP(-$C$4908/(Assumptions!$E$23*G4921*Assumptions!$E$24))),0)</f>
        <v>0</v>
      </c>
      <c r="H4928" s="48" t="n">
        <f aca="false">IF(AND(H4921&gt;0,$C$4908&gt;0),H4921*Assumptions!$E$24*(1-EXP(-$C$4908/(Assumptions!$E$23*H4921*Assumptions!$E$24))),0)</f>
        <v>0</v>
      </c>
      <c r="I4928" s="48" t="n">
        <f aca="false">IF(AND(I4921&gt;0,$C$4908&gt;0),I4921*Assumptions!$E$24*(1-EXP(-$C$4908/(Assumptions!$E$23*I4921*Assumptions!$E$24))),0)</f>
        <v>0</v>
      </c>
      <c r="J4928" s="48" t="n">
        <f aca="false">IF(AND(J4921&gt;0,$C$4908&gt;0),J4921*Assumptions!$E$24*(1-EXP(-$C$4908/(Assumptions!$E$23*J4921*Assumptions!$E$24))),0)</f>
        <v>0</v>
      </c>
      <c r="K4928" s="48" t="n">
        <f aca="false">IF(AND(K4921&gt;0,$C$4908&gt;0),K4921*Assumptions!$E$24*(1-EXP(-$C$4908/(Assumptions!$E$23*K4921*Assumptions!$E$24))),0)</f>
        <v>0</v>
      </c>
      <c r="L4928" s="48" t="n">
        <f aca="false">IF(AND(L4921&gt;0,$C$4908&gt;0),L4921*Assumptions!$E$24*(1-EXP(-$C$4908/(Assumptions!$E$23*L4921*Assumptions!$E$24))),0)</f>
        <v>0</v>
      </c>
      <c r="M4928" s="48" t="n">
        <f aca="false">IF(AND(M4921&gt;0,$C$4908&gt;0),M4921*Assumptions!$E$24*(1-EXP(-$C$4908/(Assumptions!$E$23*M4921*Assumptions!$E$24))),0)</f>
        <v>0</v>
      </c>
      <c r="N4928" s="48" t="n">
        <f aca="false">IF(AND(N4921&gt;0,$C$4908&gt;0),N4921*Assumptions!$E$24*(1-EXP(-$C$4908/(Assumptions!$E$23*N4921*Assumptions!$E$24))),0)</f>
        <v>0</v>
      </c>
      <c r="P4928" s="49" t="n">
        <f aca="false">SUM(C4928:F4928)</f>
        <v>0</v>
      </c>
      <c r="Q4928" s="49" t="n">
        <f aca="false">SUM(G4928:J4928)</f>
        <v>0</v>
      </c>
      <c r="R4928" s="49" t="n">
        <f aca="false">SUM(K4928:N4928)</f>
        <v>0</v>
      </c>
      <c r="S4928" s="50" t="n">
        <f aca="false">SUM(P4928:R4928)</f>
        <v>0</v>
      </c>
    </row>
    <row r="4929" customFormat="false" ht="15" hidden="false" customHeight="false" outlineLevel="0" collapsed="false">
      <c r="A4929" s="4" t="s">
        <v>498</v>
      </c>
      <c r="B4929" s="36" t="s">
        <v>497</v>
      </c>
      <c r="C4929" s="48" t="n">
        <f aca="false">(C4921*Assumptions!$E$22*MIN(1,Assumptions!$D$103/Assumptions!$E$78)+C4928)*C4911</f>
        <v>5.5188772352</v>
      </c>
      <c r="D4929" s="48" t="n">
        <f aca="false">(D4921*Assumptions!$E$22*MIN(1,Assumptions!$D$103/Assumptions!$E$78)+D4928)*D4911</f>
        <v>11.0377544704</v>
      </c>
      <c r="E4929" s="48" t="n">
        <f aca="false">(E4921*Assumptions!$E$22*MIN(1,Assumptions!$D$103/Assumptions!$E$78)+E4928)*E4911</f>
        <v>11.0377544704</v>
      </c>
      <c r="F4929" s="48" t="n">
        <f aca="false">(F4921*Assumptions!$E$22*MIN(1,Assumptions!$D$103/Assumptions!$E$78)+F4928)*F4911</f>
        <v>11.0377544704</v>
      </c>
      <c r="G4929" s="48" t="n">
        <f aca="false">(G4921*Assumptions!$E$22*MIN(1,Assumptions!$D$103/Assumptions!$E$78)+G4928)*G4911</f>
        <v>14.9349950176</v>
      </c>
      <c r="H4929" s="48" t="n">
        <f aca="false">(H4921*Assumptions!$E$22*MIN(1,Assumptions!$D$103/Assumptions!$E$78)+H4928)*H4911</f>
        <v>18.8322355648</v>
      </c>
      <c r="I4929" s="48" t="n">
        <f aca="false">(I4921*Assumptions!$E$22*MIN(1,Assumptions!$D$103/Assumptions!$E$78)+I4928)*I4911</f>
        <v>31.6761039616</v>
      </c>
      <c r="J4929" s="48" t="n">
        <f aca="false">(J4921*Assumptions!$E$22*MIN(1,Assumptions!$D$103/Assumptions!$E$78)+J4928)*J4911</f>
        <v>44.5199723584</v>
      </c>
      <c r="K4929" s="48" t="n">
        <f aca="false">(K4921*Assumptions!$E$22*MIN(1,Assumptions!$D$103/Assumptions!$E$78)+K4928)*K4911</f>
        <v>44.5199723584</v>
      </c>
      <c r="L4929" s="48" t="n">
        <f aca="false">(L4921*Assumptions!$E$22*MIN(1,Assumptions!$D$103/Assumptions!$E$78)+L4928)*L4911</f>
        <v>44.5199723584</v>
      </c>
      <c r="M4929" s="48" t="n">
        <f aca="false">(M4921*Assumptions!$E$22*MIN(1,Assumptions!$D$103/Assumptions!$E$78)+M4928)*M4911</f>
        <v>44.5199723584</v>
      </c>
      <c r="N4929" s="48" t="n">
        <f aca="false">(N4921*Assumptions!$E$22*MIN(1,Assumptions!$D$103/Assumptions!$E$78)+N4928)*N4911</f>
        <v>44.5199723584</v>
      </c>
      <c r="P4929" s="49" t="n">
        <f aca="false">SUM(C4929:F4929)</f>
        <v>38.6321406464</v>
      </c>
      <c r="Q4929" s="49" t="n">
        <f aca="false">SUM(G4929:J4929)</f>
        <v>109.9633069024</v>
      </c>
      <c r="R4929" s="49" t="n">
        <f aca="false">SUM(K4929:N4929)</f>
        <v>178.0798894336</v>
      </c>
      <c r="S4929" s="50" t="n">
        <f aca="false">SUM(P4929:R4929)</f>
        <v>326.6753369824</v>
      </c>
    </row>
    <row r="4930" customFormat="false" ht="15" hidden="false" customHeight="false" outlineLevel="0" collapsed="false">
      <c r="A4930" s="4" t="s">
        <v>499</v>
      </c>
      <c r="B4930" s="36" t="s">
        <v>500</v>
      </c>
      <c r="C4930" s="48" t="n">
        <f aca="false">C4911*MIN(Assumptions!$E$27,Assumptions!$E$25+Assumptions!$E$26*(C4910-1))*Assumptions!$D$107</f>
        <v>2</v>
      </c>
      <c r="D4930" s="48" t="n">
        <f aca="false">D4911*MIN(Assumptions!$E$27,Assumptions!$E$25+Assumptions!$E$26*(D4910-1))*Assumptions!$D$107</f>
        <v>3</v>
      </c>
      <c r="E4930" s="48" t="n">
        <f aca="false">E4911*MIN(Assumptions!$E$27,Assumptions!$E$25+Assumptions!$E$26*(E4910-1))*Assumptions!$D$107</f>
        <v>4</v>
      </c>
      <c r="F4930" s="48" t="n">
        <f aca="false">F4911*MIN(Assumptions!$E$27,Assumptions!$E$25+Assumptions!$E$26*(F4910-1))*Assumptions!$D$107</f>
        <v>5</v>
      </c>
      <c r="G4930" s="48" t="n">
        <f aca="false">G4911*MIN(Assumptions!$E$27,Assumptions!$E$25+Assumptions!$E$26*(G4910-1))*Assumptions!$D$107</f>
        <v>6</v>
      </c>
      <c r="H4930" s="48" t="n">
        <f aca="false">H4911*MIN(Assumptions!$E$27,Assumptions!$E$25+Assumptions!$E$26*(H4910-1))*Assumptions!$D$107</f>
        <v>7</v>
      </c>
      <c r="I4930" s="48" t="n">
        <f aca="false">I4911*MIN(Assumptions!$E$27,Assumptions!$E$25+Assumptions!$E$26*(I4910-1))*Assumptions!$D$107</f>
        <v>8</v>
      </c>
      <c r="J4930" s="48" t="n">
        <f aca="false">J4911*MIN(Assumptions!$E$27,Assumptions!$E$25+Assumptions!$E$26*(J4910-1))*Assumptions!$D$107</f>
        <v>9</v>
      </c>
      <c r="K4930" s="48" t="n">
        <f aca="false">K4911*MIN(Assumptions!$E$27,Assumptions!$E$25+Assumptions!$E$26*(K4910-1))*Assumptions!$D$107</f>
        <v>10</v>
      </c>
      <c r="L4930" s="48" t="n">
        <f aca="false">L4911*MIN(Assumptions!$E$27,Assumptions!$E$25+Assumptions!$E$26*(L4910-1))*Assumptions!$D$107</f>
        <v>10</v>
      </c>
      <c r="M4930" s="48" t="n">
        <f aca="false">M4911*MIN(Assumptions!$E$27,Assumptions!$E$25+Assumptions!$E$26*(M4910-1))*Assumptions!$D$107</f>
        <v>10</v>
      </c>
      <c r="N4930" s="48" t="n">
        <f aca="false">N4911*MIN(Assumptions!$E$27,Assumptions!$E$25+Assumptions!$E$26*(N4910-1))*Assumptions!$D$107</f>
        <v>10</v>
      </c>
      <c r="P4930" s="49" t="n">
        <f aca="false">F4930</f>
        <v>5</v>
      </c>
      <c r="Q4930" s="49" t="n">
        <f aca="false">J4930</f>
        <v>9</v>
      </c>
      <c r="R4930" s="49" t="n">
        <f aca="false">N4930</f>
        <v>10</v>
      </c>
      <c r="S4930" s="50" t="n">
        <f aca="false">R4930</f>
        <v>10</v>
      </c>
    </row>
    <row r="4931" customFormat="false" ht="15" hidden="false" customHeight="false" outlineLevel="0" collapsed="false">
      <c r="A4931" s="4" t="s">
        <v>501</v>
      </c>
      <c r="B4931" s="36" t="s">
        <v>502</v>
      </c>
      <c r="C4931" s="48" t="n">
        <f aca="false">C4930*Assumptions!$E$28</f>
        <v>6</v>
      </c>
      <c r="D4931" s="48" t="n">
        <f aca="false">D4930*Assumptions!$E$28</f>
        <v>9</v>
      </c>
      <c r="E4931" s="48" t="n">
        <f aca="false">E4930*Assumptions!$E$28</f>
        <v>12</v>
      </c>
      <c r="F4931" s="48" t="n">
        <f aca="false">F4930*Assumptions!$E$28</f>
        <v>15</v>
      </c>
      <c r="G4931" s="48" t="n">
        <f aca="false">G4930*Assumptions!$E$28</f>
        <v>18</v>
      </c>
      <c r="H4931" s="48" t="n">
        <f aca="false">H4930*Assumptions!$E$28</f>
        <v>21</v>
      </c>
      <c r="I4931" s="48" t="n">
        <f aca="false">I4930*Assumptions!$E$28</f>
        <v>24</v>
      </c>
      <c r="J4931" s="48" t="n">
        <f aca="false">J4930*Assumptions!$E$28</f>
        <v>27</v>
      </c>
      <c r="K4931" s="48" t="n">
        <f aca="false">K4930*Assumptions!$E$28</f>
        <v>30</v>
      </c>
      <c r="L4931" s="48" t="n">
        <f aca="false">L4930*Assumptions!$E$28</f>
        <v>30</v>
      </c>
      <c r="M4931" s="48" t="n">
        <f aca="false">M4930*Assumptions!$E$28</f>
        <v>30</v>
      </c>
      <c r="N4931" s="48" t="n">
        <f aca="false">N4930*Assumptions!$E$28</f>
        <v>30</v>
      </c>
      <c r="P4931" s="49" t="n">
        <f aca="false">SUM(C4931:F4931)</f>
        <v>42</v>
      </c>
      <c r="Q4931" s="49" t="n">
        <f aca="false">SUM(G4931:J4931)</f>
        <v>90</v>
      </c>
      <c r="R4931" s="49" t="n">
        <f aca="false">SUM(K4931:N4931)</f>
        <v>120</v>
      </c>
      <c r="S4931" s="50" t="n">
        <f aca="false">SUM(P4931:R4931)</f>
        <v>252</v>
      </c>
    </row>
    <row r="4932" customFormat="false" ht="15" hidden="false" customHeight="false" outlineLevel="0" collapsed="false">
      <c r="A4932" s="4" t="s">
        <v>503</v>
      </c>
      <c r="B4932" s="36" t="s">
        <v>504</v>
      </c>
      <c r="C4932" s="48" t="n">
        <f aca="false">(C4923+C4927)*Assumptions!$E$29</f>
        <v>2.649061072896</v>
      </c>
      <c r="D4932" s="48" t="n">
        <f aca="false">(D4923+D4927)*Assumptions!$E$29</f>
        <v>4.93045821299048</v>
      </c>
      <c r="E4932" s="48" t="n">
        <f aca="false">(E4923+E4927)*Assumptions!$E$29</f>
        <v>4.58830837060879</v>
      </c>
      <c r="F4932" s="48" t="n">
        <f aca="false">(F4923+F4927)*Assumptions!$E$29</f>
        <v>4.26990206474738</v>
      </c>
      <c r="G4932" s="48" t="n">
        <f aca="false">(G4923+G4927)*Assumptions!$E$29</f>
        <v>5.844267072</v>
      </c>
      <c r="H4932" s="48" t="n">
        <f aca="false">(H4923+H4927)*Assumptions!$E$29</f>
        <v>7.17956301044434</v>
      </c>
      <c r="I4932" s="48" t="n">
        <f aca="false">(I4923+I4927)*Assumptions!$E$29</f>
        <v>12.8463930542132</v>
      </c>
      <c r="J4932" s="48" t="n">
        <f aca="false">(J4923+J4927)*Assumptions!$E$29</f>
        <v>17.6921476412567</v>
      </c>
      <c r="K4932" s="48" t="n">
        <f aca="false">(K4923+K4927)*Assumptions!$E$29</f>
        <v>16.4643985629052</v>
      </c>
      <c r="L4932" s="48" t="n">
        <f aca="false">(L4923+L4927)*Assumptions!$E$29</f>
        <v>15.3218493048332</v>
      </c>
      <c r="M4932" s="48" t="n">
        <f aca="false">(M4923+M4927)*Assumptions!$E$29</f>
        <v>14.2585874135079</v>
      </c>
      <c r="N4932" s="48" t="n">
        <f aca="false">(N4923+N4927)*Assumptions!$E$29</f>
        <v>13.2691107309425</v>
      </c>
      <c r="P4932" s="49" t="n">
        <f aca="false">SUM(C4932:F4932)</f>
        <v>16.4377297212427</v>
      </c>
      <c r="Q4932" s="49" t="n">
        <f aca="false">SUM(G4932:J4932)</f>
        <v>43.5623707779142</v>
      </c>
      <c r="R4932" s="49" t="n">
        <f aca="false">SUM(K4932:N4932)</f>
        <v>59.3139460121888</v>
      </c>
      <c r="S4932" s="50" t="n">
        <f aca="false">SUM(P4932:R4932)</f>
        <v>119.314046511346</v>
      </c>
    </row>
    <row r="4933" customFormat="false" ht="15" hidden="false" customHeight="false" outlineLevel="0" collapsed="false">
      <c r="A4933" s="4" t="s">
        <v>505</v>
      </c>
      <c r="B4933" s="36" t="s">
        <v>504</v>
      </c>
      <c r="C4933" s="48" t="n">
        <f aca="false">C4929*Assumptions!$E$31</f>
        <v>0.883020357632</v>
      </c>
      <c r="D4933" s="48" t="n">
        <f aca="false">D4929*Assumptions!$E$31</f>
        <v>1.766040715264</v>
      </c>
      <c r="E4933" s="48" t="n">
        <f aca="false">E4929*Assumptions!$E$31</f>
        <v>1.766040715264</v>
      </c>
      <c r="F4933" s="48" t="n">
        <f aca="false">F4929*Assumptions!$E$31</f>
        <v>1.766040715264</v>
      </c>
      <c r="G4933" s="48" t="n">
        <f aca="false">G4929*Assumptions!$E$31</f>
        <v>2.389599202816</v>
      </c>
      <c r="H4933" s="48" t="n">
        <f aca="false">H4929*Assumptions!$E$31</f>
        <v>3.013157690368</v>
      </c>
      <c r="I4933" s="48" t="n">
        <f aca="false">I4929*Assumptions!$E$31</f>
        <v>5.068176633856</v>
      </c>
      <c r="J4933" s="48" t="n">
        <f aca="false">J4929*Assumptions!$E$31</f>
        <v>7.123195577344</v>
      </c>
      <c r="K4933" s="48" t="n">
        <f aca="false">K4929*Assumptions!$E$31</f>
        <v>7.123195577344</v>
      </c>
      <c r="L4933" s="48" t="n">
        <f aca="false">L4929*Assumptions!$E$31</f>
        <v>7.123195577344</v>
      </c>
      <c r="M4933" s="48" t="n">
        <f aca="false">M4929*Assumptions!$E$31</f>
        <v>7.123195577344</v>
      </c>
      <c r="N4933" s="48" t="n">
        <f aca="false">N4929*Assumptions!$E$31</f>
        <v>7.123195577344</v>
      </c>
      <c r="P4933" s="49" t="n">
        <f aca="false">SUM(C4933:F4933)</f>
        <v>6.181142503424</v>
      </c>
      <c r="Q4933" s="49" t="n">
        <f aca="false">SUM(G4933:J4933)</f>
        <v>17.594129104384</v>
      </c>
      <c r="R4933" s="49" t="n">
        <f aca="false">SUM(K4933:N4933)</f>
        <v>28.492782309376</v>
      </c>
      <c r="S4933" s="50" t="n">
        <f aca="false">SUM(P4933:R4933)</f>
        <v>52.268053917184</v>
      </c>
    </row>
    <row r="4934" customFormat="false" ht="15" hidden="false" customHeight="false" outlineLevel="0" collapsed="false">
      <c r="A4934" s="4" t="s">
        <v>506</v>
      </c>
      <c r="B4934" s="36" t="s">
        <v>504</v>
      </c>
      <c r="C4934" s="48" t="n">
        <f aca="false">C4931*Assumptions!$E$30</f>
        <v>3</v>
      </c>
      <c r="D4934" s="48" t="n">
        <f aca="false">D4931*Assumptions!$E$30</f>
        <v>4.5</v>
      </c>
      <c r="E4934" s="48" t="n">
        <f aca="false">E4931*Assumptions!$E$30</f>
        <v>6</v>
      </c>
      <c r="F4934" s="48" t="n">
        <f aca="false">F4931*Assumptions!$E$30</f>
        <v>7.5</v>
      </c>
      <c r="G4934" s="48" t="n">
        <f aca="false">G4931*Assumptions!$E$30</f>
        <v>9</v>
      </c>
      <c r="H4934" s="48" t="n">
        <f aca="false">H4931*Assumptions!$E$30</f>
        <v>10.5</v>
      </c>
      <c r="I4934" s="48" t="n">
        <f aca="false">I4931*Assumptions!$E$30</f>
        <v>12</v>
      </c>
      <c r="J4934" s="48" t="n">
        <f aca="false">J4931*Assumptions!$E$30</f>
        <v>13.5</v>
      </c>
      <c r="K4934" s="48" t="n">
        <f aca="false">K4931*Assumptions!$E$30</f>
        <v>15</v>
      </c>
      <c r="L4934" s="48" t="n">
        <f aca="false">L4931*Assumptions!$E$30</f>
        <v>15</v>
      </c>
      <c r="M4934" s="48" t="n">
        <f aca="false">M4931*Assumptions!$E$30</f>
        <v>15</v>
      </c>
      <c r="N4934" s="48" t="n">
        <f aca="false">N4931*Assumptions!$E$30</f>
        <v>15</v>
      </c>
      <c r="P4934" s="49" t="n">
        <f aca="false">SUM(C4934:F4934)</f>
        <v>21</v>
      </c>
      <c r="Q4934" s="49" t="n">
        <f aca="false">SUM(G4934:J4934)</f>
        <v>45</v>
      </c>
      <c r="R4934" s="49" t="n">
        <f aca="false">SUM(K4934:N4934)</f>
        <v>60</v>
      </c>
      <c r="S4934" s="50" t="n">
        <f aca="false">SUM(P4934:R4934)</f>
        <v>126</v>
      </c>
    </row>
    <row r="4935" customFormat="false" ht="15" hidden="false" customHeight="false" outlineLevel="0" collapsed="false">
      <c r="A4935" s="9" t="s">
        <v>507</v>
      </c>
      <c r="B4935" s="36" t="s">
        <v>504</v>
      </c>
      <c r="C4935" s="49" t="n">
        <f aca="false">C4932+C4933+C4934</f>
        <v>6.532081430528</v>
      </c>
      <c r="D4935" s="49" t="n">
        <f aca="false">D4932+D4933+D4934</f>
        <v>11.1964989282545</v>
      </c>
      <c r="E4935" s="49" t="n">
        <f aca="false">E4932+E4933+E4934</f>
        <v>12.3543490858728</v>
      </c>
      <c r="F4935" s="49" t="n">
        <f aca="false">F4932+F4933+F4934</f>
        <v>13.5359427800114</v>
      </c>
      <c r="G4935" s="49" t="n">
        <f aca="false">G4932+G4933+G4934</f>
        <v>17.233866274816</v>
      </c>
      <c r="H4935" s="49" t="n">
        <f aca="false">H4932+H4933+H4934</f>
        <v>20.6927207008123</v>
      </c>
      <c r="I4935" s="49" t="n">
        <f aca="false">I4932+I4933+I4934</f>
        <v>29.9145696880692</v>
      </c>
      <c r="J4935" s="49" t="n">
        <f aca="false">J4932+J4933+J4934</f>
        <v>38.3153432186007</v>
      </c>
      <c r="K4935" s="49" t="n">
        <f aca="false">K4932+K4933+K4934</f>
        <v>38.5875941402492</v>
      </c>
      <c r="L4935" s="49" t="n">
        <f aca="false">L4932+L4933+L4934</f>
        <v>37.4450448821772</v>
      </c>
      <c r="M4935" s="49" t="n">
        <f aca="false">M4932+M4933+M4934</f>
        <v>36.3817829908519</v>
      </c>
      <c r="N4935" s="49" t="n">
        <f aca="false">N4932+N4933+N4934</f>
        <v>35.3923063082865</v>
      </c>
      <c r="P4935" s="49" t="n">
        <f aca="false">SUM(C4935:F4935)</f>
        <v>43.6188722246667</v>
      </c>
      <c r="Q4935" s="49" t="n">
        <f aca="false">SUM(G4935:J4935)</f>
        <v>106.156499882298</v>
      </c>
      <c r="R4935" s="49" t="n">
        <f aca="false">SUM(K4935:N4935)</f>
        <v>147.806728321565</v>
      </c>
      <c r="S4935" s="50" t="n">
        <f aca="false">SUM(P4935:R4935)</f>
        <v>297.58210042853</v>
      </c>
    </row>
    <row r="4936" customFormat="false" ht="15" hidden="false" customHeight="false" outlineLevel="0" collapsed="false">
      <c r="A4936" s="4" t="s">
        <v>508</v>
      </c>
      <c r="B4936" s="36" t="s">
        <v>509</v>
      </c>
      <c r="C4936" s="48" t="n">
        <f aca="false">C4918</f>
        <v>421.51972352</v>
      </c>
      <c r="D4936" s="48" t="n">
        <f aca="false">D4918</f>
        <v>843.03944704</v>
      </c>
      <c r="E4936" s="48" t="n">
        <f aca="false">E4918</f>
        <v>843.03944704</v>
      </c>
      <c r="F4936" s="48" t="n">
        <f aca="false">F4918</f>
        <v>843.03944704</v>
      </c>
      <c r="G4936" s="48" t="n">
        <f aca="false">G4918</f>
        <v>1149.32798176</v>
      </c>
      <c r="H4936" s="48" t="n">
        <f aca="false">H4918</f>
        <v>1455.61651648</v>
      </c>
      <c r="I4936" s="48" t="n">
        <f aca="false">I4918</f>
        <v>2486.00303616</v>
      </c>
      <c r="J4936" s="48" t="n">
        <f aca="false">J4918</f>
        <v>3516.38955584</v>
      </c>
      <c r="K4936" s="48" t="n">
        <f aca="false">K4918</f>
        <v>3516.38955584</v>
      </c>
      <c r="L4936" s="48" t="n">
        <f aca="false">L4918</f>
        <v>3516.38955584</v>
      </c>
      <c r="M4936" s="48" t="n">
        <f aca="false">M4918</f>
        <v>3516.38955584</v>
      </c>
      <c r="N4936" s="48" t="n">
        <f aca="false">N4918</f>
        <v>3516.38955584</v>
      </c>
      <c r="P4936" s="49"/>
      <c r="Q4936" s="49"/>
      <c r="R4936" s="49"/>
      <c r="S4936" s="50"/>
    </row>
    <row r="4937" customFormat="false" ht="15" hidden="false" customHeight="false" outlineLevel="0" collapsed="false">
      <c r="A4937" s="4" t="s">
        <v>510</v>
      </c>
      <c r="B4937" s="36" t="s">
        <v>509</v>
      </c>
      <c r="C4937" s="48" t="n">
        <f aca="false">C4919*Assumptions!$E$18*Assumptions!$E$33</f>
        <v>211.19616</v>
      </c>
      <c r="D4937" s="48" t="n">
        <f aca="false">D4919*Assumptions!$E$18*Assumptions!$E$33</f>
        <v>422.39232</v>
      </c>
      <c r="E4937" s="48" t="n">
        <f aca="false">E4919*Assumptions!$E$18*Assumptions!$E$33</f>
        <v>422.39232</v>
      </c>
      <c r="F4937" s="48" t="n">
        <f aca="false">F4919*Assumptions!$E$18*Assumptions!$E$33</f>
        <v>422.39232</v>
      </c>
      <c r="G4937" s="48" t="n">
        <f aca="false">G4919*Assumptions!$E$18*Assumptions!$E$33</f>
        <v>564.49344</v>
      </c>
      <c r="H4937" s="48" t="n">
        <f aca="false">H4919*Assumptions!$E$18*Assumptions!$E$33</f>
        <v>706.59456</v>
      </c>
      <c r="I4937" s="48" t="n">
        <f aca="false">I4919*Assumptions!$E$18*Assumptions!$E$33</f>
        <v>1135.07072</v>
      </c>
      <c r="J4937" s="48" t="n">
        <f aca="false">J4919*Assumptions!$E$18*Assumptions!$E$33</f>
        <v>1563.54688</v>
      </c>
      <c r="K4937" s="48" t="n">
        <f aca="false">K4919*Assumptions!$E$18*Assumptions!$E$33</f>
        <v>1563.54688</v>
      </c>
      <c r="L4937" s="48" t="n">
        <f aca="false">L4919*Assumptions!$E$18*Assumptions!$E$33</f>
        <v>1563.54688</v>
      </c>
      <c r="M4937" s="48" t="n">
        <f aca="false">M4919*Assumptions!$E$18*Assumptions!$E$33</f>
        <v>1563.54688</v>
      </c>
      <c r="N4937" s="48" t="n">
        <f aca="false">N4919*Assumptions!$E$18*Assumptions!$E$33</f>
        <v>1563.54688</v>
      </c>
      <c r="P4937" s="49"/>
      <c r="Q4937" s="49"/>
      <c r="R4937" s="49"/>
      <c r="S4937" s="50"/>
    </row>
    <row r="4938" customFormat="false" ht="15" hidden="false" customHeight="false" outlineLevel="0" collapsed="false">
      <c r="A4938" s="4" t="s">
        <v>511</v>
      </c>
      <c r="B4938" s="36" t="s">
        <v>509</v>
      </c>
      <c r="C4938" s="48" t="n">
        <f aca="false">C4920*Assumptions!$E$19*Assumptions!$E$34</f>
        <v>34.677888</v>
      </c>
      <c r="D4938" s="48" t="n">
        <f aca="false">D4920*Assumptions!$E$19*Assumptions!$E$34</f>
        <v>69.355776</v>
      </c>
      <c r="E4938" s="48" t="n">
        <f aca="false">E4920*Assumptions!$E$19*Assumptions!$E$34</f>
        <v>69.355776</v>
      </c>
      <c r="F4938" s="48" t="n">
        <f aca="false">F4920*Assumptions!$E$19*Assumptions!$E$34</f>
        <v>69.355776</v>
      </c>
      <c r="G4938" s="48" t="n">
        <f aca="false">G4920*Assumptions!$E$19*Assumptions!$E$34</f>
        <v>86.69472</v>
      </c>
      <c r="H4938" s="48" t="n">
        <f aca="false">H4920*Assumptions!$E$19*Assumptions!$E$34</f>
        <v>104.033664</v>
      </c>
      <c r="I4938" s="48" t="n">
        <f aca="false">I4920*Assumptions!$E$19*Assumptions!$E$34</f>
        <v>159.7008</v>
      </c>
      <c r="J4938" s="48" t="n">
        <f aca="false">J4920*Assumptions!$E$19*Assumptions!$E$34</f>
        <v>215.367936</v>
      </c>
      <c r="K4938" s="48" t="n">
        <f aca="false">K4920*Assumptions!$E$19*Assumptions!$E$34</f>
        <v>215.367936</v>
      </c>
      <c r="L4938" s="48" t="n">
        <f aca="false">L4920*Assumptions!$E$19*Assumptions!$E$34</f>
        <v>215.367936</v>
      </c>
      <c r="M4938" s="48" t="n">
        <f aca="false">M4920*Assumptions!$E$19*Assumptions!$E$34</f>
        <v>215.367936</v>
      </c>
      <c r="N4938" s="48" t="n">
        <f aca="false">N4920*Assumptions!$E$19*Assumptions!$E$34</f>
        <v>215.367936</v>
      </c>
      <c r="P4938" s="49"/>
      <c r="Q4938" s="49"/>
      <c r="R4938" s="49"/>
      <c r="S4938" s="50"/>
    </row>
    <row r="4939" customFormat="false" ht="15" hidden="false" customHeight="false" outlineLevel="0" collapsed="false">
      <c r="A4939" s="4" t="s">
        <v>512</v>
      </c>
      <c r="B4939" s="36" t="s">
        <v>77</v>
      </c>
      <c r="C4939" s="51" t="n">
        <f aca="false">IFERROR(C4936/(C4936+C4937+C4938),0)</f>
        <v>0.631590736245533</v>
      </c>
      <c r="D4939" s="51" t="n">
        <f aca="false">IFERROR(D4936/(D4936+D4937+D4938),0)</f>
        <v>0.631590736245533</v>
      </c>
      <c r="E4939" s="51" t="n">
        <f aca="false">IFERROR(E4936/(E4936+E4937+E4938),0)</f>
        <v>0.631590736245533</v>
      </c>
      <c r="F4939" s="51" t="n">
        <f aca="false">IFERROR(F4936/(F4936+F4937+F4938),0)</f>
        <v>0.631590736245533</v>
      </c>
      <c r="G4939" s="51" t="n">
        <f aca="false">IFERROR(G4936/(G4936+G4937+G4938),0)</f>
        <v>0.638332506498128</v>
      </c>
      <c r="H4939" s="51" t="n">
        <f aca="false">IFERROR(H4936/(H4936+H4937+H4938),0)</f>
        <v>0.642303318118984</v>
      </c>
      <c r="I4939" s="51" t="n">
        <f aca="false">IFERROR(I4936/(I4936+I4937+I4938),0)</f>
        <v>0.657538025405288</v>
      </c>
      <c r="J4939" s="51" t="n">
        <f aca="false">IFERROR(J4936/(J4936+J4937+J4938),0)</f>
        <v>0.664058061428891</v>
      </c>
      <c r="K4939" s="51" t="n">
        <f aca="false">IFERROR(K4936/(K4936+K4937+K4938),0)</f>
        <v>0.664058061428891</v>
      </c>
      <c r="L4939" s="51" t="n">
        <f aca="false">IFERROR(L4936/(L4936+L4937+L4938),0)</f>
        <v>0.664058061428891</v>
      </c>
      <c r="M4939" s="51" t="n">
        <f aca="false">IFERROR(M4936/(M4936+M4937+M4938),0)</f>
        <v>0.664058061428891</v>
      </c>
      <c r="N4939" s="51" t="n">
        <f aca="false">IFERROR(N4936/(N4936+N4937+N4938),0)</f>
        <v>0.664058061428891</v>
      </c>
      <c r="P4939" s="52"/>
      <c r="Q4939" s="52"/>
      <c r="R4939" s="52"/>
      <c r="S4939" s="53"/>
    </row>
    <row r="4940" customFormat="false" ht="15" hidden="false" customHeight="false" outlineLevel="0" collapsed="false">
      <c r="A4940" s="4" t="s">
        <v>513</v>
      </c>
      <c r="B4940" s="36" t="s">
        <v>77</v>
      </c>
      <c r="C4940" s="51" t="n">
        <f aca="false">IFERROR(C4937/(C4936+C4937+C4938),0)</f>
        <v>0.316449102482628</v>
      </c>
      <c r="D4940" s="51" t="n">
        <f aca="false">IFERROR(D4937/(D4936+D4937+D4938),0)</f>
        <v>0.316449102482628</v>
      </c>
      <c r="E4940" s="51" t="n">
        <f aca="false">IFERROR(E4937/(E4936+E4937+E4938),0)</f>
        <v>0.316449102482628</v>
      </c>
      <c r="F4940" s="51" t="n">
        <f aca="false">IFERROR(F4937/(F4936+F4937+F4938),0)</f>
        <v>0.316449102482628</v>
      </c>
      <c r="G4940" s="51" t="n">
        <f aca="false">IFERROR(G4937/(G4936+G4937+G4938),0)</f>
        <v>0.313517566939561</v>
      </c>
      <c r="H4940" s="51" t="n">
        <f aca="false">IFERROR(H4937/(H4936+H4937+H4938),0)</f>
        <v>0.311790932099567</v>
      </c>
      <c r="I4940" s="51" t="n">
        <f aca="false">IFERROR(I4937/(I4936+I4937+I4938),0)</f>
        <v>0.300221741111391</v>
      </c>
      <c r="J4940" s="51" t="n">
        <f aca="false">IFERROR(J4937/(J4936+J4937+J4938),0)</f>
        <v>0.295270445324128</v>
      </c>
      <c r="K4940" s="51" t="n">
        <f aca="false">IFERROR(K4937/(K4936+K4937+K4938),0)</f>
        <v>0.295270445324128</v>
      </c>
      <c r="L4940" s="51" t="n">
        <f aca="false">IFERROR(L4937/(L4936+L4937+L4938),0)</f>
        <v>0.295270445324128</v>
      </c>
      <c r="M4940" s="51" t="n">
        <f aca="false">IFERROR(M4937/(M4936+M4937+M4938),0)</f>
        <v>0.295270445324128</v>
      </c>
      <c r="N4940" s="51" t="n">
        <f aca="false">IFERROR(N4937/(N4936+N4937+N4938),0)</f>
        <v>0.295270445324128</v>
      </c>
      <c r="P4940" s="52"/>
      <c r="Q4940" s="52"/>
      <c r="R4940" s="52"/>
      <c r="S4940" s="53"/>
    </row>
    <row r="4941" customFormat="false" ht="15" hidden="false" customHeight="false" outlineLevel="0" collapsed="false">
      <c r="A4941" s="4" t="s">
        <v>514</v>
      </c>
      <c r="B4941" s="36" t="s">
        <v>77</v>
      </c>
      <c r="C4941" s="51" t="n">
        <f aca="false">IFERROR(C4938/(C4936+C4937+C4938),0)</f>
        <v>0.0519601612718389</v>
      </c>
      <c r="D4941" s="51" t="n">
        <f aca="false">IFERROR(D4938/(D4936+D4937+D4938),0)</f>
        <v>0.0519601612718389</v>
      </c>
      <c r="E4941" s="51" t="n">
        <f aca="false">IFERROR(E4938/(E4936+E4937+E4938),0)</f>
        <v>0.0519601612718389</v>
      </c>
      <c r="F4941" s="51" t="n">
        <f aca="false">IFERROR(F4938/(F4936+F4937+F4938),0)</f>
        <v>0.0519601612718389</v>
      </c>
      <c r="G4941" s="51" t="n">
        <f aca="false">IFERROR(G4938/(G4936+G4937+G4938),0)</f>
        <v>0.0481499265623113</v>
      </c>
      <c r="H4941" s="51" t="n">
        <f aca="false">IFERROR(H4938/(H4936+H4937+H4938),0)</f>
        <v>0.0459057497814491</v>
      </c>
      <c r="I4941" s="51" t="n">
        <f aca="false">IFERROR(I4938/(I4936+I4937+I4938),0)</f>
        <v>0.0422402334833216</v>
      </c>
      <c r="J4941" s="51" t="n">
        <f aca="false">IFERROR(J4938/(J4936+J4937+J4938),0)</f>
        <v>0.0406714932469811</v>
      </c>
      <c r="K4941" s="51" t="n">
        <f aca="false">IFERROR(K4938/(K4936+K4937+K4938),0)</f>
        <v>0.0406714932469811</v>
      </c>
      <c r="L4941" s="51" t="n">
        <f aca="false">IFERROR(L4938/(L4936+L4937+L4938),0)</f>
        <v>0.0406714932469811</v>
      </c>
      <c r="M4941" s="51" t="n">
        <f aca="false">IFERROR(M4938/(M4936+M4937+M4938),0)</f>
        <v>0.0406714932469811</v>
      </c>
      <c r="N4941" s="51" t="n">
        <f aca="false">IFERROR(N4938/(N4936+N4937+N4938),0)</f>
        <v>0.0406714932469811</v>
      </c>
      <c r="P4941" s="52"/>
      <c r="Q4941" s="52"/>
      <c r="R4941" s="52"/>
      <c r="S4941" s="53"/>
    </row>
    <row r="4942" customFormat="false" ht="15" hidden="false" customHeight="false" outlineLevel="0" collapsed="false">
      <c r="A4942" s="4" t="s">
        <v>515</v>
      </c>
      <c r="B4942" s="36" t="s">
        <v>516</v>
      </c>
      <c r="C4942" s="48" t="n">
        <f aca="false">IF(C4910-Assumptions!$E$35&lt;1,0,INDEX($C$4935:$N$4935,1,C4910-Assumptions!$E$35)*INDEX($C$4939:$N$4939,1,C4910-Assumptions!$E$35)*Assumptions!$F$32)</f>
        <v>0</v>
      </c>
      <c r="D4942" s="48" t="n">
        <f aca="false">IF(D4910-Assumptions!$E$35&lt;1,0,INDEX($C$4935:$N$4935,1,D4910-Assumptions!$E$35)*INDEX($C$4939:$N$4939,1,D4910-Assumptions!$E$35)*Assumptions!$F$32)</f>
        <v>1.23768063597689</v>
      </c>
      <c r="E4942" s="48" t="n">
        <f aca="false">IF(E4910-Assumptions!$E$35&lt;1,0,INDEX($C$4935:$N$4935,1,E4910-Assumptions!$E$35)*INDEX($C$4939:$N$4939,1,E4910-Assumptions!$E$35)*Assumptions!$F$32)</f>
        <v>2.12148150044057</v>
      </c>
      <c r="F4942" s="48" t="n">
        <f aca="false">IF(F4910-Assumptions!$E$35&lt;1,0,INDEX($C$4935:$N$4935,1,F4910-Assumptions!$E$35)*INDEX($C$4939:$N$4939,1,F4910-Assumptions!$E$35)*Assumptions!$F$32)</f>
        <v>2.34086773049422</v>
      </c>
      <c r="G4942" s="48" t="n">
        <f aca="false">IF(G4910-Assumptions!$E$35&lt;1,0,INDEX($C$4935:$N$4935,1,G4910-Assumptions!$E$35)*INDEX($C$4939:$N$4939,1,G4910-Assumptions!$E$35)*Assumptions!$F$32)</f>
        <v>2.56475281986144</v>
      </c>
      <c r="H4942" s="48" t="n">
        <f aca="false">IF(H4910-Assumptions!$E$35&lt;1,0,INDEX($C$4935:$N$4935,1,H4910-Assumptions!$E$35)*INDEX($C$4939:$N$4939,1,H4910-Assumptions!$E$35)*Assumptions!$F$32)</f>
        <v>3.30028111675706</v>
      </c>
      <c r="I4942" s="48" t="n">
        <f aca="false">IF(I4910-Assumptions!$E$35&lt;1,0,INDEX($C$4935:$N$4935,1,I4910-Assumptions!$E$35)*INDEX($C$4939:$N$4939,1,I4910-Assumptions!$E$35)*Assumptions!$F$32)</f>
        <v>3.98730095011235</v>
      </c>
      <c r="J4942" s="48" t="n">
        <f aca="false">IF(J4910-Assumptions!$E$35&lt;1,0,INDEX($C$4935:$N$4935,1,J4910-Assumptions!$E$35)*INDEX($C$4939:$N$4939,1,J4910-Assumptions!$E$35)*Assumptions!$F$32)</f>
        <v>5.90099012506257</v>
      </c>
      <c r="K4942" s="48" t="n">
        <f aca="false">IF(K4910-Assumptions!$E$35&lt;1,0,INDEX($C$4935:$N$4935,1,K4910-Assumptions!$E$35)*INDEX($C$4939:$N$4939,1,K4910-Assumptions!$E$35)*Assumptions!$F$32)</f>
        <v>7.63308376221796</v>
      </c>
      <c r="L4942" s="48" t="n">
        <f aca="false">IF(L4910-Assumptions!$E$35&lt;1,0,INDEX($C$4935:$N$4935,1,L4910-Assumptions!$E$35)*INDEX($C$4939:$N$4939,1,L4910-Assumptions!$E$35)*Assumptions!$F$32)</f>
        <v>7.68732088799361</v>
      </c>
      <c r="M4942" s="48" t="n">
        <f aca="false">IF(M4910-Assumptions!$E$35&lt;1,0,INDEX($C$4935:$N$4935,1,M4910-Assumptions!$E$35)*INDEX($C$4939:$N$4939,1,M4910-Assumptions!$E$35)*Assumptions!$F$32)</f>
        <v>7.45970517437292</v>
      </c>
      <c r="N4942" s="48" t="n">
        <f aca="false">IF(N4910-Assumptions!$E$35&lt;1,0,INDEX($C$4935:$N$4935,1,N4910-Assumptions!$E$35)*INDEX($C$4939:$N$4939,1,N4910-Assumptions!$E$35)*Assumptions!$F$32)</f>
        <v>7.24788488526951</v>
      </c>
      <c r="P4942" s="49" t="n">
        <f aca="false">SUM(C4942:F4942)</f>
        <v>5.70002986691168</v>
      </c>
      <c r="Q4942" s="49" t="n">
        <f aca="false">SUM(G4942:J4942)</f>
        <v>15.7533250117934</v>
      </c>
      <c r="R4942" s="49" t="n">
        <f aca="false">SUM(K4942:N4942)</f>
        <v>30.027994709854</v>
      </c>
      <c r="S4942" s="50" t="n">
        <f aca="false">SUM(P4942:R4942)</f>
        <v>51.4813495885591</v>
      </c>
    </row>
    <row r="4943" customFormat="false" ht="15" hidden="false" customHeight="false" outlineLevel="0" collapsed="false">
      <c r="A4943" s="4" t="s">
        <v>517</v>
      </c>
      <c r="B4943" s="36" t="s">
        <v>516</v>
      </c>
      <c r="C4943" s="48" t="n">
        <f aca="false">IF(C4910-Assumptions!$E$35&lt;1,0,INDEX($C$4935:$N$4935,1,C4910-Assumptions!$E$35)*INDEX($C$4940:$N$4940,1,C4910-Assumptions!$E$35)*Assumptions!$F$32)</f>
        <v>0</v>
      </c>
      <c r="D4943" s="48" t="n">
        <f aca="false">IF(D4910-Assumptions!$E$35&lt;1,0,INDEX($C$4935:$N$4935,1,D4910-Assumptions!$E$35)*INDEX($C$4940:$N$4940,1,D4910-Assumptions!$E$35)*Assumptions!$F$32)</f>
        <v>0.620121391810208</v>
      </c>
      <c r="E4943" s="48" t="n">
        <f aca="false">IF(E4910-Assumptions!$E$35&lt;1,0,INDEX($C$4935:$N$4935,1,E4910-Assumptions!$E$35)*INDEX($C$4940:$N$4940,1,E4910-Assumptions!$E$35)*Assumptions!$F$32)</f>
        <v>1.06293661103815</v>
      </c>
      <c r="F4943" s="48" t="n">
        <f aca="false">IF(F4910-Assumptions!$E$35&lt;1,0,INDEX($C$4935:$N$4935,1,F4910-Assumptions!$E$35)*INDEX($C$4940:$N$4940,1,F4910-Assumptions!$E$35)*Assumptions!$F$32)</f>
        <v>1.17285680399446</v>
      </c>
      <c r="G4943" s="48" t="n">
        <f aca="false">IF(G4910-Assumptions!$E$35&lt;1,0,INDEX($C$4935:$N$4935,1,G4910-Assumptions!$E$35)*INDEX($C$4940:$N$4940,1,G4910-Assumptions!$E$35)*Assumptions!$F$32)</f>
        <v>1.28503108319724</v>
      </c>
      <c r="H4943" s="48" t="n">
        <f aca="false">IF(H4910-Assumptions!$E$35&lt;1,0,INDEX($C$4935:$N$4935,1,H4910-Assumptions!$E$35)*INDEX($C$4940:$N$4940,1,H4910-Assumptions!$E$35)*Assumptions!$F$32)</f>
        <v>1.62093594703262</v>
      </c>
      <c r="I4943" s="48" t="n">
        <f aca="false">IF(I4910-Assumptions!$E$35&lt;1,0,INDEX($C$4935:$N$4935,1,I4910-Assumptions!$E$35)*INDEX($C$4940:$N$4940,1,I4910-Assumptions!$E$35)*Assumptions!$F$32)</f>
        <v>1.93554080249468</v>
      </c>
      <c r="J4943" s="48" t="n">
        <f aca="false">IF(J4910-Assumptions!$E$35&lt;1,0,INDEX($C$4935:$N$4935,1,J4910-Assumptions!$E$35)*INDEX($C$4940:$N$4940,1,J4910-Assumptions!$E$35)*Assumptions!$F$32)</f>
        <v>2.69430125890505</v>
      </c>
      <c r="K4943" s="48" t="n">
        <f aca="false">IF(K4910-Assumptions!$E$35&lt;1,0,INDEX($C$4935:$N$4935,1,K4910-Assumptions!$E$35)*INDEX($C$4940:$N$4940,1,K4910-Assumptions!$E$35)*Assumptions!$F$32)</f>
        <v>3.39401653647091</v>
      </c>
      <c r="L4943" s="48" t="n">
        <f aca="false">IF(L4910-Assumptions!$E$35&lt;1,0,INDEX($C$4935:$N$4935,1,L4910-Assumptions!$E$35)*INDEX($C$4940:$N$4940,1,L4910-Assumptions!$E$35)*Assumptions!$F$32)</f>
        <v>3.41813283173343</v>
      </c>
      <c r="M4943" s="48" t="n">
        <f aca="false">IF(M4910-Assumptions!$E$35&lt;1,0,INDEX($C$4935:$N$4935,1,M4910-Assumptions!$E$35)*INDEX($C$4940:$N$4940,1,M4910-Assumptions!$E$35)*Assumptions!$F$32)</f>
        <v>3.31692452326273</v>
      </c>
      <c r="N4943" s="48" t="n">
        <f aca="false">IF(N4910-Assumptions!$E$35&lt;1,0,INDEX($C$4935:$N$4935,1,N4910-Assumptions!$E$35)*INDEX($C$4940:$N$4940,1,N4910-Assumptions!$E$35)*Assumptions!$F$32)</f>
        <v>3.22273957961839</v>
      </c>
      <c r="P4943" s="49" t="n">
        <f aca="false">SUM(C4943:F4943)</f>
        <v>2.85591480684281</v>
      </c>
      <c r="Q4943" s="49" t="n">
        <f aca="false">SUM(G4943:J4943)</f>
        <v>7.53580909162959</v>
      </c>
      <c r="R4943" s="49" t="n">
        <f aca="false">SUM(K4943:N4943)</f>
        <v>13.3518134710855</v>
      </c>
      <c r="S4943" s="50" t="n">
        <f aca="false">SUM(P4943:R4943)</f>
        <v>23.7435373695579</v>
      </c>
    </row>
    <row r="4944" customFormat="false" ht="15" hidden="false" customHeight="false" outlineLevel="0" collapsed="false">
      <c r="A4944" s="4" t="s">
        <v>518</v>
      </c>
      <c r="B4944" s="36" t="s">
        <v>516</v>
      </c>
      <c r="C4944" s="48" t="n">
        <f aca="false">IF(C4910-Assumptions!$E$36&lt;1,0,INDEX($C$4935:$N$4935,1,C4910-Assumptions!$E$36)*INDEX($C$4941:$N$4941,1,C4910-Assumptions!$E$36)*Assumptions!$F$32)</f>
        <v>0</v>
      </c>
      <c r="D4944" s="48" t="n">
        <f aca="false">IF(D4910-Assumptions!$E$36&lt;1,0,INDEX($C$4935:$N$4935,1,D4910-Assumptions!$E$36)*INDEX($C$4941:$N$4941,1,D4910-Assumptions!$E$36)*Assumptions!$F$32)</f>
        <v>0</v>
      </c>
      <c r="E4944" s="48" t="n">
        <f aca="false">IF(E4910-Assumptions!$E$36&lt;1,0,INDEX($C$4935:$N$4935,1,E4910-Assumptions!$E$36)*INDEX($C$4941:$N$4941,1,E4910-Assumptions!$E$36)*Assumptions!$F$32)</f>
        <v>0.101822401371306</v>
      </c>
      <c r="F4944" s="48" t="n">
        <f aca="false">IF(F4910-Assumptions!$E$36&lt;1,0,INDEX($C$4935:$N$4935,1,F4910-Assumptions!$E$36)*INDEX($C$4941:$N$4941,1,F4910-Assumptions!$E$36)*Assumptions!$F$32)</f>
        <v>0.174531566997622</v>
      </c>
      <c r="G4944" s="48" t="n">
        <f aca="false">IF(G4910-Assumptions!$E$36&lt;1,0,INDEX($C$4935:$N$4935,1,G4910-Assumptions!$E$36)*INDEX($C$4941:$N$4941,1,G4910-Assumptions!$E$36)*Assumptions!$F$32)</f>
        <v>0.192580191273164</v>
      </c>
      <c r="H4944" s="48" t="n">
        <f aca="false">IF(H4910-Assumptions!$E$36&lt;1,0,INDEX($C$4935:$N$4935,1,H4910-Assumptions!$E$36)*INDEX($C$4941:$N$4941,1,H4910-Assumptions!$E$36)*Assumptions!$F$32)</f>
        <v>0.210998930944732</v>
      </c>
      <c r="I4944" s="48" t="n">
        <f aca="false">IF(I4910-Assumptions!$E$36&lt;1,0,INDEX($C$4935:$N$4935,1,I4910-Assumptions!$E$36)*INDEX($C$4941:$N$4941,1,I4910-Assumptions!$E$36)*Assumptions!$F$32)</f>
        <v>0.248942818655125</v>
      </c>
      <c r="J4944" s="48" t="n">
        <f aca="false">IF(J4910-Assumptions!$E$36&lt;1,0,INDEX($C$4935:$N$4935,1,J4910-Assumptions!$E$36)*INDEX($C$4941:$N$4941,1,J4910-Assumptions!$E$36)*Assumptions!$F$32)</f>
        <v>0.284974457636671</v>
      </c>
      <c r="K4944" s="48" t="n">
        <f aca="false">IF(K4910-Assumptions!$E$36&lt;1,0,INDEX($C$4935:$N$4935,1,K4910-Assumptions!$E$36)*INDEX($C$4941:$N$4941,1,K4910-Assumptions!$E$36)*Assumptions!$F$32)</f>
        <v>0.379079522453141</v>
      </c>
      <c r="L4944" s="48" t="n">
        <f aca="false">IF(L4910-Assumptions!$E$36&lt;1,0,INDEX($C$4935:$N$4935,1,L4910-Assumptions!$E$36)*INDEX($C$4941:$N$4941,1,L4910-Assumptions!$E$36)*Assumptions!$F$32)</f>
        <v>0.467502666891324</v>
      </c>
      <c r="M4944" s="48" t="n">
        <f aca="false">IF(M4910-Assumptions!$E$36&lt;1,0,INDEX($C$4935:$N$4935,1,M4910-Assumptions!$E$36)*INDEX($C$4941:$N$4941,1,M4910-Assumptions!$E$36)*Assumptions!$F$32)</f>
        <v>0.470824522347718</v>
      </c>
      <c r="N4944" s="48" t="n">
        <f aca="false">IF(N4910-Assumptions!$E$36&lt;1,0,INDEX($C$4935:$N$4935,1,N4910-Assumptions!$E$36)*INDEX($C$4941:$N$4941,1,N4910-Assumptions!$E$36)*Assumptions!$F$32)</f>
        <v>0.456883767017512</v>
      </c>
      <c r="P4944" s="49" t="n">
        <f aca="false">SUM(C4944:F4944)</f>
        <v>0.276353968368928</v>
      </c>
      <c r="Q4944" s="49" t="n">
        <f aca="false">SUM(G4944:J4944)</f>
        <v>0.937496398509692</v>
      </c>
      <c r="R4944" s="49" t="n">
        <f aca="false">SUM(K4944:N4944)</f>
        <v>1.7742904787097</v>
      </c>
      <c r="S4944" s="50" t="n">
        <f aca="false">SUM(P4944:R4944)</f>
        <v>2.98814084558832</v>
      </c>
    </row>
    <row r="4945" customFormat="false" ht="15" hidden="false" customHeight="false" outlineLevel="0" collapsed="false">
      <c r="A4945" s="4" t="s">
        <v>519</v>
      </c>
      <c r="B4945" s="36" t="s">
        <v>77</v>
      </c>
      <c r="C4945" s="51" t="n">
        <f aca="false">IF(C4910-Assumptions!$E$35&lt;1,0,IFERROR(INDEX($C$4934:$N$4934,1,C4910-Assumptions!$E$35)/INDEX($C$4935:$N$4935,1,C4910-Assumptions!$E$35),0))</f>
        <v>0</v>
      </c>
      <c r="D4945" s="51" t="n">
        <f aca="false">IF(D4910-Assumptions!$E$35&lt;1,0,IFERROR(INDEX($C$4934:$N$4934,1,D4910-Assumptions!$E$35)/INDEX($C$4935:$N$4935,1,D4910-Assumptions!$E$35),0))</f>
        <v>0.459271678087073</v>
      </c>
      <c r="E4945" s="51" t="n">
        <f aca="false">IF(E4910-Assumptions!$E$35&lt;1,0,IFERROR(INDEX($C$4934:$N$4934,1,E4910-Assumptions!$E$35)/INDEX($C$4935:$N$4935,1,E4910-Assumptions!$E$35),0))</f>
        <v>0.401911350042128</v>
      </c>
      <c r="F4945" s="51" t="n">
        <f aca="false">IF(F4910-Assumptions!$E$35&lt;1,0,IFERROR(INDEX($C$4934:$N$4934,1,F4910-Assumptions!$E$35)/INDEX($C$4935:$N$4935,1,F4910-Assumptions!$E$35),0))</f>
        <v>0.485658933408398</v>
      </c>
      <c r="G4945" s="51" t="n">
        <f aca="false">IF(G4910-Assumptions!$E$35&lt;1,0,IFERROR(INDEX($C$4934:$N$4934,1,G4910-Assumptions!$E$35)/INDEX($C$4935:$N$4935,1,G4910-Assumptions!$E$35),0))</f>
        <v>0.554080356417826</v>
      </c>
      <c r="H4945" s="51" t="n">
        <f aca="false">IF(H4910-Assumptions!$E$35&lt;1,0,IFERROR(INDEX($C$4934:$N$4934,1,H4910-Assumptions!$E$35)/INDEX($C$4935:$N$4935,1,H4910-Assumptions!$E$35),0))</f>
        <v>0.522227563825987</v>
      </c>
      <c r="I4945" s="51" t="n">
        <f aca="false">IF(I4910-Assumptions!$E$35&lt;1,0,IFERROR(INDEX($C$4934:$N$4934,1,I4910-Assumptions!$E$35)/INDEX($C$4935:$N$4935,1,I4910-Assumptions!$E$35),0))</f>
        <v>0.507424816282752</v>
      </c>
      <c r="J4945" s="51" t="n">
        <f aca="false">IF(J4910-Assumptions!$E$35&lt;1,0,IFERROR(INDEX($C$4934:$N$4934,1,J4910-Assumptions!$E$35)/INDEX($C$4935:$N$4935,1,J4910-Assumptions!$E$35),0))</f>
        <v>0.401142323795015</v>
      </c>
      <c r="K4945" s="51" t="n">
        <f aca="false">IF(K4910-Assumptions!$E$35&lt;1,0,IFERROR(INDEX($C$4934:$N$4934,1,K4910-Assumptions!$E$35)/INDEX($C$4935:$N$4935,1,K4910-Assumptions!$E$35),0))</f>
        <v>0.352339268448632</v>
      </c>
      <c r="L4945" s="51" t="n">
        <f aca="false">IF(L4910-Assumptions!$E$35&lt;1,0,IFERROR(INDEX($C$4934:$N$4934,1,L4910-Assumptions!$E$35)/INDEX($C$4935:$N$4935,1,L4910-Assumptions!$E$35),0))</f>
        <v>0.388725970981282</v>
      </c>
      <c r="M4945" s="51" t="n">
        <f aca="false">IF(M4910-Assumptions!$E$35&lt;1,0,IFERROR(INDEX($C$4934:$N$4934,1,M4910-Assumptions!$E$35)/INDEX($C$4935:$N$4935,1,M4910-Assumptions!$E$35),0))</f>
        <v>0.400587048224893</v>
      </c>
      <c r="N4945" s="51" t="n">
        <f aca="false">IF(N4910-Assumptions!$E$35&lt;1,0,IFERROR(INDEX($C$4934:$N$4934,1,N4910-Assumptions!$E$35)/INDEX($C$4935:$N$4935,1,N4910-Assumptions!$E$35),0))</f>
        <v>0.412294251872474</v>
      </c>
      <c r="P4945" s="52"/>
      <c r="Q4945" s="52"/>
      <c r="R4945" s="52"/>
      <c r="S4945" s="53"/>
    </row>
    <row r="4946" customFormat="false" ht="15" hidden="false" customHeight="false" outlineLevel="0" collapsed="false">
      <c r="A4946" s="4" t="s">
        <v>520</v>
      </c>
      <c r="B4946" s="36" t="s">
        <v>516</v>
      </c>
      <c r="C4946" s="48" t="n">
        <f aca="false">C4942*Assumptions!$E$37</f>
        <v>0</v>
      </c>
      <c r="D4946" s="48" t="n">
        <f aca="false">D4942*Assumptions!$E$37</f>
        <v>0.371304190793066</v>
      </c>
      <c r="E4946" s="48" t="n">
        <f aca="false">E4942*Assumptions!$E$37</f>
        <v>0.636444450132171</v>
      </c>
      <c r="F4946" s="48" t="n">
        <f aca="false">F4942*Assumptions!$E$37</f>
        <v>0.702260319148266</v>
      </c>
      <c r="G4946" s="48" t="n">
        <f aca="false">G4942*Assumptions!$E$37</f>
        <v>0.769425845958432</v>
      </c>
      <c r="H4946" s="48" t="n">
        <f aca="false">H4942*Assumptions!$E$37</f>
        <v>0.990084335027117</v>
      </c>
      <c r="I4946" s="48" t="n">
        <f aca="false">I4942*Assumptions!$E$37</f>
        <v>1.1961902850337</v>
      </c>
      <c r="J4946" s="48" t="n">
        <f aca="false">J4942*Assumptions!$E$37</f>
        <v>1.77029703751877</v>
      </c>
      <c r="K4946" s="48" t="n">
        <f aca="false">K4942*Assumptions!$E$37</f>
        <v>2.28992512866539</v>
      </c>
      <c r="L4946" s="48" t="n">
        <f aca="false">L4942*Assumptions!$E$37</f>
        <v>2.30619626639808</v>
      </c>
      <c r="M4946" s="48" t="n">
        <f aca="false">M4942*Assumptions!$E$37</f>
        <v>2.23791155231188</v>
      </c>
      <c r="N4946" s="48" t="n">
        <f aca="false">N4942*Assumptions!$E$37</f>
        <v>2.17436546558085</v>
      </c>
      <c r="P4946" s="49" t="n">
        <f aca="false">SUM(C4946:F4946)</f>
        <v>1.7100089600735</v>
      </c>
      <c r="Q4946" s="49" t="n">
        <f aca="false">SUM(G4946:J4946)</f>
        <v>4.72599750353802</v>
      </c>
      <c r="R4946" s="49" t="n">
        <f aca="false">SUM(K4946:N4946)</f>
        <v>9.0083984129562</v>
      </c>
      <c r="S4946" s="50" t="n">
        <f aca="false">SUM(P4946:R4946)</f>
        <v>15.4444048765677</v>
      </c>
    </row>
    <row r="4947" customFormat="false" ht="15" hidden="false" customHeight="false" outlineLevel="0" collapsed="false">
      <c r="A4947" s="4" t="s">
        <v>521</v>
      </c>
      <c r="B4947" s="36" t="s">
        <v>516</v>
      </c>
      <c r="C4947" s="48" t="n">
        <f aca="false">C4942*(1-Assumptions!$E$37)</f>
        <v>0</v>
      </c>
      <c r="D4947" s="48" t="n">
        <f aca="false">D4942*(1-Assumptions!$E$37)</f>
        <v>0.866376445183821</v>
      </c>
      <c r="E4947" s="48" t="n">
        <f aca="false">E4942*(1-Assumptions!$E$37)</f>
        <v>1.4850370503084</v>
      </c>
      <c r="F4947" s="48" t="n">
        <f aca="false">F4942*(1-Assumptions!$E$37)</f>
        <v>1.63860741134595</v>
      </c>
      <c r="G4947" s="48" t="n">
        <f aca="false">G4942*(1-Assumptions!$E$37)</f>
        <v>1.79532697390301</v>
      </c>
      <c r="H4947" s="48" t="n">
        <f aca="false">H4942*(1-Assumptions!$E$37)</f>
        <v>2.31019678172994</v>
      </c>
      <c r="I4947" s="48" t="n">
        <f aca="false">I4942*(1-Assumptions!$E$37)</f>
        <v>2.79111066507864</v>
      </c>
      <c r="J4947" s="48" t="n">
        <f aca="false">J4942*(1-Assumptions!$E$37)</f>
        <v>4.1306930875438</v>
      </c>
      <c r="K4947" s="48" t="n">
        <f aca="false">K4942*(1-Assumptions!$E$37)</f>
        <v>5.34315863355258</v>
      </c>
      <c r="L4947" s="48" t="n">
        <f aca="false">L4942*(1-Assumptions!$E$37)</f>
        <v>5.38112462159553</v>
      </c>
      <c r="M4947" s="48" t="n">
        <f aca="false">M4942*(1-Assumptions!$E$37)</f>
        <v>5.22179362206104</v>
      </c>
      <c r="N4947" s="48" t="n">
        <f aca="false">N4942*(1-Assumptions!$E$37)</f>
        <v>5.07351941968866</v>
      </c>
      <c r="P4947" s="49" t="n">
        <f aca="false">SUM(C4947:F4947)</f>
        <v>3.99002090683817</v>
      </c>
      <c r="Q4947" s="49" t="n">
        <f aca="false">SUM(G4947:J4947)</f>
        <v>11.0273275082554</v>
      </c>
      <c r="R4947" s="49" t="n">
        <f aca="false">SUM(K4947:N4947)</f>
        <v>21.0195962968978</v>
      </c>
      <c r="S4947" s="50" t="n">
        <f aca="false">SUM(P4947:R4947)</f>
        <v>36.0369447119914</v>
      </c>
    </row>
    <row r="4948" customFormat="false" ht="15" hidden="false" customHeight="false" outlineLevel="0" collapsed="false">
      <c r="A4948" s="4" t="s">
        <v>522</v>
      </c>
      <c r="B4948" s="36" t="s">
        <v>125</v>
      </c>
      <c r="C4948" s="54" t="n">
        <f aca="false">C4947*$C$4901+C4943*$C$4902+C4944*$C$4903</f>
        <v>0</v>
      </c>
      <c r="D4948" s="54" t="n">
        <f aca="false">D4947*$C$4901+D4943*$C$4902+D4944*$C$4903</f>
        <v>10693.3988142863</v>
      </c>
      <c r="E4948" s="54" t="n">
        <f aca="false">E4947*$C$4901+E4943*$C$4902+E4944*$C$4903</f>
        <v>24619.7330886594</v>
      </c>
      <c r="F4948" s="54" t="n">
        <f aca="false">F4947*$C$4901+F4943*$C$4902+F4944*$C$4903</f>
        <v>31007.0468855992</v>
      </c>
      <c r="G4948" s="54" t="n">
        <f aca="false">G4947*$C$4901+G4943*$C$4902+G4944*$C$4903</f>
        <v>34056.3973099255</v>
      </c>
      <c r="H4948" s="54" t="n">
        <f aca="false">H4947*$C$4901+H4943*$C$4902+H4944*$C$4903</f>
        <v>41230.5469350512</v>
      </c>
      <c r="I4948" s="54" t="n">
        <f aca="false">I4947*$C$4901+I4943*$C$4902+I4944*$C$4903</f>
        <v>49221.1628301122</v>
      </c>
      <c r="J4948" s="54" t="n">
        <f aca="false">J4947*$C$4901+J4943*$C$4902+J4944*$C$4903</f>
        <v>66027.1808026782</v>
      </c>
      <c r="K4948" s="54" t="n">
        <f aca="false">K4947*$C$4901+K4943*$C$4902+K4944*$C$4903</f>
        <v>85163.8664964938</v>
      </c>
      <c r="L4948" s="54" t="n">
        <f aca="false">L4947*$C$4901+L4943*$C$4902+L4944*$C$4903</f>
        <v>91065.2252437016</v>
      </c>
      <c r="M4948" s="54" t="n">
        <f aca="false">M4947*$C$4901+M4943*$C$4902+M4944*$C$4903</f>
        <v>89429.2309481643</v>
      </c>
      <c r="N4948" s="54" t="n">
        <f aca="false">N4947*$C$4901+N4943*$C$4902+N4944*$C$4903</f>
        <v>86854.5538774688</v>
      </c>
      <c r="P4948" s="55" t="n">
        <f aca="false">SUM(C4948:F4948)</f>
        <v>66320.178788545</v>
      </c>
      <c r="Q4948" s="55" t="n">
        <f aca="false">SUM(G4948:J4948)</f>
        <v>190535.287877767</v>
      </c>
      <c r="R4948" s="55" t="n">
        <f aca="false">SUM(K4948:N4948)</f>
        <v>352512.876565828</v>
      </c>
      <c r="S4948" s="56" t="n">
        <f aca="false">SUM(P4948:R4948)</f>
        <v>609368.343232141</v>
      </c>
    </row>
    <row r="4949" customFormat="false" ht="15" hidden="false" customHeight="false" outlineLevel="0" collapsed="false">
      <c r="A4949" s="4" t="s">
        <v>523</v>
      </c>
      <c r="B4949" s="36" t="s">
        <v>125</v>
      </c>
      <c r="C4949" s="54" t="n">
        <f aca="false">(C4925+Assumptions!$D$104*C4911)*$C$4906</f>
        <v>306250</v>
      </c>
      <c r="D4949" s="54" t="n">
        <f aca="false">(D4925+Assumptions!$D$104*D4911)*$C$4906</f>
        <v>306250</v>
      </c>
      <c r="E4949" s="54" t="n">
        <f aca="false">(E4925+Assumptions!$D$104*E4911)*$C$4906</f>
        <v>306250</v>
      </c>
      <c r="F4949" s="54" t="n">
        <f aca="false">(F4925+Assumptions!$D$104*F4911)*$C$4906</f>
        <v>306250</v>
      </c>
      <c r="G4949" s="54" t="n">
        <f aca="false">(G4925+Assumptions!$D$104*G4911)*$C$4906</f>
        <v>306250</v>
      </c>
      <c r="H4949" s="54" t="n">
        <f aca="false">(H4925+Assumptions!$D$104*H4911)*$C$4906</f>
        <v>306250</v>
      </c>
      <c r="I4949" s="54" t="n">
        <f aca="false">(I4925+Assumptions!$D$104*I4911)*$C$4906</f>
        <v>306250</v>
      </c>
      <c r="J4949" s="54" t="n">
        <f aca="false">(J4925+Assumptions!$D$104*J4911)*$C$4906</f>
        <v>306250</v>
      </c>
      <c r="K4949" s="54" t="n">
        <f aca="false">(K4925+Assumptions!$D$104*K4911)*$C$4906</f>
        <v>306250</v>
      </c>
      <c r="L4949" s="54" t="n">
        <f aca="false">(L4925+Assumptions!$D$104*L4911)*$C$4906</f>
        <v>306250</v>
      </c>
      <c r="M4949" s="54" t="n">
        <f aca="false">(M4925+Assumptions!$D$104*M4911)*$C$4906</f>
        <v>306250</v>
      </c>
      <c r="N4949" s="54" t="n">
        <f aca="false">(N4925+Assumptions!$D$104*N4911)*$C$4906</f>
        <v>306250</v>
      </c>
      <c r="P4949" s="55" t="n">
        <f aca="false">SUM(C4949:F4949)</f>
        <v>1225000</v>
      </c>
      <c r="Q4949" s="55" t="n">
        <f aca="false">SUM(G4949:J4949)</f>
        <v>1225000</v>
      </c>
      <c r="R4949" s="55" t="n">
        <f aca="false">SUM(K4949:N4949)</f>
        <v>1225000</v>
      </c>
      <c r="S4949" s="56" t="n">
        <f aca="false">SUM(P4949:R4949)</f>
        <v>3675000</v>
      </c>
    </row>
    <row r="4950" customFormat="false" ht="15" hidden="false" customHeight="false" outlineLevel="0" collapsed="false">
      <c r="A4950" s="4" t="s">
        <v>524</v>
      </c>
      <c r="B4950" s="36" t="s">
        <v>77</v>
      </c>
      <c r="C4950" s="51" t="n">
        <f aca="false">IF(C4948&gt;0,MIN(1,C4949/C4948),1)</f>
        <v>1</v>
      </c>
      <c r="D4950" s="51" t="n">
        <f aca="false">IF(D4948&gt;0,MIN(1,D4949/D4948),1)</f>
        <v>1</v>
      </c>
      <c r="E4950" s="51" t="n">
        <f aca="false">IF(E4948&gt;0,MIN(1,E4949/E4948),1)</f>
        <v>1</v>
      </c>
      <c r="F4950" s="51" t="n">
        <f aca="false">IF(F4948&gt;0,MIN(1,F4949/F4948),1)</f>
        <v>1</v>
      </c>
      <c r="G4950" s="51" t="n">
        <f aca="false">IF(G4948&gt;0,MIN(1,G4949/G4948),1)</f>
        <v>1</v>
      </c>
      <c r="H4950" s="51" t="n">
        <f aca="false">IF(H4948&gt;0,MIN(1,H4949/H4948),1)</f>
        <v>1</v>
      </c>
      <c r="I4950" s="51" t="n">
        <f aca="false">IF(I4948&gt;0,MIN(1,I4949/I4948),1)</f>
        <v>1</v>
      </c>
      <c r="J4950" s="51" t="n">
        <f aca="false">IF(J4948&gt;0,MIN(1,J4949/J4948),1)</f>
        <v>1</v>
      </c>
      <c r="K4950" s="51" t="n">
        <f aca="false">IF(K4948&gt;0,MIN(1,K4949/K4948),1)</f>
        <v>1</v>
      </c>
      <c r="L4950" s="51" t="n">
        <f aca="false">IF(L4948&gt;0,MIN(1,L4949/L4948),1)</f>
        <v>1</v>
      </c>
      <c r="M4950" s="51" t="n">
        <f aca="false">IF(M4948&gt;0,MIN(1,M4949/M4948),1)</f>
        <v>1</v>
      </c>
      <c r="N4950" s="51" t="n">
        <f aca="false">IF(N4948&gt;0,MIN(1,N4949/N4948),1)</f>
        <v>1</v>
      </c>
      <c r="P4950" s="52"/>
      <c r="Q4950" s="52"/>
      <c r="R4950" s="52"/>
      <c r="S4950" s="53"/>
    </row>
    <row r="4951" customFormat="false" ht="15" hidden="false" customHeight="false" outlineLevel="0" collapsed="false">
      <c r="A4951" s="4" t="s">
        <v>525</v>
      </c>
      <c r="B4951" s="36" t="s">
        <v>125</v>
      </c>
      <c r="C4951" s="54" t="n">
        <f aca="false">C4948*(1-C4950)</f>
        <v>0</v>
      </c>
      <c r="D4951" s="54" t="n">
        <f aca="false">D4948*(1-D4950)</f>
        <v>0</v>
      </c>
      <c r="E4951" s="54" t="n">
        <f aca="false">E4948*(1-E4950)</f>
        <v>0</v>
      </c>
      <c r="F4951" s="54" t="n">
        <f aca="false">F4948*(1-F4950)</f>
        <v>0</v>
      </c>
      <c r="G4951" s="54" t="n">
        <f aca="false">G4948*(1-G4950)</f>
        <v>0</v>
      </c>
      <c r="H4951" s="54" t="n">
        <f aca="false">H4948*(1-H4950)</f>
        <v>0</v>
      </c>
      <c r="I4951" s="54" t="n">
        <f aca="false">I4948*(1-I4950)</f>
        <v>0</v>
      </c>
      <c r="J4951" s="54" t="n">
        <f aca="false">J4948*(1-J4950)</f>
        <v>0</v>
      </c>
      <c r="K4951" s="54" t="n">
        <f aca="false">K4948*(1-K4950)</f>
        <v>0</v>
      </c>
      <c r="L4951" s="54" t="n">
        <f aca="false">L4948*(1-L4950)</f>
        <v>0</v>
      </c>
      <c r="M4951" s="54" t="n">
        <f aca="false">M4948*(1-M4950)</f>
        <v>0</v>
      </c>
      <c r="N4951" s="54" t="n">
        <f aca="false">N4948*(1-N4950)</f>
        <v>0</v>
      </c>
      <c r="P4951" s="55" t="n">
        <f aca="false">SUM(C4951:F4951)</f>
        <v>0</v>
      </c>
      <c r="Q4951" s="55" t="n">
        <f aca="false">SUM(G4951:J4951)</f>
        <v>0</v>
      </c>
      <c r="R4951" s="55" t="n">
        <f aca="false">SUM(K4951:N4951)</f>
        <v>0</v>
      </c>
      <c r="S4951" s="56" t="n">
        <f aca="false">SUM(P4951:R4951)</f>
        <v>0</v>
      </c>
    </row>
    <row r="4952" customFormat="false" ht="15" hidden="false" customHeight="false" outlineLevel="0" collapsed="false">
      <c r="A4952" s="4" t="s">
        <v>526</v>
      </c>
      <c r="B4952" s="36" t="s">
        <v>527</v>
      </c>
      <c r="C4952" s="48" t="n">
        <f aca="false">C4946+C4947*C4950</f>
        <v>0</v>
      </c>
      <c r="D4952" s="48" t="n">
        <f aca="false">D4946+D4947*D4950</f>
        <v>1.23768063597689</v>
      </c>
      <c r="E4952" s="48" t="n">
        <f aca="false">E4946+E4947*E4950</f>
        <v>2.12148150044057</v>
      </c>
      <c r="F4952" s="48" t="n">
        <f aca="false">F4946+F4947*F4950</f>
        <v>2.34086773049422</v>
      </c>
      <c r="G4952" s="48" t="n">
        <f aca="false">G4946+G4947*G4950</f>
        <v>2.56475281986144</v>
      </c>
      <c r="H4952" s="48" t="n">
        <f aca="false">H4946+H4947*H4950</f>
        <v>3.30028111675706</v>
      </c>
      <c r="I4952" s="48" t="n">
        <f aca="false">I4946+I4947*I4950</f>
        <v>3.98730095011235</v>
      </c>
      <c r="J4952" s="48" t="n">
        <f aca="false">J4946+J4947*J4950</f>
        <v>5.90099012506257</v>
      </c>
      <c r="K4952" s="48" t="n">
        <f aca="false">K4946+K4947*K4950</f>
        <v>7.63308376221796</v>
      </c>
      <c r="L4952" s="48" t="n">
        <f aca="false">L4946+L4947*L4950</f>
        <v>7.68732088799361</v>
      </c>
      <c r="M4952" s="48" t="n">
        <f aca="false">M4946+M4947*M4950</f>
        <v>7.45970517437292</v>
      </c>
      <c r="N4952" s="48" t="n">
        <f aca="false">N4946+N4947*N4950</f>
        <v>7.24788488526951</v>
      </c>
      <c r="P4952" s="49" t="n">
        <f aca="false">SUM(C4952:F4952)</f>
        <v>5.70002986691168</v>
      </c>
      <c r="Q4952" s="49" t="n">
        <f aca="false">SUM(G4952:J4952)</f>
        <v>15.7533250117934</v>
      </c>
      <c r="R4952" s="49" t="n">
        <f aca="false">SUM(K4952:N4952)</f>
        <v>30.027994709854</v>
      </c>
      <c r="S4952" s="50" t="n">
        <f aca="false">SUM(P4952:R4952)</f>
        <v>51.4813495885591</v>
      </c>
    </row>
    <row r="4953" customFormat="false" ht="15" hidden="false" customHeight="false" outlineLevel="0" collapsed="false">
      <c r="A4953" s="4" t="s">
        <v>528</v>
      </c>
      <c r="B4953" s="36" t="s">
        <v>527</v>
      </c>
      <c r="C4953" s="48" t="n">
        <f aca="false">C4943*C4950</f>
        <v>0</v>
      </c>
      <c r="D4953" s="48" t="n">
        <f aca="false">D4943*D4950</f>
        <v>0.620121391810208</v>
      </c>
      <c r="E4953" s="48" t="n">
        <f aca="false">E4943*E4950</f>
        <v>1.06293661103815</v>
      </c>
      <c r="F4953" s="48" t="n">
        <f aca="false">F4943*F4950</f>
        <v>1.17285680399446</v>
      </c>
      <c r="G4953" s="48" t="n">
        <f aca="false">G4943*G4950</f>
        <v>1.28503108319724</v>
      </c>
      <c r="H4953" s="48" t="n">
        <f aca="false">H4943*H4950</f>
        <v>1.62093594703262</v>
      </c>
      <c r="I4953" s="48" t="n">
        <f aca="false">I4943*I4950</f>
        <v>1.93554080249468</v>
      </c>
      <c r="J4953" s="48" t="n">
        <f aca="false">J4943*J4950</f>
        <v>2.69430125890505</v>
      </c>
      <c r="K4953" s="48" t="n">
        <f aca="false">K4943*K4950</f>
        <v>3.39401653647091</v>
      </c>
      <c r="L4953" s="48" t="n">
        <f aca="false">L4943*L4950</f>
        <v>3.41813283173343</v>
      </c>
      <c r="M4953" s="48" t="n">
        <f aca="false">M4943*M4950</f>
        <v>3.31692452326273</v>
      </c>
      <c r="N4953" s="48" t="n">
        <f aca="false">N4943*N4950</f>
        <v>3.22273957961839</v>
      </c>
      <c r="P4953" s="49" t="n">
        <f aca="false">SUM(C4953:F4953)</f>
        <v>2.85591480684281</v>
      </c>
      <c r="Q4953" s="49" t="n">
        <f aca="false">SUM(G4953:J4953)</f>
        <v>7.53580909162959</v>
      </c>
      <c r="R4953" s="49" t="n">
        <f aca="false">SUM(K4953:N4953)</f>
        <v>13.3518134710855</v>
      </c>
      <c r="S4953" s="50" t="n">
        <f aca="false">SUM(P4953:R4953)</f>
        <v>23.7435373695579</v>
      </c>
    </row>
    <row r="4954" customFormat="false" ht="15" hidden="false" customHeight="false" outlineLevel="0" collapsed="false">
      <c r="A4954" s="4" t="s">
        <v>529</v>
      </c>
      <c r="B4954" s="36" t="s">
        <v>527</v>
      </c>
      <c r="C4954" s="48" t="n">
        <f aca="false">C4944*C4950</f>
        <v>0</v>
      </c>
      <c r="D4954" s="48" t="n">
        <f aca="false">D4944*D4950</f>
        <v>0</v>
      </c>
      <c r="E4954" s="48" t="n">
        <f aca="false">E4944*E4950</f>
        <v>0.101822401371306</v>
      </c>
      <c r="F4954" s="48" t="n">
        <f aca="false">F4944*F4950</f>
        <v>0.174531566997622</v>
      </c>
      <c r="G4954" s="48" t="n">
        <f aca="false">G4944*G4950</f>
        <v>0.192580191273164</v>
      </c>
      <c r="H4954" s="48" t="n">
        <f aca="false">H4944*H4950</f>
        <v>0.210998930944732</v>
      </c>
      <c r="I4954" s="48" t="n">
        <f aca="false">I4944*I4950</f>
        <v>0.248942818655125</v>
      </c>
      <c r="J4954" s="48" t="n">
        <f aca="false">J4944*J4950</f>
        <v>0.284974457636671</v>
      </c>
      <c r="K4954" s="48" t="n">
        <f aca="false">K4944*K4950</f>
        <v>0.379079522453141</v>
      </c>
      <c r="L4954" s="48" t="n">
        <f aca="false">L4944*L4950</f>
        <v>0.467502666891324</v>
      </c>
      <c r="M4954" s="48" t="n">
        <f aca="false">M4944*M4950</f>
        <v>0.470824522347718</v>
      </c>
      <c r="N4954" s="48" t="n">
        <f aca="false">N4944*N4950</f>
        <v>0.456883767017512</v>
      </c>
      <c r="P4954" s="49" t="n">
        <f aca="false">SUM(C4954:F4954)</f>
        <v>0.276353968368928</v>
      </c>
      <c r="Q4954" s="49" t="n">
        <f aca="false">SUM(G4954:J4954)</f>
        <v>0.937496398509692</v>
      </c>
      <c r="R4954" s="49" t="n">
        <f aca="false">SUM(K4954:N4954)</f>
        <v>1.7742904787097</v>
      </c>
      <c r="S4954" s="50" t="n">
        <f aca="false">SUM(P4954:R4954)</f>
        <v>2.98814084558832</v>
      </c>
    </row>
    <row r="4955" customFormat="false" ht="15" hidden="false" customHeight="false" outlineLevel="0" collapsed="false">
      <c r="A4955" s="9" t="s">
        <v>530</v>
      </c>
      <c r="B4955" s="36" t="s">
        <v>527</v>
      </c>
      <c r="C4955" s="49" t="n">
        <f aca="false">C4952+C4953+C4954</f>
        <v>0</v>
      </c>
      <c r="D4955" s="49" t="n">
        <f aca="false">D4952+D4953+D4954</f>
        <v>1.85780202778709</v>
      </c>
      <c r="E4955" s="49" t="n">
        <f aca="false">E4952+E4953+E4954</f>
        <v>3.28624051285003</v>
      </c>
      <c r="F4955" s="49" t="n">
        <f aca="false">F4952+F4953+F4954</f>
        <v>3.6882561014863</v>
      </c>
      <c r="G4955" s="49" t="n">
        <f aca="false">G4952+G4953+G4954</f>
        <v>4.04236409433185</v>
      </c>
      <c r="H4955" s="49" t="n">
        <f aca="false">H4952+H4953+H4954</f>
        <v>5.13221599473441</v>
      </c>
      <c r="I4955" s="49" t="n">
        <f aca="false">I4952+I4953+I4954</f>
        <v>6.17178457126216</v>
      </c>
      <c r="J4955" s="49" t="n">
        <f aca="false">J4952+J4953+J4954</f>
        <v>8.88026584160429</v>
      </c>
      <c r="K4955" s="49" t="n">
        <f aca="false">K4952+K4953+K4954</f>
        <v>11.406179821142</v>
      </c>
      <c r="L4955" s="49" t="n">
        <f aca="false">L4952+L4953+L4954</f>
        <v>11.5729563866184</v>
      </c>
      <c r="M4955" s="49" t="n">
        <f aca="false">M4952+M4953+M4954</f>
        <v>11.2474542199834</v>
      </c>
      <c r="N4955" s="49" t="n">
        <f aca="false">N4952+N4953+N4954</f>
        <v>10.9275082319054</v>
      </c>
      <c r="P4955" s="49" t="n">
        <f aca="false">SUM(C4955:F4955)</f>
        <v>8.83229864212342</v>
      </c>
      <c r="Q4955" s="49" t="n">
        <f aca="false">SUM(G4955:J4955)</f>
        <v>24.2266305019327</v>
      </c>
      <c r="R4955" s="49" t="n">
        <f aca="false">SUM(K4955:N4955)</f>
        <v>45.1540986596492</v>
      </c>
      <c r="S4955" s="50" t="n">
        <f aca="false">SUM(P4955:R4955)</f>
        <v>78.2130278037053</v>
      </c>
    </row>
    <row r="4956" customFormat="false" ht="15" hidden="false" customHeight="false" outlineLevel="0" collapsed="false">
      <c r="A4956" s="35" t="s">
        <v>533</v>
      </c>
      <c r="B4956" s="35" t="s">
        <v>444</v>
      </c>
      <c r="C4956" s="6" t="s">
        <v>354</v>
      </c>
      <c r="D4956" s="6" t="s">
        <v>355</v>
      </c>
      <c r="E4956" s="6" t="s">
        <v>356</v>
      </c>
      <c r="F4956" s="6" t="s">
        <v>357</v>
      </c>
      <c r="G4956" s="6" t="s">
        <v>358</v>
      </c>
      <c r="H4956" s="6" t="s">
        <v>359</v>
      </c>
      <c r="I4956" s="6" t="s">
        <v>360</v>
      </c>
      <c r="J4956" s="6" t="s">
        <v>361</v>
      </c>
      <c r="K4956" s="6" t="s">
        <v>362</v>
      </c>
      <c r="L4956" s="6" t="s">
        <v>363</v>
      </c>
      <c r="M4956" s="6" t="s">
        <v>364</v>
      </c>
      <c r="N4956" s="6" t="s">
        <v>365</v>
      </c>
      <c r="P4956" s="6" t="s">
        <v>445</v>
      </c>
      <c r="Q4956" s="6" t="s">
        <v>446</v>
      </c>
      <c r="R4956" s="6" t="s">
        <v>447</v>
      </c>
      <c r="S4956" s="6" t="s">
        <v>448</v>
      </c>
    </row>
    <row r="4957" customFormat="false" ht="15" hidden="false" customHeight="false" outlineLevel="0" collapsed="false">
      <c r="A4957" s="4" t="s">
        <v>534</v>
      </c>
      <c r="B4957" s="36" t="s">
        <v>527</v>
      </c>
      <c r="C4957" s="48" t="n">
        <f aca="false">0*Assumptions!$E$59^(1/4)+C4952</f>
        <v>0</v>
      </c>
      <c r="D4957" s="48" t="n">
        <f aca="false">C4957*Assumptions!$E$59^(1/4)+D4952</f>
        <v>1.23768063597689</v>
      </c>
      <c r="E4957" s="48" t="n">
        <f aca="false">D4957*Assumptions!$E$59^(1/4)+E4952</f>
        <v>3.32023327840576</v>
      </c>
      <c r="F4957" s="48" t="n">
        <f aca="false">E4957*Assumptions!$E$59^(1/4)+F4952</f>
        <v>5.55666947292562</v>
      </c>
      <c r="G4957" s="48" t="n">
        <f aca="false">F4957*Assumptions!$E$59^(1/4)+G4952</f>
        <v>7.94664796842451</v>
      </c>
      <c r="H4957" s="48" t="n">
        <f aca="false">G4957*Assumptions!$E$59^(1/4)+H4952</f>
        <v>10.996982595401</v>
      </c>
      <c r="I4957" s="48" t="n">
        <f aca="false">H4957*Assumptions!$E$59^(1/4)+I4952</f>
        <v>14.638394661443</v>
      </c>
      <c r="J4957" s="48" t="n">
        <f aca="false">I4957*Assumptions!$E$59^(1/4)+J4952</f>
        <v>20.0789623069661</v>
      </c>
      <c r="K4957" s="48" t="n">
        <f aca="false">J4957*Assumptions!$E$59^(1/4)+K4952</f>
        <v>27.080501024405</v>
      </c>
      <c r="L4957" s="48" t="n">
        <f aca="false">K4957*Assumptions!$E$59^(1/4)+L4952</f>
        <v>33.9160569670477</v>
      </c>
      <c r="M4957" s="48" t="n">
        <f aca="false">L4957*Assumptions!$E$59^(1/4)+M4952</f>
        <v>40.3089979636448</v>
      </c>
      <c r="N4957" s="48" t="n">
        <f aca="false">M4957*Assumptions!$E$59^(1/4)+N4952</f>
        <v>46.2890410384281</v>
      </c>
      <c r="P4957" s="49" t="n">
        <f aca="false">F4957</f>
        <v>5.55666947292562</v>
      </c>
      <c r="Q4957" s="49" t="n">
        <f aca="false">J4957</f>
        <v>20.0789623069661</v>
      </c>
      <c r="R4957" s="49" t="n">
        <f aca="false">N4957</f>
        <v>46.2890410384281</v>
      </c>
      <c r="S4957" s="50" t="n">
        <f aca="false">R4957</f>
        <v>46.2890410384281</v>
      </c>
    </row>
    <row r="4958" customFormat="false" ht="15" hidden="false" customHeight="false" outlineLevel="0" collapsed="false">
      <c r="A4958" s="4" t="s">
        <v>535</v>
      </c>
      <c r="B4958" s="36" t="s">
        <v>527</v>
      </c>
      <c r="C4958" s="48" t="n">
        <f aca="false">0*Assumptions!$E$60^(1/4)+C4953</f>
        <v>0</v>
      </c>
      <c r="D4958" s="48" t="n">
        <f aca="false">C4958*Assumptions!$E$60^(1/4)+D4953</f>
        <v>0.620121391810208</v>
      </c>
      <c r="E4958" s="48" t="n">
        <f aca="false">D4958*Assumptions!$E$60^(1/4)+E4953</f>
        <v>1.66693716989976</v>
      </c>
      <c r="F4958" s="48" t="n">
        <f aca="false">E4958*Assumptions!$E$60^(1/4)+F4953</f>
        <v>2.79645985253241</v>
      </c>
      <c r="G4958" s="48" t="n">
        <f aca="false">F4958*Assumptions!$E$60^(1/4)+G4953</f>
        <v>4.00879345629174</v>
      </c>
      <c r="H4958" s="48" t="n">
        <f aca="false">G4958*Assumptions!$E$60^(1/4)+H4953</f>
        <v>5.52551579210599</v>
      </c>
      <c r="I4958" s="48" t="n">
        <f aca="false">H4958*Assumptions!$E$60^(1/4)+I4953</f>
        <v>7.31741388493806</v>
      </c>
      <c r="J4958" s="48" t="n">
        <f aca="false">I4958*Assumptions!$E$60^(1/4)+J4953</f>
        <v>9.8214897969792</v>
      </c>
      <c r="K4958" s="48" t="n">
        <f aca="false">J4958*Assumptions!$E$60^(1/4)+K4953</f>
        <v>12.9601843942065</v>
      </c>
      <c r="L4958" s="48" t="n">
        <f aca="false">K4958*Assumptions!$E$60^(1/4)+L4953</f>
        <v>16.0414009860532</v>
      </c>
      <c r="M4958" s="48" t="n">
        <f aca="false">L4958*Assumptions!$E$60^(1/4)+M4953</f>
        <v>18.941309181589</v>
      </c>
      <c r="N4958" s="48" t="n">
        <f aca="false">M4958*Assumptions!$E$60^(1/4)+N4953</f>
        <v>21.671645684686</v>
      </c>
      <c r="P4958" s="49" t="n">
        <f aca="false">F4958</f>
        <v>2.79645985253241</v>
      </c>
      <c r="Q4958" s="49" t="n">
        <f aca="false">J4958</f>
        <v>9.8214897969792</v>
      </c>
      <c r="R4958" s="49" t="n">
        <f aca="false">N4958</f>
        <v>21.671645684686</v>
      </c>
      <c r="S4958" s="50" t="n">
        <f aca="false">R4958</f>
        <v>21.671645684686</v>
      </c>
    </row>
    <row r="4959" customFormat="false" ht="15" hidden="false" customHeight="false" outlineLevel="0" collapsed="false">
      <c r="A4959" s="4" t="s">
        <v>536</v>
      </c>
      <c r="B4959" s="36" t="s">
        <v>527</v>
      </c>
      <c r="C4959" s="48" t="n">
        <f aca="false">0*Assumptions!$E$61^(1/4)+C4954</f>
        <v>0</v>
      </c>
      <c r="D4959" s="48" t="n">
        <f aca="false">C4959*Assumptions!$E$61^(1/4)+D4954</f>
        <v>0</v>
      </c>
      <c r="E4959" s="48" t="n">
        <f aca="false">D4959*Assumptions!$E$61^(1/4)+E4954</f>
        <v>0.101822401371306</v>
      </c>
      <c r="F4959" s="48" t="n">
        <f aca="false">E4959*Assumptions!$E$61^(1/4)+F4954</f>
        <v>0.274253409020692</v>
      </c>
      <c r="G4959" s="48" t="n">
        <f aca="false">F4959*Assumptions!$E$61^(1/4)+G4954</f>
        <v>0.461175851563268</v>
      </c>
      <c r="H4959" s="48" t="n">
        <f aca="false">G4959*Assumptions!$E$61^(1/4)+H4954</f>
        <v>0.662660891329484</v>
      </c>
      <c r="I4959" s="48" t="n">
        <f aca="false">H4959*Assumptions!$E$61^(1/4)+I4954</f>
        <v>0.897933255239426</v>
      </c>
      <c r="J4959" s="48" t="n">
        <f aca="false">I4959*Assumptions!$E$61^(1/4)+J4954</f>
        <v>1.16438367427572</v>
      </c>
      <c r="K4959" s="48" t="n">
        <f aca="false">J4959*Assumptions!$E$61^(1/4)+K4954</f>
        <v>1.51944238226178</v>
      </c>
      <c r="L4959" s="48" t="n">
        <f aca="false">K4959*Assumptions!$E$61^(1/4)+L4954</f>
        <v>1.95559950183561</v>
      </c>
      <c r="M4959" s="48" t="n">
        <f aca="false">L4959*Assumptions!$E$61^(1/4)+M4954</f>
        <v>2.3860807130881</v>
      </c>
      <c r="N4959" s="48" t="n">
        <f aca="false">M4959*Assumptions!$E$61^(1/4)+N4954</f>
        <v>2.79374049717041</v>
      </c>
      <c r="P4959" s="49" t="n">
        <f aca="false">F4959</f>
        <v>0.274253409020692</v>
      </c>
      <c r="Q4959" s="49" t="n">
        <f aca="false">J4959</f>
        <v>1.16438367427572</v>
      </c>
      <c r="R4959" s="49" t="n">
        <f aca="false">N4959</f>
        <v>2.79374049717041</v>
      </c>
      <c r="S4959" s="50" t="n">
        <f aca="false">R4959</f>
        <v>2.79374049717041</v>
      </c>
    </row>
    <row r="4960" customFormat="false" ht="15" hidden="false" customHeight="false" outlineLevel="0" collapsed="false">
      <c r="A4960" s="9" t="s">
        <v>537</v>
      </c>
      <c r="B4960" s="36" t="s">
        <v>527</v>
      </c>
      <c r="C4960" s="49" t="n">
        <f aca="false">C4957+C4958+C4959</f>
        <v>0</v>
      </c>
      <c r="D4960" s="49" t="n">
        <f aca="false">D4957+D4958+D4959</f>
        <v>1.85780202778709</v>
      </c>
      <c r="E4960" s="49" t="n">
        <f aca="false">E4957+E4958+E4959</f>
        <v>5.08899284967682</v>
      </c>
      <c r="F4960" s="49" t="n">
        <f aca="false">F4957+F4958+F4959</f>
        <v>8.62738273447872</v>
      </c>
      <c r="G4960" s="49" t="n">
        <f aca="false">G4957+G4958+G4959</f>
        <v>12.4166172762795</v>
      </c>
      <c r="H4960" s="49" t="n">
        <f aca="false">H4957+H4958+H4959</f>
        <v>17.1851592788365</v>
      </c>
      <c r="I4960" s="49" t="n">
        <f aca="false">I4957+I4958+I4959</f>
        <v>22.8537418016205</v>
      </c>
      <c r="J4960" s="49" t="n">
        <f aca="false">J4957+J4958+J4959</f>
        <v>31.064835778221</v>
      </c>
      <c r="K4960" s="49" t="n">
        <f aca="false">K4957+K4958+K4959</f>
        <v>41.5601278008733</v>
      </c>
      <c r="L4960" s="49" t="n">
        <f aca="false">L4957+L4958+L4959</f>
        <v>51.9130574549365</v>
      </c>
      <c r="M4960" s="49" t="n">
        <f aca="false">M4957+M4958+M4959</f>
        <v>61.6363878583219</v>
      </c>
      <c r="N4960" s="49" t="n">
        <f aca="false">N4957+N4958+N4959</f>
        <v>70.7544272202844</v>
      </c>
      <c r="P4960" s="49" t="n">
        <f aca="false">F4960</f>
        <v>8.62738273447872</v>
      </c>
      <c r="Q4960" s="49" t="n">
        <f aca="false">J4960</f>
        <v>31.064835778221</v>
      </c>
      <c r="R4960" s="49" t="n">
        <f aca="false">N4960</f>
        <v>70.7544272202844</v>
      </c>
      <c r="S4960" s="50" t="n">
        <f aca="false">R4960</f>
        <v>70.7544272202844</v>
      </c>
    </row>
    <row r="4961" customFormat="false" ht="15" hidden="false" customHeight="false" outlineLevel="0" collapsed="false">
      <c r="A4961" s="4" t="s">
        <v>538</v>
      </c>
      <c r="B4961" s="36" t="s">
        <v>125</v>
      </c>
      <c r="C4961" s="54" t="n">
        <f aca="false">0*Assumptions!$E$62^(1/4)+C4952*$C$4901</f>
        <v>0</v>
      </c>
      <c r="D4961" s="54" t="n">
        <f aca="false">C4961*Assumptions!$E$62^(1/4)+D4952*$C$4901</f>
        <v>6624.0667637483</v>
      </c>
      <c r="E4961" s="54" t="n">
        <f aca="false">D4961*Assumptions!$E$62^(1/4)+E4952*$C$4901</f>
        <v>17978.2357541062</v>
      </c>
      <c r="F4961" s="54" t="n">
        <f aca="false">E4961*Assumptions!$E$62^(1/4)+F4952*$C$4901</f>
        <v>30506.5598477113</v>
      </c>
      <c r="G4961" s="54" t="n">
        <f aca="false">F4961*Assumptions!$E$62^(1/4)+G4952*$C$4901</f>
        <v>44233.1169396097</v>
      </c>
      <c r="H4961" s="54" t="n">
        <f aca="false">G4961*Assumptions!$E$62^(1/4)+H4952*$C$4901</f>
        <v>61896.2214764935</v>
      </c>
      <c r="I4961" s="54" t="n">
        <f aca="false">H4961*Assumptions!$E$62^(1/4)+I4952*$C$4901</f>
        <v>83236.2561614948</v>
      </c>
      <c r="J4961" s="54" t="n">
        <f aca="false">I4961*Assumptions!$E$62^(1/4)+J4952*$C$4901</f>
        <v>114818.35531083</v>
      </c>
      <c r="K4961" s="54" t="n">
        <f aca="false">J4961*Assumptions!$E$62^(1/4)+K4952*$C$4901</f>
        <v>155670.61960622</v>
      </c>
      <c r="L4961" s="54" t="n">
        <f aca="false">K4961*Assumptions!$E$62^(1/4)+L4952*$C$4901</f>
        <v>196813.160998762</v>
      </c>
      <c r="M4961" s="54" t="n">
        <f aca="false">L4961*Assumptions!$E$62^(1/4)+M4952*$C$4901</f>
        <v>236737.503092006</v>
      </c>
      <c r="N4961" s="54" t="n">
        <f aca="false">M4961*Assumptions!$E$62^(1/4)+N4952*$C$4901</f>
        <v>275528.182997968</v>
      </c>
      <c r="P4961" s="55" t="n">
        <f aca="false">F4961</f>
        <v>30506.5598477113</v>
      </c>
      <c r="Q4961" s="55" t="n">
        <f aca="false">J4961</f>
        <v>114818.35531083</v>
      </c>
      <c r="R4961" s="55" t="n">
        <f aca="false">N4961</f>
        <v>275528.182997968</v>
      </c>
      <c r="S4961" s="56" t="n">
        <f aca="false">R4961</f>
        <v>275528.182997968</v>
      </c>
    </row>
    <row r="4962" customFormat="false" ht="15" hidden="false" customHeight="false" outlineLevel="0" collapsed="false">
      <c r="A4962" s="4" t="s">
        <v>539</v>
      </c>
      <c r="B4962" s="36" t="s">
        <v>125</v>
      </c>
      <c r="C4962" s="54" t="n">
        <f aca="false">0*Assumptions!$E$63^(1/4)+C4953*$C$4902</f>
        <v>0</v>
      </c>
      <c r="D4962" s="54" t="n">
        <f aca="false">C4962*Assumptions!$E$63^(1/4)+D4953*$C$4902</f>
        <v>6056.55207966251</v>
      </c>
      <c r="E4962" s="54" t="n">
        <f aca="false">D4962*Assumptions!$E$63^(1/4)+E4953*$C$4902</f>
        <v>16526.8293878058</v>
      </c>
      <c r="F4962" s="54" t="n">
        <f aca="false">E4962*Assumptions!$E$63^(1/4)+F4953*$C$4902</f>
        <v>28224.3056956146</v>
      </c>
      <c r="G4962" s="54" t="n">
        <f aca="false">F4962*Assumptions!$E$63^(1/4)+G4953*$C$4902</f>
        <v>41189.0037619439</v>
      </c>
      <c r="H4962" s="54" t="n">
        <f aca="false">G4962*Assumptions!$E$63^(1/4)+H4953*$C$4902</f>
        <v>57624.6326082883</v>
      </c>
      <c r="I4962" s="54" t="n">
        <f aca="false">H4962*Assumptions!$E$63^(1/4)+I4953*$C$4902</f>
        <v>77374.0929184536</v>
      </c>
      <c r="J4962" s="54" t="n">
        <f aca="false">I4962*Assumptions!$E$63^(1/4)+J4953*$C$4902</f>
        <v>104823.954793649</v>
      </c>
      <c r="K4962" s="54" t="n">
        <f aca="false">J4962*Assumptions!$E$63^(1/4)+K4953*$C$4902</f>
        <v>139510.535005149</v>
      </c>
      <c r="L4962" s="54" t="n">
        <f aca="false">K4962*Assumptions!$E$63^(1/4)+L4953*$C$4902</f>
        <v>174941.637865161</v>
      </c>
      <c r="M4962" s="54" t="n">
        <f aca="false">L4962*Assumptions!$E$63^(1/4)+M4953*$C$4902</f>
        <v>209904.178054589</v>
      </c>
      <c r="N4962" s="54" t="n">
        <f aca="false">M4962*Assumptions!$E$63^(1/4)+N4953*$C$4902</f>
        <v>244459.875195506</v>
      </c>
      <c r="P4962" s="55" t="n">
        <f aca="false">F4962</f>
        <v>28224.3056956146</v>
      </c>
      <c r="Q4962" s="55" t="n">
        <f aca="false">J4962</f>
        <v>104823.954793649</v>
      </c>
      <c r="R4962" s="55" t="n">
        <f aca="false">N4962</f>
        <v>244459.875195506</v>
      </c>
      <c r="S4962" s="56" t="n">
        <f aca="false">R4962</f>
        <v>244459.875195506</v>
      </c>
    </row>
    <row r="4963" customFormat="false" ht="15" hidden="false" customHeight="false" outlineLevel="0" collapsed="false">
      <c r="A4963" s="4" t="s">
        <v>540</v>
      </c>
      <c r="B4963" s="36" t="s">
        <v>125</v>
      </c>
      <c r="C4963" s="54" t="n">
        <f aca="false">0*Assumptions!$E$64^(1/4)+C4954*$C$4903</f>
        <v>0</v>
      </c>
      <c r="D4963" s="54" t="n">
        <f aca="false">C4963*Assumptions!$E$64^(1/4)+D4954*$C$4903</f>
        <v>0</v>
      </c>
      <c r="E4963" s="54" t="n">
        <f aca="false">D4963*Assumptions!$E$64^(1/4)+E4954*$C$4903</f>
        <v>6290.41040079504</v>
      </c>
      <c r="F4963" s="54" t="n">
        <f aca="false">E4963*Assumptions!$E$64^(1/4)+F4954*$C$4903</f>
        <v>17296.3411584059</v>
      </c>
      <c r="G4963" s="54" t="n">
        <f aca="false">F4963*Assumptions!$E$64^(1/4)+G4954*$C$4903</f>
        <v>29808.6341770092</v>
      </c>
      <c r="H4963" s="54" t="n">
        <f aca="false">G4963*Assumptions!$E$64^(1/4)+H4954*$C$4903</f>
        <v>43903.7178846461</v>
      </c>
      <c r="I4963" s="54" t="n">
        <f aca="false">H4963*Assumptions!$E$64^(1/4)+I4954*$C$4903</f>
        <v>60844.1028717349</v>
      </c>
      <c r="J4963" s="54" t="n">
        <f aca="false">I4963*Assumptions!$E$64^(1/4)+J4954*$C$4903</f>
        <v>80612.8271864594</v>
      </c>
      <c r="K4963" s="54" t="n">
        <f aca="false">J4963*Assumptions!$E$64^(1/4)+K4954*$C$4903</f>
        <v>106898.136115322</v>
      </c>
      <c r="L4963" s="54" t="n">
        <f aca="false">K4963*Assumptions!$E$64^(1/4)+L4954*$C$4903</f>
        <v>139580.727738571</v>
      </c>
      <c r="M4963" s="54" t="n">
        <f aca="false">L4963*Assumptions!$E$64^(1/4)+M4954*$C$4903</f>
        <v>173630.66788731</v>
      </c>
      <c r="N4963" s="54" t="n">
        <f aca="false">M4963*Assumptions!$E$64^(1/4)+N4954*$C$4903</f>
        <v>208030.122852604</v>
      </c>
      <c r="P4963" s="55" t="n">
        <f aca="false">F4963</f>
        <v>17296.3411584059</v>
      </c>
      <c r="Q4963" s="55" t="n">
        <f aca="false">J4963</f>
        <v>80612.8271864594</v>
      </c>
      <c r="R4963" s="55" t="n">
        <f aca="false">N4963</f>
        <v>208030.122852604</v>
      </c>
      <c r="S4963" s="56" t="n">
        <f aca="false">R4963</f>
        <v>208030.122852604</v>
      </c>
    </row>
    <row r="4964" customFormat="false" ht="15" hidden="false" customHeight="false" outlineLevel="0" collapsed="false">
      <c r="A4964" s="9" t="s">
        <v>541</v>
      </c>
      <c r="B4964" s="36" t="s">
        <v>125</v>
      </c>
      <c r="C4964" s="55" t="n">
        <f aca="false">C4961+C4962+C4963</f>
        <v>0</v>
      </c>
      <c r="D4964" s="55" t="n">
        <f aca="false">D4961+D4962+D4963</f>
        <v>12680.6188434108</v>
      </c>
      <c r="E4964" s="55" t="n">
        <f aca="false">E4961+E4962+E4963</f>
        <v>40795.4755427071</v>
      </c>
      <c r="F4964" s="55" t="n">
        <f aca="false">F4961+F4962+F4963</f>
        <v>76027.2067017318</v>
      </c>
      <c r="G4964" s="55" t="n">
        <f aca="false">G4961+G4962+G4963</f>
        <v>115230.754878563</v>
      </c>
      <c r="H4964" s="55" t="n">
        <f aca="false">H4961+H4962+H4963</f>
        <v>163424.571969428</v>
      </c>
      <c r="I4964" s="55" t="n">
        <f aca="false">I4961+I4962+I4963</f>
        <v>221454.451951683</v>
      </c>
      <c r="J4964" s="55" t="n">
        <f aca="false">J4961+J4962+J4963</f>
        <v>300255.137290938</v>
      </c>
      <c r="K4964" s="55" t="n">
        <f aca="false">K4961+K4962+K4963</f>
        <v>402079.290726691</v>
      </c>
      <c r="L4964" s="55" t="n">
        <f aca="false">L4961+L4962+L4963</f>
        <v>511335.526602494</v>
      </c>
      <c r="M4964" s="55" t="n">
        <f aca="false">M4961+M4962+M4963</f>
        <v>620272.349033905</v>
      </c>
      <c r="N4964" s="55" t="n">
        <f aca="false">N4961+N4962+N4963</f>
        <v>728018.181046078</v>
      </c>
      <c r="P4964" s="55" t="n">
        <f aca="false">F4964</f>
        <v>76027.2067017318</v>
      </c>
      <c r="Q4964" s="55" t="n">
        <f aca="false">J4964</f>
        <v>300255.137290938</v>
      </c>
      <c r="R4964" s="55" t="n">
        <f aca="false">N4964</f>
        <v>728018.181046078</v>
      </c>
      <c r="S4964" s="56" t="n">
        <f aca="false">R4964</f>
        <v>728018.181046078</v>
      </c>
    </row>
    <row r="4965" customFormat="false" ht="15" hidden="false" customHeight="false" outlineLevel="0" collapsed="false">
      <c r="A4965" s="4" t="s">
        <v>542</v>
      </c>
      <c r="B4965" s="36" t="s">
        <v>125</v>
      </c>
      <c r="C4965" s="54" t="n">
        <f aca="false">C4952*$C$4901+C4953*$C$4902+C4954*$C$4903</f>
        <v>0</v>
      </c>
      <c r="D4965" s="54" t="n">
        <f aca="false">D4952*$C$4901+D4953*$C$4902+D4954*$C$4903</f>
        <v>12680.6188434108</v>
      </c>
      <c r="E4965" s="54" t="n">
        <f aca="false">E4952*$C$4901+E4953*$C$4902+E4954*$C$4903</f>
        <v>28025.9837857668</v>
      </c>
      <c r="F4965" s="54" t="n">
        <f aca="false">F4952*$C$4901+F4953*$C$4902+F4954*$C$4903</f>
        <v>34765.5441136808</v>
      </c>
      <c r="G4965" s="54" t="n">
        <f aca="false">G4952*$C$4901+G4953*$C$4902+G4954*$C$4903</f>
        <v>38174.364437495</v>
      </c>
      <c r="H4965" s="54" t="n">
        <f aca="false">H4952*$C$4901+H4953*$C$4902+H4954*$C$4903</f>
        <v>46529.4782961164</v>
      </c>
      <c r="I4965" s="54" t="n">
        <f aca="false">I4952*$C$4901+I4953*$C$4902+I4954*$C$4903</f>
        <v>55623.1732356126</v>
      </c>
      <c r="J4965" s="54" t="n">
        <f aca="false">J4952*$C$4901+J4953*$C$4902+J4954*$C$4903</f>
        <v>75501.8105474787</v>
      </c>
      <c r="K4965" s="54" t="n">
        <f aca="false">K4952*$C$4901+K4953*$C$4902+K4954*$C$4903</f>
        <v>97419.545785111</v>
      </c>
      <c r="L4965" s="54" t="n">
        <f aca="false">L4952*$C$4901+L4953*$C$4902+L4954*$C$4903</f>
        <v>103407.987661464</v>
      </c>
      <c r="M4965" s="54" t="n">
        <f aca="false">M4952*$C$4901+M4953*$C$4902+M4954*$C$4903</f>
        <v>101406.533576137</v>
      </c>
      <c r="N4965" s="54" t="n">
        <f aca="false">N4952*$C$4901+N4953*$C$4902+N4954*$C$4903</f>
        <v>98491.7578492575</v>
      </c>
      <c r="P4965" s="55" t="n">
        <f aca="false">SUM(C4965:F4965)</f>
        <v>75472.1467428584</v>
      </c>
      <c r="Q4965" s="55" t="n">
        <f aca="false">SUM(G4965:J4965)</f>
        <v>215828.826516703</v>
      </c>
      <c r="R4965" s="55" t="n">
        <f aca="false">SUM(K4965:N4965)</f>
        <v>400725.82487197</v>
      </c>
      <c r="S4965" s="56" t="n">
        <f aca="false">SUM(P4965:R4965)</f>
        <v>692026.798131531</v>
      </c>
    </row>
    <row r="4966" customFormat="false" ht="15" hidden="false" customHeight="false" outlineLevel="0" collapsed="false">
      <c r="A4966" s="9" t="s">
        <v>543</v>
      </c>
      <c r="B4966" s="36" t="s">
        <v>125</v>
      </c>
      <c r="C4966" s="55" t="n">
        <f aca="false">(0+C4964)/8</f>
        <v>0</v>
      </c>
      <c r="D4966" s="55" t="n">
        <f aca="false">(C4964+D4964)/8</f>
        <v>1585.07735542635</v>
      </c>
      <c r="E4966" s="55" t="n">
        <f aca="false">(D4964+E4964)/8</f>
        <v>6684.51179826473</v>
      </c>
      <c r="F4966" s="55" t="n">
        <f aca="false">(E4964+F4964)/8</f>
        <v>14602.8352805549</v>
      </c>
      <c r="G4966" s="55" t="n">
        <f aca="false">(F4964+G4964)/8</f>
        <v>23907.2451975368</v>
      </c>
      <c r="H4966" s="55" t="n">
        <f aca="false">(G4964+H4964)/8</f>
        <v>34831.9158559988</v>
      </c>
      <c r="I4966" s="55" t="n">
        <f aca="false">(H4964+I4964)/8</f>
        <v>48109.8779901389</v>
      </c>
      <c r="J4966" s="55" t="n">
        <f aca="false">(I4964+J4964)/8</f>
        <v>65213.6986553276</v>
      </c>
      <c r="K4966" s="55" t="n">
        <f aca="false">(J4964+K4964)/8</f>
        <v>87791.8035022036</v>
      </c>
      <c r="L4966" s="55" t="n">
        <f aca="false">(K4964+L4964)/8</f>
        <v>114176.852166148</v>
      </c>
      <c r="M4966" s="55" t="n">
        <f aca="false">(L4964+M4964)/8</f>
        <v>141450.98445455</v>
      </c>
      <c r="N4966" s="55" t="n">
        <f aca="false">(M4964+N4964)/8</f>
        <v>168536.316259998</v>
      </c>
      <c r="P4966" s="55" t="n">
        <f aca="false">SUM(C4966:F4966)</f>
        <v>22872.4244342459</v>
      </c>
      <c r="Q4966" s="55" t="n">
        <f aca="false">SUM(G4966:J4966)</f>
        <v>172062.737699002</v>
      </c>
      <c r="R4966" s="55" t="n">
        <f aca="false">SUM(K4966:N4966)</f>
        <v>511955.9563829</v>
      </c>
      <c r="S4966" s="56" t="n">
        <f aca="false">SUM(P4966:R4966)</f>
        <v>706891.118516148</v>
      </c>
    </row>
    <row r="4967" customFormat="false" ht="15" hidden="false" customHeight="false" outlineLevel="0" collapsed="false">
      <c r="A4967" s="4" t="s">
        <v>544</v>
      </c>
      <c r="B4967" s="36" t="s">
        <v>125</v>
      </c>
      <c r="C4967" s="54" t="n">
        <f aca="false">C4966*Assumptions!$E$76</f>
        <v>0</v>
      </c>
      <c r="D4967" s="54" t="n">
        <f aca="false">D4966*Assumptions!$E$76</f>
        <v>1030.30028102713</v>
      </c>
      <c r="E4967" s="54" t="n">
        <f aca="false">E4966*Assumptions!$E$76</f>
        <v>4344.93266887208</v>
      </c>
      <c r="F4967" s="54" t="n">
        <f aca="false">F4966*Assumptions!$E$76</f>
        <v>9491.84293236065</v>
      </c>
      <c r="G4967" s="54" t="n">
        <f aca="false">G4966*Assumptions!$E$76</f>
        <v>15539.7093783989</v>
      </c>
      <c r="H4967" s="54" t="n">
        <f aca="false">H4966*Assumptions!$E$76</f>
        <v>22640.7453063992</v>
      </c>
      <c r="I4967" s="54" t="n">
        <f aca="false">I4966*Assumptions!$E$76</f>
        <v>31271.4206935903</v>
      </c>
      <c r="J4967" s="54" t="n">
        <f aca="false">J4966*Assumptions!$E$76</f>
        <v>42388.9041259629</v>
      </c>
      <c r="K4967" s="54" t="n">
        <f aca="false">K4966*Assumptions!$E$76</f>
        <v>57064.6722764323</v>
      </c>
      <c r="L4967" s="54" t="n">
        <f aca="false">L4966*Assumptions!$E$76</f>
        <v>74214.9539079963</v>
      </c>
      <c r="M4967" s="54" t="n">
        <f aca="false">M4966*Assumptions!$E$76</f>
        <v>91943.1398954574</v>
      </c>
      <c r="N4967" s="54" t="n">
        <f aca="false">N4966*Assumptions!$E$76</f>
        <v>109548.605568999</v>
      </c>
      <c r="P4967" s="55" t="n">
        <f aca="false">SUM(C4967:F4967)</f>
        <v>14867.0758822599</v>
      </c>
      <c r="Q4967" s="55" t="n">
        <f aca="false">SUM(G4967:J4967)</f>
        <v>111840.779504351</v>
      </c>
      <c r="R4967" s="55" t="n">
        <f aca="false">SUM(K4967:N4967)</f>
        <v>332771.371648885</v>
      </c>
      <c r="S4967" s="56" t="n">
        <f aca="false">SUM(P4967:R4967)</f>
        <v>459479.227035496</v>
      </c>
    </row>
    <row r="4968" customFormat="false" ht="15" hidden="false" customHeight="false" outlineLevel="0" collapsed="false">
      <c r="A4968" s="35" t="s">
        <v>547</v>
      </c>
      <c r="B4968" s="35" t="s">
        <v>444</v>
      </c>
      <c r="C4968" s="6" t="s">
        <v>354</v>
      </c>
      <c r="D4968" s="6" t="s">
        <v>355</v>
      </c>
      <c r="E4968" s="6" t="s">
        <v>356</v>
      </c>
      <c r="F4968" s="6" t="s">
        <v>357</v>
      </c>
      <c r="G4968" s="6" t="s">
        <v>358</v>
      </c>
      <c r="H4968" s="6" t="s">
        <v>359</v>
      </c>
      <c r="I4968" s="6" t="s">
        <v>360</v>
      </c>
      <c r="J4968" s="6" t="s">
        <v>361</v>
      </c>
      <c r="K4968" s="6" t="s">
        <v>362</v>
      </c>
      <c r="L4968" s="6" t="s">
        <v>363</v>
      </c>
      <c r="M4968" s="6" t="s">
        <v>364</v>
      </c>
      <c r="N4968" s="6" t="s">
        <v>365</v>
      </c>
      <c r="P4968" s="6" t="s">
        <v>445</v>
      </c>
      <c r="Q4968" s="6" t="s">
        <v>446</v>
      </c>
      <c r="R4968" s="6" t="s">
        <v>447</v>
      </c>
      <c r="S4968" s="6" t="s">
        <v>448</v>
      </c>
    </row>
    <row r="4969" customFormat="false" ht="15" hidden="false" customHeight="false" outlineLevel="0" collapsed="false">
      <c r="A4969" s="4" t="s">
        <v>548</v>
      </c>
      <c r="B4969" s="36" t="s">
        <v>321</v>
      </c>
      <c r="C4969" s="48" t="n">
        <f aca="false">Assumptions!$D$97*C4911</f>
        <v>1</v>
      </c>
      <c r="D4969" s="48" t="n">
        <f aca="false">Assumptions!$D$97*D4911</f>
        <v>1</v>
      </c>
      <c r="E4969" s="48" t="n">
        <f aca="false">Assumptions!$D$97*E4911</f>
        <v>1</v>
      </c>
      <c r="F4969" s="48" t="n">
        <f aca="false">Assumptions!$D$97*F4911</f>
        <v>1</v>
      </c>
      <c r="G4969" s="48" t="n">
        <f aca="false">Assumptions!$D$97*G4911</f>
        <v>1</v>
      </c>
      <c r="H4969" s="48" t="n">
        <f aca="false">Assumptions!$D$97*H4911</f>
        <v>1</v>
      </c>
      <c r="I4969" s="48" t="n">
        <f aca="false">Assumptions!$D$97*I4911</f>
        <v>1</v>
      </c>
      <c r="J4969" s="48" t="n">
        <f aca="false">Assumptions!$D$97*J4911</f>
        <v>1</v>
      </c>
      <c r="K4969" s="48" t="n">
        <f aca="false">Assumptions!$D$97*K4911</f>
        <v>1</v>
      </c>
      <c r="L4969" s="48" t="n">
        <f aca="false">Assumptions!$D$97*L4911</f>
        <v>1</v>
      </c>
      <c r="M4969" s="48" t="n">
        <f aca="false">Assumptions!$D$97*M4911</f>
        <v>1</v>
      </c>
      <c r="N4969" s="48" t="n">
        <f aca="false">Assumptions!$D$97*N4911</f>
        <v>1</v>
      </c>
      <c r="P4969" s="49" t="n">
        <f aca="false">AVERAGE(C4969:F4969)</f>
        <v>1</v>
      </c>
      <c r="Q4969" s="49" t="n">
        <f aca="false">AVERAGE(G4969:J4969)</f>
        <v>1</v>
      </c>
      <c r="R4969" s="49" t="n">
        <f aca="false">AVERAGE(K4969:N4969)</f>
        <v>1</v>
      </c>
      <c r="S4969" s="50"/>
    </row>
    <row r="4970" customFormat="false" ht="15" hidden="false" customHeight="false" outlineLevel="0" collapsed="false">
      <c r="A4970" s="4" t="s">
        <v>549</v>
      </c>
      <c r="B4970" s="36" t="s">
        <v>321</v>
      </c>
      <c r="C4970" s="48" t="n">
        <f aca="false">C4924*C4911</f>
        <v>0</v>
      </c>
      <c r="D4970" s="48" t="n">
        <f aca="false">D4924*D4911</f>
        <v>0</v>
      </c>
      <c r="E4970" s="48" t="n">
        <f aca="false">E4924*E4911</f>
        <v>0</v>
      </c>
      <c r="F4970" s="48" t="n">
        <f aca="false">F4924*F4911</f>
        <v>0</v>
      </c>
      <c r="G4970" s="48" t="n">
        <f aca="false">G4924*G4911</f>
        <v>0</v>
      </c>
      <c r="H4970" s="48" t="n">
        <f aca="false">H4924*H4911</f>
        <v>0</v>
      </c>
      <c r="I4970" s="48" t="n">
        <f aca="false">I4924*I4911</f>
        <v>0</v>
      </c>
      <c r="J4970" s="48" t="n">
        <f aca="false">J4924*J4911</f>
        <v>0</v>
      </c>
      <c r="K4970" s="48" t="n">
        <f aca="false">K4924*K4911</f>
        <v>0</v>
      </c>
      <c r="L4970" s="48" t="n">
        <f aca="false">L4924*L4911</f>
        <v>0</v>
      </c>
      <c r="M4970" s="48" t="n">
        <f aca="false">M4924*M4911</f>
        <v>0</v>
      </c>
      <c r="N4970" s="48" t="n">
        <f aca="false">N4924*N4911</f>
        <v>0</v>
      </c>
      <c r="P4970" s="49" t="n">
        <f aca="false">AVERAGE(C4970:F4970)</f>
        <v>0</v>
      </c>
      <c r="Q4970" s="49" t="n">
        <f aca="false">AVERAGE(G4970:J4970)</f>
        <v>0</v>
      </c>
      <c r="R4970" s="49" t="n">
        <f aca="false">AVERAGE(K4970:N4970)</f>
        <v>0</v>
      </c>
      <c r="S4970" s="50"/>
    </row>
    <row r="4971" customFormat="false" ht="15" hidden="false" customHeight="false" outlineLevel="0" collapsed="false">
      <c r="A4971" s="4" t="s">
        <v>550</v>
      </c>
      <c r="B4971" s="36" t="s">
        <v>321</v>
      </c>
      <c r="C4971" s="48" t="n">
        <f aca="false">IF(C4910&lt;=4,Assumptions!$D$98,Assumptions!$D$99)*C4911</f>
        <v>0</v>
      </c>
      <c r="D4971" s="48" t="n">
        <f aca="false">IF(D4910&lt;=4,Assumptions!$D$98,Assumptions!$D$99)*D4911</f>
        <v>0</v>
      </c>
      <c r="E4971" s="48" t="n">
        <f aca="false">IF(E4910&lt;=4,Assumptions!$D$98,Assumptions!$D$99)*E4911</f>
        <v>0</v>
      </c>
      <c r="F4971" s="48" t="n">
        <f aca="false">IF(F4910&lt;=4,Assumptions!$D$98,Assumptions!$D$99)*F4911</f>
        <v>0</v>
      </c>
      <c r="G4971" s="48" t="n">
        <f aca="false">IF(G4910&lt;=4,Assumptions!$D$98,Assumptions!$D$99)*G4911</f>
        <v>0.5</v>
      </c>
      <c r="H4971" s="48" t="n">
        <f aca="false">IF(H4910&lt;=4,Assumptions!$D$98,Assumptions!$D$99)*H4911</f>
        <v>0.5</v>
      </c>
      <c r="I4971" s="48" t="n">
        <f aca="false">IF(I4910&lt;=4,Assumptions!$D$98,Assumptions!$D$99)*I4911</f>
        <v>0.5</v>
      </c>
      <c r="J4971" s="48" t="n">
        <f aca="false">IF(J4910&lt;=4,Assumptions!$D$98,Assumptions!$D$99)*J4911</f>
        <v>0.5</v>
      </c>
      <c r="K4971" s="48" t="n">
        <f aca="false">IF(K4910&lt;=4,Assumptions!$D$98,Assumptions!$D$99)*K4911</f>
        <v>0.5</v>
      </c>
      <c r="L4971" s="48" t="n">
        <f aca="false">IF(L4910&lt;=4,Assumptions!$D$98,Assumptions!$D$99)*L4911</f>
        <v>0.5</v>
      </c>
      <c r="M4971" s="48" t="n">
        <f aca="false">IF(M4910&lt;=4,Assumptions!$D$98,Assumptions!$D$99)*M4911</f>
        <v>0.5</v>
      </c>
      <c r="N4971" s="48" t="n">
        <f aca="false">IF(N4910&lt;=4,Assumptions!$D$98,Assumptions!$D$99)*N4911</f>
        <v>0.5</v>
      </c>
      <c r="P4971" s="49" t="n">
        <f aca="false">AVERAGE(C4971:F4971)</f>
        <v>0</v>
      </c>
      <c r="Q4971" s="49" t="n">
        <f aca="false">AVERAGE(G4971:J4971)</f>
        <v>0.5</v>
      </c>
      <c r="R4971" s="49" t="n">
        <f aca="false">AVERAGE(K4971:N4971)</f>
        <v>0.5</v>
      </c>
      <c r="S4971" s="50"/>
    </row>
    <row r="4972" customFormat="false" ht="15" hidden="false" customHeight="false" outlineLevel="0" collapsed="false">
      <c r="A4972" s="4" t="s">
        <v>551</v>
      </c>
      <c r="B4972" s="36" t="s">
        <v>321</v>
      </c>
      <c r="C4972" s="48" t="n">
        <f aca="false">IF(C4910&lt;=4,Assumptions!$D$100,Assumptions!$D$101)*C4911</f>
        <v>1</v>
      </c>
      <c r="D4972" s="48" t="n">
        <f aca="false">IF(D4910&lt;=4,Assumptions!$D$100,Assumptions!$D$101)*D4911</f>
        <v>1</v>
      </c>
      <c r="E4972" s="48" t="n">
        <f aca="false">IF(E4910&lt;=4,Assumptions!$D$100,Assumptions!$D$101)*E4911</f>
        <v>1</v>
      </c>
      <c r="F4972" s="48" t="n">
        <f aca="false">IF(F4910&lt;=4,Assumptions!$D$100,Assumptions!$D$101)*F4911</f>
        <v>1</v>
      </c>
      <c r="G4972" s="48" t="n">
        <f aca="false">IF(G4910&lt;=4,Assumptions!$D$100,Assumptions!$D$101)*G4911</f>
        <v>0.5</v>
      </c>
      <c r="H4972" s="48" t="n">
        <f aca="false">IF(H4910&lt;=4,Assumptions!$D$100,Assumptions!$D$101)*H4911</f>
        <v>0.5</v>
      </c>
      <c r="I4972" s="48" t="n">
        <f aca="false">IF(I4910&lt;=4,Assumptions!$D$100,Assumptions!$D$101)*I4911</f>
        <v>0.5</v>
      </c>
      <c r="J4972" s="48" t="n">
        <f aca="false">IF(J4910&lt;=4,Assumptions!$D$100,Assumptions!$D$101)*J4911</f>
        <v>0.5</v>
      </c>
      <c r="K4972" s="48" t="n">
        <f aca="false">IF(K4910&lt;=4,Assumptions!$D$100,Assumptions!$D$101)*K4911</f>
        <v>0.5</v>
      </c>
      <c r="L4972" s="48" t="n">
        <f aca="false">IF(L4910&lt;=4,Assumptions!$D$100,Assumptions!$D$101)*L4911</f>
        <v>0.5</v>
      </c>
      <c r="M4972" s="48" t="n">
        <f aca="false">IF(M4910&lt;=4,Assumptions!$D$100,Assumptions!$D$101)*M4911</f>
        <v>0.5</v>
      </c>
      <c r="N4972" s="48" t="n">
        <f aca="false">IF(N4910&lt;=4,Assumptions!$D$100,Assumptions!$D$101)*N4911</f>
        <v>0.5</v>
      </c>
      <c r="P4972" s="49" t="n">
        <f aca="false">AVERAGE(C4972:F4972)</f>
        <v>1</v>
      </c>
      <c r="Q4972" s="49" t="n">
        <f aca="false">AVERAGE(G4972:J4972)</f>
        <v>0.5</v>
      </c>
      <c r="R4972" s="49" t="n">
        <f aca="false">AVERAGE(K4972:N4972)</f>
        <v>0.5</v>
      </c>
      <c r="S4972" s="50"/>
    </row>
    <row r="4973" customFormat="false" ht="15" hidden="false" customHeight="false" outlineLevel="0" collapsed="false">
      <c r="A4973" s="4" t="s">
        <v>552</v>
      </c>
      <c r="B4973" s="36" t="s">
        <v>321</v>
      </c>
      <c r="C4973" s="48" t="n">
        <f aca="false">Assumptions!$D$102*C4911</f>
        <v>0.25</v>
      </c>
      <c r="D4973" s="48" t="n">
        <f aca="false">Assumptions!$D$102*D4911</f>
        <v>0.25</v>
      </c>
      <c r="E4973" s="48" t="n">
        <f aca="false">Assumptions!$D$102*E4911</f>
        <v>0.25</v>
      </c>
      <c r="F4973" s="48" t="n">
        <f aca="false">Assumptions!$D$102*F4911</f>
        <v>0.25</v>
      </c>
      <c r="G4973" s="48" t="n">
        <f aca="false">Assumptions!$D$102*G4911</f>
        <v>0.25</v>
      </c>
      <c r="H4973" s="48" t="n">
        <f aca="false">Assumptions!$D$102*H4911</f>
        <v>0.25</v>
      </c>
      <c r="I4973" s="48" t="n">
        <f aca="false">Assumptions!$D$102*I4911</f>
        <v>0.25</v>
      </c>
      <c r="J4973" s="48" t="n">
        <f aca="false">Assumptions!$D$102*J4911</f>
        <v>0.25</v>
      </c>
      <c r="K4973" s="48" t="n">
        <f aca="false">Assumptions!$D$102*K4911</f>
        <v>0.25</v>
      </c>
      <c r="L4973" s="48" t="n">
        <f aca="false">Assumptions!$D$102*L4911</f>
        <v>0.25</v>
      </c>
      <c r="M4973" s="48" t="n">
        <f aca="false">Assumptions!$D$102*M4911</f>
        <v>0.25</v>
      </c>
      <c r="N4973" s="48" t="n">
        <f aca="false">Assumptions!$D$102*N4911</f>
        <v>0.25</v>
      </c>
      <c r="P4973" s="49" t="n">
        <f aca="false">AVERAGE(C4973:F4973)</f>
        <v>0.25</v>
      </c>
      <c r="Q4973" s="49" t="n">
        <f aca="false">AVERAGE(G4973:J4973)</f>
        <v>0.25</v>
      </c>
      <c r="R4973" s="49" t="n">
        <f aca="false">AVERAGE(K4973:N4973)</f>
        <v>0.25</v>
      </c>
      <c r="S4973" s="50"/>
    </row>
    <row r="4974" customFormat="false" ht="15" hidden="false" customHeight="false" outlineLevel="0" collapsed="false">
      <c r="A4974" s="4" t="s">
        <v>553</v>
      </c>
      <c r="B4974" s="36" t="s">
        <v>321</v>
      </c>
      <c r="C4974" s="48" t="n">
        <f aca="false">(C4958+C4959)/Assumptions!$E$74+C4957/Assumptions!$E$75</f>
        <v>0</v>
      </c>
      <c r="D4974" s="48" t="n">
        <f aca="false">(D4958+D4959)/Assumptions!$E$74+D4957/Assumptions!$E$75</f>
        <v>0.0204537573391627</v>
      </c>
      <c r="E4974" s="48" t="n">
        <f aca="false">(E4958+E4959)/Assumptions!$E$74+E4957/Assumptions!$E$75</f>
        <v>0.0574999223953997</v>
      </c>
      <c r="F4974" s="48" t="n">
        <f aca="false">(F4958+F4959)/Assumptions!$E$74+F4957/Assumptions!$E$75</f>
        <v>0.0989945094305299</v>
      </c>
      <c r="G4974" s="48" t="n">
        <f aca="false">(G4958+G4959)/Assumptions!$E$74+G4957/Assumptions!$E$75</f>
        <v>0.143535824570073</v>
      </c>
      <c r="H4974" s="48" t="n">
        <f aca="false">(H4958+H4959)/Assumptions!$E$74+H4957/Assumptions!$E$75</f>
        <v>0.198692347467491</v>
      </c>
      <c r="I4974" s="48" t="n">
        <f aca="false">(I4958+I4959)/Assumptions!$E$74+I4957/Assumptions!$E$75</f>
        <v>0.263937257150209</v>
      </c>
      <c r="J4974" s="48" t="n">
        <f aca="false">(J4958+J4959)/Assumptions!$E$74+J4957/Assumptions!$E$75</f>
        <v>0.354962686009237</v>
      </c>
      <c r="K4974" s="48" t="n">
        <f aca="false">(K4958+K4959)/Assumptions!$E$74+K4957/Assumptions!$E$75</f>
        <v>0.470312673509327</v>
      </c>
      <c r="L4974" s="48" t="n">
        <f aca="false">(L4958+L4959)/Assumptions!$E$74+L4957/Assumptions!$E$75</f>
        <v>0.585589240065411</v>
      </c>
      <c r="M4974" s="48" t="n">
        <f aca="false">(M4958+M4959)/Assumptions!$E$74+M4957/Assumptions!$E$75</f>
        <v>0.694420739221507</v>
      </c>
      <c r="N4974" s="48" t="n">
        <f aca="false">(N4958+N4959)/Assumptions!$E$74+N4957/Assumptions!$E$75</f>
        <v>0.796790818700121</v>
      </c>
      <c r="P4974" s="49" t="n">
        <f aca="false">AVERAGE(C4974:F4974)</f>
        <v>0.0442370472912731</v>
      </c>
      <c r="Q4974" s="49" t="n">
        <f aca="false">AVERAGE(G4974:J4974)</f>
        <v>0.240282028799253</v>
      </c>
      <c r="R4974" s="49" t="n">
        <f aca="false">AVERAGE(K4974:N4974)</f>
        <v>0.636778367874091</v>
      </c>
      <c r="S4974" s="50"/>
    </row>
    <row r="4975" customFormat="false" ht="15" hidden="false" customHeight="false" outlineLevel="0" collapsed="false">
      <c r="A4975" s="4" t="s">
        <v>554</v>
      </c>
      <c r="B4975" s="36" t="s">
        <v>125</v>
      </c>
      <c r="C4975" s="54" t="n">
        <f aca="false">(C4969+C4971)*Assumptions!$E$70/Assumptions!$E$69/4</f>
        <v>66753.5714285714</v>
      </c>
      <c r="D4975" s="54" t="n">
        <f aca="false">(D4969+D4971)*Assumptions!$E$70/Assumptions!$E$69/4</f>
        <v>66753.5714285714</v>
      </c>
      <c r="E4975" s="54" t="n">
        <f aca="false">(E4969+E4971)*Assumptions!$E$70/Assumptions!$E$69/4</f>
        <v>66753.5714285714</v>
      </c>
      <c r="F4975" s="54" t="n">
        <f aca="false">(F4969+F4971)*Assumptions!$E$70/Assumptions!$E$69/4</f>
        <v>66753.5714285714</v>
      </c>
      <c r="G4975" s="54" t="n">
        <f aca="false">(G4969+G4971)*Assumptions!$E$70/Assumptions!$E$69/4</f>
        <v>100130.357142857</v>
      </c>
      <c r="H4975" s="54" t="n">
        <f aca="false">(H4969+H4971)*Assumptions!$E$70/Assumptions!$E$69/4</f>
        <v>100130.357142857</v>
      </c>
      <c r="I4975" s="54" t="n">
        <f aca="false">(I4969+I4971)*Assumptions!$E$70/Assumptions!$E$69/4</f>
        <v>100130.357142857</v>
      </c>
      <c r="J4975" s="54" t="n">
        <f aca="false">(J4969+J4971)*Assumptions!$E$70/Assumptions!$E$69/4</f>
        <v>100130.357142857</v>
      </c>
      <c r="K4975" s="54" t="n">
        <f aca="false">(K4969+K4971)*Assumptions!$E$70/Assumptions!$E$69/4</f>
        <v>100130.357142857</v>
      </c>
      <c r="L4975" s="54" t="n">
        <f aca="false">(L4969+L4971)*Assumptions!$E$70/Assumptions!$E$69/4</f>
        <v>100130.357142857</v>
      </c>
      <c r="M4975" s="54" t="n">
        <f aca="false">(M4969+M4971)*Assumptions!$E$70/Assumptions!$E$69/4</f>
        <v>100130.357142857</v>
      </c>
      <c r="N4975" s="54" t="n">
        <f aca="false">(N4969+N4971)*Assumptions!$E$70/Assumptions!$E$69/4</f>
        <v>100130.357142857</v>
      </c>
      <c r="P4975" s="55" t="n">
        <f aca="false">SUM(C4975:F4975)</f>
        <v>267014.285714286</v>
      </c>
      <c r="Q4975" s="55" t="n">
        <f aca="false">SUM(G4975:J4975)</f>
        <v>400521.428571429</v>
      </c>
      <c r="R4975" s="55" t="n">
        <f aca="false">SUM(K4975:N4975)</f>
        <v>400521.428571429</v>
      </c>
      <c r="S4975" s="56" t="n">
        <f aca="false">SUM(P4975:R4975)</f>
        <v>1068057.14285714</v>
      </c>
    </row>
    <row r="4976" customFormat="false" ht="15" hidden="false" customHeight="false" outlineLevel="0" collapsed="false">
      <c r="A4976" s="4" t="s">
        <v>555</v>
      </c>
      <c r="B4976" s="36" t="s">
        <v>125</v>
      </c>
      <c r="C4976" s="54" t="n">
        <f aca="false">C4970*$C$4905/4</f>
        <v>0</v>
      </c>
      <c r="D4976" s="54" t="n">
        <f aca="false">D4970*$C$4905/4</f>
        <v>0</v>
      </c>
      <c r="E4976" s="54" t="n">
        <f aca="false">E4970*$C$4905/4</f>
        <v>0</v>
      </c>
      <c r="F4976" s="54" t="n">
        <f aca="false">F4970*$C$4905/4</f>
        <v>0</v>
      </c>
      <c r="G4976" s="54" t="n">
        <f aca="false">G4970*$C$4905/4</f>
        <v>0</v>
      </c>
      <c r="H4976" s="54" t="n">
        <f aca="false">H4970*$C$4905/4</f>
        <v>0</v>
      </c>
      <c r="I4976" s="54" t="n">
        <f aca="false">I4970*$C$4905/4</f>
        <v>0</v>
      </c>
      <c r="J4976" s="54" t="n">
        <f aca="false">J4970*$C$4905/4</f>
        <v>0</v>
      </c>
      <c r="K4976" s="54" t="n">
        <f aca="false">K4970*$C$4905/4</f>
        <v>0</v>
      </c>
      <c r="L4976" s="54" t="n">
        <f aca="false">L4970*$C$4905/4</f>
        <v>0</v>
      </c>
      <c r="M4976" s="54" t="n">
        <f aca="false">M4970*$C$4905/4</f>
        <v>0</v>
      </c>
      <c r="N4976" s="54" t="n">
        <f aca="false">N4970*$C$4905/4</f>
        <v>0</v>
      </c>
      <c r="P4976" s="55" t="n">
        <f aca="false">SUM(C4976:F4976)</f>
        <v>0</v>
      </c>
      <c r="Q4976" s="55" t="n">
        <f aca="false">SUM(G4976:J4976)</f>
        <v>0</v>
      </c>
      <c r="R4976" s="55" t="n">
        <f aca="false">SUM(K4976:N4976)</f>
        <v>0</v>
      </c>
      <c r="S4976" s="56" t="n">
        <f aca="false">SUM(P4976:R4976)</f>
        <v>0</v>
      </c>
    </row>
    <row r="4977" customFormat="false" ht="15" hidden="false" customHeight="false" outlineLevel="0" collapsed="false">
      <c r="A4977" s="4" t="s">
        <v>556</v>
      </c>
      <c r="B4977" s="36" t="s">
        <v>125</v>
      </c>
      <c r="C4977" s="54" t="n">
        <f aca="false">MAX(0,(C4965-C4946*$C$4901)-C4925*$C$4906)*$C$4907*Assumptions!$D$105</f>
        <v>0</v>
      </c>
      <c r="D4977" s="54" t="n">
        <f aca="false">MAX(0,(D4965-D4946*$C$4901)-D4925*$C$4906)*$C$4907*Assumptions!$D$105</f>
        <v>4988.17437401111</v>
      </c>
      <c r="E4977" s="54" t="n">
        <f aca="false">MAX(0,(E4965-E4946*$C$4901)-E4925*$C$4906)*$C$4907*Assumptions!$D$105</f>
        <v>11484.4235982085</v>
      </c>
      <c r="F4977" s="54" t="n">
        <f aca="false">MAX(0,(F4965-F4946*$C$4901)-F4925*$C$4906)*$C$4907*Assumptions!$D$105</f>
        <v>14463.9285763728</v>
      </c>
      <c r="G4977" s="54" t="n">
        <f aca="false">MAX(0,(G4965-G4946*$C$4901)-G4925*$C$4906)*$C$4907*Assumptions!$D$105</f>
        <v>15886.3660920935</v>
      </c>
      <c r="H4977" s="54" t="n">
        <f aca="false">MAX(0,(H4965-H4946*$C$4901)-H4925*$C$4906)*$C$4907*Assumptions!$D$105</f>
        <v>19232.9081912775</v>
      </c>
      <c r="I4977" s="54" t="n">
        <f aca="false">MAX(0,(I4965-I4946*$C$4901)-I4925*$C$4906)*$C$4907*Assumptions!$D$105</f>
        <v>22960.3091918891</v>
      </c>
      <c r="J4977" s="54" t="n">
        <f aca="false">MAX(0,(J4965-J4946*$C$4901)-J4925*$C$4906)*$C$4907*Assumptions!$D$105</f>
        <v>30799.8511032901</v>
      </c>
      <c r="K4977" s="54" t="n">
        <f aca="false">MAX(0,(K4965-K4946*$C$4901)-K4925*$C$4906)*$C$4907*Assumptions!$D$105</f>
        <v>39726.5849546327</v>
      </c>
      <c r="L4977" s="54" t="n">
        <f aca="false">MAX(0,(L4965-L4946*$C$4901)-L4925*$C$4906)*$C$4907*Assumptions!$D$105</f>
        <v>42479.4053614934</v>
      </c>
      <c r="M4977" s="54" t="n">
        <f aca="false">MAX(0,(M4965-M4946*$C$4901)-M4925*$C$4906)*$C$4907*Assumptions!$D$105</f>
        <v>41716.2593344207</v>
      </c>
      <c r="N4977" s="54" t="n">
        <f aca="false">MAX(0,(N4965-N4946*$C$4901)-N4925*$C$4906)*$C$4907*Assumptions!$D$105</f>
        <v>40515.2437912391</v>
      </c>
      <c r="P4977" s="55" t="n">
        <f aca="false">SUM(C4977:F4977)</f>
        <v>30936.5265485924</v>
      </c>
      <c r="Q4977" s="55" t="n">
        <f aca="false">SUM(G4977:J4977)</f>
        <v>88879.4345785503</v>
      </c>
      <c r="R4977" s="55" t="n">
        <f aca="false">SUM(K4977:N4977)</f>
        <v>164437.493441786</v>
      </c>
      <c r="S4977" s="56" t="n">
        <f aca="false">SUM(P4977:R4977)</f>
        <v>284253.454568929</v>
      </c>
    </row>
    <row r="4978" customFormat="false" ht="15" hidden="false" customHeight="false" outlineLevel="0" collapsed="false">
      <c r="A4978" s="4" t="s">
        <v>557</v>
      </c>
      <c r="B4978" s="36" t="s">
        <v>125</v>
      </c>
      <c r="C4978" s="54" t="n">
        <f aca="false">C4973*Assumptions!$E$71/Assumptions!$E$69/4</f>
        <v>18475.8928571429</v>
      </c>
      <c r="D4978" s="54" t="n">
        <f aca="false">D4973*Assumptions!$E$71/Assumptions!$E$69/4</f>
        <v>18475.8928571429</v>
      </c>
      <c r="E4978" s="54" t="n">
        <f aca="false">E4973*Assumptions!$E$71/Assumptions!$E$69/4</f>
        <v>18475.8928571429</v>
      </c>
      <c r="F4978" s="54" t="n">
        <f aca="false">F4973*Assumptions!$E$71/Assumptions!$E$69/4</f>
        <v>18475.8928571429</v>
      </c>
      <c r="G4978" s="54" t="n">
        <f aca="false">G4973*Assumptions!$E$71/Assumptions!$E$69/4</f>
        <v>18475.8928571429</v>
      </c>
      <c r="H4978" s="54" t="n">
        <f aca="false">H4973*Assumptions!$E$71/Assumptions!$E$69/4</f>
        <v>18475.8928571429</v>
      </c>
      <c r="I4978" s="54" t="n">
        <f aca="false">I4973*Assumptions!$E$71/Assumptions!$E$69/4</f>
        <v>18475.8928571429</v>
      </c>
      <c r="J4978" s="54" t="n">
        <f aca="false">J4973*Assumptions!$E$71/Assumptions!$E$69/4</f>
        <v>18475.8928571429</v>
      </c>
      <c r="K4978" s="54" t="n">
        <f aca="false">K4973*Assumptions!$E$71/Assumptions!$E$69/4</f>
        <v>18475.8928571429</v>
      </c>
      <c r="L4978" s="54" t="n">
        <f aca="false">L4973*Assumptions!$E$71/Assumptions!$E$69/4</f>
        <v>18475.8928571429</v>
      </c>
      <c r="M4978" s="54" t="n">
        <f aca="false">M4973*Assumptions!$E$71/Assumptions!$E$69/4</f>
        <v>18475.8928571429</v>
      </c>
      <c r="N4978" s="54" t="n">
        <f aca="false">N4973*Assumptions!$E$71/Assumptions!$E$69/4</f>
        <v>18475.8928571429</v>
      </c>
      <c r="P4978" s="55" t="n">
        <f aca="false">SUM(C4978:F4978)</f>
        <v>73903.5714285714</v>
      </c>
      <c r="Q4978" s="55" t="n">
        <f aca="false">SUM(G4978:J4978)</f>
        <v>73903.5714285714</v>
      </c>
      <c r="R4978" s="55" t="n">
        <f aca="false">SUM(K4978:N4978)</f>
        <v>73903.5714285714</v>
      </c>
      <c r="S4978" s="56" t="n">
        <f aca="false">SUM(P4978:R4978)</f>
        <v>221710.714285714</v>
      </c>
    </row>
    <row r="4979" customFormat="false" ht="15" hidden="false" customHeight="false" outlineLevel="0" collapsed="false">
      <c r="A4979" s="4" t="s">
        <v>558</v>
      </c>
      <c r="B4979" s="36" t="s">
        <v>125</v>
      </c>
      <c r="C4979" s="54" t="n">
        <f aca="false">(Assumptions!$D$103+Assumptions!$E$77*((C4910=Assumptions!$E$13)+(C4910=Assumptions!$E$14)+(C4910=Assumptions!$E$15)))*C4911</f>
        <v>65000</v>
      </c>
      <c r="D4979" s="54" t="n">
        <f aca="false">(Assumptions!$D$103+Assumptions!$E$77*((D4910=Assumptions!$E$13)+(D4910=Assumptions!$E$14)+(D4910=Assumptions!$E$15)))*D4911</f>
        <v>25000</v>
      </c>
      <c r="E4979" s="54" t="n">
        <f aca="false">(Assumptions!$D$103+Assumptions!$E$77*((E4910=Assumptions!$E$13)+(E4910=Assumptions!$E$14)+(E4910=Assumptions!$E$15)))*E4911</f>
        <v>25000</v>
      </c>
      <c r="F4979" s="54" t="n">
        <f aca="false">(Assumptions!$D$103+Assumptions!$E$77*((F4910=Assumptions!$E$13)+(F4910=Assumptions!$E$14)+(F4910=Assumptions!$E$15)))*F4911</f>
        <v>25000</v>
      </c>
      <c r="G4979" s="54" t="n">
        <f aca="false">(Assumptions!$D$103+Assumptions!$E$77*((G4910=Assumptions!$E$13)+(G4910=Assumptions!$E$14)+(G4910=Assumptions!$E$15)))*G4911</f>
        <v>65000</v>
      </c>
      <c r="H4979" s="54" t="n">
        <f aca="false">(Assumptions!$D$103+Assumptions!$E$77*((H4910=Assumptions!$E$13)+(H4910=Assumptions!$E$14)+(H4910=Assumptions!$E$15)))*H4911</f>
        <v>25000</v>
      </c>
      <c r="I4979" s="54" t="n">
        <f aca="false">(Assumptions!$D$103+Assumptions!$E$77*((I4910=Assumptions!$E$13)+(I4910=Assumptions!$E$14)+(I4910=Assumptions!$E$15)))*I4911</f>
        <v>65000</v>
      </c>
      <c r="J4979" s="54" t="n">
        <f aca="false">(Assumptions!$D$103+Assumptions!$E$77*((J4910=Assumptions!$E$13)+(J4910=Assumptions!$E$14)+(J4910=Assumptions!$E$15)))*J4911</f>
        <v>25000</v>
      </c>
      <c r="K4979" s="54" t="n">
        <f aca="false">(Assumptions!$D$103+Assumptions!$E$77*((K4910=Assumptions!$E$13)+(K4910=Assumptions!$E$14)+(K4910=Assumptions!$E$15)))*K4911</f>
        <v>25000</v>
      </c>
      <c r="L4979" s="54" t="n">
        <f aca="false">(Assumptions!$D$103+Assumptions!$E$77*((L4910=Assumptions!$E$13)+(L4910=Assumptions!$E$14)+(L4910=Assumptions!$E$15)))*L4911</f>
        <v>25000</v>
      </c>
      <c r="M4979" s="54" t="n">
        <f aca="false">(Assumptions!$D$103+Assumptions!$E$77*((M4910=Assumptions!$E$13)+(M4910=Assumptions!$E$14)+(M4910=Assumptions!$E$15)))*M4911</f>
        <v>25000</v>
      </c>
      <c r="N4979" s="54" t="n">
        <f aca="false">(Assumptions!$D$103+Assumptions!$E$77*((N4910=Assumptions!$E$13)+(N4910=Assumptions!$E$14)+(N4910=Assumptions!$E$15)))*N4911</f>
        <v>25000</v>
      </c>
      <c r="P4979" s="55" t="n">
        <f aca="false">SUM(C4979:F4979)</f>
        <v>140000</v>
      </c>
      <c r="Q4979" s="55" t="n">
        <f aca="false">SUM(G4979:J4979)</f>
        <v>180000</v>
      </c>
      <c r="R4979" s="55" t="n">
        <f aca="false">SUM(K4979:N4979)</f>
        <v>100000</v>
      </c>
      <c r="S4979" s="56" t="n">
        <f aca="false">SUM(P4979:R4979)</f>
        <v>420000</v>
      </c>
    </row>
    <row r="4980" customFormat="false" ht="15" hidden="false" customHeight="false" outlineLevel="0" collapsed="false">
      <c r="A4980" s="4" t="s">
        <v>559</v>
      </c>
      <c r="B4980" s="36" t="s">
        <v>125</v>
      </c>
      <c r="C4980" s="54" t="n">
        <f aca="false">C4965*C4945*Assumptions!$E$79</f>
        <v>0</v>
      </c>
      <c r="D4980" s="54" t="n">
        <f aca="false">D4965*D4945*Assumptions!$E$79</f>
        <v>1164.76981907917</v>
      </c>
      <c r="E4980" s="54" t="n">
        <f aca="false">E4965*E4945*Assumptions!$E$79</f>
        <v>2252.79219591927</v>
      </c>
      <c r="F4980" s="54" t="n">
        <f aca="false">F4965*F4945*Assumptions!$E$79</f>
        <v>3376.83941472256</v>
      </c>
      <c r="G4980" s="54" t="n">
        <f aca="false">G4965*G4945*Assumptions!$E$79</f>
        <v>4230.33309071024</v>
      </c>
      <c r="H4980" s="54" t="n">
        <f aca="false">H4965*H4945*Assumptions!$E$79</f>
        <v>4859.795219335</v>
      </c>
      <c r="I4980" s="54" t="n">
        <f aca="false">I4965*I4945*Assumptions!$E$79</f>
        <v>5644.91569202888</v>
      </c>
      <c r="J4980" s="54" t="n">
        <f aca="false">J4965*J4945*Assumptions!$E$79</f>
        <v>6057.39434674932</v>
      </c>
      <c r="K4980" s="54" t="n">
        <f aca="false">K4965*K4945*Assumptions!$E$79</f>
        <v>6864.9462989048</v>
      </c>
      <c r="L4980" s="54" t="n">
        <f aca="false">L4965*L4945*Assumptions!$E$79</f>
        <v>8039.47408218461</v>
      </c>
      <c r="M4980" s="54" t="n">
        <f aca="false">M4965*M4945*Assumptions!$E$79</f>
        <v>8124.42879119668</v>
      </c>
      <c r="N4980" s="54" t="n">
        <f aca="false">N4965*N4945*Assumptions!$E$79</f>
        <v>8121.51712361291</v>
      </c>
      <c r="P4980" s="55" t="n">
        <f aca="false">SUM(C4980:F4980)</f>
        <v>6794.401429721</v>
      </c>
      <c r="Q4980" s="55" t="n">
        <f aca="false">SUM(G4980:J4980)</f>
        <v>20792.4383488234</v>
      </c>
      <c r="R4980" s="55" t="n">
        <f aca="false">SUM(K4980:N4980)</f>
        <v>31150.366295899</v>
      </c>
      <c r="S4980" s="56" t="n">
        <f aca="false">SUM(P4980:R4980)</f>
        <v>58737.2060744434</v>
      </c>
    </row>
    <row r="4981" customFormat="false" ht="15" hidden="false" customHeight="false" outlineLevel="0" collapsed="false">
      <c r="A4981" s="4" t="s">
        <v>560</v>
      </c>
      <c r="B4981" s="36" t="s">
        <v>125</v>
      </c>
      <c r="C4981" s="54" t="n">
        <f aca="false">C4930*Assumptions!$E$80</f>
        <v>4000</v>
      </c>
      <c r="D4981" s="54" t="n">
        <f aca="false">D4930*Assumptions!$E$80</f>
        <v>6000</v>
      </c>
      <c r="E4981" s="54" t="n">
        <f aca="false">E4930*Assumptions!$E$80</f>
        <v>8000</v>
      </c>
      <c r="F4981" s="54" t="n">
        <f aca="false">F4930*Assumptions!$E$80</f>
        <v>10000</v>
      </c>
      <c r="G4981" s="54" t="n">
        <f aca="false">G4930*Assumptions!$E$80</f>
        <v>12000</v>
      </c>
      <c r="H4981" s="54" t="n">
        <f aca="false">H4930*Assumptions!$E$80</f>
        <v>14000</v>
      </c>
      <c r="I4981" s="54" t="n">
        <f aca="false">I4930*Assumptions!$E$80</f>
        <v>16000</v>
      </c>
      <c r="J4981" s="54" t="n">
        <f aca="false">J4930*Assumptions!$E$80</f>
        <v>18000</v>
      </c>
      <c r="K4981" s="54" t="n">
        <f aca="false">K4930*Assumptions!$E$80</f>
        <v>20000</v>
      </c>
      <c r="L4981" s="54" t="n">
        <f aca="false">L4930*Assumptions!$E$80</f>
        <v>20000</v>
      </c>
      <c r="M4981" s="54" t="n">
        <f aca="false">M4930*Assumptions!$E$80</f>
        <v>20000</v>
      </c>
      <c r="N4981" s="54" t="n">
        <f aca="false">N4930*Assumptions!$E$80</f>
        <v>20000</v>
      </c>
      <c r="P4981" s="55" t="n">
        <f aca="false">SUM(C4981:F4981)</f>
        <v>28000</v>
      </c>
      <c r="Q4981" s="55" t="n">
        <f aca="false">SUM(G4981:J4981)</f>
        <v>60000</v>
      </c>
      <c r="R4981" s="55" t="n">
        <f aca="false">SUM(K4981:N4981)</f>
        <v>80000</v>
      </c>
      <c r="S4981" s="56" t="n">
        <f aca="false">SUM(P4981:R4981)</f>
        <v>168000</v>
      </c>
    </row>
    <row r="4982" customFormat="false" ht="15" hidden="false" customHeight="false" outlineLevel="0" collapsed="false">
      <c r="A4982" s="4" t="s">
        <v>561</v>
      </c>
      <c r="B4982" s="36" t="s">
        <v>125</v>
      </c>
      <c r="C4982" s="54" t="n">
        <f aca="false">(C4953*$C$4902+C4954*$C$4903)*Assumptions!$E$81</f>
        <v>0</v>
      </c>
      <c r="D4982" s="54" t="n">
        <f aca="false">(D4953*$C$4902+D4954*$C$4903)*Assumptions!$E$81</f>
        <v>908.482811949377</v>
      </c>
      <c r="E4982" s="54" t="n">
        <f aca="false">(E4953*$C$4902+E4954*$C$4903)*Assumptions!$E$81</f>
        <v>2500.77221931133</v>
      </c>
      <c r="F4982" s="54" t="n">
        <f aca="false">(F4953*$C$4902+F4954*$C$4903)*Assumptions!$E$81</f>
        <v>3335.58300301136</v>
      </c>
      <c r="G4982" s="54" t="n">
        <f aca="false">(G4953*$C$4902+G4954*$C$4903)*Assumptions!$E$81</f>
        <v>3667.17110183949</v>
      </c>
      <c r="H4982" s="54" t="n">
        <f aca="false">(H4953*$C$4902+H4954*$C$4903)*Assumptions!$E$81</f>
        <v>4329.95606388489</v>
      </c>
      <c r="I4982" s="54" t="n">
        <f aca="false">(I4953*$C$4902+I4954*$C$4903)*Assumptions!$E$81</f>
        <v>5142.4707825917</v>
      </c>
      <c r="J4982" s="54" t="n">
        <f aca="false">(J4953*$C$4902+J4954*$C$4903)*Assumptions!$E$81</f>
        <v>6587.95670972157</v>
      </c>
      <c r="K4982" s="54" t="n">
        <f aca="false">(K4953*$C$4902+K4954*$C$4903)*Assumptions!$E$81</f>
        <v>8485.09222345807</v>
      </c>
      <c r="L4982" s="54" t="n">
        <f aca="false">(L4953*$C$4902+L4954*$C$4903)*Assumptions!$E$81</f>
        <v>9339.81694033834</v>
      </c>
      <c r="M4982" s="54" t="n">
        <f aca="false">(M4953*$C$4902+M4954*$C$4903)*Assumptions!$E$81</f>
        <v>9222.32872243404</v>
      </c>
      <c r="N4982" s="54" t="n">
        <f aca="false">(N4953*$C$4902+N4954*$C$4903)*Assumptions!$E$81</f>
        <v>8955.16169149426</v>
      </c>
      <c r="P4982" s="55" t="n">
        <f aca="false">SUM(C4982:F4982)</f>
        <v>6744.83803427206</v>
      </c>
      <c r="Q4982" s="55" t="n">
        <f aca="false">SUM(G4982:J4982)</f>
        <v>19727.5546580377</v>
      </c>
      <c r="R4982" s="55" t="n">
        <f aca="false">SUM(K4982:N4982)</f>
        <v>36002.3995777247</v>
      </c>
      <c r="S4982" s="56" t="n">
        <f aca="false">SUM(P4982:R4982)</f>
        <v>62474.7922700344</v>
      </c>
    </row>
    <row r="4983" customFormat="false" ht="15" hidden="false" customHeight="false" outlineLevel="0" collapsed="false">
      <c r="A4983" s="9" t="s">
        <v>562</v>
      </c>
      <c r="B4983" s="36" t="s">
        <v>125</v>
      </c>
      <c r="C4983" s="55" t="n">
        <f aca="false">C4975+C4976+C4977+C4978+C4979+C4980+C4981+C4982</f>
        <v>154229.464285714</v>
      </c>
      <c r="D4983" s="55" t="n">
        <f aca="false">D4975+D4976+D4977+D4978+D4979+D4980+D4981+D4982</f>
        <v>123290.891290754</v>
      </c>
      <c r="E4983" s="55" t="n">
        <f aca="false">E4975+E4976+E4977+E4978+E4979+E4980+E4981+E4982</f>
        <v>134467.452299153</v>
      </c>
      <c r="F4983" s="55" t="n">
        <f aca="false">F4975+F4976+F4977+F4978+F4979+F4980+F4981+F4982</f>
        <v>141405.815279821</v>
      </c>
      <c r="G4983" s="55" t="n">
        <f aca="false">G4975+G4976+G4977+G4978+G4979+G4980+G4981+G4982</f>
        <v>219390.120284643</v>
      </c>
      <c r="H4983" s="55" t="n">
        <f aca="false">H4975+H4976+H4977+H4978+H4979+H4980+H4981+H4982</f>
        <v>186028.909474497</v>
      </c>
      <c r="I4983" s="55" t="n">
        <f aca="false">I4975+I4976+I4977+I4978+I4979+I4980+I4981+I4982</f>
        <v>233353.94566651</v>
      </c>
      <c r="J4983" s="55" t="n">
        <f aca="false">J4975+J4976+J4977+J4978+J4979+J4980+J4981+J4982</f>
        <v>205051.452159761</v>
      </c>
      <c r="K4983" s="55" t="n">
        <f aca="false">K4975+K4976+K4977+K4978+K4979+K4980+K4981+K4982</f>
        <v>218682.873476996</v>
      </c>
      <c r="L4983" s="55" t="n">
        <f aca="false">L4975+L4976+L4977+L4978+L4979+L4980+L4981+L4982</f>
        <v>223464.946384016</v>
      </c>
      <c r="M4983" s="55" t="n">
        <f aca="false">M4975+M4976+M4977+M4978+M4979+M4980+M4981+M4982</f>
        <v>222669.266848051</v>
      </c>
      <c r="N4983" s="55" t="n">
        <f aca="false">N4975+N4976+N4977+N4978+N4979+N4980+N4981+N4982</f>
        <v>221198.172606346</v>
      </c>
      <c r="P4983" s="55" t="n">
        <f aca="false">SUM(C4983:F4983)</f>
        <v>553393.623155443</v>
      </c>
      <c r="Q4983" s="55" t="n">
        <f aca="false">SUM(G4983:J4983)</f>
        <v>843824.427585411</v>
      </c>
      <c r="R4983" s="55" t="n">
        <f aca="false">SUM(K4983:N4983)</f>
        <v>886015.25931541</v>
      </c>
      <c r="S4983" s="56" t="n">
        <f aca="false">SUM(P4983:R4983)</f>
        <v>2283233.31005626</v>
      </c>
    </row>
    <row r="4984" customFormat="false" ht="15" hidden="false" customHeight="false" outlineLevel="0" collapsed="false">
      <c r="A4984" s="4" t="s">
        <v>563</v>
      </c>
      <c r="B4984" s="36" t="s">
        <v>125</v>
      </c>
      <c r="C4984" s="54" t="n">
        <f aca="false">C4972*Assumptions!$E$72/Assumptions!$E$69/4</f>
        <v>56535.7142857143</v>
      </c>
      <c r="D4984" s="54" t="n">
        <f aca="false">D4972*Assumptions!$E$72/Assumptions!$E$69/4</f>
        <v>56535.7142857143</v>
      </c>
      <c r="E4984" s="54" t="n">
        <f aca="false">E4972*Assumptions!$E$72/Assumptions!$E$69/4</f>
        <v>56535.7142857143</v>
      </c>
      <c r="F4984" s="54" t="n">
        <f aca="false">F4972*Assumptions!$E$72/Assumptions!$E$69/4</f>
        <v>56535.7142857143</v>
      </c>
      <c r="G4984" s="54" t="n">
        <f aca="false">G4972*Assumptions!$E$72/Assumptions!$E$69/4</f>
        <v>28267.8571428571</v>
      </c>
      <c r="H4984" s="54" t="n">
        <f aca="false">H4972*Assumptions!$E$72/Assumptions!$E$69/4</f>
        <v>28267.8571428571</v>
      </c>
      <c r="I4984" s="54" t="n">
        <f aca="false">I4972*Assumptions!$E$72/Assumptions!$E$69/4</f>
        <v>28267.8571428571</v>
      </c>
      <c r="J4984" s="54" t="n">
        <f aca="false">J4972*Assumptions!$E$72/Assumptions!$E$69/4</f>
        <v>28267.8571428571</v>
      </c>
      <c r="K4984" s="54" t="n">
        <f aca="false">K4972*Assumptions!$E$72/Assumptions!$E$69/4</f>
        <v>28267.8571428571</v>
      </c>
      <c r="L4984" s="54" t="n">
        <f aca="false">L4972*Assumptions!$E$72/Assumptions!$E$69/4</f>
        <v>28267.8571428571</v>
      </c>
      <c r="M4984" s="54" t="n">
        <f aca="false">M4972*Assumptions!$E$72/Assumptions!$E$69/4</f>
        <v>28267.8571428571</v>
      </c>
      <c r="N4984" s="54" t="n">
        <f aca="false">N4972*Assumptions!$E$72/Assumptions!$E$69/4</f>
        <v>28267.8571428571</v>
      </c>
      <c r="P4984" s="55" t="n">
        <f aca="false">SUM(C4984:F4984)</f>
        <v>226142.857142857</v>
      </c>
      <c r="Q4984" s="55" t="n">
        <f aca="false">SUM(G4984:J4984)</f>
        <v>113071.428571429</v>
      </c>
      <c r="R4984" s="55" t="n">
        <f aca="false">SUM(K4984:N4984)</f>
        <v>113071.428571429</v>
      </c>
      <c r="S4984" s="56" t="n">
        <f aca="false">SUM(P4984:R4984)</f>
        <v>452285.714285714</v>
      </c>
    </row>
    <row r="4985" customFormat="false" ht="15" hidden="false" customHeight="false" outlineLevel="0" collapsed="false">
      <c r="A4985" s="4" t="s">
        <v>564</v>
      </c>
      <c r="B4985" s="36" t="s">
        <v>125</v>
      </c>
      <c r="C4985" s="54" t="n">
        <f aca="false">IF(C4910&lt;=Assumptions!$E$83,Assumptions!$E$82*Assumptions!$D$108/Assumptions!$E$83,0)</f>
        <v>62500</v>
      </c>
      <c r="D4985" s="54" t="n">
        <f aca="false">IF(D4910&lt;=Assumptions!$E$83,Assumptions!$E$82*Assumptions!$D$108/Assumptions!$E$83,0)</f>
        <v>62500</v>
      </c>
      <c r="E4985" s="54" t="n">
        <f aca="false">IF(E4910&lt;=Assumptions!$E$83,Assumptions!$E$82*Assumptions!$D$108/Assumptions!$E$83,0)</f>
        <v>62500</v>
      </c>
      <c r="F4985" s="54" t="n">
        <f aca="false">IF(F4910&lt;=Assumptions!$E$83,Assumptions!$E$82*Assumptions!$D$108/Assumptions!$E$83,0)</f>
        <v>62500</v>
      </c>
      <c r="G4985" s="54" t="n">
        <f aca="false">IF(G4910&lt;=Assumptions!$E$83,Assumptions!$E$82*Assumptions!$D$108/Assumptions!$E$83,0)</f>
        <v>0</v>
      </c>
      <c r="H4985" s="54" t="n">
        <f aca="false">IF(H4910&lt;=Assumptions!$E$83,Assumptions!$E$82*Assumptions!$D$108/Assumptions!$E$83,0)</f>
        <v>0</v>
      </c>
      <c r="I4985" s="54" t="n">
        <f aca="false">IF(I4910&lt;=Assumptions!$E$83,Assumptions!$E$82*Assumptions!$D$108/Assumptions!$E$83,0)</f>
        <v>0</v>
      </c>
      <c r="J4985" s="54" t="n">
        <f aca="false">IF(J4910&lt;=Assumptions!$E$83,Assumptions!$E$82*Assumptions!$D$108/Assumptions!$E$83,0)</f>
        <v>0</v>
      </c>
      <c r="K4985" s="54" t="n">
        <f aca="false">IF(K4910&lt;=Assumptions!$E$83,Assumptions!$E$82*Assumptions!$D$108/Assumptions!$E$83,0)</f>
        <v>0</v>
      </c>
      <c r="L4985" s="54" t="n">
        <f aca="false">IF(L4910&lt;=Assumptions!$E$83,Assumptions!$E$82*Assumptions!$D$108/Assumptions!$E$83,0)</f>
        <v>0</v>
      </c>
      <c r="M4985" s="54" t="n">
        <f aca="false">IF(M4910&lt;=Assumptions!$E$83,Assumptions!$E$82*Assumptions!$D$108/Assumptions!$E$83,0)</f>
        <v>0</v>
      </c>
      <c r="N4985" s="54" t="n">
        <f aca="false">IF(N4910&lt;=Assumptions!$E$83,Assumptions!$E$82*Assumptions!$D$108/Assumptions!$E$83,0)</f>
        <v>0</v>
      </c>
      <c r="P4985" s="55" t="n">
        <f aca="false">SUM(C4985:F4985)</f>
        <v>250000</v>
      </c>
      <c r="Q4985" s="55" t="n">
        <f aca="false">SUM(G4985:J4985)</f>
        <v>0</v>
      </c>
      <c r="R4985" s="55" t="n">
        <f aca="false">SUM(K4985:N4985)</f>
        <v>0</v>
      </c>
      <c r="S4985" s="56" t="n">
        <f aca="false">SUM(P4985:R4985)</f>
        <v>250000</v>
      </c>
    </row>
    <row r="4986" customFormat="false" ht="15" hidden="false" customHeight="false" outlineLevel="0" collapsed="false">
      <c r="A4986" s="4" t="s">
        <v>565</v>
      </c>
      <c r="B4986" s="36" t="s">
        <v>125</v>
      </c>
      <c r="C4986" s="54" t="n">
        <f aca="false">C4974*Assumptions!$E$73/Assumptions!$E$69/4</f>
        <v>0</v>
      </c>
      <c r="D4986" s="54" t="n">
        <f aca="false">D4974*Assumptions!$E$73/Assumptions!$E$69/4</f>
        <v>821.875799367571</v>
      </c>
      <c r="E4986" s="54" t="n">
        <f aca="false">E4974*Assumptions!$E$73/Assumptions!$E$69/4</f>
        <v>2310.47009596658</v>
      </c>
      <c r="F4986" s="54" t="n">
        <f aca="false">F4974*Assumptions!$E$73/Assumptions!$E$69/4</f>
        <v>3977.81152001033</v>
      </c>
      <c r="G4986" s="54" t="n">
        <f aca="false">G4974*Assumptions!$E$73/Assumptions!$E$69/4</f>
        <v>5767.57700799248</v>
      </c>
      <c r="H4986" s="54" t="n">
        <f aca="false">H4974*Assumptions!$E$73/Assumptions!$E$69/4</f>
        <v>7983.88429055979</v>
      </c>
      <c r="I4986" s="54" t="n">
        <f aca="false">I4974*Assumptions!$E$73/Assumptions!$E$69/4</f>
        <v>10605.5645721322</v>
      </c>
      <c r="J4986" s="54" t="n">
        <f aca="false">J4974*Assumptions!$E$73/Assumptions!$E$69/4</f>
        <v>14263.1613581783</v>
      </c>
      <c r="K4986" s="54" t="n">
        <f aca="false">K4974*Assumptions!$E$73/Assumptions!$E$69/4</f>
        <v>18898.1710344765</v>
      </c>
      <c r="L4986" s="54" t="n">
        <f aca="false">L4974*Assumptions!$E$73/Assumptions!$E$69/4</f>
        <v>23530.2304999141</v>
      </c>
      <c r="M4986" s="54" t="n">
        <f aca="false">M4974*Assumptions!$E$73/Assumptions!$E$69/4</f>
        <v>27903.3133463613</v>
      </c>
      <c r="N4986" s="54" t="n">
        <f aca="false">N4974*Assumptions!$E$73/Assumptions!$E$69/4</f>
        <v>32016.7625042681</v>
      </c>
      <c r="P4986" s="55" t="n">
        <f aca="false">SUM(C4986:F4986)</f>
        <v>7110.15741534448</v>
      </c>
      <c r="Q4986" s="55" t="n">
        <f aca="false">SUM(G4986:J4986)</f>
        <v>38620.1872288627</v>
      </c>
      <c r="R4986" s="55" t="n">
        <f aca="false">SUM(K4986:N4986)</f>
        <v>102348.47738502</v>
      </c>
      <c r="S4986" s="56" t="n">
        <f aca="false">SUM(P4986:R4986)</f>
        <v>148078.822029227</v>
      </c>
    </row>
    <row r="4987" customFormat="false" ht="15" hidden="false" customHeight="false" outlineLevel="0" collapsed="false">
      <c r="A4987" s="9" t="s">
        <v>566</v>
      </c>
      <c r="B4987" s="36" t="s">
        <v>125</v>
      </c>
      <c r="C4987" s="55" t="n">
        <f aca="false">C4983+C4984+C4985+C4986</f>
        <v>273265.178571429</v>
      </c>
      <c r="D4987" s="55" t="n">
        <f aca="false">D4983+D4984+D4985+D4986</f>
        <v>243148.481375836</v>
      </c>
      <c r="E4987" s="55" t="n">
        <f aca="false">E4983+E4984+E4985+E4986</f>
        <v>255813.636680834</v>
      </c>
      <c r="F4987" s="55" t="n">
        <f aca="false">F4983+F4984+F4985+F4986</f>
        <v>264419.341085546</v>
      </c>
      <c r="G4987" s="55" t="n">
        <f aca="false">G4983+G4984+G4985+G4986</f>
        <v>253425.554435493</v>
      </c>
      <c r="H4987" s="55" t="n">
        <f aca="false">H4983+H4984+H4985+H4986</f>
        <v>222280.650907914</v>
      </c>
      <c r="I4987" s="55" t="n">
        <f aca="false">I4983+I4984+I4985+I4986</f>
        <v>272227.367381499</v>
      </c>
      <c r="J4987" s="55" t="n">
        <f aca="false">J4983+J4984+J4985+J4986</f>
        <v>247582.470660797</v>
      </c>
      <c r="K4987" s="55" t="n">
        <f aca="false">K4983+K4984+K4985+K4986</f>
        <v>265848.901654329</v>
      </c>
      <c r="L4987" s="55" t="n">
        <f aca="false">L4983+L4984+L4985+L4986</f>
        <v>275263.034026788</v>
      </c>
      <c r="M4987" s="55" t="n">
        <f aca="false">M4983+M4984+M4985+M4986</f>
        <v>278840.43733727</v>
      </c>
      <c r="N4987" s="55" t="n">
        <f aca="false">N4983+N4984+N4985+N4986</f>
        <v>281482.792253472</v>
      </c>
      <c r="P4987" s="55" t="n">
        <f aca="false">SUM(C4987:F4987)</f>
        <v>1036646.63771364</v>
      </c>
      <c r="Q4987" s="55" t="n">
        <f aca="false">SUM(G4987:J4987)</f>
        <v>995516.043385703</v>
      </c>
      <c r="R4987" s="55" t="n">
        <f aca="false">SUM(K4987:N4987)</f>
        <v>1101435.16527186</v>
      </c>
      <c r="S4987" s="56" t="n">
        <f aca="false">SUM(P4987:R4987)</f>
        <v>3133597.84637121</v>
      </c>
    </row>
    <row r="4988" customFormat="false" ht="15" hidden="false" customHeight="false" outlineLevel="0" collapsed="false">
      <c r="A4988" s="35" t="s">
        <v>567</v>
      </c>
      <c r="B4988" s="35" t="s">
        <v>444</v>
      </c>
      <c r="C4988" s="6" t="s">
        <v>354</v>
      </c>
      <c r="D4988" s="6" t="s">
        <v>355</v>
      </c>
      <c r="E4988" s="6" t="s">
        <v>356</v>
      </c>
      <c r="F4988" s="6" t="s">
        <v>357</v>
      </c>
      <c r="G4988" s="6" t="s">
        <v>358</v>
      </c>
      <c r="H4988" s="6" t="s">
        <v>359</v>
      </c>
      <c r="I4988" s="6" t="s">
        <v>360</v>
      </c>
      <c r="J4988" s="6" t="s">
        <v>361</v>
      </c>
      <c r="K4988" s="6" t="s">
        <v>362</v>
      </c>
      <c r="L4988" s="6" t="s">
        <v>363</v>
      </c>
      <c r="M4988" s="6" t="s">
        <v>364</v>
      </c>
      <c r="N4988" s="6" t="s">
        <v>365</v>
      </c>
      <c r="P4988" s="6" t="s">
        <v>445</v>
      </c>
      <c r="Q4988" s="6" t="s">
        <v>446</v>
      </c>
      <c r="R4988" s="6" t="s">
        <v>447</v>
      </c>
      <c r="S4988" s="6" t="s">
        <v>448</v>
      </c>
    </row>
    <row r="4989" customFormat="false" ht="15" hidden="false" customHeight="false" outlineLevel="0" collapsed="false">
      <c r="A4989" s="9" t="s">
        <v>568</v>
      </c>
      <c r="B4989" s="36" t="s">
        <v>125</v>
      </c>
      <c r="C4989" s="55" t="n">
        <f aca="false">C4967-C4987</f>
        <v>-273265.178571429</v>
      </c>
      <c r="D4989" s="55" t="n">
        <f aca="false">D4967-D4987</f>
        <v>-242118.181094809</v>
      </c>
      <c r="E4989" s="55" t="n">
        <f aca="false">E4967-E4987</f>
        <v>-251468.704011962</v>
      </c>
      <c r="F4989" s="55" t="n">
        <f aca="false">F4967-F4987</f>
        <v>-254927.498153185</v>
      </c>
      <c r="G4989" s="55" t="n">
        <f aca="false">G4967-G4987</f>
        <v>-237885.845057094</v>
      </c>
      <c r="H4989" s="55" t="n">
        <f aca="false">H4967-H4987</f>
        <v>-199639.905601515</v>
      </c>
      <c r="I4989" s="55" t="n">
        <f aca="false">I4967-I4987</f>
        <v>-240955.946687909</v>
      </c>
      <c r="J4989" s="55" t="n">
        <f aca="false">J4967-J4987</f>
        <v>-205193.566534834</v>
      </c>
      <c r="K4989" s="55" t="n">
        <f aca="false">K4967-K4987</f>
        <v>-208784.229377897</v>
      </c>
      <c r="L4989" s="55" t="n">
        <f aca="false">L4967-L4987</f>
        <v>-201048.080118791</v>
      </c>
      <c r="M4989" s="55" t="n">
        <f aca="false">M4967-M4987</f>
        <v>-186897.297441812</v>
      </c>
      <c r="N4989" s="55" t="n">
        <f aca="false">N4967-N4987</f>
        <v>-171934.186684473</v>
      </c>
      <c r="P4989" s="55" t="n">
        <f aca="false">SUM(C4989:F4989)</f>
        <v>-1021779.56183138</v>
      </c>
      <c r="Q4989" s="55" t="n">
        <f aca="false">SUM(G4989:J4989)</f>
        <v>-883675.263881351</v>
      </c>
      <c r="R4989" s="55" t="n">
        <f aca="false">SUM(K4989:N4989)</f>
        <v>-768663.793622974</v>
      </c>
      <c r="S4989" s="56" t="n">
        <f aca="false">SUM(P4989:R4989)</f>
        <v>-2674118.61933571</v>
      </c>
    </row>
    <row r="4990" customFormat="false" ht="15" hidden="false" customHeight="false" outlineLevel="0" collapsed="false">
      <c r="A4990" s="9" t="s">
        <v>569</v>
      </c>
      <c r="B4990" s="36" t="s">
        <v>125</v>
      </c>
      <c r="C4990" s="55" t="n">
        <f aca="false">0+C4989</f>
        <v>-273265.178571429</v>
      </c>
      <c r="D4990" s="55" t="n">
        <f aca="false">C4990+D4989</f>
        <v>-515383.359666237</v>
      </c>
      <c r="E4990" s="55" t="n">
        <f aca="false">D4990+E4989</f>
        <v>-766852.063678199</v>
      </c>
      <c r="F4990" s="55" t="n">
        <f aca="false">E4990+F4989</f>
        <v>-1021779.56183138</v>
      </c>
      <c r="G4990" s="55" t="n">
        <f aca="false">F4990+G4989</f>
        <v>-1259665.40688848</v>
      </c>
      <c r="H4990" s="55" t="n">
        <f aca="false">G4990+H4989</f>
        <v>-1459305.31248999</v>
      </c>
      <c r="I4990" s="55" t="n">
        <f aca="false">H4990+I4989</f>
        <v>-1700261.2591779</v>
      </c>
      <c r="J4990" s="55" t="n">
        <f aca="false">I4990+J4989</f>
        <v>-1905454.82571274</v>
      </c>
      <c r="K4990" s="55" t="n">
        <f aca="false">J4990+K4989</f>
        <v>-2114239.05509063</v>
      </c>
      <c r="L4990" s="55" t="n">
        <f aca="false">K4990+L4989</f>
        <v>-2315287.13520942</v>
      </c>
      <c r="M4990" s="55" t="n">
        <f aca="false">L4990+M4989</f>
        <v>-2502184.43265124</v>
      </c>
      <c r="N4990" s="55" t="n">
        <f aca="false">M4990+N4989</f>
        <v>-2674118.61933571</v>
      </c>
      <c r="P4990" s="55" t="n">
        <f aca="false">F4990</f>
        <v>-1021779.56183138</v>
      </c>
      <c r="Q4990" s="55" t="n">
        <f aca="false">J4990</f>
        <v>-1905454.82571274</v>
      </c>
      <c r="R4990" s="55" t="n">
        <f aca="false">N4990</f>
        <v>-2674118.61933571</v>
      </c>
      <c r="S4990" s="56" t="n">
        <f aca="false">R4990</f>
        <v>-2674118.61933571</v>
      </c>
    </row>
    <row r="4991" customFormat="false" ht="15" hidden="false" customHeight="false" outlineLevel="0" collapsed="false">
      <c r="A4991" s="4" t="s">
        <v>570</v>
      </c>
      <c r="B4991" s="36" t="s">
        <v>107</v>
      </c>
      <c r="C4991" s="57" t="n">
        <f aca="false">1/(1+Assumptions!$E$87)^(C4910/4)</f>
        <v>0.972065420906982</v>
      </c>
      <c r="D4991" s="57" t="n">
        <f aca="false">1/(1+Assumptions!$E$87)^(D4910/4)</f>
        <v>0.944911182523068</v>
      </c>
      <c r="E4991" s="57" t="n">
        <f aca="false">1/(1+Assumptions!$E$87)^(E4910/4)</f>
        <v>0.918515486359</v>
      </c>
      <c r="F4991" s="57" t="n">
        <f aca="false">1/(1+Assumptions!$E$87)^(F4910/4)</f>
        <v>0.892857142857143</v>
      </c>
      <c r="G4991" s="57" t="n">
        <f aca="false">1/(1+Assumptions!$E$87)^(G4910/4)</f>
        <v>0.867915554381234</v>
      </c>
      <c r="H4991" s="57" t="n">
        <f aca="false">1/(1+Assumptions!$E$87)^(H4910/4)</f>
        <v>0.843670698681311</v>
      </c>
      <c r="I4991" s="57" t="n">
        <f aca="false">1/(1+Assumptions!$E$87)^(I4910/4)</f>
        <v>0.820103112820536</v>
      </c>
      <c r="J4991" s="57" t="n">
        <f aca="false">1/(1+Assumptions!$E$87)^(J4910/4)</f>
        <v>0.79719387755102</v>
      </c>
      <c r="K4991" s="57" t="n">
        <f aca="false">1/(1+Assumptions!$E$87)^(K4910/4)</f>
        <v>0.774924602126102</v>
      </c>
      <c r="L4991" s="57" t="n">
        <f aca="false">1/(1+Assumptions!$E$87)^(L4910/4)</f>
        <v>0.753277409536885</v>
      </c>
      <c r="M4991" s="57" t="n">
        <f aca="false">1/(1+Assumptions!$E$87)^(M4910/4)</f>
        <v>0.732234922161193</v>
      </c>
      <c r="N4991" s="57" t="n">
        <f aca="false">1/(1+Assumptions!$E$87)^(N4910/4)</f>
        <v>0.711780247813411</v>
      </c>
      <c r="P4991" s="58"/>
      <c r="Q4991" s="58"/>
      <c r="R4991" s="58"/>
      <c r="S4991" s="59"/>
    </row>
    <row r="4992" customFormat="false" ht="15" hidden="false" customHeight="false" outlineLevel="0" collapsed="false">
      <c r="A4992" s="4" t="s">
        <v>571</v>
      </c>
      <c r="B4992" s="36" t="s">
        <v>125</v>
      </c>
      <c r="C4992" s="54" t="n">
        <f aca="false">(C4967*(1-Assumptions!$E$88)-C4987)*C4991</f>
        <v>-265631.630827257</v>
      </c>
      <c r="D4992" s="54" t="n">
        <f aca="false">(D4967*(1-Assumptions!$E$88)-D4987)*D4991</f>
        <v>-228974.88526001</v>
      </c>
      <c r="E4992" s="54" t="n">
        <f aca="false">(E4967*(1-Assumptions!$E$88)-E4987)*E4991</f>
        <v>-231776.076558324</v>
      </c>
      <c r="F4992" s="54" t="n">
        <f aca="false">(F4967*(1-Assumptions!$E$88)-F4987)*F4991</f>
        <v>-229308.80958898</v>
      </c>
      <c r="G4992" s="54" t="n">
        <f aca="false">(G4967*(1-Assumptions!$E$88)-G4987)*G4991</f>
        <v>-209162.256188191</v>
      </c>
      <c r="H4992" s="54" t="n">
        <f aca="false">(H4967*(1-Assumptions!$E$88)-H4987)*H4991</f>
        <v>-172250.605325764</v>
      </c>
      <c r="I4992" s="54" t="n">
        <f aca="false">(I4967*(1-Assumptions!$E$88)-I4987)*I4991</f>
        <v>-202737.879822</v>
      </c>
      <c r="J4992" s="54" t="n">
        <f aca="false">(J4967*(1-Assumptions!$E$88)-J4987)*J4991</f>
        <v>-170337.48992349</v>
      </c>
      <c r="K4992" s="54" t="n">
        <f aca="false">(K4967*(1-Assumptions!$E$88)-K4987)*K4991</f>
        <v>-170636.199572726</v>
      </c>
      <c r="L4992" s="54" t="n">
        <f aca="false">(L4967*(1-Assumptions!$E$88)-L4987)*L4991</f>
        <v>-162625.86662999</v>
      </c>
      <c r="M4992" s="54" t="n">
        <f aca="false">(M4967*(1-Assumptions!$E$88)-M4987)*M4991</f>
        <v>-150317.523621364</v>
      </c>
      <c r="N4992" s="54" t="n">
        <f aca="false">(N4967*(1-Assumptions!$E$88)-N4987)*N4991</f>
        <v>-137974.264729774</v>
      </c>
      <c r="P4992" s="55" t="n">
        <f aca="false">SUM(C4992:F4992)</f>
        <v>-955691.402234571</v>
      </c>
      <c r="Q4992" s="55" t="n">
        <f aca="false">SUM(G4992:J4992)</f>
        <v>-754488.231259446</v>
      </c>
      <c r="R4992" s="55" t="n">
        <f aca="false">SUM(K4992:N4992)</f>
        <v>-621553.854553854</v>
      </c>
      <c r="S4992" s="56" t="n">
        <f aca="false">SUM(P4992:R4992)</f>
        <v>-2331733.48804787</v>
      </c>
    </row>
    <row r="4993" customFormat="false" ht="15" hidden="false" customHeight="false" outlineLevel="0" collapsed="false">
      <c r="A4993" s="4" t="s">
        <v>572</v>
      </c>
      <c r="B4993" s="36" t="s">
        <v>125</v>
      </c>
      <c r="C4993" s="54" t="n">
        <f aca="false">(C4987-C4986)*12/(Assumptions!$E$89*Assumptions!$E$76)*Assumptions!$E$90</f>
        <v>189183.585164835</v>
      </c>
      <c r="D4993" s="54" t="n">
        <f aca="false">(D4987-D4986)*12/(Assumptions!$E$89*Assumptions!$E$76)*Assumptions!$E$90</f>
        <v>167764.573091401</v>
      </c>
      <c r="E4993" s="54" t="n">
        <f aca="false">(E4987-E4986)*12/(Assumptions!$E$89*Assumptions!$E$76)*Assumptions!$E$90</f>
        <v>175502.192251062</v>
      </c>
      <c r="F4993" s="54" t="n">
        <f aca="false">(F4987-F4986)*12/(Assumptions!$E$89*Assumptions!$E$76)*Assumptions!$E$90</f>
        <v>180305.674314601</v>
      </c>
      <c r="G4993" s="54" t="n">
        <f aca="false">(G4987-G4986)*12/(Assumptions!$E$89*Assumptions!$E$76)*Assumptions!$E$90</f>
        <v>171455.522834423</v>
      </c>
      <c r="H4993" s="54" t="n">
        <f aca="false">(H4987-H4986)*12/(Assumptions!$E$89*Assumptions!$E$76)*Assumptions!$E$90</f>
        <v>148359.299965861</v>
      </c>
      <c r="I4993" s="54" t="n">
        <f aca="false">(I4987-I4986)*12/(Assumptions!$E$89*Assumptions!$E$76)*Assumptions!$E$90</f>
        <v>181122.786560331</v>
      </c>
      <c r="J4993" s="54" t="n">
        <f aca="false">(J4987-J4986)*12/(Assumptions!$E$89*Assumptions!$E$76)*Assumptions!$E$90</f>
        <v>161528.75259412</v>
      </c>
      <c r="K4993" s="54" t="n">
        <f aca="false">(K4987-K4986)*12/(Assumptions!$E$89*Assumptions!$E$76)*Assumptions!$E$90</f>
        <v>170965.890429129</v>
      </c>
      <c r="L4993" s="54" t="n">
        <f aca="false">(L4987-L4986)*12/(Assumptions!$E$89*Assumptions!$E$76)*Assumptions!$E$90</f>
        <v>174276.556287836</v>
      </c>
      <c r="M4993" s="54" t="n">
        <f aca="false">(M4987-M4986)*12/(Assumptions!$E$89*Assumptions!$E$76)*Assumptions!$E$90</f>
        <v>173725.701224475</v>
      </c>
      <c r="N4993" s="54" t="n">
        <f aca="false">(N4987-N4986)*12/(Assumptions!$E$89*Assumptions!$E$76)*Assumptions!$E$90</f>
        <v>172707.251364833</v>
      </c>
      <c r="P4993" s="55" t="n">
        <f aca="false">SUM(C4993:F4993)</f>
        <v>712756.0248219</v>
      </c>
      <c r="Q4993" s="55" t="n">
        <f aca="false">SUM(G4993:J4993)</f>
        <v>662466.361954735</v>
      </c>
      <c r="R4993" s="55" t="n">
        <f aca="false">SUM(K4993:N4993)</f>
        <v>691675.399306273</v>
      </c>
      <c r="S4993" s="56" t="n">
        <f aca="false">SUM(P4993:R4993)</f>
        <v>2066897.78608291</v>
      </c>
    </row>
    <row r="4994" customFormat="false" ht="15" hidden="false" customHeight="false" outlineLevel="0" collapsed="false">
      <c r="A4994" s="4" t="s">
        <v>573</v>
      </c>
      <c r="B4994" s="36" t="s">
        <v>125</v>
      </c>
      <c r="C4994" s="54" t="n">
        <f aca="false">0*Assumptions!$E$92^(1/4)+C4993</f>
        <v>189183.585164835</v>
      </c>
      <c r="D4994" s="54" t="n">
        <f aca="false">C4994*Assumptions!$E$92^(1/4)+D4993</f>
        <v>357419.353898415</v>
      </c>
      <c r="E4994" s="54" t="n">
        <f aca="false">D4994*Assumptions!$E$92^(1/4)+E4993</f>
        <v>533811.76314077</v>
      </c>
      <c r="F4994" s="54" t="n">
        <f aca="false">E4994*Assumptions!$E$92^(1/4)+F4993</f>
        <v>715446.991371568</v>
      </c>
      <c r="G4994" s="54" t="n">
        <f aca="false">F4994*Assumptions!$E$92^(1/4)+G4993</f>
        <v>888684.463227894</v>
      </c>
      <c r="H4994" s="54" t="n">
        <f aca="false">G4994*Assumptions!$E$92^(1/4)+H4993</f>
        <v>1039257.19120327</v>
      </c>
      <c r="I4994" s="54" t="n">
        <f aca="false">H4994*Assumptions!$E$92^(1/4)+I4993</f>
        <v>1222968.43415199</v>
      </c>
      <c r="J4994" s="54" t="n">
        <f aca="false">I4994*Assumptions!$E$92^(1/4)+J4993</f>
        <v>1387543.20892713</v>
      </c>
      <c r="K4994" s="54" t="n">
        <f aca="false">J4994*Assumptions!$E$92^(1/4)+K4993</f>
        <v>1561965.02452446</v>
      </c>
      <c r="L4994" s="54" t="n">
        <f aca="false">K4994*Assumptions!$E$92^(1/4)+L4993</f>
        <v>1740131.93478857</v>
      </c>
      <c r="M4994" s="54" t="n">
        <f aca="false">L4994*Assumptions!$E$92^(1/4)+M4993</f>
        <v>1918191.74662721</v>
      </c>
      <c r="N4994" s="54" t="n">
        <f aca="false">M4994*Assumptions!$E$92^(1/4)+N4993</f>
        <v>2095676.59849627</v>
      </c>
      <c r="P4994" s="55" t="n">
        <f aca="false">F4994</f>
        <v>715446.991371568</v>
      </c>
      <c r="Q4994" s="55" t="n">
        <f aca="false">J4994</f>
        <v>1387543.20892713</v>
      </c>
      <c r="R4994" s="55" t="n">
        <f aca="false">N4994</f>
        <v>2095676.59849627</v>
      </c>
      <c r="S4994" s="56" t="n">
        <f aca="false">R4994</f>
        <v>2095676.59849627</v>
      </c>
    </row>
    <row r="4995" customFormat="false" ht="15" hidden="false" customHeight="false" outlineLevel="0" collapsed="false">
      <c r="A4995" s="4" t="s">
        <v>574</v>
      </c>
      <c r="B4995" s="36" t="s">
        <v>125</v>
      </c>
      <c r="C4995" s="54" t="n">
        <f aca="false">(0+C4994)/8*Assumptions!$E$76-(C4987-C4986)-C4994*Assumptions!$E$93/4</f>
        <v>-260258.807091346</v>
      </c>
      <c r="D4995" s="54" t="n">
        <f aca="false">(C4994+D4994)/8*Assumptions!$E$76-(D4987-D4986)-D4994*Assumptions!$E$93/4</f>
        <v>-202382.858701309</v>
      </c>
      <c r="E4995" s="54" t="n">
        <f aca="false">(D4994+E4994)/8*Assumptions!$E$76-(E4987-E4986)-E4994*Assumptions!$E$93/4</f>
        <v>-187763.285364693</v>
      </c>
      <c r="F4995" s="54" t="n">
        <f aca="false">(E4994+F4994)/8*Assumptions!$E$76-(F4987-F4986)-F4994*Assumptions!$E$93/4</f>
        <v>-167882.343153553</v>
      </c>
      <c r="G4995" s="54" t="n">
        <f aca="false">(F4994+G4994)/8*Assumptions!$E$76-(G4987-G4986)-G4994*Assumptions!$E$93/4</f>
        <v>-128430.852531643</v>
      </c>
      <c r="H4995" s="54" t="n">
        <f aca="false">(G4994+H4994)/8*Assumptions!$E$76-(H4987-H4986)-H4994*Assumptions!$E$93/4</f>
        <v>-70642.2220848631</v>
      </c>
      <c r="I4995" s="54" t="n">
        <f aca="false">(H4994+I4994)/8*Assumptions!$E$76-(I4987-I4986)-I4994*Assumptions!$E$93/4</f>
        <v>-93103.0761761511</v>
      </c>
      <c r="J4995" s="54" t="n">
        <f aca="false">(I4994+J4994)/8*Assumptions!$E$76-(J4987-J4986)-J4994*Assumptions!$E$93/4</f>
        <v>-38559.5284140288</v>
      </c>
      <c r="K4995" s="54" t="n">
        <f aca="false">(J4994+K4994)/8*Assumptions!$E$76-(K4987-K4986)-K4994*Assumptions!$E$93/4</f>
        <v>-26827.7494584675</v>
      </c>
      <c r="L4995" s="54" t="n">
        <f aca="false">(K4994+L4994)/8*Assumptions!$E$76-(L4987-L4986)-L4994*Assumptions!$E$93/4</f>
        <v>-5189.07476754758</v>
      </c>
      <c r="M4995" s="54" t="n">
        <f aca="false">(L4994+M4994)/8*Assumptions!$E$76-(M4987-M4986)-M4994*Assumptions!$E$93/4</f>
        <v>22324.2782912833</v>
      </c>
      <c r="N4995" s="54" t="n">
        <f aca="false">(M4994+N4994)/8*Assumptions!$E$76-(N4987-N4986)-N4994*Assumptions!$E$93/4</f>
        <v>50464.8158108759</v>
      </c>
      <c r="P4995" s="55" t="n">
        <f aca="false">SUM(C4995:F4995)</f>
        <v>-818287.294310901</v>
      </c>
      <c r="Q4995" s="55" t="n">
        <f aca="false">SUM(G4995:J4995)</f>
        <v>-330735.679206686</v>
      </c>
      <c r="R4995" s="55" t="n">
        <f aca="false">SUM(K4995:N4995)</f>
        <v>40772.2698761441</v>
      </c>
      <c r="S4995" s="56" t="n">
        <f aca="false">SUM(P4995:R4995)</f>
        <v>-1108250.70364144</v>
      </c>
    </row>
    <row r="4996" customFormat="false" ht="15" hidden="false" customHeight="false" outlineLevel="0" collapsed="false">
      <c r="A4996" s="4" t="s">
        <v>575</v>
      </c>
      <c r="B4996" s="36" t="s">
        <v>125</v>
      </c>
      <c r="C4996" s="54" t="n">
        <f aca="false">C4995*C4991</f>
        <v>-252988.586859998</v>
      </c>
      <c r="D4996" s="54" t="n">
        <f aca="false">D4995*D4991</f>
        <v>-191233.826337853</v>
      </c>
      <c r="E4996" s="54" t="n">
        <f aca="false">E4995*E4991</f>
        <v>-172463.485377115</v>
      </c>
      <c r="F4996" s="54" t="n">
        <f aca="false">F4995*F4991</f>
        <v>-149894.949244243</v>
      </c>
      <c r="G4996" s="54" t="n">
        <f aca="false">G4995*G4991</f>
        <v>-111467.134574655</v>
      </c>
      <c r="H4996" s="54" t="n">
        <f aca="false">H4995*H4991</f>
        <v>-59598.7728627368</v>
      </c>
      <c r="I4996" s="54" t="n">
        <f aca="false">I4995*I4991</f>
        <v>-76354.122585229</v>
      </c>
      <c r="J4996" s="54" t="n">
        <f aca="false">J4995*J4991</f>
        <v>-30739.4199729184</v>
      </c>
      <c r="K4996" s="54" t="n">
        <f aca="false">K4995*K4991</f>
        <v>-20789.4830750417</v>
      </c>
      <c r="L4996" s="54" t="n">
        <f aca="false">L4995*L4991</f>
        <v>-3908.81279879145</v>
      </c>
      <c r="M4996" s="54" t="n">
        <f aca="false">M4995*M4991</f>
        <v>16346.6161769226</v>
      </c>
      <c r="N4996" s="54" t="n">
        <f aca="false">N4995*N4991</f>
        <v>35919.8591037234</v>
      </c>
      <c r="P4996" s="55" t="n">
        <f aca="false">SUM(C4996:F4996)</f>
        <v>-766580.84781921</v>
      </c>
      <c r="Q4996" s="55" t="n">
        <f aca="false">SUM(G4996:J4996)</f>
        <v>-278159.449995539</v>
      </c>
      <c r="R4996" s="55" t="n">
        <f aca="false">SUM(K4996:N4996)</f>
        <v>27568.1794068129</v>
      </c>
      <c r="S4996" s="56" t="n">
        <f aca="false">SUM(P4996:R4996)</f>
        <v>-1017172.11840794</v>
      </c>
    </row>
    <row r="4997" customFormat="false" ht="15" hidden="false" customHeight="false" outlineLevel="0" collapsed="false">
      <c r="A4997" s="4" t="s">
        <v>576</v>
      </c>
      <c r="B4997" s="36"/>
      <c r="C4997" s="37" t="n">
        <f aca="false">IFERROR((S4952*$C$4901*Assumptions!$E$59+S4953*$C$4902*Assumptions!$E$60+S4954*$C$4903*Assumptions!$E$61)/(S4952*$C$4901+S4953*$C$4902+S4954*$C$4903),0.9)</f>
        <v>0.897372181179546</v>
      </c>
    </row>
    <row r="4998" customFormat="false" ht="15" hidden="false" customHeight="false" outlineLevel="0" collapsed="false">
      <c r="A4998" s="4" t="s">
        <v>577</v>
      </c>
      <c r="B4998" s="36"/>
      <c r="C4998" s="37" t="n">
        <f aca="false">IFERROR(N4986*4/N4964,0)</f>
        <v>0.175911884278844</v>
      </c>
    </row>
    <row r="4999" customFormat="false" ht="15" hidden="false" customHeight="false" outlineLevel="0" collapsed="false">
      <c r="A4999" s="4" t="s">
        <v>578</v>
      </c>
      <c r="B4999" s="36"/>
      <c r="C4999" s="60" t="n">
        <f aca="false">$C$4997/(1+Assumptions!$E$87)</f>
        <v>0.801225161767451</v>
      </c>
    </row>
    <row r="5000" customFormat="false" ht="15" hidden="false" customHeight="false" outlineLevel="0" collapsed="false">
      <c r="A5000" s="4" t="s">
        <v>579</v>
      </c>
      <c r="B5000" s="36"/>
      <c r="C5000" s="60" t="n">
        <f aca="false">Assumptions!$E$91/(1+Assumptions!$E$87)</f>
        <v>0.803571428571429</v>
      </c>
    </row>
    <row r="5001" customFormat="false" ht="15" hidden="false" customHeight="false" outlineLevel="0" collapsed="false">
      <c r="A5001" s="35" t="s">
        <v>580</v>
      </c>
      <c r="B5001" s="35" t="s">
        <v>444</v>
      </c>
      <c r="C5001" s="6" t="s">
        <v>354</v>
      </c>
      <c r="D5001" s="6" t="s">
        <v>355</v>
      </c>
      <c r="E5001" s="6" t="s">
        <v>356</v>
      </c>
      <c r="F5001" s="6" t="s">
        <v>357</v>
      </c>
      <c r="G5001" s="6" t="s">
        <v>358</v>
      </c>
      <c r="H5001" s="6" t="s">
        <v>359</v>
      </c>
      <c r="I5001" s="6" t="s">
        <v>360</v>
      </c>
      <c r="J5001" s="6" t="s">
        <v>361</v>
      </c>
      <c r="K5001" s="6" t="s">
        <v>362</v>
      </c>
      <c r="L5001" s="6" t="s">
        <v>363</v>
      </c>
      <c r="M5001" s="6" t="s">
        <v>364</v>
      </c>
      <c r="N5001" s="6" t="s">
        <v>365</v>
      </c>
      <c r="P5001" s="6" t="s">
        <v>445</v>
      </c>
      <c r="Q5001" s="6" t="s">
        <v>446</v>
      </c>
      <c r="R5001" s="6" t="s">
        <v>447</v>
      </c>
      <c r="S5001" s="6" t="s">
        <v>448</v>
      </c>
    </row>
    <row r="5002" customFormat="false" ht="15" hidden="false" customHeight="false" outlineLevel="0" collapsed="false">
      <c r="A5002" s="9" t="s">
        <v>581</v>
      </c>
      <c r="C5002" s="61" t="n">
        <f aca="false">N4964</f>
        <v>728018.181046078</v>
      </c>
      <c r="D5002" s="61"/>
    </row>
    <row r="5003" customFormat="false" ht="15" hidden="false" customHeight="false" outlineLevel="0" collapsed="false">
      <c r="A5003" s="9" t="s">
        <v>582</v>
      </c>
      <c r="C5003" s="62" t="n">
        <f aca="false">N4960</f>
        <v>70.7544272202844</v>
      </c>
      <c r="D5003" s="62"/>
    </row>
    <row r="5004" customFormat="false" ht="15" hidden="false" customHeight="false" outlineLevel="0" collapsed="false">
      <c r="A5004" s="9" t="s">
        <v>583</v>
      </c>
      <c r="C5004" s="63" t="n">
        <f aca="false">S4955</f>
        <v>78.2130278037053</v>
      </c>
      <c r="D5004" s="63"/>
    </row>
    <row r="5005" customFormat="false" ht="15" hidden="false" customHeight="false" outlineLevel="0" collapsed="false">
      <c r="A5005" s="9" t="s">
        <v>584</v>
      </c>
      <c r="C5005" s="61" t="n">
        <f aca="false">S4966</f>
        <v>706891.118516148</v>
      </c>
      <c r="D5005" s="61"/>
    </row>
    <row r="5006" customFormat="false" ht="15" hidden="false" customHeight="false" outlineLevel="0" collapsed="false">
      <c r="A5006" s="9" t="s">
        <v>22</v>
      </c>
      <c r="C5006" s="61" t="n">
        <f aca="false">IFERROR(S4965/S4955,0)</f>
        <v>8847.97350983958</v>
      </c>
      <c r="D5006" s="61"/>
    </row>
    <row r="5007" customFormat="false" ht="15" hidden="false" customHeight="false" outlineLevel="0" collapsed="false">
      <c r="A5007" s="9" t="s">
        <v>585</v>
      </c>
      <c r="C5007" s="61" t="n">
        <f aca="false">IFERROR(S4983/S4955,0)</f>
        <v>29192.4935547387</v>
      </c>
      <c r="D5007" s="61"/>
    </row>
    <row r="5008" customFormat="false" ht="23.85" hidden="false" customHeight="false" outlineLevel="0" collapsed="false">
      <c r="A5008" s="9" t="s">
        <v>586</v>
      </c>
      <c r="C5008" s="61" t="n">
        <f aca="false">IFERROR((S4977+S4979+S4980+S4981+S4982)/S4955,0)</f>
        <v>12702.0456925252</v>
      </c>
      <c r="D5008" s="61"/>
    </row>
    <row r="5009" customFormat="false" ht="15" hidden="false" customHeight="false" outlineLevel="0" collapsed="false">
      <c r="A5009" s="9" t="s">
        <v>587</v>
      </c>
      <c r="C5009" s="64" t="n">
        <f aca="false">IFERROR('Engine Runs'!$C$5007/('Engine Runs'!$C$5006*Assumptions!$E$76/12),0)</f>
        <v>60.910935362734</v>
      </c>
      <c r="D5009" s="64"/>
    </row>
    <row r="5010" customFormat="false" ht="15" hidden="false" customHeight="false" outlineLevel="0" collapsed="false">
      <c r="A5010" s="9" t="s">
        <v>588</v>
      </c>
      <c r="C5010" s="64" t="n">
        <f aca="false">IFERROR((R4983/R4955)/((R4965/R4955)*Assumptions!$E$76/12),0)</f>
        <v>40.8189434573813</v>
      </c>
      <c r="D5010" s="64"/>
    </row>
    <row r="5011" customFormat="false" ht="15" hidden="false" customHeight="false" outlineLevel="0" collapsed="false">
      <c r="A5011" s="9" t="s">
        <v>589</v>
      </c>
      <c r="C5011" s="61" t="n">
        <f aca="false">S4987</f>
        <v>3133597.84637121</v>
      </c>
      <c r="D5011" s="61"/>
    </row>
    <row r="5012" customFormat="false" ht="15" hidden="false" customHeight="false" outlineLevel="0" collapsed="false">
      <c r="A5012" s="9" t="s">
        <v>590</v>
      </c>
      <c r="C5012" s="61" t="n">
        <f aca="false">N4990</f>
        <v>-2674118.61933571</v>
      </c>
      <c r="D5012" s="61"/>
    </row>
    <row r="5013" customFormat="false" ht="15" hidden="false" customHeight="false" outlineLevel="0" collapsed="false">
      <c r="A5013" s="9" t="s">
        <v>591</v>
      </c>
      <c r="C5013" s="61" t="n">
        <f aca="false">MIN($C$4990:$N$4990)</f>
        <v>-2674118.61933571</v>
      </c>
      <c r="D5013" s="61"/>
    </row>
    <row r="5014" customFormat="false" ht="15" hidden="false" customHeight="false" outlineLevel="0" collapsed="false">
      <c r="A5014" s="9" t="s">
        <v>592</v>
      </c>
      <c r="C5014" s="61" t="n">
        <f aca="false">N4964*(Assumptions!$E$76-$C$4998)*$C$4997*(1-$C$4997^Assumptions!$E$85)/(1-$C$4997)</f>
        <v>1261736.21811224</v>
      </c>
      <c r="D5014" s="61"/>
    </row>
    <row r="5015" customFormat="false" ht="15" hidden="false" customHeight="false" outlineLevel="0" collapsed="false">
      <c r="A5015" s="9" t="s">
        <v>593</v>
      </c>
      <c r="C5015" s="61" t="n">
        <f aca="false">N4964*(Assumptions!$E$76-$C$4998)*(1-Assumptions!$E$88)/(1+Assumptions!$E$87)^2.5*$C$4999*(1-$C$4999^Assumptions!$E$85)/(1-$C$4999)</f>
        <v>561547.624943179</v>
      </c>
      <c r="D5015" s="61"/>
    </row>
    <row r="5016" customFormat="false" ht="15" hidden="false" customHeight="false" outlineLevel="0" collapsed="false">
      <c r="A5016" s="9" t="s">
        <v>594</v>
      </c>
      <c r="C5016" s="61" t="n">
        <f aca="false">SUM($C$4992:$N$4992)+'Engine Runs'!$C$5015</f>
        <v>-1770185.86310469</v>
      </c>
      <c r="D5016" s="61"/>
    </row>
    <row r="5017" customFormat="false" ht="15" hidden="false" customHeight="false" outlineLevel="0" collapsed="false">
      <c r="A5017" s="9" t="s">
        <v>595</v>
      </c>
      <c r="C5017" s="61" t="n">
        <f aca="false">SUM($C$4996:$N$4996)+N4994*(Assumptions!$E$76-Assumptions!$E$93)/(1+Assumptions!$E$87)^2.5*$C$5000*(1-$C$5000^Assumptions!$E$85)/(1-$C$5000)</f>
        <v>1559343.74653477</v>
      </c>
      <c r="D5017" s="61"/>
    </row>
    <row r="5018" customFormat="false" ht="15" hidden="false" customHeight="false" outlineLevel="0" collapsed="false">
      <c r="A5018" s="9" t="s">
        <v>596</v>
      </c>
      <c r="C5018" s="61" t="n">
        <f aca="false">'Engine Runs'!$C$5016-'Engine Runs'!$C$5017</f>
        <v>-3329529.60963946</v>
      </c>
      <c r="D5018" s="61"/>
    </row>
    <row r="5019" customFormat="false" ht="15" hidden="false" customHeight="false" outlineLevel="0" collapsed="false">
      <c r="A5019" s="9" t="s">
        <v>597</v>
      </c>
      <c r="C5019" s="61" t="n">
        <f aca="false">S4951</f>
        <v>0</v>
      </c>
      <c r="D5019" s="61"/>
    </row>
    <row r="5020" customFormat="false" ht="15" hidden="false" customHeight="false" outlineLevel="0" collapsed="false">
      <c r="A5020" s="9" t="s">
        <v>598</v>
      </c>
      <c r="C5020" s="63" t="n">
        <f aca="false">P4935</f>
        <v>43.6188722246667</v>
      </c>
      <c r="D5020" s="63"/>
    </row>
    <row r="5021" customFormat="false" ht="15" hidden="false" customHeight="false" outlineLevel="0" collapsed="false">
      <c r="A5021" s="9" t="s">
        <v>599</v>
      </c>
      <c r="C5021" s="63" t="n">
        <f aca="false">P4955</f>
        <v>8.83229864212342</v>
      </c>
      <c r="D5021" s="63"/>
    </row>
    <row r="5022" customFormat="false" ht="15" hidden="false" customHeight="false" outlineLevel="0" collapsed="false">
      <c r="A5022" s="9" t="s">
        <v>600</v>
      </c>
      <c r="C5022" s="63" t="n">
        <f aca="false">P4931</f>
        <v>42</v>
      </c>
      <c r="D5022" s="63"/>
    </row>
    <row r="5023" customFormat="false" ht="15" hidden="false" customHeight="false" outlineLevel="0" collapsed="false">
      <c r="A5023" s="9" t="s">
        <v>601</v>
      </c>
      <c r="C5023" s="61" t="n">
        <f aca="false">IFERROR(P4965/P4955,0)</f>
        <v>8545.01753177967</v>
      </c>
      <c r="D5023" s="61"/>
    </row>
    <row r="5026" customFormat="false" ht="15" hidden="false" customHeight="true" outlineLevel="0" collapsed="false">
      <c r="A5026" s="78" t="s">
        <v>849</v>
      </c>
      <c r="B5026" s="78"/>
      <c r="C5026" s="78"/>
      <c r="D5026" s="78"/>
      <c r="E5026" s="78"/>
      <c r="F5026" s="78"/>
      <c r="G5026" s="78"/>
      <c r="H5026" s="78"/>
      <c r="I5026" s="78"/>
      <c r="J5026" s="78"/>
      <c r="K5026" s="78"/>
      <c r="L5026" s="78"/>
      <c r="M5026" s="78"/>
      <c r="N5026" s="78"/>
    </row>
    <row r="5027" customFormat="false" ht="15" hidden="false" customHeight="true" outlineLevel="0" collapsed="false">
      <c r="A5027" s="79" t="s">
        <v>850</v>
      </c>
      <c r="B5027" s="79"/>
      <c r="C5027" s="79"/>
      <c r="D5027" s="79"/>
      <c r="E5027" s="79"/>
      <c r="F5027" s="79"/>
      <c r="G5027" s="79"/>
      <c r="H5027" s="79"/>
      <c r="I5027" s="79"/>
      <c r="J5027" s="79"/>
      <c r="K5027" s="79"/>
      <c r="L5027" s="79"/>
      <c r="M5027" s="79"/>
      <c r="N5027" s="79"/>
    </row>
    <row r="5028" customFormat="false" ht="23.85" hidden="false" customHeight="false" outlineLevel="0" collapsed="false">
      <c r="A5028" s="35" t="s">
        <v>851</v>
      </c>
      <c r="B5028" s="35" t="s">
        <v>444</v>
      </c>
      <c r="C5028" s="6" t="s">
        <v>354</v>
      </c>
      <c r="D5028" s="6" t="s">
        <v>355</v>
      </c>
      <c r="E5028" s="6" t="s">
        <v>356</v>
      </c>
      <c r="F5028" s="6" t="s">
        <v>357</v>
      </c>
      <c r="G5028" s="6" t="s">
        <v>358</v>
      </c>
      <c r="H5028" s="6" t="s">
        <v>359</v>
      </c>
      <c r="I5028" s="6" t="s">
        <v>360</v>
      </c>
      <c r="J5028" s="6" t="s">
        <v>361</v>
      </c>
      <c r="K5028" s="6" t="s">
        <v>362</v>
      </c>
      <c r="L5028" s="6" t="s">
        <v>363</v>
      </c>
      <c r="M5028" s="6" t="s">
        <v>364</v>
      </c>
      <c r="N5028" s="6" t="s">
        <v>365</v>
      </c>
      <c r="P5028" s="6" t="s">
        <v>445</v>
      </c>
      <c r="Q5028" s="6" t="s">
        <v>446</v>
      </c>
      <c r="R5028" s="6" t="s">
        <v>447</v>
      </c>
      <c r="S5028" s="6" t="s">
        <v>448</v>
      </c>
    </row>
    <row r="5029" customFormat="false" ht="15" hidden="false" customHeight="false" outlineLevel="0" collapsed="false">
      <c r="A5029" s="4" t="s">
        <v>449</v>
      </c>
      <c r="B5029" s="36" t="s">
        <v>450</v>
      </c>
      <c r="C5029" s="34" t="n">
        <f aca="false">'Market Sizing'!$C$17*Assumptions!$E$10*Assumptions!$E$11*(1-Assumptions!$E$12)</f>
        <v>843.03944704</v>
      </c>
    </row>
    <row r="5030" customFormat="false" ht="15" hidden="false" customHeight="false" outlineLevel="0" collapsed="false">
      <c r="A5030" s="4" t="s">
        <v>451</v>
      </c>
      <c r="B5030" s="36" t="s">
        <v>450</v>
      </c>
      <c r="C5030" s="34" t="n">
        <f aca="false">'Market Sizing'!$D$17*Assumptions!$E$10*Assumptions!$E$11*(1-Assumptions!$E$12)</f>
        <v>211.19616</v>
      </c>
    </row>
    <row r="5031" customFormat="false" ht="15" hidden="false" customHeight="false" outlineLevel="0" collapsed="false">
      <c r="A5031" s="4" t="s">
        <v>452</v>
      </c>
      <c r="B5031" s="36" t="s">
        <v>450</v>
      </c>
      <c r="C5031" s="34" t="n">
        <f aca="false">'Market Sizing'!$E$17*Assumptions!$E$10*Assumptions!$E$11*(1-Assumptions!$E$12)</f>
        <v>49.53984</v>
      </c>
    </row>
    <row r="5032" customFormat="false" ht="15" hidden="false" customHeight="false" outlineLevel="0" collapsed="false">
      <c r="A5032" s="4" t="s">
        <v>453</v>
      </c>
      <c r="B5032" s="36"/>
      <c r="C5032" s="34" t="n">
        <f aca="false">$C$5029+$C$5030+$C$5031</f>
        <v>1103.77544704</v>
      </c>
    </row>
    <row r="5033" customFormat="false" ht="15" hidden="false" customHeight="false" outlineLevel="0" collapsed="false">
      <c r="A5033" s="4" t="s">
        <v>454</v>
      </c>
      <c r="B5033" s="36" t="s">
        <v>450</v>
      </c>
      <c r="C5033" s="34" t="n">
        <f aca="false">'Market Sizing'!$C$18*Assumptions!$E$10*Assumptions!$E$11*(1-Assumptions!$E$12)</f>
        <v>612.57706944</v>
      </c>
    </row>
    <row r="5034" customFormat="false" ht="15" hidden="false" customHeight="false" outlineLevel="0" collapsed="false">
      <c r="A5034" s="4" t="s">
        <v>455</v>
      </c>
      <c r="B5034" s="36" t="s">
        <v>450</v>
      </c>
      <c r="C5034" s="34" t="n">
        <f aca="false">'Market Sizing'!$D$18*Assumptions!$E$10*Assumptions!$E$11*(1-Assumptions!$E$12)</f>
        <v>142.10112</v>
      </c>
    </row>
    <row r="5035" customFormat="false" ht="15" hidden="false" customHeight="false" outlineLevel="0" collapsed="false">
      <c r="A5035" s="4" t="s">
        <v>456</v>
      </c>
      <c r="B5035" s="36" t="s">
        <v>450</v>
      </c>
      <c r="C5035" s="34" t="n">
        <f aca="false">'Market Sizing'!$E$18*Assumptions!$E$10*Assumptions!$E$11*(1-Assumptions!$E$12)</f>
        <v>24.76992</v>
      </c>
    </row>
    <row r="5036" customFormat="false" ht="15" hidden="false" customHeight="false" outlineLevel="0" collapsed="false">
      <c r="A5036" s="4" t="s">
        <v>457</v>
      </c>
      <c r="B5036" s="36"/>
      <c r="C5036" s="34" t="n">
        <f aca="false">$C$5033+$C$5034+$C$5035</f>
        <v>779.44810944</v>
      </c>
    </row>
    <row r="5037" customFormat="false" ht="15" hidden="false" customHeight="false" outlineLevel="0" collapsed="false">
      <c r="A5037" s="4" t="s">
        <v>458</v>
      </c>
      <c r="B5037" s="36" t="s">
        <v>450</v>
      </c>
      <c r="C5037" s="34" t="n">
        <f aca="false">'Market Sizing'!$C$19*Assumptions!$E$10*Assumptions!$E$11*(1-Assumptions!$E$12)</f>
        <v>2060.77303936</v>
      </c>
    </row>
    <row r="5038" customFormat="false" ht="15" hidden="false" customHeight="false" outlineLevel="0" collapsed="false">
      <c r="A5038" s="4" t="s">
        <v>459</v>
      </c>
      <c r="B5038" s="36" t="s">
        <v>450</v>
      </c>
      <c r="C5038" s="34" t="n">
        <f aca="false">'Market Sizing'!$D$19*Assumptions!$E$10*Assumptions!$E$11*(1-Assumptions!$E$12)</f>
        <v>428.47616</v>
      </c>
    </row>
    <row r="5039" customFormat="false" ht="15" hidden="false" customHeight="false" outlineLevel="0" collapsed="false">
      <c r="A5039" s="4" t="s">
        <v>460</v>
      </c>
      <c r="B5039" s="36" t="s">
        <v>450</v>
      </c>
      <c r="C5039" s="34" t="n">
        <f aca="false">'Market Sizing'!$E$19*Assumptions!$E$10*Assumptions!$E$11*(1-Assumptions!$E$12)</f>
        <v>79.52448</v>
      </c>
    </row>
    <row r="5040" customFormat="false" ht="15" hidden="false" customHeight="false" outlineLevel="0" collapsed="false">
      <c r="A5040" s="4" t="s">
        <v>461</v>
      </c>
      <c r="B5040" s="36"/>
      <c r="C5040" s="34" t="n">
        <f aca="false">$C$5037+$C$5038+$C$5039</f>
        <v>2568.77367936</v>
      </c>
    </row>
    <row r="5041" customFormat="false" ht="15" hidden="false" customHeight="false" outlineLevel="0" collapsed="false">
      <c r="A5041" s="4" t="s">
        <v>462</v>
      </c>
      <c r="B5041" s="36" t="s">
        <v>463</v>
      </c>
      <c r="C5041" s="33" t="n">
        <f aca="false">MAX((Assumptions!$E$51+Assumptions!$E$53)*12,(((('Market Sizing'!$E$25*Assumptions!$E$41*Assumptions!$E$42*Assumptions!$E$43)*Assumptions!$E$44)*Assumptions!$E$45*Assumptions!$E$46+('Market Sizing'!$E$25*Assumptions!$E$41*Assumptions!$E$42*Assumptions!$E$43)*Assumptions!$E$47+('Market Sizing'!$E$25*Assumptions!$E$41*Assumptions!$E$42*Assumptions!$E$43)*Assumptions!$E$48*Assumptions!$E$49)*(Assumptions!$E$51*12/Assumptions!$E$52)+((('Market Sizing'!$E$25*Assumptions!$E$41*Assumptions!$E$42*Assumptions!$E$43)*Assumptions!$E$44)*Assumptions!$E$45+('Market Sizing'!$E$25*Assumptions!$E$41*Assumptions!$E$42*Assumptions!$E$43)+('Market Sizing'!$E$25*Assumptions!$E$41*Assumptions!$E$42*Assumptions!$E$43)*Assumptions!$E$48)*Assumptions!$E$50*(Assumptions!$E$53*12/Assumptions!$E$54)))</f>
        <v>5352</v>
      </c>
    </row>
    <row r="5042" customFormat="false" ht="15" hidden="false" customHeight="false" outlineLevel="0" collapsed="false">
      <c r="A5042" s="4" t="s">
        <v>464</v>
      </c>
      <c r="B5042" s="36" t="s">
        <v>463</v>
      </c>
      <c r="C5042" s="33" t="n">
        <f aca="false">MAX((Assumptions!$E$51+Assumptions!$E$53)*12,(((('Market Sizing'!$E$26*Assumptions!$E$41*Assumptions!$E$42*Assumptions!$E$43)*Assumptions!$E$44)*Assumptions!$E$45*Assumptions!$E$46+('Market Sizing'!$E$26*Assumptions!$E$41*Assumptions!$E$42*Assumptions!$E$43)*Assumptions!$E$47+('Market Sizing'!$E$26*Assumptions!$E$41*Assumptions!$E$42*Assumptions!$E$43)*Assumptions!$E$48*Assumptions!$E$49)*(Assumptions!$E$51*12/Assumptions!$E$52)+((('Market Sizing'!$E$26*Assumptions!$E$41*Assumptions!$E$42*Assumptions!$E$43)*Assumptions!$E$44)*Assumptions!$E$45+('Market Sizing'!$E$26*Assumptions!$E$41*Assumptions!$E$42*Assumptions!$E$43)+('Market Sizing'!$E$26*Assumptions!$E$41*Assumptions!$E$42*Assumptions!$E$43)*Assumptions!$E$48)*Assumptions!$E$50*(Assumptions!$E$53*12/Assumptions!$E$54)))</f>
        <v>9766.72012875208</v>
      </c>
    </row>
    <row r="5043" customFormat="false" ht="15" hidden="false" customHeight="false" outlineLevel="0" collapsed="false">
      <c r="A5043" s="4" t="s">
        <v>465</v>
      </c>
      <c r="B5043" s="36" t="s">
        <v>463</v>
      </c>
      <c r="C5043" s="33" t="n">
        <f aca="false">MAX(Assumptions!$E$55*(Assumptions!$E$51*12/Assumptions!$E$52)+Assumptions!$E$56*(Assumptions!$E$53*12/Assumptions!$E$54),(((('Market Sizing'!$E$27*Assumptions!$E$41*Assumptions!$E$42*Assumptions!$E$43)*Assumptions!$E$44)*Assumptions!$E$45*Assumptions!$E$46+('Market Sizing'!$E$27*Assumptions!$E$41*Assumptions!$E$42*Assumptions!$E$43)*Assumptions!$E$47+('Market Sizing'!$E$27*Assumptions!$E$41*Assumptions!$E$42*Assumptions!$E$43)*Assumptions!$E$48*Assumptions!$E$49)*(Assumptions!$E$51*12/Assumptions!$E$52)+((('Market Sizing'!$E$27*Assumptions!$E$41*Assumptions!$E$42*Assumptions!$E$43)*Assumptions!$E$44)*Assumptions!$E$45+('Market Sizing'!$E$27*Assumptions!$E$41*Assumptions!$E$42*Assumptions!$E$43)+('Market Sizing'!$E$27*Assumptions!$E$41*Assumptions!$E$42*Assumptions!$E$43)*Assumptions!$E$48)*Assumptions!$E$50*(Assumptions!$E$53*12/Assumptions!$E$54)))*(1-Assumptions!$E$57)</f>
        <v>61778.2562194386</v>
      </c>
    </row>
    <row r="5044" customFormat="false" ht="23.85" hidden="false" customHeight="false" outlineLevel="0" collapsed="false">
      <c r="A5044" s="4" t="s">
        <v>466</v>
      </c>
      <c r="B5044" s="36" t="s">
        <v>467</v>
      </c>
      <c r="C5044" s="37" t="n">
        <f aca="false">Assumptions!$E$17*Assumptions!$D$106</f>
        <v>0.4</v>
      </c>
    </row>
    <row r="5045" customFormat="false" ht="23.85" hidden="false" customHeight="false" outlineLevel="0" collapsed="false">
      <c r="A5045" s="4" t="s">
        <v>468</v>
      </c>
      <c r="B5045" s="36" t="s">
        <v>469</v>
      </c>
      <c r="C5045" s="33" t="n">
        <f aca="false">Assumptions!$E$68/Assumptions!$E$69</f>
        <v>285714.285714286</v>
      </c>
    </row>
    <row r="5046" customFormat="false" ht="23.85" hidden="false" customHeight="false" outlineLevel="0" collapsed="false">
      <c r="A5046" s="4" t="s">
        <v>470</v>
      </c>
      <c r="B5046" s="36" t="s">
        <v>471</v>
      </c>
      <c r="C5046" s="33" t="n">
        <f aca="false">Assumptions!$E$66*Assumptions!$E$67/4</f>
        <v>153125</v>
      </c>
    </row>
    <row r="5047" customFormat="false" ht="15" hidden="false" customHeight="false" outlineLevel="0" collapsed="false">
      <c r="A5047" s="4" t="s">
        <v>472</v>
      </c>
      <c r="B5047" s="36"/>
      <c r="C5047" s="38" t="n">
        <f aca="false">$C$5045/Assumptions!$E$66/Assumptions!$E$67</f>
        <v>0.466472303206997</v>
      </c>
    </row>
    <row r="5048" customFormat="false" ht="15" hidden="false" customHeight="false" outlineLevel="0" collapsed="false">
      <c r="A5048" s="4" t="s">
        <v>473</v>
      </c>
      <c r="B5048" s="36"/>
      <c r="C5048" s="33" t="n">
        <f aca="false">MAX(0,Assumptions!$D$103-Assumptions!$E$78)</f>
        <v>0</v>
      </c>
    </row>
    <row r="5049" customFormat="false" ht="15" hidden="false" customHeight="false" outlineLevel="0" collapsed="false">
      <c r="A5049" s="35" t="s">
        <v>474</v>
      </c>
      <c r="B5049" s="35" t="s">
        <v>444</v>
      </c>
      <c r="C5049" s="6" t="s">
        <v>354</v>
      </c>
      <c r="D5049" s="6" t="s">
        <v>355</v>
      </c>
      <c r="E5049" s="6" t="s">
        <v>356</v>
      </c>
      <c r="F5049" s="6" t="s">
        <v>357</v>
      </c>
      <c r="G5049" s="6" t="s">
        <v>358</v>
      </c>
      <c r="H5049" s="6" t="s">
        <v>359</v>
      </c>
      <c r="I5049" s="6" t="s">
        <v>360</v>
      </c>
      <c r="J5049" s="6" t="s">
        <v>361</v>
      </c>
      <c r="K5049" s="6" t="s">
        <v>362</v>
      </c>
      <c r="L5049" s="6" t="s">
        <v>363</v>
      </c>
      <c r="M5049" s="6" t="s">
        <v>364</v>
      </c>
      <c r="N5049" s="6" t="s">
        <v>365</v>
      </c>
      <c r="P5049" s="6" t="s">
        <v>445</v>
      </c>
      <c r="Q5049" s="6" t="s">
        <v>446</v>
      </c>
      <c r="R5049" s="6" t="s">
        <v>447</v>
      </c>
      <c r="S5049" s="6" t="s">
        <v>448</v>
      </c>
    </row>
    <row r="5050" customFormat="false" ht="15" hidden="false" customHeight="false" outlineLevel="0" collapsed="false">
      <c r="A5050" s="4" t="s">
        <v>475</v>
      </c>
      <c r="B5050" s="36" t="s">
        <v>133</v>
      </c>
      <c r="C5050" s="39" t="n">
        <v>1</v>
      </c>
      <c r="D5050" s="39" t="n">
        <v>2</v>
      </c>
      <c r="E5050" s="39" t="n">
        <v>3</v>
      </c>
      <c r="F5050" s="39" t="n">
        <v>4</v>
      </c>
      <c r="G5050" s="39" t="n">
        <v>5</v>
      </c>
      <c r="H5050" s="39" t="n">
        <v>6</v>
      </c>
      <c r="I5050" s="39" t="n">
        <v>7</v>
      </c>
      <c r="J5050" s="39" t="n">
        <v>8</v>
      </c>
      <c r="K5050" s="39" t="n">
        <v>9</v>
      </c>
      <c r="L5050" s="39" t="n">
        <v>10</v>
      </c>
      <c r="M5050" s="39" t="n">
        <v>11</v>
      </c>
      <c r="N5050" s="39" t="n">
        <v>12</v>
      </c>
      <c r="P5050" s="40"/>
      <c r="Q5050" s="40"/>
      <c r="R5050" s="40"/>
      <c r="S5050" s="41"/>
    </row>
    <row r="5051" customFormat="false" ht="15" hidden="false" customHeight="false" outlineLevel="0" collapsed="false">
      <c r="A5051" s="4" t="s">
        <v>476</v>
      </c>
      <c r="B5051" s="36" t="s">
        <v>343</v>
      </c>
      <c r="C5051" s="39" t="n">
        <f aca="false">IF(C5050&lt;=Assumptions!$E$84,1,0)</f>
        <v>1</v>
      </c>
      <c r="D5051" s="39" t="n">
        <f aca="false">IF(D5050&lt;=Assumptions!$E$84,1,0)</f>
        <v>1</v>
      </c>
      <c r="E5051" s="39" t="n">
        <f aca="false">IF(E5050&lt;=Assumptions!$E$84,1,0)</f>
        <v>1</v>
      </c>
      <c r="F5051" s="39" t="n">
        <f aca="false">IF(F5050&lt;=Assumptions!$E$84,1,0)</f>
        <v>1</v>
      </c>
      <c r="G5051" s="39" t="n">
        <f aca="false">IF(G5050&lt;=Assumptions!$E$84,1,0)</f>
        <v>1</v>
      </c>
      <c r="H5051" s="39" t="n">
        <f aca="false">IF(H5050&lt;=Assumptions!$E$84,1,0)</f>
        <v>1</v>
      </c>
      <c r="I5051" s="39" t="n">
        <f aca="false">IF(I5050&lt;=Assumptions!$E$84,1,0)</f>
        <v>1</v>
      </c>
      <c r="J5051" s="39" t="n">
        <f aca="false">IF(J5050&lt;=Assumptions!$E$84,1,0)</f>
        <v>1</v>
      </c>
      <c r="K5051" s="39" t="n">
        <f aca="false">IF(K5050&lt;=Assumptions!$E$84,1,0)</f>
        <v>1</v>
      </c>
      <c r="L5051" s="39" t="n">
        <f aca="false">IF(L5050&lt;=Assumptions!$E$84,1,0)</f>
        <v>1</v>
      </c>
      <c r="M5051" s="39" t="n">
        <f aca="false">IF(M5050&lt;=Assumptions!$E$84,1,0)</f>
        <v>1</v>
      </c>
      <c r="N5051" s="39" t="n">
        <f aca="false">IF(N5050&lt;=Assumptions!$E$84,1,0)</f>
        <v>1</v>
      </c>
      <c r="P5051" s="40"/>
      <c r="Q5051" s="40"/>
      <c r="R5051" s="40"/>
      <c r="S5051" s="41"/>
    </row>
    <row r="5052" customFormat="false" ht="15" hidden="false" customHeight="false" outlineLevel="0" collapsed="false">
      <c r="A5052" s="4" t="s">
        <v>477</v>
      </c>
      <c r="B5052" s="36" t="s">
        <v>478</v>
      </c>
      <c r="C5052" s="42" t="n">
        <f aca="false">IF(C5050=Assumptions!$E$13,0.5,IF(C5050&gt;Assumptions!$E$13,1,0))</f>
        <v>0.5</v>
      </c>
      <c r="D5052" s="42" t="n">
        <f aca="false">IF(D5050=Assumptions!$E$13,0.5,IF(D5050&gt;Assumptions!$E$13,1,0))</f>
        <v>1</v>
      </c>
      <c r="E5052" s="42" t="n">
        <f aca="false">IF(E5050=Assumptions!$E$13,0.5,IF(E5050&gt;Assumptions!$E$13,1,0))</f>
        <v>1</v>
      </c>
      <c r="F5052" s="42" t="n">
        <f aca="false">IF(F5050=Assumptions!$E$13,0.5,IF(F5050&gt;Assumptions!$E$13,1,0))</f>
        <v>1</v>
      </c>
      <c r="G5052" s="42" t="n">
        <f aca="false">IF(G5050=Assumptions!$E$13,0.5,IF(G5050&gt;Assumptions!$E$13,1,0))</f>
        <v>1</v>
      </c>
      <c r="H5052" s="42" t="n">
        <f aca="false">IF(H5050=Assumptions!$E$13,0.5,IF(H5050&gt;Assumptions!$E$13,1,0))</f>
        <v>1</v>
      </c>
      <c r="I5052" s="42" t="n">
        <f aca="false">IF(I5050=Assumptions!$E$13,0.5,IF(I5050&gt;Assumptions!$E$13,1,0))</f>
        <v>1</v>
      </c>
      <c r="J5052" s="42" t="n">
        <f aca="false">IF(J5050=Assumptions!$E$13,0.5,IF(J5050&gt;Assumptions!$E$13,1,0))</f>
        <v>1</v>
      </c>
      <c r="K5052" s="42" t="n">
        <f aca="false">IF(K5050=Assumptions!$E$13,0.5,IF(K5050&gt;Assumptions!$E$13,1,0))</f>
        <v>1</v>
      </c>
      <c r="L5052" s="42" t="n">
        <f aca="false">IF(L5050=Assumptions!$E$13,0.5,IF(L5050&gt;Assumptions!$E$13,1,0))</f>
        <v>1</v>
      </c>
      <c r="M5052" s="42" t="n">
        <f aca="false">IF(M5050=Assumptions!$E$13,0.5,IF(M5050&gt;Assumptions!$E$13,1,0))</f>
        <v>1</v>
      </c>
      <c r="N5052" s="42" t="n">
        <f aca="false">IF(N5050=Assumptions!$E$13,0.5,IF(N5050&gt;Assumptions!$E$13,1,0))</f>
        <v>1</v>
      </c>
      <c r="P5052" s="43"/>
      <c r="Q5052" s="43"/>
      <c r="R5052" s="43"/>
      <c r="S5052" s="44"/>
    </row>
    <row r="5053" customFormat="false" ht="15" hidden="false" customHeight="false" outlineLevel="0" collapsed="false">
      <c r="A5053" s="4" t="s">
        <v>479</v>
      </c>
      <c r="B5053" s="36" t="s">
        <v>478</v>
      </c>
      <c r="C5053" s="42" t="n">
        <f aca="false">IF(C5050=Assumptions!$E$14,0.5,IF(C5050&gt;Assumptions!$E$14,1,0))</f>
        <v>0</v>
      </c>
      <c r="D5053" s="42" t="n">
        <f aca="false">IF(D5050=Assumptions!$E$14,0.5,IF(D5050&gt;Assumptions!$E$14,1,0))</f>
        <v>0</v>
      </c>
      <c r="E5053" s="42" t="n">
        <f aca="false">IF(E5050=Assumptions!$E$14,0.5,IF(E5050&gt;Assumptions!$E$14,1,0))</f>
        <v>0</v>
      </c>
      <c r="F5053" s="42" t="n">
        <f aca="false">IF(F5050=Assumptions!$E$14,0.5,IF(F5050&gt;Assumptions!$E$14,1,0))</f>
        <v>0</v>
      </c>
      <c r="G5053" s="42" t="n">
        <f aca="false">IF(G5050=Assumptions!$E$14,0.5,IF(G5050&gt;Assumptions!$E$14,1,0))</f>
        <v>0.5</v>
      </c>
      <c r="H5053" s="42" t="n">
        <f aca="false">IF(H5050=Assumptions!$E$14,0.5,IF(H5050&gt;Assumptions!$E$14,1,0))</f>
        <v>1</v>
      </c>
      <c r="I5053" s="42" t="n">
        <f aca="false">IF(I5050=Assumptions!$E$14,0.5,IF(I5050&gt;Assumptions!$E$14,1,0))</f>
        <v>1</v>
      </c>
      <c r="J5053" s="42" t="n">
        <f aca="false">IF(J5050=Assumptions!$E$14,0.5,IF(J5050&gt;Assumptions!$E$14,1,0))</f>
        <v>1</v>
      </c>
      <c r="K5053" s="42" t="n">
        <f aca="false">IF(K5050=Assumptions!$E$14,0.5,IF(K5050&gt;Assumptions!$E$14,1,0))</f>
        <v>1</v>
      </c>
      <c r="L5053" s="42" t="n">
        <f aca="false">IF(L5050=Assumptions!$E$14,0.5,IF(L5050&gt;Assumptions!$E$14,1,0))</f>
        <v>1</v>
      </c>
      <c r="M5053" s="42" t="n">
        <f aca="false">IF(M5050=Assumptions!$E$14,0.5,IF(M5050&gt;Assumptions!$E$14,1,0))</f>
        <v>1</v>
      </c>
      <c r="N5053" s="42" t="n">
        <f aca="false">IF(N5050=Assumptions!$E$14,0.5,IF(N5050&gt;Assumptions!$E$14,1,0))</f>
        <v>1</v>
      </c>
      <c r="P5053" s="43"/>
      <c r="Q5053" s="43"/>
      <c r="R5053" s="43"/>
      <c r="S5053" s="44"/>
    </row>
    <row r="5054" customFormat="false" ht="15" hidden="false" customHeight="false" outlineLevel="0" collapsed="false">
      <c r="A5054" s="4" t="s">
        <v>480</v>
      </c>
      <c r="B5054" s="36" t="s">
        <v>478</v>
      </c>
      <c r="C5054" s="42" t="n">
        <f aca="false">IF(C5050=Assumptions!$E$15,0.5,IF(C5050&gt;Assumptions!$E$15,1,0))</f>
        <v>0</v>
      </c>
      <c r="D5054" s="42" t="n">
        <f aca="false">IF(D5050=Assumptions!$E$15,0.5,IF(D5050&gt;Assumptions!$E$15,1,0))</f>
        <v>0</v>
      </c>
      <c r="E5054" s="42" t="n">
        <f aca="false">IF(E5050=Assumptions!$E$15,0.5,IF(E5050&gt;Assumptions!$E$15,1,0))</f>
        <v>0</v>
      </c>
      <c r="F5054" s="42" t="n">
        <f aca="false">IF(F5050=Assumptions!$E$15,0.5,IF(F5050&gt;Assumptions!$E$15,1,0))</f>
        <v>0</v>
      </c>
      <c r="G5054" s="42" t="n">
        <f aca="false">IF(G5050=Assumptions!$E$15,0.5,IF(G5050&gt;Assumptions!$E$15,1,0))</f>
        <v>0</v>
      </c>
      <c r="H5054" s="42" t="n">
        <f aca="false">IF(H5050=Assumptions!$E$15,0.5,IF(H5050&gt;Assumptions!$E$15,1,0))</f>
        <v>0</v>
      </c>
      <c r="I5054" s="42" t="n">
        <f aca="false">IF(I5050=Assumptions!$E$15,0.5,IF(I5050&gt;Assumptions!$E$15,1,0))</f>
        <v>0.5</v>
      </c>
      <c r="J5054" s="42" t="n">
        <f aca="false">IF(J5050=Assumptions!$E$15,0.5,IF(J5050&gt;Assumptions!$E$15,1,0))</f>
        <v>1</v>
      </c>
      <c r="K5054" s="42" t="n">
        <f aca="false">IF(K5050=Assumptions!$E$15,0.5,IF(K5050&gt;Assumptions!$E$15,1,0))</f>
        <v>1</v>
      </c>
      <c r="L5054" s="42" t="n">
        <f aca="false">IF(L5050=Assumptions!$E$15,0.5,IF(L5050&gt;Assumptions!$E$15,1,0))</f>
        <v>1</v>
      </c>
      <c r="M5054" s="42" t="n">
        <f aca="false">IF(M5050=Assumptions!$E$15,0.5,IF(M5050&gt;Assumptions!$E$15,1,0))</f>
        <v>1</v>
      </c>
      <c r="N5054" s="42" t="n">
        <f aca="false">IF(N5050=Assumptions!$E$15,0.5,IF(N5050&gt;Assumptions!$E$15,1,0))</f>
        <v>1</v>
      </c>
      <c r="P5054" s="43"/>
      <c r="Q5054" s="43"/>
      <c r="R5054" s="43"/>
      <c r="S5054" s="44"/>
    </row>
    <row r="5055" customFormat="false" ht="15" hidden="false" customHeight="false" outlineLevel="0" collapsed="false">
      <c r="A5055" s="4" t="s">
        <v>481</v>
      </c>
      <c r="B5055" s="36" t="s">
        <v>478</v>
      </c>
      <c r="C5055" s="45" t="n">
        <f aca="false">Assumptions!$E$21^(MAX(0,C5050-Assumptions!$E$13)/4)</f>
        <v>1</v>
      </c>
      <c r="D5055" s="45" t="n">
        <f aca="false">Assumptions!$E$21^(MAX(0,D5050-Assumptions!$E$13)/4)</f>
        <v>0.9306048591021</v>
      </c>
      <c r="E5055" s="45" t="n">
        <f aca="false">Assumptions!$E$21^(MAX(0,E5050-Assumptions!$E$13)/4)</f>
        <v>0.866025403784439</v>
      </c>
      <c r="F5055" s="45" t="n">
        <f aca="false">Assumptions!$E$21^(MAX(0,F5050-Assumptions!$E$13)/4)</f>
        <v>0.805927448867656</v>
      </c>
      <c r="G5055" s="45" t="n">
        <f aca="false">Assumptions!$E$21^(MAX(0,G5050-Assumptions!$E$13)/4)</f>
        <v>0.75</v>
      </c>
      <c r="H5055" s="45" t="n">
        <f aca="false">Assumptions!$E$21^(MAX(0,H5050-Assumptions!$E$13)/4)</f>
        <v>0.697953644326575</v>
      </c>
      <c r="I5055" s="45" t="n">
        <f aca="false">Assumptions!$E$21^(MAX(0,I5050-Assumptions!$E$13)/4)</f>
        <v>0.649519052838329</v>
      </c>
      <c r="J5055" s="45" t="n">
        <f aca="false">Assumptions!$E$21^(MAX(0,J5050-Assumptions!$E$13)/4)</f>
        <v>0.604445586650742</v>
      </c>
      <c r="K5055" s="45" t="n">
        <f aca="false">Assumptions!$E$21^(MAX(0,K5050-Assumptions!$E$13)/4)</f>
        <v>0.5625</v>
      </c>
      <c r="L5055" s="45" t="n">
        <f aca="false">Assumptions!$E$21^(MAX(0,L5050-Assumptions!$E$13)/4)</f>
        <v>0.523465233244931</v>
      </c>
      <c r="M5055" s="45" t="n">
        <f aca="false">Assumptions!$E$21^(MAX(0,M5050-Assumptions!$E$13)/4)</f>
        <v>0.487139289628747</v>
      </c>
      <c r="N5055" s="45" t="n">
        <f aca="false">Assumptions!$E$21^(MAX(0,N5050-Assumptions!$E$13)/4)</f>
        <v>0.453334189988057</v>
      </c>
      <c r="P5055" s="46"/>
      <c r="Q5055" s="46"/>
      <c r="R5055" s="46"/>
      <c r="S5055" s="47"/>
    </row>
    <row r="5056" customFormat="false" ht="15" hidden="false" customHeight="false" outlineLevel="0" collapsed="false">
      <c r="A5056" s="4" t="s">
        <v>482</v>
      </c>
      <c r="B5056" s="36" t="s">
        <v>478</v>
      </c>
      <c r="C5056" s="45" t="n">
        <f aca="false">Assumptions!$E$21^(MAX(0,C5050-Assumptions!$E$14)/4)</f>
        <v>1</v>
      </c>
      <c r="D5056" s="45" t="n">
        <f aca="false">Assumptions!$E$21^(MAX(0,D5050-Assumptions!$E$14)/4)</f>
        <v>1</v>
      </c>
      <c r="E5056" s="45" t="n">
        <f aca="false">Assumptions!$E$21^(MAX(0,E5050-Assumptions!$E$14)/4)</f>
        <v>1</v>
      </c>
      <c r="F5056" s="45" t="n">
        <f aca="false">Assumptions!$E$21^(MAX(0,F5050-Assumptions!$E$14)/4)</f>
        <v>1</v>
      </c>
      <c r="G5056" s="45" t="n">
        <f aca="false">Assumptions!$E$21^(MAX(0,G5050-Assumptions!$E$14)/4)</f>
        <v>1</v>
      </c>
      <c r="H5056" s="45" t="n">
        <f aca="false">Assumptions!$E$21^(MAX(0,H5050-Assumptions!$E$14)/4)</f>
        <v>0.9306048591021</v>
      </c>
      <c r="I5056" s="45" t="n">
        <f aca="false">Assumptions!$E$21^(MAX(0,I5050-Assumptions!$E$14)/4)</f>
        <v>0.866025403784439</v>
      </c>
      <c r="J5056" s="45" t="n">
        <f aca="false">Assumptions!$E$21^(MAX(0,J5050-Assumptions!$E$14)/4)</f>
        <v>0.805927448867656</v>
      </c>
      <c r="K5056" s="45" t="n">
        <f aca="false">Assumptions!$E$21^(MAX(0,K5050-Assumptions!$E$14)/4)</f>
        <v>0.75</v>
      </c>
      <c r="L5056" s="45" t="n">
        <f aca="false">Assumptions!$E$21^(MAX(0,L5050-Assumptions!$E$14)/4)</f>
        <v>0.697953644326575</v>
      </c>
      <c r="M5056" s="45" t="n">
        <f aca="false">Assumptions!$E$21^(MAX(0,M5050-Assumptions!$E$14)/4)</f>
        <v>0.649519052838329</v>
      </c>
      <c r="N5056" s="45" t="n">
        <f aca="false">Assumptions!$E$21^(MAX(0,N5050-Assumptions!$E$14)/4)</f>
        <v>0.604445586650742</v>
      </c>
      <c r="P5056" s="46"/>
      <c r="Q5056" s="46"/>
      <c r="R5056" s="46"/>
      <c r="S5056" s="47"/>
    </row>
    <row r="5057" customFormat="false" ht="15" hidden="false" customHeight="false" outlineLevel="0" collapsed="false">
      <c r="A5057" s="4" t="s">
        <v>483</v>
      </c>
      <c r="B5057" s="36" t="s">
        <v>478</v>
      </c>
      <c r="C5057" s="45" t="n">
        <f aca="false">Assumptions!$E$21^(MAX(0,C5050-Assumptions!$E$15)/4)</f>
        <v>1</v>
      </c>
      <c r="D5057" s="45" t="n">
        <f aca="false">Assumptions!$E$21^(MAX(0,D5050-Assumptions!$E$15)/4)</f>
        <v>1</v>
      </c>
      <c r="E5057" s="45" t="n">
        <f aca="false">Assumptions!$E$21^(MAX(0,E5050-Assumptions!$E$15)/4)</f>
        <v>1</v>
      </c>
      <c r="F5057" s="45" t="n">
        <f aca="false">Assumptions!$E$21^(MAX(0,F5050-Assumptions!$E$15)/4)</f>
        <v>1</v>
      </c>
      <c r="G5057" s="45" t="n">
        <f aca="false">Assumptions!$E$21^(MAX(0,G5050-Assumptions!$E$15)/4)</f>
        <v>1</v>
      </c>
      <c r="H5057" s="45" t="n">
        <f aca="false">Assumptions!$E$21^(MAX(0,H5050-Assumptions!$E$15)/4)</f>
        <v>1</v>
      </c>
      <c r="I5057" s="45" t="n">
        <f aca="false">Assumptions!$E$21^(MAX(0,I5050-Assumptions!$E$15)/4)</f>
        <v>1</v>
      </c>
      <c r="J5057" s="45" t="n">
        <f aca="false">Assumptions!$E$21^(MAX(0,J5050-Assumptions!$E$15)/4)</f>
        <v>0.9306048591021</v>
      </c>
      <c r="K5057" s="45" t="n">
        <f aca="false">Assumptions!$E$21^(MAX(0,K5050-Assumptions!$E$15)/4)</f>
        <v>0.866025403784439</v>
      </c>
      <c r="L5057" s="45" t="n">
        <f aca="false">Assumptions!$E$21^(MAX(0,L5050-Assumptions!$E$15)/4)</f>
        <v>0.805927448867656</v>
      </c>
      <c r="M5057" s="45" t="n">
        <f aca="false">Assumptions!$E$21^(MAX(0,M5050-Assumptions!$E$15)/4)</f>
        <v>0.75</v>
      </c>
      <c r="N5057" s="45" t="n">
        <f aca="false">Assumptions!$E$21^(MAX(0,N5050-Assumptions!$E$15)/4)</f>
        <v>0.697953644326575</v>
      </c>
      <c r="P5057" s="46"/>
      <c r="Q5057" s="46"/>
      <c r="R5057" s="46"/>
      <c r="S5057" s="47"/>
    </row>
    <row r="5058" customFormat="false" ht="15" hidden="false" customHeight="false" outlineLevel="0" collapsed="false">
      <c r="A5058" s="4" t="s">
        <v>484</v>
      </c>
      <c r="B5058" s="36" t="s">
        <v>485</v>
      </c>
      <c r="C5058" s="39" t="n">
        <f aca="false">$C$5029*C5052+$C$5033*C5053+$C$5037*C5054</f>
        <v>421.51972352</v>
      </c>
      <c r="D5058" s="39" t="n">
        <f aca="false">$C$5029*D5052+$C$5033*D5053+$C$5037*D5054</f>
        <v>843.03944704</v>
      </c>
      <c r="E5058" s="39" t="n">
        <f aca="false">$C$5029*E5052+$C$5033*E5053+$C$5037*E5054</f>
        <v>843.03944704</v>
      </c>
      <c r="F5058" s="39" t="n">
        <f aca="false">$C$5029*F5052+$C$5033*F5053+$C$5037*F5054</f>
        <v>843.03944704</v>
      </c>
      <c r="G5058" s="39" t="n">
        <f aca="false">$C$5029*G5052+$C$5033*G5053+$C$5037*G5054</f>
        <v>1149.32798176</v>
      </c>
      <c r="H5058" s="39" t="n">
        <f aca="false">$C$5029*H5052+$C$5033*H5053+$C$5037*H5054</f>
        <v>1455.61651648</v>
      </c>
      <c r="I5058" s="39" t="n">
        <f aca="false">$C$5029*I5052+$C$5033*I5053+$C$5037*I5054</f>
        <v>2486.00303616</v>
      </c>
      <c r="J5058" s="39" t="n">
        <f aca="false">$C$5029*J5052+$C$5033*J5053+$C$5037*J5054</f>
        <v>3516.38955584</v>
      </c>
      <c r="K5058" s="39" t="n">
        <f aca="false">$C$5029*K5052+$C$5033*K5053+$C$5037*K5054</f>
        <v>3516.38955584</v>
      </c>
      <c r="L5058" s="39" t="n">
        <f aca="false">$C$5029*L5052+$C$5033*L5053+$C$5037*L5054</f>
        <v>3516.38955584</v>
      </c>
      <c r="M5058" s="39" t="n">
        <f aca="false">$C$5029*M5052+$C$5033*M5053+$C$5037*M5054</f>
        <v>3516.38955584</v>
      </c>
      <c r="N5058" s="39" t="n">
        <f aca="false">$C$5029*N5052+$C$5033*N5053+$C$5037*N5054</f>
        <v>3516.38955584</v>
      </c>
      <c r="P5058" s="40" t="n">
        <f aca="false">F5058</f>
        <v>843.03944704</v>
      </c>
      <c r="Q5058" s="40" t="n">
        <f aca="false">J5058</f>
        <v>3516.38955584</v>
      </c>
      <c r="R5058" s="40" t="n">
        <f aca="false">N5058</f>
        <v>3516.38955584</v>
      </c>
      <c r="S5058" s="41" t="n">
        <f aca="false">R5058</f>
        <v>3516.38955584</v>
      </c>
    </row>
    <row r="5059" customFormat="false" ht="15" hidden="false" customHeight="false" outlineLevel="0" collapsed="false">
      <c r="A5059" s="4" t="s">
        <v>486</v>
      </c>
      <c r="B5059" s="36" t="s">
        <v>485</v>
      </c>
      <c r="C5059" s="39" t="n">
        <f aca="false">$C$5030*C5052+$C$5034*C5053+$C$5038*C5054</f>
        <v>105.59808</v>
      </c>
      <c r="D5059" s="39" t="n">
        <f aca="false">$C$5030*D5052+$C$5034*D5053+$C$5038*D5054</f>
        <v>211.19616</v>
      </c>
      <c r="E5059" s="39" t="n">
        <f aca="false">$C$5030*E5052+$C$5034*E5053+$C$5038*E5054</f>
        <v>211.19616</v>
      </c>
      <c r="F5059" s="39" t="n">
        <f aca="false">$C$5030*F5052+$C$5034*F5053+$C$5038*F5054</f>
        <v>211.19616</v>
      </c>
      <c r="G5059" s="39" t="n">
        <f aca="false">$C$5030*G5052+$C$5034*G5053+$C$5038*G5054</f>
        <v>282.24672</v>
      </c>
      <c r="H5059" s="39" t="n">
        <f aca="false">$C$5030*H5052+$C$5034*H5053+$C$5038*H5054</f>
        <v>353.29728</v>
      </c>
      <c r="I5059" s="39" t="n">
        <f aca="false">$C$5030*I5052+$C$5034*I5053+$C$5038*I5054</f>
        <v>567.53536</v>
      </c>
      <c r="J5059" s="39" t="n">
        <f aca="false">$C$5030*J5052+$C$5034*J5053+$C$5038*J5054</f>
        <v>781.77344</v>
      </c>
      <c r="K5059" s="39" t="n">
        <f aca="false">$C$5030*K5052+$C$5034*K5053+$C$5038*K5054</f>
        <v>781.77344</v>
      </c>
      <c r="L5059" s="39" t="n">
        <f aca="false">$C$5030*L5052+$C$5034*L5053+$C$5038*L5054</f>
        <v>781.77344</v>
      </c>
      <c r="M5059" s="39" t="n">
        <f aca="false">$C$5030*M5052+$C$5034*M5053+$C$5038*M5054</f>
        <v>781.77344</v>
      </c>
      <c r="N5059" s="39" t="n">
        <f aca="false">$C$5030*N5052+$C$5034*N5053+$C$5038*N5054</f>
        <v>781.77344</v>
      </c>
      <c r="P5059" s="40" t="n">
        <f aca="false">F5059</f>
        <v>211.19616</v>
      </c>
      <c r="Q5059" s="40" t="n">
        <f aca="false">J5059</f>
        <v>781.77344</v>
      </c>
      <c r="R5059" s="40" t="n">
        <f aca="false">N5059</f>
        <v>781.77344</v>
      </c>
      <c r="S5059" s="41" t="n">
        <f aca="false">R5059</f>
        <v>781.77344</v>
      </c>
    </row>
    <row r="5060" customFormat="false" ht="15" hidden="false" customHeight="false" outlineLevel="0" collapsed="false">
      <c r="A5060" s="4" t="s">
        <v>487</v>
      </c>
      <c r="B5060" s="36" t="s">
        <v>485</v>
      </c>
      <c r="C5060" s="39" t="n">
        <f aca="false">$C$5031*C5052+$C$5035*C5053+$C$5039*C5054</f>
        <v>24.76992</v>
      </c>
      <c r="D5060" s="39" t="n">
        <f aca="false">$C$5031*D5052+$C$5035*D5053+$C$5039*D5054</f>
        <v>49.53984</v>
      </c>
      <c r="E5060" s="39" t="n">
        <f aca="false">$C$5031*E5052+$C$5035*E5053+$C$5039*E5054</f>
        <v>49.53984</v>
      </c>
      <c r="F5060" s="39" t="n">
        <f aca="false">$C$5031*F5052+$C$5035*F5053+$C$5039*F5054</f>
        <v>49.53984</v>
      </c>
      <c r="G5060" s="39" t="n">
        <f aca="false">$C$5031*G5052+$C$5035*G5053+$C$5039*G5054</f>
        <v>61.9248</v>
      </c>
      <c r="H5060" s="39" t="n">
        <f aca="false">$C$5031*H5052+$C$5035*H5053+$C$5039*H5054</f>
        <v>74.30976</v>
      </c>
      <c r="I5060" s="39" t="n">
        <f aca="false">$C$5031*I5052+$C$5035*I5053+$C$5039*I5054</f>
        <v>114.072</v>
      </c>
      <c r="J5060" s="39" t="n">
        <f aca="false">$C$5031*J5052+$C$5035*J5053+$C$5039*J5054</f>
        <v>153.83424</v>
      </c>
      <c r="K5060" s="39" t="n">
        <f aca="false">$C$5031*K5052+$C$5035*K5053+$C$5039*K5054</f>
        <v>153.83424</v>
      </c>
      <c r="L5060" s="39" t="n">
        <f aca="false">$C$5031*L5052+$C$5035*L5053+$C$5039*L5054</f>
        <v>153.83424</v>
      </c>
      <c r="M5060" s="39" t="n">
        <f aca="false">$C$5031*M5052+$C$5035*M5053+$C$5039*M5054</f>
        <v>153.83424</v>
      </c>
      <c r="N5060" s="39" t="n">
        <f aca="false">$C$5031*N5052+$C$5035*N5053+$C$5039*N5054</f>
        <v>153.83424</v>
      </c>
      <c r="P5060" s="40" t="n">
        <f aca="false">F5060</f>
        <v>49.53984</v>
      </c>
      <c r="Q5060" s="40" t="n">
        <f aca="false">J5060</f>
        <v>153.83424</v>
      </c>
      <c r="R5060" s="40" t="n">
        <f aca="false">N5060</f>
        <v>153.83424</v>
      </c>
      <c r="S5060" s="41" t="n">
        <f aca="false">R5060</f>
        <v>153.83424</v>
      </c>
    </row>
    <row r="5061" customFormat="false" ht="15" hidden="false" customHeight="false" outlineLevel="0" collapsed="false">
      <c r="A5061" s="4" t="s">
        <v>488</v>
      </c>
      <c r="B5061" s="36" t="s">
        <v>485</v>
      </c>
      <c r="C5061" s="39" t="n">
        <f aca="false">C5058+C5059+C5060</f>
        <v>551.88772352</v>
      </c>
      <c r="D5061" s="39" t="n">
        <f aca="false">D5058+D5059+D5060</f>
        <v>1103.77544704</v>
      </c>
      <c r="E5061" s="39" t="n">
        <f aca="false">E5058+E5059+E5060</f>
        <v>1103.77544704</v>
      </c>
      <c r="F5061" s="39" t="n">
        <f aca="false">F5058+F5059+F5060</f>
        <v>1103.77544704</v>
      </c>
      <c r="G5061" s="39" t="n">
        <f aca="false">G5058+G5059+G5060</f>
        <v>1493.49950176</v>
      </c>
      <c r="H5061" s="39" t="n">
        <f aca="false">H5058+H5059+H5060</f>
        <v>1883.22355648</v>
      </c>
      <c r="I5061" s="39" t="n">
        <f aca="false">I5058+I5059+I5060</f>
        <v>3167.61039616</v>
      </c>
      <c r="J5061" s="39" t="n">
        <f aca="false">J5058+J5059+J5060</f>
        <v>4451.99723584</v>
      </c>
      <c r="K5061" s="39" t="n">
        <f aca="false">K5058+K5059+K5060</f>
        <v>4451.99723584</v>
      </c>
      <c r="L5061" s="39" t="n">
        <f aca="false">L5058+L5059+L5060</f>
        <v>4451.99723584</v>
      </c>
      <c r="M5061" s="39" t="n">
        <f aca="false">M5058+M5059+M5060</f>
        <v>4451.99723584</v>
      </c>
      <c r="N5061" s="39" t="n">
        <f aca="false">N5058+N5059+N5060</f>
        <v>4451.99723584</v>
      </c>
      <c r="P5061" s="40" t="n">
        <f aca="false">F5061</f>
        <v>1103.77544704</v>
      </c>
      <c r="Q5061" s="40" t="n">
        <f aca="false">J5061</f>
        <v>4451.99723584</v>
      </c>
      <c r="R5061" s="40" t="n">
        <f aca="false">N5061</f>
        <v>4451.99723584</v>
      </c>
      <c r="S5061" s="41" t="n">
        <f aca="false">R5061</f>
        <v>4451.99723584</v>
      </c>
    </row>
    <row r="5062" customFormat="false" ht="15" hidden="false" customHeight="false" outlineLevel="0" collapsed="false">
      <c r="A5062" s="4" t="s">
        <v>489</v>
      </c>
      <c r="B5062" s="36" t="s">
        <v>485</v>
      </c>
      <c r="C5062" s="39" t="n">
        <f aca="false">$C$5032*C5052*C5055+$C$5036*C5053*C5056+$C$5040*C5054*C5057</f>
        <v>551.88772352</v>
      </c>
      <c r="D5062" s="39" t="n">
        <f aca="false">$C$5032*D5052*D5055+$C$5036*D5053*D5056+$C$5040*D5054*D5057</f>
        <v>1027.17879437302</v>
      </c>
      <c r="E5062" s="39" t="n">
        <f aca="false">$C$5032*E5052*E5055+$C$5036*E5053*E5056+$C$5040*E5054*E5057</f>
        <v>955.897577210165</v>
      </c>
      <c r="F5062" s="39" t="n">
        <f aca="false">$C$5032*F5052*F5055+$C$5036*F5053*F5056+$C$5040*F5054*F5057</f>
        <v>889.562930155704</v>
      </c>
      <c r="G5062" s="39" t="n">
        <f aca="false">$C$5032*G5052*G5055+$C$5036*G5053*G5056+$C$5040*G5054*G5057</f>
        <v>1217.55564</v>
      </c>
      <c r="H5062" s="39" t="n">
        <f aca="false">$C$5032*H5052*H5055+$C$5036*H5053*H5056+$C$5040*H5054*H5057</f>
        <v>1495.74229384257</v>
      </c>
      <c r="I5062" s="39" t="n">
        <f aca="false">$C$5032*I5052*I5055+$C$5036*I5053*I5056+$C$5040*I5054*I5057</f>
        <v>2676.33188629442</v>
      </c>
      <c r="J5062" s="39" t="n">
        <f aca="false">$C$5032*J5052*J5055+$C$5036*J5053*J5056+$C$5040*J5054*J5057</f>
        <v>3685.86409192847</v>
      </c>
      <c r="K5062" s="39" t="n">
        <f aca="false">$C$5032*K5052*K5055+$C$5036*K5053*K5056+$C$5040*K5054*K5057</f>
        <v>3430.08303393858</v>
      </c>
      <c r="L5062" s="39" t="n">
        <f aca="false">$C$5032*L5052*L5055+$C$5036*L5053*L5056+$C$5040*L5054*L5057</f>
        <v>3192.05193850692</v>
      </c>
      <c r="M5062" s="39" t="n">
        <f aca="false">$C$5032*M5052*M5055+$C$5036*M5053*M5056+$C$5040*M5054*M5057</f>
        <v>2970.53904448081</v>
      </c>
      <c r="N5062" s="39" t="n">
        <f aca="false">$C$5032*N5052*N5055+$C$5036*N5053*N5056+$C$5040*N5054*N5057</f>
        <v>2764.39806894635</v>
      </c>
      <c r="P5062" s="40"/>
      <c r="Q5062" s="40"/>
      <c r="R5062" s="40"/>
      <c r="S5062" s="41"/>
    </row>
    <row r="5063" customFormat="false" ht="15" hidden="false" customHeight="false" outlineLevel="0" collapsed="false">
      <c r="A5063" s="4" t="s">
        <v>490</v>
      </c>
      <c r="B5063" s="36" t="s">
        <v>491</v>
      </c>
      <c r="C5063" s="48" t="n">
        <f aca="false">$C$5044*Assumptions!$E$20*C5051*C5062</f>
        <v>6.62265268224</v>
      </c>
      <c r="D5063" s="48" t="n">
        <f aca="false">$C$5044*Assumptions!$E$20*D5051*D5062</f>
        <v>12.3261455324762</v>
      </c>
      <c r="E5063" s="48" t="n">
        <f aca="false">$C$5044*Assumptions!$E$20*E5051*E5062</f>
        <v>11.470770926522</v>
      </c>
      <c r="F5063" s="48" t="n">
        <f aca="false">$C$5044*Assumptions!$E$20*F5051*F5062</f>
        <v>10.6747551618685</v>
      </c>
      <c r="G5063" s="48" t="n">
        <f aca="false">$C$5044*Assumptions!$E$20*G5051*G5062</f>
        <v>14.61066768</v>
      </c>
      <c r="H5063" s="48" t="n">
        <f aca="false">$C$5044*Assumptions!$E$20*H5051*H5062</f>
        <v>17.9489075261109</v>
      </c>
      <c r="I5063" s="48" t="n">
        <f aca="false">$C$5044*Assumptions!$E$20*I5051*I5062</f>
        <v>32.115982635533</v>
      </c>
      <c r="J5063" s="48" t="n">
        <f aca="false">$C$5044*Assumptions!$E$20*J5051*J5062</f>
        <v>44.2303691031417</v>
      </c>
      <c r="K5063" s="48" t="n">
        <f aca="false">$C$5044*Assumptions!$E$20*K5051*K5062</f>
        <v>41.160996407263</v>
      </c>
      <c r="L5063" s="48" t="n">
        <f aca="false">$C$5044*Assumptions!$E$20*L5051*L5062</f>
        <v>38.304623262083</v>
      </c>
      <c r="M5063" s="48" t="n">
        <f aca="false">$C$5044*Assumptions!$E$20*M5051*M5062</f>
        <v>35.6464685337698</v>
      </c>
      <c r="N5063" s="48" t="n">
        <f aca="false">$C$5044*Assumptions!$E$20*N5051*N5062</f>
        <v>33.1727768273562</v>
      </c>
      <c r="P5063" s="49" t="n">
        <f aca="false">SUM(C5063:F5063)</f>
        <v>41.0943243031066</v>
      </c>
      <c r="Q5063" s="49" t="n">
        <f aca="false">SUM(G5063:J5063)</f>
        <v>108.905926944786</v>
      </c>
      <c r="R5063" s="49" t="n">
        <f aca="false">SUM(K5063:N5063)</f>
        <v>148.284865030472</v>
      </c>
      <c r="S5063" s="50" t="n">
        <f aca="false">SUM(P5063:R5063)</f>
        <v>298.285116278364</v>
      </c>
    </row>
    <row r="5064" customFormat="false" ht="15" hidden="false" customHeight="false" outlineLevel="0" collapsed="false">
      <c r="A5064" s="4" t="s">
        <v>492</v>
      </c>
      <c r="B5064" s="36" t="s">
        <v>321</v>
      </c>
      <c r="C5064" s="48" t="n">
        <f aca="false">Assumptions!$D$111</f>
        <v>0</v>
      </c>
      <c r="D5064" s="48" t="n">
        <f aca="false">Assumptions!$E$111</f>
        <v>0</v>
      </c>
      <c r="E5064" s="48" t="n">
        <f aca="false">Assumptions!$F$111</f>
        <v>0</v>
      </c>
      <c r="F5064" s="48" t="n">
        <f aca="false">Assumptions!$G$111</f>
        <v>0</v>
      </c>
      <c r="G5064" s="48" t="n">
        <f aca="false">Assumptions!$H$111</f>
        <v>0</v>
      </c>
      <c r="H5064" s="48" t="n">
        <f aca="false">Assumptions!$I$111</f>
        <v>0</v>
      </c>
      <c r="I5064" s="48" t="n">
        <f aca="false">Assumptions!$J$111</f>
        <v>0</v>
      </c>
      <c r="J5064" s="48" t="n">
        <f aca="false">Assumptions!$K$111</f>
        <v>0</v>
      </c>
      <c r="K5064" s="48" t="n">
        <f aca="false">Assumptions!$L$111</f>
        <v>0</v>
      </c>
      <c r="L5064" s="48" t="n">
        <f aca="false">Assumptions!$M$111</f>
        <v>0</v>
      </c>
      <c r="M5064" s="48" t="n">
        <f aca="false">Assumptions!$N$111</f>
        <v>0</v>
      </c>
      <c r="N5064" s="48" t="n">
        <f aca="false">Assumptions!$O$111</f>
        <v>0</v>
      </c>
      <c r="P5064" s="49" t="n">
        <f aca="false">F5064</f>
        <v>0</v>
      </c>
      <c r="Q5064" s="49" t="n">
        <f aca="false">J5064</f>
        <v>0</v>
      </c>
      <c r="R5064" s="49" t="n">
        <f aca="false">N5064</f>
        <v>0</v>
      </c>
      <c r="S5064" s="50" t="n">
        <f aca="false">R5064</f>
        <v>0</v>
      </c>
    </row>
    <row r="5065" customFormat="false" ht="15" hidden="false" customHeight="false" outlineLevel="0" collapsed="false">
      <c r="A5065" s="4" t="s">
        <v>493</v>
      </c>
      <c r="B5065" s="36" t="s">
        <v>321</v>
      </c>
      <c r="C5065" s="48" t="n">
        <f aca="false">0</f>
        <v>0</v>
      </c>
      <c r="D5065" s="48" t="n">
        <f aca="false">0.5*C5064</f>
        <v>0</v>
      </c>
      <c r="E5065" s="48" t="n">
        <f aca="false">C5064+0.5*(D5064-C5064)</f>
        <v>0</v>
      </c>
      <c r="F5065" s="48" t="n">
        <f aca="false">D5064+0.5*(E5064-D5064)</f>
        <v>0</v>
      </c>
      <c r="G5065" s="48" t="n">
        <f aca="false">E5064+0.5*(F5064-E5064)</f>
        <v>0</v>
      </c>
      <c r="H5065" s="48" t="n">
        <f aca="false">F5064+0.5*(G5064-F5064)</f>
        <v>0</v>
      </c>
      <c r="I5065" s="48" t="n">
        <f aca="false">G5064+0.5*(H5064-G5064)</f>
        <v>0</v>
      </c>
      <c r="J5065" s="48" t="n">
        <f aca="false">H5064+0.5*(I5064-H5064)</f>
        <v>0</v>
      </c>
      <c r="K5065" s="48" t="n">
        <f aca="false">I5064+0.5*(J5064-I5064)</f>
        <v>0</v>
      </c>
      <c r="L5065" s="48" t="n">
        <f aca="false">J5064+0.5*(K5064-J5064)</f>
        <v>0</v>
      </c>
      <c r="M5065" s="48" t="n">
        <f aca="false">K5064+0.5*(L5064-K5064)</f>
        <v>0</v>
      </c>
      <c r="N5065" s="48" t="n">
        <f aca="false">L5064+0.5*(M5064-L5064)</f>
        <v>0</v>
      </c>
      <c r="P5065" s="49" t="n">
        <f aca="false">F5065</f>
        <v>0</v>
      </c>
      <c r="Q5065" s="49" t="n">
        <f aca="false">J5065</f>
        <v>0</v>
      </c>
      <c r="R5065" s="49" t="n">
        <f aca="false">N5065</f>
        <v>0</v>
      </c>
      <c r="S5065" s="50" t="n">
        <f aca="false">R5065</f>
        <v>0</v>
      </c>
    </row>
    <row r="5066" customFormat="false" ht="15" hidden="false" customHeight="false" outlineLevel="0" collapsed="false">
      <c r="A5066" s="4" t="s">
        <v>494</v>
      </c>
      <c r="B5066" s="36" t="s">
        <v>485</v>
      </c>
      <c r="C5066" s="39" t="n">
        <f aca="false">MIN(C5065*Assumptions!$E$38,C5061*(1-$C$5044))</f>
        <v>0</v>
      </c>
      <c r="D5066" s="39" t="n">
        <f aca="false">MIN(D5065*Assumptions!$E$38,D5061*(1-$C$5044))</f>
        <v>0</v>
      </c>
      <c r="E5066" s="39" t="n">
        <f aca="false">MIN(E5065*Assumptions!$E$38,E5061*(1-$C$5044))</f>
        <v>0</v>
      </c>
      <c r="F5066" s="39" t="n">
        <f aca="false">MIN(F5065*Assumptions!$E$38,F5061*(1-$C$5044))</f>
        <v>0</v>
      </c>
      <c r="G5066" s="39" t="n">
        <f aca="false">MIN(G5065*Assumptions!$E$38,G5061*(1-$C$5044))</f>
        <v>0</v>
      </c>
      <c r="H5066" s="39" t="n">
        <f aca="false">MIN(H5065*Assumptions!$E$38,H5061*(1-$C$5044))</f>
        <v>0</v>
      </c>
      <c r="I5066" s="39" t="n">
        <f aca="false">MIN(I5065*Assumptions!$E$38,I5061*(1-$C$5044))</f>
        <v>0</v>
      </c>
      <c r="J5066" s="39" t="n">
        <f aca="false">MIN(J5065*Assumptions!$E$38,J5061*(1-$C$5044))</f>
        <v>0</v>
      </c>
      <c r="K5066" s="39" t="n">
        <f aca="false">MIN(K5065*Assumptions!$E$38,K5061*(1-$C$5044))</f>
        <v>0</v>
      </c>
      <c r="L5066" s="39" t="n">
        <f aca="false">MIN(L5065*Assumptions!$E$38,L5061*(1-$C$5044))</f>
        <v>0</v>
      </c>
      <c r="M5066" s="39" t="n">
        <f aca="false">MIN(M5065*Assumptions!$E$38,M5061*(1-$C$5044))</f>
        <v>0</v>
      </c>
      <c r="N5066" s="39" t="n">
        <f aca="false">MIN(N5065*Assumptions!$E$38,N5061*(1-$C$5044))</f>
        <v>0</v>
      </c>
      <c r="P5066" s="40" t="n">
        <f aca="false">SUM(C5066:F5066)</f>
        <v>0</v>
      </c>
      <c r="Q5066" s="40" t="n">
        <f aca="false">SUM(G5066:J5066)</f>
        <v>0</v>
      </c>
      <c r="R5066" s="40" t="n">
        <f aca="false">SUM(K5066:N5066)</f>
        <v>0</v>
      </c>
      <c r="S5066" s="41" t="n">
        <f aca="false">SUM(P5066:R5066)</f>
        <v>0</v>
      </c>
    </row>
    <row r="5067" customFormat="false" ht="15" hidden="false" customHeight="false" outlineLevel="0" collapsed="false">
      <c r="A5067" s="4" t="s">
        <v>495</v>
      </c>
      <c r="B5067" s="36" t="s">
        <v>491</v>
      </c>
      <c r="C5067" s="48" t="n">
        <f aca="false">C5066*Assumptions!$E$20*Assumptions!$E$39*IF(C5061&gt;0,C5062/C5061,0)*C5051</f>
        <v>0</v>
      </c>
      <c r="D5067" s="48" t="n">
        <f aca="false">D5066*Assumptions!$E$20*Assumptions!$E$39*IF(D5061&gt;0,D5062/D5061,0)*D5051</f>
        <v>0</v>
      </c>
      <c r="E5067" s="48" t="n">
        <f aca="false">E5066*Assumptions!$E$20*Assumptions!$E$39*IF(E5061&gt;0,E5062/E5061,0)*E5051</f>
        <v>0</v>
      </c>
      <c r="F5067" s="48" t="n">
        <f aca="false">F5066*Assumptions!$E$20*Assumptions!$E$39*IF(F5061&gt;0,F5062/F5061,0)*F5051</f>
        <v>0</v>
      </c>
      <c r="G5067" s="48" t="n">
        <f aca="false">G5066*Assumptions!$E$20*Assumptions!$E$39*IF(G5061&gt;0,G5062/G5061,0)*G5051</f>
        <v>0</v>
      </c>
      <c r="H5067" s="48" t="n">
        <f aca="false">H5066*Assumptions!$E$20*Assumptions!$E$39*IF(H5061&gt;0,H5062/H5061,0)*H5051</f>
        <v>0</v>
      </c>
      <c r="I5067" s="48" t="n">
        <f aca="false">I5066*Assumptions!$E$20*Assumptions!$E$39*IF(I5061&gt;0,I5062/I5061,0)*I5051</f>
        <v>0</v>
      </c>
      <c r="J5067" s="48" t="n">
        <f aca="false">J5066*Assumptions!$E$20*Assumptions!$E$39*IF(J5061&gt;0,J5062/J5061,0)*J5051</f>
        <v>0</v>
      </c>
      <c r="K5067" s="48" t="n">
        <f aca="false">K5066*Assumptions!$E$20*Assumptions!$E$39*IF(K5061&gt;0,K5062/K5061,0)*K5051</f>
        <v>0</v>
      </c>
      <c r="L5067" s="48" t="n">
        <f aca="false">L5066*Assumptions!$E$20*Assumptions!$E$39*IF(L5061&gt;0,L5062/L5061,0)*L5051</f>
        <v>0</v>
      </c>
      <c r="M5067" s="48" t="n">
        <f aca="false">M5066*Assumptions!$E$20*Assumptions!$E$39*IF(M5061&gt;0,M5062/M5061,0)*M5051</f>
        <v>0</v>
      </c>
      <c r="N5067" s="48" t="n">
        <f aca="false">N5066*Assumptions!$E$20*Assumptions!$E$39*IF(N5061&gt;0,N5062/N5061,0)*N5051</f>
        <v>0</v>
      </c>
      <c r="P5067" s="49" t="n">
        <f aca="false">SUM(C5067:F5067)</f>
        <v>0</v>
      </c>
      <c r="Q5067" s="49" t="n">
        <f aca="false">SUM(G5067:J5067)</f>
        <v>0</v>
      </c>
      <c r="R5067" s="49" t="n">
        <f aca="false">SUM(K5067:N5067)</f>
        <v>0</v>
      </c>
      <c r="S5067" s="50" t="n">
        <f aca="false">SUM(P5067:R5067)</f>
        <v>0</v>
      </c>
    </row>
    <row r="5068" customFormat="false" ht="15" hidden="false" customHeight="false" outlineLevel="0" collapsed="false">
      <c r="A5068" s="4" t="s">
        <v>496</v>
      </c>
      <c r="B5068" s="36" t="s">
        <v>497</v>
      </c>
      <c r="C5068" s="48" t="n">
        <f aca="false">IF(AND(C5061&gt;0,$C$5048&gt;0),C5061*Assumptions!$E$24*(1-EXP(-$C$5048/(Assumptions!$E$23*C5061*Assumptions!$E$24))),0)</f>
        <v>0</v>
      </c>
      <c r="D5068" s="48" t="n">
        <f aca="false">IF(AND(D5061&gt;0,$C$5048&gt;0),D5061*Assumptions!$E$24*(1-EXP(-$C$5048/(Assumptions!$E$23*D5061*Assumptions!$E$24))),0)</f>
        <v>0</v>
      </c>
      <c r="E5068" s="48" t="n">
        <f aca="false">IF(AND(E5061&gt;0,$C$5048&gt;0),E5061*Assumptions!$E$24*(1-EXP(-$C$5048/(Assumptions!$E$23*E5061*Assumptions!$E$24))),0)</f>
        <v>0</v>
      </c>
      <c r="F5068" s="48" t="n">
        <f aca="false">IF(AND(F5061&gt;0,$C$5048&gt;0),F5061*Assumptions!$E$24*(1-EXP(-$C$5048/(Assumptions!$E$23*F5061*Assumptions!$E$24))),0)</f>
        <v>0</v>
      </c>
      <c r="G5068" s="48" t="n">
        <f aca="false">IF(AND(G5061&gt;0,$C$5048&gt;0),G5061*Assumptions!$E$24*(1-EXP(-$C$5048/(Assumptions!$E$23*G5061*Assumptions!$E$24))),0)</f>
        <v>0</v>
      </c>
      <c r="H5068" s="48" t="n">
        <f aca="false">IF(AND(H5061&gt;0,$C$5048&gt;0),H5061*Assumptions!$E$24*(1-EXP(-$C$5048/(Assumptions!$E$23*H5061*Assumptions!$E$24))),0)</f>
        <v>0</v>
      </c>
      <c r="I5068" s="48" t="n">
        <f aca="false">IF(AND(I5061&gt;0,$C$5048&gt;0),I5061*Assumptions!$E$24*(1-EXP(-$C$5048/(Assumptions!$E$23*I5061*Assumptions!$E$24))),0)</f>
        <v>0</v>
      </c>
      <c r="J5068" s="48" t="n">
        <f aca="false">IF(AND(J5061&gt;0,$C$5048&gt;0),J5061*Assumptions!$E$24*(1-EXP(-$C$5048/(Assumptions!$E$23*J5061*Assumptions!$E$24))),0)</f>
        <v>0</v>
      </c>
      <c r="K5068" s="48" t="n">
        <f aca="false">IF(AND(K5061&gt;0,$C$5048&gt;0),K5061*Assumptions!$E$24*(1-EXP(-$C$5048/(Assumptions!$E$23*K5061*Assumptions!$E$24))),0)</f>
        <v>0</v>
      </c>
      <c r="L5068" s="48" t="n">
        <f aca="false">IF(AND(L5061&gt;0,$C$5048&gt;0),L5061*Assumptions!$E$24*(1-EXP(-$C$5048/(Assumptions!$E$23*L5061*Assumptions!$E$24))),0)</f>
        <v>0</v>
      </c>
      <c r="M5068" s="48" t="n">
        <f aca="false">IF(AND(M5061&gt;0,$C$5048&gt;0),M5061*Assumptions!$E$24*(1-EXP(-$C$5048/(Assumptions!$E$23*M5061*Assumptions!$E$24))),0)</f>
        <v>0</v>
      </c>
      <c r="N5068" s="48" t="n">
        <f aca="false">IF(AND(N5061&gt;0,$C$5048&gt;0),N5061*Assumptions!$E$24*(1-EXP(-$C$5048/(Assumptions!$E$23*N5061*Assumptions!$E$24))),0)</f>
        <v>0</v>
      </c>
      <c r="P5068" s="49" t="n">
        <f aca="false">SUM(C5068:F5068)</f>
        <v>0</v>
      </c>
      <c r="Q5068" s="49" t="n">
        <f aca="false">SUM(G5068:J5068)</f>
        <v>0</v>
      </c>
      <c r="R5068" s="49" t="n">
        <f aca="false">SUM(K5068:N5068)</f>
        <v>0</v>
      </c>
      <c r="S5068" s="50" t="n">
        <f aca="false">SUM(P5068:R5068)</f>
        <v>0</v>
      </c>
    </row>
    <row r="5069" customFormat="false" ht="15" hidden="false" customHeight="false" outlineLevel="0" collapsed="false">
      <c r="A5069" s="4" t="s">
        <v>498</v>
      </c>
      <c r="B5069" s="36" t="s">
        <v>497</v>
      </c>
      <c r="C5069" s="48" t="n">
        <f aca="false">(C5061*Assumptions!$E$22*MIN(1,Assumptions!$D$103/Assumptions!$E$78)+C5068)*C5051</f>
        <v>5.5188772352</v>
      </c>
      <c r="D5069" s="48" t="n">
        <f aca="false">(D5061*Assumptions!$E$22*MIN(1,Assumptions!$D$103/Assumptions!$E$78)+D5068)*D5051</f>
        <v>11.0377544704</v>
      </c>
      <c r="E5069" s="48" t="n">
        <f aca="false">(E5061*Assumptions!$E$22*MIN(1,Assumptions!$D$103/Assumptions!$E$78)+E5068)*E5051</f>
        <v>11.0377544704</v>
      </c>
      <c r="F5069" s="48" t="n">
        <f aca="false">(F5061*Assumptions!$E$22*MIN(1,Assumptions!$D$103/Assumptions!$E$78)+F5068)*F5051</f>
        <v>11.0377544704</v>
      </c>
      <c r="G5069" s="48" t="n">
        <f aca="false">(G5061*Assumptions!$E$22*MIN(1,Assumptions!$D$103/Assumptions!$E$78)+G5068)*G5051</f>
        <v>14.9349950176</v>
      </c>
      <c r="H5069" s="48" t="n">
        <f aca="false">(H5061*Assumptions!$E$22*MIN(1,Assumptions!$D$103/Assumptions!$E$78)+H5068)*H5051</f>
        <v>18.8322355648</v>
      </c>
      <c r="I5069" s="48" t="n">
        <f aca="false">(I5061*Assumptions!$E$22*MIN(1,Assumptions!$D$103/Assumptions!$E$78)+I5068)*I5051</f>
        <v>31.6761039616</v>
      </c>
      <c r="J5069" s="48" t="n">
        <f aca="false">(J5061*Assumptions!$E$22*MIN(1,Assumptions!$D$103/Assumptions!$E$78)+J5068)*J5051</f>
        <v>44.5199723584</v>
      </c>
      <c r="K5069" s="48" t="n">
        <f aca="false">(K5061*Assumptions!$E$22*MIN(1,Assumptions!$D$103/Assumptions!$E$78)+K5068)*K5051</f>
        <v>44.5199723584</v>
      </c>
      <c r="L5069" s="48" t="n">
        <f aca="false">(L5061*Assumptions!$E$22*MIN(1,Assumptions!$D$103/Assumptions!$E$78)+L5068)*L5051</f>
        <v>44.5199723584</v>
      </c>
      <c r="M5069" s="48" t="n">
        <f aca="false">(M5061*Assumptions!$E$22*MIN(1,Assumptions!$D$103/Assumptions!$E$78)+M5068)*M5051</f>
        <v>44.5199723584</v>
      </c>
      <c r="N5069" s="48" t="n">
        <f aca="false">(N5061*Assumptions!$E$22*MIN(1,Assumptions!$D$103/Assumptions!$E$78)+N5068)*N5051</f>
        <v>44.5199723584</v>
      </c>
      <c r="P5069" s="49" t="n">
        <f aca="false">SUM(C5069:F5069)</f>
        <v>38.6321406464</v>
      </c>
      <c r="Q5069" s="49" t="n">
        <f aca="false">SUM(G5069:J5069)</f>
        <v>109.9633069024</v>
      </c>
      <c r="R5069" s="49" t="n">
        <f aca="false">SUM(K5069:N5069)</f>
        <v>178.0798894336</v>
      </c>
      <c r="S5069" s="50" t="n">
        <f aca="false">SUM(P5069:R5069)</f>
        <v>326.6753369824</v>
      </c>
    </row>
    <row r="5070" customFormat="false" ht="15" hidden="false" customHeight="false" outlineLevel="0" collapsed="false">
      <c r="A5070" s="4" t="s">
        <v>499</v>
      </c>
      <c r="B5070" s="36" t="s">
        <v>500</v>
      </c>
      <c r="C5070" s="48" t="n">
        <f aca="false">C5051*MIN(Assumptions!$E$27,Assumptions!$E$25+Assumptions!$E$26*(C5050-1))*Assumptions!$D$107</f>
        <v>2</v>
      </c>
      <c r="D5070" s="48" t="n">
        <f aca="false">D5051*MIN(Assumptions!$E$27,Assumptions!$E$25+Assumptions!$E$26*(D5050-1))*Assumptions!$D$107</f>
        <v>3</v>
      </c>
      <c r="E5070" s="48" t="n">
        <f aca="false">E5051*MIN(Assumptions!$E$27,Assumptions!$E$25+Assumptions!$E$26*(E5050-1))*Assumptions!$D$107</f>
        <v>4</v>
      </c>
      <c r="F5070" s="48" t="n">
        <f aca="false">F5051*MIN(Assumptions!$E$27,Assumptions!$E$25+Assumptions!$E$26*(F5050-1))*Assumptions!$D$107</f>
        <v>5</v>
      </c>
      <c r="G5070" s="48" t="n">
        <f aca="false">G5051*MIN(Assumptions!$E$27,Assumptions!$E$25+Assumptions!$E$26*(G5050-1))*Assumptions!$D$107</f>
        <v>6</v>
      </c>
      <c r="H5070" s="48" t="n">
        <f aca="false">H5051*MIN(Assumptions!$E$27,Assumptions!$E$25+Assumptions!$E$26*(H5050-1))*Assumptions!$D$107</f>
        <v>7</v>
      </c>
      <c r="I5070" s="48" t="n">
        <f aca="false">I5051*MIN(Assumptions!$E$27,Assumptions!$E$25+Assumptions!$E$26*(I5050-1))*Assumptions!$D$107</f>
        <v>8</v>
      </c>
      <c r="J5070" s="48" t="n">
        <f aca="false">J5051*MIN(Assumptions!$E$27,Assumptions!$E$25+Assumptions!$E$26*(J5050-1))*Assumptions!$D$107</f>
        <v>9</v>
      </c>
      <c r="K5070" s="48" t="n">
        <f aca="false">K5051*MIN(Assumptions!$E$27,Assumptions!$E$25+Assumptions!$E$26*(K5050-1))*Assumptions!$D$107</f>
        <v>10</v>
      </c>
      <c r="L5070" s="48" t="n">
        <f aca="false">L5051*MIN(Assumptions!$E$27,Assumptions!$E$25+Assumptions!$E$26*(L5050-1))*Assumptions!$D$107</f>
        <v>10</v>
      </c>
      <c r="M5070" s="48" t="n">
        <f aca="false">M5051*MIN(Assumptions!$E$27,Assumptions!$E$25+Assumptions!$E$26*(M5050-1))*Assumptions!$D$107</f>
        <v>10</v>
      </c>
      <c r="N5070" s="48" t="n">
        <f aca="false">N5051*MIN(Assumptions!$E$27,Assumptions!$E$25+Assumptions!$E$26*(N5050-1))*Assumptions!$D$107</f>
        <v>10</v>
      </c>
      <c r="P5070" s="49" t="n">
        <f aca="false">F5070</f>
        <v>5</v>
      </c>
      <c r="Q5070" s="49" t="n">
        <f aca="false">J5070</f>
        <v>9</v>
      </c>
      <c r="R5070" s="49" t="n">
        <f aca="false">N5070</f>
        <v>10</v>
      </c>
      <c r="S5070" s="50" t="n">
        <f aca="false">R5070</f>
        <v>10</v>
      </c>
    </row>
    <row r="5071" customFormat="false" ht="15" hidden="false" customHeight="false" outlineLevel="0" collapsed="false">
      <c r="A5071" s="4" t="s">
        <v>501</v>
      </c>
      <c r="B5071" s="36" t="s">
        <v>502</v>
      </c>
      <c r="C5071" s="48" t="n">
        <f aca="false">C5070*Assumptions!$E$28</f>
        <v>6</v>
      </c>
      <c r="D5071" s="48" t="n">
        <f aca="false">D5070*Assumptions!$E$28</f>
        <v>9</v>
      </c>
      <c r="E5071" s="48" t="n">
        <f aca="false">E5070*Assumptions!$E$28</f>
        <v>12</v>
      </c>
      <c r="F5071" s="48" t="n">
        <f aca="false">F5070*Assumptions!$E$28</f>
        <v>15</v>
      </c>
      <c r="G5071" s="48" t="n">
        <f aca="false">G5070*Assumptions!$E$28</f>
        <v>18</v>
      </c>
      <c r="H5071" s="48" t="n">
        <f aca="false">H5070*Assumptions!$E$28</f>
        <v>21</v>
      </c>
      <c r="I5071" s="48" t="n">
        <f aca="false">I5070*Assumptions!$E$28</f>
        <v>24</v>
      </c>
      <c r="J5071" s="48" t="n">
        <f aca="false">J5070*Assumptions!$E$28</f>
        <v>27</v>
      </c>
      <c r="K5071" s="48" t="n">
        <f aca="false">K5070*Assumptions!$E$28</f>
        <v>30</v>
      </c>
      <c r="L5071" s="48" t="n">
        <f aca="false">L5070*Assumptions!$E$28</f>
        <v>30</v>
      </c>
      <c r="M5071" s="48" t="n">
        <f aca="false">M5070*Assumptions!$E$28</f>
        <v>30</v>
      </c>
      <c r="N5071" s="48" t="n">
        <f aca="false">N5070*Assumptions!$E$28</f>
        <v>30</v>
      </c>
      <c r="P5071" s="49" t="n">
        <f aca="false">SUM(C5071:F5071)</f>
        <v>42</v>
      </c>
      <c r="Q5071" s="49" t="n">
        <f aca="false">SUM(G5071:J5071)</f>
        <v>90</v>
      </c>
      <c r="R5071" s="49" t="n">
        <f aca="false">SUM(K5071:N5071)</f>
        <v>120</v>
      </c>
      <c r="S5071" s="50" t="n">
        <f aca="false">SUM(P5071:R5071)</f>
        <v>252</v>
      </c>
    </row>
    <row r="5072" customFormat="false" ht="15" hidden="false" customHeight="false" outlineLevel="0" collapsed="false">
      <c r="A5072" s="4" t="s">
        <v>503</v>
      </c>
      <c r="B5072" s="36" t="s">
        <v>504</v>
      </c>
      <c r="C5072" s="48" t="n">
        <f aca="false">(C5063+C5067)*Assumptions!$E$29</f>
        <v>2.649061072896</v>
      </c>
      <c r="D5072" s="48" t="n">
        <f aca="false">(D5063+D5067)*Assumptions!$E$29</f>
        <v>4.93045821299048</v>
      </c>
      <c r="E5072" s="48" t="n">
        <f aca="false">(E5063+E5067)*Assumptions!$E$29</f>
        <v>4.58830837060879</v>
      </c>
      <c r="F5072" s="48" t="n">
        <f aca="false">(F5063+F5067)*Assumptions!$E$29</f>
        <v>4.26990206474738</v>
      </c>
      <c r="G5072" s="48" t="n">
        <f aca="false">(G5063+G5067)*Assumptions!$E$29</f>
        <v>5.844267072</v>
      </c>
      <c r="H5072" s="48" t="n">
        <f aca="false">(H5063+H5067)*Assumptions!$E$29</f>
        <v>7.17956301044434</v>
      </c>
      <c r="I5072" s="48" t="n">
        <f aca="false">(I5063+I5067)*Assumptions!$E$29</f>
        <v>12.8463930542132</v>
      </c>
      <c r="J5072" s="48" t="n">
        <f aca="false">(J5063+J5067)*Assumptions!$E$29</f>
        <v>17.6921476412567</v>
      </c>
      <c r="K5072" s="48" t="n">
        <f aca="false">(K5063+K5067)*Assumptions!$E$29</f>
        <v>16.4643985629052</v>
      </c>
      <c r="L5072" s="48" t="n">
        <f aca="false">(L5063+L5067)*Assumptions!$E$29</f>
        <v>15.3218493048332</v>
      </c>
      <c r="M5072" s="48" t="n">
        <f aca="false">(M5063+M5067)*Assumptions!$E$29</f>
        <v>14.2585874135079</v>
      </c>
      <c r="N5072" s="48" t="n">
        <f aca="false">(N5063+N5067)*Assumptions!$E$29</f>
        <v>13.2691107309425</v>
      </c>
      <c r="P5072" s="49" t="n">
        <f aca="false">SUM(C5072:F5072)</f>
        <v>16.4377297212427</v>
      </c>
      <c r="Q5072" s="49" t="n">
        <f aca="false">SUM(G5072:J5072)</f>
        <v>43.5623707779142</v>
      </c>
      <c r="R5072" s="49" t="n">
        <f aca="false">SUM(K5072:N5072)</f>
        <v>59.3139460121888</v>
      </c>
      <c r="S5072" s="50" t="n">
        <f aca="false">SUM(P5072:R5072)</f>
        <v>119.314046511346</v>
      </c>
    </row>
    <row r="5073" customFormat="false" ht="15" hidden="false" customHeight="false" outlineLevel="0" collapsed="false">
      <c r="A5073" s="4" t="s">
        <v>505</v>
      </c>
      <c r="B5073" s="36" t="s">
        <v>504</v>
      </c>
      <c r="C5073" s="48" t="n">
        <f aca="false">C5069*Assumptions!$E$31</f>
        <v>0.883020357632</v>
      </c>
      <c r="D5073" s="48" t="n">
        <f aca="false">D5069*Assumptions!$E$31</f>
        <v>1.766040715264</v>
      </c>
      <c r="E5073" s="48" t="n">
        <f aca="false">E5069*Assumptions!$E$31</f>
        <v>1.766040715264</v>
      </c>
      <c r="F5073" s="48" t="n">
        <f aca="false">F5069*Assumptions!$E$31</f>
        <v>1.766040715264</v>
      </c>
      <c r="G5073" s="48" t="n">
        <f aca="false">G5069*Assumptions!$E$31</f>
        <v>2.389599202816</v>
      </c>
      <c r="H5073" s="48" t="n">
        <f aca="false">H5069*Assumptions!$E$31</f>
        <v>3.013157690368</v>
      </c>
      <c r="I5073" s="48" t="n">
        <f aca="false">I5069*Assumptions!$E$31</f>
        <v>5.068176633856</v>
      </c>
      <c r="J5073" s="48" t="n">
        <f aca="false">J5069*Assumptions!$E$31</f>
        <v>7.123195577344</v>
      </c>
      <c r="K5073" s="48" t="n">
        <f aca="false">K5069*Assumptions!$E$31</f>
        <v>7.123195577344</v>
      </c>
      <c r="L5073" s="48" t="n">
        <f aca="false">L5069*Assumptions!$E$31</f>
        <v>7.123195577344</v>
      </c>
      <c r="M5073" s="48" t="n">
        <f aca="false">M5069*Assumptions!$E$31</f>
        <v>7.123195577344</v>
      </c>
      <c r="N5073" s="48" t="n">
        <f aca="false">N5069*Assumptions!$E$31</f>
        <v>7.123195577344</v>
      </c>
      <c r="P5073" s="49" t="n">
        <f aca="false">SUM(C5073:F5073)</f>
        <v>6.181142503424</v>
      </c>
      <c r="Q5073" s="49" t="n">
        <f aca="false">SUM(G5073:J5073)</f>
        <v>17.594129104384</v>
      </c>
      <c r="R5073" s="49" t="n">
        <f aca="false">SUM(K5073:N5073)</f>
        <v>28.492782309376</v>
      </c>
      <c r="S5073" s="50" t="n">
        <f aca="false">SUM(P5073:R5073)</f>
        <v>52.268053917184</v>
      </c>
    </row>
    <row r="5074" customFormat="false" ht="15" hidden="false" customHeight="false" outlineLevel="0" collapsed="false">
      <c r="A5074" s="4" t="s">
        <v>506</v>
      </c>
      <c r="B5074" s="36" t="s">
        <v>504</v>
      </c>
      <c r="C5074" s="48" t="n">
        <f aca="false">C5071*Assumptions!$E$30</f>
        <v>3</v>
      </c>
      <c r="D5074" s="48" t="n">
        <f aca="false">D5071*Assumptions!$E$30</f>
        <v>4.5</v>
      </c>
      <c r="E5074" s="48" t="n">
        <f aca="false">E5071*Assumptions!$E$30</f>
        <v>6</v>
      </c>
      <c r="F5074" s="48" t="n">
        <f aca="false">F5071*Assumptions!$E$30</f>
        <v>7.5</v>
      </c>
      <c r="G5074" s="48" t="n">
        <f aca="false">G5071*Assumptions!$E$30</f>
        <v>9</v>
      </c>
      <c r="H5074" s="48" t="n">
        <f aca="false">H5071*Assumptions!$E$30</f>
        <v>10.5</v>
      </c>
      <c r="I5074" s="48" t="n">
        <f aca="false">I5071*Assumptions!$E$30</f>
        <v>12</v>
      </c>
      <c r="J5074" s="48" t="n">
        <f aca="false">J5071*Assumptions!$E$30</f>
        <v>13.5</v>
      </c>
      <c r="K5074" s="48" t="n">
        <f aca="false">K5071*Assumptions!$E$30</f>
        <v>15</v>
      </c>
      <c r="L5074" s="48" t="n">
        <f aca="false">L5071*Assumptions!$E$30</f>
        <v>15</v>
      </c>
      <c r="M5074" s="48" t="n">
        <f aca="false">M5071*Assumptions!$E$30</f>
        <v>15</v>
      </c>
      <c r="N5074" s="48" t="n">
        <f aca="false">N5071*Assumptions!$E$30</f>
        <v>15</v>
      </c>
      <c r="P5074" s="49" t="n">
        <f aca="false">SUM(C5074:F5074)</f>
        <v>21</v>
      </c>
      <c r="Q5074" s="49" t="n">
        <f aca="false">SUM(G5074:J5074)</f>
        <v>45</v>
      </c>
      <c r="R5074" s="49" t="n">
        <f aca="false">SUM(K5074:N5074)</f>
        <v>60</v>
      </c>
      <c r="S5074" s="50" t="n">
        <f aca="false">SUM(P5074:R5074)</f>
        <v>126</v>
      </c>
    </row>
    <row r="5075" customFormat="false" ht="15" hidden="false" customHeight="false" outlineLevel="0" collapsed="false">
      <c r="A5075" s="9" t="s">
        <v>507</v>
      </c>
      <c r="B5075" s="36" t="s">
        <v>504</v>
      </c>
      <c r="C5075" s="49" t="n">
        <f aca="false">C5072+C5073+C5074</f>
        <v>6.532081430528</v>
      </c>
      <c r="D5075" s="49" t="n">
        <f aca="false">D5072+D5073+D5074</f>
        <v>11.1964989282545</v>
      </c>
      <c r="E5075" s="49" t="n">
        <f aca="false">E5072+E5073+E5074</f>
        <v>12.3543490858728</v>
      </c>
      <c r="F5075" s="49" t="n">
        <f aca="false">F5072+F5073+F5074</f>
        <v>13.5359427800114</v>
      </c>
      <c r="G5075" s="49" t="n">
        <f aca="false">G5072+G5073+G5074</f>
        <v>17.233866274816</v>
      </c>
      <c r="H5075" s="49" t="n">
        <f aca="false">H5072+H5073+H5074</f>
        <v>20.6927207008123</v>
      </c>
      <c r="I5075" s="49" t="n">
        <f aca="false">I5072+I5073+I5074</f>
        <v>29.9145696880692</v>
      </c>
      <c r="J5075" s="49" t="n">
        <f aca="false">J5072+J5073+J5074</f>
        <v>38.3153432186007</v>
      </c>
      <c r="K5075" s="49" t="n">
        <f aca="false">K5072+K5073+K5074</f>
        <v>38.5875941402492</v>
      </c>
      <c r="L5075" s="49" t="n">
        <f aca="false">L5072+L5073+L5074</f>
        <v>37.4450448821772</v>
      </c>
      <c r="M5075" s="49" t="n">
        <f aca="false">M5072+M5073+M5074</f>
        <v>36.3817829908519</v>
      </c>
      <c r="N5075" s="49" t="n">
        <f aca="false">N5072+N5073+N5074</f>
        <v>35.3923063082865</v>
      </c>
      <c r="P5075" s="49" t="n">
        <f aca="false">SUM(C5075:F5075)</f>
        <v>43.6188722246667</v>
      </c>
      <c r="Q5075" s="49" t="n">
        <f aca="false">SUM(G5075:J5075)</f>
        <v>106.156499882298</v>
      </c>
      <c r="R5075" s="49" t="n">
        <f aca="false">SUM(K5075:N5075)</f>
        <v>147.806728321565</v>
      </c>
      <c r="S5075" s="50" t="n">
        <f aca="false">SUM(P5075:R5075)</f>
        <v>297.58210042853</v>
      </c>
    </row>
    <row r="5076" customFormat="false" ht="15" hidden="false" customHeight="false" outlineLevel="0" collapsed="false">
      <c r="A5076" s="4" t="s">
        <v>508</v>
      </c>
      <c r="B5076" s="36" t="s">
        <v>509</v>
      </c>
      <c r="C5076" s="48" t="n">
        <f aca="false">C5058</f>
        <v>421.51972352</v>
      </c>
      <c r="D5076" s="48" t="n">
        <f aca="false">D5058</f>
        <v>843.03944704</v>
      </c>
      <c r="E5076" s="48" t="n">
        <f aca="false">E5058</f>
        <v>843.03944704</v>
      </c>
      <c r="F5076" s="48" t="n">
        <f aca="false">F5058</f>
        <v>843.03944704</v>
      </c>
      <c r="G5076" s="48" t="n">
        <f aca="false">G5058</f>
        <v>1149.32798176</v>
      </c>
      <c r="H5076" s="48" t="n">
        <f aca="false">H5058</f>
        <v>1455.61651648</v>
      </c>
      <c r="I5076" s="48" t="n">
        <f aca="false">I5058</f>
        <v>2486.00303616</v>
      </c>
      <c r="J5076" s="48" t="n">
        <f aca="false">J5058</f>
        <v>3516.38955584</v>
      </c>
      <c r="K5076" s="48" t="n">
        <f aca="false">K5058</f>
        <v>3516.38955584</v>
      </c>
      <c r="L5076" s="48" t="n">
        <f aca="false">L5058</f>
        <v>3516.38955584</v>
      </c>
      <c r="M5076" s="48" t="n">
        <f aca="false">M5058</f>
        <v>3516.38955584</v>
      </c>
      <c r="N5076" s="48" t="n">
        <f aca="false">N5058</f>
        <v>3516.38955584</v>
      </c>
      <c r="P5076" s="49"/>
      <c r="Q5076" s="49"/>
      <c r="R5076" s="49"/>
      <c r="S5076" s="50"/>
    </row>
    <row r="5077" customFormat="false" ht="15" hidden="false" customHeight="false" outlineLevel="0" collapsed="false">
      <c r="A5077" s="4" t="s">
        <v>510</v>
      </c>
      <c r="B5077" s="36" t="s">
        <v>509</v>
      </c>
      <c r="C5077" s="48" t="n">
        <f aca="false">C5059*Assumptions!$E$18*Assumptions!$E$33</f>
        <v>211.19616</v>
      </c>
      <c r="D5077" s="48" t="n">
        <f aca="false">D5059*Assumptions!$E$18*Assumptions!$E$33</f>
        <v>422.39232</v>
      </c>
      <c r="E5077" s="48" t="n">
        <f aca="false">E5059*Assumptions!$E$18*Assumptions!$E$33</f>
        <v>422.39232</v>
      </c>
      <c r="F5077" s="48" t="n">
        <f aca="false">F5059*Assumptions!$E$18*Assumptions!$E$33</f>
        <v>422.39232</v>
      </c>
      <c r="G5077" s="48" t="n">
        <f aca="false">G5059*Assumptions!$E$18*Assumptions!$E$33</f>
        <v>564.49344</v>
      </c>
      <c r="H5077" s="48" t="n">
        <f aca="false">H5059*Assumptions!$E$18*Assumptions!$E$33</f>
        <v>706.59456</v>
      </c>
      <c r="I5077" s="48" t="n">
        <f aca="false">I5059*Assumptions!$E$18*Assumptions!$E$33</f>
        <v>1135.07072</v>
      </c>
      <c r="J5077" s="48" t="n">
        <f aca="false">J5059*Assumptions!$E$18*Assumptions!$E$33</f>
        <v>1563.54688</v>
      </c>
      <c r="K5077" s="48" t="n">
        <f aca="false">K5059*Assumptions!$E$18*Assumptions!$E$33</f>
        <v>1563.54688</v>
      </c>
      <c r="L5077" s="48" t="n">
        <f aca="false">L5059*Assumptions!$E$18*Assumptions!$E$33</f>
        <v>1563.54688</v>
      </c>
      <c r="M5077" s="48" t="n">
        <f aca="false">M5059*Assumptions!$E$18*Assumptions!$E$33</f>
        <v>1563.54688</v>
      </c>
      <c r="N5077" s="48" t="n">
        <f aca="false">N5059*Assumptions!$E$18*Assumptions!$E$33</f>
        <v>1563.54688</v>
      </c>
      <c r="P5077" s="49"/>
      <c r="Q5077" s="49"/>
      <c r="R5077" s="49"/>
      <c r="S5077" s="50"/>
    </row>
    <row r="5078" customFormat="false" ht="15" hidden="false" customHeight="false" outlineLevel="0" collapsed="false">
      <c r="A5078" s="4" t="s">
        <v>511</v>
      </c>
      <c r="B5078" s="36" t="s">
        <v>509</v>
      </c>
      <c r="C5078" s="48" t="n">
        <f aca="false">C5060*Assumptions!$E$19*Assumptions!$D$34</f>
        <v>24.76992</v>
      </c>
      <c r="D5078" s="48" t="n">
        <f aca="false">D5060*Assumptions!$E$19*Assumptions!$D$34</f>
        <v>49.53984</v>
      </c>
      <c r="E5078" s="48" t="n">
        <f aca="false">E5060*Assumptions!$E$19*Assumptions!$D$34</f>
        <v>49.53984</v>
      </c>
      <c r="F5078" s="48" t="n">
        <f aca="false">F5060*Assumptions!$E$19*Assumptions!$D$34</f>
        <v>49.53984</v>
      </c>
      <c r="G5078" s="48" t="n">
        <f aca="false">G5060*Assumptions!$E$19*Assumptions!$D$34</f>
        <v>61.9248</v>
      </c>
      <c r="H5078" s="48" t="n">
        <f aca="false">H5060*Assumptions!$E$19*Assumptions!$D$34</f>
        <v>74.30976</v>
      </c>
      <c r="I5078" s="48" t="n">
        <f aca="false">I5060*Assumptions!$E$19*Assumptions!$D$34</f>
        <v>114.072</v>
      </c>
      <c r="J5078" s="48" t="n">
        <f aca="false">J5060*Assumptions!$E$19*Assumptions!$D$34</f>
        <v>153.83424</v>
      </c>
      <c r="K5078" s="48" t="n">
        <f aca="false">K5060*Assumptions!$E$19*Assumptions!$D$34</f>
        <v>153.83424</v>
      </c>
      <c r="L5078" s="48" t="n">
        <f aca="false">L5060*Assumptions!$E$19*Assumptions!$D$34</f>
        <v>153.83424</v>
      </c>
      <c r="M5078" s="48" t="n">
        <f aca="false">M5060*Assumptions!$E$19*Assumptions!$D$34</f>
        <v>153.83424</v>
      </c>
      <c r="N5078" s="48" t="n">
        <f aca="false">N5060*Assumptions!$E$19*Assumptions!$D$34</f>
        <v>153.83424</v>
      </c>
      <c r="P5078" s="49"/>
      <c r="Q5078" s="49"/>
      <c r="R5078" s="49"/>
      <c r="S5078" s="50"/>
    </row>
    <row r="5079" customFormat="false" ht="15" hidden="false" customHeight="false" outlineLevel="0" collapsed="false">
      <c r="A5079" s="4" t="s">
        <v>512</v>
      </c>
      <c r="B5079" s="36" t="s">
        <v>77</v>
      </c>
      <c r="C5079" s="51" t="n">
        <f aca="false">IFERROR(C5076/(C5076+C5077+C5078),0)</f>
        <v>0.641108479093082</v>
      </c>
      <c r="D5079" s="51" t="n">
        <f aca="false">IFERROR(D5076/(D5076+D5077+D5078),0)</f>
        <v>0.641108479093082</v>
      </c>
      <c r="E5079" s="51" t="n">
        <f aca="false">IFERROR(E5076/(E5076+E5077+E5078),0)</f>
        <v>0.641108479093082</v>
      </c>
      <c r="F5079" s="51" t="n">
        <f aca="false">IFERROR(F5076/(F5076+F5077+F5078),0)</f>
        <v>0.641108479093082</v>
      </c>
      <c r="G5079" s="51" t="n">
        <f aca="false">IFERROR(G5076/(G5076+G5077+G5078),0)</f>
        <v>0.647236619555278</v>
      </c>
      <c r="H5079" s="51" t="n">
        <f aca="false">IFERROR(H5076/(H5076+H5077+H5078),0)</f>
        <v>0.650839684896903</v>
      </c>
      <c r="I5079" s="51" t="n">
        <f aca="false">IFERROR(I5076/(I5076+I5077+I5078),0)</f>
        <v>0.665570555596147</v>
      </c>
      <c r="J5079" s="51" t="n">
        <f aca="false">IFERROR(J5076/(J5076+J5077+J5078),0)</f>
        <v>0.671865424305323</v>
      </c>
      <c r="K5079" s="51" t="n">
        <f aca="false">IFERROR(K5076/(K5076+K5077+K5078),0)</f>
        <v>0.671865424305323</v>
      </c>
      <c r="L5079" s="51" t="n">
        <f aca="false">IFERROR(L5076/(L5076+L5077+L5078),0)</f>
        <v>0.671865424305323</v>
      </c>
      <c r="M5079" s="51" t="n">
        <f aca="false">IFERROR(M5076/(M5076+M5077+M5078),0)</f>
        <v>0.671865424305323</v>
      </c>
      <c r="N5079" s="51" t="n">
        <f aca="false">IFERROR(N5076/(N5076+N5077+N5078),0)</f>
        <v>0.671865424305323</v>
      </c>
      <c r="P5079" s="52"/>
      <c r="Q5079" s="52"/>
      <c r="R5079" s="52"/>
      <c r="S5079" s="53"/>
    </row>
    <row r="5080" customFormat="false" ht="15" hidden="false" customHeight="false" outlineLevel="0" collapsed="false">
      <c r="A5080" s="4" t="s">
        <v>513</v>
      </c>
      <c r="B5080" s="36" t="s">
        <v>77</v>
      </c>
      <c r="C5080" s="51" t="n">
        <f aca="false">IFERROR(C5077/(C5076+C5077+C5078),0)</f>
        <v>0.321217825342104</v>
      </c>
      <c r="D5080" s="51" t="n">
        <f aca="false">IFERROR(D5077/(D5076+D5077+D5078),0)</f>
        <v>0.321217825342104</v>
      </c>
      <c r="E5080" s="51" t="n">
        <f aca="false">IFERROR(E5077/(E5076+E5077+E5078),0)</f>
        <v>0.321217825342104</v>
      </c>
      <c r="F5080" s="51" t="n">
        <f aca="false">IFERROR(F5077/(F5076+F5077+F5078),0)</f>
        <v>0.321217825342104</v>
      </c>
      <c r="G5080" s="51" t="n">
        <f aca="false">IFERROR(G5077/(G5076+G5077+G5078),0)</f>
        <v>0.317890829828438</v>
      </c>
      <c r="H5080" s="51" t="n">
        <f aca="false">IFERROR(H5077/(H5076+H5077+H5078),0)</f>
        <v>0.315934709158395</v>
      </c>
      <c r="I5080" s="51" t="n">
        <f aca="false">IFERROR(I5077/(I5076+I5077+I5078),0)</f>
        <v>0.303889270754171</v>
      </c>
      <c r="J5080" s="51" t="n">
        <f aca="false">IFERROR(J5077/(J5076+J5077+J5078),0)</f>
        <v>0.298741954288828</v>
      </c>
      <c r="K5080" s="51" t="n">
        <f aca="false">IFERROR(K5077/(K5076+K5077+K5078),0)</f>
        <v>0.298741954288828</v>
      </c>
      <c r="L5080" s="51" t="n">
        <f aca="false">IFERROR(L5077/(L5076+L5077+L5078),0)</f>
        <v>0.298741954288828</v>
      </c>
      <c r="M5080" s="51" t="n">
        <f aca="false">IFERROR(M5077/(M5076+M5077+M5078),0)</f>
        <v>0.298741954288828</v>
      </c>
      <c r="N5080" s="51" t="n">
        <f aca="false">IFERROR(N5077/(N5076+N5077+N5078),0)</f>
        <v>0.298741954288828</v>
      </c>
      <c r="P5080" s="52"/>
      <c r="Q5080" s="52"/>
      <c r="R5080" s="52"/>
      <c r="S5080" s="53"/>
    </row>
    <row r="5081" customFormat="false" ht="15" hidden="false" customHeight="false" outlineLevel="0" collapsed="false">
      <c r="A5081" s="4" t="s">
        <v>514</v>
      </c>
      <c r="B5081" s="36" t="s">
        <v>77</v>
      </c>
      <c r="C5081" s="51" t="n">
        <f aca="false">IFERROR(C5078/(C5076+C5077+C5078),0)</f>
        <v>0.0376736955648146</v>
      </c>
      <c r="D5081" s="51" t="n">
        <f aca="false">IFERROR(D5078/(D5076+D5077+D5078),0)</f>
        <v>0.0376736955648146</v>
      </c>
      <c r="E5081" s="51" t="n">
        <f aca="false">IFERROR(E5078/(E5076+E5077+E5078),0)</f>
        <v>0.0376736955648146</v>
      </c>
      <c r="F5081" s="51" t="n">
        <f aca="false">IFERROR(F5078/(F5076+F5077+F5078),0)</f>
        <v>0.0376736955648146</v>
      </c>
      <c r="G5081" s="51" t="n">
        <f aca="false">IFERROR(G5078/(G5076+G5077+G5078),0)</f>
        <v>0.0348725506162836</v>
      </c>
      <c r="H5081" s="51" t="n">
        <f aca="false">IFERROR(H5078/(H5076+H5077+H5078),0)</f>
        <v>0.0332256059447021</v>
      </c>
      <c r="I5081" s="51" t="n">
        <f aca="false">IFERROR(I5078/(I5076+I5077+I5078),0)</f>
        <v>0.0305401736496822</v>
      </c>
      <c r="J5081" s="51" t="n">
        <f aca="false">IFERROR(J5078/(J5076+J5077+J5078),0)</f>
        <v>0.0293926214058491</v>
      </c>
      <c r="K5081" s="51" t="n">
        <f aca="false">IFERROR(K5078/(K5076+K5077+K5078),0)</f>
        <v>0.0293926214058491</v>
      </c>
      <c r="L5081" s="51" t="n">
        <f aca="false">IFERROR(L5078/(L5076+L5077+L5078),0)</f>
        <v>0.0293926214058491</v>
      </c>
      <c r="M5081" s="51" t="n">
        <f aca="false">IFERROR(M5078/(M5076+M5077+M5078),0)</f>
        <v>0.0293926214058491</v>
      </c>
      <c r="N5081" s="51" t="n">
        <f aca="false">IFERROR(N5078/(N5076+N5077+N5078),0)</f>
        <v>0.0293926214058491</v>
      </c>
      <c r="P5081" s="52"/>
      <c r="Q5081" s="52"/>
      <c r="R5081" s="52"/>
      <c r="S5081" s="53"/>
    </row>
    <row r="5082" customFormat="false" ht="15" hidden="false" customHeight="false" outlineLevel="0" collapsed="false">
      <c r="A5082" s="4" t="s">
        <v>515</v>
      </c>
      <c r="B5082" s="36" t="s">
        <v>516</v>
      </c>
      <c r="C5082" s="48" t="n">
        <f aca="false">IF(C5050-Assumptions!$E$35&lt;1,0,INDEX($C$5075:$N$5075,1,C5050-Assumptions!$E$35)*INDEX($C$5079:$N$5079,1,C5050-Assumptions!$E$35)*Assumptions!$E$32)</f>
        <v>0</v>
      </c>
      <c r="D5082" s="48" t="n">
        <f aca="false">IF(D5050-Assumptions!$E$35&lt;1,0,INDEX($C$5075:$N$5075,1,D5050-Assumptions!$E$35)*INDEX($C$5079:$N$5079,1,D5050-Assumptions!$E$35)*Assumptions!$E$32)</f>
        <v>0.879432286159974</v>
      </c>
      <c r="E5082" s="48" t="n">
        <f aca="false">IF(E5050-Assumptions!$E$35&lt;1,0,INDEX($C$5075:$N$5075,1,E5050-Assumptions!$E$35)*INDEX($C$5079:$N$5079,1,E5050-Assumptions!$E$35)*Assumptions!$E$32)</f>
        <v>1.50741578380272</v>
      </c>
      <c r="F5082" s="48" t="n">
        <f aca="false">IF(F5050-Assumptions!$E$35&lt;1,0,INDEX($C$5075:$N$5075,1,F5050-Assumptions!$E$35)*INDEX($C$5079:$N$5079,1,F5050-Assumptions!$E$35)*Assumptions!$E$32)</f>
        <v>1.66330037005207</v>
      </c>
      <c r="G5082" s="48" t="n">
        <f aca="false">IF(G5050-Assumptions!$E$35&lt;1,0,INDEX($C$5075:$N$5075,1,G5050-Assumptions!$E$35)*INDEX($C$5079:$N$5079,1,G5050-Assumptions!$E$35)*Assumptions!$E$32)</f>
        <v>1.82238161464466</v>
      </c>
      <c r="H5082" s="48" t="n">
        <f aca="false">IF(H5050-Assumptions!$E$35&lt;1,0,INDEX($C$5075:$N$5075,1,H5050-Assumptions!$E$35)*INDEX($C$5079:$N$5079,1,H5050-Assumptions!$E$35)*Assumptions!$E$32)</f>
        <v>2.34242176341172</v>
      </c>
      <c r="I5082" s="48" t="n">
        <f aca="false">IF(I5050-Assumptions!$E$35&lt;1,0,INDEX($C$5075:$N$5075,1,I5050-Assumptions!$E$35)*INDEX($C$5079:$N$5079,1,I5050-Assumptions!$E$35)*Assumptions!$E$32)</f>
        <v>2.82820520232103</v>
      </c>
      <c r="J5082" s="48" t="n">
        <f aca="false">IF(J5050-Assumptions!$E$35&lt;1,0,INDEX($C$5075:$N$5075,1,J5050-Assumptions!$E$35)*INDEX($C$5079:$N$5079,1,J5050-Assumptions!$E$35)*Assumptions!$E$32)</f>
        <v>4.18115392121865</v>
      </c>
      <c r="K5082" s="48" t="n">
        <f aca="false">IF(K5050-Assumptions!$E$35&lt;1,0,INDEX($C$5075:$N$5075,1,K5050-Assumptions!$E$35)*INDEX($C$5079:$N$5079,1,K5050-Assumptions!$E$35)*Assumptions!$E$32)</f>
        <v>5.40597840908354</v>
      </c>
      <c r="L5082" s="48" t="n">
        <f aca="false">IF(L5050-Assumptions!$E$35&lt;1,0,INDEX($C$5075:$N$5075,1,L5050-Assumptions!$E$35)*INDEX($C$5079:$N$5079,1,L5050-Assumptions!$E$35)*Assumptions!$E$32)</f>
        <v>5.44439076509163</v>
      </c>
      <c r="M5082" s="48" t="n">
        <f aca="false">IF(M5050-Assumptions!$E$35&lt;1,0,INDEX($C$5075:$N$5075,1,M5050-Assumptions!$E$35)*INDEX($C$5079:$N$5079,1,M5050-Assumptions!$E$35)*Assumptions!$E$32)</f>
        <v>5.28318650325813</v>
      </c>
      <c r="N5082" s="48" t="n">
        <f aca="false">IF(N5050-Assumptions!$E$35&lt;1,0,INDEX($C$5075:$N$5075,1,N5050-Assumptions!$E$35)*INDEX($C$5079:$N$5079,1,N5050-Assumptions!$E$35)*Assumptions!$E$32)</f>
        <v>5.13316903388791</v>
      </c>
      <c r="P5082" s="49" t="n">
        <f aca="false">SUM(C5082:F5082)</f>
        <v>4.05014844001476</v>
      </c>
      <c r="Q5082" s="49" t="n">
        <f aca="false">SUM(G5082:J5082)</f>
        <v>11.1741625015961</v>
      </c>
      <c r="R5082" s="49" t="n">
        <f aca="false">SUM(K5082:N5082)</f>
        <v>21.2667247113212</v>
      </c>
      <c r="S5082" s="50" t="n">
        <f aca="false">SUM(P5082:R5082)</f>
        <v>36.491035652932</v>
      </c>
    </row>
    <row r="5083" customFormat="false" ht="15" hidden="false" customHeight="false" outlineLevel="0" collapsed="false">
      <c r="A5083" s="4" t="s">
        <v>517</v>
      </c>
      <c r="B5083" s="36" t="s">
        <v>516</v>
      </c>
      <c r="C5083" s="48" t="n">
        <f aca="false">IF(C5050-Assumptions!$E$35&lt;1,0,INDEX($C$5075:$N$5075,1,C5050-Assumptions!$E$35)*INDEX($C$5080:$N$5080,1,C5050-Assumptions!$E$35)*Assumptions!$E$32)</f>
        <v>0</v>
      </c>
      <c r="D5083" s="48" t="n">
        <f aca="false">IF(D5050-Assumptions!$E$35&lt;1,0,INDEX($C$5075:$N$5075,1,D5050-Assumptions!$E$35)*INDEX($C$5080:$N$5080,1,D5050-Assumptions!$E$35)*Assumptions!$E$32)</f>
        <v>0.440626408335066</v>
      </c>
      <c r="E5083" s="48" t="n">
        <f aca="false">IF(E5050-Assumptions!$E$35&lt;1,0,INDEX($C$5075:$N$5075,1,E5050-Assumptions!$E$35)*INDEX($C$5080:$N$5080,1,E5050-Assumptions!$E$35)*Assumptions!$E$32)</f>
        <v>0.75526815780761</v>
      </c>
      <c r="F5083" s="48" t="n">
        <f aca="false">IF(F5050-Assumptions!$E$35&lt;1,0,INDEX($C$5075:$N$5075,1,F5050-Assumptions!$E$35)*INDEX($C$5080:$N$5080,1,F5050-Assumptions!$E$35)*Assumptions!$E$32)</f>
        <v>0.833371800845066</v>
      </c>
      <c r="G5083" s="48" t="n">
        <f aca="false">IF(G5050-Assumptions!$E$35&lt;1,0,INDEX($C$5075:$N$5075,1,G5050-Assumptions!$E$35)*INDEX($C$5080:$N$5080,1,G5050-Assumptions!$E$35)*Assumptions!$E$32)</f>
        <v>0.913077081787585</v>
      </c>
      <c r="H5083" s="48" t="n">
        <f aca="false">IF(H5050-Assumptions!$E$35&lt;1,0,INDEX($C$5075:$N$5075,1,H5050-Assumptions!$E$35)*INDEX($C$5080:$N$5080,1,H5050-Assumptions!$E$35)*Assumptions!$E$32)</f>
        <v>1.15048249076325</v>
      </c>
      <c r="I5083" s="48" t="n">
        <f aca="false">IF(I5050-Assumptions!$E$35&lt;1,0,INDEX($C$5075:$N$5075,1,I5050-Assumptions!$E$35)*INDEX($C$5080:$N$5080,1,I5050-Assumptions!$E$35)*Assumptions!$E$32)</f>
        <v>1.37288522622448</v>
      </c>
      <c r="J5083" s="48" t="n">
        <f aca="false">IF(J5050-Assumptions!$E$35&lt;1,0,INDEX($C$5075:$N$5075,1,J5050-Assumptions!$E$35)*INDEX($C$5080:$N$5080,1,J5050-Assumptions!$E$35)*Assumptions!$E$32)</f>
        <v>1.90905052116076</v>
      </c>
      <c r="K5083" s="48" t="n">
        <f aca="false">IF(K5050-Assumptions!$E$35&lt;1,0,INDEX($C$5075:$N$5075,1,K5050-Assumptions!$E$35)*INDEX($C$5080:$N$5080,1,K5050-Assumptions!$E$35)*Assumptions!$E$32)</f>
        <v>2.40374410759811</v>
      </c>
      <c r="L5083" s="48" t="n">
        <f aca="false">IF(L5050-Assumptions!$E$35&lt;1,0,INDEX($C$5075:$N$5075,1,L5050-Assumptions!$E$35)*INDEX($C$5080:$N$5080,1,L5050-Assumptions!$E$35)*Assumptions!$E$32)</f>
        <v>2.42082398980005</v>
      </c>
      <c r="M5083" s="48" t="n">
        <f aca="false">IF(M5050-Assumptions!$E$35&lt;1,0,INDEX($C$5075:$N$5075,1,M5050-Assumptions!$E$35)*INDEX($C$5080:$N$5080,1,M5050-Assumptions!$E$35)*Assumptions!$E$32)</f>
        <v>2.34914523617224</v>
      </c>
      <c r="N5083" s="48" t="n">
        <f aca="false">IF(N5050-Assumptions!$E$35&lt;1,0,INDEX($C$5075:$N$5075,1,N5050-Assumptions!$E$35)*INDEX($C$5080:$N$5080,1,N5050-Assumptions!$E$35)*Assumptions!$E$32)</f>
        <v>2.28244063975182</v>
      </c>
      <c r="P5083" s="49" t="n">
        <f aca="false">SUM(C5083:F5083)</f>
        <v>2.02926636698774</v>
      </c>
      <c r="Q5083" s="49" t="n">
        <f aca="false">SUM(G5083:J5083)</f>
        <v>5.34549531993608</v>
      </c>
      <c r="R5083" s="49" t="n">
        <f aca="false">SUM(K5083:N5083)</f>
        <v>9.45615397332222</v>
      </c>
      <c r="S5083" s="50" t="n">
        <f aca="false">SUM(P5083:R5083)</f>
        <v>16.830915660246</v>
      </c>
    </row>
    <row r="5084" customFormat="false" ht="15" hidden="false" customHeight="false" outlineLevel="0" collapsed="false">
      <c r="A5084" s="4" t="s">
        <v>518</v>
      </c>
      <c r="B5084" s="36" t="s">
        <v>516</v>
      </c>
      <c r="C5084" s="48" t="n">
        <f aca="false">IF(C5050-Assumptions!$E$36&lt;1,0,INDEX($C$5075:$N$5075,1,C5050-Assumptions!$E$36)*INDEX($C$5081:$N$5081,1,C5050-Assumptions!$E$36)*Assumptions!$E$32)</f>
        <v>0</v>
      </c>
      <c r="D5084" s="48" t="n">
        <f aca="false">IF(D5050-Assumptions!$E$36&lt;1,0,INDEX($C$5075:$N$5075,1,D5050-Assumptions!$E$36)*INDEX($C$5081:$N$5081,1,D5050-Assumptions!$E$36)*Assumptions!$E$32)</f>
        <v>0</v>
      </c>
      <c r="E5084" s="48" t="n">
        <f aca="false">IF(E5050-Assumptions!$E$36&lt;1,0,INDEX($C$5075:$N$5075,1,E5050-Assumptions!$E$36)*INDEX($C$5081:$N$5081,1,E5050-Assumptions!$E$36)*Assumptions!$E$32)</f>
        <v>0.051678405915841</v>
      </c>
      <c r="F5084" s="48" t="n">
        <f aca="false">IF(F5050-Assumptions!$E$36&lt;1,0,INDEX($C$5075:$N$5075,1,F5050-Assumptions!$E$36)*INDEX($C$5081:$N$5081,1,F5050-Assumptions!$E$36)*Assumptions!$E$32)</f>
        <v>0.0885808333231148</v>
      </c>
      <c r="G5084" s="48" t="n">
        <f aca="false">IF(G5050-Assumptions!$E$36&lt;1,0,INDEX($C$5075:$N$5075,1,G5050-Assumptions!$E$36)*INDEX($C$5081:$N$5081,1,G5050-Assumptions!$E$36)*Assumptions!$E$32)</f>
        <v>0.0977411371361497</v>
      </c>
      <c r="H5084" s="48" t="n">
        <f aca="false">IF(H5050-Assumptions!$E$36&lt;1,0,INDEX($C$5075:$N$5075,1,H5050-Assumptions!$E$36)*INDEX($C$5081:$N$5081,1,H5050-Assumptions!$E$36)*Assumptions!$E$32)</f>
        <v>0.107089287370149</v>
      </c>
      <c r="I5084" s="48" t="n">
        <f aca="false">IF(I5050-Assumptions!$E$36&lt;1,0,INDEX($C$5075:$N$5075,1,I5050-Assumptions!$E$36)*INDEX($C$5081:$N$5081,1,I5050-Assumptions!$E$36)*Assumptions!$E$32)</f>
        <v>0.126207663536385</v>
      </c>
      <c r="J5084" s="48" t="n">
        <f aca="false">IF(J5050-Assumptions!$E$36&lt;1,0,INDEX($C$5075:$N$5075,1,J5050-Assumptions!$E$36)*INDEX($C$5081:$N$5081,1,J5050-Assumptions!$E$36)*Assumptions!$E$32)</f>
        <v>0.144380918625084</v>
      </c>
      <c r="K5084" s="48" t="n">
        <f aca="false">IF(K5050-Assumptions!$E$36&lt;1,0,INDEX($C$5075:$N$5075,1,K5050-Assumptions!$E$36)*INDEX($C$5081:$N$5081,1,K5050-Assumptions!$E$36)*Assumptions!$E$32)</f>
        <v>0.191855192115122</v>
      </c>
      <c r="L5084" s="48" t="n">
        <f aca="false">IF(L5050-Assumptions!$E$36&lt;1,0,INDEX($C$5075:$N$5075,1,L5050-Assumptions!$E$36)*INDEX($C$5081:$N$5081,1,L5050-Assumptions!$E$36)*Assumptions!$E$32)</f>
        <v>0.236499559224494</v>
      </c>
      <c r="M5084" s="48" t="n">
        <f aca="false">IF(M5050-Assumptions!$E$36&lt;1,0,INDEX($C$5075:$N$5075,1,M5050-Assumptions!$E$36)*INDEX($C$5081:$N$5081,1,M5050-Assumptions!$E$36)*Assumptions!$E$32)</f>
        <v>0.23818001456065</v>
      </c>
      <c r="N5084" s="48" t="n">
        <f aca="false">IF(N5050-Assumptions!$E$36&lt;1,0,INDEX($C$5075:$N$5075,1,N5050-Assumptions!$E$36)*INDEX($C$5081:$N$5081,1,N5050-Assumptions!$E$36)*Assumptions!$E$32)</f>
        <v>0.231127685826841</v>
      </c>
      <c r="P5084" s="49" t="n">
        <f aca="false">SUM(C5084:F5084)</f>
        <v>0.140259239238956</v>
      </c>
      <c r="Q5084" s="49" t="n">
        <f aca="false">SUM(G5084:J5084)</f>
        <v>0.475419006667767</v>
      </c>
      <c r="R5084" s="49" t="n">
        <f aca="false">SUM(K5084:N5084)</f>
        <v>0.897662451727107</v>
      </c>
      <c r="S5084" s="50" t="n">
        <f aca="false">SUM(P5084:R5084)</f>
        <v>1.51334069763383</v>
      </c>
    </row>
    <row r="5085" customFormat="false" ht="15" hidden="false" customHeight="false" outlineLevel="0" collapsed="false">
      <c r="A5085" s="4" t="s">
        <v>519</v>
      </c>
      <c r="B5085" s="36" t="s">
        <v>77</v>
      </c>
      <c r="C5085" s="51" t="n">
        <f aca="false">IF(C5050-Assumptions!$E$35&lt;1,0,IFERROR(INDEX($C$5074:$N$5074,1,C5050-Assumptions!$E$35)/INDEX($C$5075:$N$5075,1,C5050-Assumptions!$E$35),0))</f>
        <v>0</v>
      </c>
      <c r="D5085" s="51" t="n">
        <f aca="false">IF(D5050-Assumptions!$E$35&lt;1,0,IFERROR(INDEX($C$5074:$N$5074,1,D5050-Assumptions!$E$35)/INDEX($C$5075:$N$5075,1,D5050-Assumptions!$E$35),0))</f>
        <v>0.459271678087073</v>
      </c>
      <c r="E5085" s="51" t="n">
        <f aca="false">IF(E5050-Assumptions!$E$35&lt;1,0,IFERROR(INDEX($C$5074:$N$5074,1,E5050-Assumptions!$E$35)/INDEX($C$5075:$N$5075,1,E5050-Assumptions!$E$35),0))</f>
        <v>0.401911350042128</v>
      </c>
      <c r="F5085" s="51" t="n">
        <f aca="false">IF(F5050-Assumptions!$E$35&lt;1,0,IFERROR(INDEX($C$5074:$N$5074,1,F5050-Assumptions!$E$35)/INDEX($C$5075:$N$5075,1,F5050-Assumptions!$E$35),0))</f>
        <v>0.485658933408398</v>
      </c>
      <c r="G5085" s="51" t="n">
        <f aca="false">IF(G5050-Assumptions!$E$35&lt;1,0,IFERROR(INDEX($C$5074:$N$5074,1,G5050-Assumptions!$E$35)/INDEX($C$5075:$N$5075,1,G5050-Assumptions!$E$35),0))</f>
        <v>0.554080356417826</v>
      </c>
      <c r="H5085" s="51" t="n">
        <f aca="false">IF(H5050-Assumptions!$E$35&lt;1,0,IFERROR(INDEX($C$5074:$N$5074,1,H5050-Assumptions!$E$35)/INDEX($C$5075:$N$5075,1,H5050-Assumptions!$E$35),0))</f>
        <v>0.522227563825987</v>
      </c>
      <c r="I5085" s="51" t="n">
        <f aca="false">IF(I5050-Assumptions!$E$35&lt;1,0,IFERROR(INDEX($C$5074:$N$5074,1,I5050-Assumptions!$E$35)/INDEX($C$5075:$N$5075,1,I5050-Assumptions!$E$35),0))</f>
        <v>0.507424816282752</v>
      </c>
      <c r="J5085" s="51" t="n">
        <f aca="false">IF(J5050-Assumptions!$E$35&lt;1,0,IFERROR(INDEX($C$5074:$N$5074,1,J5050-Assumptions!$E$35)/INDEX($C$5075:$N$5075,1,J5050-Assumptions!$E$35),0))</f>
        <v>0.401142323795015</v>
      </c>
      <c r="K5085" s="51" t="n">
        <f aca="false">IF(K5050-Assumptions!$E$35&lt;1,0,IFERROR(INDEX($C$5074:$N$5074,1,K5050-Assumptions!$E$35)/INDEX($C$5075:$N$5075,1,K5050-Assumptions!$E$35),0))</f>
        <v>0.352339268448632</v>
      </c>
      <c r="L5085" s="51" t="n">
        <f aca="false">IF(L5050-Assumptions!$E$35&lt;1,0,IFERROR(INDEX($C$5074:$N$5074,1,L5050-Assumptions!$E$35)/INDEX($C$5075:$N$5075,1,L5050-Assumptions!$E$35),0))</f>
        <v>0.388725970981282</v>
      </c>
      <c r="M5085" s="51" t="n">
        <f aca="false">IF(M5050-Assumptions!$E$35&lt;1,0,IFERROR(INDEX($C$5074:$N$5074,1,M5050-Assumptions!$E$35)/INDEX($C$5075:$N$5075,1,M5050-Assumptions!$E$35),0))</f>
        <v>0.400587048224893</v>
      </c>
      <c r="N5085" s="51" t="n">
        <f aca="false">IF(N5050-Assumptions!$E$35&lt;1,0,IFERROR(INDEX($C$5074:$N$5074,1,N5050-Assumptions!$E$35)/INDEX($C$5075:$N$5075,1,N5050-Assumptions!$E$35),0))</f>
        <v>0.412294251872474</v>
      </c>
      <c r="P5085" s="52"/>
      <c r="Q5085" s="52"/>
      <c r="R5085" s="52"/>
      <c r="S5085" s="53"/>
    </row>
    <row r="5086" customFormat="false" ht="15" hidden="false" customHeight="false" outlineLevel="0" collapsed="false">
      <c r="A5086" s="4" t="s">
        <v>520</v>
      </c>
      <c r="B5086" s="36" t="s">
        <v>516</v>
      </c>
      <c r="C5086" s="48" t="n">
        <f aca="false">C5082*Assumptions!$E$37</f>
        <v>0</v>
      </c>
      <c r="D5086" s="48" t="n">
        <f aca="false">D5082*Assumptions!$E$37</f>
        <v>0.263829685847992</v>
      </c>
      <c r="E5086" s="48" t="n">
        <f aca="false">E5082*Assumptions!$E$37</f>
        <v>0.452224735140815</v>
      </c>
      <c r="F5086" s="48" t="n">
        <f aca="false">F5082*Assumptions!$E$37</f>
        <v>0.498990111015622</v>
      </c>
      <c r="G5086" s="48" t="n">
        <f aca="false">G5082*Assumptions!$E$37</f>
        <v>0.546714484393397</v>
      </c>
      <c r="H5086" s="48" t="n">
        <f aca="false">H5082*Assumptions!$E$37</f>
        <v>0.702726529023516</v>
      </c>
      <c r="I5086" s="48" t="n">
        <f aca="false">I5082*Assumptions!$E$37</f>
        <v>0.848461560696308</v>
      </c>
      <c r="J5086" s="48" t="n">
        <f aca="false">J5082*Assumptions!$E$37</f>
        <v>1.2543461763656</v>
      </c>
      <c r="K5086" s="48" t="n">
        <f aca="false">K5082*Assumptions!$E$37</f>
        <v>1.62179352272506</v>
      </c>
      <c r="L5086" s="48" t="n">
        <f aca="false">L5082*Assumptions!$E$37</f>
        <v>1.63331722952749</v>
      </c>
      <c r="M5086" s="48" t="n">
        <f aca="false">M5082*Assumptions!$E$37</f>
        <v>1.58495595097744</v>
      </c>
      <c r="N5086" s="48" t="n">
        <f aca="false">N5082*Assumptions!$E$37</f>
        <v>1.53995071016637</v>
      </c>
      <c r="P5086" s="49" t="n">
        <f aca="false">SUM(C5086:F5086)</f>
        <v>1.21504453200443</v>
      </c>
      <c r="Q5086" s="49" t="n">
        <f aca="false">SUM(G5086:J5086)</f>
        <v>3.35224875047882</v>
      </c>
      <c r="R5086" s="49" t="n">
        <f aca="false">SUM(K5086:N5086)</f>
        <v>6.38001741339636</v>
      </c>
      <c r="S5086" s="50" t="n">
        <f aca="false">SUM(P5086:R5086)</f>
        <v>10.9473106958796</v>
      </c>
    </row>
    <row r="5087" customFormat="false" ht="15" hidden="false" customHeight="false" outlineLevel="0" collapsed="false">
      <c r="A5087" s="4" t="s">
        <v>521</v>
      </c>
      <c r="B5087" s="36" t="s">
        <v>516</v>
      </c>
      <c r="C5087" s="48" t="n">
        <f aca="false">C5082*(1-Assumptions!$E$37)</f>
        <v>0</v>
      </c>
      <c r="D5087" s="48" t="n">
        <f aca="false">D5082*(1-Assumptions!$E$37)</f>
        <v>0.615602600311981</v>
      </c>
      <c r="E5087" s="48" t="n">
        <f aca="false">E5082*(1-Assumptions!$E$37)</f>
        <v>1.0551910486619</v>
      </c>
      <c r="F5087" s="48" t="n">
        <f aca="false">F5082*(1-Assumptions!$E$37)</f>
        <v>1.16431025903645</v>
      </c>
      <c r="G5087" s="48" t="n">
        <f aca="false">G5082*(1-Assumptions!$E$37)</f>
        <v>1.27566713025126</v>
      </c>
      <c r="H5087" s="48" t="n">
        <f aca="false">H5082*(1-Assumptions!$E$37)</f>
        <v>1.6396952343882</v>
      </c>
      <c r="I5087" s="48" t="n">
        <f aca="false">I5082*(1-Assumptions!$E$37)</f>
        <v>1.97974364162472</v>
      </c>
      <c r="J5087" s="48" t="n">
        <f aca="false">J5082*(1-Assumptions!$E$37)</f>
        <v>2.92680774485306</v>
      </c>
      <c r="K5087" s="48" t="n">
        <f aca="false">K5082*(1-Assumptions!$E$37)</f>
        <v>3.78418488635848</v>
      </c>
      <c r="L5087" s="48" t="n">
        <f aca="false">L5082*(1-Assumptions!$E$37)</f>
        <v>3.81107353556414</v>
      </c>
      <c r="M5087" s="48" t="n">
        <f aca="false">M5082*(1-Assumptions!$E$37)</f>
        <v>3.69823055228069</v>
      </c>
      <c r="N5087" s="48" t="n">
        <f aca="false">N5082*(1-Assumptions!$E$37)</f>
        <v>3.59321832372154</v>
      </c>
      <c r="P5087" s="49" t="n">
        <f aca="false">SUM(C5087:F5087)</f>
        <v>2.83510390801033</v>
      </c>
      <c r="Q5087" s="49" t="n">
        <f aca="false">SUM(G5087:J5087)</f>
        <v>7.82191375111724</v>
      </c>
      <c r="R5087" s="49" t="n">
        <f aca="false">SUM(K5087:N5087)</f>
        <v>14.8867072979248</v>
      </c>
      <c r="S5087" s="50" t="n">
        <f aca="false">SUM(P5087:R5087)</f>
        <v>25.5437249570524</v>
      </c>
    </row>
    <row r="5088" customFormat="false" ht="15" hidden="false" customHeight="false" outlineLevel="0" collapsed="false">
      <c r="A5088" s="4" t="s">
        <v>522</v>
      </c>
      <c r="B5088" s="36" t="s">
        <v>125</v>
      </c>
      <c r="C5088" s="54" t="n">
        <f aca="false">C5087*$C$5041+C5083*$C$5042+C5084*$C$5043</f>
        <v>0</v>
      </c>
      <c r="D5088" s="54" t="n">
        <f aca="false">D5087*$C$5041+D5083*$C$5042+D5084*$C$5043</f>
        <v>7598.17992841555</v>
      </c>
      <c r="E5088" s="54" t="n">
        <f aca="false">E5087*$C$5041+E5083*$C$5042+E5084*$C$5043</f>
        <v>16216.4770135846</v>
      </c>
      <c r="F5088" s="54" t="n">
        <f aca="false">F5087*$C$5041+F5083*$C$5042+F5084*$C$5043</f>
        <v>19843.0670655777</v>
      </c>
      <c r="G5088" s="54" t="n">
        <f aca="false">G5087*$C$5041+G5083*$C$5042+G5084*$C$5043</f>
        <v>21783.4158080781</v>
      </c>
      <c r="H5088" s="54" t="n">
        <f aca="false">H5087*$C$5041+H5083*$C$5042+H5084*$C$5043</f>
        <v>26627.8788282701</v>
      </c>
      <c r="I5088" s="54" t="n">
        <f aca="false">I5087*$C$5041+I5083*$C$5042+I5084*$C$5043</f>
        <v>31801.063118216</v>
      </c>
      <c r="J5088" s="54" t="n">
        <f aca="false">J5087*$C$5041+J5083*$C$5042+J5084*$C$5043</f>
        <v>43229.0385862973</v>
      </c>
      <c r="K5088" s="54" t="n">
        <f aca="false">K5087*$C$5041+K5083*$C$5042+K5084*$C$5043</f>
        <v>55582.1326873558</v>
      </c>
      <c r="L5088" s="54" t="n">
        <f aca="false">L5087*$C$5041+L5083*$C$5042+L5084*$C$5043</f>
        <v>58650.9063172405</v>
      </c>
      <c r="M5088" s="54" t="n">
        <f aca="false">M5087*$C$5041+M5083*$C$5042+M5084*$C$5043</f>
        <v>57450.7199451692</v>
      </c>
      <c r="N5088" s="54" t="n">
        <f aca="false">N5087*$C$5041+N5083*$C$5042+N5084*$C$5043</f>
        <v>55801.52880192</v>
      </c>
      <c r="P5088" s="55" t="n">
        <f aca="false">SUM(C5088:F5088)</f>
        <v>43657.7240075778</v>
      </c>
      <c r="Q5088" s="55" t="n">
        <f aca="false">SUM(G5088:J5088)</f>
        <v>123441.396340862</v>
      </c>
      <c r="R5088" s="55" t="n">
        <f aca="false">SUM(K5088:N5088)</f>
        <v>227485.287751685</v>
      </c>
      <c r="S5088" s="56" t="n">
        <f aca="false">SUM(P5088:R5088)</f>
        <v>394584.408100125</v>
      </c>
    </row>
    <row r="5089" customFormat="false" ht="15" hidden="false" customHeight="false" outlineLevel="0" collapsed="false">
      <c r="A5089" s="4" t="s">
        <v>523</v>
      </c>
      <c r="B5089" s="36" t="s">
        <v>125</v>
      </c>
      <c r="C5089" s="54" t="n">
        <f aca="false">(C5065+Assumptions!$D$104*C5051)*$C$5046</f>
        <v>306250</v>
      </c>
      <c r="D5089" s="54" t="n">
        <f aca="false">(D5065+Assumptions!$D$104*D5051)*$C$5046</f>
        <v>306250</v>
      </c>
      <c r="E5089" s="54" t="n">
        <f aca="false">(E5065+Assumptions!$D$104*E5051)*$C$5046</f>
        <v>306250</v>
      </c>
      <c r="F5089" s="54" t="n">
        <f aca="false">(F5065+Assumptions!$D$104*F5051)*$C$5046</f>
        <v>306250</v>
      </c>
      <c r="G5089" s="54" t="n">
        <f aca="false">(G5065+Assumptions!$D$104*G5051)*$C$5046</f>
        <v>306250</v>
      </c>
      <c r="H5089" s="54" t="n">
        <f aca="false">(H5065+Assumptions!$D$104*H5051)*$C$5046</f>
        <v>306250</v>
      </c>
      <c r="I5089" s="54" t="n">
        <f aca="false">(I5065+Assumptions!$D$104*I5051)*$C$5046</f>
        <v>306250</v>
      </c>
      <c r="J5089" s="54" t="n">
        <f aca="false">(J5065+Assumptions!$D$104*J5051)*$C$5046</f>
        <v>306250</v>
      </c>
      <c r="K5089" s="54" t="n">
        <f aca="false">(K5065+Assumptions!$D$104*K5051)*$C$5046</f>
        <v>306250</v>
      </c>
      <c r="L5089" s="54" t="n">
        <f aca="false">(L5065+Assumptions!$D$104*L5051)*$C$5046</f>
        <v>306250</v>
      </c>
      <c r="M5089" s="54" t="n">
        <f aca="false">(M5065+Assumptions!$D$104*M5051)*$C$5046</f>
        <v>306250</v>
      </c>
      <c r="N5089" s="54" t="n">
        <f aca="false">(N5065+Assumptions!$D$104*N5051)*$C$5046</f>
        <v>306250</v>
      </c>
      <c r="P5089" s="55" t="n">
        <f aca="false">SUM(C5089:F5089)</f>
        <v>1225000</v>
      </c>
      <c r="Q5089" s="55" t="n">
        <f aca="false">SUM(G5089:J5089)</f>
        <v>1225000</v>
      </c>
      <c r="R5089" s="55" t="n">
        <f aca="false">SUM(K5089:N5089)</f>
        <v>1225000</v>
      </c>
      <c r="S5089" s="56" t="n">
        <f aca="false">SUM(P5089:R5089)</f>
        <v>3675000</v>
      </c>
    </row>
    <row r="5090" customFormat="false" ht="15" hidden="false" customHeight="false" outlineLevel="0" collapsed="false">
      <c r="A5090" s="4" t="s">
        <v>524</v>
      </c>
      <c r="B5090" s="36" t="s">
        <v>77</v>
      </c>
      <c r="C5090" s="51" t="n">
        <f aca="false">IF(C5088&gt;0,MIN(1,C5089/C5088),1)</f>
        <v>1</v>
      </c>
      <c r="D5090" s="51" t="n">
        <f aca="false">IF(D5088&gt;0,MIN(1,D5089/D5088),1)</f>
        <v>1</v>
      </c>
      <c r="E5090" s="51" t="n">
        <f aca="false">IF(E5088&gt;0,MIN(1,E5089/E5088),1)</f>
        <v>1</v>
      </c>
      <c r="F5090" s="51" t="n">
        <f aca="false">IF(F5088&gt;0,MIN(1,F5089/F5088),1)</f>
        <v>1</v>
      </c>
      <c r="G5090" s="51" t="n">
        <f aca="false">IF(G5088&gt;0,MIN(1,G5089/G5088),1)</f>
        <v>1</v>
      </c>
      <c r="H5090" s="51" t="n">
        <f aca="false">IF(H5088&gt;0,MIN(1,H5089/H5088),1)</f>
        <v>1</v>
      </c>
      <c r="I5090" s="51" t="n">
        <f aca="false">IF(I5088&gt;0,MIN(1,I5089/I5088),1)</f>
        <v>1</v>
      </c>
      <c r="J5090" s="51" t="n">
        <f aca="false">IF(J5088&gt;0,MIN(1,J5089/J5088),1)</f>
        <v>1</v>
      </c>
      <c r="K5090" s="51" t="n">
        <f aca="false">IF(K5088&gt;0,MIN(1,K5089/K5088),1)</f>
        <v>1</v>
      </c>
      <c r="L5090" s="51" t="n">
        <f aca="false">IF(L5088&gt;0,MIN(1,L5089/L5088),1)</f>
        <v>1</v>
      </c>
      <c r="M5090" s="51" t="n">
        <f aca="false">IF(M5088&gt;0,MIN(1,M5089/M5088),1)</f>
        <v>1</v>
      </c>
      <c r="N5090" s="51" t="n">
        <f aca="false">IF(N5088&gt;0,MIN(1,N5089/N5088),1)</f>
        <v>1</v>
      </c>
      <c r="P5090" s="52"/>
      <c r="Q5090" s="52"/>
      <c r="R5090" s="52"/>
      <c r="S5090" s="53"/>
    </row>
    <row r="5091" customFormat="false" ht="15" hidden="false" customHeight="false" outlineLevel="0" collapsed="false">
      <c r="A5091" s="4" t="s">
        <v>525</v>
      </c>
      <c r="B5091" s="36" t="s">
        <v>125</v>
      </c>
      <c r="C5091" s="54" t="n">
        <f aca="false">C5088*(1-C5090)</f>
        <v>0</v>
      </c>
      <c r="D5091" s="54" t="n">
        <f aca="false">D5088*(1-D5090)</f>
        <v>0</v>
      </c>
      <c r="E5091" s="54" t="n">
        <f aca="false">E5088*(1-E5090)</f>
        <v>0</v>
      </c>
      <c r="F5091" s="54" t="n">
        <f aca="false">F5088*(1-F5090)</f>
        <v>0</v>
      </c>
      <c r="G5091" s="54" t="n">
        <f aca="false">G5088*(1-G5090)</f>
        <v>0</v>
      </c>
      <c r="H5091" s="54" t="n">
        <f aca="false">H5088*(1-H5090)</f>
        <v>0</v>
      </c>
      <c r="I5091" s="54" t="n">
        <f aca="false">I5088*(1-I5090)</f>
        <v>0</v>
      </c>
      <c r="J5091" s="54" t="n">
        <f aca="false">J5088*(1-J5090)</f>
        <v>0</v>
      </c>
      <c r="K5091" s="54" t="n">
        <f aca="false">K5088*(1-K5090)</f>
        <v>0</v>
      </c>
      <c r="L5091" s="54" t="n">
        <f aca="false">L5088*(1-L5090)</f>
        <v>0</v>
      </c>
      <c r="M5091" s="54" t="n">
        <f aca="false">M5088*(1-M5090)</f>
        <v>0</v>
      </c>
      <c r="N5091" s="54" t="n">
        <f aca="false">N5088*(1-N5090)</f>
        <v>0</v>
      </c>
      <c r="P5091" s="55" t="n">
        <f aca="false">SUM(C5091:F5091)</f>
        <v>0</v>
      </c>
      <c r="Q5091" s="55" t="n">
        <f aca="false">SUM(G5091:J5091)</f>
        <v>0</v>
      </c>
      <c r="R5091" s="55" t="n">
        <f aca="false">SUM(K5091:N5091)</f>
        <v>0</v>
      </c>
      <c r="S5091" s="56" t="n">
        <f aca="false">SUM(P5091:R5091)</f>
        <v>0</v>
      </c>
    </row>
    <row r="5092" customFormat="false" ht="15" hidden="false" customHeight="false" outlineLevel="0" collapsed="false">
      <c r="A5092" s="4" t="s">
        <v>526</v>
      </c>
      <c r="B5092" s="36" t="s">
        <v>527</v>
      </c>
      <c r="C5092" s="48" t="n">
        <f aca="false">C5086+C5087*C5090</f>
        <v>0</v>
      </c>
      <c r="D5092" s="48" t="n">
        <f aca="false">D5086+D5087*D5090</f>
        <v>0.879432286159974</v>
      </c>
      <c r="E5092" s="48" t="n">
        <f aca="false">E5086+E5087*E5090</f>
        <v>1.50741578380272</v>
      </c>
      <c r="F5092" s="48" t="n">
        <f aca="false">F5086+F5087*F5090</f>
        <v>1.66330037005207</v>
      </c>
      <c r="G5092" s="48" t="n">
        <f aca="false">G5086+G5087*G5090</f>
        <v>1.82238161464466</v>
      </c>
      <c r="H5092" s="48" t="n">
        <f aca="false">H5086+H5087*H5090</f>
        <v>2.34242176341172</v>
      </c>
      <c r="I5092" s="48" t="n">
        <f aca="false">I5086+I5087*I5090</f>
        <v>2.82820520232103</v>
      </c>
      <c r="J5092" s="48" t="n">
        <f aca="false">J5086+J5087*J5090</f>
        <v>4.18115392121865</v>
      </c>
      <c r="K5092" s="48" t="n">
        <f aca="false">K5086+K5087*K5090</f>
        <v>5.40597840908354</v>
      </c>
      <c r="L5092" s="48" t="n">
        <f aca="false">L5086+L5087*L5090</f>
        <v>5.44439076509163</v>
      </c>
      <c r="M5092" s="48" t="n">
        <f aca="false">M5086+M5087*M5090</f>
        <v>5.28318650325813</v>
      </c>
      <c r="N5092" s="48" t="n">
        <f aca="false">N5086+N5087*N5090</f>
        <v>5.13316903388791</v>
      </c>
      <c r="P5092" s="49" t="n">
        <f aca="false">SUM(C5092:F5092)</f>
        <v>4.05014844001476</v>
      </c>
      <c r="Q5092" s="49" t="n">
        <f aca="false">SUM(G5092:J5092)</f>
        <v>11.1741625015961</v>
      </c>
      <c r="R5092" s="49" t="n">
        <f aca="false">SUM(K5092:N5092)</f>
        <v>21.2667247113212</v>
      </c>
      <c r="S5092" s="50" t="n">
        <f aca="false">SUM(P5092:R5092)</f>
        <v>36.491035652932</v>
      </c>
    </row>
    <row r="5093" customFormat="false" ht="15" hidden="false" customHeight="false" outlineLevel="0" collapsed="false">
      <c r="A5093" s="4" t="s">
        <v>528</v>
      </c>
      <c r="B5093" s="36" t="s">
        <v>527</v>
      </c>
      <c r="C5093" s="48" t="n">
        <f aca="false">C5083*C5090</f>
        <v>0</v>
      </c>
      <c r="D5093" s="48" t="n">
        <f aca="false">D5083*D5090</f>
        <v>0.440626408335066</v>
      </c>
      <c r="E5093" s="48" t="n">
        <f aca="false">E5083*E5090</f>
        <v>0.75526815780761</v>
      </c>
      <c r="F5093" s="48" t="n">
        <f aca="false">F5083*F5090</f>
        <v>0.833371800845066</v>
      </c>
      <c r="G5093" s="48" t="n">
        <f aca="false">G5083*G5090</f>
        <v>0.913077081787585</v>
      </c>
      <c r="H5093" s="48" t="n">
        <f aca="false">H5083*H5090</f>
        <v>1.15048249076325</v>
      </c>
      <c r="I5093" s="48" t="n">
        <f aca="false">I5083*I5090</f>
        <v>1.37288522622448</v>
      </c>
      <c r="J5093" s="48" t="n">
        <f aca="false">J5083*J5090</f>
        <v>1.90905052116076</v>
      </c>
      <c r="K5093" s="48" t="n">
        <f aca="false">K5083*K5090</f>
        <v>2.40374410759811</v>
      </c>
      <c r="L5093" s="48" t="n">
        <f aca="false">L5083*L5090</f>
        <v>2.42082398980005</v>
      </c>
      <c r="M5093" s="48" t="n">
        <f aca="false">M5083*M5090</f>
        <v>2.34914523617224</v>
      </c>
      <c r="N5093" s="48" t="n">
        <f aca="false">N5083*N5090</f>
        <v>2.28244063975182</v>
      </c>
      <c r="P5093" s="49" t="n">
        <f aca="false">SUM(C5093:F5093)</f>
        <v>2.02926636698774</v>
      </c>
      <c r="Q5093" s="49" t="n">
        <f aca="false">SUM(G5093:J5093)</f>
        <v>5.34549531993608</v>
      </c>
      <c r="R5093" s="49" t="n">
        <f aca="false">SUM(K5093:N5093)</f>
        <v>9.45615397332222</v>
      </c>
      <c r="S5093" s="50" t="n">
        <f aca="false">SUM(P5093:R5093)</f>
        <v>16.830915660246</v>
      </c>
    </row>
    <row r="5094" customFormat="false" ht="15" hidden="false" customHeight="false" outlineLevel="0" collapsed="false">
      <c r="A5094" s="4" t="s">
        <v>529</v>
      </c>
      <c r="B5094" s="36" t="s">
        <v>527</v>
      </c>
      <c r="C5094" s="48" t="n">
        <f aca="false">C5084*C5090</f>
        <v>0</v>
      </c>
      <c r="D5094" s="48" t="n">
        <f aca="false">D5084*D5090</f>
        <v>0</v>
      </c>
      <c r="E5094" s="48" t="n">
        <f aca="false">E5084*E5090</f>
        <v>0.051678405915841</v>
      </c>
      <c r="F5094" s="48" t="n">
        <f aca="false">F5084*F5090</f>
        <v>0.0885808333231148</v>
      </c>
      <c r="G5094" s="48" t="n">
        <f aca="false">G5084*G5090</f>
        <v>0.0977411371361497</v>
      </c>
      <c r="H5094" s="48" t="n">
        <f aca="false">H5084*H5090</f>
        <v>0.107089287370149</v>
      </c>
      <c r="I5094" s="48" t="n">
        <f aca="false">I5084*I5090</f>
        <v>0.126207663536385</v>
      </c>
      <c r="J5094" s="48" t="n">
        <f aca="false">J5084*J5090</f>
        <v>0.144380918625084</v>
      </c>
      <c r="K5094" s="48" t="n">
        <f aca="false">K5084*K5090</f>
        <v>0.191855192115122</v>
      </c>
      <c r="L5094" s="48" t="n">
        <f aca="false">L5084*L5090</f>
        <v>0.236499559224494</v>
      </c>
      <c r="M5094" s="48" t="n">
        <f aca="false">M5084*M5090</f>
        <v>0.23818001456065</v>
      </c>
      <c r="N5094" s="48" t="n">
        <f aca="false">N5084*N5090</f>
        <v>0.231127685826841</v>
      </c>
      <c r="P5094" s="49" t="n">
        <f aca="false">SUM(C5094:F5094)</f>
        <v>0.140259239238956</v>
      </c>
      <c r="Q5094" s="49" t="n">
        <f aca="false">SUM(G5094:J5094)</f>
        <v>0.475419006667767</v>
      </c>
      <c r="R5094" s="49" t="n">
        <f aca="false">SUM(K5094:N5094)</f>
        <v>0.897662451727107</v>
      </c>
      <c r="S5094" s="50" t="n">
        <f aca="false">SUM(P5094:R5094)</f>
        <v>1.51334069763383</v>
      </c>
    </row>
    <row r="5095" customFormat="false" ht="15" hidden="false" customHeight="false" outlineLevel="0" collapsed="false">
      <c r="A5095" s="9" t="s">
        <v>530</v>
      </c>
      <c r="B5095" s="36" t="s">
        <v>527</v>
      </c>
      <c r="C5095" s="49" t="n">
        <f aca="false">C5092+C5093+C5094</f>
        <v>0</v>
      </c>
      <c r="D5095" s="49" t="n">
        <f aca="false">D5092+D5093+D5094</f>
        <v>1.32005869449504</v>
      </c>
      <c r="E5095" s="49" t="n">
        <f aca="false">E5092+E5093+E5094</f>
        <v>2.31436234752617</v>
      </c>
      <c r="F5095" s="49" t="n">
        <f aca="false">F5092+F5093+F5094</f>
        <v>2.58525300422025</v>
      </c>
      <c r="G5095" s="49" t="n">
        <f aca="false">G5092+G5093+G5094</f>
        <v>2.83319983356839</v>
      </c>
      <c r="H5095" s="49" t="n">
        <f aca="false">H5092+H5093+H5094</f>
        <v>3.59999354154512</v>
      </c>
      <c r="I5095" s="49" t="n">
        <f aca="false">I5092+I5093+I5094</f>
        <v>4.32729809208189</v>
      </c>
      <c r="J5095" s="49" t="n">
        <f aca="false">J5092+J5093+J5094</f>
        <v>6.2345853610045</v>
      </c>
      <c r="K5095" s="49" t="n">
        <f aca="false">K5092+K5093+K5094</f>
        <v>8.00157770879677</v>
      </c>
      <c r="L5095" s="49" t="n">
        <f aca="false">L5092+L5093+L5094</f>
        <v>8.10171431411618</v>
      </c>
      <c r="M5095" s="49" t="n">
        <f aca="false">M5092+M5093+M5094</f>
        <v>7.87051175399102</v>
      </c>
      <c r="N5095" s="49" t="n">
        <f aca="false">N5092+N5093+N5094</f>
        <v>7.64673735946657</v>
      </c>
      <c r="P5095" s="49" t="n">
        <f aca="false">SUM(C5095:F5095)</f>
        <v>6.21967404624146</v>
      </c>
      <c r="Q5095" s="49" t="n">
        <f aca="false">SUM(G5095:J5095)</f>
        <v>16.9950768281999</v>
      </c>
      <c r="R5095" s="49" t="n">
        <f aca="false">SUM(K5095:N5095)</f>
        <v>31.6205411363705</v>
      </c>
      <c r="S5095" s="50" t="n">
        <f aca="false">SUM(P5095:R5095)</f>
        <v>54.8352920108119</v>
      </c>
    </row>
    <row r="5096" customFormat="false" ht="15" hidden="false" customHeight="false" outlineLevel="0" collapsed="false">
      <c r="A5096" s="35" t="s">
        <v>533</v>
      </c>
      <c r="B5096" s="35" t="s">
        <v>444</v>
      </c>
      <c r="C5096" s="6" t="s">
        <v>354</v>
      </c>
      <c r="D5096" s="6" t="s">
        <v>355</v>
      </c>
      <c r="E5096" s="6" t="s">
        <v>356</v>
      </c>
      <c r="F5096" s="6" t="s">
        <v>357</v>
      </c>
      <c r="G5096" s="6" t="s">
        <v>358</v>
      </c>
      <c r="H5096" s="6" t="s">
        <v>359</v>
      </c>
      <c r="I5096" s="6" t="s">
        <v>360</v>
      </c>
      <c r="J5096" s="6" t="s">
        <v>361</v>
      </c>
      <c r="K5096" s="6" t="s">
        <v>362</v>
      </c>
      <c r="L5096" s="6" t="s">
        <v>363</v>
      </c>
      <c r="M5096" s="6" t="s">
        <v>364</v>
      </c>
      <c r="N5096" s="6" t="s">
        <v>365</v>
      </c>
      <c r="P5096" s="6" t="s">
        <v>445</v>
      </c>
      <c r="Q5096" s="6" t="s">
        <v>446</v>
      </c>
      <c r="R5096" s="6" t="s">
        <v>447</v>
      </c>
      <c r="S5096" s="6" t="s">
        <v>448</v>
      </c>
    </row>
    <row r="5097" customFormat="false" ht="15" hidden="false" customHeight="false" outlineLevel="0" collapsed="false">
      <c r="A5097" s="4" t="s">
        <v>534</v>
      </c>
      <c r="B5097" s="36" t="s">
        <v>527</v>
      </c>
      <c r="C5097" s="48" t="n">
        <f aca="false">0*Assumptions!$E$59^(1/4)+C5092</f>
        <v>0</v>
      </c>
      <c r="D5097" s="48" t="n">
        <f aca="false">C5097*Assumptions!$E$59^(1/4)+D5092</f>
        <v>0.879432286159974</v>
      </c>
      <c r="E5097" s="48" t="n">
        <f aca="false">D5097*Assumptions!$E$59^(1/4)+E5092</f>
        <v>2.35918722304978</v>
      </c>
      <c r="F5097" s="48" t="n">
        <f aca="false">E5097*Assumptions!$E$59^(1/4)+F5092</f>
        <v>3.94828390778958</v>
      </c>
      <c r="G5097" s="48" t="n">
        <f aca="false">F5097*Assumptions!$E$59^(1/4)+G5092</f>
        <v>5.64647986486765</v>
      </c>
      <c r="H5097" s="48" t="n">
        <f aca="false">G5097*Assumptions!$E$59^(1/4)+H5092</f>
        <v>7.81130249120322</v>
      </c>
      <c r="I5097" s="48" t="n">
        <f aca="false">H5097*Assumptions!$E$59^(1/4)+I5092</f>
        <v>10.3938182347678</v>
      </c>
      <c r="J5097" s="48" t="n">
        <f aca="false">I5097*Assumptions!$E$59^(1/4)+J5092</f>
        <v>14.2480546439084</v>
      </c>
      <c r="K5097" s="48" t="n">
        <f aca="false">J5097*Assumptions!$E$59^(1/4)+K5092</f>
        <v>19.2058879660828</v>
      </c>
      <c r="L5097" s="48" t="n">
        <f aca="false">K5097*Assumptions!$E$59^(1/4)+L5092</f>
        <v>24.0461945563985</v>
      </c>
      <c r="M5097" s="48" t="n">
        <f aca="false">L5097*Assumptions!$E$59^(1/4)+M5092</f>
        <v>28.5730543737592</v>
      </c>
      <c r="N5097" s="48" t="n">
        <f aca="false">M5097*Assumptions!$E$59^(1/4)+N5092</f>
        <v>32.8075130745096</v>
      </c>
      <c r="P5097" s="49" t="n">
        <f aca="false">F5097</f>
        <v>3.94828390778958</v>
      </c>
      <c r="Q5097" s="49" t="n">
        <f aca="false">J5097</f>
        <v>14.2480546439084</v>
      </c>
      <c r="R5097" s="49" t="n">
        <f aca="false">N5097</f>
        <v>32.8075130745096</v>
      </c>
      <c r="S5097" s="50" t="n">
        <f aca="false">R5097</f>
        <v>32.8075130745096</v>
      </c>
    </row>
    <row r="5098" customFormat="false" ht="15" hidden="false" customHeight="false" outlineLevel="0" collapsed="false">
      <c r="A5098" s="4" t="s">
        <v>535</v>
      </c>
      <c r="B5098" s="36" t="s">
        <v>527</v>
      </c>
      <c r="C5098" s="48" t="n">
        <f aca="false">0*Assumptions!$E$60^(1/4)+C5093</f>
        <v>0</v>
      </c>
      <c r="D5098" s="48" t="n">
        <f aca="false">C5098*Assumptions!$E$60^(1/4)+D5093</f>
        <v>0.440626408335066</v>
      </c>
      <c r="E5098" s="48" t="n">
        <f aca="false">D5098*Assumptions!$E$60^(1/4)+E5093</f>
        <v>1.18443993029989</v>
      </c>
      <c r="F5098" s="48" t="n">
        <f aca="false">E5098*Assumptions!$E$60^(1/4)+F5093</f>
        <v>1.98702073037287</v>
      </c>
      <c r="G5098" s="48" t="n">
        <f aca="false">F5098*Assumptions!$E$60^(1/4)+G5093</f>
        <v>2.84844271739549</v>
      </c>
      <c r="H5098" s="48" t="n">
        <f aca="false">G5098*Assumptions!$E$60^(1/4)+H5093</f>
        <v>3.92487636898432</v>
      </c>
      <c r="I5098" s="48" t="n">
        <f aca="false">H5098*Assumptions!$E$60^(1/4)+I5093</f>
        <v>5.19572951387132</v>
      </c>
      <c r="J5098" s="48" t="n">
        <f aca="false">I5098*Assumptions!$E$60^(1/4)+J5093</f>
        <v>6.96971053308391</v>
      </c>
      <c r="K5098" s="48" t="n">
        <f aca="false">J5098*Assumptions!$E$60^(1/4)+K5093</f>
        <v>9.19226827832169</v>
      </c>
      <c r="L5098" s="48" t="n">
        <f aca="false">K5098*Assumptions!$E$60^(1/4)+L5093</f>
        <v>11.3741277310318</v>
      </c>
      <c r="M5098" s="48" t="n">
        <f aca="false">L5098*Assumptions!$E$60^(1/4)+M5093</f>
        <v>13.4275882585171</v>
      </c>
      <c r="N5098" s="48" t="n">
        <f aca="false">M5098*Assumptions!$E$60^(1/4)+N5093</f>
        <v>15.3609619090038</v>
      </c>
      <c r="P5098" s="49" t="n">
        <f aca="false">F5098</f>
        <v>1.98702073037287</v>
      </c>
      <c r="Q5098" s="49" t="n">
        <f aca="false">J5098</f>
        <v>6.96971053308391</v>
      </c>
      <c r="R5098" s="49" t="n">
        <f aca="false">N5098</f>
        <v>15.3609619090038</v>
      </c>
      <c r="S5098" s="50" t="n">
        <f aca="false">R5098</f>
        <v>15.3609619090038</v>
      </c>
    </row>
    <row r="5099" customFormat="false" ht="15" hidden="false" customHeight="false" outlineLevel="0" collapsed="false">
      <c r="A5099" s="4" t="s">
        <v>536</v>
      </c>
      <c r="B5099" s="36" t="s">
        <v>527</v>
      </c>
      <c r="C5099" s="48" t="n">
        <f aca="false">0*Assumptions!$E$61^(1/4)+C5094</f>
        <v>0</v>
      </c>
      <c r="D5099" s="48" t="n">
        <f aca="false">C5099*Assumptions!$E$61^(1/4)+D5094</f>
        <v>0</v>
      </c>
      <c r="E5099" s="48" t="n">
        <f aca="false">D5099*Assumptions!$E$61^(1/4)+E5094</f>
        <v>0.051678405915841</v>
      </c>
      <c r="F5099" s="48" t="n">
        <f aca="false">E5099*Assumptions!$E$61^(1/4)+F5094</f>
        <v>0.139193132398158</v>
      </c>
      <c r="G5099" s="48" t="n">
        <f aca="false">F5099*Assumptions!$E$61^(1/4)+G5094</f>
        <v>0.234062765508362</v>
      </c>
      <c r="H5099" s="48" t="n">
        <f aca="false">G5099*Assumptions!$E$61^(1/4)+H5094</f>
        <v>0.336323422601273</v>
      </c>
      <c r="I5099" s="48" t="n">
        <f aca="false">H5099*Assumptions!$E$61^(1/4)+I5094</f>
        <v>0.455592855455006</v>
      </c>
      <c r="J5099" s="48" t="n">
        <f aca="false">I5099*Assumptions!$E$61^(1/4)+J5094</f>
        <v>0.590575058093952</v>
      </c>
      <c r="K5099" s="48" t="n">
        <f aca="false">J5099*Assumptions!$E$61^(1/4)+K5094</f>
        <v>0.770246900156365</v>
      </c>
      <c r="L5099" s="48" t="n">
        <f aca="false">K5099*Assumptions!$E$61^(1/4)+L5094</f>
        <v>0.990856544148228</v>
      </c>
      <c r="M5099" s="48" t="n">
        <f aca="false">L5099*Assumptions!$E$61^(1/4)+M5094</f>
        <v>1.2085955462348</v>
      </c>
      <c r="N5099" s="48" t="n">
        <f aca="false">M5099*Assumptions!$E$61^(1/4)+N5094</f>
        <v>1.41479034265137</v>
      </c>
      <c r="P5099" s="49" t="n">
        <f aca="false">F5099</f>
        <v>0.139193132398158</v>
      </c>
      <c r="Q5099" s="49" t="n">
        <f aca="false">J5099</f>
        <v>0.590575058093952</v>
      </c>
      <c r="R5099" s="49" t="n">
        <f aca="false">N5099</f>
        <v>1.41479034265137</v>
      </c>
      <c r="S5099" s="50" t="n">
        <f aca="false">R5099</f>
        <v>1.41479034265137</v>
      </c>
    </row>
    <row r="5100" customFormat="false" ht="15" hidden="false" customHeight="false" outlineLevel="0" collapsed="false">
      <c r="A5100" s="9" t="s">
        <v>537</v>
      </c>
      <c r="B5100" s="36" t="s">
        <v>527</v>
      </c>
      <c r="C5100" s="49" t="n">
        <f aca="false">C5097+C5098+C5099</f>
        <v>0</v>
      </c>
      <c r="D5100" s="49" t="n">
        <f aca="false">D5097+D5098+D5099</f>
        <v>1.32005869449504</v>
      </c>
      <c r="E5100" s="49" t="n">
        <f aca="false">E5097+E5098+E5099</f>
        <v>3.59530555926551</v>
      </c>
      <c r="F5100" s="49" t="n">
        <f aca="false">F5097+F5098+F5099</f>
        <v>6.07449777056061</v>
      </c>
      <c r="G5100" s="49" t="n">
        <f aca="false">G5097+G5098+G5099</f>
        <v>8.7289853477715</v>
      </c>
      <c r="H5100" s="49" t="n">
        <f aca="false">H5097+H5098+H5099</f>
        <v>12.0725022827888</v>
      </c>
      <c r="I5100" s="49" t="n">
        <f aca="false">I5097+I5098+I5099</f>
        <v>16.0451406040941</v>
      </c>
      <c r="J5100" s="49" t="n">
        <f aca="false">J5097+J5098+J5099</f>
        <v>21.8083402350863</v>
      </c>
      <c r="K5100" s="49" t="n">
        <f aca="false">K5097+K5098+K5099</f>
        <v>29.1684031445609</v>
      </c>
      <c r="L5100" s="49" t="n">
        <f aca="false">L5097+L5098+L5099</f>
        <v>36.4111788315785</v>
      </c>
      <c r="M5100" s="49" t="n">
        <f aca="false">M5097+M5098+M5099</f>
        <v>43.2092381785111</v>
      </c>
      <c r="N5100" s="49" t="n">
        <f aca="false">N5097+N5098+N5099</f>
        <v>49.5832653261647</v>
      </c>
      <c r="P5100" s="49" t="n">
        <f aca="false">F5100</f>
        <v>6.07449777056061</v>
      </c>
      <c r="Q5100" s="49" t="n">
        <f aca="false">J5100</f>
        <v>21.8083402350863</v>
      </c>
      <c r="R5100" s="49" t="n">
        <f aca="false">N5100</f>
        <v>49.5832653261647</v>
      </c>
      <c r="S5100" s="50" t="n">
        <f aca="false">R5100</f>
        <v>49.5832653261647</v>
      </c>
    </row>
    <row r="5101" customFormat="false" ht="15" hidden="false" customHeight="false" outlineLevel="0" collapsed="false">
      <c r="A5101" s="4" t="s">
        <v>538</v>
      </c>
      <c r="B5101" s="36" t="s">
        <v>125</v>
      </c>
      <c r="C5101" s="54" t="n">
        <f aca="false">0*Assumptions!$E$62^(1/4)+C5092*$C$5041</f>
        <v>0</v>
      </c>
      <c r="D5101" s="54" t="n">
        <f aca="false">C5101*Assumptions!$E$62^(1/4)+D5092*$C$5041</f>
        <v>4706.72159552818</v>
      </c>
      <c r="E5101" s="54" t="n">
        <f aca="false">D5101*Assumptions!$E$62^(1/4)+E5092*$C$5041</f>
        <v>12774.4108704403</v>
      </c>
      <c r="F5101" s="54" t="n">
        <f aca="false">E5101*Assumptions!$E$62^(1/4)+F5092*$C$5041</f>
        <v>21676.394450959</v>
      </c>
      <c r="G5101" s="54" t="n">
        <f aca="false">F5101*Assumptions!$E$62^(1/4)+G5092*$C$5041</f>
        <v>31429.7808525372</v>
      </c>
      <c r="H5101" s="54" t="n">
        <f aca="false">G5101*Assumptions!$E$62^(1/4)+H5092*$C$5041</f>
        <v>43966.4221303167</v>
      </c>
      <c r="I5101" s="54" t="n">
        <f aca="false">H5101*Assumptions!$E$62^(1/4)+I5092*$C$5041</f>
        <v>59102.9763731389</v>
      </c>
      <c r="J5101" s="54" t="n">
        <f aca="false">I5101*Assumptions!$E$62^(1/4)+J5092*$C$5041</f>
        <v>81480.5121595011</v>
      </c>
      <c r="K5101" s="54" t="n">
        <f aca="false">J5101*Assumptions!$E$62^(1/4)+K5092*$C$5041</f>
        <v>110413.308604916</v>
      </c>
      <c r="L5101" s="54" t="n">
        <f aca="false">K5101*Assumptions!$E$62^(1/4)+L5092*$C$5041</f>
        <v>139551.687979687</v>
      </c>
      <c r="M5101" s="54" t="n">
        <f aca="false">L5101*Assumptions!$E$62^(1/4)+M5092*$C$5041</f>
        <v>167827.302145124</v>
      </c>
      <c r="N5101" s="54" t="n">
        <f aca="false">M5101*Assumptions!$E$62^(1/4)+N5092*$C$5041</f>
        <v>195300.022814492</v>
      </c>
      <c r="P5101" s="55" t="n">
        <f aca="false">F5101</f>
        <v>21676.394450959</v>
      </c>
      <c r="Q5101" s="55" t="n">
        <f aca="false">J5101</f>
        <v>81480.5121595011</v>
      </c>
      <c r="R5101" s="55" t="n">
        <f aca="false">N5101</f>
        <v>195300.022814492</v>
      </c>
      <c r="S5101" s="56" t="n">
        <f aca="false">R5101</f>
        <v>195300.022814492</v>
      </c>
    </row>
    <row r="5102" customFormat="false" ht="15" hidden="false" customHeight="false" outlineLevel="0" collapsed="false">
      <c r="A5102" s="4" t="s">
        <v>539</v>
      </c>
      <c r="B5102" s="36" t="s">
        <v>125</v>
      </c>
      <c r="C5102" s="54" t="n">
        <f aca="false">0*Assumptions!$E$63^(1/4)+C5093*$C$5042</f>
        <v>0</v>
      </c>
      <c r="D5102" s="54" t="n">
        <f aca="false">C5102*Assumptions!$E$63^(1/4)+D5093*$C$5042</f>
        <v>4303.47481154582</v>
      </c>
      <c r="E5102" s="54" t="n">
        <f aca="false">D5102*Assumptions!$E$63^(1/4)+E5093*$C$5042</f>
        <v>11743.1160583862</v>
      </c>
      <c r="F5102" s="54" t="n">
        <f aca="false">E5102*Assumptions!$E$63^(1/4)+F5093*$C$5042</f>
        <v>20054.7418790156</v>
      </c>
      <c r="G5102" s="54" t="n">
        <f aca="false">F5102*Assumptions!$E$63^(1/4)+G5093*$C$5042</f>
        <v>29266.7903900974</v>
      </c>
      <c r="H5102" s="54" t="n">
        <f aca="false">G5102*Assumptions!$E$63^(1/4)+H5093*$C$5042</f>
        <v>40932.6872704464</v>
      </c>
      <c r="I5102" s="54" t="n">
        <f aca="false">H5102*Assumptions!$E$63^(1/4)+I5093*$C$5042</f>
        <v>54941.9130001558</v>
      </c>
      <c r="J5102" s="54" t="n">
        <f aca="false">I5102*Assumptions!$E$63^(1/4)+J5093*$C$5042</f>
        <v>74393.2843315574</v>
      </c>
      <c r="K5102" s="54" t="n">
        <f aca="false">J5102*Assumptions!$E$63^(1/4)+K5093*$C$5042</f>
        <v>98961.6159018677</v>
      </c>
      <c r="L5102" s="54" t="n">
        <f aca="false">K5102*Assumptions!$E$63^(1/4)+L5093*$C$5042</f>
        <v>124057.27381956</v>
      </c>
      <c r="M5102" s="54" t="n">
        <f aca="false">L5102*Assumptions!$E$63^(1/4)+M5093*$C$5042</f>
        <v>148821.115235177</v>
      </c>
      <c r="N5102" s="54" t="n">
        <f aca="false">M5102*Assumptions!$E$63^(1/4)+N5093*$C$5042</f>
        <v>173296.852325732</v>
      </c>
      <c r="P5102" s="55" t="n">
        <f aca="false">F5102</f>
        <v>20054.7418790156</v>
      </c>
      <c r="Q5102" s="55" t="n">
        <f aca="false">J5102</f>
        <v>74393.2843315574</v>
      </c>
      <c r="R5102" s="55" t="n">
        <f aca="false">N5102</f>
        <v>173296.852325732</v>
      </c>
      <c r="S5102" s="56" t="n">
        <f aca="false">R5102</f>
        <v>173296.852325732</v>
      </c>
    </row>
    <row r="5103" customFormat="false" ht="15" hidden="false" customHeight="false" outlineLevel="0" collapsed="false">
      <c r="A5103" s="4" t="s">
        <v>540</v>
      </c>
      <c r="B5103" s="36" t="s">
        <v>125</v>
      </c>
      <c r="C5103" s="54" t="n">
        <f aca="false">0*Assumptions!$E$64^(1/4)+C5094*$C$5043</f>
        <v>0</v>
      </c>
      <c r="D5103" s="54" t="n">
        <f aca="false">C5103*Assumptions!$E$64^(1/4)+D5094*$C$5043</f>
        <v>0</v>
      </c>
      <c r="E5103" s="54" t="n">
        <f aca="false">D5103*Assumptions!$E$64^(1/4)+E5094*$C$5043</f>
        <v>3192.60180168098</v>
      </c>
      <c r="F5103" s="54" t="n">
        <f aca="false">E5103*Assumptions!$E$64^(1/4)+F5094*$C$5043</f>
        <v>8778.49399744032</v>
      </c>
      <c r="G5103" s="54" t="n">
        <f aca="false">F5103*Assumptions!$E$64^(1/4)+G5094*$C$5043</f>
        <v>15128.9173703421</v>
      </c>
      <c r="H5103" s="54" t="n">
        <f aca="false">G5103*Assumptions!$E$64^(1/4)+H5094*$C$5043</f>
        <v>22282.662002673</v>
      </c>
      <c r="I5103" s="54" t="n">
        <f aca="false">H5103*Assumptions!$E$64^(1/4)+I5094*$C$5043</f>
        <v>30871.879974066</v>
      </c>
      <c r="J5103" s="54" t="n">
        <f aca="false">I5103*Assumptions!$E$64^(1/4)+J5094*$C$5043</f>
        <v>40889.2260230116</v>
      </c>
      <c r="K5103" s="54" t="n">
        <f aca="false">J5103*Assumptions!$E$64^(1/4)+K5094*$C$5043</f>
        <v>54195.6474590054</v>
      </c>
      <c r="L5103" s="54" t="n">
        <f aca="false">K5103*Assumptions!$E$64^(1/4)+L5094*$C$5043</f>
        <v>70733.2707942914</v>
      </c>
      <c r="M5103" s="54" t="n">
        <f aca="false">L5103*Assumptions!$E$64^(1/4)+M5094*$C$5043</f>
        <v>87962.7558029649</v>
      </c>
      <c r="N5103" s="54" t="n">
        <f aca="false">M5103*Assumptions!$E$64^(1/4)+N5094*$C$5043</f>
        <v>105369.207583443</v>
      </c>
      <c r="P5103" s="55" t="n">
        <f aca="false">F5103</f>
        <v>8778.49399744032</v>
      </c>
      <c r="Q5103" s="55" t="n">
        <f aca="false">J5103</f>
        <v>40889.2260230116</v>
      </c>
      <c r="R5103" s="55" t="n">
        <f aca="false">N5103</f>
        <v>105369.207583443</v>
      </c>
      <c r="S5103" s="56" t="n">
        <f aca="false">R5103</f>
        <v>105369.207583443</v>
      </c>
    </row>
    <row r="5104" customFormat="false" ht="15" hidden="false" customHeight="false" outlineLevel="0" collapsed="false">
      <c r="A5104" s="9" t="s">
        <v>541</v>
      </c>
      <c r="B5104" s="36" t="s">
        <v>125</v>
      </c>
      <c r="C5104" s="55" t="n">
        <f aca="false">C5101+C5102+C5103</f>
        <v>0</v>
      </c>
      <c r="D5104" s="55" t="n">
        <f aca="false">D5101+D5102+D5103</f>
        <v>9010.196407074</v>
      </c>
      <c r="E5104" s="55" t="n">
        <f aca="false">E5101+E5102+E5103</f>
        <v>27710.1287305075</v>
      </c>
      <c r="F5104" s="55" t="n">
        <f aca="false">F5101+F5102+F5103</f>
        <v>50509.6303274149</v>
      </c>
      <c r="G5104" s="55" t="n">
        <f aca="false">G5101+G5102+G5103</f>
        <v>75825.4886129768</v>
      </c>
      <c r="H5104" s="55" t="n">
        <f aca="false">H5101+H5102+H5103</f>
        <v>107181.771403436</v>
      </c>
      <c r="I5104" s="55" t="n">
        <f aca="false">I5101+I5102+I5103</f>
        <v>144916.769347361</v>
      </c>
      <c r="J5104" s="55" t="n">
        <f aca="false">J5101+J5102+J5103</f>
        <v>196763.02251407</v>
      </c>
      <c r="K5104" s="55" t="n">
        <f aca="false">K5101+K5102+K5103</f>
        <v>263570.571965789</v>
      </c>
      <c r="L5104" s="55" t="n">
        <f aca="false">L5101+L5102+L5103</f>
        <v>334342.232593538</v>
      </c>
      <c r="M5104" s="55" t="n">
        <f aca="false">M5101+M5102+M5103</f>
        <v>404611.173183266</v>
      </c>
      <c r="N5104" s="55" t="n">
        <f aca="false">N5101+N5102+N5103</f>
        <v>473966.082723667</v>
      </c>
      <c r="P5104" s="55" t="n">
        <f aca="false">F5104</f>
        <v>50509.6303274149</v>
      </c>
      <c r="Q5104" s="55" t="n">
        <f aca="false">J5104</f>
        <v>196763.02251407</v>
      </c>
      <c r="R5104" s="55" t="n">
        <f aca="false">N5104</f>
        <v>473966.082723667</v>
      </c>
      <c r="S5104" s="56" t="n">
        <f aca="false">R5104</f>
        <v>473966.082723667</v>
      </c>
    </row>
    <row r="5105" customFormat="false" ht="15" hidden="false" customHeight="false" outlineLevel="0" collapsed="false">
      <c r="A5105" s="4" t="s">
        <v>542</v>
      </c>
      <c r="B5105" s="36" t="s">
        <v>125</v>
      </c>
      <c r="C5105" s="54" t="n">
        <f aca="false">C5092*$C$5041+C5093*$C$5042+C5094*$C$5043</f>
        <v>0</v>
      </c>
      <c r="D5105" s="54" t="n">
        <f aca="false">D5092*$C$5041+D5093*$C$5042+D5094*$C$5043</f>
        <v>9010.196407074</v>
      </c>
      <c r="E5105" s="54" t="n">
        <f aca="false">E5092*$C$5041+E5093*$C$5042+E5094*$C$5043</f>
        <v>18636.7837960582</v>
      </c>
      <c r="F5105" s="54" t="n">
        <f aca="false">F5092*$C$5041+F5093*$C$5042+F5094*$C$5043</f>
        <v>22513.6621397333</v>
      </c>
      <c r="G5105" s="54" t="n">
        <f aca="false">G5092*$C$5041+G5093*$C$5042+G5094*$C$5043</f>
        <v>24709.4317285516</v>
      </c>
      <c r="H5105" s="54" t="n">
        <f aca="false">H5092*$C$5041+H5093*$C$5042+H5094*$C$5043</f>
        <v>30388.871211604</v>
      </c>
      <c r="I5105" s="54" t="n">
        <f aca="false">I5092*$C$5041+I5093*$C$5042+I5094*$C$5043</f>
        <v>36342.0293910626</v>
      </c>
      <c r="J5105" s="54" t="n">
        <f aca="false">J5092*$C$5041+J5093*$C$5042+J5094*$C$5043</f>
        <v>49942.299322206</v>
      </c>
      <c r="K5105" s="54" t="n">
        <f aca="false">K5092*$C$5041+K5093*$C$5042+K5094*$C$5043</f>
        <v>64261.9716209804</v>
      </c>
      <c r="L5105" s="54" t="n">
        <f aca="false">L5092*$C$5041+L5093*$C$5042+L5094*$C$5043</f>
        <v>67392.4201296716</v>
      </c>
      <c r="M5105" s="54" t="n">
        <f aca="false">M5092*$C$5041+M5093*$C$5042+M5094*$C$5043</f>
        <v>65933.4041948005</v>
      </c>
      <c r="N5105" s="54" t="n">
        <f aca="false">N5092*$C$5041+N5093*$C$5042+N5094*$C$5043</f>
        <v>64043.3450027304</v>
      </c>
      <c r="P5105" s="55" t="n">
        <f aca="false">SUM(C5105:F5105)</f>
        <v>50160.6423428655</v>
      </c>
      <c r="Q5105" s="55" t="n">
        <f aca="false">SUM(G5105:J5105)</f>
        <v>141382.631653424</v>
      </c>
      <c r="R5105" s="55" t="n">
        <f aca="false">SUM(K5105:N5105)</f>
        <v>261631.140948183</v>
      </c>
      <c r="S5105" s="56" t="n">
        <f aca="false">SUM(P5105:R5105)</f>
        <v>453174.414944473</v>
      </c>
    </row>
    <row r="5106" customFormat="false" ht="15" hidden="false" customHeight="false" outlineLevel="0" collapsed="false">
      <c r="A5106" s="9" t="s">
        <v>543</v>
      </c>
      <c r="B5106" s="36" t="s">
        <v>125</v>
      </c>
      <c r="C5106" s="55" t="n">
        <f aca="false">(0+C5104)/8</f>
        <v>0</v>
      </c>
      <c r="D5106" s="55" t="n">
        <f aca="false">(C5104+D5104)/8</f>
        <v>1126.27455088425</v>
      </c>
      <c r="E5106" s="55" t="n">
        <f aca="false">(D5104+E5104)/8</f>
        <v>4590.04064219769</v>
      </c>
      <c r="F5106" s="55" t="n">
        <f aca="false">(E5104+F5104)/8</f>
        <v>9777.4698822403</v>
      </c>
      <c r="G5106" s="55" t="n">
        <f aca="false">(F5104+G5104)/8</f>
        <v>15791.889867549</v>
      </c>
      <c r="H5106" s="55" t="n">
        <f aca="false">(G5104+H5104)/8</f>
        <v>22875.9075020516</v>
      </c>
      <c r="I5106" s="55" t="n">
        <f aca="false">(H5104+I5104)/8</f>
        <v>31512.3175938496</v>
      </c>
      <c r="J5106" s="55" t="n">
        <f aca="false">(I5104+J5104)/8</f>
        <v>42709.9739826789</v>
      </c>
      <c r="K5106" s="55" t="n">
        <f aca="false">(J5104+K5104)/8</f>
        <v>57541.6993099824</v>
      </c>
      <c r="L5106" s="55" t="n">
        <f aca="false">(K5104+L5104)/8</f>
        <v>74739.1005699159</v>
      </c>
      <c r="M5106" s="55" t="n">
        <f aca="false">(L5104+M5104)/8</f>
        <v>92369.1757221004</v>
      </c>
      <c r="N5106" s="55" t="n">
        <f aca="false">(M5104+N5104)/8</f>
        <v>109822.156988367</v>
      </c>
      <c r="P5106" s="55" t="n">
        <f aca="false">SUM(C5106:F5106)</f>
        <v>15493.7850753222</v>
      </c>
      <c r="Q5106" s="55" t="n">
        <f aca="false">SUM(G5106:J5106)</f>
        <v>112890.088946129</v>
      </c>
      <c r="R5106" s="55" t="n">
        <f aca="false">SUM(K5106:N5106)</f>
        <v>334472.132590365</v>
      </c>
      <c r="S5106" s="56" t="n">
        <f aca="false">SUM(P5106:R5106)</f>
        <v>462856.006611816</v>
      </c>
    </row>
    <row r="5107" customFormat="false" ht="15" hidden="false" customHeight="false" outlineLevel="0" collapsed="false">
      <c r="A5107" s="4" t="s">
        <v>544</v>
      </c>
      <c r="B5107" s="36" t="s">
        <v>125</v>
      </c>
      <c r="C5107" s="54" t="n">
        <f aca="false">C5106*Assumptions!$E$76</f>
        <v>0</v>
      </c>
      <c r="D5107" s="54" t="n">
        <f aca="false">D5106*Assumptions!$E$76</f>
        <v>732.078458074763</v>
      </c>
      <c r="E5107" s="54" t="n">
        <f aca="false">E5106*Assumptions!$E$76</f>
        <v>2983.5264174285</v>
      </c>
      <c r="F5107" s="54" t="n">
        <f aca="false">F5106*Assumptions!$E$76</f>
        <v>6355.3554234562</v>
      </c>
      <c r="G5107" s="54" t="n">
        <f aca="false">G5106*Assumptions!$E$76</f>
        <v>10264.7284139068</v>
      </c>
      <c r="H5107" s="54" t="n">
        <f aca="false">H5106*Assumptions!$E$76</f>
        <v>14869.3398763335</v>
      </c>
      <c r="I5107" s="54" t="n">
        <f aca="false">I5106*Assumptions!$E$76</f>
        <v>20483.0064360022</v>
      </c>
      <c r="J5107" s="54" t="n">
        <f aca="false">J5106*Assumptions!$E$76</f>
        <v>27761.4830887413</v>
      </c>
      <c r="K5107" s="54" t="n">
        <f aca="false">K5106*Assumptions!$E$76</f>
        <v>37402.1045514886</v>
      </c>
      <c r="L5107" s="54" t="n">
        <f aca="false">L5106*Assumptions!$E$76</f>
        <v>48580.4153704453</v>
      </c>
      <c r="M5107" s="54" t="n">
        <f aca="false">M5106*Assumptions!$E$76</f>
        <v>60039.9642193653</v>
      </c>
      <c r="N5107" s="54" t="n">
        <f aca="false">N5106*Assumptions!$E$76</f>
        <v>71384.4020424383</v>
      </c>
      <c r="P5107" s="55" t="n">
        <f aca="false">SUM(C5107:F5107)</f>
        <v>10070.9602989595</v>
      </c>
      <c r="Q5107" s="55" t="n">
        <f aca="false">SUM(G5107:J5107)</f>
        <v>73378.5578149839</v>
      </c>
      <c r="R5107" s="55" t="n">
        <f aca="false">SUM(K5107:N5107)</f>
        <v>217406.886183737</v>
      </c>
      <c r="S5107" s="56" t="n">
        <f aca="false">SUM(P5107:R5107)</f>
        <v>300856.404297681</v>
      </c>
    </row>
    <row r="5108" customFormat="false" ht="15" hidden="false" customHeight="false" outlineLevel="0" collapsed="false">
      <c r="A5108" s="35" t="s">
        <v>547</v>
      </c>
      <c r="B5108" s="35" t="s">
        <v>444</v>
      </c>
      <c r="C5108" s="6" t="s">
        <v>354</v>
      </c>
      <c r="D5108" s="6" t="s">
        <v>355</v>
      </c>
      <c r="E5108" s="6" t="s">
        <v>356</v>
      </c>
      <c r="F5108" s="6" t="s">
        <v>357</v>
      </c>
      <c r="G5108" s="6" t="s">
        <v>358</v>
      </c>
      <c r="H5108" s="6" t="s">
        <v>359</v>
      </c>
      <c r="I5108" s="6" t="s">
        <v>360</v>
      </c>
      <c r="J5108" s="6" t="s">
        <v>361</v>
      </c>
      <c r="K5108" s="6" t="s">
        <v>362</v>
      </c>
      <c r="L5108" s="6" t="s">
        <v>363</v>
      </c>
      <c r="M5108" s="6" t="s">
        <v>364</v>
      </c>
      <c r="N5108" s="6" t="s">
        <v>365</v>
      </c>
      <c r="P5108" s="6" t="s">
        <v>445</v>
      </c>
      <c r="Q5108" s="6" t="s">
        <v>446</v>
      </c>
      <c r="R5108" s="6" t="s">
        <v>447</v>
      </c>
      <c r="S5108" s="6" t="s">
        <v>448</v>
      </c>
    </row>
    <row r="5109" customFormat="false" ht="15" hidden="false" customHeight="false" outlineLevel="0" collapsed="false">
      <c r="A5109" s="4" t="s">
        <v>548</v>
      </c>
      <c r="B5109" s="36" t="s">
        <v>321</v>
      </c>
      <c r="C5109" s="48" t="n">
        <f aca="false">Assumptions!$D$97*C5051</f>
        <v>1</v>
      </c>
      <c r="D5109" s="48" t="n">
        <f aca="false">Assumptions!$D$97*D5051</f>
        <v>1</v>
      </c>
      <c r="E5109" s="48" t="n">
        <f aca="false">Assumptions!$D$97*E5051</f>
        <v>1</v>
      </c>
      <c r="F5109" s="48" t="n">
        <f aca="false">Assumptions!$D$97*F5051</f>
        <v>1</v>
      </c>
      <c r="G5109" s="48" t="n">
        <f aca="false">Assumptions!$D$97*G5051</f>
        <v>1</v>
      </c>
      <c r="H5109" s="48" t="n">
        <f aca="false">Assumptions!$D$97*H5051</f>
        <v>1</v>
      </c>
      <c r="I5109" s="48" t="n">
        <f aca="false">Assumptions!$D$97*I5051</f>
        <v>1</v>
      </c>
      <c r="J5109" s="48" t="n">
        <f aca="false">Assumptions!$D$97*J5051</f>
        <v>1</v>
      </c>
      <c r="K5109" s="48" t="n">
        <f aca="false">Assumptions!$D$97*K5051</f>
        <v>1</v>
      </c>
      <c r="L5109" s="48" t="n">
        <f aca="false">Assumptions!$D$97*L5051</f>
        <v>1</v>
      </c>
      <c r="M5109" s="48" t="n">
        <f aca="false">Assumptions!$D$97*M5051</f>
        <v>1</v>
      </c>
      <c r="N5109" s="48" t="n">
        <f aca="false">Assumptions!$D$97*N5051</f>
        <v>1</v>
      </c>
      <c r="P5109" s="49" t="n">
        <f aca="false">AVERAGE(C5109:F5109)</f>
        <v>1</v>
      </c>
      <c r="Q5109" s="49" t="n">
        <f aca="false">AVERAGE(G5109:J5109)</f>
        <v>1</v>
      </c>
      <c r="R5109" s="49" t="n">
        <f aca="false">AVERAGE(K5109:N5109)</f>
        <v>1</v>
      </c>
      <c r="S5109" s="50"/>
    </row>
    <row r="5110" customFormat="false" ht="15" hidden="false" customHeight="false" outlineLevel="0" collapsed="false">
      <c r="A5110" s="4" t="s">
        <v>549</v>
      </c>
      <c r="B5110" s="36" t="s">
        <v>321</v>
      </c>
      <c r="C5110" s="48" t="n">
        <f aca="false">C5064*C5051</f>
        <v>0</v>
      </c>
      <c r="D5110" s="48" t="n">
        <f aca="false">D5064*D5051</f>
        <v>0</v>
      </c>
      <c r="E5110" s="48" t="n">
        <f aca="false">E5064*E5051</f>
        <v>0</v>
      </c>
      <c r="F5110" s="48" t="n">
        <f aca="false">F5064*F5051</f>
        <v>0</v>
      </c>
      <c r="G5110" s="48" t="n">
        <f aca="false">G5064*G5051</f>
        <v>0</v>
      </c>
      <c r="H5110" s="48" t="n">
        <f aca="false">H5064*H5051</f>
        <v>0</v>
      </c>
      <c r="I5110" s="48" t="n">
        <f aca="false">I5064*I5051</f>
        <v>0</v>
      </c>
      <c r="J5110" s="48" t="n">
        <f aca="false">J5064*J5051</f>
        <v>0</v>
      </c>
      <c r="K5110" s="48" t="n">
        <f aca="false">K5064*K5051</f>
        <v>0</v>
      </c>
      <c r="L5110" s="48" t="n">
        <f aca="false">L5064*L5051</f>
        <v>0</v>
      </c>
      <c r="M5110" s="48" t="n">
        <f aca="false">M5064*M5051</f>
        <v>0</v>
      </c>
      <c r="N5110" s="48" t="n">
        <f aca="false">N5064*N5051</f>
        <v>0</v>
      </c>
      <c r="P5110" s="49" t="n">
        <f aca="false">AVERAGE(C5110:F5110)</f>
        <v>0</v>
      </c>
      <c r="Q5110" s="49" t="n">
        <f aca="false">AVERAGE(G5110:J5110)</f>
        <v>0</v>
      </c>
      <c r="R5110" s="49" t="n">
        <f aca="false">AVERAGE(K5110:N5110)</f>
        <v>0</v>
      </c>
      <c r="S5110" s="50"/>
    </row>
    <row r="5111" customFormat="false" ht="15" hidden="false" customHeight="false" outlineLevel="0" collapsed="false">
      <c r="A5111" s="4" t="s">
        <v>550</v>
      </c>
      <c r="B5111" s="36" t="s">
        <v>321</v>
      </c>
      <c r="C5111" s="48" t="n">
        <f aca="false">IF(C5050&lt;=4,Assumptions!$D$98,Assumptions!$D$99)*C5051</f>
        <v>0</v>
      </c>
      <c r="D5111" s="48" t="n">
        <f aca="false">IF(D5050&lt;=4,Assumptions!$D$98,Assumptions!$D$99)*D5051</f>
        <v>0</v>
      </c>
      <c r="E5111" s="48" t="n">
        <f aca="false">IF(E5050&lt;=4,Assumptions!$D$98,Assumptions!$D$99)*E5051</f>
        <v>0</v>
      </c>
      <c r="F5111" s="48" t="n">
        <f aca="false">IF(F5050&lt;=4,Assumptions!$D$98,Assumptions!$D$99)*F5051</f>
        <v>0</v>
      </c>
      <c r="G5111" s="48" t="n">
        <f aca="false">IF(G5050&lt;=4,Assumptions!$D$98,Assumptions!$D$99)*G5051</f>
        <v>0.5</v>
      </c>
      <c r="H5111" s="48" t="n">
        <f aca="false">IF(H5050&lt;=4,Assumptions!$D$98,Assumptions!$D$99)*H5051</f>
        <v>0.5</v>
      </c>
      <c r="I5111" s="48" t="n">
        <f aca="false">IF(I5050&lt;=4,Assumptions!$D$98,Assumptions!$D$99)*I5051</f>
        <v>0.5</v>
      </c>
      <c r="J5111" s="48" t="n">
        <f aca="false">IF(J5050&lt;=4,Assumptions!$D$98,Assumptions!$D$99)*J5051</f>
        <v>0.5</v>
      </c>
      <c r="K5111" s="48" t="n">
        <f aca="false">IF(K5050&lt;=4,Assumptions!$D$98,Assumptions!$D$99)*K5051</f>
        <v>0.5</v>
      </c>
      <c r="L5111" s="48" t="n">
        <f aca="false">IF(L5050&lt;=4,Assumptions!$D$98,Assumptions!$D$99)*L5051</f>
        <v>0.5</v>
      </c>
      <c r="M5111" s="48" t="n">
        <f aca="false">IF(M5050&lt;=4,Assumptions!$D$98,Assumptions!$D$99)*M5051</f>
        <v>0.5</v>
      </c>
      <c r="N5111" s="48" t="n">
        <f aca="false">IF(N5050&lt;=4,Assumptions!$D$98,Assumptions!$D$99)*N5051</f>
        <v>0.5</v>
      </c>
      <c r="P5111" s="49" t="n">
        <f aca="false">AVERAGE(C5111:F5111)</f>
        <v>0</v>
      </c>
      <c r="Q5111" s="49" t="n">
        <f aca="false">AVERAGE(G5111:J5111)</f>
        <v>0.5</v>
      </c>
      <c r="R5111" s="49" t="n">
        <f aca="false">AVERAGE(K5111:N5111)</f>
        <v>0.5</v>
      </c>
      <c r="S5111" s="50"/>
    </row>
    <row r="5112" customFormat="false" ht="15" hidden="false" customHeight="false" outlineLevel="0" collapsed="false">
      <c r="A5112" s="4" t="s">
        <v>551</v>
      </c>
      <c r="B5112" s="36" t="s">
        <v>321</v>
      </c>
      <c r="C5112" s="48" t="n">
        <f aca="false">IF(C5050&lt;=4,Assumptions!$D$100,Assumptions!$D$101)*C5051</f>
        <v>1</v>
      </c>
      <c r="D5112" s="48" t="n">
        <f aca="false">IF(D5050&lt;=4,Assumptions!$D$100,Assumptions!$D$101)*D5051</f>
        <v>1</v>
      </c>
      <c r="E5112" s="48" t="n">
        <f aca="false">IF(E5050&lt;=4,Assumptions!$D$100,Assumptions!$D$101)*E5051</f>
        <v>1</v>
      </c>
      <c r="F5112" s="48" t="n">
        <f aca="false">IF(F5050&lt;=4,Assumptions!$D$100,Assumptions!$D$101)*F5051</f>
        <v>1</v>
      </c>
      <c r="G5112" s="48" t="n">
        <f aca="false">IF(G5050&lt;=4,Assumptions!$D$100,Assumptions!$D$101)*G5051</f>
        <v>0.5</v>
      </c>
      <c r="H5112" s="48" t="n">
        <f aca="false">IF(H5050&lt;=4,Assumptions!$D$100,Assumptions!$D$101)*H5051</f>
        <v>0.5</v>
      </c>
      <c r="I5112" s="48" t="n">
        <f aca="false">IF(I5050&lt;=4,Assumptions!$D$100,Assumptions!$D$101)*I5051</f>
        <v>0.5</v>
      </c>
      <c r="J5112" s="48" t="n">
        <f aca="false">IF(J5050&lt;=4,Assumptions!$D$100,Assumptions!$D$101)*J5051</f>
        <v>0.5</v>
      </c>
      <c r="K5112" s="48" t="n">
        <f aca="false">IF(K5050&lt;=4,Assumptions!$D$100,Assumptions!$D$101)*K5051</f>
        <v>0.5</v>
      </c>
      <c r="L5112" s="48" t="n">
        <f aca="false">IF(L5050&lt;=4,Assumptions!$D$100,Assumptions!$D$101)*L5051</f>
        <v>0.5</v>
      </c>
      <c r="M5112" s="48" t="n">
        <f aca="false">IF(M5050&lt;=4,Assumptions!$D$100,Assumptions!$D$101)*M5051</f>
        <v>0.5</v>
      </c>
      <c r="N5112" s="48" t="n">
        <f aca="false">IF(N5050&lt;=4,Assumptions!$D$100,Assumptions!$D$101)*N5051</f>
        <v>0.5</v>
      </c>
      <c r="P5112" s="49" t="n">
        <f aca="false">AVERAGE(C5112:F5112)</f>
        <v>1</v>
      </c>
      <c r="Q5112" s="49" t="n">
        <f aca="false">AVERAGE(G5112:J5112)</f>
        <v>0.5</v>
      </c>
      <c r="R5112" s="49" t="n">
        <f aca="false">AVERAGE(K5112:N5112)</f>
        <v>0.5</v>
      </c>
      <c r="S5112" s="50"/>
    </row>
    <row r="5113" customFormat="false" ht="15" hidden="false" customHeight="false" outlineLevel="0" collapsed="false">
      <c r="A5113" s="4" t="s">
        <v>552</v>
      </c>
      <c r="B5113" s="36" t="s">
        <v>321</v>
      </c>
      <c r="C5113" s="48" t="n">
        <f aca="false">Assumptions!$D$102*C5051</f>
        <v>0.25</v>
      </c>
      <c r="D5113" s="48" t="n">
        <f aca="false">Assumptions!$D$102*D5051</f>
        <v>0.25</v>
      </c>
      <c r="E5113" s="48" t="n">
        <f aca="false">Assumptions!$D$102*E5051</f>
        <v>0.25</v>
      </c>
      <c r="F5113" s="48" t="n">
        <f aca="false">Assumptions!$D$102*F5051</f>
        <v>0.25</v>
      </c>
      <c r="G5113" s="48" t="n">
        <f aca="false">Assumptions!$D$102*G5051</f>
        <v>0.25</v>
      </c>
      <c r="H5113" s="48" t="n">
        <f aca="false">Assumptions!$D$102*H5051</f>
        <v>0.25</v>
      </c>
      <c r="I5113" s="48" t="n">
        <f aca="false">Assumptions!$D$102*I5051</f>
        <v>0.25</v>
      </c>
      <c r="J5113" s="48" t="n">
        <f aca="false">Assumptions!$D$102*J5051</f>
        <v>0.25</v>
      </c>
      <c r="K5113" s="48" t="n">
        <f aca="false">Assumptions!$D$102*K5051</f>
        <v>0.25</v>
      </c>
      <c r="L5113" s="48" t="n">
        <f aca="false">Assumptions!$D$102*L5051</f>
        <v>0.25</v>
      </c>
      <c r="M5113" s="48" t="n">
        <f aca="false">Assumptions!$D$102*M5051</f>
        <v>0.25</v>
      </c>
      <c r="N5113" s="48" t="n">
        <f aca="false">Assumptions!$D$102*N5051</f>
        <v>0.25</v>
      </c>
      <c r="P5113" s="49" t="n">
        <f aca="false">AVERAGE(C5113:F5113)</f>
        <v>0.25</v>
      </c>
      <c r="Q5113" s="49" t="n">
        <f aca="false">AVERAGE(G5113:J5113)</f>
        <v>0.25</v>
      </c>
      <c r="R5113" s="49" t="n">
        <f aca="false">AVERAGE(K5113:N5113)</f>
        <v>0.25</v>
      </c>
      <c r="S5113" s="50"/>
    </row>
    <row r="5114" customFormat="false" ht="15" hidden="false" customHeight="false" outlineLevel="0" collapsed="false">
      <c r="A5114" s="4" t="s">
        <v>553</v>
      </c>
      <c r="B5114" s="36" t="s">
        <v>321</v>
      </c>
      <c r="C5114" s="48" t="n">
        <f aca="false">(C5098+C5099)/Assumptions!$E$74+C5097/Assumptions!$E$75</f>
        <v>0</v>
      </c>
      <c r="D5114" s="48" t="n">
        <f aca="false">(D5098+D5099)/Assumptions!$E$74+D5097/Assumptions!$E$75</f>
        <v>0.0145333893530165</v>
      </c>
      <c r="E5114" s="48" t="n">
        <f aca="false">(E5098+E5099)/Assumptions!$E$74+E5097/Assumptions!$E$75</f>
        <v>0.0403397072975923</v>
      </c>
      <c r="F5114" s="48" t="n">
        <f aca="false">(F5098+F5099)/Assumptions!$E$74+F5097/Assumptions!$E$75</f>
        <v>0.0689484822004341</v>
      </c>
      <c r="G5114" s="48" t="n">
        <f aca="false">(G5098+G5099)/Assumptions!$E$74+G5097/Assumptions!$E$75</f>
        <v>0.099648556532067</v>
      </c>
      <c r="H5114" s="48" t="n">
        <f aca="false">(H5098+H5099)/Assumptions!$E$74+H5097/Assumptions!$E$75</f>
        <v>0.137775204754453</v>
      </c>
      <c r="I5114" s="48" t="n">
        <f aca="false">(I5098+I5099)/Assumptions!$E$74+I5097/Assumptions!$E$75</f>
        <v>0.182858332172229</v>
      </c>
      <c r="J5114" s="48" t="n">
        <f aca="false">(J5098+J5099)/Assumptions!$E$74+J5097/Assumptions!$E$75</f>
        <v>0.24599935835508</v>
      </c>
      <c r="K5114" s="48" t="n">
        <f aca="false">(K5098+K5099)/Assumptions!$E$74+K5097/Assumptions!$E$75</f>
        <v>0.325886431326283</v>
      </c>
      <c r="L5114" s="48" t="n">
        <f aca="false">(L5098+L5099)/Assumptions!$E$74+L5097/Assumptions!$E$75</f>
        <v>0.405309385105094</v>
      </c>
      <c r="M5114" s="48" t="n">
        <f aca="false">(M5098+M5099)/Assumptions!$E$74+M5097/Assumptions!$E$75</f>
        <v>0.480196812613834</v>
      </c>
      <c r="N5114" s="48" t="n">
        <f aca="false">(N5098+N5099)/Assumptions!$E$74+N5097/Assumptions!$E$75</f>
        <v>0.550623858589417</v>
      </c>
      <c r="P5114" s="49" t="n">
        <f aca="false">AVERAGE(C5114:F5114)</f>
        <v>0.0309553947127607</v>
      </c>
      <c r="Q5114" s="49" t="n">
        <f aca="false">AVERAGE(G5114:J5114)</f>
        <v>0.166570362953457</v>
      </c>
      <c r="R5114" s="49" t="n">
        <f aca="false">AVERAGE(K5114:N5114)</f>
        <v>0.440504121908657</v>
      </c>
      <c r="S5114" s="50"/>
    </row>
    <row r="5115" customFormat="false" ht="15" hidden="false" customHeight="false" outlineLevel="0" collapsed="false">
      <c r="A5115" s="4" t="s">
        <v>554</v>
      </c>
      <c r="B5115" s="36" t="s">
        <v>125</v>
      </c>
      <c r="C5115" s="54" t="n">
        <f aca="false">(C5109+C5111)*Assumptions!$E$70/Assumptions!$E$69/4</f>
        <v>66753.5714285714</v>
      </c>
      <c r="D5115" s="54" t="n">
        <f aca="false">(D5109+D5111)*Assumptions!$E$70/Assumptions!$E$69/4</f>
        <v>66753.5714285714</v>
      </c>
      <c r="E5115" s="54" t="n">
        <f aca="false">(E5109+E5111)*Assumptions!$E$70/Assumptions!$E$69/4</f>
        <v>66753.5714285714</v>
      </c>
      <c r="F5115" s="54" t="n">
        <f aca="false">(F5109+F5111)*Assumptions!$E$70/Assumptions!$E$69/4</f>
        <v>66753.5714285714</v>
      </c>
      <c r="G5115" s="54" t="n">
        <f aca="false">(G5109+G5111)*Assumptions!$E$70/Assumptions!$E$69/4</f>
        <v>100130.357142857</v>
      </c>
      <c r="H5115" s="54" t="n">
        <f aca="false">(H5109+H5111)*Assumptions!$E$70/Assumptions!$E$69/4</f>
        <v>100130.357142857</v>
      </c>
      <c r="I5115" s="54" t="n">
        <f aca="false">(I5109+I5111)*Assumptions!$E$70/Assumptions!$E$69/4</f>
        <v>100130.357142857</v>
      </c>
      <c r="J5115" s="54" t="n">
        <f aca="false">(J5109+J5111)*Assumptions!$E$70/Assumptions!$E$69/4</f>
        <v>100130.357142857</v>
      </c>
      <c r="K5115" s="54" t="n">
        <f aca="false">(K5109+K5111)*Assumptions!$E$70/Assumptions!$E$69/4</f>
        <v>100130.357142857</v>
      </c>
      <c r="L5115" s="54" t="n">
        <f aca="false">(L5109+L5111)*Assumptions!$E$70/Assumptions!$E$69/4</f>
        <v>100130.357142857</v>
      </c>
      <c r="M5115" s="54" t="n">
        <f aca="false">(M5109+M5111)*Assumptions!$E$70/Assumptions!$E$69/4</f>
        <v>100130.357142857</v>
      </c>
      <c r="N5115" s="54" t="n">
        <f aca="false">(N5109+N5111)*Assumptions!$E$70/Assumptions!$E$69/4</f>
        <v>100130.357142857</v>
      </c>
      <c r="P5115" s="55" t="n">
        <f aca="false">SUM(C5115:F5115)</f>
        <v>267014.285714286</v>
      </c>
      <c r="Q5115" s="55" t="n">
        <f aca="false">SUM(G5115:J5115)</f>
        <v>400521.428571429</v>
      </c>
      <c r="R5115" s="55" t="n">
        <f aca="false">SUM(K5115:N5115)</f>
        <v>400521.428571429</v>
      </c>
      <c r="S5115" s="56" t="n">
        <f aca="false">SUM(P5115:R5115)</f>
        <v>1068057.14285714</v>
      </c>
    </row>
    <row r="5116" customFormat="false" ht="15" hidden="false" customHeight="false" outlineLevel="0" collapsed="false">
      <c r="A5116" s="4" t="s">
        <v>555</v>
      </c>
      <c r="B5116" s="36" t="s">
        <v>125</v>
      </c>
      <c r="C5116" s="54" t="n">
        <f aca="false">C5110*$C$5045/4</f>
        <v>0</v>
      </c>
      <c r="D5116" s="54" t="n">
        <f aca="false">D5110*$C$5045/4</f>
        <v>0</v>
      </c>
      <c r="E5116" s="54" t="n">
        <f aca="false">E5110*$C$5045/4</f>
        <v>0</v>
      </c>
      <c r="F5116" s="54" t="n">
        <f aca="false">F5110*$C$5045/4</f>
        <v>0</v>
      </c>
      <c r="G5116" s="54" t="n">
        <f aca="false">G5110*$C$5045/4</f>
        <v>0</v>
      </c>
      <c r="H5116" s="54" t="n">
        <f aca="false">H5110*$C$5045/4</f>
        <v>0</v>
      </c>
      <c r="I5116" s="54" t="n">
        <f aca="false">I5110*$C$5045/4</f>
        <v>0</v>
      </c>
      <c r="J5116" s="54" t="n">
        <f aca="false">J5110*$C$5045/4</f>
        <v>0</v>
      </c>
      <c r="K5116" s="54" t="n">
        <f aca="false">K5110*$C$5045/4</f>
        <v>0</v>
      </c>
      <c r="L5116" s="54" t="n">
        <f aca="false">L5110*$C$5045/4</f>
        <v>0</v>
      </c>
      <c r="M5116" s="54" t="n">
        <f aca="false">M5110*$C$5045/4</f>
        <v>0</v>
      </c>
      <c r="N5116" s="54" t="n">
        <f aca="false">N5110*$C$5045/4</f>
        <v>0</v>
      </c>
      <c r="P5116" s="55" t="n">
        <f aca="false">SUM(C5116:F5116)</f>
        <v>0</v>
      </c>
      <c r="Q5116" s="55" t="n">
        <f aca="false">SUM(G5116:J5116)</f>
        <v>0</v>
      </c>
      <c r="R5116" s="55" t="n">
        <f aca="false">SUM(K5116:N5116)</f>
        <v>0</v>
      </c>
      <c r="S5116" s="56" t="n">
        <f aca="false">SUM(P5116:R5116)</f>
        <v>0</v>
      </c>
    </row>
    <row r="5117" customFormat="false" ht="15" hidden="false" customHeight="false" outlineLevel="0" collapsed="false">
      <c r="A5117" s="4" t="s">
        <v>556</v>
      </c>
      <c r="B5117" s="36" t="s">
        <v>125</v>
      </c>
      <c r="C5117" s="54" t="n">
        <f aca="false">MAX(0,(C5105-C5086*$C$5041)-C5065*$C$5046)*$C$5047*Assumptions!$D$105</f>
        <v>0</v>
      </c>
      <c r="D5117" s="54" t="n">
        <f aca="false">MAX(0,(D5105-D5086*$C$5041)-D5065*$C$5046)*$C$5047*Assumptions!$D$105</f>
        <v>3544.34049138918</v>
      </c>
      <c r="E5117" s="54" t="n">
        <f aca="false">MAX(0,(E5105-E5086*$C$5041)-E5065*$C$5046)*$C$5047*Assumptions!$D$105</f>
        <v>7564.53738243012</v>
      </c>
      <c r="F5117" s="54" t="n">
        <f aca="false">MAX(0,(F5105-F5086*$C$5041)-F5065*$C$5046)*$C$5047*Assumptions!$D$105</f>
        <v>9256.24119677095</v>
      </c>
      <c r="G5117" s="54" t="n">
        <f aca="false">MAX(0,(G5105-G5086*$C$5041)-G5065*$C$5046)*$C$5047*Assumptions!$D$105</f>
        <v>10161.3601437099</v>
      </c>
      <c r="H5117" s="54" t="n">
        <f aca="false">MAX(0,(H5105-H5086*$C$5041)-H5065*$C$5046)*$C$5047*Assumptions!$D$105</f>
        <v>12421.16796654</v>
      </c>
      <c r="I5117" s="54" t="n">
        <f aca="false">MAX(0,(I5105-I5086*$C$5041)-I5065*$C$5046)*$C$5047*Assumptions!$D$105</f>
        <v>14834.3151571853</v>
      </c>
      <c r="J5117" s="54" t="n">
        <f aca="false">MAX(0,(J5105-J5086*$C$5041)-J5065*$C$5046)*$C$5047*Assumptions!$D$105</f>
        <v>20165.1491947743</v>
      </c>
      <c r="K5117" s="54" t="n">
        <f aca="false">MAX(0,(K5105-K5086*$C$5041)-K5065*$C$5046)*$C$5047*Assumptions!$D$105</f>
        <v>25927.5254518278</v>
      </c>
      <c r="L5117" s="54" t="n">
        <f aca="false">MAX(0,(L5105-L5086*$C$5041)-L5065*$C$5046)*$C$5047*Assumptions!$D$105</f>
        <v>27359.023354981</v>
      </c>
      <c r="M5117" s="54" t="n">
        <f aca="false">MAX(0,(M5105-M5086*$C$5041)-M5065*$C$5046)*$C$5047*Assumptions!$D$105</f>
        <v>26799.1696537232</v>
      </c>
      <c r="N5117" s="54" t="n">
        <f aca="false">MAX(0,(N5105-N5086*$C$5041)-N5065*$C$5046)*$C$5047*Assumptions!$D$105</f>
        <v>26029.8676627032</v>
      </c>
      <c r="P5117" s="55" t="n">
        <f aca="false">SUM(C5117:F5117)</f>
        <v>20365.1190705902</v>
      </c>
      <c r="Q5117" s="55" t="n">
        <f aca="false">SUM(G5117:J5117)</f>
        <v>57581.9924622095</v>
      </c>
      <c r="R5117" s="55" t="n">
        <f aca="false">SUM(K5117:N5117)</f>
        <v>106115.586123235</v>
      </c>
      <c r="S5117" s="56" t="n">
        <f aca="false">SUM(P5117:R5117)</f>
        <v>184062.697656035</v>
      </c>
    </row>
    <row r="5118" customFormat="false" ht="15" hidden="false" customHeight="false" outlineLevel="0" collapsed="false">
      <c r="A5118" s="4" t="s">
        <v>557</v>
      </c>
      <c r="B5118" s="36" t="s">
        <v>125</v>
      </c>
      <c r="C5118" s="54" t="n">
        <f aca="false">C5113*Assumptions!$E$71/Assumptions!$E$69/4</f>
        <v>18475.8928571429</v>
      </c>
      <c r="D5118" s="54" t="n">
        <f aca="false">D5113*Assumptions!$E$71/Assumptions!$E$69/4</f>
        <v>18475.8928571429</v>
      </c>
      <c r="E5118" s="54" t="n">
        <f aca="false">E5113*Assumptions!$E$71/Assumptions!$E$69/4</f>
        <v>18475.8928571429</v>
      </c>
      <c r="F5118" s="54" t="n">
        <f aca="false">F5113*Assumptions!$E$71/Assumptions!$E$69/4</f>
        <v>18475.8928571429</v>
      </c>
      <c r="G5118" s="54" t="n">
        <f aca="false">G5113*Assumptions!$E$71/Assumptions!$E$69/4</f>
        <v>18475.8928571429</v>
      </c>
      <c r="H5118" s="54" t="n">
        <f aca="false">H5113*Assumptions!$E$71/Assumptions!$E$69/4</f>
        <v>18475.8928571429</v>
      </c>
      <c r="I5118" s="54" t="n">
        <f aca="false">I5113*Assumptions!$E$71/Assumptions!$E$69/4</f>
        <v>18475.8928571429</v>
      </c>
      <c r="J5118" s="54" t="n">
        <f aca="false">J5113*Assumptions!$E$71/Assumptions!$E$69/4</f>
        <v>18475.8928571429</v>
      </c>
      <c r="K5118" s="54" t="n">
        <f aca="false">K5113*Assumptions!$E$71/Assumptions!$E$69/4</f>
        <v>18475.8928571429</v>
      </c>
      <c r="L5118" s="54" t="n">
        <f aca="false">L5113*Assumptions!$E$71/Assumptions!$E$69/4</f>
        <v>18475.8928571429</v>
      </c>
      <c r="M5118" s="54" t="n">
        <f aca="false">M5113*Assumptions!$E$71/Assumptions!$E$69/4</f>
        <v>18475.8928571429</v>
      </c>
      <c r="N5118" s="54" t="n">
        <f aca="false">N5113*Assumptions!$E$71/Assumptions!$E$69/4</f>
        <v>18475.8928571429</v>
      </c>
      <c r="P5118" s="55" t="n">
        <f aca="false">SUM(C5118:F5118)</f>
        <v>73903.5714285714</v>
      </c>
      <c r="Q5118" s="55" t="n">
        <f aca="false">SUM(G5118:J5118)</f>
        <v>73903.5714285714</v>
      </c>
      <c r="R5118" s="55" t="n">
        <f aca="false">SUM(K5118:N5118)</f>
        <v>73903.5714285714</v>
      </c>
      <c r="S5118" s="56" t="n">
        <f aca="false">SUM(P5118:R5118)</f>
        <v>221710.714285714</v>
      </c>
    </row>
    <row r="5119" customFormat="false" ht="15" hidden="false" customHeight="false" outlineLevel="0" collapsed="false">
      <c r="A5119" s="4" t="s">
        <v>558</v>
      </c>
      <c r="B5119" s="36" t="s">
        <v>125</v>
      </c>
      <c r="C5119" s="54" t="n">
        <f aca="false">(Assumptions!$D$103+Assumptions!$E$77*((C5050=Assumptions!$E$13)+(C5050=Assumptions!$E$14)+(C5050=Assumptions!$E$15)))*C5051</f>
        <v>65000</v>
      </c>
      <c r="D5119" s="54" t="n">
        <f aca="false">(Assumptions!$D$103+Assumptions!$E$77*((D5050=Assumptions!$E$13)+(D5050=Assumptions!$E$14)+(D5050=Assumptions!$E$15)))*D5051</f>
        <v>25000</v>
      </c>
      <c r="E5119" s="54" t="n">
        <f aca="false">(Assumptions!$D$103+Assumptions!$E$77*((E5050=Assumptions!$E$13)+(E5050=Assumptions!$E$14)+(E5050=Assumptions!$E$15)))*E5051</f>
        <v>25000</v>
      </c>
      <c r="F5119" s="54" t="n">
        <f aca="false">(Assumptions!$D$103+Assumptions!$E$77*((F5050=Assumptions!$E$13)+(F5050=Assumptions!$E$14)+(F5050=Assumptions!$E$15)))*F5051</f>
        <v>25000</v>
      </c>
      <c r="G5119" s="54" t="n">
        <f aca="false">(Assumptions!$D$103+Assumptions!$E$77*((G5050=Assumptions!$E$13)+(G5050=Assumptions!$E$14)+(G5050=Assumptions!$E$15)))*G5051</f>
        <v>65000</v>
      </c>
      <c r="H5119" s="54" t="n">
        <f aca="false">(Assumptions!$D$103+Assumptions!$E$77*((H5050=Assumptions!$E$13)+(H5050=Assumptions!$E$14)+(H5050=Assumptions!$E$15)))*H5051</f>
        <v>25000</v>
      </c>
      <c r="I5119" s="54" t="n">
        <f aca="false">(Assumptions!$D$103+Assumptions!$E$77*((I5050=Assumptions!$E$13)+(I5050=Assumptions!$E$14)+(I5050=Assumptions!$E$15)))*I5051</f>
        <v>65000</v>
      </c>
      <c r="J5119" s="54" t="n">
        <f aca="false">(Assumptions!$D$103+Assumptions!$E$77*((J5050=Assumptions!$E$13)+(J5050=Assumptions!$E$14)+(J5050=Assumptions!$E$15)))*J5051</f>
        <v>25000</v>
      </c>
      <c r="K5119" s="54" t="n">
        <f aca="false">(Assumptions!$D$103+Assumptions!$E$77*((K5050=Assumptions!$E$13)+(K5050=Assumptions!$E$14)+(K5050=Assumptions!$E$15)))*K5051</f>
        <v>25000</v>
      </c>
      <c r="L5119" s="54" t="n">
        <f aca="false">(Assumptions!$D$103+Assumptions!$E$77*((L5050=Assumptions!$E$13)+(L5050=Assumptions!$E$14)+(L5050=Assumptions!$E$15)))*L5051</f>
        <v>25000</v>
      </c>
      <c r="M5119" s="54" t="n">
        <f aca="false">(Assumptions!$D$103+Assumptions!$E$77*((M5050=Assumptions!$E$13)+(M5050=Assumptions!$E$14)+(M5050=Assumptions!$E$15)))*M5051</f>
        <v>25000</v>
      </c>
      <c r="N5119" s="54" t="n">
        <f aca="false">(Assumptions!$D$103+Assumptions!$E$77*((N5050=Assumptions!$E$13)+(N5050=Assumptions!$E$14)+(N5050=Assumptions!$E$15)))*N5051</f>
        <v>25000</v>
      </c>
      <c r="P5119" s="55" t="n">
        <f aca="false">SUM(C5119:F5119)</f>
        <v>140000</v>
      </c>
      <c r="Q5119" s="55" t="n">
        <f aca="false">SUM(G5119:J5119)</f>
        <v>180000</v>
      </c>
      <c r="R5119" s="55" t="n">
        <f aca="false">SUM(K5119:N5119)</f>
        <v>100000</v>
      </c>
      <c r="S5119" s="56" t="n">
        <f aca="false">SUM(P5119:R5119)</f>
        <v>420000</v>
      </c>
    </row>
    <row r="5120" customFormat="false" ht="15" hidden="false" customHeight="false" outlineLevel="0" collapsed="false">
      <c r="A5120" s="4" t="s">
        <v>559</v>
      </c>
      <c r="B5120" s="36" t="s">
        <v>125</v>
      </c>
      <c r="C5120" s="54" t="n">
        <f aca="false">C5105*C5085*Assumptions!$E$79</f>
        <v>0</v>
      </c>
      <c r="D5120" s="54" t="n">
        <f aca="false">D5105*D5085*Assumptions!$E$79</f>
        <v>827.625604754197</v>
      </c>
      <c r="E5120" s="54" t="n">
        <f aca="false">E5105*E5085*Assumptions!$E$79</f>
        <v>1498.0669871834</v>
      </c>
      <c r="F5120" s="54" t="n">
        <f aca="false">F5105*F5085*Assumptions!$E$79</f>
        <v>2186.79222837999</v>
      </c>
      <c r="G5120" s="54" t="n">
        <f aca="false">G5105*G5085*Assumptions!$E$79</f>
        <v>2738.20214780756</v>
      </c>
      <c r="H5120" s="54" t="n">
        <f aca="false">H5105*H5085*Assumptions!$E$79</f>
        <v>3173.98123605152</v>
      </c>
      <c r="I5120" s="54" t="n">
        <f aca="false">I5105*I5085*Assumptions!$E$79</f>
        <v>3688.16951742046</v>
      </c>
      <c r="J5120" s="54" t="n">
        <f aca="false">J5105*J5085*Assumptions!$E$79</f>
        <v>4006.79400115518</v>
      </c>
      <c r="K5120" s="54" t="n">
        <f aca="false">K5105*K5085*Assumptions!$E$79</f>
        <v>4528.40321400059</v>
      </c>
      <c r="L5120" s="54" t="n">
        <f aca="false">L5105*L5085*Assumptions!$E$79</f>
        <v>5239.43679033702</v>
      </c>
      <c r="M5120" s="54" t="n">
        <f aca="false">M5105*M5085*Assumptions!$E$79</f>
        <v>5282.41355316278</v>
      </c>
      <c r="N5120" s="54" t="n">
        <f aca="false">N5105*N5085*Assumptions!$E$79</f>
        <v>5280.9406030623</v>
      </c>
      <c r="P5120" s="55" t="n">
        <f aca="false">SUM(C5120:F5120)</f>
        <v>4512.48482031758</v>
      </c>
      <c r="Q5120" s="55" t="n">
        <f aca="false">SUM(G5120:J5120)</f>
        <v>13607.1469024347</v>
      </c>
      <c r="R5120" s="55" t="n">
        <f aca="false">SUM(K5120:N5120)</f>
        <v>20331.1941605627</v>
      </c>
      <c r="S5120" s="56" t="n">
        <f aca="false">SUM(P5120:R5120)</f>
        <v>38450.825883315</v>
      </c>
    </row>
    <row r="5121" customFormat="false" ht="15" hidden="false" customHeight="false" outlineLevel="0" collapsed="false">
      <c r="A5121" s="4" t="s">
        <v>560</v>
      </c>
      <c r="B5121" s="36" t="s">
        <v>125</v>
      </c>
      <c r="C5121" s="54" t="n">
        <f aca="false">C5070*Assumptions!$E$80</f>
        <v>4000</v>
      </c>
      <c r="D5121" s="54" t="n">
        <f aca="false">D5070*Assumptions!$E$80</f>
        <v>6000</v>
      </c>
      <c r="E5121" s="54" t="n">
        <f aca="false">E5070*Assumptions!$E$80</f>
        <v>8000</v>
      </c>
      <c r="F5121" s="54" t="n">
        <f aca="false">F5070*Assumptions!$E$80</f>
        <v>10000</v>
      </c>
      <c r="G5121" s="54" t="n">
        <f aca="false">G5070*Assumptions!$E$80</f>
        <v>12000</v>
      </c>
      <c r="H5121" s="54" t="n">
        <f aca="false">H5070*Assumptions!$E$80</f>
        <v>14000</v>
      </c>
      <c r="I5121" s="54" t="n">
        <f aca="false">I5070*Assumptions!$E$80</f>
        <v>16000</v>
      </c>
      <c r="J5121" s="54" t="n">
        <f aca="false">J5070*Assumptions!$E$80</f>
        <v>18000</v>
      </c>
      <c r="K5121" s="54" t="n">
        <f aca="false">K5070*Assumptions!$E$80</f>
        <v>20000</v>
      </c>
      <c r="L5121" s="54" t="n">
        <f aca="false">L5070*Assumptions!$E$80</f>
        <v>20000</v>
      </c>
      <c r="M5121" s="54" t="n">
        <f aca="false">M5070*Assumptions!$E$80</f>
        <v>20000</v>
      </c>
      <c r="N5121" s="54" t="n">
        <f aca="false">N5070*Assumptions!$E$80</f>
        <v>20000</v>
      </c>
      <c r="P5121" s="55" t="n">
        <f aca="false">SUM(C5121:F5121)</f>
        <v>28000</v>
      </c>
      <c r="Q5121" s="55" t="n">
        <f aca="false">SUM(G5121:J5121)</f>
        <v>60000</v>
      </c>
      <c r="R5121" s="55" t="n">
        <f aca="false">SUM(K5121:N5121)</f>
        <v>80000</v>
      </c>
      <c r="S5121" s="56" t="n">
        <f aca="false">SUM(P5121:R5121)</f>
        <v>168000</v>
      </c>
    </row>
    <row r="5122" customFormat="false" ht="15" hidden="false" customHeight="false" outlineLevel="0" collapsed="false">
      <c r="A5122" s="4" t="s">
        <v>561</v>
      </c>
      <c r="B5122" s="36" t="s">
        <v>125</v>
      </c>
      <c r="C5122" s="54" t="n">
        <f aca="false">(C5093*$C$5042+C5094*$C$5043)*Assumptions!$E$81</f>
        <v>0</v>
      </c>
      <c r="D5122" s="54" t="n">
        <f aca="false">(D5093*$C$5042+D5094*$C$5043)*Assumptions!$E$81</f>
        <v>645.521221731873</v>
      </c>
      <c r="E5122" s="54" t="n">
        <f aca="false">(E5093*$C$5042+E5094*$C$5043)*Assumptions!$E$81</f>
        <v>1585.36417817191</v>
      </c>
      <c r="F5122" s="54" t="n">
        <f aca="false">(F5093*$C$5042+F5094*$C$5043)*Assumptions!$E$81</f>
        <v>2041.7517838822</v>
      </c>
      <c r="G5122" s="54" t="n">
        <f aca="false">(G5093*$C$5042+G5094*$C$5043)*Assumptions!$E$81</f>
        <v>2243.406799046</v>
      </c>
      <c r="H5122" s="54" t="n">
        <f aca="false">(H5093*$C$5042+H5094*$C$5043)*Assumptions!$E$81</f>
        <v>2677.83449007367</v>
      </c>
      <c r="I5122" s="54" t="n">
        <f aca="false">(I5093*$C$5042+I5094*$C$5043)*Assumptions!$E$81</f>
        <v>3180.82127223607</v>
      </c>
      <c r="J5122" s="54" t="n">
        <f aca="false">(J5093*$C$5042+J5094*$C$5043)*Assumptions!$E$81</f>
        <v>4134.71453037657</v>
      </c>
      <c r="K5122" s="54" t="n">
        <f aca="false">(K5093*$C$5042+K5094*$C$5043)*Assumptions!$E$81</f>
        <v>5299.37627633479</v>
      </c>
      <c r="L5122" s="54" t="n">
        <f aca="false">(L5093*$C$5042+L5094*$C$5043)*Assumptions!$E$81</f>
        <v>5738.10611323518</v>
      </c>
      <c r="M5122" s="54" t="n">
        <f aca="false">(M5093*$C$5042+M5094*$C$5043)*Assumptions!$E$81</f>
        <v>5648.66850440444</v>
      </c>
      <c r="N5122" s="54" t="n">
        <f aca="false">(N5093*$C$5042+N5094*$C$5043)*Assumptions!$E$81</f>
        <v>5485.59365000435</v>
      </c>
      <c r="P5122" s="55" t="n">
        <f aca="false">SUM(C5122:F5122)</f>
        <v>4272.63718378598</v>
      </c>
      <c r="Q5122" s="55" t="n">
        <f aca="false">SUM(G5122:J5122)</f>
        <v>12236.7770917323</v>
      </c>
      <c r="R5122" s="55" t="n">
        <f aca="false">SUM(K5122:N5122)</f>
        <v>22171.7445439788</v>
      </c>
      <c r="S5122" s="56" t="n">
        <f aca="false">SUM(P5122:R5122)</f>
        <v>38681.1588194971</v>
      </c>
    </row>
    <row r="5123" customFormat="false" ht="15" hidden="false" customHeight="false" outlineLevel="0" collapsed="false">
      <c r="A5123" s="9" t="s">
        <v>562</v>
      </c>
      <c r="B5123" s="36" t="s">
        <v>125</v>
      </c>
      <c r="C5123" s="55" t="n">
        <f aca="false">C5115+C5116+C5117+C5118+C5119+C5120+C5121+C5122</f>
        <v>154229.464285714</v>
      </c>
      <c r="D5123" s="55" t="n">
        <f aca="false">D5115+D5116+D5117+D5118+D5119+D5120+D5121+D5122</f>
        <v>121246.95160359</v>
      </c>
      <c r="E5123" s="55" t="n">
        <f aca="false">E5115+E5116+E5117+E5118+E5119+E5120+E5121+E5122</f>
        <v>128877.4328335</v>
      </c>
      <c r="F5123" s="55" t="n">
        <f aca="false">F5115+F5116+F5117+F5118+F5119+F5120+F5121+F5122</f>
        <v>133714.249494747</v>
      </c>
      <c r="G5123" s="55" t="n">
        <f aca="false">G5115+G5116+G5117+G5118+G5119+G5120+G5121+G5122</f>
        <v>210749.219090563</v>
      </c>
      <c r="H5123" s="55" t="n">
        <f aca="false">H5115+H5116+H5117+H5118+H5119+H5120+H5121+H5122</f>
        <v>175879.233692665</v>
      </c>
      <c r="I5123" s="55" t="n">
        <f aca="false">I5115+I5116+I5117+I5118+I5119+I5120+I5121+I5122</f>
        <v>221309.555946842</v>
      </c>
      <c r="J5123" s="55" t="n">
        <f aca="false">J5115+J5116+J5117+J5118+J5119+J5120+J5121+J5122</f>
        <v>189912.907726306</v>
      </c>
      <c r="K5123" s="55" t="n">
        <f aca="false">K5115+K5116+K5117+K5118+K5119+K5120+K5121+K5122</f>
        <v>199361.554942163</v>
      </c>
      <c r="L5123" s="55" t="n">
        <f aca="false">L5115+L5116+L5117+L5118+L5119+L5120+L5121+L5122</f>
        <v>201942.816258553</v>
      </c>
      <c r="M5123" s="55" t="n">
        <f aca="false">M5115+M5116+M5117+M5118+M5119+M5120+M5121+M5122</f>
        <v>201336.50171129</v>
      </c>
      <c r="N5123" s="55" t="n">
        <f aca="false">N5115+N5116+N5117+N5118+N5119+N5120+N5121+N5122</f>
        <v>200402.65191577</v>
      </c>
      <c r="P5123" s="55" t="n">
        <f aca="false">SUM(C5123:F5123)</f>
        <v>538068.098217551</v>
      </c>
      <c r="Q5123" s="55" t="n">
        <f aca="false">SUM(G5123:J5123)</f>
        <v>797850.916456376</v>
      </c>
      <c r="R5123" s="55" t="n">
        <f aca="false">SUM(K5123:N5123)</f>
        <v>803043.524827777</v>
      </c>
      <c r="S5123" s="56" t="n">
        <f aca="false">SUM(P5123:R5123)</f>
        <v>2138962.5395017</v>
      </c>
    </row>
    <row r="5124" customFormat="false" ht="15" hidden="false" customHeight="false" outlineLevel="0" collapsed="false">
      <c r="A5124" s="4" t="s">
        <v>563</v>
      </c>
      <c r="B5124" s="36" t="s">
        <v>125</v>
      </c>
      <c r="C5124" s="54" t="n">
        <f aca="false">C5112*Assumptions!$E$72/Assumptions!$E$69/4</f>
        <v>56535.7142857143</v>
      </c>
      <c r="D5124" s="54" t="n">
        <f aca="false">D5112*Assumptions!$E$72/Assumptions!$E$69/4</f>
        <v>56535.7142857143</v>
      </c>
      <c r="E5124" s="54" t="n">
        <f aca="false">E5112*Assumptions!$E$72/Assumptions!$E$69/4</f>
        <v>56535.7142857143</v>
      </c>
      <c r="F5124" s="54" t="n">
        <f aca="false">F5112*Assumptions!$E$72/Assumptions!$E$69/4</f>
        <v>56535.7142857143</v>
      </c>
      <c r="G5124" s="54" t="n">
        <f aca="false">G5112*Assumptions!$E$72/Assumptions!$E$69/4</f>
        <v>28267.8571428571</v>
      </c>
      <c r="H5124" s="54" t="n">
        <f aca="false">H5112*Assumptions!$E$72/Assumptions!$E$69/4</f>
        <v>28267.8571428571</v>
      </c>
      <c r="I5124" s="54" t="n">
        <f aca="false">I5112*Assumptions!$E$72/Assumptions!$E$69/4</f>
        <v>28267.8571428571</v>
      </c>
      <c r="J5124" s="54" t="n">
        <f aca="false">J5112*Assumptions!$E$72/Assumptions!$E$69/4</f>
        <v>28267.8571428571</v>
      </c>
      <c r="K5124" s="54" t="n">
        <f aca="false">K5112*Assumptions!$E$72/Assumptions!$E$69/4</f>
        <v>28267.8571428571</v>
      </c>
      <c r="L5124" s="54" t="n">
        <f aca="false">L5112*Assumptions!$E$72/Assumptions!$E$69/4</f>
        <v>28267.8571428571</v>
      </c>
      <c r="M5124" s="54" t="n">
        <f aca="false">M5112*Assumptions!$E$72/Assumptions!$E$69/4</f>
        <v>28267.8571428571</v>
      </c>
      <c r="N5124" s="54" t="n">
        <f aca="false">N5112*Assumptions!$E$72/Assumptions!$E$69/4</f>
        <v>28267.8571428571</v>
      </c>
      <c r="P5124" s="55" t="n">
        <f aca="false">SUM(C5124:F5124)</f>
        <v>226142.857142857</v>
      </c>
      <c r="Q5124" s="55" t="n">
        <f aca="false">SUM(G5124:J5124)</f>
        <v>113071.428571429</v>
      </c>
      <c r="R5124" s="55" t="n">
        <f aca="false">SUM(K5124:N5124)</f>
        <v>113071.428571429</v>
      </c>
      <c r="S5124" s="56" t="n">
        <f aca="false">SUM(P5124:R5124)</f>
        <v>452285.714285714</v>
      </c>
    </row>
    <row r="5125" customFormat="false" ht="15" hidden="false" customHeight="false" outlineLevel="0" collapsed="false">
      <c r="A5125" s="4" t="s">
        <v>564</v>
      </c>
      <c r="B5125" s="36" t="s">
        <v>125</v>
      </c>
      <c r="C5125" s="54" t="n">
        <f aca="false">IF(C5050&lt;=Assumptions!$E$83,Assumptions!$E$82*Assumptions!$D$108/Assumptions!$E$83,0)</f>
        <v>62500</v>
      </c>
      <c r="D5125" s="54" t="n">
        <f aca="false">IF(D5050&lt;=Assumptions!$E$83,Assumptions!$E$82*Assumptions!$D$108/Assumptions!$E$83,0)</f>
        <v>62500</v>
      </c>
      <c r="E5125" s="54" t="n">
        <f aca="false">IF(E5050&lt;=Assumptions!$E$83,Assumptions!$E$82*Assumptions!$D$108/Assumptions!$E$83,0)</f>
        <v>62500</v>
      </c>
      <c r="F5125" s="54" t="n">
        <f aca="false">IF(F5050&lt;=Assumptions!$E$83,Assumptions!$E$82*Assumptions!$D$108/Assumptions!$E$83,0)</f>
        <v>62500</v>
      </c>
      <c r="G5125" s="54" t="n">
        <f aca="false">IF(G5050&lt;=Assumptions!$E$83,Assumptions!$E$82*Assumptions!$D$108/Assumptions!$E$83,0)</f>
        <v>0</v>
      </c>
      <c r="H5125" s="54" t="n">
        <f aca="false">IF(H5050&lt;=Assumptions!$E$83,Assumptions!$E$82*Assumptions!$D$108/Assumptions!$E$83,0)</f>
        <v>0</v>
      </c>
      <c r="I5125" s="54" t="n">
        <f aca="false">IF(I5050&lt;=Assumptions!$E$83,Assumptions!$E$82*Assumptions!$D$108/Assumptions!$E$83,0)</f>
        <v>0</v>
      </c>
      <c r="J5125" s="54" t="n">
        <f aca="false">IF(J5050&lt;=Assumptions!$E$83,Assumptions!$E$82*Assumptions!$D$108/Assumptions!$E$83,0)</f>
        <v>0</v>
      </c>
      <c r="K5125" s="54" t="n">
        <f aca="false">IF(K5050&lt;=Assumptions!$E$83,Assumptions!$E$82*Assumptions!$D$108/Assumptions!$E$83,0)</f>
        <v>0</v>
      </c>
      <c r="L5125" s="54" t="n">
        <f aca="false">IF(L5050&lt;=Assumptions!$E$83,Assumptions!$E$82*Assumptions!$D$108/Assumptions!$E$83,0)</f>
        <v>0</v>
      </c>
      <c r="M5125" s="54" t="n">
        <f aca="false">IF(M5050&lt;=Assumptions!$E$83,Assumptions!$E$82*Assumptions!$D$108/Assumptions!$E$83,0)</f>
        <v>0</v>
      </c>
      <c r="N5125" s="54" t="n">
        <f aca="false">IF(N5050&lt;=Assumptions!$E$83,Assumptions!$E$82*Assumptions!$D$108/Assumptions!$E$83,0)</f>
        <v>0</v>
      </c>
      <c r="P5125" s="55" t="n">
        <f aca="false">SUM(C5125:F5125)</f>
        <v>250000</v>
      </c>
      <c r="Q5125" s="55" t="n">
        <f aca="false">SUM(G5125:J5125)</f>
        <v>0</v>
      </c>
      <c r="R5125" s="55" t="n">
        <f aca="false">SUM(K5125:N5125)</f>
        <v>0</v>
      </c>
      <c r="S5125" s="56" t="n">
        <f aca="false">SUM(P5125:R5125)</f>
        <v>250000</v>
      </c>
    </row>
    <row r="5126" customFormat="false" ht="15" hidden="false" customHeight="false" outlineLevel="0" collapsed="false">
      <c r="A5126" s="4" t="s">
        <v>565</v>
      </c>
      <c r="B5126" s="36" t="s">
        <v>125</v>
      </c>
      <c r="C5126" s="54" t="n">
        <f aca="false">C5114*Assumptions!$E$73/Assumptions!$E$69/4</f>
        <v>0</v>
      </c>
      <c r="D5126" s="54" t="n">
        <f aca="false">D5114*Assumptions!$E$73/Assumptions!$E$69/4</f>
        <v>583.98272718139</v>
      </c>
      <c r="E5126" s="54" t="n">
        <f aca="false">E5114*Assumptions!$E$73/Assumptions!$E$69/4</f>
        <v>1620.93588144718</v>
      </c>
      <c r="F5126" s="54" t="n">
        <f aca="false">F5114*Assumptions!$E$73/Assumptions!$E$69/4</f>
        <v>2770.49776156101</v>
      </c>
      <c r="G5126" s="54" t="n">
        <f aca="false">G5114*Assumptions!$E$73/Assumptions!$E$69/4</f>
        <v>4004.09253407959</v>
      </c>
      <c r="H5126" s="54" t="n">
        <f aca="false">H5114*Assumptions!$E$73/Assumptions!$E$69/4</f>
        <v>5536.10295961552</v>
      </c>
      <c r="I5126" s="54" t="n">
        <f aca="false">I5114*Assumptions!$E$73/Assumptions!$E$69/4</f>
        <v>7347.6396259634</v>
      </c>
      <c r="J5126" s="54" t="n">
        <f aca="false">J5114*Assumptions!$E$73/Assumptions!$E$69/4</f>
        <v>9884.78136018932</v>
      </c>
      <c r="K5126" s="54" t="n">
        <f aca="false">K5114*Assumptions!$E$73/Assumptions!$E$69/4</f>
        <v>13094.8151387572</v>
      </c>
      <c r="L5126" s="54" t="n">
        <f aca="false">L5114*Assumptions!$E$73/Assumptions!$E$69/4</f>
        <v>16286.1996136336</v>
      </c>
      <c r="M5126" s="54" t="n">
        <f aca="false">M5114*Assumptions!$E$73/Assumptions!$E$69/4</f>
        <v>19295.3369239937</v>
      </c>
      <c r="N5126" s="54" t="n">
        <f aca="false">N5114*Assumptions!$E$73/Assumptions!$E$69/4</f>
        <v>22125.2465463912</v>
      </c>
      <c r="P5126" s="55" t="n">
        <f aca="false">SUM(C5126:F5126)</f>
        <v>4975.41637018959</v>
      </c>
      <c r="Q5126" s="55" t="n">
        <f aca="false">SUM(G5126:J5126)</f>
        <v>26772.6164798478</v>
      </c>
      <c r="R5126" s="55" t="n">
        <f aca="false">SUM(K5126:N5126)</f>
        <v>70801.5982227757</v>
      </c>
      <c r="S5126" s="56" t="n">
        <f aca="false">SUM(P5126:R5126)</f>
        <v>102549.631072813</v>
      </c>
    </row>
    <row r="5127" customFormat="false" ht="15" hidden="false" customHeight="false" outlineLevel="0" collapsed="false">
      <c r="A5127" s="9" t="s">
        <v>566</v>
      </c>
      <c r="B5127" s="36" t="s">
        <v>125</v>
      </c>
      <c r="C5127" s="55" t="n">
        <f aca="false">C5123+C5124+C5125+C5126</f>
        <v>273265.178571429</v>
      </c>
      <c r="D5127" s="55" t="n">
        <f aca="false">D5123+D5124+D5125+D5126</f>
        <v>240866.648616485</v>
      </c>
      <c r="E5127" s="55" t="n">
        <f aca="false">E5123+E5124+E5125+E5126</f>
        <v>249534.083000661</v>
      </c>
      <c r="F5127" s="55" t="n">
        <f aca="false">F5123+F5124+F5125+F5126</f>
        <v>255520.461542023</v>
      </c>
      <c r="G5127" s="55" t="n">
        <f aca="false">G5123+G5124+G5125+G5126</f>
        <v>243021.1687675</v>
      </c>
      <c r="H5127" s="55" t="n">
        <f aca="false">H5123+H5124+H5125+H5126</f>
        <v>209683.193795138</v>
      </c>
      <c r="I5127" s="55" t="n">
        <f aca="false">I5123+I5124+I5125+I5126</f>
        <v>256925.052715662</v>
      </c>
      <c r="J5127" s="55" t="n">
        <f aca="false">J5123+J5124+J5125+J5126</f>
        <v>228065.546229352</v>
      </c>
      <c r="K5127" s="55" t="n">
        <f aca="false">K5123+K5124+K5125+K5126</f>
        <v>240724.227223778</v>
      </c>
      <c r="L5127" s="55" t="n">
        <f aca="false">L5123+L5124+L5125+L5126</f>
        <v>246496.873015044</v>
      </c>
      <c r="M5127" s="55" t="n">
        <f aca="false">M5123+M5124+M5125+M5126</f>
        <v>248899.695778141</v>
      </c>
      <c r="N5127" s="55" t="n">
        <f aca="false">N5123+N5124+N5125+N5126</f>
        <v>250795.755605018</v>
      </c>
      <c r="P5127" s="55" t="n">
        <f aca="false">SUM(C5127:F5127)</f>
        <v>1019186.3717306</v>
      </c>
      <c r="Q5127" s="55" t="n">
        <f aca="false">SUM(G5127:J5127)</f>
        <v>937694.961507653</v>
      </c>
      <c r="R5127" s="55" t="n">
        <f aca="false">SUM(K5127:N5127)</f>
        <v>986916.551621981</v>
      </c>
      <c r="S5127" s="56" t="n">
        <f aca="false">SUM(P5127:R5127)</f>
        <v>2943797.88486023</v>
      </c>
    </row>
    <row r="5128" customFormat="false" ht="15" hidden="false" customHeight="false" outlineLevel="0" collapsed="false">
      <c r="A5128" s="35" t="s">
        <v>567</v>
      </c>
      <c r="B5128" s="35" t="s">
        <v>444</v>
      </c>
      <c r="C5128" s="6" t="s">
        <v>354</v>
      </c>
      <c r="D5128" s="6" t="s">
        <v>355</v>
      </c>
      <c r="E5128" s="6" t="s">
        <v>356</v>
      </c>
      <c r="F5128" s="6" t="s">
        <v>357</v>
      </c>
      <c r="G5128" s="6" t="s">
        <v>358</v>
      </c>
      <c r="H5128" s="6" t="s">
        <v>359</v>
      </c>
      <c r="I5128" s="6" t="s">
        <v>360</v>
      </c>
      <c r="J5128" s="6" t="s">
        <v>361</v>
      </c>
      <c r="K5128" s="6" t="s">
        <v>362</v>
      </c>
      <c r="L5128" s="6" t="s">
        <v>363</v>
      </c>
      <c r="M5128" s="6" t="s">
        <v>364</v>
      </c>
      <c r="N5128" s="6" t="s">
        <v>365</v>
      </c>
      <c r="P5128" s="6" t="s">
        <v>445</v>
      </c>
      <c r="Q5128" s="6" t="s">
        <v>446</v>
      </c>
      <c r="R5128" s="6" t="s">
        <v>447</v>
      </c>
      <c r="S5128" s="6" t="s">
        <v>448</v>
      </c>
    </row>
    <row r="5129" customFormat="false" ht="15" hidden="false" customHeight="false" outlineLevel="0" collapsed="false">
      <c r="A5129" s="9" t="s">
        <v>568</v>
      </c>
      <c r="B5129" s="36" t="s">
        <v>125</v>
      </c>
      <c r="C5129" s="55" t="n">
        <f aca="false">C5107-C5127</f>
        <v>-273265.178571429</v>
      </c>
      <c r="D5129" s="55" t="n">
        <f aca="false">D5107-D5127</f>
        <v>-240134.57015841</v>
      </c>
      <c r="E5129" s="55" t="n">
        <f aca="false">E5107-E5127</f>
        <v>-246550.556583233</v>
      </c>
      <c r="F5129" s="55" t="n">
        <f aca="false">F5107-F5127</f>
        <v>-249165.106118567</v>
      </c>
      <c r="G5129" s="55" t="n">
        <f aca="false">G5107-G5127</f>
        <v>-232756.440353593</v>
      </c>
      <c r="H5129" s="55" t="n">
        <f aca="false">H5107-H5127</f>
        <v>-194813.853918804</v>
      </c>
      <c r="I5129" s="55" t="n">
        <f aca="false">I5107-I5127</f>
        <v>-236442.04627966</v>
      </c>
      <c r="J5129" s="55" t="n">
        <f aca="false">J5107-J5127</f>
        <v>-200304.063140611</v>
      </c>
      <c r="K5129" s="55" t="n">
        <f aca="false">K5107-K5127</f>
        <v>-203322.122672289</v>
      </c>
      <c r="L5129" s="55" t="n">
        <f aca="false">L5107-L5127</f>
        <v>-197916.457644599</v>
      </c>
      <c r="M5129" s="55" t="n">
        <f aca="false">M5107-M5127</f>
        <v>-188859.731558776</v>
      </c>
      <c r="N5129" s="55" t="n">
        <f aca="false">N5107-N5127</f>
        <v>-179411.35356258</v>
      </c>
      <c r="P5129" s="55" t="n">
        <f aca="false">SUM(C5129:F5129)</f>
        <v>-1009115.41143164</v>
      </c>
      <c r="Q5129" s="55" t="n">
        <f aca="false">SUM(G5129:J5129)</f>
        <v>-864316.403692669</v>
      </c>
      <c r="R5129" s="55" t="n">
        <f aca="false">SUM(K5129:N5129)</f>
        <v>-769509.665438244</v>
      </c>
      <c r="S5129" s="56" t="n">
        <f aca="false">SUM(P5129:R5129)</f>
        <v>-2642941.48056255</v>
      </c>
    </row>
    <row r="5130" customFormat="false" ht="15" hidden="false" customHeight="false" outlineLevel="0" collapsed="false">
      <c r="A5130" s="9" t="s">
        <v>569</v>
      </c>
      <c r="B5130" s="36" t="s">
        <v>125</v>
      </c>
      <c r="C5130" s="55" t="n">
        <f aca="false">0+C5129</f>
        <v>-273265.178571429</v>
      </c>
      <c r="D5130" s="55" t="n">
        <f aca="false">C5130+D5129</f>
        <v>-513399.748729839</v>
      </c>
      <c r="E5130" s="55" t="n">
        <f aca="false">D5130+E5129</f>
        <v>-759950.305313072</v>
      </c>
      <c r="F5130" s="55" t="n">
        <f aca="false">E5130+F5129</f>
        <v>-1009115.41143164</v>
      </c>
      <c r="G5130" s="55" t="n">
        <f aca="false">F5130+G5129</f>
        <v>-1241871.85178523</v>
      </c>
      <c r="H5130" s="55" t="n">
        <f aca="false">G5130+H5129</f>
        <v>-1436685.70570404</v>
      </c>
      <c r="I5130" s="55" t="n">
        <f aca="false">H5130+I5129</f>
        <v>-1673127.7519837</v>
      </c>
      <c r="J5130" s="55" t="n">
        <f aca="false">I5130+J5129</f>
        <v>-1873431.81512431</v>
      </c>
      <c r="K5130" s="55" t="n">
        <f aca="false">J5130+K5129</f>
        <v>-2076753.9377966</v>
      </c>
      <c r="L5130" s="55" t="n">
        <f aca="false">K5130+L5129</f>
        <v>-2274670.3954412</v>
      </c>
      <c r="M5130" s="55" t="n">
        <f aca="false">L5130+M5129</f>
        <v>-2463530.12699997</v>
      </c>
      <c r="N5130" s="55" t="n">
        <f aca="false">M5130+N5129</f>
        <v>-2642941.48056255</v>
      </c>
      <c r="P5130" s="55" t="n">
        <f aca="false">F5130</f>
        <v>-1009115.41143164</v>
      </c>
      <c r="Q5130" s="55" t="n">
        <f aca="false">J5130</f>
        <v>-1873431.81512431</v>
      </c>
      <c r="R5130" s="55" t="n">
        <f aca="false">N5130</f>
        <v>-2642941.48056255</v>
      </c>
      <c r="S5130" s="56" t="n">
        <f aca="false">R5130</f>
        <v>-2642941.48056255</v>
      </c>
    </row>
    <row r="5131" customFormat="false" ht="15" hidden="false" customHeight="false" outlineLevel="0" collapsed="false">
      <c r="A5131" s="4" t="s">
        <v>570</v>
      </c>
      <c r="B5131" s="36" t="s">
        <v>107</v>
      </c>
      <c r="C5131" s="57" t="n">
        <f aca="false">1/(1+Assumptions!$E$87)^(C5050/4)</f>
        <v>0.972065420906982</v>
      </c>
      <c r="D5131" s="57" t="n">
        <f aca="false">1/(1+Assumptions!$E$87)^(D5050/4)</f>
        <v>0.944911182523068</v>
      </c>
      <c r="E5131" s="57" t="n">
        <f aca="false">1/(1+Assumptions!$E$87)^(E5050/4)</f>
        <v>0.918515486359</v>
      </c>
      <c r="F5131" s="57" t="n">
        <f aca="false">1/(1+Assumptions!$E$87)^(F5050/4)</f>
        <v>0.892857142857143</v>
      </c>
      <c r="G5131" s="57" t="n">
        <f aca="false">1/(1+Assumptions!$E$87)^(G5050/4)</f>
        <v>0.867915554381234</v>
      </c>
      <c r="H5131" s="57" t="n">
        <f aca="false">1/(1+Assumptions!$E$87)^(H5050/4)</f>
        <v>0.843670698681311</v>
      </c>
      <c r="I5131" s="57" t="n">
        <f aca="false">1/(1+Assumptions!$E$87)^(I5050/4)</f>
        <v>0.820103112820536</v>
      </c>
      <c r="J5131" s="57" t="n">
        <f aca="false">1/(1+Assumptions!$E$87)^(J5050/4)</f>
        <v>0.79719387755102</v>
      </c>
      <c r="K5131" s="57" t="n">
        <f aca="false">1/(1+Assumptions!$E$87)^(K5050/4)</f>
        <v>0.774924602126102</v>
      </c>
      <c r="L5131" s="57" t="n">
        <f aca="false">1/(1+Assumptions!$E$87)^(L5050/4)</f>
        <v>0.753277409536885</v>
      </c>
      <c r="M5131" s="57" t="n">
        <f aca="false">1/(1+Assumptions!$E$87)^(M5050/4)</f>
        <v>0.732234922161193</v>
      </c>
      <c r="N5131" s="57" t="n">
        <f aca="false">1/(1+Assumptions!$E$87)^(N5050/4)</f>
        <v>0.711780247813411</v>
      </c>
      <c r="P5131" s="58"/>
      <c r="Q5131" s="58"/>
      <c r="R5131" s="58"/>
      <c r="S5131" s="59"/>
    </row>
    <row r="5132" customFormat="false" ht="15" hidden="false" customHeight="false" outlineLevel="0" collapsed="false">
      <c r="A5132" s="4" t="s">
        <v>571</v>
      </c>
      <c r="B5132" s="36" t="s">
        <v>125</v>
      </c>
      <c r="C5132" s="54" t="n">
        <f aca="false">(C5107*(1-Assumptions!$E$88)-C5127)*C5131</f>
        <v>-265631.630827257</v>
      </c>
      <c r="D5132" s="54" t="n">
        <f aca="false">(D5107*(1-Assumptions!$E$88)-D5127)*D5131</f>
        <v>-227044.190477356</v>
      </c>
      <c r="E5132" s="54" t="n">
        <f aca="false">(E5107*(1-Assumptions!$E$88)-E5127)*E5131</f>
        <v>-227008.587435804</v>
      </c>
      <c r="F5132" s="54" t="n">
        <f aca="false">(F5107*(1-Assumptions!$E$88)-F5127)*F5131</f>
        <v>-223603.729645766</v>
      </c>
      <c r="G5132" s="54" t="n">
        <f aca="false">(G5107*(1-Assumptions!$E$88)-G5127)*G5131</f>
        <v>-203794.718455677</v>
      </c>
      <c r="H5132" s="54" t="n">
        <f aca="false">(H5107*(1-Assumptions!$E$88)-H5127)*H5131</f>
        <v>-166867.705520956</v>
      </c>
      <c r="I5132" s="54" t="n">
        <f aca="false">(I5107*(1-Assumptions!$E$88)-I5127)*I5131</f>
        <v>-197266.493623224</v>
      </c>
      <c r="J5132" s="54" t="n">
        <f aca="false">(J5107*(1-Assumptions!$E$88)-J5127)*J5131</f>
        <v>-164107.429654304</v>
      </c>
      <c r="K5132" s="54" t="n">
        <f aca="false">(K5107*(1-Assumptions!$E$88)-K5127)*K5131</f>
        <v>-163356.077212906</v>
      </c>
      <c r="L5132" s="54" t="n">
        <f aca="false">(L5107*(1-Assumptions!$E$88)-L5127)*L5131</f>
        <v>-156404.902408135</v>
      </c>
      <c r="M5132" s="54" t="n">
        <f aca="false">(M5107*(1-Assumptions!$E$88)-M5127)*M5131</f>
        <v>-147082.36254267</v>
      </c>
      <c r="N5132" s="54" t="n">
        <f aca="false">(N5107*(1-Assumptions!$E$88)-N5127)*N5131</f>
        <v>-137863.459174468</v>
      </c>
      <c r="P5132" s="55" t="n">
        <f aca="false">SUM(C5132:F5132)</f>
        <v>-943288.138386183</v>
      </c>
      <c r="Q5132" s="55" t="n">
        <f aca="false">SUM(G5132:J5132)</f>
        <v>-732036.347254162</v>
      </c>
      <c r="R5132" s="55" t="n">
        <f aca="false">SUM(K5132:N5132)</f>
        <v>-604706.801338179</v>
      </c>
      <c r="S5132" s="56" t="n">
        <f aca="false">SUM(P5132:R5132)</f>
        <v>-2280031.28697852</v>
      </c>
    </row>
    <row r="5133" customFormat="false" ht="15" hidden="false" customHeight="false" outlineLevel="0" collapsed="false">
      <c r="A5133" s="4" t="s">
        <v>572</v>
      </c>
      <c r="B5133" s="36" t="s">
        <v>125</v>
      </c>
      <c r="C5133" s="54" t="n">
        <f aca="false">(C5127-C5126)*12/(Assumptions!$E$89*Assumptions!$E$76)*Assumptions!$E$90</f>
        <v>189183.585164835</v>
      </c>
      <c r="D5133" s="54" t="n">
        <f aca="false">(D5127-D5126)*12/(Assumptions!$E$89*Assumptions!$E$76)*Assumptions!$E$90</f>
        <v>166349.537923364</v>
      </c>
      <c r="E5133" s="54" t="n">
        <f aca="false">(E5127-E5126)*12/(Assumptions!$E$89*Assumptions!$E$76)*Assumptions!$E$90</f>
        <v>171632.17877484</v>
      </c>
      <c r="F5133" s="54" t="n">
        <f aca="false">(F5127-F5126)*12/(Assumptions!$E$89*Assumptions!$E$76)*Assumptions!$E$90</f>
        <v>174980.744155704</v>
      </c>
      <c r="G5133" s="54" t="n">
        <f aca="false">(G5127-G5126)*12/(Assumptions!$E$89*Assumptions!$E$76)*Assumptions!$E$90</f>
        <v>165473.360469291</v>
      </c>
      <c r="H5133" s="54" t="n">
        <f aca="false">(H5127-H5126)*12/(Assumptions!$E$89*Assumptions!$E$76)*Assumptions!$E$90</f>
        <v>141332.601347669</v>
      </c>
      <c r="I5133" s="54" t="n">
        <f aca="false">(I5127-I5126)*12/(Assumptions!$E$89*Assumptions!$E$76)*Assumptions!$E$90</f>
        <v>172784.362908253</v>
      </c>
      <c r="J5133" s="54" t="n">
        <f aca="false">(J5127-J5126)*12/(Assumptions!$E$89*Assumptions!$E$76)*Assumptions!$E$90</f>
        <v>151048.221832498</v>
      </c>
      <c r="K5133" s="54" t="n">
        <f aca="false">(K5127-K5126)*12/(Assumptions!$E$89*Assumptions!$E$76)*Assumptions!$E$90</f>
        <v>157589.592981937</v>
      </c>
      <c r="L5133" s="54" t="n">
        <f aca="false">(L5127-L5126)*12/(Assumptions!$E$89*Assumptions!$E$76)*Assumptions!$E$90</f>
        <v>159376.62004713</v>
      </c>
      <c r="M5133" s="54" t="n">
        <f aca="false">(M5127-M5126)*12/(Assumptions!$E$89*Assumptions!$E$76)*Assumptions!$E$90</f>
        <v>158956.863822102</v>
      </c>
      <c r="N5133" s="54" t="n">
        <f aca="false">(N5127-N5126)*12/(Assumptions!$E$89*Assumptions!$E$76)*Assumptions!$E$90</f>
        <v>158310.352425203</v>
      </c>
      <c r="P5133" s="55" t="n">
        <f aca="false">SUM(C5133:F5133)</f>
        <v>702146.046018744</v>
      </c>
      <c r="Q5133" s="55" t="n">
        <f aca="false">SUM(G5133:J5133)</f>
        <v>630638.546557711</v>
      </c>
      <c r="R5133" s="55" t="n">
        <f aca="false">SUM(K5133:N5133)</f>
        <v>634233.429276373</v>
      </c>
      <c r="S5133" s="56" t="n">
        <f aca="false">SUM(P5133:R5133)</f>
        <v>1967018.02185283</v>
      </c>
    </row>
    <row r="5134" customFormat="false" ht="15" hidden="false" customHeight="false" outlineLevel="0" collapsed="false">
      <c r="A5134" s="4" t="s">
        <v>573</v>
      </c>
      <c r="B5134" s="36" t="s">
        <v>125</v>
      </c>
      <c r="C5134" s="54" t="n">
        <f aca="false">0*Assumptions!$E$92^(1/4)+C5133</f>
        <v>189183.585164835</v>
      </c>
      <c r="D5134" s="54" t="n">
        <f aca="false">C5134*Assumptions!$E$92^(1/4)+D5133</f>
        <v>356004.318730378</v>
      </c>
      <c r="E5134" s="54" t="n">
        <f aca="false">D5134*Assumptions!$E$92^(1/4)+E5133</f>
        <v>528523.19009769</v>
      </c>
      <c r="F5134" s="54" t="n">
        <f aca="false">E5134*Assumptions!$E$92^(1/4)+F5133</f>
        <v>704820.316030109</v>
      </c>
      <c r="G5134" s="54" t="n">
        <f aca="false">F5134*Assumptions!$E$92^(1/4)+G5133</f>
        <v>872049.15788085</v>
      </c>
      <c r="H5134" s="54" t="n">
        <f aca="false">G5134*Assumptions!$E$92^(1/4)+H5133</f>
        <v>1015553.75402712</v>
      </c>
      <c r="I5134" s="54" t="n">
        <f aca="false">H5134*Assumptions!$E$92^(1/4)+I5133</f>
        <v>1190867.53566311</v>
      </c>
      <c r="J5134" s="54" t="n">
        <f aca="false">I5134*Assumptions!$E$92^(1/4)+J5133</f>
        <v>1344881.82663278</v>
      </c>
      <c r="K5134" s="54" t="n">
        <f aca="false">J5134*Assumptions!$E$92^(1/4)+K5133</f>
        <v>1505821.08896052</v>
      </c>
      <c r="L5134" s="54" t="n">
        <f aca="false">K5134*Assumptions!$E$92^(1/4)+L5133</f>
        <v>1668948.22644499</v>
      </c>
      <c r="M5134" s="54" t="n">
        <f aca="false">L5134*Assumptions!$E$92^(1/4)+M5133</f>
        <v>1832061.90509138</v>
      </c>
      <c r="N5134" s="54" t="n">
        <f aca="false">M5134*Assumptions!$E$92^(1/4)+N5133</f>
        <v>1994935.33620615</v>
      </c>
      <c r="P5134" s="55" t="n">
        <f aca="false">F5134</f>
        <v>704820.316030109</v>
      </c>
      <c r="Q5134" s="55" t="n">
        <f aca="false">J5134</f>
        <v>1344881.82663278</v>
      </c>
      <c r="R5134" s="55" t="n">
        <f aca="false">N5134</f>
        <v>1994935.33620615</v>
      </c>
      <c r="S5134" s="56" t="n">
        <f aca="false">R5134</f>
        <v>1994935.33620615</v>
      </c>
    </row>
    <row r="5135" customFormat="false" ht="15" hidden="false" customHeight="false" outlineLevel="0" collapsed="false">
      <c r="A5135" s="4" t="s">
        <v>574</v>
      </c>
      <c r="B5135" s="36" t="s">
        <v>125</v>
      </c>
      <c r="C5135" s="54" t="n">
        <f aca="false">(0+C5134)/8*Assumptions!$E$76-(C5127-C5126)-C5134*Assumptions!$E$93/4</f>
        <v>-260258.807091346</v>
      </c>
      <c r="D5135" s="54" t="n">
        <f aca="false">(C5134+D5134)/8*Assumptions!$E$76-(D5127-D5126)-D5134*Assumptions!$E$93/4</f>
        <v>-200436.202681947</v>
      </c>
      <c r="E5135" s="54" t="n">
        <f aca="false">(D5134+E5134)/8*Assumptions!$E$76-(E5127-E5126)-E5134*Assumptions!$E$93/4</f>
        <v>-182651.826903155</v>
      </c>
      <c r="F5135" s="54" t="n">
        <f aca="false">(E5134+F5134)/8*Assumptions!$E$76-(F5127-F5126)-F5134*Assumptions!$E$93/4</f>
        <v>-161351.057857954</v>
      </c>
      <c r="G5135" s="54" t="n">
        <f aca="false">(F5134+G5134)/8*Assumptions!$E$76-(G5127-G5126)-G5134*Assumptions!$E$93/4</f>
        <v>-121797.045951666</v>
      </c>
      <c r="H5135" s="54" t="n">
        <f aca="false">(G5134+H5134)/8*Assumptions!$E$76-(H5127-H5126)-H5134*Assumptions!$E$93/4</f>
        <v>-63473.7761683385</v>
      </c>
      <c r="I5135" s="54" t="n">
        <f aca="false">(H5134+I5134)/8*Assumptions!$E$76-(I5127-I5126)-I5134*Assumptions!$E$93/4</f>
        <v>-85191.5274981561</v>
      </c>
      <c r="J5135" s="54" t="n">
        <f aca="false">(I5134+J5134)/8*Assumptions!$E$76-(J5127-J5126)-J5134*Assumptions!$E$93/4</f>
        <v>-28962.1520155312</v>
      </c>
      <c r="K5135" s="54" t="n">
        <f aca="false">(J5134+K5134)/8*Assumptions!$E$76-(K5127-K5126)-K5134*Assumptions!$E$93/4</f>
        <v>-14832.5638050708</v>
      </c>
      <c r="L5135" s="54" t="n">
        <f aca="false">(K5134+L5134)/8*Assumptions!$E$76-(L5127-L5126)-L5134*Assumptions!$E$93/4</f>
        <v>6877.48064472548</v>
      </c>
      <c r="M5135" s="54" t="n">
        <f aca="false">(L5134+M5134)/8*Assumptions!$E$76-(M5127-M5126)-M5134*Assumptions!$E$93/4</f>
        <v>31951.9405195403</v>
      </c>
      <c r="N5135" s="54" t="n">
        <f aca="false">(M5134+N5134)/8*Assumptions!$E$76-(N5127-N5126)-N5134*Assumptions!$E$93/4</f>
        <v>57336.3250942199</v>
      </c>
      <c r="P5135" s="55" t="n">
        <f aca="false">SUM(C5135:F5135)</f>
        <v>-804697.894534403</v>
      </c>
      <c r="Q5135" s="55" t="n">
        <f aca="false">SUM(G5135:J5135)</f>
        <v>-299424.501633692</v>
      </c>
      <c r="R5135" s="55" t="n">
        <f aca="false">SUM(K5135:N5135)</f>
        <v>81333.1824534149</v>
      </c>
      <c r="S5135" s="56" t="n">
        <f aca="false">SUM(P5135:R5135)</f>
        <v>-1022789.21371468</v>
      </c>
    </row>
    <row r="5136" customFormat="false" ht="15" hidden="false" customHeight="false" outlineLevel="0" collapsed="false">
      <c r="A5136" s="4" t="s">
        <v>575</v>
      </c>
      <c r="B5136" s="36" t="s">
        <v>125</v>
      </c>
      <c r="C5136" s="54" t="n">
        <f aca="false">C5135*C5131</f>
        <v>-252988.586859998</v>
      </c>
      <c r="D5136" s="54" t="n">
        <f aca="false">D5135*D5131</f>
        <v>-189394.409296632</v>
      </c>
      <c r="E5136" s="54" t="n">
        <f aca="false">E5135*E5131</f>
        <v>-167768.531622311</v>
      </c>
      <c r="F5136" s="54" t="n">
        <f aca="false">F5135*F5131</f>
        <v>-144063.444516031</v>
      </c>
      <c r="G5136" s="54" t="n">
        <f aca="false">G5135*G5131</f>
        <v>-105709.550659137</v>
      </c>
      <c r="H5136" s="54" t="n">
        <f aca="false">H5135*H5131</f>
        <v>-53550.9650878833</v>
      </c>
      <c r="I5136" s="54" t="n">
        <f aca="false">I5135*I5131</f>
        <v>-69865.8368871741</v>
      </c>
      <c r="J5136" s="54" t="n">
        <f aca="false">J5135*J5131</f>
        <v>-23088.4502674834</v>
      </c>
      <c r="K5136" s="54" t="n">
        <f aca="false">K5135*K5131</f>
        <v>-11494.1186051545</v>
      </c>
      <c r="L5136" s="54" t="n">
        <f aca="false">L5135*L5131</f>
        <v>5180.65080419887</v>
      </c>
      <c r="M5136" s="54" t="n">
        <f aca="false">M5135*M5131</f>
        <v>23396.3266792247</v>
      </c>
      <c r="N5136" s="54" t="n">
        <f aca="false">N5135*N5131</f>
        <v>40810.8636842741</v>
      </c>
      <c r="P5136" s="55" t="n">
        <f aca="false">SUM(C5136:F5136)</f>
        <v>-754214.972294972</v>
      </c>
      <c r="Q5136" s="55" t="n">
        <f aca="false">SUM(G5136:J5136)</f>
        <v>-252214.802901677</v>
      </c>
      <c r="R5136" s="55" t="n">
        <f aca="false">SUM(K5136:N5136)</f>
        <v>57893.7225625432</v>
      </c>
      <c r="S5136" s="56" t="n">
        <f aca="false">SUM(P5136:R5136)</f>
        <v>-948536.052634107</v>
      </c>
    </row>
    <row r="5137" customFormat="false" ht="15" hidden="false" customHeight="false" outlineLevel="0" collapsed="false">
      <c r="A5137" s="4" t="s">
        <v>576</v>
      </c>
      <c r="B5137" s="36"/>
      <c r="C5137" s="37" t="n">
        <f aca="false">IFERROR((S5092*$C$5041*Assumptions!$E$59+S5093*$C$5042*Assumptions!$E$60+S5094*$C$5043*Assumptions!$E$61)/(S5092*$C$5041+S5093*$C$5042+S5094*$C$5043),0.9)</f>
        <v>0.895506874612008</v>
      </c>
    </row>
    <row r="5138" customFormat="false" ht="15" hidden="false" customHeight="false" outlineLevel="0" collapsed="false">
      <c r="A5138" s="4" t="s">
        <v>577</v>
      </c>
      <c r="B5138" s="36"/>
      <c r="C5138" s="37" t="n">
        <f aca="false">IFERROR(N5126*4/N5104,0)</f>
        <v>0.186724302458501</v>
      </c>
    </row>
    <row r="5139" customFormat="false" ht="15" hidden="false" customHeight="false" outlineLevel="0" collapsed="false">
      <c r="A5139" s="4" t="s">
        <v>578</v>
      </c>
      <c r="B5139" s="36"/>
      <c r="C5139" s="60" t="n">
        <f aca="false">$C$5137/(1+Assumptions!$E$87)</f>
        <v>0.799559709475007</v>
      </c>
    </row>
    <row r="5140" customFormat="false" ht="15" hidden="false" customHeight="false" outlineLevel="0" collapsed="false">
      <c r="A5140" s="4" t="s">
        <v>579</v>
      </c>
      <c r="B5140" s="36"/>
      <c r="C5140" s="60" t="n">
        <f aca="false">Assumptions!$E$91/(1+Assumptions!$E$87)</f>
        <v>0.803571428571429</v>
      </c>
    </row>
    <row r="5141" customFormat="false" ht="15" hidden="false" customHeight="false" outlineLevel="0" collapsed="false">
      <c r="A5141" s="35" t="s">
        <v>580</v>
      </c>
      <c r="B5141" s="35" t="s">
        <v>444</v>
      </c>
      <c r="C5141" s="6" t="s">
        <v>354</v>
      </c>
      <c r="D5141" s="6" t="s">
        <v>355</v>
      </c>
      <c r="E5141" s="6" t="s">
        <v>356</v>
      </c>
      <c r="F5141" s="6" t="s">
        <v>357</v>
      </c>
      <c r="G5141" s="6" t="s">
        <v>358</v>
      </c>
      <c r="H5141" s="6" t="s">
        <v>359</v>
      </c>
      <c r="I5141" s="6" t="s">
        <v>360</v>
      </c>
      <c r="J5141" s="6" t="s">
        <v>361</v>
      </c>
      <c r="K5141" s="6" t="s">
        <v>362</v>
      </c>
      <c r="L5141" s="6" t="s">
        <v>363</v>
      </c>
      <c r="M5141" s="6" t="s">
        <v>364</v>
      </c>
      <c r="N5141" s="6" t="s">
        <v>365</v>
      </c>
      <c r="P5141" s="6" t="s">
        <v>445</v>
      </c>
      <c r="Q5141" s="6" t="s">
        <v>446</v>
      </c>
      <c r="R5141" s="6" t="s">
        <v>447</v>
      </c>
      <c r="S5141" s="6" t="s">
        <v>448</v>
      </c>
    </row>
    <row r="5142" customFormat="false" ht="15" hidden="false" customHeight="false" outlineLevel="0" collapsed="false">
      <c r="A5142" s="9" t="s">
        <v>581</v>
      </c>
      <c r="C5142" s="61" t="n">
        <f aca="false">N5104</f>
        <v>473966.082723667</v>
      </c>
      <c r="D5142" s="61"/>
    </row>
    <row r="5143" customFormat="false" ht="15" hidden="false" customHeight="false" outlineLevel="0" collapsed="false">
      <c r="A5143" s="9" t="s">
        <v>582</v>
      </c>
      <c r="C5143" s="62" t="n">
        <f aca="false">N5100</f>
        <v>49.5832653261647</v>
      </c>
      <c r="D5143" s="62"/>
    </row>
    <row r="5144" customFormat="false" ht="15" hidden="false" customHeight="false" outlineLevel="0" collapsed="false">
      <c r="A5144" s="9" t="s">
        <v>583</v>
      </c>
      <c r="C5144" s="63" t="n">
        <f aca="false">S5095</f>
        <v>54.8352920108119</v>
      </c>
      <c r="D5144" s="63"/>
    </row>
    <row r="5145" customFormat="false" ht="15" hidden="false" customHeight="false" outlineLevel="0" collapsed="false">
      <c r="A5145" s="9" t="s">
        <v>584</v>
      </c>
      <c r="C5145" s="61" t="n">
        <f aca="false">S5106</f>
        <v>462856.006611816</v>
      </c>
      <c r="D5145" s="61"/>
    </row>
    <row r="5146" customFormat="false" ht="15" hidden="false" customHeight="false" outlineLevel="0" collapsed="false">
      <c r="A5146" s="9" t="s">
        <v>22</v>
      </c>
      <c r="C5146" s="61" t="n">
        <f aca="false">IFERROR(S5105/S5095,0)</f>
        <v>8264.28379108695</v>
      </c>
      <c r="D5146" s="61"/>
    </row>
    <row r="5147" customFormat="false" ht="15" hidden="false" customHeight="false" outlineLevel="0" collapsed="false">
      <c r="A5147" s="9" t="s">
        <v>585</v>
      </c>
      <c r="C5147" s="61" t="n">
        <f aca="false">IFERROR(S5123/S5095,0)</f>
        <v>39007.0420173921</v>
      </c>
      <c r="D5147" s="61"/>
    </row>
    <row r="5148" customFormat="false" ht="23.85" hidden="false" customHeight="false" outlineLevel="0" collapsed="false">
      <c r="A5148" s="9" t="s">
        <v>586</v>
      </c>
      <c r="C5148" s="61" t="n">
        <f aca="false">IFERROR((S5117+S5119+S5120+S5121+S5122)/S5095,0)</f>
        <v>15486.279934306</v>
      </c>
      <c r="D5148" s="61"/>
    </row>
    <row r="5149" customFormat="false" ht="15" hidden="false" customHeight="false" outlineLevel="0" collapsed="false">
      <c r="A5149" s="9" t="s">
        <v>587</v>
      </c>
      <c r="C5149" s="64" t="n">
        <f aca="false">IFERROR('Engine Runs'!$C$5147/('Engine Runs'!$C$5146*Assumptions!$E$76/12),0)</f>
        <v>87.1376182956825</v>
      </c>
      <c r="D5149" s="64"/>
    </row>
    <row r="5150" customFormat="false" ht="15" hidden="false" customHeight="false" outlineLevel="0" collapsed="false">
      <c r="A5150" s="9" t="s">
        <v>588</v>
      </c>
      <c r="C5150" s="64" t="n">
        <f aca="false">IFERROR((R5123/R5095)/((R5105/R5095)*Assumptions!$E$76/12),0)</f>
        <v>56.6653452114619</v>
      </c>
      <c r="D5150" s="64"/>
    </row>
    <row r="5151" customFormat="false" ht="15" hidden="false" customHeight="false" outlineLevel="0" collapsed="false">
      <c r="A5151" s="9" t="s">
        <v>589</v>
      </c>
      <c r="C5151" s="61" t="n">
        <f aca="false">S5127</f>
        <v>2943797.88486023</v>
      </c>
      <c r="D5151" s="61"/>
    </row>
    <row r="5152" customFormat="false" ht="15" hidden="false" customHeight="false" outlineLevel="0" collapsed="false">
      <c r="A5152" s="9" t="s">
        <v>590</v>
      </c>
      <c r="C5152" s="61" t="n">
        <f aca="false">N5130</f>
        <v>-2642941.48056255</v>
      </c>
      <c r="D5152" s="61"/>
    </row>
    <row r="5153" customFormat="false" ht="15" hidden="false" customHeight="false" outlineLevel="0" collapsed="false">
      <c r="A5153" s="9" t="s">
        <v>591</v>
      </c>
      <c r="C5153" s="61" t="n">
        <f aca="false">MIN($C$5130:$N$5130)</f>
        <v>-2642941.48056255</v>
      </c>
      <c r="D5153" s="61"/>
    </row>
    <row r="5154" customFormat="false" ht="15" hidden="false" customHeight="false" outlineLevel="0" collapsed="false">
      <c r="A5154" s="9" t="s">
        <v>592</v>
      </c>
      <c r="C5154" s="61" t="n">
        <f aca="false">N5104*(Assumptions!$E$76-$C$5138)*$C$5137*(1-$C$5137^Assumptions!$E$85)/(1-$C$5137)</f>
        <v>798067.449692795</v>
      </c>
      <c r="D5154" s="61"/>
    </row>
    <row r="5155" customFormat="false" ht="15" hidden="false" customHeight="false" outlineLevel="0" collapsed="false">
      <c r="A5155" s="9" t="s">
        <v>593</v>
      </c>
      <c r="C5155" s="61" t="n">
        <f aca="false">N5104*(Assumptions!$E$76-$C$5138)*(1-Assumptions!$E$88)/(1+Assumptions!$E$87)^2.5*$C$5139*(1-$C$5139^Assumptions!$E$85)/(1-$C$5139)</f>
        <v>355348.975156086</v>
      </c>
      <c r="D5155" s="61"/>
    </row>
    <row r="5156" customFormat="false" ht="15" hidden="false" customHeight="false" outlineLevel="0" collapsed="false">
      <c r="A5156" s="9" t="s">
        <v>594</v>
      </c>
      <c r="C5156" s="61" t="n">
        <f aca="false">SUM($C$5132:$N$5132)+'Engine Runs'!$C$5155</f>
        <v>-1924682.31182244</v>
      </c>
      <c r="D5156" s="61"/>
    </row>
    <row r="5157" customFormat="false" ht="15" hidden="false" customHeight="false" outlineLevel="0" collapsed="false">
      <c r="A5157" s="9" t="s">
        <v>595</v>
      </c>
      <c r="C5157" s="61" t="n">
        <f aca="false">SUM($C$5136:$N$5136)+N5134*(Assumptions!$E$76-Assumptions!$E$93)/(1+Assumptions!$E$87)^2.5*$C$5140*(1-$C$5140^Assumptions!$E$85)/(1-$C$5140)</f>
        <v>1504124.12735649</v>
      </c>
      <c r="D5157" s="61"/>
    </row>
    <row r="5158" customFormat="false" ht="15" hidden="false" customHeight="false" outlineLevel="0" collapsed="false">
      <c r="A5158" s="9" t="s">
        <v>596</v>
      </c>
      <c r="C5158" s="61" t="n">
        <f aca="false">'Engine Runs'!$C$5156-'Engine Runs'!$C$5157</f>
        <v>-3428806.43917893</v>
      </c>
      <c r="D5158" s="61"/>
    </row>
    <row r="5159" customFormat="false" ht="15" hidden="false" customHeight="false" outlineLevel="0" collapsed="false">
      <c r="A5159" s="9" t="s">
        <v>597</v>
      </c>
      <c r="C5159" s="61" t="n">
        <f aca="false">S5091</f>
        <v>0</v>
      </c>
      <c r="D5159" s="61"/>
    </row>
    <row r="5160" customFormat="false" ht="15" hidden="false" customHeight="false" outlineLevel="0" collapsed="false">
      <c r="A5160" s="9" t="s">
        <v>598</v>
      </c>
      <c r="C5160" s="63" t="n">
        <f aca="false">P5075</f>
        <v>43.6188722246667</v>
      </c>
      <c r="D5160" s="63"/>
    </row>
    <row r="5161" customFormat="false" ht="15" hidden="false" customHeight="false" outlineLevel="0" collapsed="false">
      <c r="A5161" s="9" t="s">
        <v>599</v>
      </c>
      <c r="C5161" s="63" t="n">
        <f aca="false">P5095</f>
        <v>6.21967404624146</v>
      </c>
      <c r="D5161" s="63"/>
    </row>
    <row r="5162" customFormat="false" ht="15" hidden="false" customHeight="false" outlineLevel="0" collapsed="false">
      <c r="A5162" s="9" t="s">
        <v>600</v>
      </c>
      <c r="C5162" s="63" t="n">
        <f aca="false">P5071</f>
        <v>42</v>
      </c>
      <c r="D5162" s="63"/>
    </row>
    <row r="5163" customFormat="false" ht="15" hidden="false" customHeight="false" outlineLevel="0" collapsed="false">
      <c r="A5163" s="9" t="s">
        <v>601</v>
      </c>
      <c r="C5163" s="61" t="n">
        <f aca="false">IFERROR(P5105/P5095,0)</f>
        <v>8064.83458295979</v>
      </c>
      <c r="D5163" s="61"/>
    </row>
    <row r="5166" customFormat="false" ht="15" hidden="false" customHeight="true" outlineLevel="0" collapsed="false">
      <c r="A5166" s="78" t="s">
        <v>852</v>
      </c>
      <c r="B5166" s="78"/>
      <c r="C5166" s="78"/>
      <c r="D5166" s="78"/>
      <c r="E5166" s="78"/>
      <c r="F5166" s="78"/>
      <c r="G5166" s="78"/>
      <c r="H5166" s="78"/>
      <c r="I5166" s="78"/>
      <c r="J5166" s="78"/>
      <c r="K5166" s="78"/>
      <c r="L5166" s="78"/>
      <c r="M5166" s="78"/>
      <c r="N5166" s="78"/>
    </row>
    <row r="5167" customFormat="false" ht="15" hidden="false" customHeight="true" outlineLevel="0" collapsed="false">
      <c r="A5167" s="79" t="s">
        <v>853</v>
      </c>
      <c r="B5167" s="79"/>
      <c r="C5167" s="79"/>
      <c r="D5167" s="79"/>
      <c r="E5167" s="79"/>
      <c r="F5167" s="79"/>
      <c r="G5167" s="79"/>
      <c r="H5167" s="79"/>
      <c r="I5167" s="79"/>
      <c r="J5167" s="79"/>
      <c r="K5167" s="79"/>
      <c r="L5167" s="79"/>
      <c r="M5167" s="79"/>
      <c r="N5167" s="79"/>
    </row>
    <row r="5168" customFormat="false" ht="23.85" hidden="false" customHeight="false" outlineLevel="0" collapsed="false">
      <c r="A5168" s="35" t="s">
        <v>854</v>
      </c>
      <c r="B5168" s="35" t="s">
        <v>444</v>
      </c>
      <c r="C5168" s="6" t="s">
        <v>354</v>
      </c>
      <c r="D5168" s="6" t="s">
        <v>355</v>
      </c>
      <c r="E5168" s="6" t="s">
        <v>356</v>
      </c>
      <c r="F5168" s="6" t="s">
        <v>357</v>
      </c>
      <c r="G5168" s="6" t="s">
        <v>358</v>
      </c>
      <c r="H5168" s="6" t="s">
        <v>359</v>
      </c>
      <c r="I5168" s="6" t="s">
        <v>360</v>
      </c>
      <c r="J5168" s="6" t="s">
        <v>361</v>
      </c>
      <c r="K5168" s="6" t="s">
        <v>362</v>
      </c>
      <c r="L5168" s="6" t="s">
        <v>363</v>
      </c>
      <c r="M5168" s="6" t="s">
        <v>364</v>
      </c>
      <c r="N5168" s="6" t="s">
        <v>365</v>
      </c>
      <c r="P5168" s="6" t="s">
        <v>445</v>
      </c>
      <c r="Q5168" s="6" t="s">
        <v>446</v>
      </c>
      <c r="R5168" s="6" t="s">
        <v>447</v>
      </c>
      <c r="S5168" s="6" t="s">
        <v>448</v>
      </c>
    </row>
    <row r="5169" customFormat="false" ht="15" hidden="false" customHeight="false" outlineLevel="0" collapsed="false">
      <c r="A5169" s="4" t="s">
        <v>449</v>
      </c>
      <c r="B5169" s="36" t="s">
        <v>450</v>
      </c>
      <c r="C5169" s="34" t="n">
        <f aca="false">'Market Sizing'!$C$17*Assumptions!$E$10*Assumptions!$E$11*(1-Assumptions!$E$12)</f>
        <v>843.03944704</v>
      </c>
    </row>
    <row r="5170" customFormat="false" ht="15" hidden="false" customHeight="false" outlineLevel="0" collapsed="false">
      <c r="A5170" s="4" t="s">
        <v>451</v>
      </c>
      <c r="B5170" s="36" t="s">
        <v>450</v>
      </c>
      <c r="C5170" s="34" t="n">
        <f aca="false">'Market Sizing'!$D$17*Assumptions!$E$10*Assumptions!$E$11*(1-Assumptions!$E$12)</f>
        <v>211.19616</v>
      </c>
    </row>
    <row r="5171" customFormat="false" ht="15" hidden="false" customHeight="false" outlineLevel="0" collapsed="false">
      <c r="A5171" s="4" t="s">
        <v>452</v>
      </c>
      <c r="B5171" s="36" t="s">
        <v>450</v>
      </c>
      <c r="C5171" s="34" t="n">
        <f aca="false">'Market Sizing'!$E$17*Assumptions!$E$10*Assumptions!$E$11*(1-Assumptions!$E$12)</f>
        <v>49.53984</v>
      </c>
    </row>
    <row r="5172" customFormat="false" ht="15" hidden="false" customHeight="false" outlineLevel="0" collapsed="false">
      <c r="A5172" s="4" t="s">
        <v>453</v>
      </c>
      <c r="B5172" s="36"/>
      <c r="C5172" s="34" t="n">
        <f aca="false">$C$5169+$C$5170+$C$5171</f>
        <v>1103.77544704</v>
      </c>
    </row>
    <row r="5173" customFormat="false" ht="15" hidden="false" customHeight="false" outlineLevel="0" collapsed="false">
      <c r="A5173" s="4" t="s">
        <v>454</v>
      </c>
      <c r="B5173" s="36" t="s">
        <v>450</v>
      </c>
      <c r="C5173" s="34" t="n">
        <f aca="false">'Market Sizing'!$C$18*Assumptions!$E$10*Assumptions!$E$11*(1-Assumptions!$E$12)</f>
        <v>612.57706944</v>
      </c>
    </row>
    <row r="5174" customFormat="false" ht="15" hidden="false" customHeight="false" outlineLevel="0" collapsed="false">
      <c r="A5174" s="4" t="s">
        <v>455</v>
      </c>
      <c r="B5174" s="36" t="s">
        <v>450</v>
      </c>
      <c r="C5174" s="34" t="n">
        <f aca="false">'Market Sizing'!$D$18*Assumptions!$E$10*Assumptions!$E$11*(1-Assumptions!$E$12)</f>
        <v>142.10112</v>
      </c>
    </row>
    <row r="5175" customFormat="false" ht="15" hidden="false" customHeight="false" outlineLevel="0" collapsed="false">
      <c r="A5175" s="4" t="s">
        <v>456</v>
      </c>
      <c r="B5175" s="36" t="s">
        <v>450</v>
      </c>
      <c r="C5175" s="34" t="n">
        <f aca="false">'Market Sizing'!$E$18*Assumptions!$E$10*Assumptions!$E$11*(1-Assumptions!$E$12)</f>
        <v>24.76992</v>
      </c>
    </row>
    <row r="5176" customFormat="false" ht="15" hidden="false" customHeight="false" outlineLevel="0" collapsed="false">
      <c r="A5176" s="4" t="s">
        <v>457</v>
      </c>
      <c r="B5176" s="36"/>
      <c r="C5176" s="34" t="n">
        <f aca="false">$C$5173+$C$5174+$C$5175</f>
        <v>779.44810944</v>
      </c>
    </row>
    <row r="5177" customFormat="false" ht="15" hidden="false" customHeight="false" outlineLevel="0" collapsed="false">
      <c r="A5177" s="4" t="s">
        <v>458</v>
      </c>
      <c r="B5177" s="36" t="s">
        <v>450</v>
      </c>
      <c r="C5177" s="34" t="n">
        <f aca="false">'Market Sizing'!$C$19*Assumptions!$E$10*Assumptions!$E$11*(1-Assumptions!$E$12)</f>
        <v>2060.77303936</v>
      </c>
    </row>
    <row r="5178" customFormat="false" ht="15" hidden="false" customHeight="false" outlineLevel="0" collapsed="false">
      <c r="A5178" s="4" t="s">
        <v>459</v>
      </c>
      <c r="B5178" s="36" t="s">
        <v>450</v>
      </c>
      <c r="C5178" s="34" t="n">
        <f aca="false">'Market Sizing'!$D$19*Assumptions!$E$10*Assumptions!$E$11*(1-Assumptions!$E$12)</f>
        <v>428.47616</v>
      </c>
    </row>
    <row r="5179" customFormat="false" ht="15" hidden="false" customHeight="false" outlineLevel="0" collapsed="false">
      <c r="A5179" s="4" t="s">
        <v>460</v>
      </c>
      <c r="B5179" s="36" t="s">
        <v>450</v>
      </c>
      <c r="C5179" s="34" t="n">
        <f aca="false">'Market Sizing'!$E$19*Assumptions!$E$10*Assumptions!$E$11*(1-Assumptions!$E$12)</f>
        <v>79.52448</v>
      </c>
    </row>
    <row r="5180" customFormat="false" ht="15" hidden="false" customHeight="false" outlineLevel="0" collapsed="false">
      <c r="A5180" s="4" t="s">
        <v>461</v>
      </c>
      <c r="B5180" s="36"/>
      <c r="C5180" s="34" t="n">
        <f aca="false">$C$5177+$C$5178+$C$5179</f>
        <v>2568.77367936</v>
      </c>
    </row>
    <row r="5181" customFormat="false" ht="15" hidden="false" customHeight="false" outlineLevel="0" collapsed="false">
      <c r="A5181" s="4" t="s">
        <v>462</v>
      </c>
      <c r="B5181" s="36" t="s">
        <v>463</v>
      </c>
      <c r="C5181" s="33" t="n">
        <f aca="false">MAX((Assumptions!$E$51+Assumptions!$E$53)*12,(((('Market Sizing'!$E$25*Assumptions!$E$41*Assumptions!$E$42*Assumptions!$E$43)*Assumptions!$E$44)*Assumptions!$E$45*Assumptions!$E$46+('Market Sizing'!$E$25*Assumptions!$E$41*Assumptions!$E$42*Assumptions!$E$43)*Assumptions!$E$47+('Market Sizing'!$E$25*Assumptions!$E$41*Assumptions!$E$42*Assumptions!$E$43)*Assumptions!$E$48*Assumptions!$E$49)*(Assumptions!$E$51*12/Assumptions!$E$52)+((('Market Sizing'!$E$25*Assumptions!$E$41*Assumptions!$E$42*Assumptions!$E$43)*Assumptions!$E$44)*Assumptions!$E$45+('Market Sizing'!$E$25*Assumptions!$E$41*Assumptions!$E$42*Assumptions!$E$43)+('Market Sizing'!$E$25*Assumptions!$E$41*Assumptions!$E$42*Assumptions!$E$43)*Assumptions!$E$48)*Assumptions!$E$50*(Assumptions!$E$53*12/Assumptions!$E$54)))</f>
        <v>5352</v>
      </c>
    </row>
    <row r="5182" customFormat="false" ht="15" hidden="false" customHeight="false" outlineLevel="0" collapsed="false">
      <c r="A5182" s="4" t="s">
        <v>464</v>
      </c>
      <c r="B5182" s="36" t="s">
        <v>463</v>
      </c>
      <c r="C5182" s="33" t="n">
        <f aca="false">MAX((Assumptions!$E$51+Assumptions!$E$53)*12,(((('Market Sizing'!$E$26*Assumptions!$E$41*Assumptions!$E$42*Assumptions!$E$43)*Assumptions!$E$44)*Assumptions!$E$45*Assumptions!$E$46+('Market Sizing'!$E$26*Assumptions!$E$41*Assumptions!$E$42*Assumptions!$E$43)*Assumptions!$E$47+('Market Sizing'!$E$26*Assumptions!$E$41*Assumptions!$E$42*Assumptions!$E$43)*Assumptions!$E$48*Assumptions!$E$49)*(Assumptions!$E$51*12/Assumptions!$E$52)+((('Market Sizing'!$E$26*Assumptions!$E$41*Assumptions!$E$42*Assumptions!$E$43)*Assumptions!$E$44)*Assumptions!$E$45+('Market Sizing'!$E$26*Assumptions!$E$41*Assumptions!$E$42*Assumptions!$E$43)+('Market Sizing'!$E$26*Assumptions!$E$41*Assumptions!$E$42*Assumptions!$E$43)*Assumptions!$E$48)*Assumptions!$E$50*(Assumptions!$E$53*12/Assumptions!$E$54)))</f>
        <v>9766.72012875208</v>
      </c>
    </row>
    <row r="5183" customFormat="false" ht="15" hidden="false" customHeight="false" outlineLevel="0" collapsed="false">
      <c r="A5183" s="4" t="s">
        <v>465</v>
      </c>
      <c r="B5183" s="36" t="s">
        <v>463</v>
      </c>
      <c r="C5183" s="33" t="n">
        <f aca="false">MAX(Assumptions!$E$55*(Assumptions!$E$51*12/Assumptions!$E$52)+Assumptions!$E$56*(Assumptions!$E$53*12/Assumptions!$E$54),(((('Market Sizing'!$E$27*Assumptions!$E$41*Assumptions!$E$42*Assumptions!$E$43)*Assumptions!$E$44)*Assumptions!$E$45*Assumptions!$E$46+('Market Sizing'!$E$27*Assumptions!$E$41*Assumptions!$E$42*Assumptions!$E$43)*Assumptions!$E$47+('Market Sizing'!$E$27*Assumptions!$E$41*Assumptions!$E$42*Assumptions!$E$43)*Assumptions!$E$48*Assumptions!$E$49)*(Assumptions!$E$51*12/Assumptions!$E$52)+((('Market Sizing'!$E$27*Assumptions!$E$41*Assumptions!$E$42*Assumptions!$E$43)*Assumptions!$E$44)*Assumptions!$E$45+('Market Sizing'!$E$27*Assumptions!$E$41*Assumptions!$E$42*Assumptions!$E$43)+('Market Sizing'!$E$27*Assumptions!$E$41*Assumptions!$E$42*Assumptions!$E$43)*Assumptions!$E$48)*Assumptions!$E$50*(Assumptions!$E$53*12/Assumptions!$E$54)))*(1-Assumptions!$E$57)</f>
        <v>61778.2562194386</v>
      </c>
    </row>
    <row r="5184" customFormat="false" ht="23.85" hidden="false" customHeight="false" outlineLevel="0" collapsed="false">
      <c r="A5184" s="4" t="s">
        <v>466</v>
      </c>
      <c r="B5184" s="36" t="s">
        <v>467</v>
      </c>
      <c r="C5184" s="37" t="n">
        <f aca="false">Assumptions!$E$17*Assumptions!$D$106</f>
        <v>0.4</v>
      </c>
    </row>
    <row r="5185" customFormat="false" ht="23.85" hidden="false" customHeight="false" outlineLevel="0" collapsed="false">
      <c r="A5185" s="4" t="s">
        <v>468</v>
      </c>
      <c r="B5185" s="36" t="s">
        <v>469</v>
      </c>
      <c r="C5185" s="33" t="n">
        <f aca="false">Assumptions!$E$68/Assumptions!$E$69</f>
        <v>285714.285714286</v>
      </c>
    </row>
    <row r="5186" customFormat="false" ht="23.85" hidden="false" customHeight="false" outlineLevel="0" collapsed="false">
      <c r="A5186" s="4" t="s">
        <v>470</v>
      </c>
      <c r="B5186" s="36" t="s">
        <v>471</v>
      </c>
      <c r="C5186" s="33" t="n">
        <f aca="false">Assumptions!$E$66*Assumptions!$E$67/4</f>
        <v>153125</v>
      </c>
    </row>
    <row r="5187" customFormat="false" ht="15" hidden="false" customHeight="false" outlineLevel="0" collapsed="false">
      <c r="A5187" s="4" t="s">
        <v>472</v>
      </c>
      <c r="B5187" s="36"/>
      <c r="C5187" s="38" t="n">
        <f aca="false">$C$5185/Assumptions!$E$66/Assumptions!$E$67</f>
        <v>0.466472303206997</v>
      </c>
    </row>
    <row r="5188" customFormat="false" ht="15" hidden="false" customHeight="false" outlineLevel="0" collapsed="false">
      <c r="A5188" s="4" t="s">
        <v>473</v>
      </c>
      <c r="B5188" s="36"/>
      <c r="C5188" s="33" t="n">
        <f aca="false">MAX(0,Assumptions!$D$103-Assumptions!$E$78)</f>
        <v>0</v>
      </c>
    </row>
    <row r="5189" customFormat="false" ht="15" hidden="false" customHeight="false" outlineLevel="0" collapsed="false">
      <c r="A5189" s="35" t="s">
        <v>474</v>
      </c>
      <c r="B5189" s="35" t="s">
        <v>444</v>
      </c>
      <c r="C5189" s="6" t="s">
        <v>354</v>
      </c>
      <c r="D5189" s="6" t="s">
        <v>355</v>
      </c>
      <c r="E5189" s="6" t="s">
        <v>356</v>
      </c>
      <c r="F5189" s="6" t="s">
        <v>357</v>
      </c>
      <c r="G5189" s="6" t="s">
        <v>358</v>
      </c>
      <c r="H5189" s="6" t="s">
        <v>359</v>
      </c>
      <c r="I5189" s="6" t="s">
        <v>360</v>
      </c>
      <c r="J5189" s="6" t="s">
        <v>361</v>
      </c>
      <c r="K5189" s="6" t="s">
        <v>362</v>
      </c>
      <c r="L5189" s="6" t="s">
        <v>363</v>
      </c>
      <c r="M5189" s="6" t="s">
        <v>364</v>
      </c>
      <c r="N5189" s="6" t="s">
        <v>365</v>
      </c>
      <c r="P5189" s="6" t="s">
        <v>445</v>
      </c>
      <c r="Q5189" s="6" t="s">
        <v>446</v>
      </c>
      <c r="R5189" s="6" t="s">
        <v>447</v>
      </c>
      <c r="S5189" s="6" t="s">
        <v>448</v>
      </c>
    </row>
    <row r="5190" customFormat="false" ht="15" hidden="false" customHeight="false" outlineLevel="0" collapsed="false">
      <c r="A5190" s="4" t="s">
        <v>475</v>
      </c>
      <c r="B5190" s="36" t="s">
        <v>133</v>
      </c>
      <c r="C5190" s="39" t="n">
        <v>1</v>
      </c>
      <c r="D5190" s="39" t="n">
        <v>2</v>
      </c>
      <c r="E5190" s="39" t="n">
        <v>3</v>
      </c>
      <c r="F5190" s="39" t="n">
        <v>4</v>
      </c>
      <c r="G5190" s="39" t="n">
        <v>5</v>
      </c>
      <c r="H5190" s="39" t="n">
        <v>6</v>
      </c>
      <c r="I5190" s="39" t="n">
        <v>7</v>
      </c>
      <c r="J5190" s="39" t="n">
        <v>8</v>
      </c>
      <c r="K5190" s="39" t="n">
        <v>9</v>
      </c>
      <c r="L5190" s="39" t="n">
        <v>10</v>
      </c>
      <c r="M5190" s="39" t="n">
        <v>11</v>
      </c>
      <c r="N5190" s="39" t="n">
        <v>12</v>
      </c>
      <c r="P5190" s="40"/>
      <c r="Q5190" s="40"/>
      <c r="R5190" s="40"/>
      <c r="S5190" s="41"/>
    </row>
    <row r="5191" customFormat="false" ht="15" hidden="false" customHeight="false" outlineLevel="0" collapsed="false">
      <c r="A5191" s="4" t="s">
        <v>476</v>
      </c>
      <c r="B5191" s="36" t="s">
        <v>343</v>
      </c>
      <c r="C5191" s="39" t="n">
        <f aca="false">IF(C5190&lt;=Assumptions!$E$84,1,0)</f>
        <v>1</v>
      </c>
      <c r="D5191" s="39" t="n">
        <f aca="false">IF(D5190&lt;=Assumptions!$E$84,1,0)</f>
        <v>1</v>
      </c>
      <c r="E5191" s="39" t="n">
        <f aca="false">IF(E5190&lt;=Assumptions!$E$84,1,0)</f>
        <v>1</v>
      </c>
      <c r="F5191" s="39" t="n">
        <f aca="false">IF(F5190&lt;=Assumptions!$E$84,1,0)</f>
        <v>1</v>
      </c>
      <c r="G5191" s="39" t="n">
        <f aca="false">IF(G5190&lt;=Assumptions!$E$84,1,0)</f>
        <v>1</v>
      </c>
      <c r="H5191" s="39" t="n">
        <f aca="false">IF(H5190&lt;=Assumptions!$E$84,1,0)</f>
        <v>1</v>
      </c>
      <c r="I5191" s="39" t="n">
        <f aca="false">IF(I5190&lt;=Assumptions!$E$84,1,0)</f>
        <v>1</v>
      </c>
      <c r="J5191" s="39" t="n">
        <f aca="false">IF(J5190&lt;=Assumptions!$E$84,1,0)</f>
        <v>1</v>
      </c>
      <c r="K5191" s="39" t="n">
        <f aca="false">IF(K5190&lt;=Assumptions!$E$84,1,0)</f>
        <v>1</v>
      </c>
      <c r="L5191" s="39" t="n">
        <f aca="false">IF(L5190&lt;=Assumptions!$E$84,1,0)</f>
        <v>1</v>
      </c>
      <c r="M5191" s="39" t="n">
        <f aca="false">IF(M5190&lt;=Assumptions!$E$84,1,0)</f>
        <v>1</v>
      </c>
      <c r="N5191" s="39" t="n">
        <f aca="false">IF(N5190&lt;=Assumptions!$E$84,1,0)</f>
        <v>1</v>
      </c>
      <c r="P5191" s="40"/>
      <c r="Q5191" s="40"/>
      <c r="R5191" s="40"/>
      <c r="S5191" s="41"/>
    </row>
    <row r="5192" customFormat="false" ht="15" hidden="false" customHeight="false" outlineLevel="0" collapsed="false">
      <c r="A5192" s="4" t="s">
        <v>477</v>
      </c>
      <c r="B5192" s="36" t="s">
        <v>478</v>
      </c>
      <c r="C5192" s="42" t="n">
        <f aca="false">IF(C5190=Assumptions!$E$13,0.5,IF(C5190&gt;Assumptions!$E$13,1,0))</f>
        <v>0.5</v>
      </c>
      <c r="D5192" s="42" t="n">
        <f aca="false">IF(D5190=Assumptions!$E$13,0.5,IF(D5190&gt;Assumptions!$E$13,1,0))</f>
        <v>1</v>
      </c>
      <c r="E5192" s="42" t="n">
        <f aca="false">IF(E5190=Assumptions!$E$13,0.5,IF(E5190&gt;Assumptions!$E$13,1,0))</f>
        <v>1</v>
      </c>
      <c r="F5192" s="42" t="n">
        <f aca="false">IF(F5190=Assumptions!$E$13,0.5,IF(F5190&gt;Assumptions!$E$13,1,0))</f>
        <v>1</v>
      </c>
      <c r="G5192" s="42" t="n">
        <f aca="false">IF(G5190=Assumptions!$E$13,0.5,IF(G5190&gt;Assumptions!$E$13,1,0))</f>
        <v>1</v>
      </c>
      <c r="H5192" s="42" t="n">
        <f aca="false">IF(H5190=Assumptions!$E$13,0.5,IF(H5190&gt;Assumptions!$E$13,1,0))</f>
        <v>1</v>
      </c>
      <c r="I5192" s="42" t="n">
        <f aca="false">IF(I5190=Assumptions!$E$13,0.5,IF(I5190&gt;Assumptions!$E$13,1,0))</f>
        <v>1</v>
      </c>
      <c r="J5192" s="42" t="n">
        <f aca="false">IF(J5190=Assumptions!$E$13,0.5,IF(J5190&gt;Assumptions!$E$13,1,0))</f>
        <v>1</v>
      </c>
      <c r="K5192" s="42" t="n">
        <f aca="false">IF(K5190=Assumptions!$E$13,0.5,IF(K5190&gt;Assumptions!$E$13,1,0))</f>
        <v>1</v>
      </c>
      <c r="L5192" s="42" t="n">
        <f aca="false">IF(L5190=Assumptions!$E$13,0.5,IF(L5190&gt;Assumptions!$E$13,1,0))</f>
        <v>1</v>
      </c>
      <c r="M5192" s="42" t="n">
        <f aca="false">IF(M5190=Assumptions!$E$13,0.5,IF(M5190&gt;Assumptions!$E$13,1,0))</f>
        <v>1</v>
      </c>
      <c r="N5192" s="42" t="n">
        <f aca="false">IF(N5190=Assumptions!$E$13,0.5,IF(N5190&gt;Assumptions!$E$13,1,0))</f>
        <v>1</v>
      </c>
      <c r="P5192" s="43"/>
      <c r="Q5192" s="43"/>
      <c r="R5192" s="43"/>
      <c r="S5192" s="44"/>
    </row>
    <row r="5193" customFormat="false" ht="15" hidden="false" customHeight="false" outlineLevel="0" collapsed="false">
      <c r="A5193" s="4" t="s">
        <v>479</v>
      </c>
      <c r="B5193" s="36" t="s">
        <v>478</v>
      </c>
      <c r="C5193" s="42" t="n">
        <f aca="false">IF(C5190=Assumptions!$E$14,0.5,IF(C5190&gt;Assumptions!$E$14,1,0))</f>
        <v>0</v>
      </c>
      <c r="D5193" s="42" t="n">
        <f aca="false">IF(D5190=Assumptions!$E$14,0.5,IF(D5190&gt;Assumptions!$E$14,1,0))</f>
        <v>0</v>
      </c>
      <c r="E5193" s="42" t="n">
        <f aca="false">IF(E5190=Assumptions!$E$14,0.5,IF(E5190&gt;Assumptions!$E$14,1,0))</f>
        <v>0</v>
      </c>
      <c r="F5193" s="42" t="n">
        <f aca="false">IF(F5190=Assumptions!$E$14,0.5,IF(F5190&gt;Assumptions!$E$14,1,0))</f>
        <v>0</v>
      </c>
      <c r="G5193" s="42" t="n">
        <f aca="false">IF(G5190=Assumptions!$E$14,0.5,IF(G5190&gt;Assumptions!$E$14,1,0))</f>
        <v>0.5</v>
      </c>
      <c r="H5193" s="42" t="n">
        <f aca="false">IF(H5190=Assumptions!$E$14,0.5,IF(H5190&gt;Assumptions!$E$14,1,0))</f>
        <v>1</v>
      </c>
      <c r="I5193" s="42" t="n">
        <f aca="false">IF(I5190=Assumptions!$E$14,0.5,IF(I5190&gt;Assumptions!$E$14,1,0))</f>
        <v>1</v>
      </c>
      <c r="J5193" s="42" t="n">
        <f aca="false">IF(J5190=Assumptions!$E$14,0.5,IF(J5190&gt;Assumptions!$E$14,1,0))</f>
        <v>1</v>
      </c>
      <c r="K5193" s="42" t="n">
        <f aca="false">IF(K5190=Assumptions!$E$14,0.5,IF(K5190&gt;Assumptions!$E$14,1,0))</f>
        <v>1</v>
      </c>
      <c r="L5193" s="42" t="n">
        <f aca="false">IF(L5190=Assumptions!$E$14,0.5,IF(L5190&gt;Assumptions!$E$14,1,0))</f>
        <v>1</v>
      </c>
      <c r="M5193" s="42" t="n">
        <f aca="false">IF(M5190=Assumptions!$E$14,0.5,IF(M5190&gt;Assumptions!$E$14,1,0))</f>
        <v>1</v>
      </c>
      <c r="N5193" s="42" t="n">
        <f aca="false">IF(N5190=Assumptions!$E$14,0.5,IF(N5190&gt;Assumptions!$E$14,1,0))</f>
        <v>1</v>
      </c>
      <c r="P5193" s="43"/>
      <c r="Q5193" s="43"/>
      <c r="R5193" s="43"/>
      <c r="S5193" s="44"/>
    </row>
    <row r="5194" customFormat="false" ht="15" hidden="false" customHeight="false" outlineLevel="0" collapsed="false">
      <c r="A5194" s="4" t="s">
        <v>480</v>
      </c>
      <c r="B5194" s="36" t="s">
        <v>478</v>
      </c>
      <c r="C5194" s="42" t="n">
        <f aca="false">IF(C5190=Assumptions!$E$15,0.5,IF(C5190&gt;Assumptions!$E$15,1,0))</f>
        <v>0</v>
      </c>
      <c r="D5194" s="42" t="n">
        <f aca="false">IF(D5190=Assumptions!$E$15,0.5,IF(D5190&gt;Assumptions!$E$15,1,0))</f>
        <v>0</v>
      </c>
      <c r="E5194" s="42" t="n">
        <f aca="false">IF(E5190=Assumptions!$E$15,0.5,IF(E5190&gt;Assumptions!$E$15,1,0))</f>
        <v>0</v>
      </c>
      <c r="F5194" s="42" t="n">
        <f aca="false">IF(F5190=Assumptions!$E$15,0.5,IF(F5190&gt;Assumptions!$E$15,1,0))</f>
        <v>0</v>
      </c>
      <c r="G5194" s="42" t="n">
        <f aca="false">IF(G5190=Assumptions!$E$15,0.5,IF(G5190&gt;Assumptions!$E$15,1,0))</f>
        <v>0</v>
      </c>
      <c r="H5194" s="42" t="n">
        <f aca="false">IF(H5190=Assumptions!$E$15,0.5,IF(H5190&gt;Assumptions!$E$15,1,0))</f>
        <v>0</v>
      </c>
      <c r="I5194" s="42" t="n">
        <f aca="false">IF(I5190=Assumptions!$E$15,0.5,IF(I5190&gt;Assumptions!$E$15,1,0))</f>
        <v>0.5</v>
      </c>
      <c r="J5194" s="42" t="n">
        <f aca="false">IF(J5190=Assumptions!$E$15,0.5,IF(J5190&gt;Assumptions!$E$15,1,0))</f>
        <v>1</v>
      </c>
      <c r="K5194" s="42" t="n">
        <f aca="false">IF(K5190=Assumptions!$E$15,0.5,IF(K5190&gt;Assumptions!$E$15,1,0))</f>
        <v>1</v>
      </c>
      <c r="L5194" s="42" t="n">
        <f aca="false">IF(L5190=Assumptions!$E$15,0.5,IF(L5190&gt;Assumptions!$E$15,1,0))</f>
        <v>1</v>
      </c>
      <c r="M5194" s="42" t="n">
        <f aca="false">IF(M5190=Assumptions!$E$15,0.5,IF(M5190&gt;Assumptions!$E$15,1,0))</f>
        <v>1</v>
      </c>
      <c r="N5194" s="42" t="n">
        <f aca="false">IF(N5190=Assumptions!$E$15,0.5,IF(N5190&gt;Assumptions!$E$15,1,0))</f>
        <v>1</v>
      </c>
      <c r="P5194" s="43"/>
      <c r="Q5194" s="43"/>
      <c r="R5194" s="43"/>
      <c r="S5194" s="44"/>
    </row>
    <row r="5195" customFormat="false" ht="15" hidden="false" customHeight="false" outlineLevel="0" collapsed="false">
      <c r="A5195" s="4" t="s">
        <v>481</v>
      </c>
      <c r="B5195" s="36" t="s">
        <v>478</v>
      </c>
      <c r="C5195" s="45" t="n">
        <f aca="false">Assumptions!$E$21^(MAX(0,C5190-Assumptions!$E$13)/4)</f>
        <v>1</v>
      </c>
      <c r="D5195" s="45" t="n">
        <f aca="false">Assumptions!$E$21^(MAX(0,D5190-Assumptions!$E$13)/4)</f>
        <v>0.9306048591021</v>
      </c>
      <c r="E5195" s="45" t="n">
        <f aca="false">Assumptions!$E$21^(MAX(0,E5190-Assumptions!$E$13)/4)</f>
        <v>0.866025403784439</v>
      </c>
      <c r="F5195" s="45" t="n">
        <f aca="false">Assumptions!$E$21^(MAX(0,F5190-Assumptions!$E$13)/4)</f>
        <v>0.805927448867656</v>
      </c>
      <c r="G5195" s="45" t="n">
        <f aca="false">Assumptions!$E$21^(MAX(0,G5190-Assumptions!$E$13)/4)</f>
        <v>0.75</v>
      </c>
      <c r="H5195" s="45" t="n">
        <f aca="false">Assumptions!$E$21^(MAX(0,H5190-Assumptions!$E$13)/4)</f>
        <v>0.697953644326575</v>
      </c>
      <c r="I5195" s="45" t="n">
        <f aca="false">Assumptions!$E$21^(MAX(0,I5190-Assumptions!$E$13)/4)</f>
        <v>0.649519052838329</v>
      </c>
      <c r="J5195" s="45" t="n">
        <f aca="false">Assumptions!$E$21^(MAX(0,J5190-Assumptions!$E$13)/4)</f>
        <v>0.604445586650742</v>
      </c>
      <c r="K5195" s="45" t="n">
        <f aca="false">Assumptions!$E$21^(MAX(0,K5190-Assumptions!$E$13)/4)</f>
        <v>0.5625</v>
      </c>
      <c r="L5195" s="45" t="n">
        <f aca="false">Assumptions!$E$21^(MAX(0,L5190-Assumptions!$E$13)/4)</f>
        <v>0.523465233244931</v>
      </c>
      <c r="M5195" s="45" t="n">
        <f aca="false">Assumptions!$E$21^(MAX(0,M5190-Assumptions!$E$13)/4)</f>
        <v>0.487139289628747</v>
      </c>
      <c r="N5195" s="45" t="n">
        <f aca="false">Assumptions!$E$21^(MAX(0,N5190-Assumptions!$E$13)/4)</f>
        <v>0.453334189988057</v>
      </c>
      <c r="P5195" s="46"/>
      <c r="Q5195" s="46"/>
      <c r="R5195" s="46"/>
      <c r="S5195" s="47"/>
    </row>
    <row r="5196" customFormat="false" ht="15" hidden="false" customHeight="false" outlineLevel="0" collapsed="false">
      <c r="A5196" s="4" t="s">
        <v>482</v>
      </c>
      <c r="B5196" s="36" t="s">
        <v>478</v>
      </c>
      <c r="C5196" s="45" t="n">
        <f aca="false">Assumptions!$E$21^(MAX(0,C5190-Assumptions!$E$14)/4)</f>
        <v>1</v>
      </c>
      <c r="D5196" s="45" t="n">
        <f aca="false">Assumptions!$E$21^(MAX(0,D5190-Assumptions!$E$14)/4)</f>
        <v>1</v>
      </c>
      <c r="E5196" s="45" t="n">
        <f aca="false">Assumptions!$E$21^(MAX(0,E5190-Assumptions!$E$14)/4)</f>
        <v>1</v>
      </c>
      <c r="F5196" s="45" t="n">
        <f aca="false">Assumptions!$E$21^(MAX(0,F5190-Assumptions!$E$14)/4)</f>
        <v>1</v>
      </c>
      <c r="G5196" s="45" t="n">
        <f aca="false">Assumptions!$E$21^(MAX(0,G5190-Assumptions!$E$14)/4)</f>
        <v>1</v>
      </c>
      <c r="H5196" s="45" t="n">
        <f aca="false">Assumptions!$E$21^(MAX(0,H5190-Assumptions!$E$14)/4)</f>
        <v>0.9306048591021</v>
      </c>
      <c r="I5196" s="45" t="n">
        <f aca="false">Assumptions!$E$21^(MAX(0,I5190-Assumptions!$E$14)/4)</f>
        <v>0.866025403784439</v>
      </c>
      <c r="J5196" s="45" t="n">
        <f aca="false">Assumptions!$E$21^(MAX(0,J5190-Assumptions!$E$14)/4)</f>
        <v>0.805927448867656</v>
      </c>
      <c r="K5196" s="45" t="n">
        <f aca="false">Assumptions!$E$21^(MAX(0,K5190-Assumptions!$E$14)/4)</f>
        <v>0.75</v>
      </c>
      <c r="L5196" s="45" t="n">
        <f aca="false">Assumptions!$E$21^(MAX(0,L5190-Assumptions!$E$14)/4)</f>
        <v>0.697953644326575</v>
      </c>
      <c r="M5196" s="45" t="n">
        <f aca="false">Assumptions!$E$21^(MAX(0,M5190-Assumptions!$E$14)/4)</f>
        <v>0.649519052838329</v>
      </c>
      <c r="N5196" s="45" t="n">
        <f aca="false">Assumptions!$E$21^(MAX(0,N5190-Assumptions!$E$14)/4)</f>
        <v>0.604445586650742</v>
      </c>
      <c r="P5196" s="46"/>
      <c r="Q5196" s="46"/>
      <c r="R5196" s="46"/>
      <c r="S5196" s="47"/>
    </row>
    <row r="5197" customFormat="false" ht="15" hidden="false" customHeight="false" outlineLevel="0" collapsed="false">
      <c r="A5197" s="4" t="s">
        <v>483</v>
      </c>
      <c r="B5197" s="36" t="s">
        <v>478</v>
      </c>
      <c r="C5197" s="45" t="n">
        <f aca="false">Assumptions!$E$21^(MAX(0,C5190-Assumptions!$E$15)/4)</f>
        <v>1</v>
      </c>
      <c r="D5197" s="45" t="n">
        <f aca="false">Assumptions!$E$21^(MAX(0,D5190-Assumptions!$E$15)/4)</f>
        <v>1</v>
      </c>
      <c r="E5197" s="45" t="n">
        <f aca="false">Assumptions!$E$21^(MAX(0,E5190-Assumptions!$E$15)/4)</f>
        <v>1</v>
      </c>
      <c r="F5197" s="45" t="n">
        <f aca="false">Assumptions!$E$21^(MAX(0,F5190-Assumptions!$E$15)/4)</f>
        <v>1</v>
      </c>
      <c r="G5197" s="45" t="n">
        <f aca="false">Assumptions!$E$21^(MAX(0,G5190-Assumptions!$E$15)/4)</f>
        <v>1</v>
      </c>
      <c r="H5197" s="45" t="n">
        <f aca="false">Assumptions!$E$21^(MAX(0,H5190-Assumptions!$E$15)/4)</f>
        <v>1</v>
      </c>
      <c r="I5197" s="45" t="n">
        <f aca="false">Assumptions!$E$21^(MAX(0,I5190-Assumptions!$E$15)/4)</f>
        <v>1</v>
      </c>
      <c r="J5197" s="45" t="n">
        <f aca="false">Assumptions!$E$21^(MAX(0,J5190-Assumptions!$E$15)/4)</f>
        <v>0.9306048591021</v>
      </c>
      <c r="K5197" s="45" t="n">
        <f aca="false">Assumptions!$E$21^(MAX(0,K5190-Assumptions!$E$15)/4)</f>
        <v>0.866025403784439</v>
      </c>
      <c r="L5197" s="45" t="n">
        <f aca="false">Assumptions!$E$21^(MAX(0,L5190-Assumptions!$E$15)/4)</f>
        <v>0.805927448867656</v>
      </c>
      <c r="M5197" s="45" t="n">
        <f aca="false">Assumptions!$E$21^(MAX(0,M5190-Assumptions!$E$15)/4)</f>
        <v>0.75</v>
      </c>
      <c r="N5197" s="45" t="n">
        <f aca="false">Assumptions!$E$21^(MAX(0,N5190-Assumptions!$E$15)/4)</f>
        <v>0.697953644326575</v>
      </c>
      <c r="P5197" s="46"/>
      <c r="Q5197" s="46"/>
      <c r="R5197" s="46"/>
      <c r="S5197" s="47"/>
    </row>
    <row r="5198" customFormat="false" ht="15" hidden="false" customHeight="false" outlineLevel="0" collapsed="false">
      <c r="A5198" s="4" t="s">
        <v>484</v>
      </c>
      <c r="B5198" s="36" t="s">
        <v>485</v>
      </c>
      <c r="C5198" s="39" t="n">
        <f aca="false">$C$5169*C5192+$C$5173*C5193+$C$5177*C5194</f>
        <v>421.51972352</v>
      </c>
      <c r="D5198" s="39" t="n">
        <f aca="false">$C$5169*D5192+$C$5173*D5193+$C$5177*D5194</f>
        <v>843.03944704</v>
      </c>
      <c r="E5198" s="39" t="n">
        <f aca="false">$C$5169*E5192+$C$5173*E5193+$C$5177*E5194</f>
        <v>843.03944704</v>
      </c>
      <c r="F5198" s="39" t="n">
        <f aca="false">$C$5169*F5192+$C$5173*F5193+$C$5177*F5194</f>
        <v>843.03944704</v>
      </c>
      <c r="G5198" s="39" t="n">
        <f aca="false">$C$5169*G5192+$C$5173*G5193+$C$5177*G5194</f>
        <v>1149.32798176</v>
      </c>
      <c r="H5198" s="39" t="n">
        <f aca="false">$C$5169*H5192+$C$5173*H5193+$C$5177*H5194</f>
        <v>1455.61651648</v>
      </c>
      <c r="I5198" s="39" t="n">
        <f aca="false">$C$5169*I5192+$C$5173*I5193+$C$5177*I5194</f>
        <v>2486.00303616</v>
      </c>
      <c r="J5198" s="39" t="n">
        <f aca="false">$C$5169*J5192+$C$5173*J5193+$C$5177*J5194</f>
        <v>3516.38955584</v>
      </c>
      <c r="K5198" s="39" t="n">
        <f aca="false">$C$5169*K5192+$C$5173*K5193+$C$5177*K5194</f>
        <v>3516.38955584</v>
      </c>
      <c r="L5198" s="39" t="n">
        <f aca="false">$C$5169*L5192+$C$5173*L5193+$C$5177*L5194</f>
        <v>3516.38955584</v>
      </c>
      <c r="M5198" s="39" t="n">
        <f aca="false">$C$5169*M5192+$C$5173*M5193+$C$5177*M5194</f>
        <v>3516.38955584</v>
      </c>
      <c r="N5198" s="39" t="n">
        <f aca="false">$C$5169*N5192+$C$5173*N5193+$C$5177*N5194</f>
        <v>3516.38955584</v>
      </c>
      <c r="P5198" s="40" t="n">
        <f aca="false">F5198</f>
        <v>843.03944704</v>
      </c>
      <c r="Q5198" s="40" t="n">
        <f aca="false">J5198</f>
        <v>3516.38955584</v>
      </c>
      <c r="R5198" s="40" t="n">
        <f aca="false">N5198</f>
        <v>3516.38955584</v>
      </c>
      <c r="S5198" s="41" t="n">
        <f aca="false">R5198</f>
        <v>3516.38955584</v>
      </c>
    </row>
    <row r="5199" customFormat="false" ht="15" hidden="false" customHeight="false" outlineLevel="0" collapsed="false">
      <c r="A5199" s="4" t="s">
        <v>486</v>
      </c>
      <c r="B5199" s="36" t="s">
        <v>485</v>
      </c>
      <c r="C5199" s="39" t="n">
        <f aca="false">$C$5170*C5192+$C$5174*C5193+$C$5178*C5194</f>
        <v>105.59808</v>
      </c>
      <c r="D5199" s="39" t="n">
        <f aca="false">$C$5170*D5192+$C$5174*D5193+$C$5178*D5194</f>
        <v>211.19616</v>
      </c>
      <c r="E5199" s="39" t="n">
        <f aca="false">$C$5170*E5192+$C$5174*E5193+$C$5178*E5194</f>
        <v>211.19616</v>
      </c>
      <c r="F5199" s="39" t="n">
        <f aca="false">$C$5170*F5192+$C$5174*F5193+$C$5178*F5194</f>
        <v>211.19616</v>
      </c>
      <c r="G5199" s="39" t="n">
        <f aca="false">$C$5170*G5192+$C$5174*G5193+$C$5178*G5194</f>
        <v>282.24672</v>
      </c>
      <c r="H5199" s="39" t="n">
        <f aca="false">$C$5170*H5192+$C$5174*H5193+$C$5178*H5194</f>
        <v>353.29728</v>
      </c>
      <c r="I5199" s="39" t="n">
        <f aca="false">$C$5170*I5192+$C$5174*I5193+$C$5178*I5194</f>
        <v>567.53536</v>
      </c>
      <c r="J5199" s="39" t="n">
        <f aca="false">$C$5170*J5192+$C$5174*J5193+$C$5178*J5194</f>
        <v>781.77344</v>
      </c>
      <c r="K5199" s="39" t="n">
        <f aca="false">$C$5170*K5192+$C$5174*K5193+$C$5178*K5194</f>
        <v>781.77344</v>
      </c>
      <c r="L5199" s="39" t="n">
        <f aca="false">$C$5170*L5192+$C$5174*L5193+$C$5178*L5194</f>
        <v>781.77344</v>
      </c>
      <c r="M5199" s="39" t="n">
        <f aca="false">$C$5170*M5192+$C$5174*M5193+$C$5178*M5194</f>
        <v>781.77344</v>
      </c>
      <c r="N5199" s="39" t="n">
        <f aca="false">$C$5170*N5192+$C$5174*N5193+$C$5178*N5194</f>
        <v>781.77344</v>
      </c>
      <c r="P5199" s="40" t="n">
        <f aca="false">F5199</f>
        <v>211.19616</v>
      </c>
      <c r="Q5199" s="40" t="n">
        <f aca="false">J5199</f>
        <v>781.77344</v>
      </c>
      <c r="R5199" s="40" t="n">
        <f aca="false">N5199</f>
        <v>781.77344</v>
      </c>
      <c r="S5199" s="41" t="n">
        <f aca="false">R5199</f>
        <v>781.77344</v>
      </c>
    </row>
    <row r="5200" customFormat="false" ht="15" hidden="false" customHeight="false" outlineLevel="0" collapsed="false">
      <c r="A5200" s="4" t="s">
        <v>487</v>
      </c>
      <c r="B5200" s="36" t="s">
        <v>485</v>
      </c>
      <c r="C5200" s="39" t="n">
        <f aca="false">$C$5171*C5192+$C$5175*C5193+$C$5179*C5194</f>
        <v>24.76992</v>
      </c>
      <c r="D5200" s="39" t="n">
        <f aca="false">$C$5171*D5192+$C$5175*D5193+$C$5179*D5194</f>
        <v>49.53984</v>
      </c>
      <c r="E5200" s="39" t="n">
        <f aca="false">$C$5171*E5192+$C$5175*E5193+$C$5179*E5194</f>
        <v>49.53984</v>
      </c>
      <c r="F5200" s="39" t="n">
        <f aca="false">$C$5171*F5192+$C$5175*F5193+$C$5179*F5194</f>
        <v>49.53984</v>
      </c>
      <c r="G5200" s="39" t="n">
        <f aca="false">$C$5171*G5192+$C$5175*G5193+$C$5179*G5194</f>
        <v>61.9248</v>
      </c>
      <c r="H5200" s="39" t="n">
        <f aca="false">$C$5171*H5192+$C$5175*H5193+$C$5179*H5194</f>
        <v>74.30976</v>
      </c>
      <c r="I5200" s="39" t="n">
        <f aca="false">$C$5171*I5192+$C$5175*I5193+$C$5179*I5194</f>
        <v>114.072</v>
      </c>
      <c r="J5200" s="39" t="n">
        <f aca="false">$C$5171*J5192+$C$5175*J5193+$C$5179*J5194</f>
        <v>153.83424</v>
      </c>
      <c r="K5200" s="39" t="n">
        <f aca="false">$C$5171*K5192+$C$5175*K5193+$C$5179*K5194</f>
        <v>153.83424</v>
      </c>
      <c r="L5200" s="39" t="n">
        <f aca="false">$C$5171*L5192+$C$5175*L5193+$C$5179*L5194</f>
        <v>153.83424</v>
      </c>
      <c r="M5200" s="39" t="n">
        <f aca="false">$C$5171*M5192+$C$5175*M5193+$C$5179*M5194</f>
        <v>153.83424</v>
      </c>
      <c r="N5200" s="39" t="n">
        <f aca="false">$C$5171*N5192+$C$5175*N5193+$C$5179*N5194</f>
        <v>153.83424</v>
      </c>
      <c r="P5200" s="40" t="n">
        <f aca="false">F5200</f>
        <v>49.53984</v>
      </c>
      <c r="Q5200" s="40" t="n">
        <f aca="false">J5200</f>
        <v>153.83424</v>
      </c>
      <c r="R5200" s="40" t="n">
        <f aca="false">N5200</f>
        <v>153.83424</v>
      </c>
      <c r="S5200" s="41" t="n">
        <f aca="false">R5200</f>
        <v>153.83424</v>
      </c>
    </row>
    <row r="5201" customFormat="false" ht="15" hidden="false" customHeight="false" outlineLevel="0" collapsed="false">
      <c r="A5201" s="4" t="s">
        <v>488</v>
      </c>
      <c r="B5201" s="36" t="s">
        <v>485</v>
      </c>
      <c r="C5201" s="39" t="n">
        <f aca="false">C5198+C5199+C5200</f>
        <v>551.88772352</v>
      </c>
      <c r="D5201" s="39" t="n">
        <f aca="false">D5198+D5199+D5200</f>
        <v>1103.77544704</v>
      </c>
      <c r="E5201" s="39" t="n">
        <f aca="false">E5198+E5199+E5200</f>
        <v>1103.77544704</v>
      </c>
      <c r="F5201" s="39" t="n">
        <f aca="false">F5198+F5199+F5200</f>
        <v>1103.77544704</v>
      </c>
      <c r="G5201" s="39" t="n">
        <f aca="false">G5198+G5199+G5200</f>
        <v>1493.49950176</v>
      </c>
      <c r="H5201" s="39" t="n">
        <f aca="false">H5198+H5199+H5200</f>
        <v>1883.22355648</v>
      </c>
      <c r="I5201" s="39" t="n">
        <f aca="false">I5198+I5199+I5200</f>
        <v>3167.61039616</v>
      </c>
      <c r="J5201" s="39" t="n">
        <f aca="false">J5198+J5199+J5200</f>
        <v>4451.99723584</v>
      </c>
      <c r="K5201" s="39" t="n">
        <f aca="false">K5198+K5199+K5200</f>
        <v>4451.99723584</v>
      </c>
      <c r="L5201" s="39" t="n">
        <f aca="false">L5198+L5199+L5200</f>
        <v>4451.99723584</v>
      </c>
      <c r="M5201" s="39" t="n">
        <f aca="false">M5198+M5199+M5200</f>
        <v>4451.99723584</v>
      </c>
      <c r="N5201" s="39" t="n">
        <f aca="false">N5198+N5199+N5200</f>
        <v>4451.99723584</v>
      </c>
      <c r="P5201" s="40" t="n">
        <f aca="false">F5201</f>
        <v>1103.77544704</v>
      </c>
      <c r="Q5201" s="40" t="n">
        <f aca="false">J5201</f>
        <v>4451.99723584</v>
      </c>
      <c r="R5201" s="40" t="n">
        <f aca="false">N5201</f>
        <v>4451.99723584</v>
      </c>
      <c r="S5201" s="41" t="n">
        <f aca="false">R5201</f>
        <v>4451.99723584</v>
      </c>
    </row>
    <row r="5202" customFormat="false" ht="15" hidden="false" customHeight="false" outlineLevel="0" collapsed="false">
      <c r="A5202" s="4" t="s">
        <v>489</v>
      </c>
      <c r="B5202" s="36" t="s">
        <v>485</v>
      </c>
      <c r="C5202" s="39" t="n">
        <f aca="false">$C$5172*C5192*C5195+$C$5176*C5193*C5196+$C$5180*C5194*C5197</f>
        <v>551.88772352</v>
      </c>
      <c r="D5202" s="39" t="n">
        <f aca="false">$C$5172*D5192*D5195+$C$5176*D5193*D5196+$C$5180*D5194*D5197</f>
        <v>1027.17879437302</v>
      </c>
      <c r="E5202" s="39" t="n">
        <f aca="false">$C$5172*E5192*E5195+$C$5176*E5193*E5196+$C$5180*E5194*E5197</f>
        <v>955.897577210165</v>
      </c>
      <c r="F5202" s="39" t="n">
        <f aca="false">$C$5172*F5192*F5195+$C$5176*F5193*F5196+$C$5180*F5194*F5197</f>
        <v>889.562930155704</v>
      </c>
      <c r="G5202" s="39" t="n">
        <f aca="false">$C$5172*G5192*G5195+$C$5176*G5193*G5196+$C$5180*G5194*G5197</f>
        <v>1217.55564</v>
      </c>
      <c r="H5202" s="39" t="n">
        <f aca="false">$C$5172*H5192*H5195+$C$5176*H5193*H5196+$C$5180*H5194*H5197</f>
        <v>1495.74229384257</v>
      </c>
      <c r="I5202" s="39" t="n">
        <f aca="false">$C$5172*I5192*I5195+$C$5176*I5193*I5196+$C$5180*I5194*I5197</f>
        <v>2676.33188629442</v>
      </c>
      <c r="J5202" s="39" t="n">
        <f aca="false">$C$5172*J5192*J5195+$C$5176*J5193*J5196+$C$5180*J5194*J5197</f>
        <v>3685.86409192847</v>
      </c>
      <c r="K5202" s="39" t="n">
        <f aca="false">$C$5172*K5192*K5195+$C$5176*K5193*K5196+$C$5180*K5194*K5197</f>
        <v>3430.08303393858</v>
      </c>
      <c r="L5202" s="39" t="n">
        <f aca="false">$C$5172*L5192*L5195+$C$5176*L5193*L5196+$C$5180*L5194*L5197</f>
        <v>3192.05193850692</v>
      </c>
      <c r="M5202" s="39" t="n">
        <f aca="false">$C$5172*M5192*M5195+$C$5176*M5193*M5196+$C$5180*M5194*M5197</f>
        <v>2970.53904448081</v>
      </c>
      <c r="N5202" s="39" t="n">
        <f aca="false">$C$5172*N5192*N5195+$C$5176*N5193*N5196+$C$5180*N5194*N5197</f>
        <v>2764.39806894635</v>
      </c>
      <c r="P5202" s="40"/>
      <c r="Q5202" s="40"/>
      <c r="R5202" s="40"/>
      <c r="S5202" s="41"/>
    </row>
    <row r="5203" customFormat="false" ht="15" hidden="false" customHeight="false" outlineLevel="0" collapsed="false">
      <c r="A5203" s="4" t="s">
        <v>490</v>
      </c>
      <c r="B5203" s="36" t="s">
        <v>491</v>
      </c>
      <c r="C5203" s="48" t="n">
        <f aca="false">$C$5184*Assumptions!$E$20*C5191*C5202</f>
        <v>6.62265268224</v>
      </c>
      <c r="D5203" s="48" t="n">
        <f aca="false">$C$5184*Assumptions!$E$20*D5191*D5202</f>
        <v>12.3261455324762</v>
      </c>
      <c r="E5203" s="48" t="n">
        <f aca="false">$C$5184*Assumptions!$E$20*E5191*E5202</f>
        <v>11.470770926522</v>
      </c>
      <c r="F5203" s="48" t="n">
        <f aca="false">$C$5184*Assumptions!$E$20*F5191*F5202</f>
        <v>10.6747551618685</v>
      </c>
      <c r="G5203" s="48" t="n">
        <f aca="false">$C$5184*Assumptions!$E$20*G5191*G5202</f>
        <v>14.61066768</v>
      </c>
      <c r="H5203" s="48" t="n">
        <f aca="false">$C$5184*Assumptions!$E$20*H5191*H5202</f>
        <v>17.9489075261109</v>
      </c>
      <c r="I5203" s="48" t="n">
        <f aca="false">$C$5184*Assumptions!$E$20*I5191*I5202</f>
        <v>32.115982635533</v>
      </c>
      <c r="J5203" s="48" t="n">
        <f aca="false">$C$5184*Assumptions!$E$20*J5191*J5202</f>
        <v>44.2303691031417</v>
      </c>
      <c r="K5203" s="48" t="n">
        <f aca="false">$C$5184*Assumptions!$E$20*K5191*K5202</f>
        <v>41.160996407263</v>
      </c>
      <c r="L5203" s="48" t="n">
        <f aca="false">$C$5184*Assumptions!$E$20*L5191*L5202</f>
        <v>38.304623262083</v>
      </c>
      <c r="M5203" s="48" t="n">
        <f aca="false">$C$5184*Assumptions!$E$20*M5191*M5202</f>
        <v>35.6464685337698</v>
      </c>
      <c r="N5203" s="48" t="n">
        <f aca="false">$C$5184*Assumptions!$E$20*N5191*N5202</f>
        <v>33.1727768273562</v>
      </c>
      <c r="P5203" s="49" t="n">
        <f aca="false">SUM(C5203:F5203)</f>
        <v>41.0943243031066</v>
      </c>
      <c r="Q5203" s="49" t="n">
        <f aca="false">SUM(G5203:J5203)</f>
        <v>108.905926944786</v>
      </c>
      <c r="R5203" s="49" t="n">
        <f aca="false">SUM(K5203:N5203)</f>
        <v>148.284865030472</v>
      </c>
      <c r="S5203" s="50" t="n">
        <f aca="false">SUM(P5203:R5203)</f>
        <v>298.285116278364</v>
      </c>
    </row>
    <row r="5204" customFormat="false" ht="15" hidden="false" customHeight="false" outlineLevel="0" collapsed="false">
      <c r="A5204" s="4" t="s">
        <v>492</v>
      </c>
      <c r="B5204" s="36" t="s">
        <v>321</v>
      </c>
      <c r="C5204" s="48" t="n">
        <f aca="false">Assumptions!$D$111</f>
        <v>0</v>
      </c>
      <c r="D5204" s="48" t="n">
        <f aca="false">Assumptions!$E$111</f>
        <v>0</v>
      </c>
      <c r="E5204" s="48" t="n">
        <f aca="false">Assumptions!$F$111</f>
        <v>0</v>
      </c>
      <c r="F5204" s="48" t="n">
        <f aca="false">Assumptions!$G$111</f>
        <v>0</v>
      </c>
      <c r="G5204" s="48" t="n">
        <f aca="false">Assumptions!$H$111</f>
        <v>0</v>
      </c>
      <c r="H5204" s="48" t="n">
        <f aca="false">Assumptions!$I$111</f>
        <v>0</v>
      </c>
      <c r="I5204" s="48" t="n">
        <f aca="false">Assumptions!$J$111</f>
        <v>0</v>
      </c>
      <c r="J5204" s="48" t="n">
        <f aca="false">Assumptions!$K$111</f>
        <v>0</v>
      </c>
      <c r="K5204" s="48" t="n">
        <f aca="false">Assumptions!$L$111</f>
        <v>0</v>
      </c>
      <c r="L5204" s="48" t="n">
        <f aca="false">Assumptions!$M$111</f>
        <v>0</v>
      </c>
      <c r="M5204" s="48" t="n">
        <f aca="false">Assumptions!$N$111</f>
        <v>0</v>
      </c>
      <c r="N5204" s="48" t="n">
        <f aca="false">Assumptions!$O$111</f>
        <v>0</v>
      </c>
      <c r="P5204" s="49" t="n">
        <f aca="false">F5204</f>
        <v>0</v>
      </c>
      <c r="Q5204" s="49" t="n">
        <f aca="false">J5204</f>
        <v>0</v>
      </c>
      <c r="R5204" s="49" t="n">
        <f aca="false">N5204</f>
        <v>0</v>
      </c>
      <c r="S5204" s="50" t="n">
        <f aca="false">R5204</f>
        <v>0</v>
      </c>
    </row>
    <row r="5205" customFormat="false" ht="15" hidden="false" customHeight="false" outlineLevel="0" collapsed="false">
      <c r="A5205" s="4" t="s">
        <v>493</v>
      </c>
      <c r="B5205" s="36" t="s">
        <v>321</v>
      </c>
      <c r="C5205" s="48" t="n">
        <f aca="false">0</f>
        <v>0</v>
      </c>
      <c r="D5205" s="48" t="n">
        <f aca="false">0.5*C5204</f>
        <v>0</v>
      </c>
      <c r="E5205" s="48" t="n">
        <f aca="false">C5204+0.5*(D5204-C5204)</f>
        <v>0</v>
      </c>
      <c r="F5205" s="48" t="n">
        <f aca="false">D5204+0.5*(E5204-D5204)</f>
        <v>0</v>
      </c>
      <c r="G5205" s="48" t="n">
        <f aca="false">E5204+0.5*(F5204-E5204)</f>
        <v>0</v>
      </c>
      <c r="H5205" s="48" t="n">
        <f aca="false">F5204+0.5*(G5204-F5204)</f>
        <v>0</v>
      </c>
      <c r="I5205" s="48" t="n">
        <f aca="false">G5204+0.5*(H5204-G5204)</f>
        <v>0</v>
      </c>
      <c r="J5205" s="48" t="n">
        <f aca="false">H5204+0.5*(I5204-H5204)</f>
        <v>0</v>
      </c>
      <c r="K5205" s="48" t="n">
        <f aca="false">I5204+0.5*(J5204-I5204)</f>
        <v>0</v>
      </c>
      <c r="L5205" s="48" t="n">
        <f aca="false">J5204+0.5*(K5204-J5204)</f>
        <v>0</v>
      </c>
      <c r="M5205" s="48" t="n">
        <f aca="false">K5204+0.5*(L5204-K5204)</f>
        <v>0</v>
      </c>
      <c r="N5205" s="48" t="n">
        <f aca="false">L5204+0.5*(M5204-L5204)</f>
        <v>0</v>
      </c>
      <c r="P5205" s="49" t="n">
        <f aca="false">F5205</f>
        <v>0</v>
      </c>
      <c r="Q5205" s="49" t="n">
        <f aca="false">J5205</f>
        <v>0</v>
      </c>
      <c r="R5205" s="49" t="n">
        <f aca="false">N5205</f>
        <v>0</v>
      </c>
      <c r="S5205" s="50" t="n">
        <f aca="false">R5205</f>
        <v>0</v>
      </c>
    </row>
    <row r="5206" customFormat="false" ht="15" hidden="false" customHeight="false" outlineLevel="0" collapsed="false">
      <c r="A5206" s="4" t="s">
        <v>494</v>
      </c>
      <c r="B5206" s="36" t="s">
        <v>485</v>
      </c>
      <c r="C5206" s="39" t="n">
        <f aca="false">MIN(C5205*Assumptions!$E$38,C5201*(1-$C$5184))</f>
        <v>0</v>
      </c>
      <c r="D5206" s="39" t="n">
        <f aca="false">MIN(D5205*Assumptions!$E$38,D5201*(1-$C$5184))</f>
        <v>0</v>
      </c>
      <c r="E5206" s="39" t="n">
        <f aca="false">MIN(E5205*Assumptions!$E$38,E5201*(1-$C$5184))</f>
        <v>0</v>
      </c>
      <c r="F5206" s="39" t="n">
        <f aca="false">MIN(F5205*Assumptions!$E$38,F5201*(1-$C$5184))</f>
        <v>0</v>
      </c>
      <c r="G5206" s="39" t="n">
        <f aca="false">MIN(G5205*Assumptions!$E$38,G5201*(1-$C$5184))</f>
        <v>0</v>
      </c>
      <c r="H5206" s="39" t="n">
        <f aca="false">MIN(H5205*Assumptions!$E$38,H5201*(1-$C$5184))</f>
        <v>0</v>
      </c>
      <c r="I5206" s="39" t="n">
        <f aca="false">MIN(I5205*Assumptions!$E$38,I5201*(1-$C$5184))</f>
        <v>0</v>
      </c>
      <c r="J5206" s="39" t="n">
        <f aca="false">MIN(J5205*Assumptions!$E$38,J5201*(1-$C$5184))</f>
        <v>0</v>
      </c>
      <c r="K5206" s="39" t="n">
        <f aca="false">MIN(K5205*Assumptions!$E$38,K5201*(1-$C$5184))</f>
        <v>0</v>
      </c>
      <c r="L5206" s="39" t="n">
        <f aca="false">MIN(L5205*Assumptions!$E$38,L5201*(1-$C$5184))</f>
        <v>0</v>
      </c>
      <c r="M5206" s="39" t="n">
        <f aca="false">MIN(M5205*Assumptions!$E$38,M5201*(1-$C$5184))</f>
        <v>0</v>
      </c>
      <c r="N5206" s="39" t="n">
        <f aca="false">MIN(N5205*Assumptions!$E$38,N5201*(1-$C$5184))</f>
        <v>0</v>
      </c>
      <c r="P5206" s="40" t="n">
        <f aca="false">SUM(C5206:F5206)</f>
        <v>0</v>
      </c>
      <c r="Q5206" s="40" t="n">
        <f aca="false">SUM(G5206:J5206)</f>
        <v>0</v>
      </c>
      <c r="R5206" s="40" t="n">
        <f aca="false">SUM(K5206:N5206)</f>
        <v>0</v>
      </c>
      <c r="S5206" s="41" t="n">
        <f aca="false">SUM(P5206:R5206)</f>
        <v>0</v>
      </c>
    </row>
    <row r="5207" customFormat="false" ht="15" hidden="false" customHeight="false" outlineLevel="0" collapsed="false">
      <c r="A5207" s="4" t="s">
        <v>495</v>
      </c>
      <c r="B5207" s="36" t="s">
        <v>491</v>
      </c>
      <c r="C5207" s="48" t="n">
        <f aca="false">C5206*Assumptions!$E$20*Assumptions!$E$39*IF(C5201&gt;0,C5202/C5201,0)*C5191</f>
        <v>0</v>
      </c>
      <c r="D5207" s="48" t="n">
        <f aca="false">D5206*Assumptions!$E$20*Assumptions!$E$39*IF(D5201&gt;0,D5202/D5201,0)*D5191</f>
        <v>0</v>
      </c>
      <c r="E5207" s="48" t="n">
        <f aca="false">E5206*Assumptions!$E$20*Assumptions!$E$39*IF(E5201&gt;0,E5202/E5201,0)*E5191</f>
        <v>0</v>
      </c>
      <c r="F5207" s="48" t="n">
        <f aca="false">F5206*Assumptions!$E$20*Assumptions!$E$39*IF(F5201&gt;0,F5202/F5201,0)*F5191</f>
        <v>0</v>
      </c>
      <c r="G5207" s="48" t="n">
        <f aca="false">G5206*Assumptions!$E$20*Assumptions!$E$39*IF(G5201&gt;0,G5202/G5201,0)*G5191</f>
        <v>0</v>
      </c>
      <c r="H5207" s="48" t="n">
        <f aca="false">H5206*Assumptions!$E$20*Assumptions!$E$39*IF(H5201&gt;0,H5202/H5201,0)*H5191</f>
        <v>0</v>
      </c>
      <c r="I5207" s="48" t="n">
        <f aca="false">I5206*Assumptions!$E$20*Assumptions!$E$39*IF(I5201&gt;0,I5202/I5201,0)*I5191</f>
        <v>0</v>
      </c>
      <c r="J5207" s="48" t="n">
        <f aca="false">J5206*Assumptions!$E$20*Assumptions!$E$39*IF(J5201&gt;0,J5202/J5201,0)*J5191</f>
        <v>0</v>
      </c>
      <c r="K5207" s="48" t="n">
        <f aca="false">K5206*Assumptions!$E$20*Assumptions!$E$39*IF(K5201&gt;0,K5202/K5201,0)*K5191</f>
        <v>0</v>
      </c>
      <c r="L5207" s="48" t="n">
        <f aca="false">L5206*Assumptions!$E$20*Assumptions!$E$39*IF(L5201&gt;0,L5202/L5201,0)*L5191</f>
        <v>0</v>
      </c>
      <c r="M5207" s="48" t="n">
        <f aca="false">M5206*Assumptions!$E$20*Assumptions!$E$39*IF(M5201&gt;0,M5202/M5201,0)*M5191</f>
        <v>0</v>
      </c>
      <c r="N5207" s="48" t="n">
        <f aca="false">N5206*Assumptions!$E$20*Assumptions!$E$39*IF(N5201&gt;0,N5202/N5201,0)*N5191</f>
        <v>0</v>
      </c>
      <c r="P5207" s="49" t="n">
        <f aca="false">SUM(C5207:F5207)</f>
        <v>0</v>
      </c>
      <c r="Q5207" s="49" t="n">
        <f aca="false">SUM(G5207:J5207)</f>
        <v>0</v>
      </c>
      <c r="R5207" s="49" t="n">
        <f aca="false">SUM(K5207:N5207)</f>
        <v>0</v>
      </c>
      <c r="S5207" s="50" t="n">
        <f aca="false">SUM(P5207:R5207)</f>
        <v>0</v>
      </c>
    </row>
    <row r="5208" customFormat="false" ht="15" hidden="false" customHeight="false" outlineLevel="0" collapsed="false">
      <c r="A5208" s="4" t="s">
        <v>496</v>
      </c>
      <c r="B5208" s="36" t="s">
        <v>497</v>
      </c>
      <c r="C5208" s="48" t="n">
        <f aca="false">IF(AND(C5201&gt;0,$C$5188&gt;0),C5201*Assumptions!$E$24*(1-EXP(-$C$5188/(Assumptions!$E$23*C5201*Assumptions!$E$24))),0)</f>
        <v>0</v>
      </c>
      <c r="D5208" s="48" t="n">
        <f aca="false">IF(AND(D5201&gt;0,$C$5188&gt;0),D5201*Assumptions!$E$24*(1-EXP(-$C$5188/(Assumptions!$E$23*D5201*Assumptions!$E$24))),0)</f>
        <v>0</v>
      </c>
      <c r="E5208" s="48" t="n">
        <f aca="false">IF(AND(E5201&gt;0,$C$5188&gt;0),E5201*Assumptions!$E$24*(1-EXP(-$C$5188/(Assumptions!$E$23*E5201*Assumptions!$E$24))),0)</f>
        <v>0</v>
      </c>
      <c r="F5208" s="48" t="n">
        <f aca="false">IF(AND(F5201&gt;0,$C$5188&gt;0),F5201*Assumptions!$E$24*(1-EXP(-$C$5188/(Assumptions!$E$23*F5201*Assumptions!$E$24))),0)</f>
        <v>0</v>
      </c>
      <c r="G5208" s="48" t="n">
        <f aca="false">IF(AND(G5201&gt;0,$C$5188&gt;0),G5201*Assumptions!$E$24*(1-EXP(-$C$5188/(Assumptions!$E$23*G5201*Assumptions!$E$24))),0)</f>
        <v>0</v>
      </c>
      <c r="H5208" s="48" t="n">
        <f aca="false">IF(AND(H5201&gt;0,$C$5188&gt;0),H5201*Assumptions!$E$24*(1-EXP(-$C$5188/(Assumptions!$E$23*H5201*Assumptions!$E$24))),0)</f>
        <v>0</v>
      </c>
      <c r="I5208" s="48" t="n">
        <f aca="false">IF(AND(I5201&gt;0,$C$5188&gt;0),I5201*Assumptions!$E$24*(1-EXP(-$C$5188/(Assumptions!$E$23*I5201*Assumptions!$E$24))),0)</f>
        <v>0</v>
      </c>
      <c r="J5208" s="48" t="n">
        <f aca="false">IF(AND(J5201&gt;0,$C$5188&gt;0),J5201*Assumptions!$E$24*(1-EXP(-$C$5188/(Assumptions!$E$23*J5201*Assumptions!$E$24))),0)</f>
        <v>0</v>
      </c>
      <c r="K5208" s="48" t="n">
        <f aca="false">IF(AND(K5201&gt;0,$C$5188&gt;0),K5201*Assumptions!$E$24*(1-EXP(-$C$5188/(Assumptions!$E$23*K5201*Assumptions!$E$24))),0)</f>
        <v>0</v>
      </c>
      <c r="L5208" s="48" t="n">
        <f aca="false">IF(AND(L5201&gt;0,$C$5188&gt;0),L5201*Assumptions!$E$24*(1-EXP(-$C$5188/(Assumptions!$E$23*L5201*Assumptions!$E$24))),0)</f>
        <v>0</v>
      </c>
      <c r="M5208" s="48" t="n">
        <f aca="false">IF(AND(M5201&gt;0,$C$5188&gt;0),M5201*Assumptions!$E$24*(1-EXP(-$C$5188/(Assumptions!$E$23*M5201*Assumptions!$E$24))),0)</f>
        <v>0</v>
      </c>
      <c r="N5208" s="48" t="n">
        <f aca="false">IF(AND(N5201&gt;0,$C$5188&gt;0),N5201*Assumptions!$E$24*(1-EXP(-$C$5188/(Assumptions!$E$23*N5201*Assumptions!$E$24))),0)</f>
        <v>0</v>
      </c>
      <c r="P5208" s="49" t="n">
        <f aca="false">SUM(C5208:F5208)</f>
        <v>0</v>
      </c>
      <c r="Q5208" s="49" t="n">
        <f aca="false">SUM(G5208:J5208)</f>
        <v>0</v>
      </c>
      <c r="R5208" s="49" t="n">
        <f aca="false">SUM(K5208:N5208)</f>
        <v>0</v>
      </c>
      <c r="S5208" s="50" t="n">
        <f aca="false">SUM(P5208:R5208)</f>
        <v>0</v>
      </c>
    </row>
    <row r="5209" customFormat="false" ht="15" hidden="false" customHeight="false" outlineLevel="0" collapsed="false">
      <c r="A5209" s="4" t="s">
        <v>498</v>
      </c>
      <c r="B5209" s="36" t="s">
        <v>497</v>
      </c>
      <c r="C5209" s="48" t="n">
        <f aca="false">(C5201*Assumptions!$E$22*MIN(1,Assumptions!$D$103/Assumptions!$E$78)+C5208)*C5191</f>
        <v>5.5188772352</v>
      </c>
      <c r="D5209" s="48" t="n">
        <f aca="false">(D5201*Assumptions!$E$22*MIN(1,Assumptions!$D$103/Assumptions!$E$78)+D5208)*D5191</f>
        <v>11.0377544704</v>
      </c>
      <c r="E5209" s="48" t="n">
        <f aca="false">(E5201*Assumptions!$E$22*MIN(1,Assumptions!$D$103/Assumptions!$E$78)+E5208)*E5191</f>
        <v>11.0377544704</v>
      </c>
      <c r="F5209" s="48" t="n">
        <f aca="false">(F5201*Assumptions!$E$22*MIN(1,Assumptions!$D$103/Assumptions!$E$78)+F5208)*F5191</f>
        <v>11.0377544704</v>
      </c>
      <c r="G5209" s="48" t="n">
        <f aca="false">(G5201*Assumptions!$E$22*MIN(1,Assumptions!$D$103/Assumptions!$E$78)+G5208)*G5191</f>
        <v>14.9349950176</v>
      </c>
      <c r="H5209" s="48" t="n">
        <f aca="false">(H5201*Assumptions!$E$22*MIN(1,Assumptions!$D$103/Assumptions!$E$78)+H5208)*H5191</f>
        <v>18.8322355648</v>
      </c>
      <c r="I5209" s="48" t="n">
        <f aca="false">(I5201*Assumptions!$E$22*MIN(1,Assumptions!$D$103/Assumptions!$E$78)+I5208)*I5191</f>
        <v>31.6761039616</v>
      </c>
      <c r="J5209" s="48" t="n">
        <f aca="false">(J5201*Assumptions!$E$22*MIN(1,Assumptions!$D$103/Assumptions!$E$78)+J5208)*J5191</f>
        <v>44.5199723584</v>
      </c>
      <c r="K5209" s="48" t="n">
        <f aca="false">(K5201*Assumptions!$E$22*MIN(1,Assumptions!$D$103/Assumptions!$E$78)+K5208)*K5191</f>
        <v>44.5199723584</v>
      </c>
      <c r="L5209" s="48" t="n">
        <f aca="false">(L5201*Assumptions!$E$22*MIN(1,Assumptions!$D$103/Assumptions!$E$78)+L5208)*L5191</f>
        <v>44.5199723584</v>
      </c>
      <c r="M5209" s="48" t="n">
        <f aca="false">(M5201*Assumptions!$E$22*MIN(1,Assumptions!$D$103/Assumptions!$E$78)+M5208)*M5191</f>
        <v>44.5199723584</v>
      </c>
      <c r="N5209" s="48" t="n">
        <f aca="false">(N5201*Assumptions!$E$22*MIN(1,Assumptions!$D$103/Assumptions!$E$78)+N5208)*N5191</f>
        <v>44.5199723584</v>
      </c>
      <c r="P5209" s="49" t="n">
        <f aca="false">SUM(C5209:F5209)</f>
        <v>38.6321406464</v>
      </c>
      <c r="Q5209" s="49" t="n">
        <f aca="false">SUM(G5209:J5209)</f>
        <v>109.9633069024</v>
      </c>
      <c r="R5209" s="49" t="n">
        <f aca="false">SUM(K5209:N5209)</f>
        <v>178.0798894336</v>
      </c>
      <c r="S5209" s="50" t="n">
        <f aca="false">SUM(P5209:R5209)</f>
        <v>326.6753369824</v>
      </c>
    </row>
    <row r="5210" customFormat="false" ht="15" hidden="false" customHeight="false" outlineLevel="0" collapsed="false">
      <c r="A5210" s="4" t="s">
        <v>499</v>
      </c>
      <c r="B5210" s="36" t="s">
        <v>500</v>
      </c>
      <c r="C5210" s="48" t="n">
        <f aca="false">C5191*MIN(Assumptions!$E$27,Assumptions!$E$25+Assumptions!$E$26*(C5190-1))*Assumptions!$D$107</f>
        <v>2</v>
      </c>
      <c r="D5210" s="48" t="n">
        <f aca="false">D5191*MIN(Assumptions!$E$27,Assumptions!$E$25+Assumptions!$E$26*(D5190-1))*Assumptions!$D$107</f>
        <v>3</v>
      </c>
      <c r="E5210" s="48" t="n">
        <f aca="false">E5191*MIN(Assumptions!$E$27,Assumptions!$E$25+Assumptions!$E$26*(E5190-1))*Assumptions!$D$107</f>
        <v>4</v>
      </c>
      <c r="F5210" s="48" t="n">
        <f aca="false">F5191*MIN(Assumptions!$E$27,Assumptions!$E$25+Assumptions!$E$26*(F5190-1))*Assumptions!$D$107</f>
        <v>5</v>
      </c>
      <c r="G5210" s="48" t="n">
        <f aca="false">G5191*MIN(Assumptions!$E$27,Assumptions!$E$25+Assumptions!$E$26*(G5190-1))*Assumptions!$D$107</f>
        <v>6</v>
      </c>
      <c r="H5210" s="48" t="n">
        <f aca="false">H5191*MIN(Assumptions!$E$27,Assumptions!$E$25+Assumptions!$E$26*(H5190-1))*Assumptions!$D$107</f>
        <v>7</v>
      </c>
      <c r="I5210" s="48" t="n">
        <f aca="false">I5191*MIN(Assumptions!$E$27,Assumptions!$E$25+Assumptions!$E$26*(I5190-1))*Assumptions!$D$107</f>
        <v>8</v>
      </c>
      <c r="J5210" s="48" t="n">
        <f aca="false">J5191*MIN(Assumptions!$E$27,Assumptions!$E$25+Assumptions!$E$26*(J5190-1))*Assumptions!$D$107</f>
        <v>9</v>
      </c>
      <c r="K5210" s="48" t="n">
        <f aca="false">K5191*MIN(Assumptions!$E$27,Assumptions!$E$25+Assumptions!$E$26*(K5190-1))*Assumptions!$D$107</f>
        <v>10</v>
      </c>
      <c r="L5210" s="48" t="n">
        <f aca="false">L5191*MIN(Assumptions!$E$27,Assumptions!$E$25+Assumptions!$E$26*(L5190-1))*Assumptions!$D$107</f>
        <v>10</v>
      </c>
      <c r="M5210" s="48" t="n">
        <f aca="false">M5191*MIN(Assumptions!$E$27,Assumptions!$E$25+Assumptions!$E$26*(M5190-1))*Assumptions!$D$107</f>
        <v>10</v>
      </c>
      <c r="N5210" s="48" t="n">
        <f aca="false">N5191*MIN(Assumptions!$E$27,Assumptions!$E$25+Assumptions!$E$26*(N5190-1))*Assumptions!$D$107</f>
        <v>10</v>
      </c>
      <c r="P5210" s="49" t="n">
        <f aca="false">F5210</f>
        <v>5</v>
      </c>
      <c r="Q5210" s="49" t="n">
        <f aca="false">J5210</f>
        <v>9</v>
      </c>
      <c r="R5210" s="49" t="n">
        <f aca="false">N5210</f>
        <v>10</v>
      </c>
      <c r="S5210" s="50" t="n">
        <f aca="false">R5210</f>
        <v>10</v>
      </c>
    </row>
    <row r="5211" customFormat="false" ht="15" hidden="false" customHeight="false" outlineLevel="0" collapsed="false">
      <c r="A5211" s="4" t="s">
        <v>501</v>
      </c>
      <c r="B5211" s="36" t="s">
        <v>502</v>
      </c>
      <c r="C5211" s="48" t="n">
        <f aca="false">C5210*Assumptions!$E$28</f>
        <v>6</v>
      </c>
      <c r="D5211" s="48" t="n">
        <f aca="false">D5210*Assumptions!$E$28</f>
        <v>9</v>
      </c>
      <c r="E5211" s="48" t="n">
        <f aca="false">E5210*Assumptions!$E$28</f>
        <v>12</v>
      </c>
      <c r="F5211" s="48" t="n">
        <f aca="false">F5210*Assumptions!$E$28</f>
        <v>15</v>
      </c>
      <c r="G5211" s="48" t="n">
        <f aca="false">G5210*Assumptions!$E$28</f>
        <v>18</v>
      </c>
      <c r="H5211" s="48" t="n">
        <f aca="false">H5210*Assumptions!$E$28</f>
        <v>21</v>
      </c>
      <c r="I5211" s="48" t="n">
        <f aca="false">I5210*Assumptions!$E$28</f>
        <v>24</v>
      </c>
      <c r="J5211" s="48" t="n">
        <f aca="false">J5210*Assumptions!$E$28</f>
        <v>27</v>
      </c>
      <c r="K5211" s="48" t="n">
        <f aca="false">K5210*Assumptions!$E$28</f>
        <v>30</v>
      </c>
      <c r="L5211" s="48" t="n">
        <f aca="false">L5210*Assumptions!$E$28</f>
        <v>30</v>
      </c>
      <c r="M5211" s="48" t="n">
        <f aca="false">M5210*Assumptions!$E$28</f>
        <v>30</v>
      </c>
      <c r="N5211" s="48" t="n">
        <f aca="false">N5210*Assumptions!$E$28</f>
        <v>30</v>
      </c>
      <c r="P5211" s="49" t="n">
        <f aca="false">SUM(C5211:F5211)</f>
        <v>42</v>
      </c>
      <c r="Q5211" s="49" t="n">
        <f aca="false">SUM(G5211:J5211)</f>
        <v>90</v>
      </c>
      <c r="R5211" s="49" t="n">
        <f aca="false">SUM(K5211:N5211)</f>
        <v>120</v>
      </c>
      <c r="S5211" s="50" t="n">
        <f aca="false">SUM(P5211:R5211)</f>
        <v>252</v>
      </c>
    </row>
    <row r="5212" customFormat="false" ht="15" hidden="false" customHeight="false" outlineLevel="0" collapsed="false">
      <c r="A5212" s="4" t="s">
        <v>503</v>
      </c>
      <c r="B5212" s="36" t="s">
        <v>504</v>
      </c>
      <c r="C5212" s="48" t="n">
        <f aca="false">(C5203+C5207)*Assumptions!$E$29</f>
        <v>2.649061072896</v>
      </c>
      <c r="D5212" s="48" t="n">
        <f aca="false">(D5203+D5207)*Assumptions!$E$29</f>
        <v>4.93045821299048</v>
      </c>
      <c r="E5212" s="48" t="n">
        <f aca="false">(E5203+E5207)*Assumptions!$E$29</f>
        <v>4.58830837060879</v>
      </c>
      <c r="F5212" s="48" t="n">
        <f aca="false">(F5203+F5207)*Assumptions!$E$29</f>
        <v>4.26990206474738</v>
      </c>
      <c r="G5212" s="48" t="n">
        <f aca="false">(G5203+G5207)*Assumptions!$E$29</f>
        <v>5.844267072</v>
      </c>
      <c r="H5212" s="48" t="n">
        <f aca="false">(H5203+H5207)*Assumptions!$E$29</f>
        <v>7.17956301044434</v>
      </c>
      <c r="I5212" s="48" t="n">
        <f aca="false">(I5203+I5207)*Assumptions!$E$29</f>
        <v>12.8463930542132</v>
      </c>
      <c r="J5212" s="48" t="n">
        <f aca="false">(J5203+J5207)*Assumptions!$E$29</f>
        <v>17.6921476412567</v>
      </c>
      <c r="K5212" s="48" t="n">
        <f aca="false">(K5203+K5207)*Assumptions!$E$29</f>
        <v>16.4643985629052</v>
      </c>
      <c r="L5212" s="48" t="n">
        <f aca="false">(L5203+L5207)*Assumptions!$E$29</f>
        <v>15.3218493048332</v>
      </c>
      <c r="M5212" s="48" t="n">
        <f aca="false">(M5203+M5207)*Assumptions!$E$29</f>
        <v>14.2585874135079</v>
      </c>
      <c r="N5212" s="48" t="n">
        <f aca="false">(N5203+N5207)*Assumptions!$E$29</f>
        <v>13.2691107309425</v>
      </c>
      <c r="P5212" s="49" t="n">
        <f aca="false">SUM(C5212:F5212)</f>
        <v>16.4377297212427</v>
      </c>
      <c r="Q5212" s="49" t="n">
        <f aca="false">SUM(G5212:J5212)</f>
        <v>43.5623707779142</v>
      </c>
      <c r="R5212" s="49" t="n">
        <f aca="false">SUM(K5212:N5212)</f>
        <v>59.3139460121888</v>
      </c>
      <c r="S5212" s="50" t="n">
        <f aca="false">SUM(P5212:R5212)</f>
        <v>119.314046511346</v>
      </c>
    </row>
    <row r="5213" customFormat="false" ht="15" hidden="false" customHeight="false" outlineLevel="0" collapsed="false">
      <c r="A5213" s="4" t="s">
        <v>505</v>
      </c>
      <c r="B5213" s="36" t="s">
        <v>504</v>
      </c>
      <c r="C5213" s="48" t="n">
        <f aca="false">C5209*Assumptions!$E$31</f>
        <v>0.883020357632</v>
      </c>
      <c r="D5213" s="48" t="n">
        <f aca="false">D5209*Assumptions!$E$31</f>
        <v>1.766040715264</v>
      </c>
      <c r="E5213" s="48" t="n">
        <f aca="false">E5209*Assumptions!$E$31</f>
        <v>1.766040715264</v>
      </c>
      <c r="F5213" s="48" t="n">
        <f aca="false">F5209*Assumptions!$E$31</f>
        <v>1.766040715264</v>
      </c>
      <c r="G5213" s="48" t="n">
        <f aca="false">G5209*Assumptions!$E$31</f>
        <v>2.389599202816</v>
      </c>
      <c r="H5213" s="48" t="n">
        <f aca="false">H5209*Assumptions!$E$31</f>
        <v>3.013157690368</v>
      </c>
      <c r="I5213" s="48" t="n">
        <f aca="false">I5209*Assumptions!$E$31</f>
        <v>5.068176633856</v>
      </c>
      <c r="J5213" s="48" t="n">
        <f aca="false">J5209*Assumptions!$E$31</f>
        <v>7.123195577344</v>
      </c>
      <c r="K5213" s="48" t="n">
        <f aca="false">K5209*Assumptions!$E$31</f>
        <v>7.123195577344</v>
      </c>
      <c r="L5213" s="48" t="n">
        <f aca="false">L5209*Assumptions!$E$31</f>
        <v>7.123195577344</v>
      </c>
      <c r="M5213" s="48" t="n">
        <f aca="false">M5209*Assumptions!$E$31</f>
        <v>7.123195577344</v>
      </c>
      <c r="N5213" s="48" t="n">
        <f aca="false">N5209*Assumptions!$E$31</f>
        <v>7.123195577344</v>
      </c>
      <c r="P5213" s="49" t="n">
        <f aca="false">SUM(C5213:F5213)</f>
        <v>6.181142503424</v>
      </c>
      <c r="Q5213" s="49" t="n">
        <f aca="false">SUM(G5213:J5213)</f>
        <v>17.594129104384</v>
      </c>
      <c r="R5213" s="49" t="n">
        <f aca="false">SUM(K5213:N5213)</f>
        <v>28.492782309376</v>
      </c>
      <c r="S5213" s="50" t="n">
        <f aca="false">SUM(P5213:R5213)</f>
        <v>52.268053917184</v>
      </c>
    </row>
    <row r="5214" customFormat="false" ht="15" hidden="false" customHeight="false" outlineLevel="0" collapsed="false">
      <c r="A5214" s="4" t="s">
        <v>506</v>
      </c>
      <c r="B5214" s="36" t="s">
        <v>504</v>
      </c>
      <c r="C5214" s="48" t="n">
        <f aca="false">C5211*Assumptions!$E$30</f>
        <v>3</v>
      </c>
      <c r="D5214" s="48" t="n">
        <f aca="false">D5211*Assumptions!$E$30</f>
        <v>4.5</v>
      </c>
      <c r="E5214" s="48" t="n">
        <f aca="false">E5211*Assumptions!$E$30</f>
        <v>6</v>
      </c>
      <c r="F5214" s="48" t="n">
        <f aca="false">F5211*Assumptions!$E$30</f>
        <v>7.5</v>
      </c>
      <c r="G5214" s="48" t="n">
        <f aca="false">G5211*Assumptions!$E$30</f>
        <v>9</v>
      </c>
      <c r="H5214" s="48" t="n">
        <f aca="false">H5211*Assumptions!$E$30</f>
        <v>10.5</v>
      </c>
      <c r="I5214" s="48" t="n">
        <f aca="false">I5211*Assumptions!$E$30</f>
        <v>12</v>
      </c>
      <c r="J5214" s="48" t="n">
        <f aca="false">J5211*Assumptions!$E$30</f>
        <v>13.5</v>
      </c>
      <c r="K5214" s="48" t="n">
        <f aca="false">K5211*Assumptions!$E$30</f>
        <v>15</v>
      </c>
      <c r="L5214" s="48" t="n">
        <f aca="false">L5211*Assumptions!$E$30</f>
        <v>15</v>
      </c>
      <c r="M5214" s="48" t="n">
        <f aca="false">M5211*Assumptions!$E$30</f>
        <v>15</v>
      </c>
      <c r="N5214" s="48" t="n">
        <f aca="false">N5211*Assumptions!$E$30</f>
        <v>15</v>
      </c>
      <c r="P5214" s="49" t="n">
        <f aca="false">SUM(C5214:F5214)</f>
        <v>21</v>
      </c>
      <c r="Q5214" s="49" t="n">
        <f aca="false">SUM(G5214:J5214)</f>
        <v>45</v>
      </c>
      <c r="R5214" s="49" t="n">
        <f aca="false">SUM(K5214:N5214)</f>
        <v>60</v>
      </c>
      <c r="S5214" s="50" t="n">
        <f aca="false">SUM(P5214:R5214)</f>
        <v>126</v>
      </c>
    </row>
    <row r="5215" customFormat="false" ht="15" hidden="false" customHeight="false" outlineLevel="0" collapsed="false">
      <c r="A5215" s="9" t="s">
        <v>507</v>
      </c>
      <c r="B5215" s="36" t="s">
        <v>504</v>
      </c>
      <c r="C5215" s="49" t="n">
        <f aca="false">C5212+C5213+C5214</f>
        <v>6.532081430528</v>
      </c>
      <c r="D5215" s="49" t="n">
        <f aca="false">D5212+D5213+D5214</f>
        <v>11.1964989282545</v>
      </c>
      <c r="E5215" s="49" t="n">
        <f aca="false">E5212+E5213+E5214</f>
        <v>12.3543490858728</v>
      </c>
      <c r="F5215" s="49" t="n">
        <f aca="false">F5212+F5213+F5214</f>
        <v>13.5359427800114</v>
      </c>
      <c r="G5215" s="49" t="n">
        <f aca="false">G5212+G5213+G5214</f>
        <v>17.233866274816</v>
      </c>
      <c r="H5215" s="49" t="n">
        <f aca="false">H5212+H5213+H5214</f>
        <v>20.6927207008123</v>
      </c>
      <c r="I5215" s="49" t="n">
        <f aca="false">I5212+I5213+I5214</f>
        <v>29.9145696880692</v>
      </c>
      <c r="J5215" s="49" t="n">
        <f aca="false">J5212+J5213+J5214</f>
        <v>38.3153432186007</v>
      </c>
      <c r="K5215" s="49" t="n">
        <f aca="false">K5212+K5213+K5214</f>
        <v>38.5875941402492</v>
      </c>
      <c r="L5215" s="49" t="n">
        <f aca="false">L5212+L5213+L5214</f>
        <v>37.4450448821772</v>
      </c>
      <c r="M5215" s="49" t="n">
        <f aca="false">M5212+M5213+M5214</f>
        <v>36.3817829908519</v>
      </c>
      <c r="N5215" s="49" t="n">
        <f aca="false">N5212+N5213+N5214</f>
        <v>35.3923063082865</v>
      </c>
      <c r="P5215" s="49" t="n">
        <f aca="false">SUM(C5215:F5215)</f>
        <v>43.6188722246667</v>
      </c>
      <c r="Q5215" s="49" t="n">
        <f aca="false">SUM(G5215:J5215)</f>
        <v>106.156499882298</v>
      </c>
      <c r="R5215" s="49" t="n">
        <f aca="false">SUM(K5215:N5215)</f>
        <v>147.806728321565</v>
      </c>
      <c r="S5215" s="50" t="n">
        <f aca="false">SUM(P5215:R5215)</f>
        <v>297.58210042853</v>
      </c>
    </row>
    <row r="5216" customFormat="false" ht="15" hidden="false" customHeight="false" outlineLevel="0" collapsed="false">
      <c r="A5216" s="4" t="s">
        <v>508</v>
      </c>
      <c r="B5216" s="36" t="s">
        <v>509</v>
      </c>
      <c r="C5216" s="48" t="n">
        <f aca="false">C5198</f>
        <v>421.51972352</v>
      </c>
      <c r="D5216" s="48" t="n">
        <f aca="false">D5198</f>
        <v>843.03944704</v>
      </c>
      <c r="E5216" s="48" t="n">
        <f aca="false">E5198</f>
        <v>843.03944704</v>
      </c>
      <c r="F5216" s="48" t="n">
        <f aca="false">F5198</f>
        <v>843.03944704</v>
      </c>
      <c r="G5216" s="48" t="n">
        <f aca="false">G5198</f>
        <v>1149.32798176</v>
      </c>
      <c r="H5216" s="48" t="n">
        <f aca="false">H5198</f>
        <v>1455.61651648</v>
      </c>
      <c r="I5216" s="48" t="n">
        <f aca="false">I5198</f>
        <v>2486.00303616</v>
      </c>
      <c r="J5216" s="48" t="n">
        <f aca="false">J5198</f>
        <v>3516.38955584</v>
      </c>
      <c r="K5216" s="48" t="n">
        <f aca="false">K5198</f>
        <v>3516.38955584</v>
      </c>
      <c r="L5216" s="48" t="n">
        <f aca="false">L5198</f>
        <v>3516.38955584</v>
      </c>
      <c r="M5216" s="48" t="n">
        <f aca="false">M5198</f>
        <v>3516.38955584</v>
      </c>
      <c r="N5216" s="48" t="n">
        <f aca="false">N5198</f>
        <v>3516.38955584</v>
      </c>
      <c r="P5216" s="49"/>
      <c r="Q5216" s="49"/>
      <c r="R5216" s="49"/>
      <c r="S5216" s="50"/>
    </row>
    <row r="5217" customFormat="false" ht="15" hidden="false" customHeight="false" outlineLevel="0" collapsed="false">
      <c r="A5217" s="4" t="s">
        <v>510</v>
      </c>
      <c r="B5217" s="36" t="s">
        <v>509</v>
      </c>
      <c r="C5217" s="48" t="n">
        <f aca="false">C5199*Assumptions!$E$18*Assumptions!$E$33</f>
        <v>211.19616</v>
      </c>
      <c r="D5217" s="48" t="n">
        <f aca="false">D5199*Assumptions!$E$18*Assumptions!$E$33</f>
        <v>422.39232</v>
      </c>
      <c r="E5217" s="48" t="n">
        <f aca="false">E5199*Assumptions!$E$18*Assumptions!$E$33</f>
        <v>422.39232</v>
      </c>
      <c r="F5217" s="48" t="n">
        <f aca="false">F5199*Assumptions!$E$18*Assumptions!$E$33</f>
        <v>422.39232</v>
      </c>
      <c r="G5217" s="48" t="n">
        <f aca="false">G5199*Assumptions!$E$18*Assumptions!$E$33</f>
        <v>564.49344</v>
      </c>
      <c r="H5217" s="48" t="n">
        <f aca="false">H5199*Assumptions!$E$18*Assumptions!$E$33</f>
        <v>706.59456</v>
      </c>
      <c r="I5217" s="48" t="n">
        <f aca="false">I5199*Assumptions!$E$18*Assumptions!$E$33</f>
        <v>1135.07072</v>
      </c>
      <c r="J5217" s="48" t="n">
        <f aca="false">J5199*Assumptions!$E$18*Assumptions!$E$33</f>
        <v>1563.54688</v>
      </c>
      <c r="K5217" s="48" t="n">
        <f aca="false">K5199*Assumptions!$E$18*Assumptions!$E$33</f>
        <v>1563.54688</v>
      </c>
      <c r="L5217" s="48" t="n">
        <f aca="false">L5199*Assumptions!$E$18*Assumptions!$E$33</f>
        <v>1563.54688</v>
      </c>
      <c r="M5217" s="48" t="n">
        <f aca="false">M5199*Assumptions!$E$18*Assumptions!$E$33</f>
        <v>1563.54688</v>
      </c>
      <c r="N5217" s="48" t="n">
        <f aca="false">N5199*Assumptions!$E$18*Assumptions!$E$33</f>
        <v>1563.54688</v>
      </c>
      <c r="P5217" s="49"/>
      <c r="Q5217" s="49"/>
      <c r="R5217" s="49"/>
      <c r="S5217" s="50"/>
    </row>
    <row r="5218" customFormat="false" ht="15" hidden="false" customHeight="false" outlineLevel="0" collapsed="false">
      <c r="A5218" s="4" t="s">
        <v>511</v>
      </c>
      <c r="B5218" s="36" t="s">
        <v>509</v>
      </c>
      <c r="C5218" s="48" t="n">
        <f aca="false">C5200*Assumptions!$E$19*Assumptions!$F$34</f>
        <v>44.585856</v>
      </c>
      <c r="D5218" s="48" t="n">
        <f aca="false">D5200*Assumptions!$E$19*Assumptions!$F$34</f>
        <v>89.171712</v>
      </c>
      <c r="E5218" s="48" t="n">
        <f aca="false">E5200*Assumptions!$E$19*Assumptions!$F$34</f>
        <v>89.171712</v>
      </c>
      <c r="F5218" s="48" t="n">
        <f aca="false">F5200*Assumptions!$E$19*Assumptions!$F$34</f>
        <v>89.171712</v>
      </c>
      <c r="G5218" s="48" t="n">
        <f aca="false">G5200*Assumptions!$E$19*Assumptions!$F$34</f>
        <v>111.46464</v>
      </c>
      <c r="H5218" s="48" t="n">
        <f aca="false">H5200*Assumptions!$E$19*Assumptions!$F$34</f>
        <v>133.757568</v>
      </c>
      <c r="I5218" s="48" t="n">
        <f aca="false">I5200*Assumptions!$E$19*Assumptions!$F$34</f>
        <v>205.3296</v>
      </c>
      <c r="J5218" s="48" t="n">
        <f aca="false">J5200*Assumptions!$E$19*Assumptions!$F$34</f>
        <v>276.901632</v>
      </c>
      <c r="K5218" s="48" t="n">
        <f aca="false">K5200*Assumptions!$E$19*Assumptions!$F$34</f>
        <v>276.901632</v>
      </c>
      <c r="L5218" s="48" t="n">
        <f aca="false">L5200*Assumptions!$E$19*Assumptions!$F$34</f>
        <v>276.901632</v>
      </c>
      <c r="M5218" s="48" t="n">
        <f aca="false">M5200*Assumptions!$E$19*Assumptions!$F$34</f>
        <v>276.901632</v>
      </c>
      <c r="N5218" s="48" t="n">
        <f aca="false">N5200*Assumptions!$E$19*Assumptions!$F$34</f>
        <v>276.901632</v>
      </c>
      <c r="P5218" s="49"/>
      <c r="Q5218" s="49"/>
      <c r="R5218" s="49"/>
      <c r="S5218" s="50"/>
    </row>
    <row r="5219" customFormat="false" ht="15" hidden="false" customHeight="false" outlineLevel="0" collapsed="false">
      <c r="A5219" s="4" t="s">
        <v>512</v>
      </c>
      <c r="B5219" s="36" t="s">
        <v>77</v>
      </c>
      <c r="C5219" s="51" t="n">
        <f aca="false">IFERROR(C5216/(C5216+C5217+C5218),0)</f>
        <v>0.622351455672813</v>
      </c>
      <c r="D5219" s="51" t="n">
        <f aca="false">IFERROR(D5216/(D5216+D5217+D5218),0)</f>
        <v>0.622351455672813</v>
      </c>
      <c r="E5219" s="51" t="n">
        <f aca="false">IFERROR(E5216/(E5216+E5217+E5218),0)</f>
        <v>0.622351455672813</v>
      </c>
      <c r="F5219" s="51" t="n">
        <f aca="false">IFERROR(F5216/(F5216+F5217+F5218),0)</f>
        <v>0.622351455672813</v>
      </c>
      <c r="G5219" s="51" t="n">
        <f aca="false">IFERROR(G5216/(G5216+G5217+G5218),0)</f>
        <v>0.629670058758779</v>
      </c>
      <c r="H5219" s="51" t="n">
        <f aca="false">IFERROR(H5216/(H5216+H5217+H5218),0)</f>
        <v>0.633987977135321</v>
      </c>
      <c r="I5219" s="51" t="n">
        <f aca="false">IFERROR(I5216/(I5216+I5217+I5218),0)</f>
        <v>0.649697066609004</v>
      </c>
      <c r="J5219" s="51" t="n">
        <f aca="false">IFERROR(J5216/(J5216+J5217+J5218),0)</f>
        <v>0.656430064024297</v>
      </c>
      <c r="K5219" s="51" t="n">
        <f aca="false">IFERROR(K5216/(K5216+K5217+K5218),0)</f>
        <v>0.656430064024297</v>
      </c>
      <c r="L5219" s="51" t="n">
        <f aca="false">IFERROR(L5216/(L5216+L5217+L5218),0)</f>
        <v>0.656430064024297</v>
      </c>
      <c r="M5219" s="51" t="n">
        <f aca="false">IFERROR(M5216/(M5216+M5217+M5218),0)</f>
        <v>0.656430064024297</v>
      </c>
      <c r="N5219" s="51" t="n">
        <f aca="false">IFERROR(N5216/(N5216+N5217+N5218),0)</f>
        <v>0.656430064024297</v>
      </c>
      <c r="P5219" s="52"/>
      <c r="Q5219" s="52"/>
      <c r="R5219" s="52"/>
      <c r="S5219" s="53"/>
    </row>
    <row r="5220" customFormat="false" ht="15" hidden="false" customHeight="false" outlineLevel="0" collapsed="false">
      <c r="A5220" s="4" t="s">
        <v>513</v>
      </c>
      <c r="B5220" s="36" t="s">
        <v>77</v>
      </c>
      <c r="C5220" s="51" t="n">
        <f aca="false">IFERROR(C5217/(C5216+C5217+C5218),0)</f>
        <v>0.311819898985751</v>
      </c>
      <c r="D5220" s="51" t="n">
        <f aca="false">IFERROR(D5217/(D5216+D5217+D5218),0)</f>
        <v>0.311819898985751</v>
      </c>
      <c r="E5220" s="51" t="n">
        <f aca="false">IFERROR(E5217/(E5216+E5217+E5218),0)</f>
        <v>0.311819898985751</v>
      </c>
      <c r="F5220" s="51" t="n">
        <f aca="false">IFERROR(F5217/(F5216+F5217+F5218),0)</f>
        <v>0.311819898985751</v>
      </c>
      <c r="G5220" s="51" t="n">
        <f aca="false">IFERROR(G5217/(G5216+G5217+G5218),0)</f>
        <v>0.309262998182157</v>
      </c>
      <c r="H5220" s="51" t="n">
        <f aca="false">IFERROR(H5217/(H5216+H5217+H5218),0)</f>
        <v>0.307754446777313</v>
      </c>
      <c r="I5220" s="51" t="n">
        <f aca="false">IFERROR(I5217/(I5216+I5217+I5218),0)</f>
        <v>0.296641680018571</v>
      </c>
      <c r="J5220" s="51" t="n">
        <f aca="false">IFERROR(J5217/(J5216+J5217+J5218),0)</f>
        <v>0.291878690413813</v>
      </c>
      <c r="K5220" s="51" t="n">
        <f aca="false">IFERROR(K5217/(K5216+K5217+K5218),0)</f>
        <v>0.291878690413813</v>
      </c>
      <c r="L5220" s="51" t="n">
        <f aca="false">IFERROR(L5217/(L5216+L5217+L5218),0)</f>
        <v>0.291878690413813</v>
      </c>
      <c r="M5220" s="51" t="n">
        <f aca="false">IFERROR(M5217/(M5216+M5217+M5218),0)</f>
        <v>0.291878690413813</v>
      </c>
      <c r="N5220" s="51" t="n">
        <f aca="false">IFERROR(N5217/(N5216+N5217+N5218),0)</f>
        <v>0.291878690413813</v>
      </c>
      <c r="P5220" s="52"/>
      <c r="Q5220" s="52"/>
      <c r="R5220" s="52"/>
      <c r="S5220" s="53"/>
    </row>
    <row r="5221" customFormat="false" ht="15" hidden="false" customHeight="false" outlineLevel="0" collapsed="false">
      <c r="A5221" s="4" t="s">
        <v>514</v>
      </c>
      <c r="B5221" s="36" t="s">
        <v>77</v>
      </c>
      <c r="C5221" s="51" t="n">
        <f aca="false">IFERROR(C5218/(C5216+C5217+C5218),0)</f>
        <v>0.0658286453414364</v>
      </c>
      <c r="D5221" s="51" t="n">
        <f aca="false">IFERROR(D5218/(D5216+D5217+D5218),0)</f>
        <v>0.0658286453414364</v>
      </c>
      <c r="E5221" s="51" t="n">
        <f aca="false">IFERROR(E5218/(E5216+E5217+E5218),0)</f>
        <v>0.0658286453414364</v>
      </c>
      <c r="F5221" s="51" t="n">
        <f aca="false">IFERROR(F5218/(F5216+F5217+F5218),0)</f>
        <v>0.0658286453414364</v>
      </c>
      <c r="G5221" s="51" t="n">
        <f aca="false">IFERROR(G5218/(G5216+G5217+G5218),0)</f>
        <v>0.0610669430590634</v>
      </c>
      <c r="H5221" s="51" t="n">
        <f aca="false">IFERROR(H5218/(H5216+H5217+H5218),0)</f>
        <v>0.0582575760873659</v>
      </c>
      <c r="I5221" s="51" t="n">
        <f aca="false">IFERROR(I5218/(I5216+I5217+I5218),0)</f>
        <v>0.0536612533724252</v>
      </c>
      <c r="J5221" s="51" t="n">
        <f aca="false">IFERROR(J5218/(J5216+J5217+J5218),0)</f>
        <v>0.0516912455618904</v>
      </c>
      <c r="K5221" s="51" t="n">
        <f aca="false">IFERROR(K5218/(K5216+K5217+K5218),0)</f>
        <v>0.0516912455618904</v>
      </c>
      <c r="L5221" s="51" t="n">
        <f aca="false">IFERROR(L5218/(L5216+L5217+L5218),0)</f>
        <v>0.0516912455618904</v>
      </c>
      <c r="M5221" s="51" t="n">
        <f aca="false">IFERROR(M5218/(M5216+M5217+M5218),0)</f>
        <v>0.0516912455618904</v>
      </c>
      <c r="N5221" s="51" t="n">
        <f aca="false">IFERROR(N5218/(N5216+N5217+N5218),0)</f>
        <v>0.0516912455618904</v>
      </c>
      <c r="P5221" s="52"/>
      <c r="Q5221" s="52"/>
      <c r="R5221" s="52"/>
      <c r="S5221" s="53"/>
    </row>
    <row r="5222" customFormat="false" ht="15" hidden="false" customHeight="false" outlineLevel="0" collapsed="false">
      <c r="A5222" s="4" t="s">
        <v>515</v>
      </c>
      <c r="B5222" s="36" t="s">
        <v>516</v>
      </c>
      <c r="C5222" s="48" t="n">
        <f aca="false">IF(C5190-Assumptions!$E$35&lt;1,0,INDEX($C$5215:$N$5215,1,C5190-Assumptions!$E$35)*INDEX($C$5219:$N$5219,1,C5190-Assumptions!$E$35)*Assumptions!$E$32)</f>
        <v>0</v>
      </c>
      <c r="D5222" s="48" t="n">
        <f aca="false">IF(D5190-Assumptions!$E$35&lt;1,0,INDEX($C$5215:$N$5215,1,D5190-Assumptions!$E$35)*INDEX($C$5219:$N$5219,1,D5190-Assumptions!$E$35)*Assumptions!$E$32)</f>
        <v>0.853702581241114</v>
      </c>
      <c r="E5222" s="48" t="n">
        <f aca="false">IF(E5190-Assumptions!$E$35&lt;1,0,INDEX($C$5215:$N$5215,1,E5190-Assumptions!$E$35)*INDEX($C$5219:$N$5219,1,E5190-Assumptions!$E$35)*Assumptions!$E$32)</f>
        <v>1.46331305535203</v>
      </c>
      <c r="F5222" s="48" t="n">
        <f aca="false">IF(F5190-Assumptions!$E$35&lt;1,0,INDEX($C$5215:$N$5215,1,F5190-Assumptions!$E$35)*INDEX($C$5219:$N$5219,1,F5190-Assumptions!$E$35)*Assumptions!$E$32)</f>
        <v>1.61463689887143</v>
      </c>
      <c r="G5222" s="48" t="n">
        <f aca="false">IF(G5190-Assumptions!$E$35&lt;1,0,INDEX($C$5215:$N$5215,1,G5190-Assumptions!$E$35)*INDEX($C$5219:$N$5219,1,G5190-Assumptions!$E$35)*Assumptions!$E$32)</f>
        <v>1.76906387553924</v>
      </c>
      <c r="H5222" s="48" t="n">
        <f aca="false">IF(H5190-Assumptions!$E$35&lt;1,0,INDEX($C$5215:$N$5215,1,H5190-Assumptions!$E$35)*INDEX($C$5219:$N$5219,1,H5190-Assumptions!$E$35)*Assumptions!$E$32)</f>
        <v>2.27884641387991</v>
      </c>
      <c r="I5222" s="48" t="n">
        <f aca="false">IF(I5190-Assumptions!$E$35&lt;1,0,INDEX($C$5215:$N$5215,1,I5190-Assumptions!$E$35)*INDEX($C$5219:$N$5219,1,I5190-Assumptions!$E$35)*Assumptions!$E$32)</f>
        <v>2.75497658909218</v>
      </c>
      <c r="J5222" s="48" t="n">
        <f aca="false">IF(J5190-Assumptions!$E$35&lt;1,0,INDEX($C$5215:$N$5215,1,J5190-Assumptions!$E$35)*INDEX($C$5219:$N$5219,1,J5190-Assumptions!$E$35)*Assumptions!$E$32)</f>
        <v>4.08143571679393</v>
      </c>
      <c r="K5222" s="48" t="n">
        <f aca="false">IF(K5190-Assumptions!$E$35&lt;1,0,INDEX($C$5215:$N$5215,1,K5190-Assumptions!$E$35)*INDEX($C$5219:$N$5219,1,K5190-Assumptions!$E$35)*Assumptions!$E$32)</f>
        <v>5.28178207244077</v>
      </c>
      <c r="L5222" s="48" t="n">
        <f aca="false">IF(L5190-Assumptions!$E$35&lt;1,0,INDEX($C$5215:$N$5215,1,L5190-Assumptions!$E$35)*INDEX($C$5219:$N$5219,1,L5190-Assumptions!$E$35)*Assumptions!$E$32)</f>
        <v>5.31931194732574</v>
      </c>
      <c r="M5222" s="48" t="n">
        <f aca="false">IF(M5190-Assumptions!$E$35&lt;1,0,INDEX($C$5215:$N$5215,1,M5190-Assumptions!$E$35)*INDEX($C$5219:$N$5219,1,M5190-Assumptions!$E$35)*Assumptions!$E$32)</f>
        <v>5.16181117397405</v>
      </c>
      <c r="N5222" s="48" t="n">
        <f aca="false">IF(N5190-Assumptions!$E$35&lt;1,0,INDEX($C$5215:$N$5215,1,N5190-Assumptions!$E$35)*INDEX($C$5219:$N$5219,1,N5190-Assumptions!$E$35)*Assumptions!$E$32)</f>
        <v>5.01524018898062</v>
      </c>
      <c r="P5222" s="49" t="n">
        <f aca="false">SUM(C5222:F5222)</f>
        <v>3.93165253546458</v>
      </c>
      <c r="Q5222" s="49" t="n">
        <f aca="false">SUM(G5222:J5222)</f>
        <v>10.8843225953053</v>
      </c>
      <c r="R5222" s="49" t="n">
        <f aca="false">SUM(K5222:N5222)</f>
        <v>20.7781453827212</v>
      </c>
      <c r="S5222" s="50" t="n">
        <f aca="false">SUM(P5222:R5222)</f>
        <v>35.594120513491</v>
      </c>
    </row>
    <row r="5223" customFormat="false" ht="15" hidden="false" customHeight="false" outlineLevel="0" collapsed="false">
      <c r="A5223" s="4" t="s">
        <v>517</v>
      </c>
      <c r="B5223" s="36" t="s">
        <v>516</v>
      </c>
      <c r="C5223" s="48" t="n">
        <f aca="false">IF(C5190-Assumptions!$E$35&lt;1,0,INDEX($C$5215:$N$5215,1,C5190-Assumptions!$E$35)*INDEX($C$5220:$N$5220,1,C5190-Assumptions!$E$35)*Assumptions!$E$32)</f>
        <v>0</v>
      </c>
      <c r="D5223" s="48" t="n">
        <f aca="false">IF(D5190-Assumptions!$E$35&lt;1,0,INDEX($C$5215:$N$5215,1,D5190-Assumptions!$E$35)*INDEX($C$5220:$N$5220,1,D5190-Assumptions!$E$35)*Assumptions!$E$32)</f>
        <v>0.427734924085128</v>
      </c>
      <c r="E5223" s="48" t="n">
        <f aca="false">IF(E5190-Assumptions!$E$35&lt;1,0,INDEX($C$5215:$N$5215,1,E5190-Assumptions!$E$35)*INDEX($C$5220:$N$5220,1,E5190-Assumptions!$E$35)*Assumptions!$E$32)</f>
        <v>0.7331711446085</v>
      </c>
      <c r="F5223" s="48" t="n">
        <f aca="false">IF(F5190-Assumptions!$E$35&lt;1,0,INDEX($C$5215:$N$5215,1,F5190-Assumptions!$E$35)*INDEX($C$5220:$N$5220,1,F5190-Assumptions!$E$35)*Assumptions!$E$32)</f>
        <v>0.808989695638228</v>
      </c>
      <c r="G5223" s="48" t="n">
        <f aca="false">IF(G5190-Assumptions!$E$35&lt;1,0,INDEX($C$5215:$N$5215,1,G5190-Assumptions!$E$35)*INDEX($C$5220:$N$5220,1,G5190-Assumptions!$E$35)*Assumptions!$E$32)</f>
        <v>0.886363025171412</v>
      </c>
      <c r="H5223" s="48" t="n">
        <f aca="false">IF(H5190-Assumptions!$E$35&lt;1,0,INDEX($C$5215:$N$5215,1,H5190-Assumptions!$E$35)*INDEX($C$5220:$N$5220,1,H5190-Assumptions!$E$35)*Assumptions!$E$32)</f>
        <v>1.11925740242819</v>
      </c>
      <c r="I5223" s="48" t="n">
        <f aca="false">IF(I5190-Assumptions!$E$35&lt;1,0,INDEX($C$5215:$N$5215,1,I5190-Assumptions!$E$35)*INDEX($C$5220:$N$5220,1,I5190-Assumptions!$E$35)*Assumptions!$E$32)</f>
        <v>1.33733813043515</v>
      </c>
      <c r="J5223" s="48" t="n">
        <f aca="false">IF(J5190-Assumptions!$E$35&lt;1,0,INDEX($C$5215:$N$5215,1,J5190-Assumptions!$E$35)*INDEX($C$5220:$N$5220,1,J5190-Assumptions!$E$35)*Assumptions!$E$32)</f>
        <v>1.86352072395331</v>
      </c>
      <c r="K5223" s="48" t="n">
        <f aca="false">IF(K5190-Assumptions!$E$35&lt;1,0,INDEX($C$5215:$N$5215,1,K5190-Assumptions!$E$35)*INDEX($C$5220:$N$5220,1,K5190-Assumptions!$E$35)*Assumptions!$E$32)</f>
        <v>2.3485207622942</v>
      </c>
      <c r="L5223" s="48" t="n">
        <f aca="false">IF(L5190-Assumptions!$E$35&lt;1,0,INDEX($C$5215:$N$5215,1,L5190-Assumptions!$E$35)*INDEX($C$5220:$N$5220,1,L5190-Assumptions!$E$35)*Assumptions!$E$32)</f>
        <v>2.36520825321389</v>
      </c>
      <c r="M5223" s="48" t="n">
        <f aca="false">IF(M5190-Assumptions!$E$35&lt;1,0,INDEX($C$5215:$N$5215,1,M5190-Assumptions!$E$35)*INDEX($C$5220:$N$5220,1,M5190-Assumptions!$E$35)*Assumptions!$E$32)</f>
        <v>2.29517623916623</v>
      </c>
      <c r="N5223" s="48" t="n">
        <f aca="false">IF(N5190-Assumptions!$E$35&lt;1,0,INDEX($C$5215:$N$5215,1,N5190-Assumptions!$E$35)*INDEX($C$5220:$N$5220,1,N5190-Assumptions!$E$35)*Assumptions!$E$32)</f>
        <v>2.23000410660077</v>
      </c>
      <c r="P5223" s="49" t="n">
        <f aca="false">SUM(C5223:F5223)</f>
        <v>1.96989576433186</v>
      </c>
      <c r="Q5223" s="49" t="n">
        <f aca="false">SUM(G5223:J5223)</f>
        <v>5.20647928198806</v>
      </c>
      <c r="R5223" s="49" t="n">
        <f aca="false">SUM(K5223:N5223)</f>
        <v>9.23890936127509</v>
      </c>
      <c r="S5223" s="50" t="n">
        <f aca="false">SUM(P5223:R5223)</f>
        <v>16.415284407595</v>
      </c>
    </row>
    <row r="5224" customFormat="false" ht="15" hidden="false" customHeight="false" outlineLevel="0" collapsed="false">
      <c r="A5224" s="4" t="s">
        <v>518</v>
      </c>
      <c r="B5224" s="36" t="s">
        <v>516</v>
      </c>
      <c r="C5224" s="48" t="n">
        <f aca="false">IF(C5190-Assumptions!$E$36&lt;1,0,INDEX($C$5215:$N$5215,1,C5190-Assumptions!$E$36)*INDEX($C$5221:$N$5221,1,C5190-Assumptions!$E$36)*Assumptions!$E$32)</f>
        <v>0</v>
      </c>
      <c r="D5224" s="48" t="n">
        <f aca="false">IF(D5190-Assumptions!$E$36&lt;1,0,INDEX($C$5215:$N$5215,1,D5190-Assumptions!$E$36)*INDEX($C$5221:$N$5221,1,D5190-Assumptions!$E$36)*Assumptions!$E$32)</f>
        <v>0</v>
      </c>
      <c r="E5224" s="48" t="n">
        <f aca="false">IF(E5190-Assumptions!$E$36&lt;1,0,INDEX($C$5215:$N$5215,1,E5190-Assumptions!$E$36)*INDEX($C$5221:$N$5221,1,E5190-Assumptions!$E$36)*Assumptions!$E$32)</f>
        <v>0.0902995950846381</v>
      </c>
      <c r="F5224" s="48" t="n">
        <f aca="false">IF(F5190-Assumptions!$E$36&lt;1,0,INDEX($C$5215:$N$5215,1,F5190-Assumptions!$E$36)*INDEX($C$5221:$N$5221,1,F5190-Assumptions!$E$36)*Assumptions!$E$32)</f>
        <v>0.154780574972906</v>
      </c>
      <c r="G5224" s="48" t="n">
        <f aca="false">IF(G5190-Assumptions!$E$36&lt;1,0,INDEX($C$5215:$N$5215,1,G5190-Assumptions!$E$36)*INDEX($C$5221:$N$5221,1,G5190-Assumptions!$E$36)*Assumptions!$E$32)</f>
        <v>0.170786713523626</v>
      </c>
      <c r="H5224" s="48" t="n">
        <f aca="false">IF(H5190-Assumptions!$E$36&lt;1,0,INDEX($C$5215:$N$5215,1,H5190-Assumptions!$E$36)*INDEX($C$5221:$N$5221,1,H5190-Assumptions!$E$36)*Assumptions!$E$32)</f>
        <v>0.187121083091743</v>
      </c>
      <c r="I5224" s="48" t="n">
        <f aca="false">IF(I5190-Assumptions!$E$36&lt;1,0,INDEX($C$5215:$N$5215,1,I5190-Assumptions!$E$36)*INDEX($C$5221:$N$5221,1,I5190-Assumptions!$E$36)*Assumptions!$E$32)</f>
        <v>0.221008101403257</v>
      </c>
      <c r="J5224" s="48" t="n">
        <f aca="false">IF(J5190-Assumptions!$E$36&lt;1,0,INDEX($C$5215:$N$5215,1,J5190-Assumptions!$E$36)*INDEX($C$5221:$N$5221,1,J5190-Assumptions!$E$36)*Assumptions!$E$32)</f>
        <v>0.253156627643259</v>
      </c>
      <c r="K5224" s="48" t="n">
        <f aca="false">IF(K5190-Assumptions!$E$36&lt;1,0,INDEX($C$5215:$N$5215,1,K5190-Assumptions!$E$36)*INDEX($C$5221:$N$5221,1,K5190-Assumptions!$E$36)*Assumptions!$E$32)</f>
        <v>0.337103193747296</v>
      </c>
      <c r="L5224" s="48" t="n">
        <f aca="false">IF(L5190-Assumptions!$E$36&lt;1,0,INDEX($C$5215:$N$5215,1,L5190-Assumptions!$E$36)*INDEX($C$5221:$N$5221,1,L5190-Assumptions!$E$36)*Assumptions!$E$32)</f>
        <v>0.415919241171168</v>
      </c>
      <c r="M5224" s="48" t="n">
        <f aca="false">IF(M5190-Assumptions!$E$36&lt;1,0,INDEX($C$5215:$N$5215,1,M5190-Assumptions!$E$36)*INDEX($C$5221:$N$5221,1,M5190-Assumptions!$E$36)*Assumptions!$E$32)</f>
        <v>0.418874568912699</v>
      </c>
      <c r="N5224" s="48" t="n">
        <f aca="false">IF(N5190-Assumptions!$E$36&lt;1,0,INDEX($C$5215:$N$5215,1,N5190-Assumptions!$E$36)*INDEX($C$5221:$N$5221,1,N5190-Assumptions!$E$36)*Assumptions!$E$32)</f>
        <v>0.406472012116932</v>
      </c>
      <c r="P5224" s="49" t="n">
        <f aca="false">SUM(C5224:F5224)</f>
        <v>0.245080170057544</v>
      </c>
      <c r="Q5224" s="49" t="n">
        <f aca="false">SUM(G5224:J5224)</f>
        <v>0.832072525661885</v>
      </c>
      <c r="R5224" s="49" t="n">
        <f aca="false">SUM(K5224:N5224)</f>
        <v>1.5783690159481</v>
      </c>
      <c r="S5224" s="50" t="n">
        <f aca="false">SUM(P5224:R5224)</f>
        <v>2.65552171166752</v>
      </c>
    </row>
    <row r="5225" customFormat="false" ht="15" hidden="false" customHeight="false" outlineLevel="0" collapsed="false">
      <c r="A5225" s="4" t="s">
        <v>519</v>
      </c>
      <c r="B5225" s="36" t="s">
        <v>77</v>
      </c>
      <c r="C5225" s="51" t="n">
        <f aca="false">IF(C5190-Assumptions!$E$35&lt;1,0,IFERROR(INDEX($C$5214:$N$5214,1,C5190-Assumptions!$E$35)/INDEX($C$5215:$N$5215,1,C5190-Assumptions!$E$35),0))</f>
        <v>0</v>
      </c>
      <c r="D5225" s="51" t="n">
        <f aca="false">IF(D5190-Assumptions!$E$35&lt;1,0,IFERROR(INDEX($C$5214:$N$5214,1,D5190-Assumptions!$E$35)/INDEX($C$5215:$N$5215,1,D5190-Assumptions!$E$35),0))</f>
        <v>0.459271678087073</v>
      </c>
      <c r="E5225" s="51" t="n">
        <f aca="false">IF(E5190-Assumptions!$E$35&lt;1,0,IFERROR(INDEX($C$5214:$N$5214,1,E5190-Assumptions!$E$35)/INDEX($C$5215:$N$5215,1,E5190-Assumptions!$E$35),0))</f>
        <v>0.401911350042128</v>
      </c>
      <c r="F5225" s="51" t="n">
        <f aca="false">IF(F5190-Assumptions!$E$35&lt;1,0,IFERROR(INDEX($C$5214:$N$5214,1,F5190-Assumptions!$E$35)/INDEX($C$5215:$N$5215,1,F5190-Assumptions!$E$35),0))</f>
        <v>0.485658933408398</v>
      </c>
      <c r="G5225" s="51" t="n">
        <f aca="false">IF(G5190-Assumptions!$E$35&lt;1,0,IFERROR(INDEX($C$5214:$N$5214,1,G5190-Assumptions!$E$35)/INDEX($C$5215:$N$5215,1,G5190-Assumptions!$E$35),0))</f>
        <v>0.554080356417826</v>
      </c>
      <c r="H5225" s="51" t="n">
        <f aca="false">IF(H5190-Assumptions!$E$35&lt;1,0,IFERROR(INDEX($C$5214:$N$5214,1,H5190-Assumptions!$E$35)/INDEX($C$5215:$N$5215,1,H5190-Assumptions!$E$35),0))</f>
        <v>0.522227563825987</v>
      </c>
      <c r="I5225" s="51" t="n">
        <f aca="false">IF(I5190-Assumptions!$E$35&lt;1,0,IFERROR(INDEX($C$5214:$N$5214,1,I5190-Assumptions!$E$35)/INDEX($C$5215:$N$5215,1,I5190-Assumptions!$E$35),0))</f>
        <v>0.507424816282752</v>
      </c>
      <c r="J5225" s="51" t="n">
        <f aca="false">IF(J5190-Assumptions!$E$35&lt;1,0,IFERROR(INDEX($C$5214:$N$5214,1,J5190-Assumptions!$E$35)/INDEX($C$5215:$N$5215,1,J5190-Assumptions!$E$35),0))</f>
        <v>0.401142323795015</v>
      </c>
      <c r="K5225" s="51" t="n">
        <f aca="false">IF(K5190-Assumptions!$E$35&lt;1,0,IFERROR(INDEX($C$5214:$N$5214,1,K5190-Assumptions!$E$35)/INDEX($C$5215:$N$5215,1,K5190-Assumptions!$E$35),0))</f>
        <v>0.352339268448632</v>
      </c>
      <c r="L5225" s="51" t="n">
        <f aca="false">IF(L5190-Assumptions!$E$35&lt;1,0,IFERROR(INDEX($C$5214:$N$5214,1,L5190-Assumptions!$E$35)/INDEX($C$5215:$N$5215,1,L5190-Assumptions!$E$35),0))</f>
        <v>0.388725970981282</v>
      </c>
      <c r="M5225" s="51" t="n">
        <f aca="false">IF(M5190-Assumptions!$E$35&lt;1,0,IFERROR(INDEX($C$5214:$N$5214,1,M5190-Assumptions!$E$35)/INDEX($C$5215:$N$5215,1,M5190-Assumptions!$E$35),0))</f>
        <v>0.400587048224893</v>
      </c>
      <c r="N5225" s="51" t="n">
        <f aca="false">IF(N5190-Assumptions!$E$35&lt;1,0,IFERROR(INDEX($C$5214:$N$5214,1,N5190-Assumptions!$E$35)/INDEX($C$5215:$N$5215,1,N5190-Assumptions!$E$35),0))</f>
        <v>0.412294251872474</v>
      </c>
      <c r="P5225" s="52"/>
      <c r="Q5225" s="52"/>
      <c r="R5225" s="52"/>
      <c r="S5225" s="53"/>
    </row>
    <row r="5226" customFormat="false" ht="15" hidden="false" customHeight="false" outlineLevel="0" collapsed="false">
      <c r="A5226" s="4" t="s">
        <v>520</v>
      </c>
      <c r="B5226" s="36" t="s">
        <v>516</v>
      </c>
      <c r="C5226" s="48" t="n">
        <f aca="false">C5222*Assumptions!$E$37</f>
        <v>0</v>
      </c>
      <c r="D5226" s="48" t="n">
        <f aca="false">D5222*Assumptions!$E$37</f>
        <v>0.256110774372334</v>
      </c>
      <c r="E5226" s="48" t="n">
        <f aca="false">E5222*Assumptions!$E$37</f>
        <v>0.43899391660561</v>
      </c>
      <c r="F5226" s="48" t="n">
        <f aca="false">F5222*Assumptions!$E$37</f>
        <v>0.48439106966143</v>
      </c>
      <c r="G5226" s="48" t="n">
        <f aca="false">G5222*Assumptions!$E$37</f>
        <v>0.530719162661771</v>
      </c>
      <c r="H5226" s="48" t="n">
        <f aca="false">H5222*Assumptions!$E$37</f>
        <v>0.683653924163973</v>
      </c>
      <c r="I5226" s="48" t="n">
        <f aca="false">I5222*Assumptions!$E$37</f>
        <v>0.826492976727654</v>
      </c>
      <c r="J5226" s="48" t="n">
        <f aca="false">J5222*Assumptions!$E$37</f>
        <v>1.22443071503818</v>
      </c>
      <c r="K5226" s="48" t="n">
        <f aca="false">K5222*Assumptions!$E$37</f>
        <v>1.58453462173223</v>
      </c>
      <c r="L5226" s="48" t="n">
        <f aca="false">L5222*Assumptions!$E$37</f>
        <v>1.59579358419772</v>
      </c>
      <c r="M5226" s="48" t="n">
        <f aca="false">M5222*Assumptions!$E$37</f>
        <v>1.54854335219222</v>
      </c>
      <c r="N5226" s="48" t="n">
        <f aca="false">N5222*Assumptions!$E$37</f>
        <v>1.50457205669419</v>
      </c>
      <c r="P5226" s="49" t="n">
        <f aca="false">SUM(C5226:F5226)</f>
        <v>1.17949576063937</v>
      </c>
      <c r="Q5226" s="49" t="n">
        <f aca="false">SUM(G5226:J5226)</f>
        <v>3.26529677859158</v>
      </c>
      <c r="R5226" s="49" t="n">
        <f aca="false">SUM(K5226:N5226)</f>
        <v>6.23344361481636</v>
      </c>
      <c r="S5226" s="50" t="n">
        <f aca="false">SUM(P5226:R5226)</f>
        <v>10.6782361540473</v>
      </c>
    </row>
    <row r="5227" customFormat="false" ht="15" hidden="false" customHeight="false" outlineLevel="0" collapsed="false">
      <c r="A5227" s="4" t="s">
        <v>521</v>
      </c>
      <c r="B5227" s="36" t="s">
        <v>516</v>
      </c>
      <c r="C5227" s="48" t="n">
        <f aca="false">C5222*(1-Assumptions!$E$37)</f>
        <v>0</v>
      </c>
      <c r="D5227" s="48" t="n">
        <f aca="false">D5222*(1-Assumptions!$E$37)</f>
        <v>0.59759180686878</v>
      </c>
      <c r="E5227" s="48" t="n">
        <f aca="false">E5222*(1-Assumptions!$E$37)</f>
        <v>1.02431913874642</v>
      </c>
      <c r="F5227" s="48" t="n">
        <f aca="false">F5222*(1-Assumptions!$E$37)</f>
        <v>1.13024582921</v>
      </c>
      <c r="G5227" s="48" t="n">
        <f aca="false">G5222*(1-Assumptions!$E$37)</f>
        <v>1.23834471287747</v>
      </c>
      <c r="H5227" s="48" t="n">
        <f aca="false">H5222*(1-Assumptions!$E$37)</f>
        <v>1.59519248971594</v>
      </c>
      <c r="I5227" s="48" t="n">
        <f aca="false">I5222*(1-Assumptions!$E$37)</f>
        <v>1.92848361236453</v>
      </c>
      <c r="J5227" s="48" t="n">
        <f aca="false">J5222*(1-Assumptions!$E$37)</f>
        <v>2.85700500175575</v>
      </c>
      <c r="K5227" s="48" t="n">
        <f aca="false">K5222*(1-Assumptions!$E$37)</f>
        <v>3.69724745070854</v>
      </c>
      <c r="L5227" s="48" t="n">
        <f aca="false">L5222*(1-Assumptions!$E$37)</f>
        <v>3.72351836312802</v>
      </c>
      <c r="M5227" s="48" t="n">
        <f aca="false">M5222*(1-Assumptions!$E$37)</f>
        <v>3.61326782178184</v>
      </c>
      <c r="N5227" s="48" t="n">
        <f aca="false">N5222*(1-Assumptions!$E$37)</f>
        <v>3.51066813228644</v>
      </c>
      <c r="P5227" s="49" t="n">
        <f aca="false">SUM(C5227:F5227)</f>
        <v>2.75215677482521</v>
      </c>
      <c r="Q5227" s="49" t="n">
        <f aca="false">SUM(G5227:J5227)</f>
        <v>7.61902581671368</v>
      </c>
      <c r="R5227" s="49" t="n">
        <f aca="false">SUM(K5227:N5227)</f>
        <v>14.5447017679048</v>
      </c>
      <c r="S5227" s="50" t="n">
        <f aca="false">SUM(P5227:R5227)</f>
        <v>24.9158843594437</v>
      </c>
    </row>
    <row r="5228" customFormat="false" ht="15" hidden="false" customHeight="false" outlineLevel="0" collapsed="false">
      <c r="A5228" s="4" t="s">
        <v>522</v>
      </c>
      <c r="B5228" s="36" t="s">
        <v>125</v>
      </c>
      <c r="C5228" s="54" t="n">
        <f aca="false">C5227*$C$5181+C5223*$C$5182+C5224*$C$5183</f>
        <v>0</v>
      </c>
      <c r="D5228" s="54" t="n">
        <f aca="false">D5227*$C$5181+D5223*$C$5182+D5224*$C$5183</f>
        <v>7375.87864319417</v>
      </c>
      <c r="E5228" s="54" t="n">
        <f aca="false">E5227*$C$5181+E5223*$C$5182+E5224*$C$5183</f>
        <v>18221.3849280892</v>
      </c>
      <c r="F5228" s="54" t="n">
        <f aca="false">F5227*$C$5181+F5223*$C$5182+F5224*$C$5183</f>
        <v>23512.325640743</v>
      </c>
      <c r="G5228" s="54" t="n">
        <f aca="false">G5227*$C$5181+G5223*$C$5182+G5224*$C$5183</f>
        <v>25835.3858495818</v>
      </c>
      <c r="H5228" s="54" t="n">
        <f aca="false">H5227*$C$5181+H5223*$C$5182+H5224*$C$5183</f>
        <v>31028.9582218104</v>
      </c>
      <c r="I5228" s="54" t="n">
        <f aca="false">I5227*$C$5181+I5223*$C$5182+I5224*$C$5183</f>
        <v>37036.1466459057</v>
      </c>
      <c r="J5228" s="54" t="n">
        <f aca="false">J5227*$C$5181+J5223*$C$5182+J5224*$C$5183</f>
        <v>49130.7511405725</v>
      </c>
      <c r="K5228" s="54" t="n">
        <f aca="false">K5227*$C$5181+K5223*$C$5182+K5224*$C$5183</f>
        <v>63550.6608337945</v>
      </c>
      <c r="L5228" s="54" t="n">
        <f aca="false">L5227*$C$5181+L5223*$C$5182+L5224*$C$5183</f>
        <v>68723.3627824827</v>
      </c>
      <c r="M5228" s="54" t="n">
        <f aca="false">M5227*$C$5181+M5223*$C$5182+M5224*$C$5183</f>
        <v>67631.8937983703</v>
      </c>
      <c r="N5228" s="54" t="n">
        <f aca="false">N5227*$C$5181+N5223*$C$5182+N5224*$C$5183</f>
        <v>65680.0539497251</v>
      </c>
      <c r="P5228" s="55" t="n">
        <f aca="false">SUM(C5228:F5228)</f>
        <v>49109.5892120264</v>
      </c>
      <c r="Q5228" s="55" t="n">
        <f aca="false">SUM(G5228:J5228)</f>
        <v>143031.24185787</v>
      </c>
      <c r="R5228" s="55" t="n">
        <f aca="false">SUM(K5228:N5228)</f>
        <v>265585.971364373</v>
      </c>
      <c r="S5228" s="56" t="n">
        <f aca="false">SUM(P5228:R5228)</f>
        <v>457726.80243427</v>
      </c>
    </row>
    <row r="5229" customFormat="false" ht="15" hidden="false" customHeight="false" outlineLevel="0" collapsed="false">
      <c r="A5229" s="4" t="s">
        <v>523</v>
      </c>
      <c r="B5229" s="36" t="s">
        <v>125</v>
      </c>
      <c r="C5229" s="54" t="n">
        <f aca="false">(C5205+Assumptions!$D$104*C5191)*$C$5186</f>
        <v>306250</v>
      </c>
      <c r="D5229" s="54" t="n">
        <f aca="false">(D5205+Assumptions!$D$104*D5191)*$C$5186</f>
        <v>306250</v>
      </c>
      <c r="E5229" s="54" t="n">
        <f aca="false">(E5205+Assumptions!$D$104*E5191)*$C$5186</f>
        <v>306250</v>
      </c>
      <c r="F5229" s="54" t="n">
        <f aca="false">(F5205+Assumptions!$D$104*F5191)*$C$5186</f>
        <v>306250</v>
      </c>
      <c r="G5229" s="54" t="n">
        <f aca="false">(G5205+Assumptions!$D$104*G5191)*$C$5186</f>
        <v>306250</v>
      </c>
      <c r="H5229" s="54" t="n">
        <f aca="false">(H5205+Assumptions!$D$104*H5191)*$C$5186</f>
        <v>306250</v>
      </c>
      <c r="I5229" s="54" t="n">
        <f aca="false">(I5205+Assumptions!$D$104*I5191)*$C$5186</f>
        <v>306250</v>
      </c>
      <c r="J5229" s="54" t="n">
        <f aca="false">(J5205+Assumptions!$D$104*J5191)*$C$5186</f>
        <v>306250</v>
      </c>
      <c r="K5229" s="54" t="n">
        <f aca="false">(K5205+Assumptions!$D$104*K5191)*$C$5186</f>
        <v>306250</v>
      </c>
      <c r="L5229" s="54" t="n">
        <f aca="false">(L5205+Assumptions!$D$104*L5191)*$C$5186</f>
        <v>306250</v>
      </c>
      <c r="M5229" s="54" t="n">
        <f aca="false">(M5205+Assumptions!$D$104*M5191)*$C$5186</f>
        <v>306250</v>
      </c>
      <c r="N5229" s="54" t="n">
        <f aca="false">(N5205+Assumptions!$D$104*N5191)*$C$5186</f>
        <v>306250</v>
      </c>
      <c r="P5229" s="55" t="n">
        <f aca="false">SUM(C5229:F5229)</f>
        <v>1225000</v>
      </c>
      <c r="Q5229" s="55" t="n">
        <f aca="false">SUM(G5229:J5229)</f>
        <v>1225000</v>
      </c>
      <c r="R5229" s="55" t="n">
        <f aca="false">SUM(K5229:N5229)</f>
        <v>1225000</v>
      </c>
      <c r="S5229" s="56" t="n">
        <f aca="false">SUM(P5229:R5229)</f>
        <v>3675000</v>
      </c>
    </row>
    <row r="5230" customFormat="false" ht="15" hidden="false" customHeight="false" outlineLevel="0" collapsed="false">
      <c r="A5230" s="4" t="s">
        <v>524</v>
      </c>
      <c r="B5230" s="36" t="s">
        <v>77</v>
      </c>
      <c r="C5230" s="51" t="n">
        <f aca="false">IF(C5228&gt;0,MIN(1,C5229/C5228),1)</f>
        <v>1</v>
      </c>
      <c r="D5230" s="51" t="n">
        <f aca="false">IF(D5228&gt;0,MIN(1,D5229/D5228),1)</f>
        <v>1</v>
      </c>
      <c r="E5230" s="51" t="n">
        <f aca="false">IF(E5228&gt;0,MIN(1,E5229/E5228),1)</f>
        <v>1</v>
      </c>
      <c r="F5230" s="51" t="n">
        <f aca="false">IF(F5228&gt;0,MIN(1,F5229/F5228),1)</f>
        <v>1</v>
      </c>
      <c r="G5230" s="51" t="n">
        <f aca="false">IF(G5228&gt;0,MIN(1,G5229/G5228),1)</f>
        <v>1</v>
      </c>
      <c r="H5230" s="51" t="n">
        <f aca="false">IF(H5228&gt;0,MIN(1,H5229/H5228),1)</f>
        <v>1</v>
      </c>
      <c r="I5230" s="51" t="n">
        <f aca="false">IF(I5228&gt;0,MIN(1,I5229/I5228),1)</f>
        <v>1</v>
      </c>
      <c r="J5230" s="51" t="n">
        <f aca="false">IF(J5228&gt;0,MIN(1,J5229/J5228),1)</f>
        <v>1</v>
      </c>
      <c r="K5230" s="51" t="n">
        <f aca="false">IF(K5228&gt;0,MIN(1,K5229/K5228),1)</f>
        <v>1</v>
      </c>
      <c r="L5230" s="51" t="n">
        <f aca="false">IF(L5228&gt;0,MIN(1,L5229/L5228),1)</f>
        <v>1</v>
      </c>
      <c r="M5230" s="51" t="n">
        <f aca="false">IF(M5228&gt;0,MIN(1,M5229/M5228),1)</f>
        <v>1</v>
      </c>
      <c r="N5230" s="51" t="n">
        <f aca="false">IF(N5228&gt;0,MIN(1,N5229/N5228),1)</f>
        <v>1</v>
      </c>
      <c r="P5230" s="52"/>
      <c r="Q5230" s="52"/>
      <c r="R5230" s="52"/>
      <c r="S5230" s="53"/>
    </row>
    <row r="5231" customFormat="false" ht="15" hidden="false" customHeight="false" outlineLevel="0" collapsed="false">
      <c r="A5231" s="4" t="s">
        <v>525</v>
      </c>
      <c r="B5231" s="36" t="s">
        <v>125</v>
      </c>
      <c r="C5231" s="54" t="n">
        <f aca="false">C5228*(1-C5230)</f>
        <v>0</v>
      </c>
      <c r="D5231" s="54" t="n">
        <f aca="false">D5228*(1-D5230)</f>
        <v>0</v>
      </c>
      <c r="E5231" s="54" t="n">
        <f aca="false">E5228*(1-E5230)</f>
        <v>0</v>
      </c>
      <c r="F5231" s="54" t="n">
        <f aca="false">F5228*(1-F5230)</f>
        <v>0</v>
      </c>
      <c r="G5231" s="54" t="n">
        <f aca="false">G5228*(1-G5230)</f>
        <v>0</v>
      </c>
      <c r="H5231" s="54" t="n">
        <f aca="false">H5228*(1-H5230)</f>
        <v>0</v>
      </c>
      <c r="I5231" s="54" t="n">
        <f aca="false">I5228*(1-I5230)</f>
        <v>0</v>
      </c>
      <c r="J5231" s="54" t="n">
        <f aca="false">J5228*(1-J5230)</f>
        <v>0</v>
      </c>
      <c r="K5231" s="54" t="n">
        <f aca="false">K5228*(1-K5230)</f>
        <v>0</v>
      </c>
      <c r="L5231" s="54" t="n">
        <f aca="false">L5228*(1-L5230)</f>
        <v>0</v>
      </c>
      <c r="M5231" s="54" t="n">
        <f aca="false">M5228*(1-M5230)</f>
        <v>0</v>
      </c>
      <c r="N5231" s="54" t="n">
        <f aca="false">N5228*(1-N5230)</f>
        <v>0</v>
      </c>
      <c r="P5231" s="55" t="n">
        <f aca="false">SUM(C5231:F5231)</f>
        <v>0</v>
      </c>
      <c r="Q5231" s="55" t="n">
        <f aca="false">SUM(G5231:J5231)</f>
        <v>0</v>
      </c>
      <c r="R5231" s="55" t="n">
        <f aca="false">SUM(K5231:N5231)</f>
        <v>0</v>
      </c>
      <c r="S5231" s="56" t="n">
        <f aca="false">SUM(P5231:R5231)</f>
        <v>0</v>
      </c>
    </row>
    <row r="5232" customFormat="false" ht="15" hidden="false" customHeight="false" outlineLevel="0" collapsed="false">
      <c r="A5232" s="4" t="s">
        <v>526</v>
      </c>
      <c r="B5232" s="36" t="s">
        <v>527</v>
      </c>
      <c r="C5232" s="48" t="n">
        <f aca="false">C5226+C5227*C5230</f>
        <v>0</v>
      </c>
      <c r="D5232" s="48" t="n">
        <f aca="false">D5226+D5227*D5230</f>
        <v>0.853702581241114</v>
      </c>
      <c r="E5232" s="48" t="n">
        <f aca="false">E5226+E5227*E5230</f>
        <v>1.46331305535203</v>
      </c>
      <c r="F5232" s="48" t="n">
        <f aca="false">F5226+F5227*F5230</f>
        <v>1.61463689887143</v>
      </c>
      <c r="G5232" s="48" t="n">
        <f aca="false">G5226+G5227*G5230</f>
        <v>1.76906387553924</v>
      </c>
      <c r="H5232" s="48" t="n">
        <f aca="false">H5226+H5227*H5230</f>
        <v>2.27884641387991</v>
      </c>
      <c r="I5232" s="48" t="n">
        <f aca="false">I5226+I5227*I5230</f>
        <v>2.75497658909218</v>
      </c>
      <c r="J5232" s="48" t="n">
        <f aca="false">J5226+J5227*J5230</f>
        <v>4.08143571679393</v>
      </c>
      <c r="K5232" s="48" t="n">
        <f aca="false">K5226+K5227*K5230</f>
        <v>5.28178207244077</v>
      </c>
      <c r="L5232" s="48" t="n">
        <f aca="false">L5226+L5227*L5230</f>
        <v>5.31931194732574</v>
      </c>
      <c r="M5232" s="48" t="n">
        <f aca="false">M5226+M5227*M5230</f>
        <v>5.16181117397405</v>
      </c>
      <c r="N5232" s="48" t="n">
        <f aca="false">N5226+N5227*N5230</f>
        <v>5.01524018898062</v>
      </c>
      <c r="P5232" s="49" t="n">
        <f aca="false">SUM(C5232:F5232)</f>
        <v>3.93165253546458</v>
      </c>
      <c r="Q5232" s="49" t="n">
        <f aca="false">SUM(G5232:J5232)</f>
        <v>10.8843225953053</v>
      </c>
      <c r="R5232" s="49" t="n">
        <f aca="false">SUM(K5232:N5232)</f>
        <v>20.7781453827212</v>
      </c>
      <c r="S5232" s="50" t="n">
        <f aca="false">SUM(P5232:R5232)</f>
        <v>35.594120513491</v>
      </c>
    </row>
    <row r="5233" customFormat="false" ht="15" hidden="false" customHeight="false" outlineLevel="0" collapsed="false">
      <c r="A5233" s="4" t="s">
        <v>528</v>
      </c>
      <c r="B5233" s="36" t="s">
        <v>527</v>
      </c>
      <c r="C5233" s="48" t="n">
        <f aca="false">C5223*C5230</f>
        <v>0</v>
      </c>
      <c r="D5233" s="48" t="n">
        <f aca="false">D5223*D5230</f>
        <v>0.427734924085128</v>
      </c>
      <c r="E5233" s="48" t="n">
        <f aca="false">E5223*E5230</f>
        <v>0.7331711446085</v>
      </c>
      <c r="F5233" s="48" t="n">
        <f aca="false">F5223*F5230</f>
        <v>0.808989695638228</v>
      </c>
      <c r="G5233" s="48" t="n">
        <f aca="false">G5223*G5230</f>
        <v>0.886363025171412</v>
      </c>
      <c r="H5233" s="48" t="n">
        <f aca="false">H5223*H5230</f>
        <v>1.11925740242819</v>
      </c>
      <c r="I5233" s="48" t="n">
        <f aca="false">I5223*I5230</f>
        <v>1.33733813043515</v>
      </c>
      <c r="J5233" s="48" t="n">
        <f aca="false">J5223*J5230</f>
        <v>1.86352072395331</v>
      </c>
      <c r="K5233" s="48" t="n">
        <f aca="false">K5223*K5230</f>
        <v>2.3485207622942</v>
      </c>
      <c r="L5233" s="48" t="n">
        <f aca="false">L5223*L5230</f>
        <v>2.36520825321389</v>
      </c>
      <c r="M5233" s="48" t="n">
        <f aca="false">M5223*M5230</f>
        <v>2.29517623916623</v>
      </c>
      <c r="N5233" s="48" t="n">
        <f aca="false">N5223*N5230</f>
        <v>2.23000410660077</v>
      </c>
      <c r="P5233" s="49" t="n">
        <f aca="false">SUM(C5233:F5233)</f>
        <v>1.96989576433186</v>
      </c>
      <c r="Q5233" s="49" t="n">
        <f aca="false">SUM(G5233:J5233)</f>
        <v>5.20647928198806</v>
      </c>
      <c r="R5233" s="49" t="n">
        <f aca="false">SUM(K5233:N5233)</f>
        <v>9.23890936127509</v>
      </c>
      <c r="S5233" s="50" t="n">
        <f aca="false">SUM(P5233:R5233)</f>
        <v>16.415284407595</v>
      </c>
    </row>
    <row r="5234" customFormat="false" ht="15" hidden="false" customHeight="false" outlineLevel="0" collapsed="false">
      <c r="A5234" s="4" t="s">
        <v>529</v>
      </c>
      <c r="B5234" s="36" t="s">
        <v>527</v>
      </c>
      <c r="C5234" s="48" t="n">
        <f aca="false">C5224*C5230</f>
        <v>0</v>
      </c>
      <c r="D5234" s="48" t="n">
        <f aca="false">D5224*D5230</f>
        <v>0</v>
      </c>
      <c r="E5234" s="48" t="n">
        <f aca="false">E5224*E5230</f>
        <v>0.0902995950846381</v>
      </c>
      <c r="F5234" s="48" t="n">
        <f aca="false">F5224*F5230</f>
        <v>0.154780574972906</v>
      </c>
      <c r="G5234" s="48" t="n">
        <f aca="false">G5224*G5230</f>
        <v>0.170786713523626</v>
      </c>
      <c r="H5234" s="48" t="n">
        <f aca="false">H5224*H5230</f>
        <v>0.187121083091743</v>
      </c>
      <c r="I5234" s="48" t="n">
        <f aca="false">I5224*I5230</f>
        <v>0.221008101403257</v>
      </c>
      <c r="J5234" s="48" t="n">
        <f aca="false">J5224*J5230</f>
        <v>0.253156627643259</v>
      </c>
      <c r="K5234" s="48" t="n">
        <f aca="false">K5224*K5230</f>
        <v>0.337103193747296</v>
      </c>
      <c r="L5234" s="48" t="n">
        <f aca="false">L5224*L5230</f>
        <v>0.415919241171168</v>
      </c>
      <c r="M5234" s="48" t="n">
        <f aca="false">M5224*M5230</f>
        <v>0.418874568912699</v>
      </c>
      <c r="N5234" s="48" t="n">
        <f aca="false">N5224*N5230</f>
        <v>0.406472012116932</v>
      </c>
      <c r="P5234" s="49" t="n">
        <f aca="false">SUM(C5234:F5234)</f>
        <v>0.245080170057544</v>
      </c>
      <c r="Q5234" s="49" t="n">
        <f aca="false">SUM(G5234:J5234)</f>
        <v>0.832072525661885</v>
      </c>
      <c r="R5234" s="49" t="n">
        <f aca="false">SUM(K5234:N5234)</f>
        <v>1.5783690159481</v>
      </c>
      <c r="S5234" s="50" t="n">
        <f aca="false">SUM(P5234:R5234)</f>
        <v>2.65552171166752</v>
      </c>
    </row>
    <row r="5235" customFormat="false" ht="15" hidden="false" customHeight="false" outlineLevel="0" collapsed="false">
      <c r="A5235" s="9" t="s">
        <v>530</v>
      </c>
      <c r="B5235" s="36" t="s">
        <v>527</v>
      </c>
      <c r="C5235" s="49" t="n">
        <f aca="false">C5232+C5233+C5234</f>
        <v>0</v>
      </c>
      <c r="D5235" s="49" t="n">
        <f aca="false">D5232+D5233+D5234</f>
        <v>1.28143750532624</v>
      </c>
      <c r="E5235" s="49" t="n">
        <f aca="false">E5232+E5233+E5234</f>
        <v>2.28678379504517</v>
      </c>
      <c r="F5235" s="49" t="n">
        <f aca="false">F5232+F5233+F5234</f>
        <v>2.57840716948257</v>
      </c>
      <c r="G5235" s="49" t="n">
        <f aca="false">G5232+G5233+G5234</f>
        <v>2.82621361423427</v>
      </c>
      <c r="H5235" s="49" t="n">
        <f aca="false">H5232+H5233+H5234</f>
        <v>3.58522489939985</v>
      </c>
      <c r="I5235" s="49" t="n">
        <f aca="false">I5232+I5233+I5234</f>
        <v>4.31332282093059</v>
      </c>
      <c r="J5235" s="49" t="n">
        <f aca="false">J5232+J5233+J5234</f>
        <v>6.19811306839049</v>
      </c>
      <c r="K5235" s="49" t="n">
        <f aca="false">K5232+K5233+K5234</f>
        <v>7.96740602848227</v>
      </c>
      <c r="L5235" s="49" t="n">
        <f aca="false">L5232+L5233+L5234</f>
        <v>8.1004394417108</v>
      </c>
      <c r="M5235" s="49" t="n">
        <f aca="false">M5232+M5233+M5234</f>
        <v>7.87586198205298</v>
      </c>
      <c r="N5235" s="49" t="n">
        <f aca="false">N5232+N5233+N5234</f>
        <v>7.65171630769833</v>
      </c>
      <c r="P5235" s="49" t="n">
        <f aca="false">SUM(C5235:F5235)</f>
        <v>6.14662846985398</v>
      </c>
      <c r="Q5235" s="49" t="n">
        <f aca="false">SUM(G5235:J5235)</f>
        <v>16.9228744029552</v>
      </c>
      <c r="R5235" s="49" t="n">
        <f aca="false">SUM(K5235:N5235)</f>
        <v>31.5954237599444</v>
      </c>
      <c r="S5235" s="50" t="n">
        <f aca="false">SUM(P5235:R5235)</f>
        <v>54.6649266327536</v>
      </c>
    </row>
    <row r="5236" customFormat="false" ht="15" hidden="false" customHeight="false" outlineLevel="0" collapsed="false">
      <c r="A5236" s="35" t="s">
        <v>533</v>
      </c>
      <c r="B5236" s="35" t="s">
        <v>444</v>
      </c>
      <c r="C5236" s="6" t="s">
        <v>354</v>
      </c>
      <c r="D5236" s="6" t="s">
        <v>355</v>
      </c>
      <c r="E5236" s="6" t="s">
        <v>356</v>
      </c>
      <c r="F5236" s="6" t="s">
        <v>357</v>
      </c>
      <c r="G5236" s="6" t="s">
        <v>358</v>
      </c>
      <c r="H5236" s="6" t="s">
        <v>359</v>
      </c>
      <c r="I5236" s="6" t="s">
        <v>360</v>
      </c>
      <c r="J5236" s="6" t="s">
        <v>361</v>
      </c>
      <c r="K5236" s="6" t="s">
        <v>362</v>
      </c>
      <c r="L5236" s="6" t="s">
        <v>363</v>
      </c>
      <c r="M5236" s="6" t="s">
        <v>364</v>
      </c>
      <c r="N5236" s="6" t="s">
        <v>365</v>
      </c>
      <c r="P5236" s="6" t="s">
        <v>445</v>
      </c>
      <c r="Q5236" s="6" t="s">
        <v>446</v>
      </c>
      <c r="R5236" s="6" t="s">
        <v>447</v>
      </c>
      <c r="S5236" s="6" t="s">
        <v>448</v>
      </c>
    </row>
    <row r="5237" customFormat="false" ht="15" hidden="false" customHeight="false" outlineLevel="0" collapsed="false">
      <c r="A5237" s="4" t="s">
        <v>534</v>
      </c>
      <c r="B5237" s="36" t="s">
        <v>527</v>
      </c>
      <c r="C5237" s="48" t="n">
        <f aca="false">0*Assumptions!$E$59^(1/4)+C5232</f>
        <v>0</v>
      </c>
      <c r="D5237" s="48" t="n">
        <f aca="false">C5237*Assumptions!$E$59^(1/4)+D5232</f>
        <v>0.853702581241114</v>
      </c>
      <c r="E5237" s="48" t="n">
        <f aca="false">D5237*Assumptions!$E$59^(1/4)+E5232</f>
        <v>2.29016406793859</v>
      </c>
      <c r="F5237" s="48" t="n">
        <f aca="false">E5237*Assumptions!$E$59^(1/4)+F5232</f>
        <v>3.83276827175706</v>
      </c>
      <c r="G5237" s="48" t="n">
        <f aca="false">F5237*Assumptions!$E$59^(1/4)+G5232</f>
        <v>5.48127981133346</v>
      </c>
      <c r="H5237" s="48" t="n">
        <f aca="false">G5237*Assumptions!$E$59^(1/4)+H5232</f>
        <v>7.58772313729612</v>
      </c>
      <c r="I5237" s="48" t="n">
        <f aca="false">H5237*Assumptions!$E$59^(1/4)+I5232</f>
        <v>10.1040425251219</v>
      </c>
      <c r="J5237" s="48" t="n">
        <f aca="false">I5237*Assumptions!$E$59^(1/4)+J5232</f>
        <v>13.8676750660633</v>
      </c>
      <c r="K5237" s="48" t="n">
        <f aca="false">J5237*Assumptions!$E$59^(1/4)+K5232</f>
        <v>18.7132761577997</v>
      </c>
      <c r="L5237" s="48" t="n">
        <f aca="false">K5237*Assumptions!$E$59^(1/4)+L5232</f>
        <v>23.4439980849659</v>
      </c>
      <c r="M5237" s="48" t="n">
        <f aca="false">L5237*Assumptions!$E$59^(1/4)+M5232</f>
        <v>27.8684235019463</v>
      </c>
      <c r="N5237" s="48" t="n">
        <f aca="false">M5237*Assumptions!$E$59^(1/4)+N5232</f>
        <v>32.0071161632515</v>
      </c>
      <c r="P5237" s="49" t="n">
        <f aca="false">F5237</f>
        <v>3.83276827175706</v>
      </c>
      <c r="Q5237" s="49" t="n">
        <f aca="false">J5237</f>
        <v>13.8676750660633</v>
      </c>
      <c r="R5237" s="49" t="n">
        <f aca="false">N5237</f>
        <v>32.0071161632515</v>
      </c>
      <c r="S5237" s="50" t="n">
        <f aca="false">R5237</f>
        <v>32.0071161632515</v>
      </c>
    </row>
    <row r="5238" customFormat="false" ht="15" hidden="false" customHeight="false" outlineLevel="0" collapsed="false">
      <c r="A5238" s="4" t="s">
        <v>535</v>
      </c>
      <c r="B5238" s="36" t="s">
        <v>527</v>
      </c>
      <c r="C5238" s="48" t="n">
        <f aca="false">0*Assumptions!$E$60^(1/4)+C5233</f>
        <v>0</v>
      </c>
      <c r="D5238" s="48" t="n">
        <f aca="false">C5238*Assumptions!$E$60^(1/4)+D5233</f>
        <v>0.427734924085128</v>
      </c>
      <c r="E5238" s="48" t="n">
        <f aca="false">D5238*Assumptions!$E$60^(1/4)+E5233</f>
        <v>1.14978656314436</v>
      </c>
      <c r="F5238" s="48" t="n">
        <f aca="false">E5238*Assumptions!$E$60^(1/4)+F5233</f>
        <v>1.9288861157303</v>
      </c>
      <c r="G5238" s="48" t="n">
        <f aca="false">F5238*Assumptions!$E$60^(1/4)+G5233</f>
        <v>2.76510532832046</v>
      </c>
      <c r="H5238" s="48" t="n">
        <f aca="false">G5238*Assumptions!$E$60^(1/4)+H5233</f>
        <v>3.81248035147287</v>
      </c>
      <c r="I5238" s="48" t="n">
        <f aca="false">H5238*Assumptions!$E$60^(1/4)+I5233</f>
        <v>5.05070827594256</v>
      </c>
      <c r="J5238" s="48" t="n">
        <f aca="false">I5238*Assumptions!$E$60^(1/4)+J5233</f>
        <v>6.78292950682261</v>
      </c>
      <c r="K5238" s="48" t="n">
        <f aca="false">J5238*Assumptions!$E$60^(1/4)+K5233</f>
        <v>8.95511951367811</v>
      </c>
      <c r="L5238" s="48" t="n">
        <f aca="false">K5238*Assumptions!$E$60^(1/4)+L5233</f>
        <v>11.0875282092226</v>
      </c>
      <c r="M5238" s="48" t="n">
        <f aca="false">L5238*Assumptions!$E$60^(1/4)+M5233</f>
        <v>13.0944702535453</v>
      </c>
      <c r="N5238" s="48" t="n">
        <f aca="false">M5238*Assumptions!$E$60^(1/4)+N5233</f>
        <v>14.9840671910085</v>
      </c>
      <c r="P5238" s="49" t="n">
        <f aca="false">F5238</f>
        <v>1.9288861157303</v>
      </c>
      <c r="Q5238" s="49" t="n">
        <f aca="false">J5238</f>
        <v>6.78292950682261</v>
      </c>
      <c r="R5238" s="49" t="n">
        <f aca="false">N5238</f>
        <v>14.9840671910085</v>
      </c>
      <c r="S5238" s="50" t="n">
        <f aca="false">R5238</f>
        <v>14.9840671910085</v>
      </c>
    </row>
    <row r="5239" customFormat="false" ht="15" hidden="false" customHeight="false" outlineLevel="0" collapsed="false">
      <c r="A5239" s="4" t="s">
        <v>536</v>
      </c>
      <c r="B5239" s="36" t="s">
        <v>527</v>
      </c>
      <c r="C5239" s="48" t="n">
        <f aca="false">0*Assumptions!$E$61^(1/4)+C5234</f>
        <v>0</v>
      </c>
      <c r="D5239" s="48" t="n">
        <f aca="false">C5239*Assumptions!$E$61^(1/4)+D5234</f>
        <v>0</v>
      </c>
      <c r="E5239" s="48" t="n">
        <f aca="false">D5239*Assumptions!$E$61^(1/4)+E5234</f>
        <v>0.0902995950846381</v>
      </c>
      <c r="F5239" s="48" t="n">
        <f aca="false">E5239*Assumptions!$E$61^(1/4)+F5234</f>
        <v>0.243217322039402</v>
      </c>
      <c r="G5239" s="48" t="n">
        <f aca="false">F5239*Assumptions!$E$61^(1/4)+G5234</f>
        <v>0.408986550092423</v>
      </c>
      <c r="H5239" s="48" t="n">
        <f aca="false">G5239*Assumptions!$E$61^(1/4)+H5234</f>
        <v>0.587670388437142</v>
      </c>
      <c r="I5239" s="48" t="n">
        <f aca="false">H5239*Assumptions!$E$61^(1/4)+I5234</f>
        <v>0.79655506207315</v>
      </c>
      <c r="J5239" s="48" t="n">
        <f aca="false">I5239*Assumptions!$E$61^(1/4)+J5234</f>
        <v>1.03327904660951</v>
      </c>
      <c r="K5239" s="48" t="n">
        <f aca="false">J5239*Assumptions!$E$61^(1/4)+K5234</f>
        <v>1.34906606698571</v>
      </c>
      <c r="L5239" s="48" t="n">
        <f aca="false">K5239*Assumptions!$E$61^(1/4)+L5234</f>
        <v>1.73715456266051</v>
      </c>
      <c r="M5239" s="48" t="n">
        <f aca="false">L5239*Assumptions!$E$61^(1/4)+M5234</f>
        <v>2.12019226064124</v>
      </c>
      <c r="N5239" s="48" t="n">
        <f aca="false">M5239*Assumptions!$E$61^(1/4)+N5234</f>
        <v>2.482925472522</v>
      </c>
      <c r="P5239" s="49" t="n">
        <f aca="false">F5239</f>
        <v>0.243217322039402</v>
      </c>
      <c r="Q5239" s="49" t="n">
        <f aca="false">J5239</f>
        <v>1.03327904660951</v>
      </c>
      <c r="R5239" s="49" t="n">
        <f aca="false">N5239</f>
        <v>2.482925472522</v>
      </c>
      <c r="S5239" s="50" t="n">
        <f aca="false">R5239</f>
        <v>2.482925472522</v>
      </c>
    </row>
    <row r="5240" customFormat="false" ht="15" hidden="false" customHeight="false" outlineLevel="0" collapsed="false">
      <c r="A5240" s="9" t="s">
        <v>537</v>
      </c>
      <c r="B5240" s="36" t="s">
        <v>527</v>
      </c>
      <c r="C5240" s="49" t="n">
        <f aca="false">C5237+C5238+C5239</f>
        <v>0</v>
      </c>
      <c r="D5240" s="49" t="n">
        <f aca="false">D5237+D5238+D5239</f>
        <v>1.28143750532624</v>
      </c>
      <c r="E5240" s="49" t="n">
        <f aca="false">E5237+E5238+E5239</f>
        <v>3.53025022616758</v>
      </c>
      <c r="F5240" s="49" t="n">
        <f aca="false">F5237+F5238+F5239</f>
        <v>6.00487170952675</v>
      </c>
      <c r="G5240" s="49" t="n">
        <f aca="false">G5237+G5238+G5239</f>
        <v>8.65537168974634</v>
      </c>
      <c r="H5240" s="49" t="n">
        <f aca="false">H5237+H5238+H5239</f>
        <v>11.9878738772061</v>
      </c>
      <c r="I5240" s="49" t="n">
        <f aca="false">I5237+I5238+I5239</f>
        <v>15.9513058631376</v>
      </c>
      <c r="J5240" s="49" t="n">
        <f aca="false">J5237+J5238+J5239</f>
        <v>21.6838836194954</v>
      </c>
      <c r="K5240" s="49" t="n">
        <f aca="false">K5237+K5238+K5239</f>
        <v>29.0174617384635</v>
      </c>
      <c r="L5240" s="49" t="n">
        <f aca="false">L5237+L5238+L5239</f>
        <v>36.268680856849</v>
      </c>
      <c r="M5240" s="49" t="n">
        <f aca="false">M5237+M5238+M5239</f>
        <v>43.0830860161328</v>
      </c>
      <c r="N5240" s="49" t="n">
        <f aca="false">N5237+N5238+N5239</f>
        <v>49.474108826782</v>
      </c>
      <c r="P5240" s="49" t="n">
        <f aca="false">F5240</f>
        <v>6.00487170952675</v>
      </c>
      <c r="Q5240" s="49" t="n">
        <f aca="false">J5240</f>
        <v>21.6838836194954</v>
      </c>
      <c r="R5240" s="49" t="n">
        <f aca="false">N5240</f>
        <v>49.474108826782</v>
      </c>
      <c r="S5240" s="50" t="n">
        <f aca="false">R5240</f>
        <v>49.474108826782</v>
      </c>
    </row>
    <row r="5241" customFormat="false" ht="15" hidden="false" customHeight="false" outlineLevel="0" collapsed="false">
      <c r="A5241" s="4" t="s">
        <v>538</v>
      </c>
      <c r="B5241" s="36" t="s">
        <v>125</v>
      </c>
      <c r="C5241" s="54" t="n">
        <f aca="false">0*Assumptions!$E$62^(1/4)+C5232*$C$5181</f>
        <v>0</v>
      </c>
      <c r="D5241" s="54" t="n">
        <f aca="false">C5241*Assumptions!$E$62^(1/4)+D5232*$C$5181</f>
        <v>4569.01621480244</v>
      </c>
      <c r="E5241" s="54" t="n">
        <f aca="false">D5241*Assumptions!$E$62^(1/4)+E5232*$C$5181</f>
        <v>12400.6676870465</v>
      </c>
      <c r="F5241" s="54" t="n">
        <f aca="false">E5241*Assumptions!$E$62^(1/4)+F5232*$C$5181</f>
        <v>21042.2043698064</v>
      </c>
      <c r="G5241" s="54" t="n">
        <f aca="false">F5241*Assumptions!$E$62^(1/4)+G5232*$C$5181</f>
        <v>30510.2342316924</v>
      </c>
      <c r="H5241" s="54" t="n">
        <f aca="false">G5241*Assumptions!$E$62^(1/4)+H5232*$C$5181</f>
        <v>42706.6202387777</v>
      </c>
      <c r="I5241" s="54" t="n">
        <f aca="false">H5241*Assumptions!$E$62^(1/4)+I5232*$C$5181</f>
        <v>57451.2549435991</v>
      </c>
      <c r="J5241" s="54" t="n">
        <f aca="false">I5241*Assumptions!$E$62^(1/4)+J5232*$C$5181</f>
        <v>79295.0988998802</v>
      </c>
      <c r="K5241" s="54" t="n">
        <f aca="false">J5241*Assumptions!$E$62^(1/4)+K5232*$C$5181</f>
        <v>107563.196551583</v>
      </c>
      <c r="L5241" s="54" t="n">
        <f aca="false">K5241*Assumptions!$E$62^(1/4)+L5232*$C$5181</f>
        <v>136032.154093671</v>
      </c>
      <c r="M5241" s="54" t="n">
        <f aca="false">L5241*Assumptions!$E$62^(1/4)+M5232*$C$5181</f>
        <v>163658.16749678</v>
      </c>
      <c r="N5241" s="54" t="n">
        <f aca="false">M5241*Assumptions!$E$62^(1/4)+N5232*$C$5181</f>
        <v>190499.732988204</v>
      </c>
      <c r="P5241" s="55" t="n">
        <f aca="false">F5241</f>
        <v>21042.2043698064</v>
      </c>
      <c r="Q5241" s="55" t="n">
        <f aca="false">J5241</f>
        <v>79295.0988998802</v>
      </c>
      <c r="R5241" s="55" t="n">
        <f aca="false">N5241</f>
        <v>190499.732988204</v>
      </c>
      <c r="S5241" s="56" t="n">
        <f aca="false">R5241</f>
        <v>190499.732988204</v>
      </c>
    </row>
    <row r="5242" customFormat="false" ht="15" hidden="false" customHeight="false" outlineLevel="0" collapsed="false">
      <c r="A5242" s="4" t="s">
        <v>539</v>
      </c>
      <c r="B5242" s="36" t="s">
        <v>125</v>
      </c>
      <c r="C5242" s="54" t="n">
        <f aca="false">0*Assumptions!$E$63^(1/4)+C5233*$C$5182</f>
        <v>0</v>
      </c>
      <c r="D5242" s="54" t="n">
        <f aca="false">C5242*Assumptions!$E$63^(1/4)+D5233*$C$5182</f>
        <v>4177.56729283246</v>
      </c>
      <c r="E5242" s="54" t="n">
        <f aca="false">D5242*Assumptions!$E$63^(1/4)+E5233*$C$5182</f>
        <v>11399.5456485148</v>
      </c>
      <c r="F5242" s="54" t="n">
        <f aca="false">E5242*Assumptions!$E$63^(1/4)+F5233*$C$5182</f>
        <v>19467.9967720966</v>
      </c>
      <c r="G5242" s="54" t="n">
        <f aca="false">F5242*Assumptions!$E$63^(1/4)+G5233*$C$5182</f>
        <v>28410.5267612655</v>
      </c>
      <c r="H5242" s="54" t="n">
        <f aca="false">G5242*Assumptions!$E$63^(1/4)+H5233*$C$5182</f>
        <v>39758.8922620811</v>
      </c>
      <c r="I5242" s="54" t="n">
        <f aca="false">H5242*Assumptions!$E$63^(1/4)+I5233*$C$5182</f>
        <v>53403.7153684398</v>
      </c>
      <c r="J5242" s="54" t="n">
        <f aca="false">I5242*Assumptions!$E$63^(1/4)+J5233*$C$5182</f>
        <v>72387.8386375726</v>
      </c>
      <c r="K5242" s="54" t="n">
        <f aca="false">J5242*Assumptions!$E$63^(1/4)+K5233*$C$5182</f>
        <v>96387.391648113</v>
      </c>
      <c r="L5242" s="54" t="n">
        <f aca="false">K5242*Assumptions!$E$63^(1/4)+L5233*$C$5182</f>
        <v>120902.09246111</v>
      </c>
      <c r="M5242" s="54" t="n">
        <f aca="false">L5242*Assumptions!$E$63^(1/4)+M5233*$C$5182</f>
        <v>145092.535141452</v>
      </c>
      <c r="N5242" s="54" t="n">
        <f aca="false">M5242*Assumptions!$E$63^(1/4)+N5233*$C$5182</f>
        <v>169001.426677476</v>
      </c>
      <c r="P5242" s="55" t="n">
        <f aca="false">F5242</f>
        <v>19467.9967720966</v>
      </c>
      <c r="Q5242" s="55" t="n">
        <f aca="false">J5242</f>
        <v>72387.8386375726</v>
      </c>
      <c r="R5242" s="55" t="n">
        <f aca="false">N5242</f>
        <v>169001.426677476</v>
      </c>
      <c r="S5242" s="56" t="n">
        <f aca="false">R5242</f>
        <v>169001.426677476</v>
      </c>
    </row>
    <row r="5243" customFormat="false" ht="15" hidden="false" customHeight="false" outlineLevel="0" collapsed="false">
      <c r="A5243" s="4" t="s">
        <v>540</v>
      </c>
      <c r="B5243" s="36" t="s">
        <v>125</v>
      </c>
      <c r="C5243" s="54" t="n">
        <f aca="false">0*Assumptions!$E$64^(1/4)+C5234*$C$5183</f>
        <v>0</v>
      </c>
      <c r="D5243" s="54" t="n">
        <f aca="false">C5243*Assumptions!$E$64^(1/4)+D5234*$C$5183</f>
        <v>0</v>
      </c>
      <c r="E5243" s="54" t="n">
        <f aca="false">D5243*Assumptions!$E$64^(1/4)+E5234*$C$5183</f>
        <v>5578.55152165033</v>
      </c>
      <c r="F5243" s="54" t="n">
        <f aca="false">E5243*Assumptions!$E$64^(1/4)+F5234*$C$5183</f>
        <v>15338.988101001</v>
      </c>
      <c r="G5243" s="54" t="n">
        <f aca="false">F5243*Assumptions!$E$64^(1/4)+G5234*$C$5183</f>
        <v>26435.3183578381</v>
      </c>
      <c r="H5243" s="54" t="n">
        <f aca="false">G5243*Assumptions!$E$64^(1/4)+H5234*$C$5183</f>
        <v>38935.3216414217</v>
      </c>
      <c r="I5243" s="54" t="n">
        <f aca="false">H5243*Assumptions!$E$64^(1/4)+I5234*$C$5183</f>
        <v>53973.2818957951</v>
      </c>
      <c r="J5243" s="54" t="n">
        <f aca="false">I5243*Assumptions!$E$64^(1/4)+J5234*$C$5183</f>
        <v>71532.0429800479</v>
      </c>
      <c r="K5243" s="54" t="n">
        <f aca="false">J5243*Assumptions!$E$64^(1/4)+K5234*$C$5183</f>
        <v>94901.2323009161</v>
      </c>
      <c r="L5243" s="54" t="n">
        <f aca="false">K5243*Assumptions!$E$64^(1/4)+L5234*$C$5183</f>
        <v>123970.503011653</v>
      </c>
      <c r="M5243" s="54" t="n">
        <f aca="false">L5243*Assumptions!$E$64^(1/4)+M5234*$C$5183</f>
        <v>154255.996063946</v>
      </c>
      <c r="N5243" s="54" t="n">
        <f aca="false">M5243*Assumptions!$E$64^(1/4)+N5234*$C$5183</f>
        <v>184852.174658732</v>
      </c>
      <c r="P5243" s="55" t="n">
        <f aca="false">F5243</f>
        <v>15338.988101001</v>
      </c>
      <c r="Q5243" s="55" t="n">
        <f aca="false">J5243</f>
        <v>71532.0429800479</v>
      </c>
      <c r="R5243" s="55" t="n">
        <f aca="false">N5243</f>
        <v>184852.174658732</v>
      </c>
      <c r="S5243" s="56" t="n">
        <f aca="false">R5243</f>
        <v>184852.174658732</v>
      </c>
    </row>
    <row r="5244" customFormat="false" ht="15" hidden="false" customHeight="false" outlineLevel="0" collapsed="false">
      <c r="A5244" s="9" t="s">
        <v>541</v>
      </c>
      <c r="B5244" s="36" t="s">
        <v>125</v>
      </c>
      <c r="C5244" s="55" t="n">
        <f aca="false">C5241+C5242+C5243</f>
        <v>0</v>
      </c>
      <c r="D5244" s="55" t="n">
        <f aca="false">D5241+D5242+D5243</f>
        <v>8746.58350763491</v>
      </c>
      <c r="E5244" s="55" t="n">
        <f aca="false">E5241+E5242+E5243</f>
        <v>29378.7648572116</v>
      </c>
      <c r="F5244" s="55" t="n">
        <f aca="false">F5241+F5242+F5243</f>
        <v>55849.189242904</v>
      </c>
      <c r="G5244" s="55" t="n">
        <f aca="false">G5241+G5242+G5243</f>
        <v>85356.079350796</v>
      </c>
      <c r="H5244" s="55" t="n">
        <f aca="false">H5241+H5242+H5243</f>
        <v>121400.83414228</v>
      </c>
      <c r="I5244" s="55" t="n">
        <f aca="false">I5241+I5242+I5243</f>
        <v>164828.252207834</v>
      </c>
      <c r="J5244" s="55" t="n">
        <f aca="false">J5241+J5242+J5243</f>
        <v>223214.980517501</v>
      </c>
      <c r="K5244" s="55" t="n">
        <f aca="false">K5241+K5242+K5243</f>
        <v>298851.820500612</v>
      </c>
      <c r="L5244" s="55" t="n">
        <f aca="false">L5241+L5242+L5243</f>
        <v>380904.749566434</v>
      </c>
      <c r="M5244" s="55" t="n">
        <f aca="false">M5241+M5242+M5243</f>
        <v>463006.698702178</v>
      </c>
      <c r="N5244" s="55" t="n">
        <f aca="false">N5241+N5242+N5243</f>
        <v>544353.334324412</v>
      </c>
      <c r="P5244" s="55" t="n">
        <f aca="false">F5244</f>
        <v>55849.189242904</v>
      </c>
      <c r="Q5244" s="55" t="n">
        <f aca="false">J5244</f>
        <v>223214.980517501</v>
      </c>
      <c r="R5244" s="55" t="n">
        <f aca="false">N5244</f>
        <v>544353.334324412</v>
      </c>
      <c r="S5244" s="56" t="n">
        <f aca="false">R5244</f>
        <v>544353.334324412</v>
      </c>
    </row>
    <row r="5245" customFormat="false" ht="15" hidden="false" customHeight="false" outlineLevel="0" collapsed="false">
      <c r="A5245" s="4" t="s">
        <v>542</v>
      </c>
      <c r="B5245" s="36" t="s">
        <v>125</v>
      </c>
      <c r="C5245" s="54" t="n">
        <f aca="false">C5232*$C$5181+C5233*$C$5182+C5234*$C$5183</f>
        <v>0</v>
      </c>
      <c r="D5245" s="54" t="n">
        <f aca="false">D5232*$C$5181+D5233*$C$5182+D5234*$C$5183</f>
        <v>8746.58350763491</v>
      </c>
      <c r="E5245" s="54" t="n">
        <f aca="false">E5232*$C$5181+E5233*$C$5182+E5234*$C$5183</f>
        <v>20570.8803697625</v>
      </c>
      <c r="F5245" s="54" t="n">
        <f aca="false">F5232*$C$5181+F5233*$C$5182+F5234*$C$5183</f>
        <v>26104.786645571</v>
      </c>
      <c r="G5245" s="54" t="n">
        <f aca="false">G5232*$C$5181+G5233*$C$5182+G5234*$C$5183</f>
        <v>28675.7948081476</v>
      </c>
      <c r="H5245" s="54" t="n">
        <f aca="false">H5232*$C$5181+H5233*$C$5182+H5234*$C$5183</f>
        <v>34687.874023936</v>
      </c>
      <c r="I5245" s="54" t="n">
        <f aca="false">I5232*$C$5181+I5233*$C$5182+I5234*$C$5183</f>
        <v>41459.5370573521</v>
      </c>
      <c r="J5245" s="54" t="n">
        <f aca="false">J5232*$C$5181+J5233*$C$5182+J5234*$C$5183</f>
        <v>55683.9043274568</v>
      </c>
      <c r="K5245" s="54" t="n">
        <f aca="false">K5232*$C$5181+K5233*$C$5182+K5234*$C$5183</f>
        <v>72031.0901293054</v>
      </c>
      <c r="L5245" s="54" t="n">
        <f aca="false">L5232*$C$5181+L5233*$C$5182+L5234*$C$5183</f>
        <v>77264.0500451089</v>
      </c>
      <c r="M5245" s="54" t="n">
        <f aca="false">M5232*$C$5181+M5233*$C$5182+M5234*$C$5183</f>
        <v>75919.697819303</v>
      </c>
      <c r="N5245" s="54" t="n">
        <f aca="false">N5232*$C$5181+N5233*$C$5182+N5234*$C$5183</f>
        <v>73732.5235971524</v>
      </c>
      <c r="P5245" s="55" t="n">
        <f aca="false">SUM(C5245:F5245)</f>
        <v>55422.2505229684</v>
      </c>
      <c r="Q5245" s="55" t="n">
        <f aca="false">SUM(G5245:J5245)</f>
        <v>160507.110216893</v>
      </c>
      <c r="R5245" s="55" t="n">
        <f aca="false">SUM(K5245:N5245)</f>
        <v>298947.36159087</v>
      </c>
      <c r="S5245" s="56" t="n">
        <f aca="false">SUM(P5245:R5245)</f>
        <v>514876.722330731</v>
      </c>
    </row>
    <row r="5246" customFormat="false" ht="15" hidden="false" customHeight="false" outlineLevel="0" collapsed="false">
      <c r="A5246" s="9" t="s">
        <v>543</v>
      </c>
      <c r="B5246" s="36" t="s">
        <v>125</v>
      </c>
      <c r="C5246" s="55" t="n">
        <f aca="false">(0+C5244)/8</f>
        <v>0</v>
      </c>
      <c r="D5246" s="55" t="n">
        <f aca="false">(C5244+D5244)/8</f>
        <v>1093.32293845436</v>
      </c>
      <c r="E5246" s="55" t="n">
        <f aca="false">(D5244+E5244)/8</f>
        <v>4765.66854560582</v>
      </c>
      <c r="F5246" s="55" t="n">
        <f aca="false">(E5244+F5244)/8</f>
        <v>10653.4942625145</v>
      </c>
      <c r="G5246" s="55" t="n">
        <f aca="false">(F5244+G5244)/8</f>
        <v>17650.6585742125</v>
      </c>
      <c r="H5246" s="55" t="n">
        <f aca="false">(G5244+H5244)/8</f>
        <v>25844.6141866346</v>
      </c>
      <c r="I5246" s="55" t="n">
        <f aca="false">(H5244+I5244)/8</f>
        <v>35778.6357937643</v>
      </c>
      <c r="J5246" s="55" t="n">
        <f aca="false">(I5244+J5244)/8</f>
        <v>48505.4040906668</v>
      </c>
      <c r="K5246" s="55" t="n">
        <f aca="false">(J5244+K5244)/8</f>
        <v>65258.3501272641</v>
      </c>
      <c r="L5246" s="55" t="n">
        <f aca="false">(K5244+L5244)/8</f>
        <v>84969.5712583808</v>
      </c>
      <c r="M5246" s="55" t="n">
        <f aca="false">(L5244+M5244)/8</f>
        <v>105488.931033576</v>
      </c>
      <c r="N5246" s="55" t="n">
        <f aca="false">(M5244+N5244)/8</f>
        <v>125920.004128324</v>
      </c>
      <c r="P5246" s="55" t="n">
        <f aca="false">SUM(C5246:F5246)</f>
        <v>16512.4857465746</v>
      </c>
      <c r="Q5246" s="55" t="n">
        <f aca="false">SUM(G5246:J5246)</f>
        <v>127779.312645278</v>
      </c>
      <c r="R5246" s="55" t="n">
        <f aca="false">SUM(K5246:N5246)</f>
        <v>381636.856547545</v>
      </c>
      <c r="S5246" s="56" t="n">
        <f aca="false">SUM(P5246:R5246)</f>
        <v>525928.654939398</v>
      </c>
    </row>
    <row r="5247" customFormat="false" ht="15" hidden="false" customHeight="false" outlineLevel="0" collapsed="false">
      <c r="A5247" s="4" t="s">
        <v>544</v>
      </c>
      <c r="B5247" s="36" t="s">
        <v>125</v>
      </c>
      <c r="C5247" s="54" t="n">
        <f aca="false">C5246*Assumptions!$E$76</f>
        <v>0</v>
      </c>
      <c r="D5247" s="54" t="n">
        <f aca="false">D5246*Assumptions!$E$76</f>
        <v>710.659909995336</v>
      </c>
      <c r="E5247" s="54" t="n">
        <f aca="false">E5246*Assumptions!$E$76</f>
        <v>3097.68455464378</v>
      </c>
      <c r="F5247" s="54" t="n">
        <f aca="false">F5246*Assumptions!$E$76</f>
        <v>6924.7712706344</v>
      </c>
      <c r="G5247" s="54" t="n">
        <f aca="false">G5246*Assumptions!$E$76</f>
        <v>11472.9280732381</v>
      </c>
      <c r="H5247" s="54" t="n">
        <f aca="false">H5246*Assumptions!$E$76</f>
        <v>16798.9992213125</v>
      </c>
      <c r="I5247" s="54" t="n">
        <f aca="false">I5246*Assumptions!$E$76</f>
        <v>23256.1132659468</v>
      </c>
      <c r="J5247" s="54" t="n">
        <f aca="false">J5246*Assumptions!$E$76</f>
        <v>31528.5126589334</v>
      </c>
      <c r="K5247" s="54" t="n">
        <f aca="false">K5246*Assumptions!$E$76</f>
        <v>42417.9275827217</v>
      </c>
      <c r="L5247" s="54" t="n">
        <f aca="false">L5246*Assumptions!$E$76</f>
        <v>55230.2213179475</v>
      </c>
      <c r="M5247" s="54" t="n">
        <f aca="false">M5246*Assumptions!$E$76</f>
        <v>68567.8051718247</v>
      </c>
      <c r="N5247" s="54" t="n">
        <f aca="false">N5246*Assumptions!$E$76</f>
        <v>81848.0026834104</v>
      </c>
      <c r="P5247" s="55" t="n">
        <f aca="false">SUM(C5247:F5247)</f>
        <v>10733.1157352735</v>
      </c>
      <c r="Q5247" s="55" t="n">
        <f aca="false">SUM(G5247:J5247)</f>
        <v>83056.5532194308</v>
      </c>
      <c r="R5247" s="55" t="n">
        <f aca="false">SUM(K5247:N5247)</f>
        <v>248063.956755904</v>
      </c>
      <c r="S5247" s="56" t="n">
        <f aca="false">SUM(P5247:R5247)</f>
        <v>341853.625710609</v>
      </c>
    </row>
    <row r="5248" customFormat="false" ht="15" hidden="false" customHeight="false" outlineLevel="0" collapsed="false">
      <c r="A5248" s="35" t="s">
        <v>547</v>
      </c>
      <c r="B5248" s="35" t="s">
        <v>444</v>
      </c>
      <c r="C5248" s="6" t="s">
        <v>354</v>
      </c>
      <c r="D5248" s="6" t="s">
        <v>355</v>
      </c>
      <c r="E5248" s="6" t="s">
        <v>356</v>
      </c>
      <c r="F5248" s="6" t="s">
        <v>357</v>
      </c>
      <c r="G5248" s="6" t="s">
        <v>358</v>
      </c>
      <c r="H5248" s="6" t="s">
        <v>359</v>
      </c>
      <c r="I5248" s="6" t="s">
        <v>360</v>
      </c>
      <c r="J5248" s="6" t="s">
        <v>361</v>
      </c>
      <c r="K5248" s="6" t="s">
        <v>362</v>
      </c>
      <c r="L5248" s="6" t="s">
        <v>363</v>
      </c>
      <c r="M5248" s="6" t="s">
        <v>364</v>
      </c>
      <c r="N5248" s="6" t="s">
        <v>365</v>
      </c>
      <c r="P5248" s="6" t="s">
        <v>445</v>
      </c>
      <c r="Q5248" s="6" t="s">
        <v>446</v>
      </c>
      <c r="R5248" s="6" t="s">
        <v>447</v>
      </c>
      <c r="S5248" s="6" t="s">
        <v>448</v>
      </c>
    </row>
    <row r="5249" customFormat="false" ht="15" hidden="false" customHeight="false" outlineLevel="0" collapsed="false">
      <c r="A5249" s="4" t="s">
        <v>548</v>
      </c>
      <c r="B5249" s="36" t="s">
        <v>321</v>
      </c>
      <c r="C5249" s="48" t="n">
        <f aca="false">Assumptions!$D$97*C5191</f>
        <v>1</v>
      </c>
      <c r="D5249" s="48" t="n">
        <f aca="false">Assumptions!$D$97*D5191</f>
        <v>1</v>
      </c>
      <c r="E5249" s="48" t="n">
        <f aca="false">Assumptions!$D$97*E5191</f>
        <v>1</v>
      </c>
      <c r="F5249" s="48" t="n">
        <f aca="false">Assumptions!$D$97*F5191</f>
        <v>1</v>
      </c>
      <c r="G5249" s="48" t="n">
        <f aca="false">Assumptions!$D$97*G5191</f>
        <v>1</v>
      </c>
      <c r="H5249" s="48" t="n">
        <f aca="false">Assumptions!$D$97*H5191</f>
        <v>1</v>
      </c>
      <c r="I5249" s="48" t="n">
        <f aca="false">Assumptions!$D$97*I5191</f>
        <v>1</v>
      </c>
      <c r="J5249" s="48" t="n">
        <f aca="false">Assumptions!$D$97*J5191</f>
        <v>1</v>
      </c>
      <c r="K5249" s="48" t="n">
        <f aca="false">Assumptions!$D$97*K5191</f>
        <v>1</v>
      </c>
      <c r="L5249" s="48" t="n">
        <f aca="false">Assumptions!$D$97*L5191</f>
        <v>1</v>
      </c>
      <c r="M5249" s="48" t="n">
        <f aca="false">Assumptions!$D$97*M5191</f>
        <v>1</v>
      </c>
      <c r="N5249" s="48" t="n">
        <f aca="false">Assumptions!$D$97*N5191</f>
        <v>1</v>
      </c>
      <c r="P5249" s="49" t="n">
        <f aca="false">AVERAGE(C5249:F5249)</f>
        <v>1</v>
      </c>
      <c r="Q5249" s="49" t="n">
        <f aca="false">AVERAGE(G5249:J5249)</f>
        <v>1</v>
      </c>
      <c r="R5249" s="49" t="n">
        <f aca="false">AVERAGE(K5249:N5249)</f>
        <v>1</v>
      </c>
      <c r="S5249" s="50"/>
    </row>
    <row r="5250" customFormat="false" ht="15" hidden="false" customHeight="false" outlineLevel="0" collapsed="false">
      <c r="A5250" s="4" t="s">
        <v>549</v>
      </c>
      <c r="B5250" s="36" t="s">
        <v>321</v>
      </c>
      <c r="C5250" s="48" t="n">
        <f aca="false">C5204*C5191</f>
        <v>0</v>
      </c>
      <c r="D5250" s="48" t="n">
        <f aca="false">D5204*D5191</f>
        <v>0</v>
      </c>
      <c r="E5250" s="48" t="n">
        <f aca="false">E5204*E5191</f>
        <v>0</v>
      </c>
      <c r="F5250" s="48" t="n">
        <f aca="false">F5204*F5191</f>
        <v>0</v>
      </c>
      <c r="G5250" s="48" t="n">
        <f aca="false">G5204*G5191</f>
        <v>0</v>
      </c>
      <c r="H5250" s="48" t="n">
        <f aca="false">H5204*H5191</f>
        <v>0</v>
      </c>
      <c r="I5250" s="48" t="n">
        <f aca="false">I5204*I5191</f>
        <v>0</v>
      </c>
      <c r="J5250" s="48" t="n">
        <f aca="false">J5204*J5191</f>
        <v>0</v>
      </c>
      <c r="K5250" s="48" t="n">
        <f aca="false">K5204*K5191</f>
        <v>0</v>
      </c>
      <c r="L5250" s="48" t="n">
        <f aca="false">L5204*L5191</f>
        <v>0</v>
      </c>
      <c r="M5250" s="48" t="n">
        <f aca="false">M5204*M5191</f>
        <v>0</v>
      </c>
      <c r="N5250" s="48" t="n">
        <f aca="false">N5204*N5191</f>
        <v>0</v>
      </c>
      <c r="P5250" s="49" t="n">
        <f aca="false">AVERAGE(C5250:F5250)</f>
        <v>0</v>
      </c>
      <c r="Q5250" s="49" t="n">
        <f aca="false">AVERAGE(G5250:J5250)</f>
        <v>0</v>
      </c>
      <c r="R5250" s="49" t="n">
        <f aca="false">AVERAGE(K5250:N5250)</f>
        <v>0</v>
      </c>
      <c r="S5250" s="50"/>
    </row>
    <row r="5251" customFormat="false" ht="15" hidden="false" customHeight="false" outlineLevel="0" collapsed="false">
      <c r="A5251" s="4" t="s">
        <v>550</v>
      </c>
      <c r="B5251" s="36" t="s">
        <v>321</v>
      </c>
      <c r="C5251" s="48" t="n">
        <f aca="false">IF(C5190&lt;=4,Assumptions!$D$98,Assumptions!$D$99)*C5191</f>
        <v>0</v>
      </c>
      <c r="D5251" s="48" t="n">
        <f aca="false">IF(D5190&lt;=4,Assumptions!$D$98,Assumptions!$D$99)*D5191</f>
        <v>0</v>
      </c>
      <c r="E5251" s="48" t="n">
        <f aca="false">IF(E5190&lt;=4,Assumptions!$D$98,Assumptions!$D$99)*E5191</f>
        <v>0</v>
      </c>
      <c r="F5251" s="48" t="n">
        <f aca="false">IF(F5190&lt;=4,Assumptions!$D$98,Assumptions!$D$99)*F5191</f>
        <v>0</v>
      </c>
      <c r="G5251" s="48" t="n">
        <f aca="false">IF(G5190&lt;=4,Assumptions!$D$98,Assumptions!$D$99)*G5191</f>
        <v>0.5</v>
      </c>
      <c r="H5251" s="48" t="n">
        <f aca="false">IF(H5190&lt;=4,Assumptions!$D$98,Assumptions!$D$99)*H5191</f>
        <v>0.5</v>
      </c>
      <c r="I5251" s="48" t="n">
        <f aca="false">IF(I5190&lt;=4,Assumptions!$D$98,Assumptions!$D$99)*I5191</f>
        <v>0.5</v>
      </c>
      <c r="J5251" s="48" t="n">
        <f aca="false">IF(J5190&lt;=4,Assumptions!$D$98,Assumptions!$D$99)*J5191</f>
        <v>0.5</v>
      </c>
      <c r="K5251" s="48" t="n">
        <f aca="false">IF(K5190&lt;=4,Assumptions!$D$98,Assumptions!$D$99)*K5191</f>
        <v>0.5</v>
      </c>
      <c r="L5251" s="48" t="n">
        <f aca="false">IF(L5190&lt;=4,Assumptions!$D$98,Assumptions!$D$99)*L5191</f>
        <v>0.5</v>
      </c>
      <c r="M5251" s="48" t="n">
        <f aca="false">IF(M5190&lt;=4,Assumptions!$D$98,Assumptions!$D$99)*M5191</f>
        <v>0.5</v>
      </c>
      <c r="N5251" s="48" t="n">
        <f aca="false">IF(N5190&lt;=4,Assumptions!$D$98,Assumptions!$D$99)*N5191</f>
        <v>0.5</v>
      </c>
      <c r="P5251" s="49" t="n">
        <f aca="false">AVERAGE(C5251:F5251)</f>
        <v>0</v>
      </c>
      <c r="Q5251" s="49" t="n">
        <f aca="false">AVERAGE(G5251:J5251)</f>
        <v>0.5</v>
      </c>
      <c r="R5251" s="49" t="n">
        <f aca="false">AVERAGE(K5251:N5251)</f>
        <v>0.5</v>
      </c>
      <c r="S5251" s="50"/>
    </row>
    <row r="5252" customFormat="false" ht="15" hidden="false" customHeight="false" outlineLevel="0" collapsed="false">
      <c r="A5252" s="4" t="s">
        <v>551</v>
      </c>
      <c r="B5252" s="36" t="s">
        <v>321</v>
      </c>
      <c r="C5252" s="48" t="n">
        <f aca="false">IF(C5190&lt;=4,Assumptions!$D$100,Assumptions!$D$101)*C5191</f>
        <v>1</v>
      </c>
      <c r="D5252" s="48" t="n">
        <f aca="false">IF(D5190&lt;=4,Assumptions!$D$100,Assumptions!$D$101)*D5191</f>
        <v>1</v>
      </c>
      <c r="E5252" s="48" t="n">
        <f aca="false">IF(E5190&lt;=4,Assumptions!$D$100,Assumptions!$D$101)*E5191</f>
        <v>1</v>
      </c>
      <c r="F5252" s="48" t="n">
        <f aca="false">IF(F5190&lt;=4,Assumptions!$D$100,Assumptions!$D$101)*F5191</f>
        <v>1</v>
      </c>
      <c r="G5252" s="48" t="n">
        <f aca="false">IF(G5190&lt;=4,Assumptions!$D$100,Assumptions!$D$101)*G5191</f>
        <v>0.5</v>
      </c>
      <c r="H5252" s="48" t="n">
        <f aca="false">IF(H5190&lt;=4,Assumptions!$D$100,Assumptions!$D$101)*H5191</f>
        <v>0.5</v>
      </c>
      <c r="I5252" s="48" t="n">
        <f aca="false">IF(I5190&lt;=4,Assumptions!$D$100,Assumptions!$D$101)*I5191</f>
        <v>0.5</v>
      </c>
      <c r="J5252" s="48" t="n">
        <f aca="false">IF(J5190&lt;=4,Assumptions!$D$100,Assumptions!$D$101)*J5191</f>
        <v>0.5</v>
      </c>
      <c r="K5252" s="48" t="n">
        <f aca="false">IF(K5190&lt;=4,Assumptions!$D$100,Assumptions!$D$101)*K5191</f>
        <v>0.5</v>
      </c>
      <c r="L5252" s="48" t="n">
        <f aca="false">IF(L5190&lt;=4,Assumptions!$D$100,Assumptions!$D$101)*L5191</f>
        <v>0.5</v>
      </c>
      <c r="M5252" s="48" t="n">
        <f aca="false">IF(M5190&lt;=4,Assumptions!$D$100,Assumptions!$D$101)*M5191</f>
        <v>0.5</v>
      </c>
      <c r="N5252" s="48" t="n">
        <f aca="false">IF(N5190&lt;=4,Assumptions!$D$100,Assumptions!$D$101)*N5191</f>
        <v>0.5</v>
      </c>
      <c r="P5252" s="49" t="n">
        <f aca="false">AVERAGE(C5252:F5252)</f>
        <v>1</v>
      </c>
      <c r="Q5252" s="49" t="n">
        <f aca="false">AVERAGE(G5252:J5252)</f>
        <v>0.5</v>
      </c>
      <c r="R5252" s="49" t="n">
        <f aca="false">AVERAGE(K5252:N5252)</f>
        <v>0.5</v>
      </c>
      <c r="S5252" s="50"/>
    </row>
    <row r="5253" customFormat="false" ht="15" hidden="false" customHeight="false" outlineLevel="0" collapsed="false">
      <c r="A5253" s="4" t="s">
        <v>552</v>
      </c>
      <c r="B5253" s="36" t="s">
        <v>321</v>
      </c>
      <c r="C5253" s="48" t="n">
        <f aca="false">Assumptions!$D$102*C5191</f>
        <v>0.25</v>
      </c>
      <c r="D5253" s="48" t="n">
        <f aca="false">Assumptions!$D$102*D5191</f>
        <v>0.25</v>
      </c>
      <c r="E5253" s="48" t="n">
        <f aca="false">Assumptions!$D$102*E5191</f>
        <v>0.25</v>
      </c>
      <c r="F5253" s="48" t="n">
        <f aca="false">Assumptions!$D$102*F5191</f>
        <v>0.25</v>
      </c>
      <c r="G5253" s="48" t="n">
        <f aca="false">Assumptions!$D$102*G5191</f>
        <v>0.25</v>
      </c>
      <c r="H5253" s="48" t="n">
        <f aca="false">Assumptions!$D$102*H5191</f>
        <v>0.25</v>
      </c>
      <c r="I5253" s="48" t="n">
        <f aca="false">Assumptions!$D$102*I5191</f>
        <v>0.25</v>
      </c>
      <c r="J5253" s="48" t="n">
        <f aca="false">Assumptions!$D$102*J5191</f>
        <v>0.25</v>
      </c>
      <c r="K5253" s="48" t="n">
        <f aca="false">Assumptions!$D$102*K5191</f>
        <v>0.25</v>
      </c>
      <c r="L5253" s="48" t="n">
        <f aca="false">Assumptions!$D$102*L5191</f>
        <v>0.25</v>
      </c>
      <c r="M5253" s="48" t="n">
        <f aca="false">Assumptions!$D$102*M5191</f>
        <v>0.25</v>
      </c>
      <c r="N5253" s="48" t="n">
        <f aca="false">Assumptions!$D$102*N5191</f>
        <v>0.25</v>
      </c>
      <c r="P5253" s="49" t="n">
        <f aca="false">AVERAGE(C5253:F5253)</f>
        <v>0.25</v>
      </c>
      <c r="Q5253" s="49" t="n">
        <f aca="false">AVERAGE(G5253:J5253)</f>
        <v>0.25</v>
      </c>
      <c r="R5253" s="49" t="n">
        <f aca="false">AVERAGE(K5253:N5253)</f>
        <v>0.25</v>
      </c>
      <c r="S5253" s="50"/>
    </row>
    <row r="5254" customFormat="false" ht="15" hidden="false" customHeight="false" outlineLevel="0" collapsed="false">
      <c r="A5254" s="4" t="s">
        <v>553</v>
      </c>
      <c r="B5254" s="36" t="s">
        <v>321</v>
      </c>
      <c r="C5254" s="48" t="n">
        <f aca="false">(C5238+C5239)/Assumptions!$E$74+C5237/Assumptions!$E$75</f>
        <v>0</v>
      </c>
      <c r="D5254" s="48" t="n">
        <f aca="false">(D5238+D5239)/Assumptions!$E$74+D5237/Assumptions!$E$75</f>
        <v>0.0141081834270927</v>
      </c>
      <c r="E5254" s="48" t="n">
        <f aca="false">(E5238+E5239)/Assumptions!$E$74+E5237/Assumptions!$E$75</f>
        <v>0.0401628102274792</v>
      </c>
      <c r="F5254" s="48" t="n">
        <f aca="false">(F5238+F5239)/Assumptions!$E$74+F5237/Assumptions!$E$75</f>
        <v>0.0696336590312707</v>
      </c>
      <c r="G5254" s="48" t="n">
        <f aca="false">(G5238+G5239)/Assumptions!$E$74+G5237/Assumptions!$E$75</f>
        <v>0.101277416205656</v>
      </c>
      <c r="H5254" s="48" t="n">
        <f aca="false">(H5238+H5239)/Assumptions!$E$74+H5237/Assumptions!$E$75</f>
        <v>0.140354661046935</v>
      </c>
      <c r="I5254" s="48" t="n">
        <f aca="false">(I5238+I5239)/Assumptions!$E$74+I5237/Assumptions!$E$75</f>
        <v>0.18659775355088</v>
      </c>
      <c r="J5254" s="48" t="n">
        <f aca="false">(J5238+J5239)/Assumptions!$E$74+J5237/Assumptions!$E$75</f>
        <v>0.250875914100056</v>
      </c>
      <c r="K5254" s="48" t="n">
        <f aca="false">(K5238+K5239)/Assumptions!$E$74+K5237/Assumptions!$E$75</f>
        <v>0.332457744147794</v>
      </c>
      <c r="L5254" s="48" t="n">
        <f aca="false">(L5238+L5239)/Assumptions!$E$74+L5237/Assumptions!$E$75</f>
        <v>0.414393061636942</v>
      </c>
      <c r="M5254" s="48" t="n">
        <f aca="false">(M5238+M5239)/Assumptions!$E$74+M5237/Assumptions!$E$75</f>
        <v>0.491840256862447</v>
      </c>
      <c r="N5254" s="48" t="n">
        <f aca="false">(N5238+N5239)/Assumptions!$E$74+N5237/Assumptions!$E$75</f>
        <v>0.564703281241267</v>
      </c>
      <c r="P5254" s="49" t="n">
        <f aca="false">AVERAGE(C5254:F5254)</f>
        <v>0.0309761631714606</v>
      </c>
      <c r="Q5254" s="49" t="n">
        <f aca="false">AVERAGE(G5254:J5254)</f>
        <v>0.169776436225882</v>
      </c>
      <c r="R5254" s="49" t="n">
        <f aca="false">AVERAGE(K5254:N5254)</f>
        <v>0.450848585972113</v>
      </c>
      <c r="S5254" s="50"/>
    </row>
    <row r="5255" customFormat="false" ht="15" hidden="false" customHeight="false" outlineLevel="0" collapsed="false">
      <c r="A5255" s="4" t="s">
        <v>554</v>
      </c>
      <c r="B5255" s="36" t="s">
        <v>125</v>
      </c>
      <c r="C5255" s="54" t="n">
        <f aca="false">(C5249+C5251)*Assumptions!$E$70/Assumptions!$E$69/4</f>
        <v>66753.5714285714</v>
      </c>
      <c r="D5255" s="54" t="n">
        <f aca="false">(D5249+D5251)*Assumptions!$E$70/Assumptions!$E$69/4</f>
        <v>66753.5714285714</v>
      </c>
      <c r="E5255" s="54" t="n">
        <f aca="false">(E5249+E5251)*Assumptions!$E$70/Assumptions!$E$69/4</f>
        <v>66753.5714285714</v>
      </c>
      <c r="F5255" s="54" t="n">
        <f aca="false">(F5249+F5251)*Assumptions!$E$70/Assumptions!$E$69/4</f>
        <v>66753.5714285714</v>
      </c>
      <c r="G5255" s="54" t="n">
        <f aca="false">(G5249+G5251)*Assumptions!$E$70/Assumptions!$E$69/4</f>
        <v>100130.357142857</v>
      </c>
      <c r="H5255" s="54" t="n">
        <f aca="false">(H5249+H5251)*Assumptions!$E$70/Assumptions!$E$69/4</f>
        <v>100130.357142857</v>
      </c>
      <c r="I5255" s="54" t="n">
        <f aca="false">(I5249+I5251)*Assumptions!$E$70/Assumptions!$E$69/4</f>
        <v>100130.357142857</v>
      </c>
      <c r="J5255" s="54" t="n">
        <f aca="false">(J5249+J5251)*Assumptions!$E$70/Assumptions!$E$69/4</f>
        <v>100130.357142857</v>
      </c>
      <c r="K5255" s="54" t="n">
        <f aca="false">(K5249+K5251)*Assumptions!$E$70/Assumptions!$E$69/4</f>
        <v>100130.357142857</v>
      </c>
      <c r="L5255" s="54" t="n">
        <f aca="false">(L5249+L5251)*Assumptions!$E$70/Assumptions!$E$69/4</f>
        <v>100130.357142857</v>
      </c>
      <c r="M5255" s="54" t="n">
        <f aca="false">(M5249+M5251)*Assumptions!$E$70/Assumptions!$E$69/4</f>
        <v>100130.357142857</v>
      </c>
      <c r="N5255" s="54" t="n">
        <f aca="false">(N5249+N5251)*Assumptions!$E$70/Assumptions!$E$69/4</f>
        <v>100130.357142857</v>
      </c>
      <c r="P5255" s="55" t="n">
        <f aca="false">SUM(C5255:F5255)</f>
        <v>267014.285714286</v>
      </c>
      <c r="Q5255" s="55" t="n">
        <f aca="false">SUM(G5255:J5255)</f>
        <v>400521.428571429</v>
      </c>
      <c r="R5255" s="55" t="n">
        <f aca="false">SUM(K5255:N5255)</f>
        <v>400521.428571429</v>
      </c>
      <c r="S5255" s="56" t="n">
        <f aca="false">SUM(P5255:R5255)</f>
        <v>1068057.14285714</v>
      </c>
    </row>
    <row r="5256" customFormat="false" ht="15" hidden="false" customHeight="false" outlineLevel="0" collapsed="false">
      <c r="A5256" s="4" t="s">
        <v>555</v>
      </c>
      <c r="B5256" s="36" t="s">
        <v>125</v>
      </c>
      <c r="C5256" s="54" t="n">
        <f aca="false">C5250*$C$5185/4</f>
        <v>0</v>
      </c>
      <c r="D5256" s="54" t="n">
        <f aca="false">D5250*$C$5185/4</f>
        <v>0</v>
      </c>
      <c r="E5256" s="54" t="n">
        <f aca="false">E5250*$C$5185/4</f>
        <v>0</v>
      </c>
      <c r="F5256" s="54" t="n">
        <f aca="false">F5250*$C$5185/4</f>
        <v>0</v>
      </c>
      <c r="G5256" s="54" t="n">
        <f aca="false">G5250*$C$5185/4</f>
        <v>0</v>
      </c>
      <c r="H5256" s="54" t="n">
        <f aca="false">H5250*$C$5185/4</f>
        <v>0</v>
      </c>
      <c r="I5256" s="54" t="n">
        <f aca="false">I5250*$C$5185/4</f>
        <v>0</v>
      </c>
      <c r="J5256" s="54" t="n">
        <f aca="false">J5250*$C$5185/4</f>
        <v>0</v>
      </c>
      <c r="K5256" s="54" t="n">
        <f aca="false">K5250*$C$5185/4</f>
        <v>0</v>
      </c>
      <c r="L5256" s="54" t="n">
        <f aca="false">L5250*$C$5185/4</f>
        <v>0</v>
      </c>
      <c r="M5256" s="54" t="n">
        <f aca="false">M5250*$C$5185/4</f>
        <v>0</v>
      </c>
      <c r="N5256" s="54" t="n">
        <f aca="false">N5250*$C$5185/4</f>
        <v>0</v>
      </c>
      <c r="P5256" s="55" t="n">
        <f aca="false">SUM(C5256:F5256)</f>
        <v>0</v>
      </c>
      <c r="Q5256" s="55" t="n">
        <f aca="false">SUM(G5256:J5256)</f>
        <v>0</v>
      </c>
      <c r="R5256" s="55" t="n">
        <f aca="false">SUM(K5256:N5256)</f>
        <v>0</v>
      </c>
      <c r="S5256" s="56" t="n">
        <f aca="false">SUM(P5256:R5256)</f>
        <v>0</v>
      </c>
    </row>
    <row r="5257" customFormat="false" ht="15" hidden="false" customHeight="false" outlineLevel="0" collapsed="false">
      <c r="A5257" s="4" t="s">
        <v>556</v>
      </c>
      <c r="B5257" s="36" t="s">
        <v>125</v>
      </c>
      <c r="C5257" s="54" t="n">
        <f aca="false">MAX(0,(C5245-C5226*$C$5181)-C5205*$C$5186)*$C$5187*Assumptions!$D$105</f>
        <v>0</v>
      </c>
      <c r="D5257" s="54" t="n">
        <f aca="false">MAX(0,(D5245-D5226*$C$5181)-D5205*$C$5186)*$C$5187*Assumptions!$D$105</f>
        <v>3440.64309886609</v>
      </c>
      <c r="E5257" s="54" t="n">
        <f aca="false">MAX(0,(E5245-E5226*$C$5181)-E5205*$C$5186)*$C$5187*Assumptions!$D$105</f>
        <v>8499.77139502705</v>
      </c>
      <c r="F5257" s="54" t="n">
        <f aca="false">MAX(0,(F5245-F5226*$C$5181)-F5205*$C$5186)*$C$5187*Assumptions!$D$105</f>
        <v>10967.8486953903</v>
      </c>
      <c r="G5257" s="54" t="n">
        <f aca="false">MAX(0,(G5245-G5226*$C$5181)-G5205*$C$5186)*$C$5187*Assumptions!$D$105</f>
        <v>12051.4919414959</v>
      </c>
      <c r="H5257" s="54" t="n">
        <f aca="false">MAX(0,(H5245-H5226*$C$5181)-H5205*$C$5186)*$C$5187*Assumptions!$D$105</f>
        <v>14474.1496078416</v>
      </c>
      <c r="I5257" s="54" t="n">
        <f aca="false">MAX(0,(I5245-I5226*$C$5181)-I5205*$C$5186)*$C$5187*Assumptions!$D$105</f>
        <v>17276.3366278277</v>
      </c>
      <c r="J5257" s="54" t="n">
        <f aca="false">MAX(0,(J5245-J5226*$C$5181)-J5205*$C$5186)*$C$5187*Assumptions!$D$105</f>
        <v>22918.1346428326</v>
      </c>
      <c r="K5257" s="54" t="n">
        <f aca="false">MAX(0,(K5245-K5226*$C$5181)-K5205*$C$5186)*$C$5187*Assumptions!$D$105</f>
        <v>29644.6231294668</v>
      </c>
      <c r="L5257" s="54" t="n">
        <f aca="false">MAX(0,(L5245-L5226*$C$5181)-L5205*$C$5186)*$C$5187*Assumptions!$D$105</f>
        <v>32057.5453212747</v>
      </c>
      <c r="M5257" s="54" t="n">
        <f aca="false">MAX(0,(M5245-M5226*$C$5181)-M5205*$C$5186)*$C$5187*Assumptions!$D$105</f>
        <v>31548.4052703768</v>
      </c>
      <c r="N5257" s="54" t="n">
        <f aca="false">MAX(0,(N5245-N5226*$C$5181)-N5205*$C$5186)*$C$5187*Assumptions!$D$105</f>
        <v>30637.9260406881</v>
      </c>
      <c r="P5257" s="55" t="n">
        <f aca="false">SUM(C5257:F5257)</f>
        <v>22908.2631892835</v>
      </c>
      <c r="Q5257" s="55" t="n">
        <f aca="false">SUM(G5257:J5257)</f>
        <v>66720.1128199979</v>
      </c>
      <c r="R5257" s="55" t="n">
        <f aca="false">SUM(K5257:N5257)</f>
        <v>123888.499761807</v>
      </c>
      <c r="S5257" s="56" t="n">
        <f aca="false">SUM(P5257:R5257)</f>
        <v>213516.875771088</v>
      </c>
    </row>
    <row r="5258" customFormat="false" ht="15" hidden="false" customHeight="false" outlineLevel="0" collapsed="false">
      <c r="A5258" s="4" t="s">
        <v>557</v>
      </c>
      <c r="B5258" s="36" t="s">
        <v>125</v>
      </c>
      <c r="C5258" s="54" t="n">
        <f aca="false">C5253*Assumptions!$E$71/Assumptions!$E$69/4</f>
        <v>18475.8928571429</v>
      </c>
      <c r="D5258" s="54" t="n">
        <f aca="false">D5253*Assumptions!$E$71/Assumptions!$E$69/4</f>
        <v>18475.8928571429</v>
      </c>
      <c r="E5258" s="54" t="n">
        <f aca="false">E5253*Assumptions!$E$71/Assumptions!$E$69/4</f>
        <v>18475.8928571429</v>
      </c>
      <c r="F5258" s="54" t="n">
        <f aca="false">F5253*Assumptions!$E$71/Assumptions!$E$69/4</f>
        <v>18475.8928571429</v>
      </c>
      <c r="G5258" s="54" t="n">
        <f aca="false">G5253*Assumptions!$E$71/Assumptions!$E$69/4</f>
        <v>18475.8928571429</v>
      </c>
      <c r="H5258" s="54" t="n">
        <f aca="false">H5253*Assumptions!$E$71/Assumptions!$E$69/4</f>
        <v>18475.8928571429</v>
      </c>
      <c r="I5258" s="54" t="n">
        <f aca="false">I5253*Assumptions!$E$71/Assumptions!$E$69/4</f>
        <v>18475.8928571429</v>
      </c>
      <c r="J5258" s="54" t="n">
        <f aca="false">J5253*Assumptions!$E$71/Assumptions!$E$69/4</f>
        <v>18475.8928571429</v>
      </c>
      <c r="K5258" s="54" t="n">
        <f aca="false">K5253*Assumptions!$E$71/Assumptions!$E$69/4</f>
        <v>18475.8928571429</v>
      </c>
      <c r="L5258" s="54" t="n">
        <f aca="false">L5253*Assumptions!$E$71/Assumptions!$E$69/4</f>
        <v>18475.8928571429</v>
      </c>
      <c r="M5258" s="54" t="n">
        <f aca="false">M5253*Assumptions!$E$71/Assumptions!$E$69/4</f>
        <v>18475.8928571429</v>
      </c>
      <c r="N5258" s="54" t="n">
        <f aca="false">N5253*Assumptions!$E$71/Assumptions!$E$69/4</f>
        <v>18475.8928571429</v>
      </c>
      <c r="P5258" s="55" t="n">
        <f aca="false">SUM(C5258:F5258)</f>
        <v>73903.5714285714</v>
      </c>
      <c r="Q5258" s="55" t="n">
        <f aca="false">SUM(G5258:J5258)</f>
        <v>73903.5714285714</v>
      </c>
      <c r="R5258" s="55" t="n">
        <f aca="false">SUM(K5258:N5258)</f>
        <v>73903.5714285714</v>
      </c>
      <c r="S5258" s="56" t="n">
        <f aca="false">SUM(P5258:R5258)</f>
        <v>221710.714285714</v>
      </c>
    </row>
    <row r="5259" customFormat="false" ht="15" hidden="false" customHeight="false" outlineLevel="0" collapsed="false">
      <c r="A5259" s="4" t="s">
        <v>558</v>
      </c>
      <c r="B5259" s="36" t="s">
        <v>125</v>
      </c>
      <c r="C5259" s="54" t="n">
        <f aca="false">(Assumptions!$D$103+Assumptions!$E$77*((C5190=Assumptions!$E$13)+(C5190=Assumptions!$E$14)+(C5190=Assumptions!$E$15)))*C5191</f>
        <v>65000</v>
      </c>
      <c r="D5259" s="54" t="n">
        <f aca="false">(Assumptions!$D$103+Assumptions!$E$77*((D5190=Assumptions!$E$13)+(D5190=Assumptions!$E$14)+(D5190=Assumptions!$E$15)))*D5191</f>
        <v>25000</v>
      </c>
      <c r="E5259" s="54" t="n">
        <f aca="false">(Assumptions!$D$103+Assumptions!$E$77*((E5190=Assumptions!$E$13)+(E5190=Assumptions!$E$14)+(E5190=Assumptions!$E$15)))*E5191</f>
        <v>25000</v>
      </c>
      <c r="F5259" s="54" t="n">
        <f aca="false">(Assumptions!$D$103+Assumptions!$E$77*((F5190=Assumptions!$E$13)+(F5190=Assumptions!$E$14)+(F5190=Assumptions!$E$15)))*F5191</f>
        <v>25000</v>
      </c>
      <c r="G5259" s="54" t="n">
        <f aca="false">(Assumptions!$D$103+Assumptions!$E$77*((G5190=Assumptions!$E$13)+(G5190=Assumptions!$E$14)+(G5190=Assumptions!$E$15)))*G5191</f>
        <v>65000</v>
      </c>
      <c r="H5259" s="54" t="n">
        <f aca="false">(Assumptions!$D$103+Assumptions!$E$77*((H5190=Assumptions!$E$13)+(H5190=Assumptions!$E$14)+(H5190=Assumptions!$E$15)))*H5191</f>
        <v>25000</v>
      </c>
      <c r="I5259" s="54" t="n">
        <f aca="false">(Assumptions!$D$103+Assumptions!$E$77*((I5190=Assumptions!$E$13)+(I5190=Assumptions!$E$14)+(I5190=Assumptions!$E$15)))*I5191</f>
        <v>65000</v>
      </c>
      <c r="J5259" s="54" t="n">
        <f aca="false">(Assumptions!$D$103+Assumptions!$E$77*((J5190=Assumptions!$E$13)+(J5190=Assumptions!$E$14)+(J5190=Assumptions!$E$15)))*J5191</f>
        <v>25000</v>
      </c>
      <c r="K5259" s="54" t="n">
        <f aca="false">(Assumptions!$D$103+Assumptions!$E$77*((K5190=Assumptions!$E$13)+(K5190=Assumptions!$E$14)+(K5190=Assumptions!$E$15)))*K5191</f>
        <v>25000</v>
      </c>
      <c r="L5259" s="54" t="n">
        <f aca="false">(Assumptions!$D$103+Assumptions!$E$77*((L5190=Assumptions!$E$13)+(L5190=Assumptions!$E$14)+(L5190=Assumptions!$E$15)))*L5191</f>
        <v>25000</v>
      </c>
      <c r="M5259" s="54" t="n">
        <f aca="false">(Assumptions!$D$103+Assumptions!$E$77*((M5190=Assumptions!$E$13)+(M5190=Assumptions!$E$14)+(M5190=Assumptions!$E$15)))*M5191</f>
        <v>25000</v>
      </c>
      <c r="N5259" s="54" t="n">
        <f aca="false">(Assumptions!$D$103+Assumptions!$E$77*((N5190=Assumptions!$E$13)+(N5190=Assumptions!$E$14)+(N5190=Assumptions!$E$15)))*N5191</f>
        <v>25000</v>
      </c>
      <c r="P5259" s="55" t="n">
        <f aca="false">SUM(C5259:F5259)</f>
        <v>140000</v>
      </c>
      <c r="Q5259" s="55" t="n">
        <f aca="false">SUM(G5259:J5259)</f>
        <v>180000</v>
      </c>
      <c r="R5259" s="55" t="n">
        <f aca="false">SUM(K5259:N5259)</f>
        <v>100000</v>
      </c>
      <c r="S5259" s="56" t="n">
        <f aca="false">SUM(P5259:R5259)</f>
        <v>420000</v>
      </c>
    </row>
    <row r="5260" customFormat="false" ht="15" hidden="false" customHeight="false" outlineLevel="0" collapsed="false">
      <c r="A5260" s="4" t="s">
        <v>559</v>
      </c>
      <c r="B5260" s="36" t="s">
        <v>125</v>
      </c>
      <c r="C5260" s="54" t="n">
        <f aca="false">C5245*C5225*Assumptions!$E$79</f>
        <v>0</v>
      </c>
      <c r="D5260" s="54" t="n">
        <f aca="false">D5245*D5225*Assumptions!$E$79</f>
        <v>803.411617016039</v>
      </c>
      <c r="E5260" s="54" t="n">
        <f aca="false">E5245*E5225*Assumptions!$E$79</f>
        <v>1653.53406019327</v>
      </c>
      <c r="F5260" s="54" t="n">
        <f aca="false">F5245*F5225*Assumptions!$E$79</f>
        <v>2535.60456782836</v>
      </c>
      <c r="G5260" s="54" t="n">
        <f aca="false">G5245*G5225*Assumptions!$E$79</f>
        <v>3177.73892157257</v>
      </c>
      <c r="H5260" s="54" t="n">
        <f aca="false">H5245*H5225*Assumptions!$E$79</f>
        <v>3622.99278916457</v>
      </c>
      <c r="I5260" s="54" t="n">
        <f aca="false">I5245*I5225*Assumptions!$E$79</f>
        <v>4207.51959489897</v>
      </c>
      <c r="J5260" s="54" t="n">
        <f aca="false">J5245*J5225*Assumptions!$E$79</f>
        <v>4467.43415597906</v>
      </c>
      <c r="K5260" s="54" t="n">
        <f aca="false">K5245*K5225*Assumptions!$E$79</f>
        <v>5075.87632034339</v>
      </c>
      <c r="L5260" s="54" t="n">
        <f aca="false">L5245*L5225*Assumptions!$E$79</f>
        <v>6006.90857514626</v>
      </c>
      <c r="M5260" s="54" t="n">
        <f aca="false">M5245*M5225*Assumptions!$E$79</f>
        <v>6082.48953031209</v>
      </c>
      <c r="N5260" s="54" t="n">
        <f aca="false">N5245*N5225*Assumptions!$E$79</f>
        <v>6079.89913103151</v>
      </c>
      <c r="P5260" s="55" t="n">
        <f aca="false">SUM(C5260:F5260)</f>
        <v>4992.55024503767</v>
      </c>
      <c r="Q5260" s="55" t="n">
        <f aca="false">SUM(G5260:J5260)</f>
        <v>15475.6854616152</v>
      </c>
      <c r="R5260" s="55" t="n">
        <f aca="false">SUM(K5260:N5260)</f>
        <v>23245.1735568332</v>
      </c>
      <c r="S5260" s="56" t="n">
        <f aca="false">SUM(P5260:R5260)</f>
        <v>43713.4092634861</v>
      </c>
    </row>
    <row r="5261" customFormat="false" ht="15" hidden="false" customHeight="false" outlineLevel="0" collapsed="false">
      <c r="A5261" s="4" t="s">
        <v>560</v>
      </c>
      <c r="B5261" s="36" t="s">
        <v>125</v>
      </c>
      <c r="C5261" s="54" t="n">
        <f aca="false">C5210*Assumptions!$E$80</f>
        <v>4000</v>
      </c>
      <c r="D5261" s="54" t="n">
        <f aca="false">D5210*Assumptions!$E$80</f>
        <v>6000</v>
      </c>
      <c r="E5261" s="54" t="n">
        <f aca="false">E5210*Assumptions!$E$80</f>
        <v>8000</v>
      </c>
      <c r="F5261" s="54" t="n">
        <f aca="false">F5210*Assumptions!$E$80</f>
        <v>10000</v>
      </c>
      <c r="G5261" s="54" t="n">
        <f aca="false">G5210*Assumptions!$E$80</f>
        <v>12000</v>
      </c>
      <c r="H5261" s="54" t="n">
        <f aca="false">H5210*Assumptions!$E$80</f>
        <v>14000</v>
      </c>
      <c r="I5261" s="54" t="n">
        <f aca="false">I5210*Assumptions!$E$80</f>
        <v>16000</v>
      </c>
      <c r="J5261" s="54" t="n">
        <f aca="false">J5210*Assumptions!$E$80</f>
        <v>18000</v>
      </c>
      <c r="K5261" s="54" t="n">
        <f aca="false">K5210*Assumptions!$E$80</f>
        <v>20000</v>
      </c>
      <c r="L5261" s="54" t="n">
        <f aca="false">L5210*Assumptions!$E$80</f>
        <v>20000</v>
      </c>
      <c r="M5261" s="54" t="n">
        <f aca="false">M5210*Assumptions!$E$80</f>
        <v>20000</v>
      </c>
      <c r="N5261" s="54" t="n">
        <f aca="false">N5210*Assumptions!$E$80</f>
        <v>20000</v>
      </c>
      <c r="P5261" s="55" t="n">
        <f aca="false">SUM(C5261:F5261)</f>
        <v>28000</v>
      </c>
      <c r="Q5261" s="55" t="n">
        <f aca="false">SUM(G5261:J5261)</f>
        <v>60000</v>
      </c>
      <c r="R5261" s="55" t="n">
        <f aca="false">SUM(K5261:N5261)</f>
        <v>80000</v>
      </c>
      <c r="S5261" s="56" t="n">
        <f aca="false">SUM(P5261:R5261)</f>
        <v>168000</v>
      </c>
    </row>
    <row r="5262" customFormat="false" ht="15" hidden="false" customHeight="false" outlineLevel="0" collapsed="false">
      <c r="A5262" s="4" t="s">
        <v>561</v>
      </c>
      <c r="B5262" s="36" t="s">
        <v>125</v>
      </c>
      <c r="C5262" s="54" t="n">
        <f aca="false">(C5233*$C$5182+C5234*$C$5183)*Assumptions!$E$81</f>
        <v>0</v>
      </c>
      <c r="D5262" s="54" t="n">
        <f aca="false">(D5233*$C$5182+D5234*$C$5183)*Assumptions!$E$81</f>
        <v>626.63509392487</v>
      </c>
      <c r="E5262" s="54" t="n">
        <f aca="false">(E5233*$C$5182+E5234*$C$5183)*Assumptions!$E$81</f>
        <v>1910.88433462776</v>
      </c>
      <c r="F5262" s="54" t="n">
        <f aca="false">(F5233*$C$5182+F5234*$C$5183)*Assumptions!$E$81</f>
        <v>2619.48749442166</v>
      </c>
      <c r="G5262" s="54" t="n">
        <f aca="false">(G5233*$C$5182+G5234*$C$5183)*Assumptions!$E$81</f>
        <v>2881.16474193925</v>
      </c>
      <c r="H5262" s="54" t="n">
        <f aca="false">(H5233*$C$5182+H5234*$C$5183)*Assumptions!$E$81</f>
        <v>3373.72320252761</v>
      </c>
      <c r="I5262" s="54" t="n">
        <f aca="false">(I5233*$C$5182+I5234*$C$5183)*Assumptions!$E$81</f>
        <v>4007.23535287961</v>
      </c>
      <c r="J5262" s="54" t="n">
        <f aca="false">(J5233*$C$5182+J5234*$C$5183)*Assumptions!$E$81</f>
        <v>5076.00905567635</v>
      </c>
      <c r="K5262" s="54" t="n">
        <f aca="false">(K5233*$C$5182+K5234*$C$5183)*Assumptions!$E$81</f>
        <v>6564.44887164036</v>
      </c>
      <c r="L5262" s="54" t="n">
        <f aca="false">(L5233*$C$5182+L5234*$C$5183)*Assumptions!$E$81</f>
        <v>7319.26387545322</v>
      </c>
      <c r="M5262" s="54" t="n">
        <f aca="false">(M5233*$C$5182+M5234*$C$5183)*Assumptions!$E$81</f>
        <v>7244.05266242909</v>
      </c>
      <c r="N5262" s="54" t="n">
        <f aca="false">(N5233*$C$5182+N5234*$C$5183)*Assumptions!$E$81</f>
        <v>7033.64371585922</v>
      </c>
      <c r="P5262" s="55" t="n">
        <f aca="false">SUM(C5262:F5262)</f>
        <v>5157.00692297429</v>
      </c>
      <c r="Q5262" s="55" t="n">
        <f aca="false">SUM(G5262:J5262)</f>
        <v>15338.1323530228</v>
      </c>
      <c r="R5262" s="55" t="n">
        <f aca="false">SUM(K5262:N5262)</f>
        <v>28161.4091253819</v>
      </c>
      <c r="S5262" s="56" t="n">
        <f aca="false">SUM(P5262:R5262)</f>
        <v>48656.548401379</v>
      </c>
    </row>
    <row r="5263" customFormat="false" ht="15" hidden="false" customHeight="false" outlineLevel="0" collapsed="false">
      <c r="A5263" s="9" t="s">
        <v>562</v>
      </c>
      <c r="B5263" s="36" t="s">
        <v>125</v>
      </c>
      <c r="C5263" s="55" t="n">
        <f aca="false">C5255+C5256+C5257+C5258+C5259+C5260+C5261+C5262</f>
        <v>154229.464285714</v>
      </c>
      <c r="D5263" s="55" t="n">
        <f aca="false">D5255+D5256+D5257+D5258+D5259+D5260+D5261+D5262</f>
        <v>121100.154095521</v>
      </c>
      <c r="E5263" s="55" t="n">
        <f aca="false">E5255+E5256+E5257+E5258+E5259+E5260+E5261+E5262</f>
        <v>130293.654075562</v>
      </c>
      <c r="F5263" s="55" t="n">
        <f aca="false">F5255+F5256+F5257+F5258+F5259+F5260+F5261+F5262</f>
        <v>136352.405043355</v>
      </c>
      <c r="G5263" s="55" t="n">
        <f aca="false">G5255+G5256+G5257+G5258+G5259+G5260+G5261+G5262</f>
        <v>213716.645605008</v>
      </c>
      <c r="H5263" s="55" t="n">
        <f aca="false">H5255+H5256+H5257+H5258+H5259+H5260+H5261+H5262</f>
        <v>179077.115599534</v>
      </c>
      <c r="I5263" s="55" t="n">
        <f aca="false">I5255+I5256+I5257+I5258+I5259+I5260+I5261+I5262</f>
        <v>225097.341575606</v>
      </c>
      <c r="J5263" s="55" t="n">
        <f aca="false">J5255+J5256+J5257+J5258+J5259+J5260+J5261+J5262</f>
        <v>194067.827854488</v>
      </c>
      <c r="K5263" s="55" t="n">
        <f aca="false">K5255+K5256+K5257+K5258+K5259+K5260+K5261+K5262</f>
        <v>204891.198321451</v>
      </c>
      <c r="L5263" s="55" t="n">
        <f aca="false">L5255+L5256+L5257+L5258+L5259+L5260+L5261+L5262</f>
        <v>208989.967771874</v>
      </c>
      <c r="M5263" s="55" t="n">
        <f aca="false">M5255+M5256+M5257+M5258+M5259+M5260+M5261+M5262</f>
        <v>208481.197463118</v>
      </c>
      <c r="N5263" s="55" t="n">
        <f aca="false">N5255+N5256+N5257+N5258+N5259+N5260+N5261+N5262</f>
        <v>207357.718887579</v>
      </c>
      <c r="P5263" s="55" t="n">
        <f aca="false">SUM(C5263:F5263)</f>
        <v>541975.677500153</v>
      </c>
      <c r="Q5263" s="55" t="n">
        <f aca="false">SUM(G5263:J5263)</f>
        <v>811958.930634636</v>
      </c>
      <c r="R5263" s="55" t="n">
        <f aca="false">SUM(K5263:N5263)</f>
        <v>829720.082444022</v>
      </c>
      <c r="S5263" s="56" t="n">
        <f aca="false">SUM(P5263:R5263)</f>
        <v>2183654.69057881</v>
      </c>
    </row>
    <row r="5264" customFormat="false" ht="15" hidden="false" customHeight="false" outlineLevel="0" collapsed="false">
      <c r="A5264" s="4" t="s">
        <v>563</v>
      </c>
      <c r="B5264" s="36" t="s">
        <v>125</v>
      </c>
      <c r="C5264" s="54" t="n">
        <f aca="false">C5252*Assumptions!$E$72/Assumptions!$E$69/4</f>
        <v>56535.7142857143</v>
      </c>
      <c r="D5264" s="54" t="n">
        <f aca="false">D5252*Assumptions!$E$72/Assumptions!$E$69/4</f>
        <v>56535.7142857143</v>
      </c>
      <c r="E5264" s="54" t="n">
        <f aca="false">E5252*Assumptions!$E$72/Assumptions!$E$69/4</f>
        <v>56535.7142857143</v>
      </c>
      <c r="F5264" s="54" t="n">
        <f aca="false">F5252*Assumptions!$E$72/Assumptions!$E$69/4</f>
        <v>56535.7142857143</v>
      </c>
      <c r="G5264" s="54" t="n">
        <f aca="false">G5252*Assumptions!$E$72/Assumptions!$E$69/4</f>
        <v>28267.8571428571</v>
      </c>
      <c r="H5264" s="54" t="n">
        <f aca="false">H5252*Assumptions!$E$72/Assumptions!$E$69/4</f>
        <v>28267.8571428571</v>
      </c>
      <c r="I5264" s="54" t="n">
        <f aca="false">I5252*Assumptions!$E$72/Assumptions!$E$69/4</f>
        <v>28267.8571428571</v>
      </c>
      <c r="J5264" s="54" t="n">
        <f aca="false">J5252*Assumptions!$E$72/Assumptions!$E$69/4</f>
        <v>28267.8571428571</v>
      </c>
      <c r="K5264" s="54" t="n">
        <f aca="false">K5252*Assumptions!$E$72/Assumptions!$E$69/4</f>
        <v>28267.8571428571</v>
      </c>
      <c r="L5264" s="54" t="n">
        <f aca="false">L5252*Assumptions!$E$72/Assumptions!$E$69/4</f>
        <v>28267.8571428571</v>
      </c>
      <c r="M5264" s="54" t="n">
        <f aca="false">M5252*Assumptions!$E$72/Assumptions!$E$69/4</f>
        <v>28267.8571428571</v>
      </c>
      <c r="N5264" s="54" t="n">
        <f aca="false">N5252*Assumptions!$E$72/Assumptions!$E$69/4</f>
        <v>28267.8571428571</v>
      </c>
      <c r="P5264" s="55" t="n">
        <f aca="false">SUM(C5264:F5264)</f>
        <v>226142.857142857</v>
      </c>
      <c r="Q5264" s="55" t="n">
        <f aca="false">SUM(G5264:J5264)</f>
        <v>113071.428571429</v>
      </c>
      <c r="R5264" s="55" t="n">
        <f aca="false">SUM(K5264:N5264)</f>
        <v>113071.428571429</v>
      </c>
      <c r="S5264" s="56" t="n">
        <f aca="false">SUM(P5264:R5264)</f>
        <v>452285.714285714</v>
      </c>
    </row>
    <row r="5265" customFormat="false" ht="15" hidden="false" customHeight="false" outlineLevel="0" collapsed="false">
      <c r="A5265" s="4" t="s">
        <v>564</v>
      </c>
      <c r="B5265" s="36" t="s">
        <v>125</v>
      </c>
      <c r="C5265" s="54" t="n">
        <f aca="false">IF(C5190&lt;=Assumptions!$E$83,Assumptions!$E$82*Assumptions!$D$108/Assumptions!$E$83,0)</f>
        <v>62500</v>
      </c>
      <c r="D5265" s="54" t="n">
        <f aca="false">IF(D5190&lt;=Assumptions!$E$83,Assumptions!$E$82*Assumptions!$D$108/Assumptions!$E$83,0)</f>
        <v>62500</v>
      </c>
      <c r="E5265" s="54" t="n">
        <f aca="false">IF(E5190&lt;=Assumptions!$E$83,Assumptions!$E$82*Assumptions!$D$108/Assumptions!$E$83,0)</f>
        <v>62500</v>
      </c>
      <c r="F5265" s="54" t="n">
        <f aca="false">IF(F5190&lt;=Assumptions!$E$83,Assumptions!$E$82*Assumptions!$D$108/Assumptions!$E$83,0)</f>
        <v>62500</v>
      </c>
      <c r="G5265" s="54" t="n">
        <f aca="false">IF(G5190&lt;=Assumptions!$E$83,Assumptions!$E$82*Assumptions!$D$108/Assumptions!$E$83,0)</f>
        <v>0</v>
      </c>
      <c r="H5265" s="54" t="n">
        <f aca="false">IF(H5190&lt;=Assumptions!$E$83,Assumptions!$E$82*Assumptions!$D$108/Assumptions!$E$83,0)</f>
        <v>0</v>
      </c>
      <c r="I5265" s="54" t="n">
        <f aca="false">IF(I5190&lt;=Assumptions!$E$83,Assumptions!$E$82*Assumptions!$D$108/Assumptions!$E$83,0)</f>
        <v>0</v>
      </c>
      <c r="J5265" s="54" t="n">
        <f aca="false">IF(J5190&lt;=Assumptions!$E$83,Assumptions!$E$82*Assumptions!$D$108/Assumptions!$E$83,0)</f>
        <v>0</v>
      </c>
      <c r="K5265" s="54" t="n">
        <f aca="false">IF(K5190&lt;=Assumptions!$E$83,Assumptions!$E$82*Assumptions!$D$108/Assumptions!$E$83,0)</f>
        <v>0</v>
      </c>
      <c r="L5265" s="54" t="n">
        <f aca="false">IF(L5190&lt;=Assumptions!$E$83,Assumptions!$E$82*Assumptions!$D$108/Assumptions!$E$83,0)</f>
        <v>0</v>
      </c>
      <c r="M5265" s="54" t="n">
        <f aca="false">IF(M5190&lt;=Assumptions!$E$83,Assumptions!$E$82*Assumptions!$D$108/Assumptions!$E$83,0)</f>
        <v>0</v>
      </c>
      <c r="N5265" s="54" t="n">
        <f aca="false">IF(N5190&lt;=Assumptions!$E$83,Assumptions!$E$82*Assumptions!$D$108/Assumptions!$E$83,0)</f>
        <v>0</v>
      </c>
      <c r="P5265" s="55" t="n">
        <f aca="false">SUM(C5265:F5265)</f>
        <v>250000</v>
      </c>
      <c r="Q5265" s="55" t="n">
        <f aca="false">SUM(G5265:J5265)</f>
        <v>0</v>
      </c>
      <c r="R5265" s="55" t="n">
        <f aca="false">SUM(K5265:N5265)</f>
        <v>0</v>
      </c>
      <c r="S5265" s="56" t="n">
        <f aca="false">SUM(P5265:R5265)</f>
        <v>250000</v>
      </c>
    </row>
    <row r="5266" customFormat="false" ht="15" hidden="false" customHeight="false" outlineLevel="0" collapsed="false">
      <c r="A5266" s="4" t="s">
        <v>565</v>
      </c>
      <c r="B5266" s="36" t="s">
        <v>125</v>
      </c>
      <c r="C5266" s="54" t="n">
        <f aca="false">C5254*Assumptions!$E$73/Assumptions!$E$69/4</f>
        <v>0</v>
      </c>
      <c r="D5266" s="54" t="n">
        <f aca="false">D5254*Assumptions!$E$73/Assumptions!$E$69/4</f>
        <v>566.897041922212</v>
      </c>
      <c r="E5266" s="54" t="n">
        <f aca="false">E5254*Assumptions!$E$73/Assumptions!$E$69/4</f>
        <v>1613.82777810489</v>
      </c>
      <c r="F5266" s="54" t="n">
        <f aca="false">F5254*Assumptions!$E$73/Assumptions!$E$69/4</f>
        <v>2798.02963486009</v>
      </c>
      <c r="G5266" s="54" t="n">
        <f aca="false">G5254*Assumptions!$E$73/Assumptions!$E$69/4</f>
        <v>4069.54360617798</v>
      </c>
      <c r="H5266" s="54" t="n">
        <f aca="false">H5254*Assumptions!$E$73/Assumptions!$E$69/4</f>
        <v>5639.7510408538</v>
      </c>
      <c r="I5266" s="54" t="n">
        <f aca="false">I5254*Assumptions!$E$73/Assumptions!$E$69/4</f>
        <v>7497.89759000341</v>
      </c>
      <c r="J5266" s="54" t="n">
        <f aca="false">J5254*Assumptions!$E$73/Assumptions!$E$69/4</f>
        <v>10080.7318197848</v>
      </c>
      <c r="K5266" s="54" t="n">
        <f aca="false">K5254*Assumptions!$E$73/Assumptions!$E$69/4</f>
        <v>13358.8645693101</v>
      </c>
      <c r="L5266" s="54" t="n">
        <f aca="false">L5254*Assumptions!$E$73/Assumptions!$E$69/4</f>
        <v>16651.2012017044</v>
      </c>
      <c r="M5266" s="54" t="n">
        <f aca="false">M5254*Assumptions!$E$73/Assumptions!$E$69/4</f>
        <v>19763.1954641407</v>
      </c>
      <c r="N5266" s="54" t="n">
        <f aca="false">N5254*Assumptions!$E$73/Assumptions!$E$69/4</f>
        <v>22690.9879187339</v>
      </c>
      <c r="P5266" s="55" t="n">
        <f aca="false">SUM(C5266:F5266)</f>
        <v>4978.75445488719</v>
      </c>
      <c r="Q5266" s="55" t="n">
        <f aca="false">SUM(G5266:J5266)</f>
        <v>27287.9240568199</v>
      </c>
      <c r="R5266" s="55" t="n">
        <f aca="false">SUM(K5266:N5266)</f>
        <v>72464.2491538892</v>
      </c>
      <c r="S5266" s="56" t="n">
        <f aca="false">SUM(P5266:R5266)</f>
        <v>104730.927665596</v>
      </c>
    </row>
    <row r="5267" customFormat="false" ht="15" hidden="false" customHeight="false" outlineLevel="0" collapsed="false">
      <c r="A5267" s="9" t="s">
        <v>566</v>
      </c>
      <c r="B5267" s="36" t="s">
        <v>125</v>
      </c>
      <c r="C5267" s="55" t="n">
        <f aca="false">C5263+C5264+C5265+C5266</f>
        <v>273265.178571429</v>
      </c>
      <c r="D5267" s="55" t="n">
        <f aca="false">D5263+D5264+D5265+D5266</f>
        <v>240702.765423158</v>
      </c>
      <c r="E5267" s="55" t="n">
        <f aca="false">E5263+E5264+E5265+E5266</f>
        <v>250943.196139382</v>
      </c>
      <c r="F5267" s="55" t="n">
        <f aca="false">F5263+F5264+F5265+F5266</f>
        <v>258186.148963929</v>
      </c>
      <c r="G5267" s="55" t="n">
        <f aca="false">G5263+G5264+G5265+G5266</f>
        <v>246054.046354043</v>
      </c>
      <c r="H5267" s="55" t="n">
        <f aca="false">H5263+H5264+H5265+H5266</f>
        <v>212984.723783245</v>
      </c>
      <c r="I5267" s="55" t="n">
        <f aca="false">I5263+I5264+I5265+I5266</f>
        <v>260863.096308467</v>
      </c>
      <c r="J5267" s="55" t="n">
        <f aca="false">J5263+J5264+J5265+J5266</f>
        <v>232416.41681713</v>
      </c>
      <c r="K5267" s="55" t="n">
        <f aca="false">K5263+K5264+K5265+K5266</f>
        <v>246517.920033618</v>
      </c>
      <c r="L5267" s="55" t="n">
        <f aca="false">L5263+L5264+L5265+L5266</f>
        <v>253909.026116436</v>
      </c>
      <c r="M5267" s="55" t="n">
        <f aca="false">M5263+M5264+M5265+M5266</f>
        <v>256512.250070116</v>
      </c>
      <c r="N5267" s="55" t="n">
        <f aca="false">N5263+N5264+N5265+N5266</f>
        <v>258316.56394917</v>
      </c>
      <c r="P5267" s="55" t="n">
        <f aca="false">SUM(C5267:F5267)</f>
        <v>1023097.2890979</v>
      </c>
      <c r="Q5267" s="55" t="n">
        <f aca="false">SUM(G5267:J5267)</f>
        <v>952318.283262884</v>
      </c>
      <c r="R5267" s="55" t="n">
        <f aca="false">SUM(K5267:N5267)</f>
        <v>1015255.76016934</v>
      </c>
      <c r="S5267" s="56" t="n">
        <f aca="false">SUM(P5267:R5267)</f>
        <v>2990671.33253012</v>
      </c>
    </row>
    <row r="5268" customFormat="false" ht="15" hidden="false" customHeight="false" outlineLevel="0" collapsed="false">
      <c r="A5268" s="35" t="s">
        <v>567</v>
      </c>
      <c r="B5268" s="35" t="s">
        <v>444</v>
      </c>
      <c r="C5268" s="6" t="s">
        <v>354</v>
      </c>
      <c r="D5268" s="6" t="s">
        <v>355</v>
      </c>
      <c r="E5268" s="6" t="s">
        <v>356</v>
      </c>
      <c r="F5268" s="6" t="s">
        <v>357</v>
      </c>
      <c r="G5268" s="6" t="s">
        <v>358</v>
      </c>
      <c r="H5268" s="6" t="s">
        <v>359</v>
      </c>
      <c r="I5268" s="6" t="s">
        <v>360</v>
      </c>
      <c r="J5268" s="6" t="s">
        <v>361</v>
      </c>
      <c r="K5268" s="6" t="s">
        <v>362</v>
      </c>
      <c r="L5268" s="6" t="s">
        <v>363</v>
      </c>
      <c r="M5268" s="6" t="s">
        <v>364</v>
      </c>
      <c r="N5268" s="6" t="s">
        <v>365</v>
      </c>
      <c r="P5268" s="6" t="s">
        <v>445</v>
      </c>
      <c r="Q5268" s="6" t="s">
        <v>446</v>
      </c>
      <c r="R5268" s="6" t="s">
        <v>447</v>
      </c>
      <c r="S5268" s="6" t="s">
        <v>448</v>
      </c>
    </row>
    <row r="5269" customFormat="false" ht="15" hidden="false" customHeight="false" outlineLevel="0" collapsed="false">
      <c r="A5269" s="9" t="s">
        <v>568</v>
      </c>
      <c r="B5269" s="36" t="s">
        <v>125</v>
      </c>
      <c r="C5269" s="55" t="n">
        <f aca="false">C5247-C5267</f>
        <v>-273265.178571429</v>
      </c>
      <c r="D5269" s="55" t="n">
        <f aca="false">D5247-D5267</f>
        <v>-239992.105513162</v>
      </c>
      <c r="E5269" s="55" t="n">
        <f aca="false">E5247-E5267</f>
        <v>-247845.511584738</v>
      </c>
      <c r="F5269" s="55" t="n">
        <f aca="false">F5247-F5267</f>
        <v>-251261.377693295</v>
      </c>
      <c r="G5269" s="55" t="n">
        <f aca="false">G5247-G5267</f>
        <v>-234581.118280805</v>
      </c>
      <c r="H5269" s="55" t="n">
        <f aca="false">H5247-H5267</f>
        <v>-196185.724561932</v>
      </c>
      <c r="I5269" s="55" t="n">
        <f aca="false">I5247-I5267</f>
        <v>-237606.98304252</v>
      </c>
      <c r="J5269" s="55" t="n">
        <f aca="false">J5247-J5267</f>
        <v>-200887.904158197</v>
      </c>
      <c r="K5269" s="55" t="n">
        <f aca="false">K5247-K5267</f>
        <v>-204099.992450896</v>
      </c>
      <c r="L5269" s="55" t="n">
        <f aca="false">L5247-L5267</f>
        <v>-198678.804798488</v>
      </c>
      <c r="M5269" s="55" t="n">
        <f aca="false">M5247-M5267</f>
        <v>-187944.444898291</v>
      </c>
      <c r="N5269" s="55" t="n">
        <f aca="false">N5247-N5267</f>
        <v>-176468.56126576</v>
      </c>
      <c r="P5269" s="55" t="n">
        <f aca="false">SUM(C5269:F5269)</f>
        <v>-1012364.17336262</v>
      </c>
      <c r="Q5269" s="55" t="n">
        <f aca="false">SUM(G5269:J5269)</f>
        <v>-869261.730043454</v>
      </c>
      <c r="R5269" s="55" t="n">
        <f aca="false">SUM(K5269:N5269)</f>
        <v>-767191.803413435</v>
      </c>
      <c r="S5269" s="56" t="n">
        <f aca="false">SUM(P5269:R5269)</f>
        <v>-2648817.70681951</v>
      </c>
    </row>
    <row r="5270" customFormat="false" ht="15" hidden="false" customHeight="false" outlineLevel="0" collapsed="false">
      <c r="A5270" s="9" t="s">
        <v>569</v>
      </c>
      <c r="B5270" s="36" t="s">
        <v>125</v>
      </c>
      <c r="C5270" s="55" t="n">
        <f aca="false">0+C5269</f>
        <v>-273265.178571429</v>
      </c>
      <c r="D5270" s="55" t="n">
        <f aca="false">C5270+D5269</f>
        <v>-513257.284084591</v>
      </c>
      <c r="E5270" s="55" t="n">
        <f aca="false">D5270+E5269</f>
        <v>-761102.795669329</v>
      </c>
      <c r="F5270" s="55" t="n">
        <f aca="false">E5270+F5269</f>
        <v>-1012364.17336262</v>
      </c>
      <c r="G5270" s="55" t="n">
        <f aca="false">F5270+G5269</f>
        <v>-1246945.29164343</v>
      </c>
      <c r="H5270" s="55" t="n">
        <f aca="false">G5270+H5269</f>
        <v>-1443131.01620536</v>
      </c>
      <c r="I5270" s="55" t="n">
        <f aca="false">H5270+I5269</f>
        <v>-1680737.99924788</v>
      </c>
      <c r="J5270" s="55" t="n">
        <f aca="false">I5270+J5269</f>
        <v>-1881625.90340608</v>
      </c>
      <c r="K5270" s="55" t="n">
        <f aca="false">J5270+K5269</f>
        <v>-2085725.89585697</v>
      </c>
      <c r="L5270" s="55" t="n">
        <f aca="false">K5270+L5269</f>
        <v>-2284404.70065546</v>
      </c>
      <c r="M5270" s="55" t="n">
        <f aca="false">L5270+M5269</f>
        <v>-2472349.14555375</v>
      </c>
      <c r="N5270" s="55" t="n">
        <f aca="false">M5270+N5269</f>
        <v>-2648817.70681951</v>
      </c>
      <c r="P5270" s="55" t="n">
        <f aca="false">F5270</f>
        <v>-1012364.17336262</v>
      </c>
      <c r="Q5270" s="55" t="n">
        <f aca="false">J5270</f>
        <v>-1881625.90340608</v>
      </c>
      <c r="R5270" s="55" t="n">
        <f aca="false">N5270</f>
        <v>-2648817.70681951</v>
      </c>
      <c r="S5270" s="56" t="n">
        <f aca="false">R5270</f>
        <v>-2648817.70681951</v>
      </c>
    </row>
    <row r="5271" customFormat="false" ht="15" hidden="false" customHeight="false" outlineLevel="0" collapsed="false">
      <c r="A5271" s="4" t="s">
        <v>570</v>
      </c>
      <c r="B5271" s="36" t="s">
        <v>107</v>
      </c>
      <c r="C5271" s="57" t="n">
        <f aca="false">1/(1+Assumptions!$E$87)^(C5190/4)</f>
        <v>0.972065420906982</v>
      </c>
      <c r="D5271" s="57" t="n">
        <f aca="false">1/(1+Assumptions!$E$87)^(D5190/4)</f>
        <v>0.944911182523068</v>
      </c>
      <c r="E5271" s="57" t="n">
        <f aca="false">1/(1+Assumptions!$E$87)^(E5190/4)</f>
        <v>0.918515486359</v>
      </c>
      <c r="F5271" s="57" t="n">
        <f aca="false">1/(1+Assumptions!$E$87)^(F5190/4)</f>
        <v>0.892857142857143</v>
      </c>
      <c r="G5271" s="57" t="n">
        <f aca="false">1/(1+Assumptions!$E$87)^(G5190/4)</f>
        <v>0.867915554381234</v>
      </c>
      <c r="H5271" s="57" t="n">
        <f aca="false">1/(1+Assumptions!$E$87)^(H5190/4)</f>
        <v>0.843670698681311</v>
      </c>
      <c r="I5271" s="57" t="n">
        <f aca="false">1/(1+Assumptions!$E$87)^(I5190/4)</f>
        <v>0.820103112820536</v>
      </c>
      <c r="J5271" s="57" t="n">
        <f aca="false">1/(1+Assumptions!$E$87)^(J5190/4)</f>
        <v>0.79719387755102</v>
      </c>
      <c r="K5271" s="57" t="n">
        <f aca="false">1/(1+Assumptions!$E$87)^(K5190/4)</f>
        <v>0.774924602126102</v>
      </c>
      <c r="L5271" s="57" t="n">
        <f aca="false">1/(1+Assumptions!$E$87)^(L5190/4)</f>
        <v>0.753277409536885</v>
      </c>
      <c r="M5271" s="57" t="n">
        <f aca="false">1/(1+Assumptions!$E$87)^(M5190/4)</f>
        <v>0.732234922161193</v>
      </c>
      <c r="N5271" s="57" t="n">
        <f aca="false">1/(1+Assumptions!$E$87)^(N5190/4)</f>
        <v>0.711780247813411</v>
      </c>
      <c r="P5271" s="58"/>
      <c r="Q5271" s="58"/>
      <c r="R5271" s="58"/>
      <c r="S5271" s="59"/>
    </row>
    <row r="5272" customFormat="false" ht="15" hidden="false" customHeight="false" outlineLevel="0" collapsed="false">
      <c r="A5272" s="4" t="s">
        <v>571</v>
      </c>
      <c r="B5272" s="36" t="s">
        <v>125</v>
      </c>
      <c r="C5272" s="54" t="n">
        <f aca="false">(C5247*(1-Assumptions!$E$88)-C5267)*C5271</f>
        <v>-265631.630827257</v>
      </c>
      <c r="D5272" s="54" t="n">
        <f aca="false">(D5247*(1-Assumptions!$E$88)-D5267)*D5271</f>
        <v>-226905.526315828</v>
      </c>
      <c r="E5272" s="54" t="n">
        <f aca="false">(E5247*(1-Assumptions!$E$88)-E5267)*E5271</f>
        <v>-228218.99486221</v>
      </c>
      <c r="F5272" s="54" t="n">
        <f aca="false">(F5247*(1-Assumptions!$E$88)-F5267)*F5271</f>
        <v>-225577.082095912</v>
      </c>
      <c r="G5272" s="54" t="n">
        <f aca="false">(G5247*(1-Assumptions!$E$88)-G5267)*G5271</f>
        <v>-205588.107865867</v>
      </c>
      <c r="H5272" s="54" t="n">
        <f aca="false">(H5247*(1-Assumptions!$E$88)-H5267)*H5271</f>
        <v>-168350.711994503</v>
      </c>
      <c r="I5272" s="54" t="n">
        <f aca="false">(I5247*(1-Assumptions!$E$88)-I5267)*I5271</f>
        <v>-198676.708597369</v>
      </c>
      <c r="J5272" s="54" t="n">
        <f aca="false">(J5247*(1-Assumptions!$E$88)-J5267)*J5271</f>
        <v>-165173.474720969</v>
      </c>
      <c r="K5272" s="54" t="n">
        <f aca="false">(K5247*(1-Assumptions!$E$88)-K5267)*K5271</f>
        <v>-164736.244574962</v>
      </c>
      <c r="L5272" s="54" t="n">
        <f aca="false">(L5247*(1-Assumptions!$E$88)-L5267)*L5271</f>
        <v>-157980.991016996</v>
      </c>
      <c r="M5272" s="54" t="n">
        <f aca="false">(M5247*(1-Assumptions!$E$88)-M5267)*M5271</f>
        <v>-147661.03427728</v>
      </c>
      <c r="N5272" s="54" t="n">
        <f aca="false">(N5247*(1-Assumptions!$E$88)-N5267)*N5271</f>
        <v>-137258.394595625</v>
      </c>
      <c r="P5272" s="55" t="n">
        <f aca="false">SUM(C5272:F5272)</f>
        <v>-946333.234101207</v>
      </c>
      <c r="Q5272" s="55" t="n">
        <f aca="false">SUM(G5272:J5272)</f>
        <v>-737789.003178707</v>
      </c>
      <c r="R5272" s="55" t="n">
        <f aca="false">SUM(K5272:N5272)</f>
        <v>-607636.664464862</v>
      </c>
      <c r="S5272" s="56" t="n">
        <f aca="false">SUM(P5272:R5272)</f>
        <v>-2291758.90174478</v>
      </c>
    </row>
    <row r="5273" customFormat="false" ht="15" hidden="false" customHeight="false" outlineLevel="0" collapsed="false">
      <c r="A5273" s="4" t="s">
        <v>572</v>
      </c>
      <c r="B5273" s="36" t="s">
        <v>125</v>
      </c>
      <c r="C5273" s="54" t="n">
        <f aca="false">(C5267-C5266)*12/(Assumptions!$E$89*Assumptions!$E$76)*Assumptions!$E$90</f>
        <v>189183.585164835</v>
      </c>
      <c r="D5273" s="54" t="n">
        <f aca="false">(D5267-D5266)*12/(Assumptions!$E$89*Assumptions!$E$76)*Assumptions!$E$90</f>
        <v>166247.908879317</v>
      </c>
      <c r="E5273" s="54" t="n">
        <f aca="false">(E5267-E5266)*12/(Assumptions!$E$89*Assumptions!$E$76)*Assumptions!$E$90</f>
        <v>172612.63963473</v>
      </c>
      <c r="F5273" s="54" t="n">
        <f aca="false">(F5267-F5266)*12/(Assumptions!$E$89*Assumptions!$E$76)*Assumptions!$E$90</f>
        <v>176807.159535509</v>
      </c>
      <c r="G5273" s="54" t="n">
        <f aca="false">(G5267-G5266)*12/(Assumptions!$E$89*Assumptions!$E$76)*Assumptions!$E$90</f>
        <v>167527.732671599</v>
      </c>
      <c r="H5273" s="54" t="n">
        <f aca="false">(H5267-H5266)*12/(Assumptions!$E$89*Assumptions!$E$76)*Assumptions!$E$90</f>
        <v>143546.519590886</v>
      </c>
      <c r="I5273" s="54" t="n">
        <f aca="false">(I5267-I5266)*12/(Assumptions!$E$89*Assumptions!$E$76)*Assumptions!$E$90</f>
        <v>175406.676035859</v>
      </c>
      <c r="J5273" s="54" t="n">
        <f aca="false">(J5267-J5266)*12/(Assumptions!$E$89*Assumptions!$E$76)*Assumptions!$E$90</f>
        <v>153924.704998162</v>
      </c>
      <c r="K5273" s="54" t="n">
        <f aca="false">(K5267-K5266)*12/(Assumptions!$E$89*Assumptions!$E$76)*Assumptions!$E$90</f>
        <v>161417.807629136</v>
      </c>
      <c r="L5273" s="54" t="n">
        <f aca="false">(L5267-L5266)*12/(Assumptions!$E$89*Assumptions!$E$76)*Assumptions!$E$90</f>
        <v>164255.41724866</v>
      </c>
      <c r="M5273" s="54" t="n">
        <f aca="false">(M5267-M5266)*12/(Assumptions!$E$89*Assumptions!$E$76)*Assumptions!$E$90</f>
        <v>163903.19165029</v>
      </c>
      <c r="N5273" s="54" t="n">
        <f aca="false">(N5267-N5266)*12/(Assumptions!$E$89*Assumptions!$E$76)*Assumptions!$E$90</f>
        <v>163125.398790302</v>
      </c>
      <c r="P5273" s="55" t="n">
        <f aca="false">SUM(C5273:F5273)</f>
        <v>704851.293214391</v>
      </c>
      <c r="Q5273" s="55" t="n">
        <f aca="false">SUM(G5273:J5273)</f>
        <v>640405.633296506</v>
      </c>
      <c r="R5273" s="55" t="n">
        <f aca="false">SUM(K5273:N5273)</f>
        <v>652701.815318389</v>
      </c>
      <c r="S5273" s="56" t="n">
        <f aca="false">SUM(P5273:R5273)</f>
        <v>1997958.74182929</v>
      </c>
    </row>
    <row r="5274" customFormat="false" ht="15" hidden="false" customHeight="false" outlineLevel="0" collapsed="false">
      <c r="A5274" s="4" t="s">
        <v>573</v>
      </c>
      <c r="B5274" s="36" t="s">
        <v>125</v>
      </c>
      <c r="C5274" s="54" t="n">
        <f aca="false">0*Assumptions!$E$92^(1/4)+C5273</f>
        <v>189183.585164835</v>
      </c>
      <c r="D5274" s="54" t="n">
        <f aca="false">C5274*Assumptions!$E$92^(1/4)+D5273</f>
        <v>355902.689686331</v>
      </c>
      <c r="E5274" s="54" t="n">
        <f aca="false">D5274*Assumptions!$E$92^(1/4)+E5273</f>
        <v>529401.768788174</v>
      </c>
      <c r="F5274" s="54" t="n">
        <f aca="false">E5274*Assumptions!$E$92^(1/4)+F5273</f>
        <v>707527.498358169</v>
      </c>
      <c r="G5274" s="54" t="n">
        <f aca="false">F5274*Assumptions!$E$92^(1/4)+G5273</f>
        <v>876817.455134242</v>
      </c>
      <c r="H5274" s="54" t="n">
        <f aca="false">G5274*Assumptions!$E$92^(1/4)+H5273</f>
        <v>1022547.84582307</v>
      </c>
      <c r="I5274" s="54" t="n">
        <f aca="false">H5274*Assumptions!$E$92^(1/4)+I5273</f>
        <v>1200501.36062642</v>
      </c>
      <c r="J5274" s="54" t="n">
        <f aca="false">I5274*Assumptions!$E$92^(1/4)+J5273</f>
        <v>1357416.12953031</v>
      </c>
      <c r="K5274" s="54" t="n">
        <f aca="false">J5274*Assumptions!$E$92^(1/4)+K5273</f>
        <v>1522214.82543419</v>
      </c>
      <c r="L5274" s="54" t="n">
        <f aca="false">K5274*Assumptions!$E$92^(1/4)+L5273</f>
        <v>1690261.59166051</v>
      </c>
      <c r="M5274" s="54" t="n">
        <f aca="false">L5274*Assumptions!$E$92^(1/4)+M5273</f>
        <v>1858374.68289295</v>
      </c>
      <c r="N5274" s="54" t="n">
        <f aca="false">M5274*Assumptions!$E$92^(1/4)+N5273</f>
        <v>2026128.69706419</v>
      </c>
      <c r="P5274" s="55" t="n">
        <f aca="false">F5274</f>
        <v>707527.498358169</v>
      </c>
      <c r="Q5274" s="55" t="n">
        <f aca="false">J5274</f>
        <v>1357416.12953031</v>
      </c>
      <c r="R5274" s="55" t="n">
        <f aca="false">N5274</f>
        <v>2026128.69706419</v>
      </c>
      <c r="S5274" s="56" t="n">
        <f aca="false">R5274</f>
        <v>2026128.69706419</v>
      </c>
    </row>
    <row r="5275" customFormat="false" ht="15" hidden="false" customHeight="false" outlineLevel="0" collapsed="false">
      <c r="A5275" s="4" t="s">
        <v>574</v>
      </c>
      <c r="B5275" s="36" t="s">
        <v>125</v>
      </c>
      <c r="C5275" s="54" t="n">
        <f aca="false">(0+C5274)/8*Assumptions!$E$76-(C5267-C5266)-C5274*Assumptions!$E$93/4</f>
        <v>-260258.807091346</v>
      </c>
      <c r="D5275" s="54" t="n">
        <f aca="false">(C5274+D5274)/8*Assumptions!$E$76-(D5267-D5266)-D5274*Assumptions!$E$93/4</f>
        <v>-200296.392170657</v>
      </c>
      <c r="E5275" s="54" t="n">
        <f aca="false">(D5274+E5274)/8*Assumptions!$E$76-(E5267-E5266)-E5274*Assumptions!$E$93/4</f>
        <v>-184015.903220075</v>
      </c>
      <c r="F5275" s="54" t="n">
        <f aca="false">(E5274+F5274)/8*Assumptions!$E$76-(F5267-F5266)-F5274*Assumptions!$E$93/4</f>
        <v>-163731.710102906</v>
      </c>
      <c r="G5275" s="54" t="n">
        <f aca="false">(F5274+G5274)/8*Assumptions!$E$76-(G5267-G5266)-G5274*Assumptions!$E$93/4</f>
        <v>-124216.693465785</v>
      </c>
      <c r="H5275" s="54" t="n">
        <f aca="false">(G5274+H5274)/8*Assumptions!$E$76-(H5267-H5266)-H5274*Assumptions!$E$93/4</f>
        <v>-65803.390112398</v>
      </c>
      <c r="I5275" s="54" t="n">
        <f aca="false">(H5274+I5274)/8*Assumptions!$E$76-(I5267-I5266)-I5274*Assumptions!$E$93/4</f>
        <v>-87748.7177022729</v>
      </c>
      <c r="J5275" s="54" t="n">
        <f aca="false">(I5274+J5274)/8*Assumptions!$E$76-(J5267-J5266)-J5274*Assumptions!$E$93/4</f>
        <v>-31472.5905412397</v>
      </c>
      <c r="K5275" s="54" t="n">
        <f aca="false">(J5274+K5274)/8*Assumptions!$E$76-(K5267-K5266)-K5274*Assumptions!$E$93/4</f>
        <v>-18216.7256913693</v>
      </c>
      <c r="L5275" s="54" t="n">
        <f aca="false">(K5274+L5274)/8*Assumptions!$E$76-(L5267-L5266)-L5274*Assumptions!$E$93/4</f>
        <v>2627.61407845718</v>
      </c>
      <c r="M5275" s="54" t="n">
        <f aca="false">(L5274+M5274)/8*Assumptions!$E$76-(M5267-M5266)-M5274*Assumptions!$E$93/4</f>
        <v>28347.9591653316</v>
      </c>
      <c r="N5275" s="54" t="n">
        <f aca="false">(M5274+N5274)/8*Assumptions!$E$76-(N5267-N5266)-N5274*Assumptions!$E$93/4</f>
        <v>54663.7148777787</v>
      </c>
      <c r="P5275" s="55" t="n">
        <f aca="false">SUM(C5275:F5275)</f>
        <v>-808302.812584985</v>
      </c>
      <c r="Q5275" s="55" t="n">
        <f aca="false">SUM(G5275:J5275)</f>
        <v>-309241.391821695</v>
      </c>
      <c r="R5275" s="55" t="n">
        <f aca="false">SUM(K5275:N5275)</f>
        <v>67422.5624301982</v>
      </c>
      <c r="S5275" s="56" t="n">
        <f aca="false">SUM(P5275:R5275)</f>
        <v>-1050121.64197648</v>
      </c>
    </row>
    <row r="5276" customFormat="false" ht="15" hidden="false" customHeight="false" outlineLevel="0" collapsed="false">
      <c r="A5276" s="4" t="s">
        <v>575</v>
      </c>
      <c r="B5276" s="36" t="s">
        <v>125</v>
      </c>
      <c r="C5276" s="54" t="n">
        <f aca="false">C5275*C5271</f>
        <v>-252988.586859998</v>
      </c>
      <c r="D5276" s="54" t="n">
        <f aca="false">D5275*D5271</f>
        <v>-189262.30078108</v>
      </c>
      <c r="E5276" s="54" t="n">
        <f aca="false">E5275*E5271</f>
        <v>-169021.456843978</v>
      </c>
      <c r="F5276" s="54" t="n">
        <f aca="false">F5275*F5271</f>
        <v>-146189.026877594</v>
      </c>
      <c r="G5276" s="54" t="n">
        <f aca="false">G5275*G5271</f>
        <v>-107809.60037276</v>
      </c>
      <c r="H5276" s="54" t="n">
        <f aca="false">H5275*H5271</f>
        <v>-55516.3921117256</v>
      </c>
      <c r="I5276" s="54" t="n">
        <f aca="false">I5275*I5271</f>
        <v>-71962.9965336445</v>
      </c>
      <c r="J5276" s="54" t="n">
        <f aca="false">J5275*J5271</f>
        <v>-25089.7564901465</v>
      </c>
      <c r="K5276" s="54" t="n">
        <f aca="false">K5275*K5271</f>
        <v>-14116.5889084247</v>
      </c>
      <c r="L5276" s="54" t="n">
        <f aca="false">L5275*L5271</f>
        <v>1979.32232628288</v>
      </c>
      <c r="M5276" s="54" t="n">
        <f aca="false">M5275*M5271</f>
        <v>20757.3656728553</v>
      </c>
      <c r="N5276" s="54" t="n">
        <f aca="false">N5275*N5271</f>
        <v>38908.552522107</v>
      </c>
      <c r="P5276" s="55" t="n">
        <f aca="false">SUM(C5276:F5276)</f>
        <v>-757461.371362651</v>
      </c>
      <c r="Q5276" s="55" t="n">
        <f aca="false">SUM(G5276:J5276)</f>
        <v>-260378.745508277</v>
      </c>
      <c r="R5276" s="55" t="n">
        <f aca="false">SUM(K5276:N5276)</f>
        <v>47528.6516128204</v>
      </c>
      <c r="S5276" s="56" t="n">
        <f aca="false">SUM(P5276:R5276)</f>
        <v>-970311.465258107</v>
      </c>
    </row>
    <row r="5277" customFormat="false" ht="15" hidden="false" customHeight="false" outlineLevel="0" collapsed="false">
      <c r="A5277" s="4" t="s">
        <v>576</v>
      </c>
      <c r="B5277" s="36"/>
      <c r="C5277" s="37" t="n">
        <f aca="false">IFERROR((S5232*$C$5181*Assumptions!$E$59+S5233*$C$5182*Assumptions!$E$60+S5234*$C$5183*Assumptions!$E$61)/(S5232*$C$5181+S5233*$C$5182+S5234*$C$5183),0.9)</f>
        <v>0.898972715947662</v>
      </c>
    </row>
    <row r="5278" customFormat="false" ht="15" hidden="false" customHeight="false" outlineLevel="0" collapsed="false">
      <c r="A5278" s="4" t="s">
        <v>577</v>
      </c>
      <c r="B5278" s="36"/>
      <c r="C5278" s="37" t="n">
        <f aca="false">IFERROR(N5266*4/N5244,0)</f>
        <v>0.166737201651537</v>
      </c>
    </row>
    <row r="5279" customFormat="false" ht="15" hidden="false" customHeight="false" outlineLevel="0" collapsed="false">
      <c r="A5279" s="4" t="s">
        <v>578</v>
      </c>
      <c r="B5279" s="36"/>
      <c r="C5279" s="60" t="n">
        <f aca="false">$C$5277/(1+Assumptions!$E$87)</f>
        <v>0.802654210667555</v>
      </c>
    </row>
    <row r="5280" customFormat="false" ht="15" hidden="false" customHeight="false" outlineLevel="0" collapsed="false">
      <c r="A5280" s="4" t="s">
        <v>579</v>
      </c>
      <c r="B5280" s="36"/>
      <c r="C5280" s="60" t="n">
        <f aca="false">Assumptions!$E$91/(1+Assumptions!$E$87)</f>
        <v>0.803571428571429</v>
      </c>
    </row>
    <row r="5281" customFormat="false" ht="15" hidden="false" customHeight="false" outlineLevel="0" collapsed="false">
      <c r="A5281" s="35" t="s">
        <v>580</v>
      </c>
      <c r="B5281" s="35" t="s">
        <v>444</v>
      </c>
      <c r="C5281" s="6" t="s">
        <v>354</v>
      </c>
      <c r="D5281" s="6" t="s">
        <v>355</v>
      </c>
      <c r="E5281" s="6" t="s">
        <v>356</v>
      </c>
      <c r="F5281" s="6" t="s">
        <v>357</v>
      </c>
      <c r="G5281" s="6" t="s">
        <v>358</v>
      </c>
      <c r="H5281" s="6" t="s">
        <v>359</v>
      </c>
      <c r="I5281" s="6" t="s">
        <v>360</v>
      </c>
      <c r="J5281" s="6" t="s">
        <v>361</v>
      </c>
      <c r="K5281" s="6" t="s">
        <v>362</v>
      </c>
      <c r="L5281" s="6" t="s">
        <v>363</v>
      </c>
      <c r="M5281" s="6" t="s">
        <v>364</v>
      </c>
      <c r="N5281" s="6" t="s">
        <v>365</v>
      </c>
      <c r="P5281" s="6" t="s">
        <v>445</v>
      </c>
      <c r="Q5281" s="6" t="s">
        <v>446</v>
      </c>
      <c r="R5281" s="6" t="s">
        <v>447</v>
      </c>
      <c r="S5281" s="6" t="s">
        <v>448</v>
      </c>
    </row>
    <row r="5282" customFormat="false" ht="15" hidden="false" customHeight="false" outlineLevel="0" collapsed="false">
      <c r="A5282" s="9" t="s">
        <v>581</v>
      </c>
      <c r="C5282" s="61" t="n">
        <f aca="false">N5244</f>
        <v>544353.334324412</v>
      </c>
      <c r="D5282" s="61"/>
    </row>
    <row r="5283" customFormat="false" ht="15" hidden="false" customHeight="false" outlineLevel="0" collapsed="false">
      <c r="A5283" s="9" t="s">
        <v>582</v>
      </c>
      <c r="C5283" s="62" t="n">
        <f aca="false">N5240</f>
        <v>49.474108826782</v>
      </c>
      <c r="D5283" s="62"/>
    </row>
    <row r="5284" customFormat="false" ht="15" hidden="false" customHeight="false" outlineLevel="0" collapsed="false">
      <c r="A5284" s="9" t="s">
        <v>583</v>
      </c>
      <c r="C5284" s="63" t="n">
        <f aca="false">S5235</f>
        <v>54.6649266327536</v>
      </c>
      <c r="D5284" s="63"/>
    </row>
    <row r="5285" customFormat="false" ht="15" hidden="false" customHeight="false" outlineLevel="0" collapsed="false">
      <c r="A5285" s="9" t="s">
        <v>584</v>
      </c>
      <c r="C5285" s="61" t="n">
        <f aca="false">S5246</f>
        <v>525928.654939398</v>
      </c>
      <c r="D5285" s="61"/>
    </row>
    <row r="5286" customFormat="false" ht="15" hidden="false" customHeight="false" outlineLevel="0" collapsed="false">
      <c r="A5286" s="9" t="s">
        <v>22</v>
      </c>
      <c r="C5286" s="61" t="n">
        <f aca="false">IFERROR(S5245/S5235,0)</f>
        <v>9418.77642660609</v>
      </c>
      <c r="D5286" s="61"/>
    </row>
    <row r="5287" customFormat="false" ht="15" hidden="false" customHeight="false" outlineLevel="0" collapsed="false">
      <c r="A5287" s="9" t="s">
        <v>585</v>
      </c>
      <c r="C5287" s="61" t="n">
        <f aca="false">IFERROR(S5263/S5235,0)</f>
        <v>39946.1743587237</v>
      </c>
      <c r="D5287" s="61"/>
    </row>
    <row r="5288" customFormat="false" ht="23.85" hidden="false" customHeight="false" outlineLevel="0" collapsed="false">
      <c r="A5288" s="9" t="s">
        <v>586</v>
      </c>
      <c r="C5288" s="61" t="n">
        <f aca="false">IFERROR((S5257+S5259+S5260+S5261+S5262)/S5235,0)</f>
        <v>16352.108902317</v>
      </c>
      <c r="D5288" s="61"/>
    </row>
    <row r="5289" customFormat="false" ht="15" hidden="false" customHeight="false" outlineLevel="0" collapsed="false">
      <c r="A5289" s="9" t="s">
        <v>587</v>
      </c>
      <c r="C5289" s="64" t="n">
        <f aca="false">IFERROR('Engine Runs'!$C$5287/('Engine Runs'!$C$5286*Assumptions!$E$76/12),0)</f>
        <v>78.2976260304581</v>
      </c>
      <c r="D5289" s="64"/>
    </row>
    <row r="5290" customFormat="false" ht="15" hidden="false" customHeight="false" outlineLevel="0" collapsed="false">
      <c r="A5290" s="9" t="s">
        <v>588</v>
      </c>
      <c r="C5290" s="64" t="n">
        <f aca="false">IFERROR((R5263/R5235)/((R5245/R5235)*Assumptions!$E$76/12),0)</f>
        <v>51.2394862186969</v>
      </c>
      <c r="D5290" s="64"/>
    </row>
    <row r="5291" customFormat="false" ht="15" hidden="false" customHeight="false" outlineLevel="0" collapsed="false">
      <c r="A5291" s="9" t="s">
        <v>589</v>
      </c>
      <c r="C5291" s="61" t="n">
        <f aca="false">S5267</f>
        <v>2990671.33253012</v>
      </c>
      <c r="D5291" s="61"/>
    </row>
    <row r="5292" customFormat="false" ht="15" hidden="false" customHeight="false" outlineLevel="0" collapsed="false">
      <c r="A5292" s="9" t="s">
        <v>590</v>
      </c>
      <c r="C5292" s="61" t="n">
        <f aca="false">N5270</f>
        <v>-2648817.70681951</v>
      </c>
      <c r="D5292" s="61"/>
    </row>
    <row r="5293" customFormat="false" ht="15" hidden="false" customHeight="false" outlineLevel="0" collapsed="false">
      <c r="A5293" s="9" t="s">
        <v>591</v>
      </c>
      <c r="C5293" s="61" t="n">
        <f aca="false">MIN($C$5270:$N$5270)</f>
        <v>-2648817.70681951</v>
      </c>
      <c r="D5293" s="61"/>
    </row>
    <row r="5294" customFormat="false" ht="15" hidden="false" customHeight="false" outlineLevel="0" collapsed="false">
      <c r="A5294" s="9" t="s">
        <v>592</v>
      </c>
      <c r="C5294" s="61" t="n">
        <f aca="false">N5244*(Assumptions!$E$76-$C$5278)*$C$5277*(1-$C$5277^Assumptions!$E$85)/(1-$C$5277)</f>
        <v>966468.833403323</v>
      </c>
      <c r="D5294" s="61"/>
    </row>
    <row r="5295" customFormat="false" ht="15" hidden="false" customHeight="false" outlineLevel="0" collapsed="false">
      <c r="A5295" s="9" t="s">
        <v>593</v>
      </c>
      <c r="C5295" s="61" t="n">
        <f aca="false">N5244*(Assumptions!$E$76-$C$5278)*(1-Assumptions!$E$88)/(1+Assumptions!$E$87)^2.5*$C$5279*(1-$C$5279^Assumptions!$E$85)/(1-$C$5279)</f>
        <v>429968.510607422</v>
      </c>
      <c r="D5295" s="61"/>
    </row>
    <row r="5296" customFormat="false" ht="15" hidden="false" customHeight="false" outlineLevel="0" collapsed="false">
      <c r="A5296" s="9" t="s">
        <v>594</v>
      </c>
      <c r="C5296" s="61" t="n">
        <f aca="false">SUM($C$5272:$N$5272)+'Engine Runs'!$C$5295</f>
        <v>-1861790.39113735</v>
      </c>
      <c r="D5296" s="61"/>
    </row>
    <row r="5297" customFormat="false" ht="15" hidden="false" customHeight="false" outlineLevel="0" collapsed="false">
      <c r="A5297" s="9" t="s">
        <v>595</v>
      </c>
      <c r="C5297" s="61" t="n">
        <f aca="false">SUM($C$5276:$N$5276)+N5274*(Assumptions!$E$76-Assumptions!$E$93)/(1+Assumptions!$E$87)^2.5*$C$5280*(1-$C$5280^Assumptions!$E$85)/(1-$C$5280)</f>
        <v>1520699.18788722</v>
      </c>
      <c r="D5297" s="61"/>
    </row>
    <row r="5298" customFormat="false" ht="15" hidden="false" customHeight="false" outlineLevel="0" collapsed="false">
      <c r="A5298" s="9" t="s">
        <v>596</v>
      </c>
      <c r="C5298" s="61" t="n">
        <f aca="false">'Engine Runs'!$C$5296-'Engine Runs'!$C$5297</f>
        <v>-3382489.57902458</v>
      </c>
      <c r="D5298" s="61"/>
    </row>
    <row r="5299" customFormat="false" ht="15" hidden="false" customHeight="false" outlineLevel="0" collapsed="false">
      <c r="A5299" s="9" t="s">
        <v>597</v>
      </c>
      <c r="C5299" s="61" t="n">
        <f aca="false">S5231</f>
        <v>0</v>
      </c>
      <c r="D5299" s="61"/>
    </row>
    <row r="5300" customFormat="false" ht="15" hidden="false" customHeight="false" outlineLevel="0" collapsed="false">
      <c r="A5300" s="9" t="s">
        <v>598</v>
      </c>
      <c r="C5300" s="63" t="n">
        <f aca="false">P5215</f>
        <v>43.6188722246667</v>
      </c>
      <c r="D5300" s="63"/>
    </row>
    <row r="5301" customFormat="false" ht="15" hidden="false" customHeight="false" outlineLevel="0" collapsed="false">
      <c r="A5301" s="9" t="s">
        <v>599</v>
      </c>
      <c r="C5301" s="63" t="n">
        <f aca="false">P5235</f>
        <v>6.14662846985398</v>
      </c>
      <c r="D5301" s="63"/>
    </row>
    <row r="5302" customFormat="false" ht="15" hidden="false" customHeight="false" outlineLevel="0" collapsed="false">
      <c r="A5302" s="9" t="s">
        <v>600</v>
      </c>
      <c r="C5302" s="63" t="n">
        <f aca="false">P5211</f>
        <v>42</v>
      </c>
      <c r="D5302" s="63"/>
    </row>
    <row r="5303" customFormat="false" ht="15" hidden="false" customHeight="false" outlineLevel="0" collapsed="false">
      <c r="A5303" s="9" t="s">
        <v>601</v>
      </c>
      <c r="C5303" s="61" t="n">
        <f aca="false">IFERROR(P5245/P5235,0)</f>
        <v>9016.69114943024</v>
      </c>
      <c r="D5303" s="61"/>
    </row>
    <row r="5306" customFormat="false" ht="15" hidden="false" customHeight="true" outlineLevel="0" collapsed="false">
      <c r="A5306" s="78" t="s">
        <v>855</v>
      </c>
      <c r="B5306" s="78"/>
      <c r="C5306" s="78"/>
      <c r="D5306" s="78"/>
      <c r="E5306" s="78"/>
      <c r="F5306" s="78"/>
      <c r="G5306" s="78"/>
      <c r="H5306" s="78"/>
      <c r="I5306" s="78"/>
      <c r="J5306" s="78"/>
      <c r="K5306" s="78"/>
      <c r="L5306" s="78"/>
      <c r="M5306" s="78"/>
      <c r="N5306" s="78"/>
    </row>
    <row r="5307" customFormat="false" ht="15" hidden="false" customHeight="true" outlineLevel="0" collapsed="false">
      <c r="A5307" s="79" t="s">
        <v>856</v>
      </c>
      <c r="B5307" s="79"/>
      <c r="C5307" s="79"/>
      <c r="D5307" s="79"/>
      <c r="E5307" s="79"/>
      <c r="F5307" s="79"/>
      <c r="G5307" s="79"/>
      <c r="H5307" s="79"/>
      <c r="I5307" s="79"/>
      <c r="J5307" s="79"/>
      <c r="K5307" s="79"/>
      <c r="L5307" s="79"/>
      <c r="M5307" s="79"/>
      <c r="N5307" s="79"/>
    </row>
    <row r="5308" customFormat="false" ht="23.85" hidden="false" customHeight="false" outlineLevel="0" collapsed="false">
      <c r="A5308" s="35" t="s">
        <v>857</v>
      </c>
      <c r="B5308" s="35" t="s">
        <v>444</v>
      </c>
      <c r="C5308" s="6" t="s">
        <v>354</v>
      </c>
      <c r="D5308" s="6" t="s">
        <v>355</v>
      </c>
      <c r="E5308" s="6" t="s">
        <v>356</v>
      </c>
      <c r="F5308" s="6" t="s">
        <v>357</v>
      </c>
      <c r="G5308" s="6" t="s">
        <v>358</v>
      </c>
      <c r="H5308" s="6" t="s">
        <v>359</v>
      </c>
      <c r="I5308" s="6" t="s">
        <v>360</v>
      </c>
      <c r="J5308" s="6" t="s">
        <v>361</v>
      </c>
      <c r="K5308" s="6" t="s">
        <v>362</v>
      </c>
      <c r="L5308" s="6" t="s">
        <v>363</v>
      </c>
      <c r="M5308" s="6" t="s">
        <v>364</v>
      </c>
      <c r="N5308" s="6" t="s">
        <v>365</v>
      </c>
      <c r="P5308" s="6" t="s">
        <v>445</v>
      </c>
      <c r="Q5308" s="6" t="s">
        <v>446</v>
      </c>
      <c r="R5308" s="6" t="s">
        <v>447</v>
      </c>
      <c r="S5308" s="6" t="s">
        <v>448</v>
      </c>
    </row>
    <row r="5309" customFormat="false" ht="15" hidden="false" customHeight="false" outlineLevel="0" collapsed="false">
      <c r="A5309" s="4" t="s">
        <v>449</v>
      </c>
      <c r="B5309" s="36" t="s">
        <v>450</v>
      </c>
      <c r="C5309" s="34" t="n">
        <f aca="false">'Market Sizing'!$C$17*Assumptions!$E$10*Assumptions!$E$11*(1-Assumptions!$E$12)</f>
        <v>843.03944704</v>
      </c>
    </row>
    <row r="5310" customFormat="false" ht="15" hidden="false" customHeight="false" outlineLevel="0" collapsed="false">
      <c r="A5310" s="4" t="s">
        <v>451</v>
      </c>
      <c r="B5310" s="36" t="s">
        <v>450</v>
      </c>
      <c r="C5310" s="34" t="n">
        <f aca="false">'Market Sizing'!$D$17*Assumptions!$E$10*Assumptions!$E$11*(1-Assumptions!$E$12)</f>
        <v>211.19616</v>
      </c>
    </row>
    <row r="5311" customFormat="false" ht="15" hidden="false" customHeight="false" outlineLevel="0" collapsed="false">
      <c r="A5311" s="4" t="s">
        <v>452</v>
      </c>
      <c r="B5311" s="36" t="s">
        <v>450</v>
      </c>
      <c r="C5311" s="34" t="n">
        <f aca="false">'Market Sizing'!$E$17*Assumptions!$E$10*Assumptions!$E$11*(1-Assumptions!$E$12)</f>
        <v>49.53984</v>
      </c>
    </row>
    <row r="5312" customFormat="false" ht="15" hidden="false" customHeight="false" outlineLevel="0" collapsed="false">
      <c r="A5312" s="4" t="s">
        <v>453</v>
      </c>
      <c r="B5312" s="36"/>
      <c r="C5312" s="34" t="n">
        <f aca="false">$C$5309+$C$5310+$C$5311</f>
        <v>1103.77544704</v>
      </c>
    </row>
    <row r="5313" customFormat="false" ht="15" hidden="false" customHeight="false" outlineLevel="0" collapsed="false">
      <c r="A5313" s="4" t="s">
        <v>454</v>
      </c>
      <c r="B5313" s="36" t="s">
        <v>450</v>
      </c>
      <c r="C5313" s="34" t="n">
        <f aca="false">'Market Sizing'!$C$18*Assumptions!$E$10*Assumptions!$E$11*(1-Assumptions!$E$12)</f>
        <v>612.57706944</v>
      </c>
    </row>
    <row r="5314" customFormat="false" ht="15" hidden="false" customHeight="false" outlineLevel="0" collapsed="false">
      <c r="A5314" s="4" t="s">
        <v>455</v>
      </c>
      <c r="B5314" s="36" t="s">
        <v>450</v>
      </c>
      <c r="C5314" s="34" t="n">
        <f aca="false">'Market Sizing'!$D$18*Assumptions!$E$10*Assumptions!$E$11*(1-Assumptions!$E$12)</f>
        <v>142.10112</v>
      </c>
    </row>
    <row r="5315" customFormat="false" ht="15" hidden="false" customHeight="false" outlineLevel="0" collapsed="false">
      <c r="A5315" s="4" t="s">
        <v>456</v>
      </c>
      <c r="B5315" s="36" t="s">
        <v>450</v>
      </c>
      <c r="C5315" s="34" t="n">
        <f aca="false">'Market Sizing'!$E$18*Assumptions!$E$10*Assumptions!$E$11*(1-Assumptions!$E$12)</f>
        <v>24.76992</v>
      </c>
    </row>
    <row r="5316" customFormat="false" ht="15" hidden="false" customHeight="false" outlineLevel="0" collapsed="false">
      <c r="A5316" s="4" t="s">
        <v>457</v>
      </c>
      <c r="B5316" s="36"/>
      <c r="C5316" s="34" t="n">
        <f aca="false">$C$5313+$C$5314+$C$5315</f>
        <v>779.44810944</v>
      </c>
    </row>
    <row r="5317" customFormat="false" ht="15" hidden="false" customHeight="false" outlineLevel="0" collapsed="false">
      <c r="A5317" s="4" t="s">
        <v>458</v>
      </c>
      <c r="B5317" s="36" t="s">
        <v>450</v>
      </c>
      <c r="C5317" s="34" t="n">
        <f aca="false">'Market Sizing'!$C$19*Assumptions!$E$10*Assumptions!$E$11*(1-Assumptions!$E$12)</f>
        <v>2060.77303936</v>
      </c>
    </row>
    <row r="5318" customFormat="false" ht="15" hidden="false" customHeight="false" outlineLevel="0" collapsed="false">
      <c r="A5318" s="4" t="s">
        <v>459</v>
      </c>
      <c r="B5318" s="36" t="s">
        <v>450</v>
      </c>
      <c r="C5318" s="34" t="n">
        <f aca="false">'Market Sizing'!$D$19*Assumptions!$E$10*Assumptions!$E$11*(1-Assumptions!$E$12)</f>
        <v>428.47616</v>
      </c>
    </row>
    <row r="5319" customFormat="false" ht="15" hidden="false" customHeight="false" outlineLevel="0" collapsed="false">
      <c r="A5319" s="4" t="s">
        <v>460</v>
      </c>
      <c r="B5319" s="36" t="s">
        <v>450</v>
      </c>
      <c r="C5319" s="34" t="n">
        <f aca="false">'Market Sizing'!$E$19*Assumptions!$E$10*Assumptions!$E$11*(1-Assumptions!$E$12)</f>
        <v>79.52448</v>
      </c>
    </row>
    <row r="5320" customFormat="false" ht="15" hidden="false" customHeight="false" outlineLevel="0" collapsed="false">
      <c r="A5320" s="4" t="s">
        <v>461</v>
      </c>
      <c r="B5320" s="36"/>
      <c r="C5320" s="34" t="n">
        <f aca="false">$C$5317+$C$5318+$C$5319</f>
        <v>2568.77367936</v>
      </c>
    </row>
    <row r="5321" customFormat="false" ht="15" hidden="false" customHeight="false" outlineLevel="0" collapsed="false">
      <c r="A5321" s="4" t="s">
        <v>462</v>
      </c>
      <c r="B5321" s="36" t="s">
        <v>463</v>
      </c>
      <c r="C5321" s="33" t="n">
        <f aca="false">MAX((Assumptions!$E$51+Assumptions!$E$53)*12,(((('Market Sizing'!$E$25*Assumptions!$E$41*Assumptions!$E$42*Assumptions!$E$43)*Assumptions!$E$44)*Assumptions!$E$45*Assumptions!$E$46+('Market Sizing'!$E$25*Assumptions!$E$41*Assumptions!$E$42*Assumptions!$E$43)*Assumptions!$E$47+('Market Sizing'!$E$25*Assumptions!$E$41*Assumptions!$E$42*Assumptions!$E$43)*Assumptions!$E$48*Assumptions!$E$49)*(Assumptions!$E$51*12/Assumptions!$E$52)+((('Market Sizing'!$E$25*Assumptions!$E$41*Assumptions!$E$42*Assumptions!$E$43)*Assumptions!$E$44)*Assumptions!$E$45+('Market Sizing'!$E$25*Assumptions!$E$41*Assumptions!$E$42*Assumptions!$E$43)+('Market Sizing'!$E$25*Assumptions!$E$41*Assumptions!$E$42*Assumptions!$E$43)*Assumptions!$E$48)*Assumptions!$E$50*(Assumptions!$E$53*12/Assumptions!$E$54)))</f>
        <v>5352</v>
      </c>
    </row>
    <row r="5322" customFormat="false" ht="15" hidden="false" customHeight="false" outlineLevel="0" collapsed="false">
      <c r="A5322" s="4" t="s">
        <v>464</v>
      </c>
      <c r="B5322" s="36" t="s">
        <v>463</v>
      </c>
      <c r="C5322" s="33" t="n">
        <f aca="false">MAX((Assumptions!$E$51+Assumptions!$E$53)*12,(((('Market Sizing'!$E$26*Assumptions!$E$41*Assumptions!$E$42*Assumptions!$E$43)*Assumptions!$E$44)*Assumptions!$E$45*Assumptions!$E$46+('Market Sizing'!$E$26*Assumptions!$E$41*Assumptions!$E$42*Assumptions!$E$43)*Assumptions!$E$47+('Market Sizing'!$E$26*Assumptions!$E$41*Assumptions!$E$42*Assumptions!$E$43)*Assumptions!$E$48*Assumptions!$E$49)*(Assumptions!$E$51*12/Assumptions!$E$52)+((('Market Sizing'!$E$26*Assumptions!$E$41*Assumptions!$E$42*Assumptions!$E$43)*Assumptions!$E$44)*Assumptions!$E$45+('Market Sizing'!$E$26*Assumptions!$E$41*Assumptions!$E$42*Assumptions!$E$43)+('Market Sizing'!$E$26*Assumptions!$E$41*Assumptions!$E$42*Assumptions!$E$43)*Assumptions!$E$48)*Assumptions!$E$50*(Assumptions!$E$53*12/Assumptions!$E$54)))</f>
        <v>9766.72012875208</v>
      </c>
    </row>
    <row r="5323" customFormat="false" ht="15" hidden="false" customHeight="false" outlineLevel="0" collapsed="false">
      <c r="A5323" s="4" t="s">
        <v>465</v>
      </c>
      <c r="B5323" s="36" t="s">
        <v>463</v>
      </c>
      <c r="C5323" s="33" t="n">
        <f aca="false">MAX(Assumptions!$E$55*(Assumptions!$E$51*12/Assumptions!$E$52)+Assumptions!$E$56*(Assumptions!$E$53*12/Assumptions!$E$54),(((('Market Sizing'!$E$27*Assumptions!$E$41*Assumptions!$E$42*Assumptions!$E$43)*Assumptions!$E$44)*Assumptions!$E$45*Assumptions!$E$46+('Market Sizing'!$E$27*Assumptions!$E$41*Assumptions!$E$42*Assumptions!$E$43)*Assumptions!$E$47+('Market Sizing'!$E$27*Assumptions!$E$41*Assumptions!$E$42*Assumptions!$E$43)*Assumptions!$E$48*Assumptions!$E$49)*(Assumptions!$E$51*12/Assumptions!$E$52)+((('Market Sizing'!$E$27*Assumptions!$E$41*Assumptions!$E$42*Assumptions!$E$43)*Assumptions!$E$44)*Assumptions!$E$45+('Market Sizing'!$E$27*Assumptions!$E$41*Assumptions!$E$42*Assumptions!$E$43)+('Market Sizing'!$E$27*Assumptions!$E$41*Assumptions!$E$42*Assumptions!$E$43)*Assumptions!$E$48)*Assumptions!$E$50*(Assumptions!$E$53*12/Assumptions!$E$54)))*(1-Assumptions!$E$57)</f>
        <v>61778.2562194386</v>
      </c>
    </row>
    <row r="5324" customFormat="false" ht="23.85" hidden="false" customHeight="false" outlineLevel="0" collapsed="false">
      <c r="A5324" s="4" t="s">
        <v>466</v>
      </c>
      <c r="B5324" s="36" t="s">
        <v>467</v>
      </c>
      <c r="C5324" s="37" t="n">
        <f aca="false">Assumptions!$E$17*Assumptions!$D$106</f>
        <v>0.4</v>
      </c>
    </row>
    <row r="5325" customFormat="false" ht="23.85" hidden="false" customHeight="false" outlineLevel="0" collapsed="false">
      <c r="A5325" s="4" t="s">
        <v>468</v>
      </c>
      <c r="B5325" s="36" t="s">
        <v>469</v>
      </c>
      <c r="C5325" s="33" t="n">
        <f aca="false">Assumptions!$E$68/Assumptions!$E$69</f>
        <v>285714.285714286</v>
      </c>
    </row>
    <row r="5326" customFormat="false" ht="23.85" hidden="false" customHeight="false" outlineLevel="0" collapsed="false">
      <c r="A5326" s="4" t="s">
        <v>470</v>
      </c>
      <c r="B5326" s="36" t="s">
        <v>471</v>
      </c>
      <c r="C5326" s="33" t="n">
        <f aca="false">Assumptions!$E$66*Assumptions!$E$67/4</f>
        <v>153125</v>
      </c>
    </row>
    <row r="5327" customFormat="false" ht="15" hidden="false" customHeight="false" outlineLevel="0" collapsed="false">
      <c r="A5327" s="4" t="s">
        <v>472</v>
      </c>
      <c r="B5327" s="36"/>
      <c r="C5327" s="38" t="n">
        <f aca="false">$C$5325/Assumptions!$E$66/Assumptions!$E$67</f>
        <v>0.466472303206997</v>
      </c>
    </row>
    <row r="5328" customFormat="false" ht="15" hidden="false" customHeight="false" outlineLevel="0" collapsed="false">
      <c r="A5328" s="4" t="s">
        <v>473</v>
      </c>
      <c r="B5328" s="36"/>
      <c r="C5328" s="33" t="n">
        <f aca="false">MAX(0,Assumptions!$D$103-Assumptions!$E$78)</f>
        <v>0</v>
      </c>
    </row>
    <row r="5329" customFormat="false" ht="15" hidden="false" customHeight="false" outlineLevel="0" collapsed="false">
      <c r="A5329" s="35" t="s">
        <v>474</v>
      </c>
      <c r="B5329" s="35" t="s">
        <v>444</v>
      </c>
      <c r="C5329" s="6" t="s">
        <v>354</v>
      </c>
      <c r="D5329" s="6" t="s">
        <v>355</v>
      </c>
      <c r="E5329" s="6" t="s">
        <v>356</v>
      </c>
      <c r="F5329" s="6" t="s">
        <v>357</v>
      </c>
      <c r="G5329" s="6" t="s">
        <v>358</v>
      </c>
      <c r="H5329" s="6" t="s">
        <v>359</v>
      </c>
      <c r="I5329" s="6" t="s">
        <v>360</v>
      </c>
      <c r="J5329" s="6" t="s">
        <v>361</v>
      </c>
      <c r="K5329" s="6" t="s">
        <v>362</v>
      </c>
      <c r="L5329" s="6" t="s">
        <v>363</v>
      </c>
      <c r="M5329" s="6" t="s">
        <v>364</v>
      </c>
      <c r="N5329" s="6" t="s">
        <v>365</v>
      </c>
      <c r="P5329" s="6" t="s">
        <v>445</v>
      </c>
      <c r="Q5329" s="6" t="s">
        <v>446</v>
      </c>
      <c r="R5329" s="6" t="s">
        <v>447</v>
      </c>
      <c r="S5329" s="6" t="s">
        <v>448</v>
      </c>
    </row>
    <row r="5330" customFormat="false" ht="15" hidden="false" customHeight="false" outlineLevel="0" collapsed="false">
      <c r="A5330" s="4" t="s">
        <v>475</v>
      </c>
      <c r="B5330" s="36" t="s">
        <v>133</v>
      </c>
      <c r="C5330" s="39" t="n">
        <v>1</v>
      </c>
      <c r="D5330" s="39" t="n">
        <v>2</v>
      </c>
      <c r="E5330" s="39" t="n">
        <v>3</v>
      </c>
      <c r="F5330" s="39" t="n">
        <v>4</v>
      </c>
      <c r="G5330" s="39" t="n">
        <v>5</v>
      </c>
      <c r="H5330" s="39" t="n">
        <v>6</v>
      </c>
      <c r="I5330" s="39" t="n">
        <v>7</v>
      </c>
      <c r="J5330" s="39" t="n">
        <v>8</v>
      </c>
      <c r="K5330" s="39" t="n">
        <v>9</v>
      </c>
      <c r="L5330" s="39" t="n">
        <v>10</v>
      </c>
      <c r="M5330" s="39" t="n">
        <v>11</v>
      </c>
      <c r="N5330" s="39" t="n">
        <v>12</v>
      </c>
      <c r="P5330" s="40"/>
      <c r="Q5330" s="40"/>
      <c r="R5330" s="40"/>
      <c r="S5330" s="41"/>
    </row>
    <row r="5331" customFormat="false" ht="15" hidden="false" customHeight="false" outlineLevel="0" collapsed="false">
      <c r="A5331" s="4" t="s">
        <v>476</v>
      </c>
      <c r="B5331" s="36" t="s">
        <v>343</v>
      </c>
      <c r="C5331" s="39" t="n">
        <f aca="false">IF(C5330&lt;=Assumptions!$E$84,1,0)</f>
        <v>1</v>
      </c>
      <c r="D5331" s="39" t="n">
        <f aca="false">IF(D5330&lt;=Assumptions!$E$84,1,0)</f>
        <v>1</v>
      </c>
      <c r="E5331" s="39" t="n">
        <f aca="false">IF(E5330&lt;=Assumptions!$E$84,1,0)</f>
        <v>1</v>
      </c>
      <c r="F5331" s="39" t="n">
        <f aca="false">IF(F5330&lt;=Assumptions!$E$84,1,0)</f>
        <v>1</v>
      </c>
      <c r="G5331" s="39" t="n">
        <f aca="false">IF(G5330&lt;=Assumptions!$E$84,1,0)</f>
        <v>1</v>
      </c>
      <c r="H5331" s="39" t="n">
        <f aca="false">IF(H5330&lt;=Assumptions!$E$84,1,0)</f>
        <v>1</v>
      </c>
      <c r="I5331" s="39" t="n">
        <f aca="false">IF(I5330&lt;=Assumptions!$E$84,1,0)</f>
        <v>1</v>
      </c>
      <c r="J5331" s="39" t="n">
        <f aca="false">IF(J5330&lt;=Assumptions!$E$84,1,0)</f>
        <v>1</v>
      </c>
      <c r="K5331" s="39" t="n">
        <f aca="false">IF(K5330&lt;=Assumptions!$E$84,1,0)</f>
        <v>1</v>
      </c>
      <c r="L5331" s="39" t="n">
        <f aca="false">IF(L5330&lt;=Assumptions!$E$84,1,0)</f>
        <v>1</v>
      </c>
      <c r="M5331" s="39" t="n">
        <f aca="false">IF(M5330&lt;=Assumptions!$E$84,1,0)</f>
        <v>1</v>
      </c>
      <c r="N5331" s="39" t="n">
        <f aca="false">IF(N5330&lt;=Assumptions!$E$84,1,0)</f>
        <v>1</v>
      </c>
      <c r="P5331" s="40"/>
      <c r="Q5331" s="40"/>
      <c r="R5331" s="40"/>
      <c r="S5331" s="41"/>
    </row>
    <row r="5332" customFormat="false" ht="15" hidden="false" customHeight="false" outlineLevel="0" collapsed="false">
      <c r="A5332" s="4" t="s">
        <v>477</v>
      </c>
      <c r="B5332" s="36" t="s">
        <v>478</v>
      </c>
      <c r="C5332" s="42" t="n">
        <f aca="false">IF(C5330=Assumptions!$E$13,0.5,IF(C5330&gt;Assumptions!$E$13,1,0))</f>
        <v>0.5</v>
      </c>
      <c r="D5332" s="42" t="n">
        <f aca="false">IF(D5330=Assumptions!$E$13,0.5,IF(D5330&gt;Assumptions!$E$13,1,0))</f>
        <v>1</v>
      </c>
      <c r="E5332" s="42" t="n">
        <f aca="false">IF(E5330=Assumptions!$E$13,0.5,IF(E5330&gt;Assumptions!$E$13,1,0))</f>
        <v>1</v>
      </c>
      <c r="F5332" s="42" t="n">
        <f aca="false">IF(F5330=Assumptions!$E$13,0.5,IF(F5330&gt;Assumptions!$E$13,1,0))</f>
        <v>1</v>
      </c>
      <c r="G5332" s="42" t="n">
        <f aca="false">IF(G5330=Assumptions!$E$13,0.5,IF(G5330&gt;Assumptions!$E$13,1,0))</f>
        <v>1</v>
      </c>
      <c r="H5332" s="42" t="n">
        <f aca="false">IF(H5330=Assumptions!$E$13,0.5,IF(H5330&gt;Assumptions!$E$13,1,0))</f>
        <v>1</v>
      </c>
      <c r="I5332" s="42" t="n">
        <f aca="false">IF(I5330=Assumptions!$E$13,0.5,IF(I5330&gt;Assumptions!$E$13,1,0))</f>
        <v>1</v>
      </c>
      <c r="J5332" s="42" t="n">
        <f aca="false">IF(J5330=Assumptions!$E$13,0.5,IF(J5330&gt;Assumptions!$E$13,1,0))</f>
        <v>1</v>
      </c>
      <c r="K5332" s="42" t="n">
        <f aca="false">IF(K5330=Assumptions!$E$13,0.5,IF(K5330&gt;Assumptions!$E$13,1,0))</f>
        <v>1</v>
      </c>
      <c r="L5332" s="42" t="n">
        <f aca="false">IF(L5330=Assumptions!$E$13,0.5,IF(L5330&gt;Assumptions!$E$13,1,0))</f>
        <v>1</v>
      </c>
      <c r="M5332" s="42" t="n">
        <f aca="false">IF(M5330=Assumptions!$E$13,0.5,IF(M5330&gt;Assumptions!$E$13,1,0))</f>
        <v>1</v>
      </c>
      <c r="N5332" s="42" t="n">
        <f aca="false">IF(N5330=Assumptions!$E$13,0.5,IF(N5330&gt;Assumptions!$E$13,1,0))</f>
        <v>1</v>
      </c>
      <c r="P5332" s="43"/>
      <c r="Q5332" s="43"/>
      <c r="R5332" s="43"/>
      <c r="S5332" s="44"/>
    </row>
    <row r="5333" customFormat="false" ht="15" hidden="false" customHeight="false" outlineLevel="0" collapsed="false">
      <c r="A5333" s="4" t="s">
        <v>479</v>
      </c>
      <c r="B5333" s="36" t="s">
        <v>478</v>
      </c>
      <c r="C5333" s="42" t="n">
        <f aca="false">IF(C5330=Assumptions!$E$14,0.5,IF(C5330&gt;Assumptions!$E$14,1,0))</f>
        <v>0</v>
      </c>
      <c r="D5333" s="42" t="n">
        <f aca="false">IF(D5330=Assumptions!$E$14,0.5,IF(D5330&gt;Assumptions!$E$14,1,0))</f>
        <v>0</v>
      </c>
      <c r="E5333" s="42" t="n">
        <f aca="false">IF(E5330=Assumptions!$E$14,0.5,IF(E5330&gt;Assumptions!$E$14,1,0))</f>
        <v>0</v>
      </c>
      <c r="F5333" s="42" t="n">
        <f aca="false">IF(F5330=Assumptions!$E$14,0.5,IF(F5330&gt;Assumptions!$E$14,1,0))</f>
        <v>0</v>
      </c>
      <c r="G5333" s="42" t="n">
        <f aca="false">IF(G5330=Assumptions!$E$14,0.5,IF(G5330&gt;Assumptions!$E$14,1,0))</f>
        <v>0.5</v>
      </c>
      <c r="H5333" s="42" t="n">
        <f aca="false">IF(H5330=Assumptions!$E$14,0.5,IF(H5330&gt;Assumptions!$E$14,1,0))</f>
        <v>1</v>
      </c>
      <c r="I5333" s="42" t="n">
        <f aca="false">IF(I5330=Assumptions!$E$14,0.5,IF(I5330&gt;Assumptions!$E$14,1,0))</f>
        <v>1</v>
      </c>
      <c r="J5333" s="42" t="n">
        <f aca="false">IF(J5330=Assumptions!$E$14,0.5,IF(J5330&gt;Assumptions!$E$14,1,0))</f>
        <v>1</v>
      </c>
      <c r="K5333" s="42" t="n">
        <f aca="false">IF(K5330=Assumptions!$E$14,0.5,IF(K5330&gt;Assumptions!$E$14,1,0))</f>
        <v>1</v>
      </c>
      <c r="L5333" s="42" t="n">
        <f aca="false">IF(L5330=Assumptions!$E$14,0.5,IF(L5330&gt;Assumptions!$E$14,1,0))</f>
        <v>1</v>
      </c>
      <c r="M5333" s="42" t="n">
        <f aca="false">IF(M5330=Assumptions!$E$14,0.5,IF(M5330&gt;Assumptions!$E$14,1,0))</f>
        <v>1</v>
      </c>
      <c r="N5333" s="42" t="n">
        <f aca="false">IF(N5330=Assumptions!$E$14,0.5,IF(N5330&gt;Assumptions!$E$14,1,0))</f>
        <v>1</v>
      </c>
      <c r="P5333" s="43"/>
      <c r="Q5333" s="43"/>
      <c r="R5333" s="43"/>
      <c r="S5333" s="44"/>
    </row>
    <row r="5334" customFormat="false" ht="15" hidden="false" customHeight="false" outlineLevel="0" collapsed="false">
      <c r="A5334" s="4" t="s">
        <v>480</v>
      </c>
      <c r="B5334" s="36" t="s">
        <v>478</v>
      </c>
      <c r="C5334" s="42" t="n">
        <f aca="false">IF(C5330=Assumptions!$E$15,0.5,IF(C5330&gt;Assumptions!$E$15,1,0))</f>
        <v>0</v>
      </c>
      <c r="D5334" s="42" t="n">
        <f aca="false">IF(D5330=Assumptions!$E$15,0.5,IF(D5330&gt;Assumptions!$E$15,1,0))</f>
        <v>0</v>
      </c>
      <c r="E5334" s="42" t="n">
        <f aca="false">IF(E5330=Assumptions!$E$15,0.5,IF(E5330&gt;Assumptions!$E$15,1,0))</f>
        <v>0</v>
      </c>
      <c r="F5334" s="42" t="n">
        <f aca="false">IF(F5330=Assumptions!$E$15,0.5,IF(F5330&gt;Assumptions!$E$15,1,0))</f>
        <v>0</v>
      </c>
      <c r="G5334" s="42" t="n">
        <f aca="false">IF(G5330=Assumptions!$E$15,0.5,IF(G5330&gt;Assumptions!$E$15,1,0))</f>
        <v>0</v>
      </c>
      <c r="H5334" s="42" t="n">
        <f aca="false">IF(H5330=Assumptions!$E$15,0.5,IF(H5330&gt;Assumptions!$E$15,1,0))</f>
        <v>0</v>
      </c>
      <c r="I5334" s="42" t="n">
        <f aca="false">IF(I5330=Assumptions!$E$15,0.5,IF(I5330&gt;Assumptions!$E$15,1,0))</f>
        <v>0.5</v>
      </c>
      <c r="J5334" s="42" t="n">
        <f aca="false">IF(J5330=Assumptions!$E$15,0.5,IF(J5330&gt;Assumptions!$E$15,1,0))</f>
        <v>1</v>
      </c>
      <c r="K5334" s="42" t="n">
        <f aca="false">IF(K5330=Assumptions!$E$15,0.5,IF(K5330&gt;Assumptions!$E$15,1,0))</f>
        <v>1</v>
      </c>
      <c r="L5334" s="42" t="n">
        <f aca="false">IF(L5330=Assumptions!$E$15,0.5,IF(L5330&gt;Assumptions!$E$15,1,0))</f>
        <v>1</v>
      </c>
      <c r="M5334" s="42" t="n">
        <f aca="false">IF(M5330=Assumptions!$E$15,0.5,IF(M5330&gt;Assumptions!$E$15,1,0))</f>
        <v>1</v>
      </c>
      <c r="N5334" s="42" t="n">
        <f aca="false">IF(N5330=Assumptions!$E$15,0.5,IF(N5330&gt;Assumptions!$E$15,1,0))</f>
        <v>1</v>
      </c>
      <c r="P5334" s="43"/>
      <c r="Q5334" s="43"/>
      <c r="R5334" s="43"/>
      <c r="S5334" s="44"/>
    </row>
    <row r="5335" customFormat="false" ht="15" hidden="false" customHeight="false" outlineLevel="0" collapsed="false">
      <c r="A5335" s="4" t="s">
        <v>481</v>
      </c>
      <c r="B5335" s="36" t="s">
        <v>478</v>
      </c>
      <c r="C5335" s="45" t="n">
        <f aca="false">Assumptions!$E$21^(MAX(0,C5330-Assumptions!$E$13)/4)</f>
        <v>1</v>
      </c>
      <c r="D5335" s="45" t="n">
        <f aca="false">Assumptions!$E$21^(MAX(0,D5330-Assumptions!$E$13)/4)</f>
        <v>0.9306048591021</v>
      </c>
      <c r="E5335" s="45" t="n">
        <f aca="false">Assumptions!$E$21^(MAX(0,E5330-Assumptions!$E$13)/4)</f>
        <v>0.866025403784439</v>
      </c>
      <c r="F5335" s="45" t="n">
        <f aca="false">Assumptions!$E$21^(MAX(0,F5330-Assumptions!$E$13)/4)</f>
        <v>0.805927448867656</v>
      </c>
      <c r="G5335" s="45" t="n">
        <f aca="false">Assumptions!$E$21^(MAX(0,G5330-Assumptions!$E$13)/4)</f>
        <v>0.75</v>
      </c>
      <c r="H5335" s="45" t="n">
        <f aca="false">Assumptions!$E$21^(MAX(0,H5330-Assumptions!$E$13)/4)</f>
        <v>0.697953644326575</v>
      </c>
      <c r="I5335" s="45" t="n">
        <f aca="false">Assumptions!$E$21^(MAX(0,I5330-Assumptions!$E$13)/4)</f>
        <v>0.649519052838329</v>
      </c>
      <c r="J5335" s="45" t="n">
        <f aca="false">Assumptions!$E$21^(MAX(0,J5330-Assumptions!$E$13)/4)</f>
        <v>0.604445586650742</v>
      </c>
      <c r="K5335" s="45" t="n">
        <f aca="false">Assumptions!$E$21^(MAX(0,K5330-Assumptions!$E$13)/4)</f>
        <v>0.5625</v>
      </c>
      <c r="L5335" s="45" t="n">
        <f aca="false">Assumptions!$E$21^(MAX(0,L5330-Assumptions!$E$13)/4)</f>
        <v>0.523465233244931</v>
      </c>
      <c r="M5335" s="45" t="n">
        <f aca="false">Assumptions!$E$21^(MAX(0,M5330-Assumptions!$E$13)/4)</f>
        <v>0.487139289628747</v>
      </c>
      <c r="N5335" s="45" t="n">
        <f aca="false">Assumptions!$E$21^(MAX(0,N5330-Assumptions!$E$13)/4)</f>
        <v>0.453334189988057</v>
      </c>
      <c r="P5335" s="46"/>
      <c r="Q5335" s="46"/>
      <c r="R5335" s="46"/>
      <c r="S5335" s="47"/>
    </row>
    <row r="5336" customFormat="false" ht="15" hidden="false" customHeight="false" outlineLevel="0" collapsed="false">
      <c r="A5336" s="4" t="s">
        <v>482</v>
      </c>
      <c r="B5336" s="36" t="s">
        <v>478</v>
      </c>
      <c r="C5336" s="45" t="n">
        <f aca="false">Assumptions!$E$21^(MAX(0,C5330-Assumptions!$E$14)/4)</f>
        <v>1</v>
      </c>
      <c r="D5336" s="45" t="n">
        <f aca="false">Assumptions!$E$21^(MAX(0,D5330-Assumptions!$E$14)/4)</f>
        <v>1</v>
      </c>
      <c r="E5336" s="45" t="n">
        <f aca="false">Assumptions!$E$21^(MAX(0,E5330-Assumptions!$E$14)/4)</f>
        <v>1</v>
      </c>
      <c r="F5336" s="45" t="n">
        <f aca="false">Assumptions!$E$21^(MAX(0,F5330-Assumptions!$E$14)/4)</f>
        <v>1</v>
      </c>
      <c r="G5336" s="45" t="n">
        <f aca="false">Assumptions!$E$21^(MAX(0,G5330-Assumptions!$E$14)/4)</f>
        <v>1</v>
      </c>
      <c r="H5336" s="45" t="n">
        <f aca="false">Assumptions!$E$21^(MAX(0,H5330-Assumptions!$E$14)/4)</f>
        <v>0.9306048591021</v>
      </c>
      <c r="I5336" s="45" t="n">
        <f aca="false">Assumptions!$E$21^(MAX(0,I5330-Assumptions!$E$14)/4)</f>
        <v>0.866025403784439</v>
      </c>
      <c r="J5336" s="45" t="n">
        <f aca="false">Assumptions!$E$21^(MAX(0,J5330-Assumptions!$E$14)/4)</f>
        <v>0.805927448867656</v>
      </c>
      <c r="K5336" s="45" t="n">
        <f aca="false">Assumptions!$E$21^(MAX(0,K5330-Assumptions!$E$14)/4)</f>
        <v>0.75</v>
      </c>
      <c r="L5336" s="45" t="n">
        <f aca="false">Assumptions!$E$21^(MAX(0,L5330-Assumptions!$E$14)/4)</f>
        <v>0.697953644326575</v>
      </c>
      <c r="M5336" s="45" t="n">
        <f aca="false">Assumptions!$E$21^(MAX(0,M5330-Assumptions!$E$14)/4)</f>
        <v>0.649519052838329</v>
      </c>
      <c r="N5336" s="45" t="n">
        <f aca="false">Assumptions!$E$21^(MAX(0,N5330-Assumptions!$E$14)/4)</f>
        <v>0.604445586650742</v>
      </c>
      <c r="P5336" s="46"/>
      <c r="Q5336" s="46"/>
      <c r="R5336" s="46"/>
      <c r="S5336" s="47"/>
    </row>
    <row r="5337" customFormat="false" ht="15" hidden="false" customHeight="false" outlineLevel="0" collapsed="false">
      <c r="A5337" s="4" t="s">
        <v>483</v>
      </c>
      <c r="B5337" s="36" t="s">
        <v>478</v>
      </c>
      <c r="C5337" s="45" t="n">
        <f aca="false">Assumptions!$E$21^(MAX(0,C5330-Assumptions!$E$15)/4)</f>
        <v>1</v>
      </c>
      <c r="D5337" s="45" t="n">
        <f aca="false">Assumptions!$E$21^(MAX(0,D5330-Assumptions!$E$15)/4)</f>
        <v>1</v>
      </c>
      <c r="E5337" s="45" t="n">
        <f aca="false">Assumptions!$E$21^(MAX(0,E5330-Assumptions!$E$15)/4)</f>
        <v>1</v>
      </c>
      <c r="F5337" s="45" t="n">
        <f aca="false">Assumptions!$E$21^(MAX(0,F5330-Assumptions!$E$15)/4)</f>
        <v>1</v>
      </c>
      <c r="G5337" s="45" t="n">
        <f aca="false">Assumptions!$E$21^(MAX(0,G5330-Assumptions!$E$15)/4)</f>
        <v>1</v>
      </c>
      <c r="H5337" s="45" t="n">
        <f aca="false">Assumptions!$E$21^(MAX(0,H5330-Assumptions!$E$15)/4)</f>
        <v>1</v>
      </c>
      <c r="I5337" s="45" t="n">
        <f aca="false">Assumptions!$E$21^(MAX(0,I5330-Assumptions!$E$15)/4)</f>
        <v>1</v>
      </c>
      <c r="J5337" s="45" t="n">
        <f aca="false">Assumptions!$E$21^(MAX(0,J5330-Assumptions!$E$15)/4)</f>
        <v>0.9306048591021</v>
      </c>
      <c r="K5337" s="45" t="n">
        <f aca="false">Assumptions!$E$21^(MAX(0,K5330-Assumptions!$E$15)/4)</f>
        <v>0.866025403784439</v>
      </c>
      <c r="L5337" s="45" t="n">
        <f aca="false">Assumptions!$E$21^(MAX(0,L5330-Assumptions!$E$15)/4)</f>
        <v>0.805927448867656</v>
      </c>
      <c r="M5337" s="45" t="n">
        <f aca="false">Assumptions!$E$21^(MAX(0,M5330-Assumptions!$E$15)/4)</f>
        <v>0.75</v>
      </c>
      <c r="N5337" s="45" t="n">
        <f aca="false">Assumptions!$E$21^(MAX(0,N5330-Assumptions!$E$15)/4)</f>
        <v>0.697953644326575</v>
      </c>
      <c r="P5337" s="46"/>
      <c r="Q5337" s="46"/>
      <c r="R5337" s="46"/>
      <c r="S5337" s="47"/>
    </row>
    <row r="5338" customFormat="false" ht="15" hidden="false" customHeight="false" outlineLevel="0" collapsed="false">
      <c r="A5338" s="4" t="s">
        <v>484</v>
      </c>
      <c r="B5338" s="36" t="s">
        <v>485</v>
      </c>
      <c r="C5338" s="39" t="n">
        <f aca="false">$C$5309*C5332+$C$5313*C5333+$C$5317*C5334</f>
        <v>421.51972352</v>
      </c>
      <c r="D5338" s="39" t="n">
        <f aca="false">$C$5309*D5332+$C$5313*D5333+$C$5317*D5334</f>
        <v>843.03944704</v>
      </c>
      <c r="E5338" s="39" t="n">
        <f aca="false">$C$5309*E5332+$C$5313*E5333+$C$5317*E5334</f>
        <v>843.03944704</v>
      </c>
      <c r="F5338" s="39" t="n">
        <f aca="false">$C$5309*F5332+$C$5313*F5333+$C$5317*F5334</f>
        <v>843.03944704</v>
      </c>
      <c r="G5338" s="39" t="n">
        <f aca="false">$C$5309*G5332+$C$5313*G5333+$C$5317*G5334</f>
        <v>1149.32798176</v>
      </c>
      <c r="H5338" s="39" t="n">
        <f aca="false">$C$5309*H5332+$C$5313*H5333+$C$5317*H5334</f>
        <v>1455.61651648</v>
      </c>
      <c r="I5338" s="39" t="n">
        <f aca="false">$C$5309*I5332+$C$5313*I5333+$C$5317*I5334</f>
        <v>2486.00303616</v>
      </c>
      <c r="J5338" s="39" t="n">
        <f aca="false">$C$5309*J5332+$C$5313*J5333+$C$5317*J5334</f>
        <v>3516.38955584</v>
      </c>
      <c r="K5338" s="39" t="n">
        <f aca="false">$C$5309*K5332+$C$5313*K5333+$C$5317*K5334</f>
        <v>3516.38955584</v>
      </c>
      <c r="L5338" s="39" t="n">
        <f aca="false">$C$5309*L5332+$C$5313*L5333+$C$5317*L5334</f>
        <v>3516.38955584</v>
      </c>
      <c r="M5338" s="39" t="n">
        <f aca="false">$C$5309*M5332+$C$5313*M5333+$C$5317*M5334</f>
        <v>3516.38955584</v>
      </c>
      <c r="N5338" s="39" t="n">
        <f aca="false">$C$5309*N5332+$C$5313*N5333+$C$5317*N5334</f>
        <v>3516.38955584</v>
      </c>
      <c r="P5338" s="40" t="n">
        <f aca="false">F5338</f>
        <v>843.03944704</v>
      </c>
      <c r="Q5338" s="40" t="n">
        <f aca="false">J5338</f>
        <v>3516.38955584</v>
      </c>
      <c r="R5338" s="40" t="n">
        <f aca="false">N5338</f>
        <v>3516.38955584</v>
      </c>
      <c r="S5338" s="41" t="n">
        <f aca="false">R5338</f>
        <v>3516.38955584</v>
      </c>
    </row>
    <row r="5339" customFormat="false" ht="15" hidden="false" customHeight="false" outlineLevel="0" collapsed="false">
      <c r="A5339" s="4" t="s">
        <v>486</v>
      </c>
      <c r="B5339" s="36" t="s">
        <v>485</v>
      </c>
      <c r="C5339" s="39" t="n">
        <f aca="false">$C$5310*C5332+$C$5314*C5333+$C$5318*C5334</f>
        <v>105.59808</v>
      </c>
      <c r="D5339" s="39" t="n">
        <f aca="false">$C$5310*D5332+$C$5314*D5333+$C$5318*D5334</f>
        <v>211.19616</v>
      </c>
      <c r="E5339" s="39" t="n">
        <f aca="false">$C$5310*E5332+$C$5314*E5333+$C$5318*E5334</f>
        <v>211.19616</v>
      </c>
      <c r="F5339" s="39" t="n">
        <f aca="false">$C$5310*F5332+$C$5314*F5333+$C$5318*F5334</f>
        <v>211.19616</v>
      </c>
      <c r="G5339" s="39" t="n">
        <f aca="false">$C$5310*G5332+$C$5314*G5333+$C$5318*G5334</f>
        <v>282.24672</v>
      </c>
      <c r="H5339" s="39" t="n">
        <f aca="false">$C$5310*H5332+$C$5314*H5333+$C$5318*H5334</f>
        <v>353.29728</v>
      </c>
      <c r="I5339" s="39" t="n">
        <f aca="false">$C$5310*I5332+$C$5314*I5333+$C$5318*I5334</f>
        <v>567.53536</v>
      </c>
      <c r="J5339" s="39" t="n">
        <f aca="false">$C$5310*J5332+$C$5314*J5333+$C$5318*J5334</f>
        <v>781.77344</v>
      </c>
      <c r="K5339" s="39" t="n">
        <f aca="false">$C$5310*K5332+$C$5314*K5333+$C$5318*K5334</f>
        <v>781.77344</v>
      </c>
      <c r="L5339" s="39" t="n">
        <f aca="false">$C$5310*L5332+$C$5314*L5333+$C$5318*L5334</f>
        <v>781.77344</v>
      </c>
      <c r="M5339" s="39" t="n">
        <f aca="false">$C$5310*M5332+$C$5314*M5333+$C$5318*M5334</f>
        <v>781.77344</v>
      </c>
      <c r="N5339" s="39" t="n">
        <f aca="false">$C$5310*N5332+$C$5314*N5333+$C$5318*N5334</f>
        <v>781.77344</v>
      </c>
      <c r="P5339" s="40" t="n">
        <f aca="false">F5339</f>
        <v>211.19616</v>
      </c>
      <c r="Q5339" s="40" t="n">
        <f aca="false">J5339</f>
        <v>781.77344</v>
      </c>
      <c r="R5339" s="40" t="n">
        <f aca="false">N5339</f>
        <v>781.77344</v>
      </c>
      <c r="S5339" s="41" t="n">
        <f aca="false">R5339</f>
        <v>781.77344</v>
      </c>
    </row>
    <row r="5340" customFormat="false" ht="15" hidden="false" customHeight="false" outlineLevel="0" collapsed="false">
      <c r="A5340" s="4" t="s">
        <v>487</v>
      </c>
      <c r="B5340" s="36" t="s">
        <v>485</v>
      </c>
      <c r="C5340" s="39" t="n">
        <f aca="false">$C$5311*C5332+$C$5315*C5333+$C$5319*C5334</f>
        <v>24.76992</v>
      </c>
      <c r="D5340" s="39" t="n">
        <f aca="false">$C$5311*D5332+$C$5315*D5333+$C$5319*D5334</f>
        <v>49.53984</v>
      </c>
      <c r="E5340" s="39" t="n">
        <f aca="false">$C$5311*E5332+$C$5315*E5333+$C$5319*E5334</f>
        <v>49.53984</v>
      </c>
      <c r="F5340" s="39" t="n">
        <f aca="false">$C$5311*F5332+$C$5315*F5333+$C$5319*F5334</f>
        <v>49.53984</v>
      </c>
      <c r="G5340" s="39" t="n">
        <f aca="false">$C$5311*G5332+$C$5315*G5333+$C$5319*G5334</f>
        <v>61.9248</v>
      </c>
      <c r="H5340" s="39" t="n">
        <f aca="false">$C$5311*H5332+$C$5315*H5333+$C$5319*H5334</f>
        <v>74.30976</v>
      </c>
      <c r="I5340" s="39" t="n">
        <f aca="false">$C$5311*I5332+$C$5315*I5333+$C$5319*I5334</f>
        <v>114.072</v>
      </c>
      <c r="J5340" s="39" t="n">
        <f aca="false">$C$5311*J5332+$C$5315*J5333+$C$5319*J5334</f>
        <v>153.83424</v>
      </c>
      <c r="K5340" s="39" t="n">
        <f aca="false">$C$5311*K5332+$C$5315*K5333+$C$5319*K5334</f>
        <v>153.83424</v>
      </c>
      <c r="L5340" s="39" t="n">
        <f aca="false">$C$5311*L5332+$C$5315*L5333+$C$5319*L5334</f>
        <v>153.83424</v>
      </c>
      <c r="M5340" s="39" t="n">
        <f aca="false">$C$5311*M5332+$C$5315*M5333+$C$5319*M5334</f>
        <v>153.83424</v>
      </c>
      <c r="N5340" s="39" t="n">
        <f aca="false">$C$5311*N5332+$C$5315*N5333+$C$5319*N5334</f>
        <v>153.83424</v>
      </c>
      <c r="P5340" s="40" t="n">
        <f aca="false">F5340</f>
        <v>49.53984</v>
      </c>
      <c r="Q5340" s="40" t="n">
        <f aca="false">J5340</f>
        <v>153.83424</v>
      </c>
      <c r="R5340" s="40" t="n">
        <f aca="false">N5340</f>
        <v>153.83424</v>
      </c>
      <c r="S5340" s="41" t="n">
        <f aca="false">R5340</f>
        <v>153.83424</v>
      </c>
    </row>
    <row r="5341" customFormat="false" ht="15" hidden="false" customHeight="false" outlineLevel="0" collapsed="false">
      <c r="A5341" s="4" t="s">
        <v>488</v>
      </c>
      <c r="B5341" s="36" t="s">
        <v>485</v>
      </c>
      <c r="C5341" s="39" t="n">
        <f aca="false">C5338+C5339+C5340</f>
        <v>551.88772352</v>
      </c>
      <c r="D5341" s="39" t="n">
        <f aca="false">D5338+D5339+D5340</f>
        <v>1103.77544704</v>
      </c>
      <c r="E5341" s="39" t="n">
        <f aca="false">E5338+E5339+E5340</f>
        <v>1103.77544704</v>
      </c>
      <c r="F5341" s="39" t="n">
        <f aca="false">F5338+F5339+F5340</f>
        <v>1103.77544704</v>
      </c>
      <c r="G5341" s="39" t="n">
        <f aca="false">G5338+G5339+G5340</f>
        <v>1493.49950176</v>
      </c>
      <c r="H5341" s="39" t="n">
        <f aca="false">H5338+H5339+H5340</f>
        <v>1883.22355648</v>
      </c>
      <c r="I5341" s="39" t="n">
        <f aca="false">I5338+I5339+I5340</f>
        <v>3167.61039616</v>
      </c>
      <c r="J5341" s="39" t="n">
        <f aca="false">J5338+J5339+J5340</f>
        <v>4451.99723584</v>
      </c>
      <c r="K5341" s="39" t="n">
        <f aca="false">K5338+K5339+K5340</f>
        <v>4451.99723584</v>
      </c>
      <c r="L5341" s="39" t="n">
        <f aca="false">L5338+L5339+L5340</f>
        <v>4451.99723584</v>
      </c>
      <c r="M5341" s="39" t="n">
        <f aca="false">M5338+M5339+M5340</f>
        <v>4451.99723584</v>
      </c>
      <c r="N5341" s="39" t="n">
        <f aca="false">N5338+N5339+N5340</f>
        <v>4451.99723584</v>
      </c>
      <c r="P5341" s="40" t="n">
        <f aca="false">F5341</f>
        <v>1103.77544704</v>
      </c>
      <c r="Q5341" s="40" t="n">
        <f aca="false">J5341</f>
        <v>4451.99723584</v>
      </c>
      <c r="R5341" s="40" t="n">
        <f aca="false">N5341</f>
        <v>4451.99723584</v>
      </c>
      <c r="S5341" s="41" t="n">
        <f aca="false">R5341</f>
        <v>4451.99723584</v>
      </c>
    </row>
    <row r="5342" customFormat="false" ht="15" hidden="false" customHeight="false" outlineLevel="0" collapsed="false">
      <c r="A5342" s="4" t="s">
        <v>489</v>
      </c>
      <c r="B5342" s="36" t="s">
        <v>485</v>
      </c>
      <c r="C5342" s="39" t="n">
        <f aca="false">$C$5312*C5332*C5335+$C$5316*C5333*C5336+$C$5320*C5334*C5337</f>
        <v>551.88772352</v>
      </c>
      <c r="D5342" s="39" t="n">
        <f aca="false">$C$5312*D5332*D5335+$C$5316*D5333*D5336+$C$5320*D5334*D5337</f>
        <v>1027.17879437302</v>
      </c>
      <c r="E5342" s="39" t="n">
        <f aca="false">$C$5312*E5332*E5335+$C$5316*E5333*E5336+$C$5320*E5334*E5337</f>
        <v>955.897577210165</v>
      </c>
      <c r="F5342" s="39" t="n">
        <f aca="false">$C$5312*F5332*F5335+$C$5316*F5333*F5336+$C$5320*F5334*F5337</f>
        <v>889.562930155704</v>
      </c>
      <c r="G5342" s="39" t="n">
        <f aca="false">$C$5312*G5332*G5335+$C$5316*G5333*G5336+$C$5320*G5334*G5337</f>
        <v>1217.55564</v>
      </c>
      <c r="H5342" s="39" t="n">
        <f aca="false">$C$5312*H5332*H5335+$C$5316*H5333*H5336+$C$5320*H5334*H5337</f>
        <v>1495.74229384257</v>
      </c>
      <c r="I5342" s="39" t="n">
        <f aca="false">$C$5312*I5332*I5335+$C$5316*I5333*I5336+$C$5320*I5334*I5337</f>
        <v>2676.33188629442</v>
      </c>
      <c r="J5342" s="39" t="n">
        <f aca="false">$C$5312*J5332*J5335+$C$5316*J5333*J5336+$C$5320*J5334*J5337</f>
        <v>3685.86409192847</v>
      </c>
      <c r="K5342" s="39" t="n">
        <f aca="false">$C$5312*K5332*K5335+$C$5316*K5333*K5336+$C$5320*K5334*K5337</f>
        <v>3430.08303393858</v>
      </c>
      <c r="L5342" s="39" t="n">
        <f aca="false">$C$5312*L5332*L5335+$C$5316*L5333*L5336+$C$5320*L5334*L5337</f>
        <v>3192.05193850692</v>
      </c>
      <c r="M5342" s="39" t="n">
        <f aca="false">$C$5312*M5332*M5335+$C$5316*M5333*M5336+$C$5320*M5334*M5337</f>
        <v>2970.53904448081</v>
      </c>
      <c r="N5342" s="39" t="n">
        <f aca="false">$C$5312*N5332*N5335+$C$5316*N5333*N5336+$C$5320*N5334*N5337</f>
        <v>2764.39806894635</v>
      </c>
      <c r="P5342" s="40"/>
      <c r="Q5342" s="40"/>
      <c r="R5342" s="40"/>
      <c r="S5342" s="41"/>
    </row>
    <row r="5343" customFormat="false" ht="15" hidden="false" customHeight="false" outlineLevel="0" collapsed="false">
      <c r="A5343" s="4" t="s">
        <v>490</v>
      </c>
      <c r="B5343" s="36" t="s">
        <v>491</v>
      </c>
      <c r="C5343" s="48" t="n">
        <f aca="false">$C$5324*Assumptions!$E$20*C5331*C5342</f>
        <v>6.62265268224</v>
      </c>
      <c r="D5343" s="48" t="n">
        <f aca="false">$C$5324*Assumptions!$E$20*D5331*D5342</f>
        <v>12.3261455324762</v>
      </c>
      <c r="E5343" s="48" t="n">
        <f aca="false">$C$5324*Assumptions!$E$20*E5331*E5342</f>
        <v>11.470770926522</v>
      </c>
      <c r="F5343" s="48" t="n">
        <f aca="false">$C$5324*Assumptions!$E$20*F5331*F5342</f>
        <v>10.6747551618685</v>
      </c>
      <c r="G5343" s="48" t="n">
        <f aca="false">$C$5324*Assumptions!$E$20*G5331*G5342</f>
        <v>14.61066768</v>
      </c>
      <c r="H5343" s="48" t="n">
        <f aca="false">$C$5324*Assumptions!$E$20*H5331*H5342</f>
        <v>17.9489075261109</v>
      </c>
      <c r="I5343" s="48" t="n">
        <f aca="false">$C$5324*Assumptions!$E$20*I5331*I5342</f>
        <v>32.115982635533</v>
      </c>
      <c r="J5343" s="48" t="n">
        <f aca="false">$C$5324*Assumptions!$E$20*J5331*J5342</f>
        <v>44.2303691031417</v>
      </c>
      <c r="K5343" s="48" t="n">
        <f aca="false">$C$5324*Assumptions!$E$20*K5331*K5342</f>
        <v>41.160996407263</v>
      </c>
      <c r="L5343" s="48" t="n">
        <f aca="false">$C$5324*Assumptions!$E$20*L5331*L5342</f>
        <v>38.304623262083</v>
      </c>
      <c r="M5343" s="48" t="n">
        <f aca="false">$C$5324*Assumptions!$E$20*M5331*M5342</f>
        <v>35.6464685337698</v>
      </c>
      <c r="N5343" s="48" t="n">
        <f aca="false">$C$5324*Assumptions!$E$20*N5331*N5342</f>
        <v>33.1727768273562</v>
      </c>
      <c r="P5343" s="49" t="n">
        <f aca="false">SUM(C5343:F5343)</f>
        <v>41.0943243031066</v>
      </c>
      <c r="Q5343" s="49" t="n">
        <f aca="false">SUM(G5343:J5343)</f>
        <v>108.905926944786</v>
      </c>
      <c r="R5343" s="49" t="n">
        <f aca="false">SUM(K5343:N5343)</f>
        <v>148.284865030472</v>
      </c>
      <c r="S5343" s="50" t="n">
        <f aca="false">SUM(P5343:R5343)</f>
        <v>298.285116278364</v>
      </c>
    </row>
    <row r="5344" customFormat="false" ht="15" hidden="false" customHeight="false" outlineLevel="0" collapsed="false">
      <c r="A5344" s="4" t="s">
        <v>492</v>
      </c>
      <c r="B5344" s="36" t="s">
        <v>321</v>
      </c>
      <c r="C5344" s="48" t="n">
        <f aca="false">Assumptions!$D$111</f>
        <v>0</v>
      </c>
      <c r="D5344" s="48" t="n">
        <f aca="false">Assumptions!$E$111</f>
        <v>0</v>
      </c>
      <c r="E5344" s="48" t="n">
        <f aca="false">Assumptions!$F$111</f>
        <v>0</v>
      </c>
      <c r="F5344" s="48" t="n">
        <f aca="false">Assumptions!$G$111</f>
        <v>0</v>
      </c>
      <c r="G5344" s="48" t="n">
        <f aca="false">Assumptions!$H$111</f>
        <v>0</v>
      </c>
      <c r="H5344" s="48" t="n">
        <f aca="false">Assumptions!$I$111</f>
        <v>0</v>
      </c>
      <c r="I5344" s="48" t="n">
        <f aca="false">Assumptions!$J$111</f>
        <v>0</v>
      </c>
      <c r="J5344" s="48" t="n">
        <f aca="false">Assumptions!$K$111</f>
        <v>0</v>
      </c>
      <c r="K5344" s="48" t="n">
        <f aca="false">Assumptions!$L$111</f>
        <v>0</v>
      </c>
      <c r="L5344" s="48" t="n">
        <f aca="false">Assumptions!$M$111</f>
        <v>0</v>
      </c>
      <c r="M5344" s="48" t="n">
        <f aca="false">Assumptions!$N$111</f>
        <v>0</v>
      </c>
      <c r="N5344" s="48" t="n">
        <f aca="false">Assumptions!$O$111</f>
        <v>0</v>
      </c>
      <c r="P5344" s="49" t="n">
        <f aca="false">F5344</f>
        <v>0</v>
      </c>
      <c r="Q5344" s="49" t="n">
        <f aca="false">J5344</f>
        <v>0</v>
      </c>
      <c r="R5344" s="49" t="n">
        <f aca="false">N5344</f>
        <v>0</v>
      </c>
      <c r="S5344" s="50" t="n">
        <f aca="false">R5344</f>
        <v>0</v>
      </c>
    </row>
    <row r="5345" customFormat="false" ht="15" hidden="false" customHeight="false" outlineLevel="0" collapsed="false">
      <c r="A5345" s="4" t="s">
        <v>493</v>
      </c>
      <c r="B5345" s="36" t="s">
        <v>321</v>
      </c>
      <c r="C5345" s="48" t="n">
        <f aca="false">0</f>
        <v>0</v>
      </c>
      <c r="D5345" s="48" t="n">
        <f aca="false">0.5*C5344</f>
        <v>0</v>
      </c>
      <c r="E5345" s="48" t="n">
        <f aca="false">C5344+0.5*(D5344-C5344)</f>
        <v>0</v>
      </c>
      <c r="F5345" s="48" t="n">
        <f aca="false">D5344+0.5*(E5344-D5344)</f>
        <v>0</v>
      </c>
      <c r="G5345" s="48" t="n">
        <f aca="false">E5344+0.5*(F5344-E5344)</f>
        <v>0</v>
      </c>
      <c r="H5345" s="48" t="n">
        <f aca="false">F5344+0.5*(G5344-F5344)</f>
        <v>0</v>
      </c>
      <c r="I5345" s="48" t="n">
        <f aca="false">G5344+0.5*(H5344-G5344)</f>
        <v>0</v>
      </c>
      <c r="J5345" s="48" t="n">
        <f aca="false">H5344+0.5*(I5344-H5344)</f>
        <v>0</v>
      </c>
      <c r="K5345" s="48" t="n">
        <f aca="false">I5344+0.5*(J5344-I5344)</f>
        <v>0</v>
      </c>
      <c r="L5345" s="48" t="n">
        <f aca="false">J5344+0.5*(K5344-J5344)</f>
        <v>0</v>
      </c>
      <c r="M5345" s="48" t="n">
        <f aca="false">K5344+0.5*(L5344-K5344)</f>
        <v>0</v>
      </c>
      <c r="N5345" s="48" t="n">
        <f aca="false">L5344+0.5*(M5344-L5344)</f>
        <v>0</v>
      </c>
      <c r="P5345" s="49" t="n">
        <f aca="false">F5345</f>
        <v>0</v>
      </c>
      <c r="Q5345" s="49" t="n">
        <f aca="false">J5345</f>
        <v>0</v>
      </c>
      <c r="R5345" s="49" t="n">
        <f aca="false">N5345</f>
        <v>0</v>
      </c>
      <c r="S5345" s="50" t="n">
        <f aca="false">R5345</f>
        <v>0</v>
      </c>
    </row>
    <row r="5346" customFormat="false" ht="15" hidden="false" customHeight="false" outlineLevel="0" collapsed="false">
      <c r="A5346" s="4" t="s">
        <v>494</v>
      </c>
      <c r="B5346" s="36" t="s">
        <v>485</v>
      </c>
      <c r="C5346" s="39" t="n">
        <f aca="false">MIN(C5345*Assumptions!$E$38,C5341*(1-$C$5324))</f>
        <v>0</v>
      </c>
      <c r="D5346" s="39" t="n">
        <f aca="false">MIN(D5345*Assumptions!$E$38,D5341*(1-$C$5324))</f>
        <v>0</v>
      </c>
      <c r="E5346" s="39" t="n">
        <f aca="false">MIN(E5345*Assumptions!$E$38,E5341*(1-$C$5324))</f>
        <v>0</v>
      </c>
      <c r="F5346" s="39" t="n">
        <f aca="false">MIN(F5345*Assumptions!$E$38,F5341*(1-$C$5324))</f>
        <v>0</v>
      </c>
      <c r="G5346" s="39" t="n">
        <f aca="false">MIN(G5345*Assumptions!$E$38,G5341*(1-$C$5324))</f>
        <v>0</v>
      </c>
      <c r="H5346" s="39" t="n">
        <f aca="false">MIN(H5345*Assumptions!$E$38,H5341*(1-$C$5324))</f>
        <v>0</v>
      </c>
      <c r="I5346" s="39" t="n">
        <f aca="false">MIN(I5345*Assumptions!$E$38,I5341*(1-$C$5324))</f>
        <v>0</v>
      </c>
      <c r="J5346" s="39" t="n">
        <f aca="false">MIN(J5345*Assumptions!$E$38,J5341*(1-$C$5324))</f>
        <v>0</v>
      </c>
      <c r="K5346" s="39" t="n">
        <f aca="false">MIN(K5345*Assumptions!$E$38,K5341*(1-$C$5324))</f>
        <v>0</v>
      </c>
      <c r="L5346" s="39" t="n">
        <f aca="false">MIN(L5345*Assumptions!$E$38,L5341*(1-$C$5324))</f>
        <v>0</v>
      </c>
      <c r="M5346" s="39" t="n">
        <f aca="false">MIN(M5345*Assumptions!$E$38,M5341*(1-$C$5324))</f>
        <v>0</v>
      </c>
      <c r="N5346" s="39" t="n">
        <f aca="false">MIN(N5345*Assumptions!$E$38,N5341*(1-$C$5324))</f>
        <v>0</v>
      </c>
      <c r="P5346" s="40" t="n">
        <f aca="false">SUM(C5346:F5346)</f>
        <v>0</v>
      </c>
      <c r="Q5346" s="40" t="n">
        <f aca="false">SUM(G5346:J5346)</f>
        <v>0</v>
      </c>
      <c r="R5346" s="40" t="n">
        <f aca="false">SUM(K5346:N5346)</f>
        <v>0</v>
      </c>
      <c r="S5346" s="41" t="n">
        <f aca="false">SUM(P5346:R5346)</f>
        <v>0</v>
      </c>
    </row>
    <row r="5347" customFormat="false" ht="15" hidden="false" customHeight="false" outlineLevel="0" collapsed="false">
      <c r="A5347" s="4" t="s">
        <v>495</v>
      </c>
      <c r="B5347" s="36" t="s">
        <v>491</v>
      </c>
      <c r="C5347" s="48" t="n">
        <f aca="false">C5346*Assumptions!$E$20*Assumptions!$E$39*IF(C5341&gt;0,C5342/C5341,0)*C5331</f>
        <v>0</v>
      </c>
      <c r="D5347" s="48" t="n">
        <f aca="false">D5346*Assumptions!$E$20*Assumptions!$E$39*IF(D5341&gt;0,D5342/D5341,0)*D5331</f>
        <v>0</v>
      </c>
      <c r="E5347" s="48" t="n">
        <f aca="false">E5346*Assumptions!$E$20*Assumptions!$E$39*IF(E5341&gt;0,E5342/E5341,0)*E5331</f>
        <v>0</v>
      </c>
      <c r="F5347" s="48" t="n">
        <f aca="false">F5346*Assumptions!$E$20*Assumptions!$E$39*IF(F5341&gt;0,F5342/F5341,0)*F5331</f>
        <v>0</v>
      </c>
      <c r="G5347" s="48" t="n">
        <f aca="false">G5346*Assumptions!$E$20*Assumptions!$E$39*IF(G5341&gt;0,G5342/G5341,0)*G5331</f>
        <v>0</v>
      </c>
      <c r="H5347" s="48" t="n">
        <f aca="false">H5346*Assumptions!$E$20*Assumptions!$E$39*IF(H5341&gt;0,H5342/H5341,0)*H5331</f>
        <v>0</v>
      </c>
      <c r="I5347" s="48" t="n">
        <f aca="false">I5346*Assumptions!$E$20*Assumptions!$E$39*IF(I5341&gt;0,I5342/I5341,0)*I5331</f>
        <v>0</v>
      </c>
      <c r="J5347" s="48" t="n">
        <f aca="false">J5346*Assumptions!$E$20*Assumptions!$E$39*IF(J5341&gt;0,J5342/J5341,0)*J5331</f>
        <v>0</v>
      </c>
      <c r="K5347" s="48" t="n">
        <f aca="false">K5346*Assumptions!$E$20*Assumptions!$E$39*IF(K5341&gt;0,K5342/K5341,0)*K5331</f>
        <v>0</v>
      </c>
      <c r="L5347" s="48" t="n">
        <f aca="false">L5346*Assumptions!$E$20*Assumptions!$E$39*IF(L5341&gt;0,L5342/L5341,0)*L5331</f>
        <v>0</v>
      </c>
      <c r="M5347" s="48" t="n">
        <f aca="false">M5346*Assumptions!$E$20*Assumptions!$E$39*IF(M5341&gt;0,M5342/M5341,0)*M5331</f>
        <v>0</v>
      </c>
      <c r="N5347" s="48" t="n">
        <f aca="false">N5346*Assumptions!$E$20*Assumptions!$E$39*IF(N5341&gt;0,N5342/N5341,0)*N5331</f>
        <v>0</v>
      </c>
      <c r="P5347" s="49" t="n">
        <f aca="false">SUM(C5347:F5347)</f>
        <v>0</v>
      </c>
      <c r="Q5347" s="49" t="n">
        <f aca="false">SUM(G5347:J5347)</f>
        <v>0</v>
      </c>
      <c r="R5347" s="49" t="n">
        <f aca="false">SUM(K5347:N5347)</f>
        <v>0</v>
      </c>
      <c r="S5347" s="50" t="n">
        <f aca="false">SUM(P5347:R5347)</f>
        <v>0</v>
      </c>
    </row>
    <row r="5348" customFormat="false" ht="15" hidden="false" customHeight="false" outlineLevel="0" collapsed="false">
      <c r="A5348" s="4" t="s">
        <v>496</v>
      </c>
      <c r="B5348" s="36" t="s">
        <v>497</v>
      </c>
      <c r="C5348" s="48" t="n">
        <f aca="false">IF(AND(C5341&gt;0,$C$5328&gt;0),C5341*Assumptions!$E$24*(1-EXP(-$C$5328/(Assumptions!$E$23*C5341*Assumptions!$E$24))),0)</f>
        <v>0</v>
      </c>
      <c r="D5348" s="48" t="n">
        <f aca="false">IF(AND(D5341&gt;0,$C$5328&gt;0),D5341*Assumptions!$E$24*(1-EXP(-$C$5328/(Assumptions!$E$23*D5341*Assumptions!$E$24))),0)</f>
        <v>0</v>
      </c>
      <c r="E5348" s="48" t="n">
        <f aca="false">IF(AND(E5341&gt;0,$C$5328&gt;0),E5341*Assumptions!$E$24*(1-EXP(-$C$5328/(Assumptions!$E$23*E5341*Assumptions!$E$24))),0)</f>
        <v>0</v>
      </c>
      <c r="F5348" s="48" t="n">
        <f aca="false">IF(AND(F5341&gt;0,$C$5328&gt;0),F5341*Assumptions!$E$24*(1-EXP(-$C$5328/(Assumptions!$E$23*F5341*Assumptions!$E$24))),0)</f>
        <v>0</v>
      </c>
      <c r="G5348" s="48" t="n">
        <f aca="false">IF(AND(G5341&gt;0,$C$5328&gt;0),G5341*Assumptions!$E$24*(1-EXP(-$C$5328/(Assumptions!$E$23*G5341*Assumptions!$E$24))),0)</f>
        <v>0</v>
      </c>
      <c r="H5348" s="48" t="n">
        <f aca="false">IF(AND(H5341&gt;0,$C$5328&gt;0),H5341*Assumptions!$E$24*(1-EXP(-$C$5328/(Assumptions!$E$23*H5341*Assumptions!$E$24))),0)</f>
        <v>0</v>
      </c>
      <c r="I5348" s="48" t="n">
        <f aca="false">IF(AND(I5341&gt;0,$C$5328&gt;0),I5341*Assumptions!$E$24*(1-EXP(-$C$5328/(Assumptions!$E$23*I5341*Assumptions!$E$24))),0)</f>
        <v>0</v>
      </c>
      <c r="J5348" s="48" t="n">
        <f aca="false">IF(AND(J5341&gt;0,$C$5328&gt;0),J5341*Assumptions!$E$24*(1-EXP(-$C$5328/(Assumptions!$E$23*J5341*Assumptions!$E$24))),0)</f>
        <v>0</v>
      </c>
      <c r="K5348" s="48" t="n">
        <f aca="false">IF(AND(K5341&gt;0,$C$5328&gt;0),K5341*Assumptions!$E$24*(1-EXP(-$C$5328/(Assumptions!$E$23*K5341*Assumptions!$E$24))),0)</f>
        <v>0</v>
      </c>
      <c r="L5348" s="48" t="n">
        <f aca="false">IF(AND(L5341&gt;0,$C$5328&gt;0),L5341*Assumptions!$E$24*(1-EXP(-$C$5328/(Assumptions!$E$23*L5341*Assumptions!$E$24))),0)</f>
        <v>0</v>
      </c>
      <c r="M5348" s="48" t="n">
        <f aca="false">IF(AND(M5341&gt;0,$C$5328&gt;0),M5341*Assumptions!$E$24*(1-EXP(-$C$5328/(Assumptions!$E$23*M5341*Assumptions!$E$24))),0)</f>
        <v>0</v>
      </c>
      <c r="N5348" s="48" t="n">
        <f aca="false">IF(AND(N5341&gt;0,$C$5328&gt;0),N5341*Assumptions!$E$24*(1-EXP(-$C$5328/(Assumptions!$E$23*N5341*Assumptions!$E$24))),0)</f>
        <v>0</v>
      </c>
      <c r="P5348" s="49" t="n">
        <f aca="false">SUM(C5348:F5348)</f>
        <v>0</v>
      </c>
      <c r="Q5348" s="49" t="n">
        <f aca="false">SUM(G5348:J5348)</f>
        <v>0</v>
      </c>
      <c r="R5348" s="49" t="n">
        <f aca="false">SUM(K5348:N5348)</f>
        <v>0</v>
      </c>
      <c r="S5348" s="50" t="n">
        <f aca="false">SUM(P5348:R5348)</f>
        <v>0</v>
      </c>
    </row>
    <row r="5349" customFormat="false" ht="15" hidden="false" customHeight="false" outlineLevel="0" collapsed="false">
      <c r="A5349" s="4" t="s">
        <v>498</v>
      </c>
      <c r="B5349" s="36" t="s">
        <v>497</v>
      </c>
      <c r="C5349" s="48" t="n">
        <f aca="false">(C5341*Assumptions!$E$22*MIN(1,Assumptions!$D$103/Assumptions!$E$78)+C5348)*C5331</f>
        <v>5.5188772352</v>
      </c>
      <c r="D5349" s="48" t="n">
        <f aca="false">(D5341*Assumptions!$E$22*MIN(1,Assumptions!$D$103/Assumptions!$E$78)+D5348)*D5331</f>
        <v>11.0377544704</v>
      </c>
      <c r="E5349" s="48" t="n">
        <f aca="false">(E5341*Assumptions!$E$22*MIN(1,Assumptions!$D$103/Assumptions!$E$78)+E5348)*E5331</f>
        <v>11.0377544704</v>
      </c>
      <c r="F5349" s="48" t="n">
        <f aca="false">(F5341*Assumptions!$E$22*MIN(1,Assumptions!$D$103/Assumptions!$E$78)+F5348)*F5331</f>
        <v>11.0377544704</v>
      </c>
      <c r="G5349" s="48" t="n">
        <f aca="false">(G5341*Assumptions!$E$22*MIN(1,Assumptions!$D$103/Assumptions!$E$78)+G5348)*G5331</f>
        <v>14.9349950176</v>
      </c>
      <c r="H5349" s="48" t="n">
        <f aca="false">(H5341*Assumptions!$E$22*MIN(1,Assumptions!$D$103/Assumptions!$E$78)+H5348)*H5331</f>
        <v>18.8322355648</v>
      </c>
      <c r="I5349" s="48" t="n">
        <f aca="false">(I5341*Assumptions!$E$22*MIN(1,Assumptions!$D$103/Assumptions!$E$78)+I5348)*I5331</f>
        <v>31.6761039616</v>
      </c>
      <c r="J5349" s="48" t="n">
        <f aca="false">(J5341*Assumptions!$E$22*MIN(1,Assumptions!$D$103/Assumptions!$E$78)+J5348)*J5331</f>
        <v>44.5199723584</v>
      </c>
      <c r="K5349" s="48" t="n">
        <f aca="false">(K5341*Assumptions!$E$22*MIN(1,Assumptions!$D$103/Assumptions!$E$78)+K5348)*K5331</f>
        <v>44.5199723584</v>
      </c>
      <c r="L5349" s="48" t="n">
        <f aca="false">(L5341*Assumptions!$E$22*MIN(1,Assumptions!$D$103/Assumptions!$E$78)+L5348)*L5331</f>
        <v>44.5199723584</v>
      </c>
      <c r="M5349" s="48" t="n">
        <f aca="false">(M5341*Assumptions!$E$22*MIN(1,Assumptions!$D$103/Assumptions!$E$78)+M5348)*M5331</f>
        <v>44.5199723584</v>
      </c>
      <c r="N5349" s="48" t="n">
        <f aca="false">(N5341*Assumptions!$E$22*MIN(1,Assumptions!$D$103/Assumptions!$E$78)+N5348)*N5331</f>
        <v>44.5199723584</v>
      </c>
      <c r="P5349" s="49" t="n">
        <f aca="false">SUM(C5349:F5349)</f>
        <v>38.6321406464</v>
      </c>
      <c r="Q5349" s="49" t="n">
        <f aca="false">SUM(G5349:J5349)</f>
        <v>109.9633069024</v>
      </c>
      <c r="R5349" s="49" t="n">
        <f aca="false">SUM(K5349:N5349)</f>
        <v>178.0798894336</v>
      </c>
      <c r="S5349" s="50" t="n">
        <f aca="false">SUM(P5349:R5349)</f>
        <v>326.6753369824</v>
      </c>
    </row>
    <row r="5350" customFormat="false" ht="15" hidden="false" customHeight="false" outlineLevel="0" collapsed="false">
      <c r="A5350" s="4" t="s">
        <v>499</v>
      </c>
      <c r="B5350" s="36" t="s">
        <v>500</v>
      </c>
      <c r="C5350" s="48" t="n">
        <f aca="false">C5331*MIN(Assumptions!$E$27,Assumptions!$E$25+Assumptions!$E$26*(C5330-1))*Assumptions!$D$107</f>
        <v>2</v>
      </c>
      <c r="D5350" s="48" t="n">
        <f aca="false">D5331*MIN(Assumptions!$E$27,Assumptions!$E$25+Assumptions!$E$26*(D5330-1))*Assumptions!$D$107</f>
        <v>3</v>
      </c>
      <c r="E5350" s="48" t="n">
        <f aca="false">E5331*MIN(Assumptions!$E$27,Assumptions!$E$25+Assumptions!$E$26*(E5330-1))*Assumptions!$D$107</f>
        <v>4</v>
      </c>
      <c r="F5350" s="48" t="n">
        <f aca="false">F5331*MIN(Assumptions!$E$27,Assumptions!$E$25+Assumptions!$E$26*(F5330-1))*Assumptions!$D$107</f>
        <v>5</v>
      </c>
      <c r="G5350" s="48" t="n">
        <f aca="false">G5331*MIN(Assumptions!$E$27,Assumptions!$E$25+Assumptions!$E$26*(G5330-1))*Assumptions!$D$107</f>
        <v>6</v>
      </c>
      <c r="H5350" s="48" t="n">
        <f aca="false">H5331*MIN(Assumptions!$E$27,Assumptions!$E$25+Assumptions!$E$26*(H5330-1))*Assumptions!$D$107</f>
        <v>7</v>
      </c>
      <c r="I5350" s="48" t="n">
        <f aca="false">I5331*MIN(Assumptions!$E$27,Assumptions!$E$25+Assumptions!$E$26*(I5330-1))*Assumptions!$D$107</f>
        <v>8</v>
      </c>
      <c r="J5350" s="48" t="n">
        <f aca="false">J5331*MIN(Assumptions!$E$27,Assumptions!$E$25+Assumptions!$E$26*(J5330-1))*Assumptions!$D$107</f>
        <v>9</v>
      </c>
      <c r="K5350" s="48" t="n">
        <f aca="false">K5331*MIN(Assumptions!$E$27,Assumptions!$E$25+Assumptions!$E$26*(K5330-1))*Assumptions!$D$107</f>
        <v>10</v>
      </c>
      <c r="L5350" s="48" t="n">
        <f aca="false">L5331*MIN(Assumptions!$E$27,Assumptions!$E$25+Assumptions!$E$26*(L5330-1))*Assumptions!$D$107</f>
        <v>10</v>
      </c>
      <c r="M5350" s="48" t="n">
        <f aca="false">M5331*MIN(Assumptions!$E$27,Assumptions!$E$25+Assumptions!$E$26*(M5330-1))*Assumptions!$D$107</f>
        <v>10</v>
      </c>
      <c r="N5350" s="48" t="n">
        <f aca="false">N5331*MIN(Assumptions!$E$27,Assumptions!$E$25+Assumptions!$E$26*(N5330-1))*Assumptions!$D$107</f>
        <v>10</v>
      </c>
      <c r="P5350" s="49" t="n">
        <f aca="false">F5350</f>
        <v>5</v>
      </c>
      <c r="Q5350" s="49" t="n">
        <f aca="false">J5350</f>
        <v>9</v>
      </c>
      <c r="R5350" s="49" t="n">
        <f aca="false">N5350</f>
        <v>10</v>
      </c>
      <c r="S5350" s="50" t="n">
        <f aca="false">R5350</f>
        <v>10</v>
      </c>
    </row>
    <row r="5351" customFormat="false" ht="15" hidden="false" customHeight="false" outlineLevel="0" collapsed="false">
      <c r="A5351" s="4" t="s">
        <v>501</v>
      </c>
      <c r="B5351" s="36" t="s">
        <v>502</v>
      </c>
      <c r="C5351" s="48" t="n">
        <f aca="false">C5350*Assumptions!$E$28</f>
        <v>6</v>
      </c>
      <c r="D5351" s="48" t="n">
        <f aca="false">D5350*Assumptions!$E$28</f>
        <v>9</v>
      </c>
      <c r="E5351" s="48" t="n">
        <f aca="false">E5350*Assumptions!$E$28</f>
        <v>12</v>
      </c>
      <c r="F5351" s="48" t="n">
        <f aca="false">F5350*Assumptions!$E$28</f>
        <v>15</v>
      </c>
      <c r="G5351" s="48" t="n">
        <f aca="false">G5350*Assumptions!$E$28</f>
        <v>18</v>
      </c>
      <c r="H5351" s="48" t="n">
        <f aca="false">H5350*Assumptions!$E$28</f>
        <v>21</v>
      </c>
      <c r="I5351" s="48" t="n">
        <f aca="false">I5350*Assumptions!$E$28</f>
        <v>24</v>
      </c>
      <c r="J5351" s="48" t="n">
        <f aca="false">J5350*Assumptions!$E$28</f>
        <v>27</v>
      </c>
      <c r="K5351" s="48" t="n">
        <f aca="false">K5350*Assumptions!$E$28</f>
        <v>30</v>
      </c>
      <c r="L5351" s="48" t="n">
        <f aca="false">L5350*Assumptions!$E$28</f>
        <v>30</v>
      </c>
      <c r="M5351" s="48" t="n">
        <f aca="false">M5350*Assumptions!$E$28</f>
        <v>30</v>
      </c>
      <c r="N5351" s="48" t="n">
        <f aca="false">N5350*Assumptions!$E$28</f>
        <v>30</v>
      </c>
      <c r="P5351" s="49" t="n">
        <f aca="false">SUM(C5351:F5351)</f>
        <v>42</v>
      </c>
      <c r="Q5351" s="49" t="n">
        <f aca="false">SUM(G5351:J5351)</f>
        <v>90</v>
      </c>
      <c r="R5351" s="49" t="n">
        <f aca="false">SUM(K5351:N5351)</f>
        <v>120</v>
      </c>
      <c r="S5351" s="50" t="n">
        <f aca="false">SUM(P5351:R5351)</f>
        <v>252</v>
      </c>
    </row>
    <row r="5352" customFormat="false" ht="15" hidden="false" customHeight="false" outlineLevel="0" collapsed="false">
      <c r="A5352" s="4" t="s">
        <v>503</v>
      </c>
      <c r="B5352" s="36" t="s">
        <v>504</v>
      </c>
      <c r="C5352" s="48" t="n">
        <f aca="false">(C5343+C5347)*Assumptions!$E$29</f>
        <v>2.649061072896</v>
      </c>
      <c r="D5352" s="48" t="n">
        <f aca="false">(D5343+D5347)*Assumptions!$E$29</f>
        <v>4.93045821299048</v>
      </c>
      <c r="E5352" s="48" t="n">
        <f aca="false">(E5343+E5347)*Assumptions!$E$29</f>
        <v>4.58830837060879</v>
      </c>
      <c r="F5352" s="48" t="n">
        <f aca="false">(F5343+F5347)*Assumptions!$E$29</f>
        <v>4.26990206474738</v>
      </c>
      <c r="G5352" s="48" t="n">
        <f aca="false">(G5343+G5347)*Assumptions!$E$29</f>
        <v>5.844267072</v>
      </c>
      <c r="H5352" s="48" t="n">
        <f aca="false">(H5343+H5347)*Assumptions!$E$29</f>
        <v>7.17956301044434</v>
      </c>
      <c r="I5352" s="48" t="n">
        <f aca="false">(I5343+I5347)*Assumptions!$E$29</f>
        <v>12.8463930542132</v>
      </c>
      <c r="J5352" s="48" t="n">
        <f aca="false">(J5343+J5347)*Assumptions!$E$29</f>
        <v>17.6921476412567</v>
      </c>
      <c r="K5352" s="48" t="n">
        <f aca="false">(K5343+K5347)*Assumptions!$E$29</f>
        <v>16.4643985629052</v>
      </c>
      <c r="L5352" s="48" t="n">
        <f aca="false">(L5343+L5347)*Assumptions!$E$29</f>
        <v>15.3218493048332</v>
      </c>
      <c r="M5352" s="48" t="n">
        <f aca="false">(M5343+M5347)*Assumptions!$E$29</f>
        <v>14.2585874135079</v>
      </c>
      <c r="N5352" s="48" t="n">
        <f aca="false">(N5343+N5347)*Assumptions!$E$29</f>
        <v>13.2691107309425</v>
      </c>
      <c r="P5352" s="49" t="n">
        <f aca="false">SUM(C5352:F5352)</f>
        <v>16.4377297212427</v>
      </c>
      <c r="Q5352" s="49" t="n">
        <f aca="false">SUM(G5352:J5352)</f>
        <v>43.5623707779142</v>
      </c>
      <c r="R5352" s="49" t="n">
        <f aca="false">SUM(K5352:N5352)</f>
        <v>59.3139460121888</v>
      </c>
      <c r="S5352" s="50" t="n">
        <f aca="false">SUM(P5352:R5352)</f>
        <v>119.314046511346</v>
      </c>
    </row>
    <row r="5353" customFormat="false" ht="15" hidden="false" customHeight="false" outlineLevel="0" collapsed="false">
      <c r="A5353" s="4" t="s">
        <v>505</v>
      </c>
      <c r="B5353" s="36" t="s">
        <v>504</v>
      </c>
      <c r="C5353" s="48" t="n">
        <f aca="false">C5349*Assumptions!$E$31</f>
        <v>0.883020357632</v>
      </c>
      <c r="D5353" s="48" t="n">
        <f aca="false">D5349*Assumptions!$E$31</f>
        <v>1.766040715264</v>
      </c>
      <c r="E5353" s="48" t="n">
        <f aca="false">E5349*Assumptions!$E$31</f>
        <v>1.766040715264</v>
      </c>
      <c r="F5353" s="48" t="n">
        <f aca="false">F5349*Assumptions!$E$31</f>
        <v>1.766040715264</v>
      </c>
      <c r="G5353" s="48" t="n">
        <f aca="false">G5349*Assumptions!$E$31</f>
        <v>2.389599202816</v>
      </c>
      <c r="H5353" s="48" t="n">
        <f aca="false">H5349*Assumptions!$E$31</f>
        <v>3.013157690368</v>
      </c>
      <c r="I5353" s="48" t="n">
        <f aca="false">I5349*Assumptions!$E$31</f>
        <v>5.068176633856</v>
      </c>
      <c r="J5353" s="48" t="n">
        <f aca="false">J5349*Assumptions!$E$31</f>
        <v>7.123195577344</v>
      </c>
      <c r="K5353" s="48" t="n">
        <f aca="false">K5349*Assumptions!$E$31</f>
        <v>7.123195577344</v>
      </c>
      <c r="L5353" s="48" t="n">
        <f aca="false">L5349*Assumptions!$E$31</f>
        <v>7.123195577344</v>
      </c>
      <c r="M5353" s="48" t="n">
        <f aca="false">M5349*Assumptions!$E$31</f>
        <v>7.123195577344</v>
      </c>
      <c r="N5353" s="48" t="n">
        <f aca="false">N5349*Assumptions!$E$31</f>
        <v>7.123195577344</v>
      </c>
      <c r="P5353" s="49" t="n">
        <f aca="false">SUM(C5353:F5353)</f>
        <v>6.181142503424</v>
      </c>
      <c r="Q5353" s="49" t="n">
        <f aca="false">SUM(G5353:J5353)</f>
        <v>17.594129104384</v>
      </c>
      <c r="R5353" s="49" t="n">
        <f aca="false">SUM(K5353:N5353)</f>
        <v>28.492782309376</v>
      </c>
      <c r="S5353" s="50" t="n">
        <f aca="false">SUM(P5353:R5353)</f>
        <v>52.268053917184</v>
      </c>
    </row>
    <row r="5354" customFormat="false" ht="15" hidden="false" customHeight="false" outlineLevel="0" collapsed="false">
      <c r="A5354" s="4" t="s">
        <v>506</v>
      </c>
      <c r="B5354" s="36" t="s">
        <v>504</v>
      </c>
      <c r="C5354" s="48" t="n">
        <f aca="false">C5351*Assumptions!$E$30</f>
        <v>3</v>
      </c>
      <c r="D5354" s="48" t="n">
        <f aca="false">D5351*Assumptions!$E$30</f>
        <v>4.5</v>
      </c>
      <c r="E5354" s="48" t="n">
        <f aca="false">E5351*Assumptions!$E$30</f>
        <v>6</v>
      </c>
      <c r="F5354" s="48" t="n">
        <f aca="false">F5351*Assumptions!$E$30</f>
        <v>7.5</v>
      </c>
      <c r="G5354" s="48" t="n">
        <f aca="false">G5351*Assumptions!$E$30</f>
        <v>9</v>
      </c>
      <c r="H5354" s="48" t="n">
        <f aca="false">H5351*Assumptions!$E$30</f>
        <v>10.5</v>
      </c>
      <c r="I5354" s="48" t="n">
        <f aca="false">I5351*Assumptions!$E$30</f>
        <v>12</v>
      </c>
      <c r="J5354" s="48" t="n">
        <f aca="false">J5351*Assumptions!$E$30</f>
        <v>13.5</v>
      </c>
      <c r="K5354" s="48" t="n">
        <f aca="false">K5351*Assumptions!$E$30</f>
        <v>15</v>
      </c>
      <c r="L5354" s="48" t="n">
        <f aca="false">L5351*Assumptions!$E$30</f>
        <v>15</v>
      </c>
      <c r="M5354" s="48" t="n">
        <f aca="false">M5351*Assumptions!$E$30</f>
        <v>15</v>
      </c>
      <c r="N5354" s="48" t="n">
        <f aca="false">N5351*Assumptions!$E$30</f>
        <v>15</v>
      </c>
      <c r="P5354" s="49" t="n">
        <f aca="false">SUM(C5354:F5354)</f>
        <v>21</v>
      </c>
      <c r="Q5354" s="49" t="n">
        <f aca="false">SUM(G5354:J5354)</f>
        <v>45</v>
      </c>
      <c r="R5354" s="49" t="n">
        <f aca="false">SUM(K5354:N5354)</f>
        <v>60</v>
      </c>
      <c r="S5354" s="50" t="n">
        <f aca="false">SUM(P5354:R5354)</f>
        <v>126</v>
      </c>
    </row>
    <row r="5355" customFormat="false" ht="15" hidden="false" customHeight="false" outlineLevel="0" collapsed="false">
      <c r="A5355" s="9" t="s">
        <v>507</v>
      </c>
      <c r="B5355" s="36" t="s">
        <v>504</v>
      </c>
      <c r="C5355" s="49" t="n">
        <f aca="false">C5352+C5353+C5354</f>
        <v>6.532081430528</v>
      </c>
      <c r="D5355" s="49" t="n">
        <f aca="false">D5352+D5353+D5354</f>
        <v>11.1964989282545</v>
      </c>
      <c r="E5355" s="49" t="n">
        <f aca="false">E5352+E5353+E5354</f>
        <v>12.3543490858728</v>
      </c>
      <c r="F5355" s="49" t="n">
        <f aca="false">F5352+F5353+F5354</f>
        <v>13.5359427800114</v>
      </c>
      <c r="G5355" s="49" t="n">
        <f aca="false">G5352+G5353+G5354</f>
        <v>17.233866274816</v>
      </c>
      <c r="H5355" s="49" t="n">
        <f aca="false">H5352+H5353+H5354</f>
        <v>20.6927207008123</v>
      </c>
      <c r="I5355" s="49" t="n">
        <f aca="false">I5352+I5353+I5354</f>
        <v>29.9145696880692</v>
      </c>
      <c r="J5355" s="49" t="n">
        <f aca="false">J5352+J5353+J5354</f>
        <v>38.3153432186007</v>
      </c>
      <c r="K5355" s="49" t="n">
        <f aca="false">K5352+K5353+K5354</f>
        <v>38.5875941402492</v>
      </c>
      <c r="L5355" s="49" t="n">
        <f aca="false">L5352+L5353+L5354</f>
        <v>37.4450448821772</v>
      </c>
      <c r="M5355" s="49" t="n">
        <f aca="false">M5352+M5353+M5354</f>
        <v>36.3817829908519</v>
      </c>
      <c r="N5355" s="49" t="n">
        <f aca="false">N5352+N5353+N5354</f>
        <v>35.3923063082865</v>
      </c>
      <c r="P5355" s="49" t="n">
        <f aca="false">SUM(C5355:F5355)</f>
        <v>43.6188722246667</v>
      </c>
      <c r="Q5355" s="49" t="n">
        <f aca="false">SUM(G5355:J5355)</f>
        <v>106.156499882298</v>
      </c>
      <c r="R5355" s="49" t="n">
        <f aca="false">SUM(K5355:N5355)</f>
        <v>147.806728321565</v>
      </c>
      <c r="S5355" s="50" t="n">
        <f aca="false">SUM(P5355:R5355)</f>
        <v>297.58210042853</v>
      </c>
    </row>
    <row r="5356" customFormat="false" ht="15" hidden="false" customHeight="false" outlineLevel="0" collapsed="false">
      <c r="A5356" s="4" t="s">
        <v>508</v>
      </c>
      <c r="B5356" s="36" t="s">
        <v>509</v>
      </c>
      <c r="C5356" s="48" t="n">
        <f aca="false">C5338</f>
        <v>421.51972352</v>
      </c>
      <c r="D5356" s="48" t="n">
        <f aca="false">D5338</f>
        <v>843.03944704</v>
      </c>
      <c r="E5356" s="48" t="n">
        <f aca="false">E5338</f>
        <v>843.03944704</v>
      </c>
      <c r="F5356" s="48" t="n">
        <f aca="false">F5338</f>
        <v>843.03944704</v>
      </c>
      <c r="G5356" s="48" t="n">
        <f aca="false">G5338</f>
        <v>1149.32798176</v>
      </c>
      <c r="H5356" s="48" t="n">
        <f aca="false">H5338</f>
        <v>1455.61651648</v>
      </c>
      <c r="I5356" s="48" t="n">
        <f aca="false">I5338</f>
        <v>2486.00303616</v>
      </c>
      <c r="J5356" s="48" t="n">
        <f aca="false">J5338</f>
        <v>3516.38955584</v>
      </c>
      <c r="K5356" s="48" t="n">
        <f aca="false">K5338</f>
        <v>3516.38955584</v>
      </c>
      <c r="L5356" s="48" t="n">
        <f aca="false">L5338</f>
        <v>3516.38955584</v>
      </c>
      <c r="M5356" s="48" t="n">
        <f aca="false">M5338</f>
        <v>3516.38955584</v>
      </c>
      <c r="N5356" s="48" t="n">
        <f aca="false">N5338</f>
        <v>3516.38955584</v>
      </c>
      <c r="P5356" s="49"/>
      <c r="Q5356" s="49"/>
      <c r="R5356" s="49"/>
      <c r="S5356" s="50"/>
    </row>
    <row r="5357" customFormat="false" ht="15" hidden="false" customHeight="false" outlineLevel="0" collapsed="false">
      <c r="A5357" s="4" t="s">
        <v>510</v>
      </c>
      <c r="B5357" s="36" t="s">
        <v>509</v>
      </c>
      <c r="C5357" s="48" t="n">
        <f aca="false">C5339*1*Assumptions!$E$33</f>
        <v>105.59808</v>
      </c>
      <c r="D5357" s="48" t="n">
        <f aca="false">D5339*1*Assumptions!$E$33</f>
        <v>211.19616</v>
      </c>
      <c r="E5357" s="48" t="n">
        <f aca="false">E5339*1*Assumptions!$E$33</f>
        <v>211.19616</v>
      </c>
      <c r="F5357" s="48" t="n">
        <f aca="false">F5339*1*Assumptions!$E$33</f>
        <v>211.19616</v>
      </c>
      <c r="G5357" s="48" t="n">
        <f aca="false">G5339*1*Assumptions!$E$33</f>
        <v>282.24672</v>
      </c>
      <c r="H5357" s="48" t="n">
        <f aca="false">H5339*1*Assumptions!$E$33</f>
        <v>353.29728</v>
      </c>
      <c r="I5357" s="48" t="n">
        <f aca="false">I5339*1*Assumptions!$E$33</f>
        <v>567.53536</v>
      </c>
      <c r="J5357" s="48" t="n">
        <f aca="false">J5339*1*Assumptions!$E$33</f>
        <v>781.77344</v>
      </c>
      <c r="K5357" s="48" t="n">
        <f aca="false">K5339*1*Assumptions!$E$33</f>
        <v>781.77344</v>
      </c>
      <c r="L5357" s="48" t="n">
        <f aca="false">L5339*1*Assumptions!$E$33</f>
        <v>781.77344</v>
      </c>
      <c r="M5357" s="48" t="n">
        <f aca="false">M5339*1*Assumptions!$E$33</f>
        <v>781.77344</v>
      </c>
      <c r="N5357" s="48" t="n">
        <f aca="false">N5339*1*Assumptions!$E$33</f>
        <v>781.77344</v>
      </c>
      <c r="P5357" s="49"/>
      <c r="Q5357" s="49"/>
      <c r="R5357" s="49"/>
      <c r="S5357" s="50"/>
    </row>
    <row r="5358" customFormat="false" ht="15" hidden="false" customHeight="false" outlineLevel="0" collapsed="false">
      <c r="A5358" s="4" t="s">
        <v>511</v>
      </c>
      <c r="B5358" s="36" t="s">
        <v>509</v>
      </c>
      <c r="C5358" s="48" t="n">
        <f aca="false">C5340*1*Assumptions!$E$34</f>
        <v>17.338944</v>
      </c>
      <c r="D5358" s="48" t="n">
        <f aca="false">D5340*1*Assumptions!$E$34</f>
        <v>34.677888</v>
      </c>
      <c r="E5358" s="48" t="n">
        <f aca="false">E5340*1*Assumptions!$E$34</f>
        <v>34.677888</v>
      </c>
      <c r="F5358" s="48" t="n">
        <f aca="false">F5340*1*Assumptions!$E$34</f>
        <v>34.677888</v>
      </c>
      <c r="G5358" s="48" t="n">
        <f aca="false">G5340*1*Assumptions!$E$34</f>
        <v>43.34736</v>
      </c>
      <c r="H5358" s="48" t="n">
        <f aca="false">H5340*1*Assumptions!$E$34</f>
        <v>52.016832</v>
      </c>
      <c r="I5358" s="48" t="n">
        <f aca="false">I5340*1*Assumptions!$E$34</f>
        <v>79.8504</v>
      </c>
      <c r="J5358" s="48" t="n">
        <f aca="false">J5340*1*Assumptions!$E$34</f>
        <v>107.683968</v>
      </c>
      <c r="K5358" s="48" t="n">
        <f aca="false">K5340*1*Assumptions!$E$34</f>
        <v>107.683968</v>
      </c>
      <c r="L5358" s="48" t="n">
        <f aca="false">L5340*1*Assumptions!$E$34</f>
        <v>107.683968</v>
      </c>
      <c r="M5358" s="48" t="n">
        <f aca="false">M5340*1*Assumptions!$E$34</f>
        <v>107.683968</v>
      </c>
      <c r="N5358" s="48" t="n">
        <f aca="false">N5340*1*Assumptions!$E$34</f>
        <v>107.683968</v>
      </c>
      <c r="P5358" s="49"/>
      <c r="Q5358" s="49"/>
      <c r="R5358" s="49"/>
      <c r="S5358" s="50"/>
    </row>
    <row r="5359" customFormat="false" ht="15" hidden="false" customHeight="false" outlineLevel="0" collapsed="false">
      <c r="A5359" s="4" t="s">
        <v>512</v>
      </c>
      <c r="B5359" s="36" t="s">
        <v>77</v>
      </c>
      <c r="C5359" s="51" t="n">
        <f aca="false">IFERROR(C5356/(C5356+C5357+C5358),0)</f>
        <v>0.774202405315063</v>
      </c>
      <c r="D5359" s="51" t="n">
        <f aca="false">IFERROR(D5356/(D5356+D5357+D5358),0)</f>
        <v>0.774202405315063</v>
      </c>
      <c r="E5359" s="51" t="n">
        <f aca="false">IFERROR(E5356/(E5356+E5357+E5358),0)</f>
        <v>0.774202405315063</v>
      </c>
      <c r="F5359" s="51" t="n">
        <f aca="false">IFERROR(F5356/(F5356+F5357+F5358),0)</f>
        <v>0.774202405315063</v>
      </c>
      <c r="G5359" s="51" t="n">
        <f aca="false">IFERROR(G5356/(G5356+G5357+G5358),0)</f>
        <v>0.779246586350825</v>
      </c>
      <c r="H5359" s="51" t="n">
        <f aca="false">IFERROR(H5356/(H5356+H5357+H5358),0)</f>
        <v>0.782198161609571</v>
      </c>
      <c r="I5359" s="51" t="n">
        <f aca="false">IFERROR(I5356/(I5356+I5357+I5358),0)</f>
        <v>0.793391180566747</v>
      </c>
      <c r="J5359" s="51" t="n">
        <f aca="false">IFERROR(J5356/(J5356+J5357+J5358),0)</f>
        <v>0.79811885993771</v>
      </c>
      <c r="K5359" s="51" t="n">
        <f aca="false">IFERROR(K5356/(K5356+K5357+K5358),0)</f>
        <v>0.79811885993771</v>
      </c>
      <c r="L5359" s="51" t="n">
        <f aca="false">IFERROR(L5356/(L5356+L5357+L5358),0)</f>
        <v>0.79811885993771</v>
      </c>
      <c r="M5359" s="51" t="n">
        <f aca="false">IFERROR(M5356/(M5356+M5357+M5358),0)</f>
        <v>0.79811885993771</v>
      </c>
      <c r="N5359" s="51" t="n">
        <f aca="false">IFERROR(N5356/(N5356+N5357+N5358),0)</f>
        <v>0.79811885993771</v>
      </c>
      <c r="P5359" s="52"/>
      <c r="Q5359" s="52"/>
      <c r="R5359" s="52"/>
      <c r="S5359" s="53"/>
    </row>
    <row r="5360" customFormat="false" ht="15" hidden="false" customHeight="false" outlineLevel="0" collapsed="false">
      <c r="A5360" s="4" t="s">
        <v>513</v>
      </c>
      <c r="B5360" s="36" t="s">
        <v>77</v>
      </c>
      <c r="C5360" s="51" t="n">
        <f aca="false">IFERROR(C5357/(C5356+C5357+C5358),0)</f>
        <v>0.193951274331706</v>
      </c>
      <c r="D5360" s="51" t="n">
        <f aca="false">IFERROR(D5357/(D5356+D5357+D5358),0)</f>
        <v>0.193951274331706</v>
      </c>
      <c r="E5360" s="51" t="n">
        <f aca="false">IFERROR(E5357/(E5356+E5357+E5358),0)</f>
        <v>0.193951274331706</v>
      </c>
      <c r="F5360" s="51" t="n">
        <f aca="false">IFERROR(F5357/(F5356+F5357+F5358),0)</f>
        <v>0.193951274331706</v>
      </c>
      <c r="G5360" s="51" t="n">
        <f aca="false">IFERROR(G5357/(G5356+G5357+G5358),0)</f>
        <v>0.191363820040226</v>
      </c>
      <c r="H5360" s="51" t="n">
        <f aca="false">IFERROR(H5357/(H5356+H5357+H5358),0)</f>
        <v>0.189849785152159</v>
      </c>
      <c r="I5360" s="51" t="n">
        <f aca="false">IFERROR(I5357/(I5356+I5357+I5358),0)</f>
        <v>0.181125100305305</v>
      </c>
      <c r="J5360" s="51" t="n">
        <f aca="false">IFERROR(J5357/(J5356+J5357+J5358),0)</f>
        <v>0.177439989726432</v>
      </c>
      <c r="K5360" s="51" t="n">
        <f aca="false">IFERROR(K5357/(K5356+K5357+K5358),0)</f>
        <v>0.177439989726432</v>
      </c>
      <c r="L5360" s="51" t="n">
        <f aca="false">IFERROR(L5357/(L5356+L5357+L5358),0)</f>
        <v>0.177439989726432</v>
      </c>
      <c r="M5360" s="51" t="n">
        <f aca="false">IFERROR(M5357/(M5356+M5357+M5358),0)</f>
        <v>0.177439989726432</v>
      </c>
      <c r="N5360" s="51" t="n">
        <f aca="false">IFERROR(N5357/(N5356+N5357+N5358),0)</f>
        <v>0.177439989726432</v>
      </c>
      <c r="P5360" s="52"/>
      <c r="Q5360" s="52"/>
      <c r="R5360" s="52"/>
      <c r="S5360" s="53"/>
    </row>
    <row r="5361" customFormat="false" ht="15" hidden="false" customHeight="false" outlineLevel="0" collapsed="false">
      <c r="A5361" s="4" t="s">
        <v>514</v>
      </c>
      <c r="B5361" s="36" t="s">
        <v>77</v>
      </c>
      <c r="C5361" s="51" t="n">
        <f aca="false">IFERROR(C5358/(C5356+C5357+C5358),0)</f>
        <v>0.0318463203532308</v>
      </c>
      <c r="D5361" s="51" t="n">
        <f aca="false">IFERROR(D5358/(D5356+D5357+D5358),0)</f>
        <v>0.0318463203532308</v>
      </c>
      <c r="E5361" s="51" t="n">
        <f aca="false">IFERROR(E5358/(E5356+E5357+E5358),0)</f>
        <v>0.0318463203532308</v>
      </c>
      <c r="F5361" s="51" t="n">
        <f aca="false">IFERROR(F5358/(F5356+F5357+F5358),0)</f>
        <v>0.0318463203532308</v>
      </c>
      <c r="G5361" s="51" t="n">
        <f aca="false">IFERROR(G5358/(G5356+G5357+G5358),0)</f>
        <v>0.0293895936089493</v>
      </c>
      <c r="H5361" s="51" t="n">
        <f aca="false">IFERROR(H5358/(H5356+H5357+H5358),0)</f>
        <v>0.0279520532382699</v>
      </c>
      <c r="I5361" s="51" t="n">
        <f aca="false">IFERROR(I5358/(I5356+I5357+I5358),0)</f>
        <v>0.0254837191279478</v>
      </c>
      <c r="J5361" s="51" t="n">
        <f aca="false">IFERROR(J5358/(J5356+J5357+J5358),0)</f>
        <v>0.0244411503358587</v>
      </c>
      <c r="K5361" s="51" t="n">
        <f aca="false">IFERROR(K5358/(K5356+K5357+K5358),0)</f>
        <v>0.0244411503358587</v>
      </c>
      <c r="L5361" s="51" t="n">
        <f aca="false">IFERROR(L5358/(L5356+L5357+L5358),0)</f>
        <v>0.0244411503358587</v>
      </c>
      <c r="M5361" s="51" t="n">
        <f aca="false">IFERROR(M5358/(M5356+M5357+M5358),0)</f>
        <v>0.0244411503358587</v>
      </c>
      <c r="N5361" s="51" t="n">
        <f aca="false">IFERROR(N5358/(N5356+N5357+N5358),0)</f>
        <v>0.0244411503358587</v>
      </c>
      <c r="P5361" s="52"/>
      <c r="Q5361" s="52"/>
      <c r="R5361" s="52"/>
      <c r="S5361" s="53"/>
    </row>
    <row r="5362" customFormat="false" ht="15" hidden="false" customHeight="false" outlineLevel="0" collapsed="false">
      <c r="A5362" s="4" t="s">
        <v>515</v>
      </c>
      <c r="B5362" s="36" t="s">
        <v>516</v>
      </c>
      <c r="C5362" s="48" t="n">
        <f aca="false">IF(C5330-Assumptions!$E$35&lt;1,0,INDEX($C$5355:$N$5355,1,C5330-Assumptions!$E$35)*INDEX($C$5359:$N$5359,1,C5330-Assumptions!$E$35)*Assumptions!$E$32)</f>
        <v>0</v>
      </c>
      <c r="D5362" s="48" t="n">
        <f aca="false">IF(D5330-Assumptions!$E$35&lt;1,0,INDEX($C$5355:$N$5355,1,D5330-Assumptions!$E$35)*INDEX($C$5359:$N$5359,1,D5330-Assumptions!$E$35)*Assumptions!$E$32)</f>
        <v>1.06200216259801</v>
      </c>
      <c r="E5362" s="48" t="n">
        <f aca="false">IF(E5330-Assumptions!$E$35&lt;1,0,INDEX($C$5355:$N$5355,1,E5330-Assumptions!$E$35)*INDEX($C$5359:$N$5359,1,E5330-Assumptions!$E$35)*Assumptions!$E$32)</f>
        <v>1.82035484428605</v>
      </c>
      <c r="F5362" s="48" t="n">
        <f aca="false">IF(F5330-Assumptions!$E$35&lt;1,0,INDEX($C$5355:$N$5355,1,F5330-Assumptions!$E$35)*INDEX($C$5359:$N$5359,1,F5330-Assumptions!$E$35)*Assumptions!$E$32)</f>
        <v>2.00860102346078</v>
      </c>
      <c r="G5362" s="48" t="n">
        <f aca="false">IF(G5330-Assumptions!$E$35&lt;1,0,INDEX($C$5355:$N$5355,1,G5330-Assumptions!$E$35)*INDEX($C$5359:$N$5359,1,G5330-Assumptions!$E$35)*Assumptions!$E$32)</f>
        <v>2.20070748628329</v>
      </c>
      <c r="H5362" s="48" t="n">
        <f aca="false">IF(H5330-Assumptions!$E$35&lt;1,0,INDEX($C$5355:$N$5355,1,H5330-Assumptions!$E$35)*INDEX($C$5359:$N$5359,1,H5330-Assumptions!$E$35)*Assumptions!$E$32)</f>
        <v>2.82018060749816</v>
      </c>
      <c r="I5362" s="48" t="n">
        <f aca="false">IF(I5330-Assumptions!$E$35&lt;1,0,INDEX($C$5355:$N$5355,1,I5330-Assumptions!$E$35)*INDEX($C$5359:$N$5359,1,I5330-Assumptions!$E$35)*Assumptions!$E$32)</f>
        <v>3.3990196990839</v>
      </c>
      <c r="J5362" s="48" t="n">
        <f aca="false">IF(J5330-Assumptions!$E$35&lt;1,0,INDEX($C$5355:$N$5355,1,J5330-Assumptions!$E$35)*INDEX($C$5359:$N$5359,1,J5330-Assumptions!$E$35)*Assumptions!$E$32)</f>
        <v>4.98413070980232</v>
      </c>
      <c r="K5362" s="48" t="n">
        <f aca="false">IF(K5330-Assumptions!$E$35&lt;1,0,INDEX($C$5355:$N$5355,1,K5330-Assumptions!$E$35)*INDEX($C$5359:$N$5359,1,K5330-Assumptions!$E$35)*Assumptions!$E$32)</f>
        <v>6.42184159002784</v>
      </c>
      <c r="L5362" s="48" t="n">
        <f aca="false">IF(L5330-Assumptions!$E$35&lt;1,0,INDEX($C$5355:$N$5355,1,L5330-Assumptions!$E$35)*INDEX($C$5359:$N$5359,1,L5330-Assumptions!$E$35)*Assumptions!$E$32)</f>
        <v>6.4674721950205</v>
      </c>
      <c r="M5362" s="48" t="n">
        <f aca="false">IF(M5330-Assumptions!$E$35&lt;1,0,INDEX($C$5355:$N$5355,1,M5330-Assumptions!$E$35)*INDEX($C$5359:$N$5359,1,M5330-Assumptions!$E$35)*Assumptions!$E$32)</f>
        <v>6.27597527165272</v>
      </c>
      <c r="N5362" s="48" t="n">
        <f aca="false">IF(N5330-Assumptions!$E$35&lt;1,0,INDEX($C$5355:$N$5355,1,N5330-Assumptions!$E$35)*INDEX($C$5359:$N$5359,1,N5330-Assumptions!$E$35)*Assumptions!$E$32)</f>
        <v>6.09776730426357</v>
      </c>
      <c r="P5362" s="49" t="n">
        <f aca="false">SUM(C5362:F5362)</f>
        <v>4.89095803034484</v>
      </c>
      <c r="Q5362" s="49" t="n">
        <f aca="false">SUM(G5362:J5362)</f>
        <v>13.4040385026677</v>
      </c>
      <c r="R5362" s="49" t="n">
        <f aca="false">SUM(K5362:N5362)</f>
        <v>25.2630563609646</v>
      </c>
      <c r="S5362" s="50" t="n">
        <f aca="false">SUM(P5362:R5362)</f>
        <v>43.5580528939772</v>
      </c>
    </row>
    <row r="5363" customFormat="false" ht="15" hidden="false" customHeight="false" outlineLevel="0" collapsed="false">
      <c r="A5363" s="4" t="s">
        <v>517</v>
      </c>
      <c r="B5363" s="36" t="s">
        <v>516</v>
      </c>
      <c r="C5363" s="48" t="n">
        <f aca="false">IF(C5330-Assumptions!$E$35&lt;1,0,INDEX($C$5355:$N$5355,1,C5330-Assumptions!$E$35)*INDEX($C$5360:$N$5360,1,C5330-Assumptions!$E$35)*Assumptions!$E$32)</f>
        <v>0</v>
      </c>
      <c r="D5363" s="48" t="n">
        <f aca="false">IF(D5330-Assumptions!$E$35&lt;1,0,INDEX($C$5355:$N$5355,1,D5330-Assumptions!$E$35)*INDEX($C$5360:$N$5360,1,D5330-Assumptions!$E$35)*Assumptions!$E$32)</f>
        <v>0.26605015867277</v>
      </c>
      <c r="E5363" s="48" t="n">
        <f aca="false">IF(E5330-Assumptions!$E$35&lt;1,0,INDEX($C$5355:$N$5355,1,E5330-Assumptions!$E$35)*INDEX($C$5360:$N$5360,1,E5330-Assumptions!$E$35)*Assumptions!$E$32)</f>
        <v>0.456030799389593</v>
      </c>
      <c r="F5363" s="48" t="n">
        <f aca="false">IF(F5330-Assumptions!$E$35&lt;1,0,INDEX($C$5355:$N$5355,1,F5330-Assumptions!$E$35)*INDEX($C$5360:$N$5360,1,F5330-Assumptions!$E$35)*Assumptions!$E$32)</f>
        <v>0.503189767236193</v>
      </c>
      <c r="G5363" s="48" t="n">
        <f aca="false">IF(G5330-Assumptions!$E$35&lt;1,0,INDEX($C$5355:$N$5355,1,G5330-Assumptions!$E$35)*INDEX($C$5360:$N$5360,1,G5330-Assumptions!$E$35)*Assumptions!$E$32)</f>
        <v>0.551315803807496</v>
      </c>
      <c r="H5363" s="48" t="n">
        <f aca="false">IF(H5330-Assumptions!$E$35&lt;1,0,INDEX($C$5355:$N$5355,1,H5330-Assumptions!$E$35)*INDEX($C$5360:$N$5360,1,H5330-Assumptions!$E$35)*Assumptions!$E$32)</f>
        <v>0.692567081726355</v>
      </c>
      <c r="I5363" s="48" t="n">
        <f aca="false">IF(I5330-Assumptions!$E$35&lt;1,0,INDEX($C$5355:$N$5355,1,I5330-Assumptions!$E$35)*INDEX($C$5360:$N$5360,1,I5330-Assumptions!$E$35)*Assumptions!$E$32)</f>
        <v>0.824986801645199</v>
      </c>
      <c r="J5363" s="48" t="n">
        <f aca="false">IF(J5330-Assumptions!$E$35&lt;1,0,INDEX($C$5355:$N$5355,1,J5330-Assumptions!$E$35)*INDEX($C$5360:$N$5360,1,J5330-Assumptions!$E$35)*Assumptions!$E$32)</f>
        <v>1.13783868142173</v>
      </c>
      <c r="K5363" s="48" t="n">
        <f aca="false">IF(K5330-Assumptions!$E$35&lt;1,0,INDEX($C$5355:$N$5355,1,K5330-Assumptions!$E$35)*INDEX($C$5360:$N$5360,1,K5330-Assumptions!$E$35)*Assumptions!$E$32)</f>
        <v>1.42772156248537</v>
      </c>
      <c r="L5363" s="48" t="n">
        <f aca="false">IF(L5330-Assumptions!$E$35&lt;1,0,INDEX($C$5355:$N$5355,1,L5330-Assumptions!$E$35)*INDEX($C$5360:$N$5360,1,L5330-Assumptions!$E$35)*Assumptions!$E$32)</f>
        <v>1.43786628464084</v>
      </c>
      <c r="M5363" s="48" t="n">
        <f aca="false">IF(M5330-Assumptions!$E$35&lt;1,0,INDEX($C$5355:$N$5355,1,M5330-Assumptions!$E$35)*INDEX($C$5360:$N$5360,1,M5330-Assumptions!$E$35)*Assumptions!$E$32)</f>
        <v>1.39529215963185</v>
      </c>
      <c r="N5363" s="48" t="n">
        <f aca="false">IF(N5330-Assumptions!$E$35&lt;1,0,INDEX($C$5355:$N$5355,1,N5330-Assumptions!$E$35)*INDEX($C$5360:$N$5360,1,N5330-Assumptions!$E$35)*Assumptions!$E$32)</f>
        <v>1.35567247202647</v>
      </c>
      <c r="P5363" s="49" t="n">
        <f aca="false">SUM(C5363:F5363)</f>
        <v>1.22527072529856</v>
      </c>
      <c r="Q5363" s="49" t="n">
        <f aca="false">SUM(G5363:J5363)</f>
        <v>3.20670836860078</v>
      </c>
      <c r="R5363" s="49" t="n">
        <f aca="false">SUM(K5363:N5363)</f>
        <v>5.61655247878453</v>
      </c>
      <c r="S5363" s="50" t="n">
        <f aca="false">SUM(P5363:R5363)</f>
        <v>10.0485315726839</v>
      </c>
    </row>
    <row r="5364" customFormat="false" ht="15" hidden="false" customHeight="false" outlineLevel="0" collapsed="false">
      <c r="A5364" s="4" t="s">
        <v>518</v>
      </c>
      <c r="B5364" s="36" t="s">
        <v>516</v>
      </c>
      <c r="C5364" s="48" t="n">
        <f aca="false">IF(C5330-Assumptions!$E$36&lt;1,0,INDEX($C$5355:$N$5355,1,C5330-Assumptions!$E$36)*INDEX($C$5361:$N$5361,1,C5330-Assumptions!$E$36)*Assumptions!$E$32)</f>
        <v>0</v>
      </c>
      <c r="D5364" s="48" t="n">
        <f aca="false">IF(D5330-Assumptions!$E$36&lt;1,0,INDEX($C$5355:$N$5355,1,D5330-Assumptions!$E$36)*INDEX($C$5361:$N$5361,1,D5330-Assumptions!$E$36)*Assumptions!$E$32)</f>
        <v>0</v>
      </c>
      <c r="E5364" s="48" t="n">
        <f aca="false">IF(E5330-Assumptions!$E$36&lt;1,0,INDEX($C$5355:$N$5355,1,E5330-Assumptions!$E$36)*INDEX($C$5361:$N$5361,1,E5330-Assumptions!$E$36)*Assumptions!$E$32)</f>
        <v>0.0436847791400968</v>
      </c>
      <c r="F5364" s="48" t="n">
        <f aca="false">IF(F5330-Assumptions!$E$36&lt;1,0,INDEX($C$5355:$N$5355,1,F5330-Assumptions!$E$36)*INDEX($C$5361:$N$5361,1,F5330-Assumptions!$E$36)*Assumptions!$E$32)</f>
        <v>0.0748791312577974</v>
      </c>
      <c r="G5364" s="48" t="n">
        <f aca="false">IF(G5330-Assumptions!$E$36&lt;1,0,INDEX($C$5355:$N$5355,1,G5330-Assumptions!$E$36)*INDEX($C$5361:$N$5361,1,G5330-Assumptions!$E$36)*Assumptions!$E$32)</f>
        <v>0.0826225173363132</v>
      </c>
      <c r="H5364" s="48" t="n">
        <f aca="false">IF(H5330-Assumptions!$E$36&lt;1,0,INDEX($C$5355:$N$5355,1,H5330-Assumptions!$E$36)*INDEX($C$5361:$N$5361,1,H5330-Assumptions!$E$36)*Assumptions!$E$32)</f>
        <v>0.0905246937116011</v>
      </c>
      <c r="I5364" s="48" t="n">
        <f aca="false">IF(I5330-Assumptions!$E$36&lt;1,0,INDEX($C$5355:$N$5355,1,I5330-Assumptions!$E$36)*INDEX($C$5361:$N$5361,1,I5330-Assumptions!$E$36)*Assumptions!$E$32)</f>
        <v>0.106364228486842</v>
      </c>
      <c r="J5364" s="48" t="n">
        <f aca="false">IF(J5330-Assumptions!$E$36&lt;1,0,INDEX($C$5355:$N$5355,1,J5330-Assumptions!$E$36)*INDEX($C$5361:$N$5361,1,J5330-Assumptions!$E$36)*Assumptions!$E$32)</f>
        <v>0.121464846441489</v>
      </c>
      <c r="K5364" s="48" t="n">
        <f aca="false">IF(K5330-Assumptions!$E$36&lt;1,0,INDEX($C$5355:$N$5355,1,K5330-Assumptions!$E$36)*INDEX($C$5361:$N$5361,1,K5330-Assumptions!$E$36)*Assumptions!$E$32)</f>
        <v>0.160090243270477</v>
      </c>
      <c r="L5364" s="48" t="n">
        <f aca="false">IF(L5330-Assumptions!$E$36&lt;1,0,INDEX($C$5355:$N$5355,1,L5330-Assumptions!$E$36)*INDEX($C$5361:$N$5361,1,L5330-Assumptions!$E$36)*Assumptions!$E$32)</f>
        <v>0.196658923392927</v>
      </c>
      <c r="M5364" s="48" t="n">
        <f aca="false">IF(M5330-Assumptions!$E$36&lt;1,0,INDEX($C$5355:$N$5355,1,M5330-Assumptions!$E$36)*INDEX($C$5361:$N$5361,1,M5330-Assumptions!$E$36)*Assumptions!$E$32)</f>
        <v>0.198056289790995</v>
      </c>
      <c r="N5364" s="48" t="n">
        <f aca="false">IF(N5330-Assumptions!$E$36&lt;1,0,INDEX($C$5355:$N$5355,1,N5330-Assumptions!$E$36)*INDEX($C$5361:$N$5361,1,N5330-Assumptions!$E$36)*Assumptions!$E$32)</f>
        <v>0.192191993972636</v>
      </c>
      <c r="P5364" s="49" t="n">
        <f aca="false">SUM(C5364:F5364)</f>
        <v>0.118563910397894</v>
      </c>
      <c r="Q5364" s="49" t="n">
        <f aca="false">SUM(G5364:J5364)</f>
        <v>0.400976285976245</v>
      </c>
      <c r="R5364" s="49" t="n">
        <f aca="false">SUM(K5364:N5364)</f>
        <v>0.746997450427036</v>
      </c>
      <c r="S5364" s="50" t="n">
        <f aca="false">SUM(P5364:R5364)</f>
        <v>1.26653764680118</v>
      </c>
    </row>
    <row r="5365" customFormat="false" ht="15" hidden="false" customHeight="false" outlineLevel="0" collapsed="false">
      <c r="A5365" s="4" t="s">
        <v>519</v>
      </c>
      <c r="B5365" s="36" t="s">
        <v>77</v>
      </c>
      <c r="C5365" s="51" t="n">
        <f aca="false">IF(C5330-Assumptions!$E$35&lt;1,0,IFERROR(INDEX($C$5354:$N$5354,1,C5330-Assumptions!$E$35)/INDEX($C$5355:$N$5355,1,C5330-Assumptions!$E$35),0))</f>
        <v>0</v>
      </c>
      <c r="D5365" s="51" t="n">
        <f aca="false">IF(D5330-Assumptions!$E$35&lt;1,0,IFERROR(INDEX($C$5354:$N$5354,1,D5330-Assumptions!$E$35)/INDEX($C$5355:$N$5355,1,D5330-Assumptions!$E$35),0))</f>
        <v>0.459271678087073</v>
      </c>
      <c r="E5365" s="51" t="n">
        <f aca="false">IF(E5330-Assumptions!$E$35&lt;1,0,IFERROR(INDEX($C$5354:$N$5354,1,E5330-Assumptions!$E$35)/INDEX($C$5355:$N$5355,1,E5330-Assumptions!$E$35),0))</f>
        <v>0.401911350042128</v>
      </c>
      <c r="F5365" s="51" t="n">
        <f aca="false">IF(F5330-Assumptions!$E$35&lt;1,0,IFERROR(INDEX($C$5354:$N$5354,1,F5330-Assumptions!$E$35)/INDEX($C$5355:$N$5355,1,F5330-Assumptions!$E$35),0))</f>
        <v>0.485658933408398</v>
      </c>
      <c r="G5365" s="51" t="n">
        <f aca="false">IF(G5330-Assumptions!$E$35&lt;1,0,IFERROR(INDEX($C$5354:$N$5354,1,G5330-Assumptions!$E$35)/INDEX($C$5355:$N$5355,1,G5330-Assumptions!$E$35),0))</f>
        <v>0.554080356417826</v>
      </c>
      <c r="H5365" s="51" t="n">
        <f aca="false">IF(H5330-Assumptions!$E$35&lt;1,0,IFERROR(INDEX($C$5354:$N$5354,1,H5330-Assumptions!$E$35)/INDEX($C$5355:$N$5355,1,H5330-Assumptions!$E$35),0))</f>
        <v>0.522227563825987</v>
      </c>
      <c r="I5365" s="51" t="n">
        <f aca="false">IF(I5330-Assumptions!$E$35&lt;1,0,IFERROR(INDEX($C$5354:$N$5354,1,I5330-Assumptions!$E$35)/INDEX($C$5355:$N$5355,1,I5330-Assumptions!$E$35),0))</f>
        <v>0.507424816282752</v>
      </c>
      <c r="J5365" s="51" t="n">
        <f aca="false">IF(J5330-Assumptions!$E$35&lt;1,0,IFERROR(INDEX($C$5354:$N$5354,1,J5330-Assumptions!$E$35)/INDEX($C$5355:$N$5355,1,J5330-Assumptions!$E$35),0))</f>
        <v>0.401142323795015</v>
      </c>
      <c r="K5365" s="51" t="n">
        <f aca="false">IF(K5330-Assumptions!$E$35&lt;1,0,IFERROR(INDEX($C$5354:$N$5354,1,K5330-Assumptions!$E$35)/INDEX($C$5355:$N$5355,1,K5330-Assumptions!$E$35),0))</f>
        <v>0.352339268448632</v>
      </c>
      <c r="L5365" s="51" t="n">
        <f aca="false">IF(L5330-Assumptions!$E$35&lt;1,0,IFERROR(INDEX($C$5354:$N$5354,1,L5330-Assumptions!$E$35)/INDEX($C$5355:$N$5355,1,L5330-Assumptions!$E$35),0))</f>
        <v>0.388725970981282</v>
      </c>
      <c r="M5365" s="51" t="n">
        <f aca="false">IF(M5330-Assumptions!$E$35&lt;1,0,IFERROR(INDEX($C$5354:$N$5354,1,M5330-Assumptions!$E$35)/INDEX($C$5355:$N$5355,1,M5330-Assumptions!$E$35),0))</f>
        <v>0.400587048224893</v>
      </c>
      <c r="N5365" s="51" t="n">
        <f aca="false">IF(N5330-Assumptions!$E$35&lt;1,0,IFERROR(INDEX($C$5354:$N$5354,1,N5330-Assumptions!$E$35)/INDEX($C$5355:$N$5355,1,N5330-Assumptions!$E$35),0))</f>
        <v>0.412294251872474</v>
      </c>
      <c r="P5365" s="52"/>
      <c r="Q5365" s="52"/>
      <c r="R5365" s="52"/>
      <c r="S5365" s="53"/>
    </row>
    <row r="5366" customFormat="false" ht="15" hidden="false" customHeight="false" outlineLevel="0" collapsed="false">
      <c r="A5366" s="4" t="s">
        <v>520</v>
      </c>
      <c r="B5366" s="36" t="s">
        <v>516</v>
      </c>
      <c r="C5366" s="48" t="n">
        <f aca="false">C5362*Assumptions!$E$37</f>
        <v>0</v>
      </c>
      <c r="D5366" s="48" t="n">
        <f aca="false">D5362*Assumptions!$E$37</f>
        <v>0.318600648779404</v>
      </c>
      <c r="E5366" s="48" t="n">
        <f aca="false">E5362*Assumptions!$E$37</f>
        <v>0.546106453285815</v>
      </c>
      <c r="F5366" s="48" t="n">
        <f aca="false">F5362*Assumptions!$E$37</f>
        <v>0.602580307038234</v>
      </c>
      <c r="G5366" s="48" t="n">
        <f aca="false">G5362*Assumptions!$E$37</f>
        <v>0.660212245884988</v>
      </c>
      <c r="H5366" s="48" t="n">
        <f aca="false">H5362*Assumptions!$E$37</f>
        <v>0.846054182249449</v>
      </c>
      <c r="I5366" s="48" t="n">
        <f aca="false">I5362*Assumptions!$E$37</f>
        <v>1.01970590972517</v>
      </c>
      <c r="J5366" s="48" t="n">
        <f aca="false">J5362*Assumptions!$E$37</f>
        <v>1.4952392129407</v>
      </c>
      <c r="K5366" s="48" t="n">
        <f aca="false">K5362*Assumptions!$E$37</f>
        <v>1.92655247700835</v>
      </c>
      <c r="L5366" s="48" t="n">
        <f aca="false">L5362*Assumptions!$E$37</f>
        <v>1.94024165850615</v>
      </c>
      <c r="M5366" s="48" t="n">
        <f aca="false">M5362*Assumptions!$E$37</f>
        <v>1.88279258149582</v>
      </c>
      <c r="N5366" s="48" t="n">
        <f aca="false">N5362*Assumptions!$E$37</f>
        <v>1.82933019127907</v>
      </c>
      <c r="P5366" s="49" t="n">
        <f aca="false">SUM(C5366:F5366)</f>
        <v>1.46728740910345</v>
      </c>
      <c r="Q5366" s="49" t="n">
        <f aca="false">SUM(G5366:J5366)</f>
        <v>4.02121155080031</v>
      </c>
      <c r="R5366" s="49" t="n">
        <f aca="false">SUM(K5366:N5366)</f>
        <v>7.57891690828939</v>
      </c>
      <c r="S5366" s="50" t="n">
        <f aca="false">SUM(P5366:R5366)</f>
        <v>13.0674158681931</v>
      </c>
    </row>
    <row r="5367" customFormat="false" ht="15" hidden="false" customHeight="false" outlineLevel="0" collapsed="false">
      <c r="A5367" s="4" t="s">
        <v>521</v>
      </c>
      <c r="B5367" s="36" t="s">
        <v>516</v>
      </c>
      <c r="C5367" s="48" t="n">
        <f aca="false">C5362*(1-Assumptions!$E$37)</f>
        <v>0</v>
      </c>
      <c r="D5367" s="48" t="n">
        <f aca="false">D5362*(1-Assumptions!$E$37)</f>
        <v>0.74340151381861</v>
      </c>
      <c r="E5367" s="48" t="n">
        <f aca="false">E5362*(1-Assumptions!$E$37)</f>
        <v>1.27424839100024</v>
      </c>
      <c r="F5367" s="48" t="n">
        <f aca="false">F5362*(1-Assumptions!$E$37)</f>
        <v>1.40602071642255</v>
      </c>
      <c r="G5367" s="48" t="n">
        <f aca="false">G5362*(1-Assumptions!$E$37)</f>
        <v>1.54049524039831</v>
      </c>
      <c r="H5367" s="48" t="n">
        <f aca="false">H5362*(1-Assumptions!$E$37)</f>
        <v>1.97412642524871</v>
      </c>
      <c r="I5367" s="48" t="n">
        <f aca="false">I5362*(1-Assumptions!$E$37)</f>
        <v>2.37931378935873</v>
      </c>
      <c r="J5367" s="48" t="n">
        <f aca="false">J5362*(1-Assumptions!$E$37)</f>
        <v>3.48889149686163</v>
      </c>
      <c r="K5367" s="48" t="n">
        <f aca="false">K5362*(1-Assumptions!$E$37)</f>
        <v>4.49528911301949</v>
      </c>
      <c r="L5367" s="48" t="n">
        <f aca="false">L5362*(1-Assumptions!$E$37)</f>
        <v>4.52723053651435</v>
      </c>
      <c r="M5367" s="48" t="n">
        <f aca="false">M5362*(1-Assumptions!$E$37)</f>
        <v>4.39318269015691</v>
      </c>
      <c r="N5367" s="48" t="n">
        <f aca="false">N5362*(1-Assumptions!$E$37)</f>
        <v>4.2684371129845</v>
      </c>
      <c r="P5367" s="49" t="n">
        <f aca="false">SUM(C5367:F5367)</f>
        <v>3.42367062124139</v>
      </c>
      <c r="Q5367" s="49" t="n">
        <f aca="false">SUM(G5367:J5367)</f>
        <v>9.38282695186738</v>
      </c>
      <c r="R5367" s="49" t="n">
        <f aca="false">SUM(K5367:N5367)</f>
        <v>17.6841394526752</v>
      </c>
      <c r="S5367" s="50" t="n">
        <f aca="false">SUM(P5367:R5367)</f>
        <v>30.490637025784</v>
      </c>
    </row>
    <row r="5368" customFormat="false" ht="15" hidden="false" customHeight="false" outlineLevel="0" collapsed="false">
      <c r="A5368" s="4" t="s">
        <v>522</v>
      </c>
      <c r="B5368" s="36" t="s">
        <v>125</v>
      </c>
      <c r="C5368" s="54" t="n">
        <f aca="false">C5367*$C$5321+C5363*$C$5322+C5364*$C$5323</f>
        <v>0</v>
      </c>
      <c r="D5368" s="54" t="n">
        <f aca="false">D5367*$C$5321+D5363*$C$5322+D5364*$C$5323</f>
        <v>6577.12234192422</v>
      </c>
      <c r="E5368" s="54" t="n">
        <f aca="false">E5367*$C$5321+E5363*$C$5322+E5364*$C$5323</f>
        <v>13972.472054969</v>
      </c>
      <c r="F5368" s="54" t="n">
        <f aca="false">F5367*$C$5321+F5363*$C$5322+F5364*$C$5323</f>
        <v>17065.4386588745</v>
      </c>
      <c r="G5368" s="54" t="n">
        <f aca="false">G5367*$C$5321+G5363*$C$5322+G5364*$C$5323</f>
        <v>18733.5527304553</v>
      </c>
      <c r="H5368" s="54" t="n">
        <f aca="false">H5367*$C$5321+H5363*$C$5322+H5364*$C$5323</f>
        <v>22922.0912078405</v>
      </c>
      <c r="I5368" s="54" t="n">
        <f aca="false">I5367*$C$5321+I5363*$C$5322+I5364*$C$5323</f>
        <v>27362.4991622739</v>
      </c>
      <c r="J5368" s="54" t="n">
        <f aca="false">J5367*$C$5321+J5363*$C$5322+J5364*$C$5323</f>
        <v>37289.3856494348</v>
      </c>
      <c r="K5368" s="54" t="n">
        <f aca="false">K5367*$C$5321+K5363*$C$5322+K5364*$C$5323</f>
        <v>47893.0403224554</v>
      </c>
      <c r="L5368" s="54" t="n">
        <f aca="false">L5367*$C$5321+L5363*$C$5322+L5364*$C$5323</f>
        <v>50422.2207732876</v>
      </c>
      <c r="M5368" s="54" t="n">
        <f aca="false">M5367*$C$5321+M5363*$C$5322+M5364*$C$5323</f>
        <v>49375.3139952656</v>
      </c>
      <c r="N5368" s="54" t="n">
        <f aca="false">N5367*$C$5321+N5363*$C$5322+N5364*$C$5323</f>
        <v>47958.4352961954</v>
      </c>
      <c r="P5368" s="55" t="n">
        <f aca="false">SUM(C5368:F5368)</f>
        <v>37615.0330557677</v>
      </c>
      <c r="Q5368" s="55" t="n">
        <f aca="false">SUM(G5368:J5368)</f>
        <v>106307.528750005</v>
      </c>
      <c r="R5368" s="55" t="n">
        <f aca="false">SUM(K5368:N5368)</f>
        <v>195649.010387204</v>
      </c>
      <c r="S5368" s="56" t="n">
        <f aca="false">SUM(P5368:R5368)</f>
        <v>339571.572192976</v>
      </c>
    </row>
    <row r="5369" customFormat="false" ht="15" hidden="false" customHeight="false" outlineLevel="0" collapsed="false">
      <c r="A5369" s="4" t="s">
        <v>523</v>
      </c>
      <c r="B5369" s="36" t="s">
        <v>125</v>
      </c>
      <c r="C5369" s="54" t="n">
        <f aca="false">(C5345+Assumptions!$D$104*C5331)*$C$5326</f>
        <v>306250</v>
      </c>
      <c r="D5369" s="54" t="n">
        <f aca="false">(D5345+Assumptions!$D$104*D5331)*$C$5326</f>
        <v>306250</v>
      </c>
      <c r="E5369" s="54" t="n">
        <f aca="false">(E5345+Assumptions!$D$104*E5331)*$C$5326</f>
        <v>306250</v>
      </c>
      <c r="F5369" s="54" t="n">
        <f aca="false">(F5345+Assumptions!$D$104*F5331)*$C$5326</f>
        <v>306250</v>
      </c>
      <c r="G5369" s="54" t="n">
        <f aca="false">(G5345+Assumptions!$D$104*G5331)*$C$5326</f>
        <v>306250</v>
      </c>
      <c r="H5369" s="54" t="n">
        <f aca="false">(H5345+Assumptions!$D$104*H5331)*$C$5326</f>
        <v>306250</v>
      </c>
      <c r="I5369" s="54" t="n">
        <f aca="false">(I5345+Assumptions!$D$104*I5331)*$C$5326</f>
        <v>306250</v>
      </c>
      <c r="J5369" s="54" t="n">
        <f aca="false">(J5345+Assumptions!$D$104*J5331)*$C$5326</f>
        <v>306250</v>
      </c>
      <c r="K5369" s="54" t="n">
        <f aca="false">(K5345+Assumptions!$D$104*K5331)*$C$5326</f>
        <v>306250</v>
      </c>
      <c r="L5369" s="54" t="n">
        <f aca="false">(L5345+Assumptions!$D$104*L5331)*$C$5326</f>
        <v>306250</v>
      </c>
      <c r="M5369" s="54" t="n">
        <f aca="false">(M5345+Assumptions!$D$104*M5331)*$C$5326</f>
        <v>306250</v>
      </c>
      <c r="N5369" s="54" t="n">
        <f aca="false">(N5345+Assumptions!$D$104*N5331)*$C$5326</f>
        <v>306250</v>
      </c>
      <c r="P5369" s="55" t="n">
        <f aca="false">SUM(C5369:F5369)</f>
        <v>1225000</v>
      </c>
      <c r="Q5369" s="55" t="n">
        <f aca="false">SUM(G5369:J5369)</f>
        <v>1225000</v>
      </c>
      <c r="R5369" s="55" t="n">
        <f aca="false">SUM(K5369:N5369)</f>
        <v>1225000</v>
      </c>
      <c r="S5369" s="56" t="n">
        <f aca="false">SUM(P5369:R5369)</f>
        <v>3675000</v>
      </c>
    </row>
    <row r="5370" customFormat="false" ht="15" hidden="false" customHeight="false" outlineLevel="0" collapsed="false">
      <c r="A5370" s="4" t="s">
        <v>524</v>
      </c>
      <c r="B5370" s="36" t="s">
        <v>77</v>
      </c>
      <c r="C5370" s="51" t="n">
        <f aca="false">IF(C5368&gt;0,MIN(1,C5369/C5368),1)</f>
        <v>1</v>
      </c>
      <c r="D5370" s="51" t="n">
        <f aca="false">IF(D5368&gt;0,MIN(1,D5369/D5368),1)</f>
        <v>1</v>
      </c>
      <c r="E5370" s="51" t="n">
        <f aca="false">IF(E5368&gt;0,MIN(1,E5369/E5368),1)</f>
        <v>1</v>
      </c>
      <c r="F5370" s="51" t="n">
        <f aca="false">IF(F5368&gt;0,MIN(1,F5369/F5368),1)</f>
        <v>1</v>
      </c>
      <c r="G5370" s="51" t="n">
        <f aca="false">IF(G5368&gt;0,MIN(1,G5369/G5368),1)</f>
        <v>1</v>
      </c>
      <c r="H5370" s="51" t="n">
        <f aca="false">IF(H5368&gt;0,MIN(1,H5369/H5368),1)</f>
        <v>1</v>
      </c>
      <c r="I5370" s="51" t="n">
        <f aca="false">IF(I5368&gt;0,MIN(1,I5369/I5368),1)</f>
        <v>1</v>
      </c>
      <c r="J5370" s="51" t="n">
        <f aca="false">IF(J5368&gt;0,MIN(1,J5369/J5368),1)</f>
        <v>1</v>
      </c>
      <c r="K5370" s="51" t="n">
        <f aca="false">IF(K5368&gt;0,MIN(1,K5369/K5368),1)</f>
        <v>1</v>
      </c>
      <c r="L5370" s="51" t="n">
        <f aca="false">IF(L5368&gt;0,MIN(1,L5369/L5368),1)</f>
        <v>1</v>
      </c>
      <c r="M5370" s="51" t="n">
        <f aca="false">IF(M5368&gt;0,MIN(1,M5369/M5368),1)</f>
        <v>1</v>
      </c>
      <c r="N5370" s="51" t="n">
        <f aca="false">IF(N5368&gt;0,MIN(1,N5369/N5368),1)</f>
        <v>1</v>
      </c>
      <c r="P5370" s="52"/>
      <c r="Q5370" s="52"/>
      <c r="R5370" s="52"/>
      <c r="S5370" s="53"/>
    </row>
    <row r="5371" customFormat="false" ht="15" hidden="false" customHeight="false" outlineLevel="0" collapsed="false">
      <c r="A5371" s="4" t="s">
        <v>525</v>
      </c>
      <c r="B5371" s="36" t="s">
        <v>125</v>
      </c>
      <c r="C5371" s="54" t="n">
        <f aca="false">C5368*(1-C5370)</f>
        <v>0</v>
      </c>
      <c r="D5371" s="54" t="n">
        <f aca="false">D5368*(1-D5370)</f>
        <v>0</v>
      </c>
      <c r="E5371" s="54" t="n">
        <f aca="false">E5368*(1-E5370)</f>
        <v>0</v>
      </c>
      <c r="F5371" s="54" t="n">
        <f aca="false">F5368*(1-F5370)</f>
        <v>0</v>
      </c>
      <c r="G5371" s="54" t="n">
        <f aca="false">G5368*(1-G5370)</f>
        <v>0</v>
      </c>
      <c r="H5371" s="54" t="n">
        <f aca="false">H5368*(1-H5370)</f>
        <v>0</v>
      </c>
      <c r="I5371" s="54" t="n">
        <f aca="false">I5368*(1-I5370)</f>
        <v>0</v>
      </c>
      <c r="J5371" s="54" t="n">
        <f aca="false">J5368*(1-J5370)</f>
        <v>0</v>
      </c>
      <c r="K5371" s="54" t="n">
        <f aca="false">K5368*(1-K5370)</f>
        <v>0</v>
      </c>
      <c r="L5371" s="54" t="n">
        <f aca="false">L5368*(1-L5370)</f>
        <v>0</v>
      </c>
      <c r="M5371" s="54" t="n">
        <f aca="false">M5368*(1-M5370)</f>
        <v>0</v>
      </c>
      <c r="N5371" s="54" t="n">
        <f aca="false">N5368*(1-N5370)</f>
        <v>0</v>
      </c>
      <c r="P5371" s="55" t="n">
        <f aca="false">SUM(C5371:F5371)</f>
        <v>0</v>
      </c>
      <c r="Q5371" s="55" t="n">
        <f aca="false">SUM(G5371:J5371)</f>
        <v>0</v>
      </c>
      <c r="R5371" s="55" t="n">
        <f aca="false">SUM(K5371:N5371)</f>
        <v>0</v>
      </c>
      <c r="S5371" s="56" t="n">
        <f aca="false">SUM(P5371:R5371)</f>
        <v>0</v>
      </c>
    </row>
    <row r="5372" customFormat="false" ht="15" hidden="false" customHeight="false" outlineLevel="0" collapsed="false">
      <c r="A5372" s="4" t="s">
        <v>526</v>
      </c>
      <c r="B5372" s="36" t="s">
        <v>527</v>
      </c>
      <c r="C5372" s="48" t="n">
        <f aca="false">C5366+C5367*C5370</f>
        <v>0</v>
      </c>
      <c r="D5372" s="48" t="n">
        <f aca="false">D5366+D5367*D5370</f>
        <v>1.06200216259801</v>
      </c>
      <c r="E5372" s="48" t="n">
        <f aca="false">E5366+E5367*E5370</f>
        <v>1.82035484428605</v>
      </c>
      <c r="F5372" s="48" t="n">
        <f aca="false">F5366+F5367*F5370</f>
        <v>2.00860102346078</v>
      </c>
      <c r="G5372" s="48" t="n">
        <f aca="false">G5366+G5367*G5370</f>
        <v>2.20070748628329</v>
      </c>
      <c r="H5372" s="48" t="n">
        <f aca="false">H5366+H5367*H5370</f>
        <v>2.82018060749816</v>
      </c>
      <c r="I5372" s="48" t="n">
        <f aca="false">I5366+I5367*I5370</f>
        <v>3.3990196990839</v>
      </c>
      <c r="J5372" s="48" t="n">
        <f aca="false">J5366+J5367*J5370</f>
        <v>4.98413070980232</v>
      </c>
      <c r="K5372" s="48" t="n">
        <f aca="false">K5366+K5367*K5370</f>
        <v>6.42184159002784</v>
      </c>
      <c r="L5372" s="48" t="n">
        <f aca="false">L5366+L5367*L5370</f>
        <v>6.4674721950205</v>
      </c>
      <c r="M5372" s="48" t="n">
        <f aca="false">M5366+M5367*M5370</f>
        <v>6.27597527165272</v>
      </c>
      <c r="N5372" s="48" t="n">
        <f aca="false">N5366+N5367*N5370</f>
        <v>6.09776730426357</v>
      </c>
      <c r="P5372" s="49" t="n">
        <f aca="false">SUM(C5372:F5372)</f>
        <v>4.89095803034484</v>
      </c>
      <c r="Q5372" s="49" t="n">
        <f aca="false">SUM(G5372:J5372)</f>
        <v>13.4040385026677</v>
      </c>
      <c r="R5372" s="49" t="n">
        <f aca="false">SUM(K5372:N5372)</f>
        <v>25.2630563609646</v>
      </c>
      <c r="S5372" s="50" t="n">
        <f aca="false">SUM(P5372:R5372)</f>
        <v>43.5580528939772</v>
      </c>
    </row>
    <row r="5373" customFormat="false" ht="15" hidden="false" customHeight="false" outlineLevel="0" collapsed="false">
      <c r="A5373" s="4" t="s">
        <v>528</v>
      </c>
      <c r="B5373" s="36" t="s">
        <v>527</v>
      </c>
      <c r="C5373" s="48" t="n">
        <f aca="false">C5363*C5370</f>
        <v>0</v>
      </c>
      <c r="D5373" s="48" t="n">
        <f aca="false">D5363*D5370</f>
        <v>0.26605015867277</v>
      </c>
      <c r="E5373" s="48" t="n">
        <f aca="false">E5363*E5370</f>
        <v>0.456030799389593</v>
      </c>
      <c r="F5373" s="48" t="n">
        <f aca="false">F5363*F5370</f>
        <v>0.503189767236193</v>
      </c>
      <c r="G5373" s="48" t="n">
        <f aca="false">G5363*G5370</f>
        <v>0.551315803807496</v>
      </c>
      <c r="H5373" s="48" t="n">
        <f aca="false">H5363*H5370</f>
        <v>0.692567081726355</v>
      </c>
      <c r="I5373" s="48" t="n">
        <f aca="false">I5363*I5370</f>
        <v>0.824986801645199</v>
      </c>
      <c r="J5373" s="48" t="n">
        <f aca="false">J5363*J5370</f>
        <v>1.13783868142173</v>
      </c>
      <c r="K5373" s="48" t="n">
        <f aca="false">K5363*K5370</f>
        <v>1.42772156248537</v>
      </c>
      <c r="L5373" s="48" t="n">
        <f aca="false">L5363*L5370</f>
        <v>1.43786628464084</v>
      </c>
      <c r="M5373" s="48" t="n">
        <f aca="false">M5363*M5370</f>
        <v>1.39529215963185</v>
      </c>
      <c r="N5373" s="48" t="n">
        <f aca="false">N5363*N5370</f>
        <v>1.35567247202647</v>
      </c>
      <c r="P5373" s="49" t="n">
        <f aca="false">SUM(C5373:F5373)</f>
        <v>1.22527072529856</v>
      </c>
      <c r="Q5373" s="49" t="n">
        <f aca="false">SUM(G5373:J5373)</f>
        <v>3.20670836860078</v>
      </c>
      <c r="R5373" s="49" t="n">
        <f aca="false">SUM(K5373:N5373)</f>
        <v>5.61655247878453</v>
      </c>
      <c r="S5373" s="50" t="n">
        <f aca="false">SUM(P5373:R5373)</f>
        <v>10.0485315726839</v>
      </c>
    </row>
    <row r="5374" customFormat="false" ht="15" hidden="false" customHeight="false" outlineLevel="0" collapsed="false">
      <c r="A5374" s="4" t="s">
        <v>529</v>
      </c>
      <c r="B5374" s="36" t="s">
        <v>527</v>
      </c>
      <c r="C5374" s="48" t="n">
        <f aca="false">C5364*C5370</f>
        <v>0</v>
      </c>
      <c r="D5374" s="48" t="n">
        <f aca="false">D5364*D5370</f>
        <v>0</v>
      </c>
      <c r="E5374" s="48" t="n">
        <f aca="false">E5364*E5370</f>
        <v>0.0436847791400968</v>
      </c>
      <c r="F5374" s="48" t="n">
        <f aca="false">F5364*F5370</f>
        <v>0.0748791312577974</v>
      </c>
      <c r="G5374" s="48" t="n">
        <f aca="false">G5364*G5370</f>
        <v>0.0826225173363132</v>
      </c>
      <c r="H5374" s="48" t="n">
        <f aca="false">H5364*H5370</f>
        <v>0.0905246937116011</v>
      </c>
      <c r="I5374" s="48" t="n">
        <f aca="false">I5364*I5370</f>
        <v>0.106364228486842</v>
      </c>
      <c r="J5374" s="48" t="n">
        <f aca="false">J5364*J5370</f>
        <v>0.121464846441489</v>
      </c>
      <c r="K5374" s="48" t="n">
        <f aca="false">K5364*K5370</f>
        <v>0.160090243270477</v>
      </c>
      <c r="L5374" s="48" t="n">
        <f aca="false">L5364*L5370</f>
        <v>0.196658923392927</v>
      </c>
      <c r="M5374" s="48" t="n">
        <f aca="false">M5364*M5370</f>
        <v>0.198056289790995</v>
      </c>
      <c r="N5374" s="48" t="n">
        <f aca="false">N5364*N5370</f>
        <v>0.192191993972636</v>
      </c>
      <c r="P5374" s="49" t="n">
        <f aca="false">SUM(C5374:F5374)</f>
        <v>0.118563910397894</v>
      </c>
      <c r="Q5374" s="49" t="n">
        <f aca="false">SUM(G5374:J5374)</f>
        <v>0.400976285976245</v>
      </c>
      <c r="R5374" s="49" t="n">
        <f aca="false">SUM(K5374:N5374)</f>
        <v>0.746997450427036</v>
      </c>
      <c r="S5374" s="50" t="n">
        <f aca="false">SUM(P5374:R5374)</f>
        <v>1.26653764680118</v>
      </c>
    </row>
    <row r="5375" customFormat="false" ht="15" hidden="false" customHeight="false" outlineLevel="0" collapsed="false">
      <c r="A5375" s="9" t="s">
        <v>530</v>
      </c>
      <c r="B5375" s="36" t="s">
        <v>527</v>
      </c>
      <c r="C5375" s="49" t="n">
        <f aca="false">C5372+C5373+C5374</f>
        <v>0</v>
      </c>
      <c r="D5375" s="49" t="n">
        <f aca="false">D5372+D5373+D5374</f>
        <v>1.32805232127078</v>
      </c>
      <c r="E5375" s="49" t="n">
        <f aca="false">E5372+E5373+E5374</f>
        <v>2.32007042281574</v>
      </c>
      <c r="F5375" s="49" t="n">
        <f aca="false">F5372+F5373+F5374</f>
        <v>2.58666992195477</v>
      </c>
      <c r="G5375" s="49" t="n">
        <f aca="false">G5372+G5373+G5374</f>
        <v>2.8346458074271</v>
      </c>
      <c r="H5375" s="49" t="n">
        <f aca="false">H5372+H5373+H5374</f>
        <v>3.60327238293612</v>
      </c>
      <c r="I5375" s="49" t="n">
        <f aca="false">I5372+I5373+I5374</f>
        <v>4.33037072921595</v>
      </c>
      <c r="J5375" s="49" t="n">
        <f aca="false">J5372+J5373+J5374</f>
        <v>6.24343423766555</v>
      </c>
      <c r="K5375" s="49" t="n">
        <f aca="false">K5372+K5373+K5374</f>
        <v>8.00965339578369</v>
      </c>
      <c r="L5375" s="49" t="n">
        <f aca="false">L5372+L5373+L5374</f>
        <v>8.10199740305427</v>
      </c>
      <c r="M5375" s="49" t="n">
        <f aca="false">M5372+M5373+M5374</f>
        <v>7.86932372107557</v>
      </c>
      <c r="N5375" s="49" t="n">
        <f aca="false">N5372+N5373+N5374</f>
        <v>7.64563177026268</v>
      </c>
      <c r="P5375" s="49" t="n">
        <f aca="false">SUM(C5375:F5375)</f>
        <v>6.23479266604129</v>
      </c>
      <c r="Q5375" s="49" t="n">
        <f aca="false">SUM(G5375:J5375)</f>
        <v>17.0117231572447</v>
      </c>
      <c r="R5375" s="49" t="n">
        <f aca="false">SUM(K5375:N5375)</f>
        <v>31.6266062901762</v>
      </c>
      <c r="S5375" s="50" t="n">
        <f aca="false">SUM(P5375:R5375)</f>
        <v>54.8731221134622</v>
      </c>
    </row>
    <row r="5376" customFormat="false" ht="15" hidden="false" customHeight="false" outlineLevel="0" collapsed="false">
      <c r="A5376" s="35" t="s">
        <v>533</v>
      </c>
      <c r="B5376" s="35" t="s">
        <v>444</v>
      </c>
      <c r="C5376" s="6" t="s">
        <v>354</v>
      </c>
      <c r="D5376" s="6" t="s">
        <v>355</v>
      </c>
      <c r="E5376" s="6" t="s">
        <v>356</v>
      </c>
      <c r="F5376" s="6" t="s">
        <v>357</v>
      </c>
      <c r="G5376" s="6" t="s">
        <v>358</v>
      </c>
      <c r="H5376" s="6" t="s">
        <v>359</v>
      </c>
      <c r="I5376" s="6" t="s">
        <v>360</v>
      </c>
      <c r="J5376" s="6" t="s">
        <v>361</v>
      </c>
      <c r="K5376" s="6" t="s">
        <v>362</v>
      </c>
      <c r="L5376" s="6" t="s">
        <v>363</v>
      </c>
      <c r="M5376" s="6" t="s">
        <v>364</v>
      </c>
      <c r="N5376" s="6" t="s">
        <v>365</v>
      </c>
      <c r="P5376" s="6" t="s">
        <v>445</v>
      </c>
      <c r="Q5376" s="6" t="s">
        <v>446</v>
      </c>
      <c r="R5376" s="6" t="s">
        <v>447</v>
      </c>
      <c r="S5376" s="6" t="s">
        <v>448</v>
      </c>
    </row>
    <row r="5377" customFormat="false" ht="15" hidden="false" customHeight="false" outlineLevel="0" collapsed="false">
      <c r="A5377" s="4" t="s">
        <v>534</v>
      </c>
      <c r="B5377" s="36" t="s">
        <v>527</v>
      </c>
      <c r="C5377" s="48" t="n">
        <f aca="false">0*Assumptions!$E$59^(1/4)+C5372</f>
        <v>0</v>
      </c>
      <c r="D5377" s="48" t="n">
        <f aca="false">C5377*Assumptions!$E$59^(1/4)+D5372</f>
        <v>1.06200216259801</v>
      </c>
      <c r="E5377" s="48" t="n">
        <f aca="false">D5377*Assumptions!$E$59^(1/4)+E5372</f>
        <v>2.84895377652386</v>
      </c>
      <c r="F5377" s="48" t="n">
        <f aca="false">E5377*Assumptions!$E$59^(1/4)+F5372</f>
        <v>4.76794645206001</v>
      </c>
      <c r="G5377" s="48" t="n">
        <f aca="false">F5377*Assumptions!$E$59^(1/4)+G5372</f>
        <v>6.8186873758519</v>
      </c>
      <c r="H5377" s="48" t="n">
        <f aca="false">G5377*Assumptions!$E$59^(1/4)+H5372</f>
        <v>9.42439931916901</v>
      </c>
      <c r="I5377" s="48" t="n">
        <f aca="false">H5377*Assumptions!$E$59^(1/4)+I5372</f>
        <v>12.5269927090121</v>
      </c>
      <c r="J5377" s="48" t="n">
        <f aca="false">I5377*Assumptions!$E$59^(1/4)+J5372</f>
        <v>17.1171110166588</v>
      </c>
      <c r="K5377" s="48" t="n">
        <f aca="false">J5377*Assumptions!$E$59^(1/4)+K5372</f>
        <v>23.0005668834487</v>
      </c>
      <c r="L5377" s="48" t="n">
        <f aca="false">K5377*Assumptions!$E$59^(1/4)+L5372</f>
        <v>28.744600594932</v>
      </c>
      <c r="M5377" s="48" t="n">
        <f aca="false">L5377*Assumptions!$E$59^(1/4)+M5372</f>
        <v>34.1164698778214</v>
      </c>
      <c r="N5377" s="48" t="n">
        <f aca="false">M5377*Assumptions!$E$59^(1/4)+N5372</f>
        <v>39.1411694026203</v>
      </c>
      <c r="P5377" s="49" t="n">
        <f aca="false">F5377</f>
        <v>4.76794645206001</v>
      </c>
      <c r="Q5377" s="49" t="n">
        <f aca="false">J5377</f>
        <v>17.1171110166588</v>
      </c>
      <c r="R5377" s="49" t="n">
        <f aca="false">N5377</f>
        <v>39.1411694026203</v>
      </c>
      <c r="S5377" s="50" t="n">
        <f aca="false">R5377</f>
        <v>39.1411694026203</v>
      </c>
    </row>
    <row r="5378" customFormat="false" ht="15" hidden="false" customHeight="false" outlineLevel="0" collapsed="false">
      <c r="A5378" s="4" t="s">
        <v>535</v>
      </c>
      <c r="B5378" s="36" t="s">
        <v>527</v>
      </c>
      <c r="C5378" s="48" t="n">
        <f aca="false">0*Assumptions!$E$60^(1/4)+C5373</f>
        <v>0</v>
      </c>
      <c r="D5378" s="48" t="n">
        <f aca="false">C5378*Assumptions!$E$60^(1/4)+D5373</f>
        <v>0.26605015867277</v>
      </c>
      <c r="E5378" s="48" t="n">
        <f aca="false">D5378*Assumptions!$E$60^(1/4)+E5373</f>
        <v>0.715164650673915</v>
      </c>
      <c r="F5378" s="48" t="n">
        <f aca="false">E5378*Assumptions!$E$60^(1/4)+F5373</f>
        <v>1.19976281630353</v>
      </c>
      <c r="G5378" s="48" t="n">
        <f aca="false">F5378*Assumptions!$E$60^(1/4)+G5373</f>
        <v>1.71988928170889</v>
      </c>
      <c r="H5378" s="48" t="n">
        <f aca="false">G5378*Assumptions!$E$60^(1/4)+H5373</f>
        <v>2.36774568554753</v>
      </c>
      <c r="I5378" s="48" t="n">
        <f aca="false">H5378*Assumptions!$E$60^(1/4)+I5373</f>
        <v>3.13117996995083</v>
      </c>
      <c r="J5378" s="48" t="n">
        <f aca="false">I5378*Assumptions!$E$60^(1/4)+J5373</f>
        <v>4.18761970288569</v>
      </c>
      <c r="K5378" s="48" t="n">
        <f aca="false">J5378*Assumptions!$E$60^(1/4)+K5373</f>
        <v>5.50647884170042</v>
      </c>
      <c r="L5378" s="48" t="n">
        <f aca="false">K5378*Assumptions!$E$60^(1/4)+L5373</f>
        <v>6.80119730606868</v>
      </c>
      <c r="M5378" s="48" t="n">
        <f aca="false">L5378*Assumptions!$E$60^(1/4)+M5373</f>
        <v>8.01968381592038</v>
      </c>
      <c r="N5378" s="48" t="n">
        <f aca="false">M5378*Assumptions!$E$60^(1/4)+N5373</f>
        <v>9.16687455387924</v>
      </c>
      <c r="P5378" s="49" t="n">
        <f aca="false">F5378</f>
        <v>1.19976281630353</v>
      </c>
      <c r="Q5378" s="49" t="n">
        <f aca="false">J5378</f>
        <v>4.18761970288569</v>
      </c>
      <c r="R5378" s="49" t="n">
        <f aca="false">N5378</f>
        <v>9.16687455387924</v>
      </c>
      <c r="S5378" s="50" t="n">
        <f aca="false">R5378</f>
        <v>9.16687455387924</v>
      </c>
    </row>
    <row r="5379" customFormat="false" ht="15" hidden="false" customHeight="false" outlineLevel="0" collapsed="false">
      <c r="A5379" s="4" t="s">
        <v>536</v>
      </c>
      <c r="B5379" s="36" t="s">
        <v>527</v>
      </c>
      <c r="C5379" s="48" t="n">
        <f aca="false">0*Assumptions!$E$61^(1/4)+C5374</f>
        <v>0</v>
      </c>
      <c r="D5379" s="48" t="n">
        <f aca="false">C5379*Assumptions!$E$61^(1/4)+D5374</f>
        <v>0</v>
      </c>
      <c r="E5379" s="48" t="n">
        <f aca="false">D5379*Assumptions!$E$61^(1/4)+E5374</f>
        <v>0.0436847791400968</v>
      </c>
      <c r="F5379" s="48" t="n">
        <f aca="false">E5379*Assumptions!$E$61^(1/4)+F5374</f>
        <v>0.117662709189098</v>
      </c>
      <c r="G5379" s="48" t="n">
        <f aca="false">F5379*Assumptions!$E$61^(1/4)+G5374</f>
        <v>0.197857887350561</v>
      </c>
      <c r="H5379" s="48" t="n">
        <f aca="false">G5379*Assumptions!$E$61^(1/4)+H5374</f>
        <v>0.284300844339211</v>
      </c>
      <c r="I5379" s="48" t="n">
        <f aca="false">H5379*Assumptions!$E$61^(1/4)+I5374</f>
        <v>0.384800049135339</v>
      </c>
      <c r="J5379" s="48" t="n">
        <f aca="false">I5379*Assumptions!$E$61^(1/4)+J5374</f>
        <v>0.498326609605107</v>
      </c>
      <c r="K5379" s="48" t="n">
        <f aca="false">J5379*Assumptions!$E$61^(1/4)+K5374</f>
        <v>0.648136554982555</v>
      </c>
      <c r="L5379" s="48" t="n">
        <f aca="false">K5379*Assumptions!$E$61^(1/4)+L5374</f>
        <v>0.831424655440976</v>
      </c>
      <c r="M5379" s="48" t="n">
        <f aca="false">L5379*Assumptions!$E$61^(1/4)+M5374</f>
        <v>1.01232895501352</v>
      </c>
      <c r="N5379" s="48" t="n">
        <f aca="false">M5379*Assumptions!$E$61^(1/4)+N5374</f>
        <v>1.18363696843467</v>
      </c>
      <c r="P5379" s="49" t="n">
        <f aca="false">F5379</f>
        <v>0.117662709189098</v>
      </c>
      <c r="Q5379" s="49" t="n">
        <f aca="false">J5379</f>
        <v>0.498326609605107</v>
      </c>
      <c r="R5379" s="49" t="n">
        <f aca="false">N5379</f>
        <v>1.18363696843467</v>
      </c>
      <c r="S5379" s="50" t="n">
        <f aca="false">R5379</f>
        <v>1.18363696843467</v>
      </c>
    </row>
    <row r="5380" customFormat="false" ht="15" hidden="false" customHeight="false" outlineLevel="0" collapsed="false">
      <c r="A5380" s="9" t="s">
        <v>537</v>
      </c>
      <c r="B5380" s="36" t="s">
        <v>527</v>
      </c>
      <c r="C5380" s="49" t="n">
        <f aca="false">C5377+C5378+C5379</f>
        <v>0</v>
      </c>
      <c r="D5380" s="49" t="n">
        <f aca="false">D5377+D5378+D5379</f>
        <v>1.32805232127078</v>
      </c>
      <c r="E5380" s="49" t="n">
        <f aca="false">E5377+E5378+E5379</f>
        <v>3.60780320633787</v>
      </c>
      <c r="F5380" s="49" t="n">
        <f aca="false">F5377+F5378+F5379</f>
        <v>6.08537197755264</v>
      </c>
      <c r="G5380" s="49" t="n">
        <f aca="false">G5377+G5378+G5379</f>
        <v>8.73643454491135</v>
      </c>
      <c r="H5380" s="49" t="n">
        <f aca="false">H5377+H5378+H5379</f>
        <v>12.0764458490558</v>
      </c>
      <c r="I5380" s="49" t="n">
        <f aca="false">I5377+I5378+I5379</f>
        <v>16.0429727280982</v>
      </c>
      <c r="J5380" s="49" t="n">
        <f aca="false">J5377+J5378+J5379</f>
        <v>21.8030573291496</v>
      </c>
      <c r="K5380" s="49" t="n">
        <f aca="false">K5377+K5378+K5379</f>
        <v>29.1551822801316</v>
      </c>
      <c r="L5380" s="49" t="n">
        <f aca="false">L5377+L5378+L5379</f>
        <v>36.3772225564417</v>
      </c>
      <c r="M5380" s="49" t="n">
        <f aca="false">M5377+M5378+M5379</f>
        <v>43.1484826487553</v>
      </c>
      <c r="N5380" s="49" t="n">
        <f aca="false">N5377+N5378+N5379</f>
        <v>49.4916809249342</v>
      </c>
      <c r="P5380" s="49" t="n">
        <f aca="false">F5380</f>
        <v>6.08537197755264</v>
      </c>
      <c r="Q5380" s="49" t="n">
        <f aca="false">J5380</f>
        <v>21.8030573291496</v>
      </c>
      <c r="R5380" s="49" t="n">
        <f aca="false">N5380</f>
        <v>49.4916809249342</v>
      </c>
      <c r="S5380" s="50" t="n">
        <f aca="false">R5380</f>
        <v>49.4916809249342</v>
      </c>
    </row>
    <row r="5381" customFormat="false" ht="15" hidden="false" customHeight="false" outlineLevel="0" collapsed="false">
      <c r="A5381" s="4" t="s">
        <v>538</v>
      </c>
      <c r="B5381" s="36" t="s">
        <v>125</v>
      </c>
      <c r="C5381" s="54" t="n">
        <f aca="false">0*Assumptions!$E$62^(1/4)+C5372*$C$5321</f>
        <v>0</v>
      </c>
      <c r="D5381" s="54" t="n">
        <f aca="false">C5381*Assumptions!$E$62^(1/4)+D5372*$C$5321</f>
        <v>5683.83557422457</v>
      </c>
      <c r="E5381" s="54" t="n">
        <f aca="false">D5381*Assumptions!$E$62^(1/4)+E5372*$C$5321</f>
        <v>15426.3747008435</v>
      </c>
      <c r="F5381" s="54" t="n">
        <f aca="false">E5381*Assumptions!$E$62^(1/4)+F5372*$C$5321</f>
        <v>26176.4073784056</v>
      </c>
      <c r="G5381" s="54" t="n">
        <f aca="false">F5381*Assumptions!$E$62^(1/4)+G5372*$C$5321</f>
        <v>37954.5938449938</v>
      </c>
      <c r="H5381" s="54" t="n">
        <f aca="false">G5381*Assumptions!$E$62^(1/4)+H5372*$C$5321</f>
        <v>53048.200456324</v>
      </c>
      <c r="I5381" s="54" t="n">
        <f aca="false">H5381*Assumptions!$E$62^(1/4)+I5372*$C$5321</f>
        <v>71239.753885821</v>
      </c>
      <c r="J5381" s="54" t="n">
        <f aca="false">I5381*Assumptions!$E$62^(1/4)+J5372*$C$5321</f>
        <v>97914.8214446831</v>
      </c>
      <c r="K5381" s="54" t="n">
        <f aca="false">J5381*Assumptions!$E$62^(1/4)+K5372*$C$5321</f>
        <v>132284.517634512</v>
      </c>
      <c r="L5381" s="54" t="n">
        <f aca="false">K5381*Assumptions!$E$62^(1/4)+L5372*$C$5321</f>
        <v>166898.428822262</v>
      </c>
      <c r="M5381" s="54" t="n">
        <f aca="false">L5381*Assumptions!$E$62^(1/4)+M5372*$C$5321</f>
        <v>200487.448476147</v>
      </c>
      <c r="N5381" s="54" t="n">
        <f aca="false">M5381*Assumptions!$E$62^(1/4)+N5372*$C$5321</f>
        <v>233122.699088566</v>
      </c>
      <c r="P5381" s="55" t="n">
        <f aca="false">F5381</f>
        <v>26176.4073784056</v>
      </c>
      <c r="Q5381" s="55" t="n">
        <f aca="false">J5381</f>
        <v>97914.8214446831</v>
      </c>
      <c r="R5381" s="55" t="n">
        <f aca="false">N5381</f>
        <v>233122.699088566</v>
      </c>
      <c r="S5381" s="56" t="n">
        <f aca="false">R5381</f>
        <v>233122.699088566</v>
      </c>
    </row>
    <row r="5382" customFormat="false" ht="15" hidden="false" customHeight="false" outlineLevel="0" collapsed="false">
      <c r="A5382" s="4" t="s">
        <v>539</v>
      </c>
      <c r="B5382" s="36" t="s">
        <v>125</v>
      </c>
      <c r="C5382" s="54" t="n">
        <f aca="false">0*Assumptions!$E$63^(1/4)+C5373*$C$5322</f>
        <v>0</v>
      </c>
      <c r="D5382" s="54" t="n">
        <f aca="false">C5382*Assumptions!$E$63^(1/4)+D5373*$C$5322</f>
        <v>2598.43743996703</v>
      </c>
      <c r="E5382" s="54" t="n">
        <f aca="false">D5382*Assumptions!$E$63^(1/4)+E5373*$C$5322</f>
        <v>7090.49169896923</v>
      </c>
      <c r="F5382" s="54" t="n">
        <f aca="false">E5382*Assumptions!$E$63^(1/4)+F5373*$C$5322</f>
        <v>12109.0501116679</v>
      </c>
      <c r="G5382" s="54" t="n">
        <f aca="false">F5382*Assumptions!$E$63^(1/4)+G5373*$C$5322</f>
        <v>17671.2836086009</v>
      </c>
      <c r="H5382" s="54" t="n">
        <f aca="false">G5382*Assumptions!$E$63^(1/4)+H5373*$C$5322</f>
        <v>24694.6981634841</v>
      </c>
      <c r="I5382" s="54" t="n">
        <f aca="false">H5382*Assumptions!$E$63^(1/4)+I5373*$C$5322</f>
        <v>33114.4795670995</v>
      </c>
      <c r="J5382" s="54" t="n">
        <f aca="false">I5382*Assumptions!$E$63^(1/4)+J5373*$C$5322</f>
        <v>44713.3482993367</v>
      </c>
      <c r="K5382" s="54" t="n">
        <f aca="false">J5382*Assumptions!$E$63^(1/4)+K5373*$C$5322</f>
        <v>59313.6220165461</v>
      </c>
      <c r="L5382" s="54" t="n">
        <f aca="false">K5382*Assumptions!$E$63^(1/4)+L5373*$C$5322</f>
        <v>74227.2185663786</v>
      </c>
      <c r="M5382" s="54" t="n">
        <f aca="false">L5382*Assumptions!$E$63^(1/4)+M5373*$C$5322</f>
        <v>88943.8453741155</v>
      </c>
      <c r="N5382" s="54" t="n">
        <f aca="false">M5382*Assumptions!$E$63^(1/4)+N5373*$C$5322</f>
        <v>103489.46729932</v>
      </c>
      <c r="P5382" s="55" t="n">
        <f aca="false">F5382</f>
        <v>12109.0501116679</v>
      </c>
      <c r="Q5382" s="55" t="n">
        <f aca="false">J5382</f>
        <v>44713.3482993367</v>
      </c>
      <c r="R5382" s="55" t="n">
        <f aca="false">N5382</f>
        <v>103489.46729932</v>
      </c>
      <c r="S5382" s="56" t="n">
        <f aca="false">R5382</f>
        <v>103489.46729932</v>
      </c>
    </row>
    <row r="5383" customFormat="false" ht="15" hidden="false" customHeight="false" outlineLevel="0" collapsed="false">
      <c r="A5383" s="4" t="s">
        <v>540</v>
      </c>
      <c r="B5383" s="36" t="s">
        <v>125</v>
      </c>
      <c r="C5383" s="54" t="n">
        <f aca="false">0*Assumptions!$E$64^(1/4)+C5374*$C$5323</f>
        <v>0</v>
      </c>
      <c r="D5383" s="54" t="n">
        <f aca="false">C5383*Assumptions!$E$64^(1/4)+D5374*$C$5323</f>
        <v>0</v>
      </c>
      <c r="E5383" s="54" t="n">
        <f aca="false">D5383*Assumptions!$E$64^(1/4)+E5374*$C$5323</f>
        <v>2698.76947860648</v>
      </c>
      <c r="F5383" s="54" t="n">
        <f aca="false">E5383*Assumptions!$E$64^(1/4)+F5374*$C$5323</f>
        <v>7420.63468608839</v>
      </c>
      <c r="G5383" s="54" t="n">
        <f aca="false">F5383*Assumptions!$E$64^(1/4)+G5374*$C$5323</f>
        <v>12788.7732262574</v>
      </c>
      <c r="H5383" s="54" t="n">
        <f aca="false">G5383*Assumptions!$E$64^(1/4)+H5374*$C$5323</f>
        <v>18835.9751232538</v>
      </c>
      <c r="I5383" s="54" t="n">
        <f aca="false">H5383*Assumptions!$E$64^(1/4)+I5374*$C$5323</f>
        <v>26076.7427246984</v>
      </c>
      <c r="J5383" s="54" t="n">
        <f aca="false">I5383*Assumptions!$E$64^(1/4)+J5374*$C$5323</f>
        <v>34507.8679383611</v>
      </c>
      <c r="K5383" s="54" t="n">
        <f aca="false">J5383*Assumptions!$E$64^(1/4)+K5374*$C$5323</f>
        <v>45624.9974078958</v>
      </c>
      <c r="L5383" s="54" t="n">
        <f aca="false">K5383*Assumptions!$E$64^(1/4)+L5374*$C$5323</f>
        <v>59396.5799060192</v>
      </c>
      <c r="M5383" s="54" t="n">
        <f aca="false">L5383*Assumptions!$E$64^(1/4)+M5374*$C$5323</f>
        <v>73744.1802453282</v>
      </c>
      <c r="N5383" s="54" t="n">
        <f aca="false">M5383*Assumptions!$E$64^(1/4)+N5374*$C$5323</f>
        <v>88239.6676832082</v>
      </c>
      <c r="P5383" s="55" t="n">
        <f aca="false">F5383</f>
        <v>7420.63468608839</v>
      </c>
      <c r="Q5383" s="55" t="n">
        <f aca="false">J5383</f>
        <v>34507.8679383611</v>
      </c>
      <c r="R5383" s="55" t="n">
        <f aca="false">N5383</f>
        <v>88239.6676832082</v>
      </c>
      <c r="S5383" s="56" t="n">
        <f aca="false">R5383</f>
        <v>88239.6676832082</v>
      </c>
    </row>
    <row r="5384" customFormat="false" ht="15" hidden="false" customHeight="false" outlineLevel="0" collapsed="false">
      <c r="A5384" s="9" t="s">
        <v>541</v>
      </c>
      <c r="B5384" s="36" t="s">
        <v>125</v>
      </c>
      <c r="C5384" s="55" t="n">
        <f aca="false">C5381+C5382+C5383</f>
        <v>0</v>
      </c>
      <c r="D5384" s="55" t="n">
        <f aca="false">D5381+D5382+D5383</f>
        <v>8282.27301419159</v>
      </c>
      <c r="E5384" s="55" t="n">
        <f aca="false">E5381+E5382+E5383</f>
        <v>25215.6358784192</v>
      </c>
      <c r="F5384" s="55" t="n">
        <f aca="false">F5381+F5382+F5383</f>
        <v>45706.0921761619</v>
      </c>
      <c r="G5384" s="55" t="n">
        <f aca="false">G5381+G5382+G5383</f>
        <v>68414.650679852</v>
      </c>
      <c r="H5384" s="55" t="n">
        <f aca="false">H5381+H5382+H5383</f>
        <v>96578.8737430619</v>
      </c>
      <c r="I5384" s="55" t="n">
        <f aca="false">I5381+I5382+I5383</f>
        <v>130430.976177619</v>
      </c>
      <c r="J5384" s="55" t="n">
        <f aca="false">J5381+J5382+J5383</f>
        <v>177136.037682381</v>
      </c>
      <c r="K5384" s="55" t="n">
        <f aca="false">K5381+K5382+K5383</f>
        <v>237223.137058954</v>
      </c>
      <c r="L5384" s="55" t="n">
        <f aca="false">L5381+L5382+L5383</f>
        <v>300522.22729466</v>
      </c>
      <c r="M5384" s="55" t="n">
        <f aca="false">M5381+M5382+M5383</f>
        <v>363175.474095591</v>
      </c>
      <c r="N5384" s="55" t="n">
        <f aca="false">N5381+N5382+N5383</f>
        <v>424851.834071094</v>
      </c>
      <c r="P5384" s="55" t="n">
        <f aca="false">F5384</f>
        <v>45706.0921761619</v>
      </c>
      <c r="Q5384" s="55" t="n">
        <f aca="false">J5384</f>
        <v>177136.037682381</v>
      </c>
      <c r="R5384" s="55" t="n">
        <f aca="false">N5384</f>
        <v>424851.834071094</v>
      </c>
      <c r="S5384" s="56" t="n">
        <f aca="false">R5384</f>
        <v>424851.834071094</v>
      </c>
    </row>
    <row r="5385" customFormat="false" ht="15" hidden="false" customHeight="false" outlineLevel="0" collapsed="false">
      <c r="A5385" s="4" t="s">
        <v>542</v>
      </c>
      <c r="B5385" s="36" t="s">
        <v>125</v>
      </c>
      <c r="C5385" s="54" t="n">
        <f aca="false">C5372*$C$5321+C5373*$C$5322+C5374*$C$5323</f>
        <v>0</v>
      </c>
      <c r="D5385" s="54" t="n">
        <f aca="false">D5372*$C$5321+D5373*$C$5322+D5374*$C$5323</f>
        <v>8282.27301419159</v>
      </c>
      <c r="E5385" s="54" t="n">
        <f aca="false">E5372*$C$5321+E5373*$C$5322+E5374*$C$5323</f>
        <v>16895.2337929547</v>
      </c>
      <c r="F5385" s="54" t="n">
        <f aca="false">F5372*$C$5321+F5373*$C$5322+F5374*$C$5323</f>
        <v>20290.4484621431</v>
      </c>
      <c r="G5385" s="54" t="n">
        <f aca="false">G5372*$C$5321+G5373*$C$5322+G5374*$C$5323</f>
        <v>22267.0086704318</v>
      </c>
      <c r="H5385" s="54" t="n">
        <f aca="false">H5372*$C$5321+H5373*$C$5322+H5374*$C$5323</f>
        <v>27450.1731912395</v>
      </c>
      <c r="I5385" s="54" t="n">
        <f aca="false">I5372*$C$5321+I5373*$C$5322+I5374*$C$5323</f>
        <v>32819.9651911231</v>
      </c>
      <c r="J5385" s="54" t="n">
        <f aca="false">J5372*$C$5321+J5373*$C$5322+J5374*$C$5323</f>
        <v>45291.9059170935</v>
      </c>
      <c r="K5385" s="54" t="n">
        <f aca="false">K5372*$C$5321+K5373*$C$5322+K5374*$C$5323</f>
        <v>58203.949179404</v>
      </c>
      <c r="L5385" s="54" t="n">
        <f aca="false">L5372*$C$5321+L5373*$C$5322+L5374*$C$5323</f>
        <v>60806.3941296126</v>
      </c>
      <c r="M5385" s="54" t="n">
        <f aca="false">M5372*$C$5321+M5373*$C$5322+M5374*$C$5323</f>
        <v>59452.0198914312</v>
      </c>
      <c r="N5385" s="54" t="n">
        <f aca="false">N5372*$C$5321+N5373*$C$5322+N5374*$C$5323</f>
        <v>57749.010479921</v>
      </c>
      <c r="P5385" s="55" t="n">
        <f aca="false">SUM(C5385:F5385)</f>
        <v>45467.9552692893</v>
      </c>
      <c r="Q5385" s="55" t="n">
        <f aca="false">SUM(G5385:J5385)</f>
        <v>127829.052969888</v>
      </c>
      <c r="R5385" s="55" t="n">
        <f aca="false">SUM(K5385:N5385)</f>
        <v>236211.373680369</v>
      </c>
      <c r="S5385" s="56" t="n">
        <f aca="false">SUM(P5385:R5385)</f>
        <v>409508.381919546</v>
      </c>
    </row>
    <row r="5386" customFormat="false" ht="15" hidden="false" customHeight="false" outlineLevel="0" collapsed="false">
      <c r="A5386" s="9" t="s">
        <v>543</v>
      </c>
      <c r="B5386" s="36" t="s">
        <v>125</v>
      </c>
      <c r="C5386" s="55" t="n">
        <f aca="false">(0+C5384)/8</f>
        <v>0</v>
      </c>
      <c r="D5386" s="55" t="n">
        <f aca="false">(C5384+D5384)/8</f>
        <v>1035.28412677395</v>
      </c>
      <c r="E5386" s="55" t="n">
        <f aca="false">(D5384+E5384)/8</f>
        <v>4187.23861157635</v>
      </c>
      <c r="F5386" s="55" t="n">
        <f aca="false">(E5384+F5384)/8</f>
        <v>8865.21600682264</v>
      </c>
      <c r="G5386" s="55" t="n">
        <f aca="false">(F5384+G5384)/8</f>
        <v>14265.0928570017</v>
      </c>
      <c r="H5386" s="55" t="n">
        <f aca="false">(G5384+H5384)/8</f>
        <v>20624.1905528642</v>
      </c>
      <c r="I5386" s="55" t="n">
        <f aca="false">(H5384+I5384)/8</f>
        <v>28376.2312400851</v>
      </c>
      <c r="J5386" s="55" t="n">
        <f aca="false">(I5384+J5384)/8</f>
        <v>38445.8767325</v>
      </c>
      <c r="K5386" s="55" t="n">
        <f aca="false">(J5384+K5384)/8</f>
        <v>51794.8968426669</v>
      </c>
      <c r="L5386" s="55" t="n">
        <f aca="false">(K5384+L5384)/8</f>
        <v>67218.1705442017</v>
      </c>
      <c r="M5386" s="55" t="n">
        <f aca="false">(L5384+M5384)/8</f>
        <v>82962.2126737813</v>
      </c>
      <c r="N5386" s="55" t="n">
        <f aca="false">(M5384+N5384)/8</f>
        <v>98503.4135208356</v>
      </c>
      <c r="P5386" s="55" t="n">
        <f aca="false">SUM(C5386:F5386)</f>
        <v>14087.7387451729</v>
      </c>
      <c r="Q5386" s="55" t="n">
        <f aca="false">SUM(G5386:J5386)</f>
        <v>101711.391382451</v>
      </c>
      <c r="R5386" s="55" t="n">
        <f aca="false">SUM(K5386:N5386)</f>
        <v>300478.693581486</v>
      </c>
      <c r="S5386" s="56" t="n">
        <f aca="false">SUM(P5386:R5386)</f>
        <v>416277.823709109</v>
      </c>
    </row>
    <row r="5387" customFormat="false" ht="15" hidden="false" customHeight="false" outlineLevel="0" collapsed="false">
      <c r="A5387" s="4" t="s">
        <v>544</v>
      </c>
      <c r="B5387" s="36" t="s">
        <v>125</v>
      </c>
      <c r="C5387" s="54" t="n">
        <f aca="false">C5386*Assumptions!$E$76</f>
        <v>0</v>
      </c>
      <c r="D5387" s="54" t="n">
        <f aca="false">D5386*Assumptions!$E$76</f>
        <v>672.934682403067</v>
      </c>
      <c r="E5387" s="54" t="n">
        <f aca="false">E5386*Assumptions!$E$76</f>
        <v>2721.70509752463</v>
      </c>
      <c r="F5387" s="54" t="n">
        <f aca="false">F5386*Assumptions!$E$76</f>
        <v>5762.39040443471</v>
      </c>
      <c r="G5387" s="54" t="n">
        <f aca="false">G5386*Assumptions!$E$76</f>
        <v>9272.31035705113</v>
      </c>
      <c r="H5387" s="54" t="n">
        <f aca="false">H5386*Assumptions!$E$76</f>
        <v>13405.7238593618</v>
      </c>
      <c r="I5387" s="54" t="n">
        <f aca="false">I5386*Assumptions!$E$76</f>
        <v>18444.5503060553</v>
      </c>
      <c r="J5387" s="54" t="n">
        <f aca="false">J5386*Assumptions!$E$76</f>
        <v>24989.819876125</v>
      </c>
      <c r="K5387" s="54" t="n">
        <f aca="false">K5386*Assumptions!$E$76</f>
        <v>33666.6829477335</v>
      </c>
      <c r="L5387" s="54" t="n">
        <f aca="false">L5386*Assumptions!$E$76</f>
        <v>43691.8108537311</v>
      </c>
      <c r="M5387" s="54" t="n">
        <f aca="false">M5386*Assumptions!$E$76</f>
        <v>53925.4382379578</v>
      </c>
      <c r="N5387" s="54" t="n">
        <f aca="false">N5386*Assumptions!$E$76</f>
        <v>64027.2187885432</v>
      </c>
      <c r="P5387" s="55" t="n">
        <f aca="false">SUM(C5387:F5387)</f>
        <v>9157.03018436241</v>
      </c>
      <c r="Q5387" s="55" t="n">
        <f aca="false">SUM(G5387:J5387)</f>
        <v>66112.4043985932</v>
      </c>
      <c r="R5387" s="55" t="n">
        <f aca="false">SUM(K5387:N5387)</f>
        <v>195311.150827966</v>
      </c>
      <c r="S5387" s="56" t="n">
        <f aca="false">SUM(P5387:R5387)</f>
        <v>270580.585410921</v>
      </c>
    </row>
    <row r="5388" customFormat="false" ht="15" hidden="false" customHeight="false" outlineLevel="0" collapsed="false">
      <c r="A5388" s="35" t="s">
        <v>547</v>
      </c>
      <c r="B5388" s="35" t="s">
        <v>444</v>
      </c>
      <c r="C5388" s="6" t="s">
        <v>354</v>
      </c>
      <c r="D5388" s="6" t="s">
        <v>355</v>
      </c>
      <c r="E5388" s="6" t="s">
        <v>356</v>
      </c>
      <c r="F5388" s="6" t="s">
        <v>357</v>
      </c>
      <c r="G5388" s="6" t="s">
        <v>358</v>
      </c>
      <c r="H5388" s="6" t="s">
        <v>359</v>
      </c>
      <c r="I5388" s="6" t="s">
        <v>360</v>
      </c>
      <c r="J5388" s="6" t="s">
        <v>361</v>
      </c>
      <c r="K5388" s="6" t="s">
        <v>362</v>
      </c>
      <c r="L5388" s="6" t="s">
        <v>363</v>
      </c>
      <c r="M5388" s="6" t="s">
        <v>364</v>
      </c>
      <c r="N5388" s="6" t="s">
        <v>365</v>
      </c>
      <c r="P5388" s="6" t="s">
        <v>445</v>
      </c>
      <c r="Q5388" s="6" t="s">
        <v>446</v>
      </c>
      <c r="R5388" s="6" t="s">
        <v>447</v>
      </c>
      <c r="S5388" s="6" t="s">
        <v>448</v>
      </c>
    </row>
    <row r="5389" customFormat="false" ht="15" hidden="false" customHeight="false" outlineLevel="0" collapsed="false">
      <c r="A5389" s="4" t="s">
        <v>548</v>
      </c>
      <c r="B5389" s="36" t="s">
        <v>321</v>
      </c>
      <c r="C5389" s="48" t="n">
        <f aca="false">Assumptions!$D$97*C5331</f>
        <v>1</v>
      </c>
      <c r="D5389" s="48" t="n">
        <f aca="false">Assumptions!$D$97*D5331</f>
        <v>1</v>
      </c>
      <c r="E5389" s="48" t="n">
        <f aca="false">Assumptions!$D$97*E5331</f>
        <v>1</v>
      </c>
      <c r="F5389" s="48" t="n">
        <f aca="false">Assumptions!$D$97*F5331</f>
        <v>1</v>
      </c>
      <c r="G5389" s="48" t="n">
        <f aca="false">Assumptions!$D$97*G5331</f>
        <v>1</v>
      </c>
      <c r="H5389" s="48" t="n">
        <f aca="false">Assumptions!$D$97*H5331</f>
        <v>1</v>
      </c>
      <c r="I5389" s="48" t="n">
        <f aca="false">Assumptions!$D$97*I5331</f>
        <v>1</v>
      </c>
      <c r="J5389" s="48" t="n">
        <f aca="false">Assumptions!$D$97*J5331</f>
        <v>1</v>
      </c>
      <c r="K5389" s="48" t="n">
        <f aca="false">Assumptions!$D$97*K5331</f>
        <v>1</v>
      </c>
      <c r="L5389" s="48" t="n">
        <f aca="false">Assumptions!$D$97*L5331</f>
        <v>1</v>
      </c>
      <c r="M5389" s="48" t="n">
        <f aca="false">Assumptions!$D$97*M5331</f>
        <v>1</v>
      </c>
      <c r="N5389" s="48" t="n">
        <f aca="false">Assumptions!$D$97*N5331</f>
        <v>1</v>
      </c>
      <c r="P5389" s="49" t="n">
        <f aca="false">AVERAGE(C5389:F5389)</f>
        <v>1</v>
      </c>
      <c r="Q5389" s="49" t="n">
        <f aca="false">AVERAGE(G5389:J5389)</f>
        <v>1</v>
      </c>
      <c r="R5389" s="49" t="n">
        <f aca="false">AVERAGE(K5389:N5389)</f>
        <v>1</v>
      </c>
      <c r="S5389" s="50"/>
    </row>
    <row r="5390" customFormat="false" ht="15" hidden="false" customHeight="false" outlineLevel="0" collapsed="false">
      <c r="A5390" s="4" t="s">
        <v>549</v>
      </c>
      <c r="B5390" s="36" t="s">
        <v>321</v>
      </c>
      <c r="C5390" s="48" t="n">
        <f aca="false">C5344*C5331</f>
        <v>0</v>
      </c>
      <c r="D5390" s="48" t="n">
        <f aca="false">D5344*D5331</f>
        <v>0</v>
      </c>
      <c r="E5390" s="48" t="n">
        <f aca="false">E5344*E5331</f>
        <v>0</v>
      </c>
      <c r="F5390" s="48" t="n">
        <f aca="false">F5344*F5331</f>
        <v>0</v>
      </c>
      <c r="G5390" s="48" t="n">
        <f aca="false">G5344*G5331</f>
        <v>0</v>
      </c>
      <c r="H5390" s="48" t="n">
        <f aca="false">H5344*H5331</f>
        <v>0</v>
      </c>
      <c r="I5390" s="48" t="n">
        <f aca="false">I5344*I5331</f>
        <v>0</v>
      </c>
      <c r="J5390" s="48" t="n">
        <f aca="false">J5344*J5331</f>
        <v>0</v>
      </c>
      <c r="K5390" s="48" t="n">
        <f aca="false">K5344*K5331</f>
        <v>0</v>
      </c>
      <c r="L5390" s="48" t="n">
        <f aca="false">L5344*L5331</f>
        <v>0</v>
      </c>
      <c r="M5390" s="48" t="n">
        <f aca="false">M5344*M5331</f>
        <v>0</v>
      </c>
      <c r="N5390" s="48" t="n">
        <f aca="false">N5344*N5331</f>
        <v>0</v>
      </c>
      <c r="P5390" s="49" t="n">
        <f aca="false">AVERAGE(C5390:F5390)</f>
        <v>0</v>
      </c>
      <c r="Q5390" s="49" t="n">
        <f aca="false">AVERAGE(G5390:J5390)</f>
        <v>0</v>
      </c>
      <c r="R5390" s="49" t="n">
        <f aca="false">AVERAGE(K5390:N5390)</f>
        <v>0</v>
      </c>
      <c r="S5390" s="50"/>
    </row>
    <row r="5391" customFormat="false" ht="15" hidden="false" customHeight="false" outlineLevel="0" collapsed="false">
      <c r="A5391" s="4" t="s">
        <v>550</v>
      </c>
      <c r="B5391" s="36" t="s">
        <v>321</v>
      </c>
      <c r="C5391" s="48" t="n">
        <f aca="false">IF(C5330&lt;=4,Assumptions!$D$98,Assumptions!$D$99)*C5331</f>
        <v>0</v>
      </c>
      <c r="D5391" s="48" t="n">
        <f aca="false">IF(D5330&lt;=4,Assumptions!$D$98,Assumptions!$D$99)*D5331</f>
        <v>0</v>
      </c>
      <c r="E5391" s="48" t="n">
        <f aca="false">IF(E5330&lt;=4,Assumptions!$D$98,Assumptions!$D$99)*E5331</f>
        <v>0</v>
      </c>
      <c r="F5391" s="48" t="n">
        <f aca="false">IF(F5330&lt;=4,Assumptions!$D$98,Assumptions!$D$99)*F5331</f>
        <v>0</v>
      </c>
      <c r="G5391" s="48" t="n">
        <f aca="false">IF(G5330&lt;=4,Assumptions!$D$98,Assumptions!$D$99)*G5331</f>
        <v>0.5</v>
      </c>
      <c r="H5391" s="48" t="n">
        <f aca="false">IF(H5330&lt;=4,Assumptions!$D$98,Assumptions!$D$99)*H5331</f>
        <v>0.5</v>
      </c>
      <c r="I5391" s="48" t="n">
        <f aca="false">IF(I5330&lt;=4,Assumptions!$D$98,Assumptions!$D$99)*I5331</f>
        <v>0.5</v>
      </c>
      <c r="J5391" s="48" t="n">
        <f aca="false">IF(J5330&lt;=4,Assumptions!$D$98,Assumptions!$D$99)*J5331</f>
        <v>0.5</v>
      </c>
      <c r="K5391" s="48" t="n">
        <f aca="false">IF(K5330&lt;=4,Assumptions!$D$98,Assumptions!$D$99)*K5331</f>
        <v>0.5</v>
      </c>
      <c r="L5391" s="48" t="n">
        <f aca="false">IF(L5330&lt;=4,Assumptions!$D$98,Assumptions!$D$99)*L5331</f>
        <v>0.5</v>
      </c>
      <c r="M5391" s="48" t="n">
        <f aca="false">IF(M5330&lt;=4,Assumptions!$D$98,Assumptions!$D$99)*M5331</f>
        <v>0.5</v>
      </c>
      <c r="N5391" s="48" t="n">
        <f aca="false">IF(N5330&lt;=4,Assumptions!$D$98,Assumptions!$D$99)*N5331</f>
        <v>0.5</v>
      </c>
      <c r="P5391" s="49" t="n">
        <f aca="false">AVERAGE(C5391:F5391)</f>
        <v>0</v>
      </c>
      <c r="Q5391" s="49" t="n">
        <f aca="false">AVERAGE(G5391:J5391)</f>
        <v>0.5</v>
      </c>
      <c r="R5391" s="49" t="n">
        <f aca="false">AVERAGE(K5391:N5391)</f>
        <v>0.5</v>
      </c>
      <c r="S5391" s="50"/>
    </row>
    <row r="5392" customFormat="false" ht="15" hidden="false" customHeight="false" outlineLevel="0" collapsed="false">
      <c r="A5392" s="4" t="s">
        <v>551</v>
      </c>
      <c r="B5392" s="36" t="s">
        <v>321</v>
      </c>
      <c r="C5392" s="48" t="n">
        <f aca="false">IF(C5330&lt;=4,Assumptions!$D$100,Assumptions!$D$101)*C5331</f>
        <v>1</v>
      </c>
      <c r="D5392" s="48" t="n">
        <f aca="false">IF(D5330&lt;=4,Assumptions!$D$100,Assumptions!$D$101)*D5331</f>
        <v>1</v>
      </c>
      <c r="E5392" s="48" t="n">
        <f aca="false">IF(E5330&lt;=4,Assumptions!$D$100,Assumptions!$D$101)*E5331</f>
        <v>1</v>
      </c>
      <c r="F5392" s="48" t="n">
        <f aca="false">IF(F5330&lt;=4,Assumptions!$D$100,Assumptions!$D$101)*F5331</f>
        <v>1</v>
      </c>
      <c r="G5392" s="48" t="n">
        <f aca="false">IF(G5330&lt;=4,Assumptions!$D$100,Assumptions!$D$101)*G5331</f>
        <v>0.5</v>
      </c>
      <c r="H5392" s="48" t="n">
        <f aca="false">IF(H5330&lt;=4,Assumptions!$D$100,Assumptions!$D$101)*H5331</f>
        <v>0.5</v>
      </c>
      <c r="I5392" s="48" t="n">
        <f aca="false">IF(I5330&lt;=4,Assumptions!$D$100,Assumptions!$D$101)*I5331</f>
        <v>0.5</v>
      </c>
      <c r="J5392" s="48" t="n">
        <f aca="false">IF(J5330&lt;=4,Assumptions!$D$100,Assumptions!$D$101)*J5331</f>
        <v>0.5</v>
      </c>
      <c r="K5392" s="48" t="n">
        <f aca="false">IF(K5330&lt;=4,Assumptions!$D$100,Assumptions!$D$101)*K5331</f>
        <v>0.5</v>
      </c>
      <c r="L5392" s="48" t="n">
        <f aca="false">IF(L5330&lt;=4,Assumptions!$D$100,Assumptions!$D$101)*L5331</f>
        <v>0.5</v>
      </c>
      <c r="M5392" s="48" t="n">
        <f aca="false">IF(M5330&lt;=4,Assumptions!$D$100,Assumptions!$D$101)*M5331</f>
        <v>0.5</v>
      </c>
      <c r="N5392" s="48" t="n">
        <f aca="false">IF(N5330&lt;=4,Assumptions!$D$100,Assumptions!$D$101)*N5331</f>
        <v>0.5</v>
      </c>
      <c r="P5392" s="49" t="n">
        <f aca="false">AVERAGE(C5392:F5392)</f>
        <v>1</v>
      </c>
      <c r="Q5392" s="49" t="n">
        <f aca="false">AVERAGE(G5392:J5392)</f>
        <v>0.5</v>
      </c>
      <c r="R5392" s="49" t="n">
        <f aca="false">AVERAGE(K5392:N5392)</f>
        <v>0.5</v>
      </c>
      <c r="S5392" s="50"/>
    </row>
    <row r="5393" customFormat="false" ht="15" hidden="false" customHeight="false" outlineLevel="0" collapsed="false">
      <c r="A5393" s="4" t="s">
        <v>552</v>
      </c>
      <c r="B5393" s="36" t="s">
        <v>321</v>
      </c>
      <c r="C5393" s="48" t="n">
        <f aca="false">Assumptions!$D$102*C5331</f>
        <v>0.25</v>
      </c>
      <c r="D5393" s="48" t="n">
        <f aca="false">Assumptions!$D$102*D5331</f>
        <v>0.25</v>
      </c>
      <c r="E5393" s="48" t="n">
        <f aca="false">Assumptions!$D$102*E5331</f>
        <v>0.25</v>
      </c>
      <c r="F5393" s="48" t="n">
        <f aca="false">Assumptions!$D$102*F5331</f>
        <v>0.25</v>
      </c>
      <c r="G5393" s="48" t="n">
        <f aca="false">Assumptions!$D$102*G5331</f>
        <v>0.25</v>
      </c>
      <c r="H5393" s="48" t="n">
        <f aca="false">Assumptions!$D$102*H5331</f>
        <v>0.25</v>
      </c>
      <c r="I5393" s="48" t="n">
        <f aca="false">Assumptions!$D$102*I5331</f>
        <v>0.25</v>
      </c>
      <c r="J5393" s="48" t="n">
        <f aca="false">Assumptions!$D$102*J5331</f>
        <v>0.25</v>
      </c>
      <c r="K5393" s="48" t="n">
        <f aca="false">Assumptions!$D$102*K5331</f>
        <v>0.25</v>
      </c>
      <c r="L5393" s="48" t="n">
        <f aca="false">Assumptions!$D$102*L5331</f>
        <v>0.25</v>
      </c>
      <c r="M5393" s="48" t="n">
        <f aca="false">Assumptions!$D$102*M5331</f>
        <v>0.25</v>
      </c>
      <c r="N5393" s="48" t="n">
        <f aca="false">Assumptions!$D$102*N5331</f>
        <v>0.25</v>
      </c>
      <c r="P5393" s="49" t="n">
        <f aca="false">AVERAGE(C5393:F5393)</f>
        <v>0.25</v>
      </c>
      <c r="Q5393" s="49" t="n">
        <f aca="false">AVERAGE(G5393:J5393)</f>
        <v>0.25</v>
      </c>
      <c r="R5393" s="49" t="n">
        <f aca="false">AVERAGE(K5393:N5393)</f>
        <v>0.25</v>
      </c>
      <c r="S5393" s="50"/>
    </row>
    <row r="5394" customFormat="false" ht="15" hidden="false" customHeight="false" outlineLevel="0" collapsed="false">
      <c r="A5394" s="4" t="s">
        <v>553</v>
      </c>
      <c r="B5394" s="36" t="s">
        <v>321</v>
      </c>
      <c r="C5394" s="48" t="n">
        <f aca="false">(C5378+C5379)/Assumptions!$E$74+C5377/Assumptions!$E$75</f>
        <v>0</v>
      </c>
      <c r="D5394" s="48" t="n">
        <f aca="false">(D5378+D5379)/Assumptions!$E$74+D5377/Assumptions!$E$75</f>
        <v>0.0108992626172113</v>
      </c>
      <c r="E5394" s="48" t="n">
        <f aca="false">(E5378+E5379)/Assumptions!$E$74+E5377/Assumptions!$E$75</f>
        <v>0.0303670508514458</v>
      </c>
      <c r="F5394" s="48" t="n">
        <f aca="false">(F5378+F5379)/Assumptions!$E$74+F5377/Assumptions!$E$75</f>
        <v>0.0520074239455556</v>
      </c>
      <c r="G5394" s="48" t="n">
        <f aca="false">(G5378+G5379)/Assumptions!$E$74+G5377/Assumptions!$E$75</f>
        <v>0.075218428729894</v>
      </c>
      <c r="H5394" s="48" t="n">
        <f aca="false">(H5378+H5379)/Assumptions!$E$74+H5377/Assumptions!$E$75</f>
        <v>0.103998760523845</v>
      </c>
      <c r="I5394" s="48" t="n">
        <f aca="false">(I5378+I5379)/Assumptions!$E$74+I5377/Assumptions!$E$75</f>
        <v>0.138007471313202</v>
      </c>
      <c r="J5394" s="48" t="n">
        <f aca="false">(J5378+J5379)/Assumptions!$E$74+J5377/Assumptions!$E$75</f>
        <v>0.185617101878905</v>
      </c>
      <c r="K5394" s="48" t="n">
        <f aca="false">(K5378+K5379)/Assumptions!$E$74+K5377/Assumptions!$E$75</f>
        <v>0.245867652450869</v>
      </c>
      <c r="L5394" s="48" t="n">
        <f aca="false">(L5378+L5379)/Assumptions!$E$74+L5377/Assumptions!$E$75</f>
        <v>0.30579395141747</v>
      </c>
      <c r="M5394" s="48" t="n">
        <f aca="false">(M5378+M5379)/Assumptions!$E$74+M5377/Assumptions!$E$75</f>
        <v>0.362266198784633</v>
      </c>
      <c r="N5394" s="48" t="n">
        <f aca="false">(N5378+N5379)/Assumptions!$E$74+N5377/Assumptions!$E$75</f>
        <v>0.415327465668329</v>
      </c>
      <c r="P5394" s="49" t="n">
        <f aca="false">AVERAGE(C5394:F5394)</f>
        <v>0.0233184343535532</v>
      </c>
      <c r="Q5394" s="49" t="n">
        <f aca="false">AVERAGE(G5394:J5394)</f>
        <v>0.125710440611461</v>
      </c>
      <c r="R5394" s="49" t="n">
        <f aca="false">AVERAGE(K5394:N5394)</f>
        <v>0.332313817080325</v>
      </c>
      <c r="S5394" s="50"/>
    </row>
    <row r="5395" customFormat="false" ht="15" hidden="false" customHeight="false" outlineLevel="0" collapsed="false">
      <c r="A5395" s="4" t="s">
        <v>554</v>
      </c>
      <c r="B5395" s="36" t="s">
        <v>125</v>
      </c>
      <c r="C5395" s="54" t="n">
        <f aca="false">(C5389+C5391)*Assumptions!$E$70/Assumptions!$E$69/4</f>
        <v>66753.5714285714</v>
      </c>
      <c r="D5395" s="54" t="n">
        <f aca="false">(D5389+D5391)*Assumptions!$E$70/Assumptions!$E$69/4</f>
        <v>66753.5714285714</v>
      </c>
      <c r="E5395" s="54" t="n">
        <f aca="false">(E5389+E5391)*Assumptions!$E$70/Assumptions!$E$69/4</f>
        <v>66753.5714285714</v>
      </c>
      <c r="F5395" s="54" t="n">
        <f aca="false">(F5389+F5391)*Assumptions!$E$70/Assumptions!$E$69/4</f>
        <v>66753.5714285714</v>
      </c>
      <c r="G5395" s="54" t="n">
        <f aca="false">(G5389+G5391)*Assumptions!$E$70/Assumptions!$E$69/4</f>
        <v>100130.357142857</v>
      </c>
      <c r="H5395" s="54" t="n">
        <f aca="false">(H5389+H5391)*Assumptions!$E$70/Assumptions!$E$69/4</f>
        <v>100130.357142857</v>
      </c>
      <c r="I5395" s="54" t="n">
        <f aca="false">(I5389+I5391)*Assumptions!$E$70/Assumptions!$E$69/4</f>
        <v>100130.357142857</v>
      </c>
      <c r="J5395" s="54" t="n">
        <f aca="false">(J5389+J5391)*Assumptions!$E$70/Assumptions!$E$69/4</f>
        <v>100130.357142857</v>
      </c>
      <c r="K5395" s="54" t="n">
        <f aca="false">(K5389+K5391)*Assumptions!$E$70/Assumptions!$E$69/4</f>
        <v>100130.357142857</v>
      </c>
      <c r="L5395" s="54" t="n">
        <f aca="false">(L5389+L5391)*Assumptions!$E$70/Assumptions!$E$69/4</f>
        <v>100130.357142857</v>
      </c>
      <c r="M5395" s="54" t="n">
        <f aca="false">(M5389+M5391)*Assumptions!$E$70/Assumptions!$E$69/4</f>
        <v>100130.357142857</v>
      </c>
      <c r="N5395" s="54" t="n">
        <f aca="false">(N5389+N5391)*Assumptions!$E$70/Assumptions!$E$69/4</f>
        <v>100130.357142857</v>
      </c>
      <c r="P5395" s="55" t="n">
        <f aca="false">SUM(C5395:F5395)</f>
        <v>267014.285714286</v>
      </c>
      <c r="Q5395" s="55" t="n">
        <f aca="false">SUM(G5395:J5395)</f>
        <v>400521.428571429</v>
      </c>
      <c r="R5395" s="55" t="n">
        <f aca="false">SUM(K5395:N5395)</f>
        <v>400521.428571429</v>
      </c>
      <c r="S5395" s="56" t="n">
        <f aca="false">SUM(P5395:R5395)</f>
        <v>1068057.14285714</v>
      </c>
    </row>
    <row r="5396" customFormat="false" ht="15" hidden="false" customHeight="false" outlineLevel="0" collapsed="false">
      <c r="A5396" s="4" t="s">
        <v>555</v>
      </c>
      <c r="B5396" s="36" t="s">
        <v>125</v>
      </c>
      <c r="C5396" s="54" t="n">
        <f aca="false">C5390*$C$5325/4</f>
        <v>0</v>
      </c>
      <c r="D5396" s="54" t="n">
        <f aca="false">D5390*$C$5325/4</f>
        <v>0</v>
      </c>
      <c r="E5396" s="54" t="n">
        <f aca="false">E5390*$C$5325/4</f>
        <v>0</v>
      </c>
      <c r="F5396" s="54" t="n">
        <f aca="false">F5390*$C$5325/4</f>
        <v>0</v>
      </c>
      <c r="G5396" s="54" t="n">
        <f aca="false">G5390*$C$5325/4</f>
        <v>0</v>
      </c>
      <c r="H5396" s="54" t="n">
        <f aca="false">H5390*$C$5325/4</f>
        <v>0</v>
      </c>
      <c r="I5396" s="54" t="n">
        <f aca="false">I5390*$C$5325/4</f>
        <v>0</v>
      </c>
      <c r="J5396" s="54" t="n">
        <f aca="false">J5390*$C$5325/4</f>
        <v>0</v>
      </c>
      <c r="K5396" s="54" t="n">
        <f aca="false">K5390*$C$5325/4</f>
        <v>0</v>
      </c>
      <c r="L5396" s="54" t="n">
        <f aca="false">L5390*$C$5325/4</f>
        <v>0</v>
      </c>
      <c r="M5396" s="54" t="n">
        <f aca="false">M5390*$C$5325/4</f>
        <v>0</v>
      </c>
      <c r="N5396" s="54" t="n">
        <f aca="false">N5390*$C$5325/4</f>
        <v>0</v>
      </c>
      <c r="P5396" s="55" t="n">
        <f aca="false">SUM(C5396:F5396)</f>
        <v>0</v>
      </c>
      <c r="Q5396" s="55" t="n">
        <f aca="false">SUM(G5396:J5396)</f>
        <v>0</v>
      </c>
      <c r="R5396" s="55" t="n">
        <f aca="false">SUM(K5396:N5396)</f>
        <v>0</v>
      </c>
      <c r="S5396" s="56" t="n">
        <f aca="false">SUM(P5396:R5396)</f>
        <v>0</v>
      </c>
    </row>
    <row r="5397" customFormat="false" ht="15" hidden="false" customHeight="false" outlineLevel="0" collapsed="false">
      <c r="A5397" s="4" t="s">
        <v>556</v>
      </c>
      <c r="B5397" s="36" t="s">
        <v>125</v>
      </c>
      <c r="C5397" s="54" t="n">
        <f aca="false">MAX(0,(C5385-C5366*$C$5321)-C5345*$C$5326)*$C$5327*Assumptions!$D$105</f>
        <v>0</v>
      </c>
      <c r="D5397" s="54" t="n">
        <f aca="false">MAX(0,(D5385-D5366*$C$5321)-D5345*$C$5326)*$C$5327*Assumptions!$D$105</f>
        <v>3068.04540731159</v>
      </c>
      <c r="E5397" s="54" t="n">
        <f aca="false">MAX(0,(E5385-E5366*$C$5321)-E5345*$C$5326)*$C$5327*Assumptions!$D$105</f>
        <v>6517.77122097679</v>
      </c>
      <c r="F5397" s="54" t="n">
        <f aca="false">MAX(0,(F5385-F5366*$C$5321)-F5345*$C$5326)*$C$5327*Assumptions!$D$105</f>
        <v>7960.55447644289</v>
      </c>
      <c r="G5397" s="54" t="n">
        <f aca="false">MAX(0,(G5385-G5366*$C$5321)-G5345*$C$5326)*$C$5327*Assumptions!$D$105</f>
        <v>8738.68348942521</v>
      </c>
      <c r="H5397" s="54" t="n">
        <f aca="false">MAX(0,(H5385-H5366*$C$5321)-H5345*$C$5326)*$C$5327*Assumptions!$D$105</f>
        <v>10692.5206800422</v>
      </c>
      <c r="I5397" s="54" t="n">
        <f aca="false">MAX(0,(I5385-I5366*$C$5321)-I5345*$C$5326)*$C$5327*Assumptions!$D$105</f>
        <v>12763.8480057255</v>
      </c>
      <c r="J5397" s="54" t="n">
        <f aca="false">MAX(0,(J5385-J5366*$C$5321)-J5345*$C$5326)*$C$5327*Assumptions!$D$105</f>
        <v>17394.4656090658</v>
      </c>
      <c r="K5397" s="54" t="n">
        <f aca="false">MAX(0,(K5385-K5366*$C$5321)-K5345*$C$5326)*$C$5327*Assumptions!$D$105</f>
        <v>22340.7768268013</v>
      </c>
      <c r="L5397" s="54" t="n">
        <f aca="false">MAX(0,(L5385-L5366*$C$5321)-L5345*$C$5326)*$C$5327*Assumptions!$D$105</f>
        <v>23520.5694569272</v>
      </c>
      <c r="M5397" s="54" t="n">
        <f aca="false">MAX(0,(M5385-M5366*$C$5321)-M5345*$C$5326)*$C$5327*Assumptions!$D$105</f>
        <v>23032.2164409402</v>
      </c>
      <c r="N5397" s="54" t="n">
        <f aca="false">MAX(0,(N5385-N5366*$C$5321)-N5345*$C$5326)*$C$5327*Assumptions!$D$105</f>
        <v>22371.28177082</v>
      </c>
      <c r="P5397" s="55" t="n">
        <f aca="false">SUM(C5397:F5397)</f>
        <v>17546.3711047313</v>
      </c>
      <c r="Q5397" s="55" t="n">
        <f aca="false">SUM(G5397:J5397)</f>
        <v>49589.5177842587</v>
      </c>
      <c r="R5397" s="55" t="n">
        <f aca="false">SUM(K5397:N5397)</f>
        <v>91264.8444954888</v>
      </c>
      <c r="S5397" s="56" t="n">
        <f aca="false">SUM(P5397:R5397)</f>
        <v>158400.733384479</v>
      </c>
    </row>
    <row r="5398" customFormat="false" ht="15" hidden="false" customHeight="false" outlineLevel="0" collapsed="false">
      <c r="A5398" s="4" t="s">
        <v>557</v>
      </c>
      <c r="B5398" s="36" t="s">
        <v>125</v>
      </c>
      <c r="C5398" s="54" t="n">
        <f aca="false">C5393*Assumptions!$E$71/Assumptions!$E$69/4</f>
        <v>18475.8928571429</v>
      </c>
      <c r="D5398" s="54" t="n">
        <f aca="false">D5393*Assumptions!$E$71/Assumptions!$E$69/4</f>
        <v>18475.8928571429</v>
      </c>
      <c r="E5398" s="54" t="n">
        <f aca="false">E5393*Assumptions!$E$71/Assumptions!$E$69/4</f>
        <v>18475.8928571429</v>
      </c>
      <c r="F5398" s="54" t="n">
        <f aca="false">F5393*Assumptions!$E$71/Assumptions!$E$69/4</f>
        <v>18475.8928571429</v>
      </c>
      <c r="G5398" s="54" t="n">
        <f aca="false">G5393*Assumptions!$E$71/Assumptions!$E$69/4</f>
        <v>18475.8928571429</v>
      </c>
      <c r="H5398" s="54" t="n">
        <f aca="false">H5393*Assumptions!$E$71/Assumptions!$E$69/4</f>
        <v>18475.8928571429</v>
      </c>
      <c r="I5398" s="54" t="n">
        <f aca="false">I5393*Assumptions!$E$71/Assumptions!$E$69/4</f>
        <v>18475.8928571429</v>
      </c>
      <c r="J5398" s="54" t="n">
        <f aca="false">J5393*Assumptions!$E$71/Assumptions!$E$69/4</f>
        <v>18475.8928571429</v>
      </c>
      <c r="K5398" s="54" t="n">
        <f aca="false">K5393*Assumptions!$E$71/Assumptions!$E$69/4</f>
        <v>18475.8928571429</v>
      </c>
      <c r="L5398" s="54" t="n">
        <f aca="false">L5393*Assumptions!$E$71/Assumptions!$E$69/4</f>
        <v>18475.8928571429</v>
      </c>
      <c r="M5398" s="54" t="n">
        <f aca="false">M5393*Assumptions!$E$71/Assumptions!$E$69/4</f>
        <v>18475.8928571429</v>
      </c>
      <c r="N5398" s="54" t="n">
        <f aca="false">N5393*Assumptions!$E$71/Assumptions!$E$69/4</f>
        <v>18475.8928571429</v>
      </c>
      <c r="P5398" s="55" t="n">
        <f aca="false">SUM(C5398:F5398)</f>
        <v>73903.5714285714</v>
      </c>
      <c r="Q5398" s="55" t="n">
        <f aca="false">SUM(G5398:J5398)</f>
        <v>73903.5714285714</v>
      </c>
      <c r="R5398" s="55" t="n">
        <f aca="false">SUM(K5398:N5398)</f>
        <v>73903.5714285714</v>
      </c>
      <c r="S5398" s="56" t="n">
        <f aca="false">SUM(P5398:R5398)</f>
        <v>221710.714285714</v>
      </c>
    </row>
    <row r="5399" customFormat="false" ht="15" hidden="false" customHeight="false" outlineLevel="0" collapsed="false">
      <c r="A5399" s="4" t="s">
        <v>558</v>
      </c>
      <c r="B5399" s="36" t="s">
        <v>125</v>
      </c>
      <c r="C5399" s="54" t="n">
        <f aca="false">(Assumptions!$D$103+Assumptions!$E$77*((C5330=Assumptions!$E$13)+(C5330=Assumptions!$E$14)+(C5330=Assumptions!$E$15)))*C5331</f>
        <v>65000</v>
      </c>
      <c r="D5399" s="54" t="n">
        <f aca="false">(Assumptions!$D$103+Assumptions!$E$77*((D5330=Assumptions!$E$13)+(D5330=Assumptions!$E$14)+(D5330=Assumptions!$E$15)))*D5331</f>
        <v>25000</v>
      </c>
      <c r="E5399" s="54" t="n">
        <f aca="false">(Assumptions!$D$103+Assumptions!$E$77*((E5330=Assumptions!$E$13)+(E5330=Assumptions!$E$14)+(E5330=Assumptions!$E$15)))*E5331</f>
        <v>25000</v>
      </c>
      <c r="F5399" s="54" t="n">
        <f aca="false">(Assumptions!$D$103+Assumptions!$E$77*((F5330=Assumptions!$E$13)+(F5330=Assumptions!$E$14)+(F5330=Assumptions!$E$15)))*F5331</f>
        <v>25000</v>
      </c>
      <c r="G5399" s="54" t="n">
        <f aca="false">(Assumptions!$D$103+Assumptions!$E$77*((G5330=Assumptions!$E$13)+(G5330=Assumptions!$E$14)+(G5330=Assumptions!$E$15)))*G5331</f>
        <v>65000</v>
      </c>
      <c r="H5399" s="54" t="n">
        <f aca="false">(Assumptions!$D$103+Assumptions!$E$77*((H5330=Assumptions!$E$13)+(H5330=Assumptions!$E$14)+(H5330=Assumptions!$E$15)))*H5331</f>
        <v>25000</v>
      </c>
      <c r="I5399" s="54" t="n">
        <f aca="false">(Assumptions!$D$103+Assumptions!$E$77*((I5330=Assumptions!$E$13)+(I5330=Assumptions!$E$14)+(I5330=Assumptions!$E$15)))*I5331</f>
        <v>65000</v>
      </c>
      <c r="J5399" s="54" t="n">
        <f aca="false">(Assumptions!$D$103+Assumptions!$E$77*((J5330=Assumptions!$E$13)+(J5330=Assumptions!$E$14)+(J5330=Assumptions!$E$15)))*J5331</f>
        <v>25000</v>
      </c>
      <c r="K5399" s="54" t="n">
        <f aca="false">(Assumptions!$D$103+Assumptions!$E$77*((K5330=Assumptions!$E$13)+(K5330=Assumptions!$E$14)+(K5330=Assumptions!$E$15)))*K5331</f>
        <v>25000</v>
      </c>
      <c r="L5399" s="54" t="n">
        <f aca="false">(Assumptions!$D$103+Assumptions!$E$77*((L5330=Assumptions!$E$13)+(L5330=Assumptions!$E$14)+(L5330=Assumptions!$E$15)))*L5331</f>
        <v>25000</v>
      </c>
      <c r="M5399" s="54" t="n">
        <f aca="false">(Assumptions!$D$103+Assumptions!$E$77*((M5330=Assumptions!$E$13)+(M5330=Assumptions!$E$14)+(M5330=Assumptions!$E$15)))*M5331</f>
        <v>25000</v>
      </c>
      <c r="N5399" s="54" t="n">
        <f aca="false">(Assumptions!$D$103+Assumptions!$E$77*((N5330=Assumptions!$E$13)+(N5330=Assumptions!$E$14)+(N5330=Assumptions!$E$15)))*N5331</f>
        <v>25000</v>
      </c>
      <c r="P5399" s="55" t="n">
        <f aca="false">SUM(C5399:F5399)</f>
        <v>140000</v>
      </c>
      <c r="Q5399" s="55" t="n">
        <f aca="false">SUM(G5399:J5399)</f>
        <v>180000</v>
      </c>
      <c r="R5399" s="55" t="n">
        <f aca="false">SUM(K5399:N5399)</f>
        <v>100000</v>
      </c>
      <c r="S5399" s="56" t="n">
        <f aca="false">SUM(P5399:R5399)</f>
        <v>420000</v>
      </c>
    </row>
    <row r="5400" customFormat="false" ht="15" hidden="false" customHeight="false" outlineLevel="0" collapsed="false">
      <c r="A5400" s="4" t="s">
        <v>559</v>
      </c>
      <c r="B5400" s="36" t="s">
        <v>125</v>
      </c>
      <c r="C5400" s="54" t="n">
        <f aca="false">C5385*C5365*Assumptions!$E$79</f>
        <v>0</v>
      </c>
      <c r="D5400" s="54" t="n">
        <f aca="false">D5385*D5365*Assumptions!$E$79</f>
        <v>760.76268512061</v>
      </c>
      <c r="E5400" s="54" t="n">
        <f aca="false">E5385*E5365*Assumptions!$E$79</f>
        <v>1358.07724460076</v>
      </c>
      <c r="F5400" s="54" t="n">
        <f aca="false">F5385*F5365*Assumptions!$E$79</f>
        <v>1970.8475117005</v>
      </c>
      <c r="G5400" s="54" t="n">
        <f aca="false">G5385*G5365*Assumptions!$E$79</f>
        <v>2467.54242009433</v>
      </c>
      <c r="H5400" s="54" t="n">
        <f aca="false">H5385*H5365*Assumptions!$E$79</f>
        <v>2867.04741445249</v>
      </c>
      <c r="I5400" s="54" t="n">
        <f aca="false">I5385*I5365*Assumptions!$E$79</f>
        <v>3330.73296150239</v>
      </c>
      <c r="J5400" s="54" t="n">
        <f aca="false">J5385*J5365*Assumptions!$E$79</f>
        <v>3633.70007773761</v>
      </c>
      <c r="K5400" s="54" t="n">
        <f aca="false">K5385*K5365*Assumptions!$E$79</f>
        <v>4101.50737493851</v>
      </c>
      <c r="L5400" s="54" t="n">
        <f aca="false">L5385*L5365*Assumptions!$E$79</f>
        <v>4727.40491998083</v>
      </c>
      <c r="M5400" s="54" t="n">
        <f aca="false">M5385*M5365*Assumptions!$E$79</f>
        <v>4763.14183186321</v>
      </c>
      <c r="N5400" s="54" t="n">
        <f aca="false">N5385*N5365*Assumptions!$E$79</f>
        <v>4761.91701443894</v>
      </c>
      <c r="P5400" s="55" t="n">
        <f aca="false">SUM(C5400:F5400)</f>
        <v>4089.68744142187</v>
      </c>
      <c r="Q5400" s="55" t="n">
        <f aca="false">SUM(G5400:J5400)</f>
        <v>12299.0228737868</v>
      </c>
      <c r="R5400" s="55" t="n">
        <f aca="false">SUM(K5400:N5400)</f>
        <v>18353.9711412215</v>
      </c>
      <c r="S5400" s="56" t="n">
        <f aca="false">SUM(P5400:R5400)</f>
        <v>34742.6814564302</v>
      </c>
    </row>
    <row r="5401" customFormat="false" ht="15" hidden="false" customHeight="false" outlineLevel="0" collapsed="false">
      <c r="A5401" s="4" t="s">
        <v>560</v>
      </c>
      <c r="B5401" s="36" t="s">
        <v>125</v>
      </c>
      <c r="C5401" s="54" t="n">
        <f aca="false">C5350*Assumptions!$E$80</f>
        <v>4000</v>
      </c>
      <c r="D5401" s="54" t="n">
        <f aca="false">D5350*Assumptions!$E$80</f>
        <v>6000</v>
      </c>
      <c r="E5401" s="54" t="n">
        <f aca="false">E5350*Assumptions!$E$80</f>
        <v>8000</v>
      </c>
      <c r="F5401" s="54" t="n">
        <f aca="false">F5350*Assumptions!$E$80</f>
        <v>10000</v>
      </c>
      <c r="G5401" s="54" t="n">
        <f aca="false">G5350*Assumptions!$E$80</f>
        <v>12000</v>
      </c>
      <c r="H5401" s="54" t="n">
        <f aca="false">H5350*Assumptions!$E$80</f>
        <v>14000</v>
      </c>
      <c r="I5401" s="54" t="n">
        <f aca="false">I5350*Assumptions!$E$80</f>
        <v>16000</v>
      </c>
      <c r="J5401" s="54" t="n">
        <f aca="false">J5350*Assumptions!$E$80</f>
        <v>18000</v>
      </c>
      <c r="K5401" s="54" t="n">
        <f aca="false">K5350*Assumptions!$E$80</f>
        <v>20000</v>
      </c>
      <c r="L5401" s="54" t="n">
        <f aca="false">L5350*Assumptions!$E$80</f>
        <v>20000</v>
      </c>
      <c r="M5401" s="54" t="n">
        <f aca="false">M5350*Assumptions!$E$80</f>
        <v>20000</v>
      </c>
      <c r="N5401" s="54" t="n">
        <f aca="false">N5350*Assumptions!$E$80</f>
        <v>20000</v>
      </c>
      <c r="P5401" s="55" t="n">
        <f aca="false">SUM(C5401:F5401)</f>
        <v>28000</v>
      </c>
      <c r="Q5401" s="55" t="n">
        <f aca="false">SUM(G5401:J5401)</f>
        <v>60000</v>
      </c>
      <c r="R5401" s="55" t="n">
        <f aca="false">SUM(K5401:N5401)</f>
        <v>80000</v>
      </c>
      <c r="S5401" s="56" t="n">
        <f aca="false">SUM(P5401:R5401)</f>
        <v>168000</v>
      </c>
    </row>
    <row r="5402" customFormat="false" ht="15" hidden="false" customHeight="false" outlineLevel="0" collapsed="false">
      <c r="A5402" s="4" t="s">
        <v>561</v>
      </c>
      <c r="B5402" s="36" t="s">
        <v>125</v>
      </c>
      <c r="C5402" s="54" t="n">
        <f aca="false">(C5373*$C$5322+C5374*$C$5323)*Assumptions!$E$81</f>
        <v>0</v>
      </c>
      <c r="D5402" s="54" t="n">
        <f aca="false">(D5373*$C$5322+D5374*$C$5323)*Assumptions!$E$81</f>
        <v>389.765615995054</v>
      </c>
      <c r="E5402" s="54" t="n">
        <f aca="false">(E5373*$C$5322+E5374*$C$5323)*Assumptions!$E$81</f>
        <v>1072.90419995036</v>
      </c>
      <c r="F5402" s="54" t="n">
        <f aca="false">(F5373*$C$5322+F5374*$C$5323)*Assumptions!$E$81</f>
        <v>1431.06236768715</v>
      </c>
      <c r="G5402" s="54" t="n">
        <f aca="false">(G5373*$C$5322+G5374*$C$5323)*Assumptions!$E$81</f>
        <v>1573.32333057653</v>
      </c>
      <c r="H5402" s="54" t="n">
        <f aca="false">(H5373*$C$5322+H5374*$C$5323)*Assumptions!$E$81</f>
        <v>1853.48498698641</v>
      </c>
      <c r="I5402" s="54" t="n">
        <f aca="false">(I5373*$C$5322+I5374*$C$5323)*Assumptions!$E$81</f>
        <v>2194.2617642439</v>
      </c>
      <c r="J5402" s="54" t="n">
        <f aca="false">(J5373*$C$5322+J5374*$C$5323)*Assumptions!$E$81</f>
        <v>2792.52575373471</v>
      </c>
      <c r="K5402" s="54" t="n">
        <f aca="false">(K5373*$C$5322+K5374*$C$5323)*Assumptions!$E$81</f>
        <v>3575.13794843626</v>
      </c>
      <c r="L5402" s="54" t="n">
        <f aca="false">(L5373*$C$5322+L5374*$C$5323)*Assumptions!$E$81</f>
        <v>3928.87244127943</v>
      </c>
      <c r="M5402" s="54" t="n">
        <f aca="false">(M5373*$C$5322+M5374*$C$5323)*Assumptions!$E$81</f>
        <v>3879.45003563188</v>
      </c>
      <c r="N5402" s="54" t="n">
        <f aca="false">(N5373*$C$5322+N5374*$C$5323)*Assumptions!$E$81</f>
        <v>3767.06398012535</v>
      </c>
      <c r="P5402" s="55" t="n">
        <f aca="false">SUM(C5402:F5402)</f>
        <v>2893.73218363256</v>
      </c>
      <c r="Q5402" s="55" t="n">
        <f aca="false">SUM(G5402:J5402)</f>
        <v>8413.59583554155</v>
      </c>
      <c r="R5402" s="55" t="n">
        <f aca="false">SUM(K5402:N5402)</f>
        <v>15150.5244054729</v>
      </c>
      <c r="S5402" s="56" t="n">
        <f aca="false">SUM(P5402:R5402)</f>
        <v>26457.852424647</v>
      </c>
    </row>
    <row r="5403" customFormat="false" ht="15" hidden="false" customHeight="false" outlineLevel="0" collapsed="false">
      <c r="A5403" s="9" t="s">
        <v>562</v>
      </c>
      <c r="B5403" s="36" t="s">
        <v>125</v>
      </c>
      <c r="C5403" s="55" t="n">
        <f aca="false">C5395+C5396+C5397+C5398+C5399+C5400+C5401+C5402</f>
        <v>154229.464285714</v>
      </c>
      <c r="D5403" s="55" t="n">
        <f aca="false">D5395+D5396+D5397+D5398+D5399+D5400+D5401+D5402</f>
        <v>120448.037994142</v>
      </c>
      <c r="E5403" s="55" t="n">
        <f aca="false">E5395+E5396+E5397+E5398+E5399+E5400+E5401+E5402</f>
        <v>127178.216951242</v>
      </c>
      <c r="F5403" s="55" t="n">
        <f aca="false">F5395+F5396+F5397+F5398+F5399+F5400+F5401+F5402</f>
        <v>131591.928641545</v>
      </c>
      <c r="G5403" s="55" t="n">
        <f aca="false">G5395+G5396+G5397+G5398+G5399+G5400+G5401+G5402</f>
        <v>208385.799240096</v>
      </c>
      <c r="H5403" s="55" t="n">
        <f aca="false">H5395+H5396+H5397+H5398+H5399+H5400+H5401+H5402</f>
        <v>173019.303081481</v>
      </c>
      <c r="I5403" s="55" t="n">
        <f aca="false">I5395+I5396+I5397+I5398+I5399+I5400+I5401+I5402</f>
        <v>217895.092731472</v>
      </c>
      <c r="J5403" s="55" t="n">
        <f aca="false">J5395+J5396+J5397+J5398+J5399+J5400+J5401+J5402</f>
        <v>185426.941440538</v>
      </c>
      <c r="K5403" s="55" t="n">
        <f aca="false">K5395+K5396+K5397+K5398+K5399+K5400+K5401+K5402</f>
        <v>193623.672150176</v>
      </c>
      <c r="L5403" s="55" t="n">
        <f aca="false">L5395+L5396+L5397+L5398+L5399+L5400+L5401+L5402</f>
        <v>195783.096818187</v>
      </c>
      <c r="M5403" s="55" t="n">
        <f aca="false">M5395+M5396+M5397+M5398+M5399+M5400+M5401+M5402</f>
        <v>195281.058308435</v>
      </c>
      <c r="N5403" s="55" t="n">
        <f aca="false">N5395+N5396+N5397+N5398+N5399+N5400+N5401+N5402</f>
        <v>194506.512765384</v>
      </c>
      <c r="P5403" s="55" t="n">
        <f aca="false">SUM(C5403:F5403)</f>
        <v>533447.647872643</v>
      </c>
      <c r="Q5403" s="55" t="n">
        <f aca="false">SUM(G5403:J5403)</f>
        <v>784727.136493587</v>
      </c>
      <c r="R5403" s="55" t="n">
        <f aca="false">SUM(K5403:N5403)</f>
        <v>779194.340042183</v>
      </c>
      <c r="S5403" s="56" t="n">
        <f aca="false">SUM(P5403:R5403)</f>
        <v>2097369.12440841</v>
      </c>
    </row>
    <row r="5404" customFormat="false" ht="15" hidden="false" customHeight="false" outlineLevel="0" collapsed="false">
      <c r="A5404" s="4" t="s">
        <v>563</v>
      </c>
      <c r="B5404" s="36" t="s">
        <v>125</v>
      </c>
      <c r="C5404" s="54" t="n">
        <f aca="false">C5392*Assumptions!$E$72/Assumptions!$E$69/4</f>
        <v>56535.7142857143</v>
      </c>
      <c r="D5404" s="54" t="n">
        <f aca="false">D5392*Assumptions!$E$72/Assumptions!$E$69/4</f>
        <v>56535.7142857143</v>
      </c>
      <c r="E5404" s="54" t="n">
        <f aca="false">E5392*Assumptions!$E$72/Assumptions!$E$69/4</f>
        <v>56535.7142857143</v>
      </c>
      <c r="F5404" s="54" t="n">
        <f aca="false">F5392*Assumptions!$E$72/Assumptions!$E$69/4</f>
        <v>56535.7142857143</v>
      </c>
      <c r="G5404" s="54" t="n">
        <f aca="false">G5392*Assumptions!$E$72/Assumptions!$E$69/4</f>
        <v>28267.8571428571</v>
      </c>
      <c r="H5404" s="54" t="n">
        <f aca="false">H5392*Assumptions!$E$72/Assumptions!$E$69/4</f>
        <v>28267.8571428571</v>
      </c>
      <c r="I5404" s="54" t="n">
        <f aca="false">I5392*Assumptions!$E$72/Assumptions!$E$69/4</f>
        <v>28267.8571428571</v>
      </c>
      <c r="J5404" s="54" t="n">
        <f aca="false">J5392*Assumptions!$E$72/Assumptions!$E$69/4</f>
        <v>28267.8571428571</v>
      </c>
      <c r="K5404" s="54" t="n">
        <f aca="false">K5392*Assumptions!$E$72/Assumptions!$E$69/4</f>
        <v>28267.8571428571</v>
      </c>
      <c r="L5404" s="54" t="n">
        <f aca="false">L5392*Assumptions!$E$72/Assumptions!$E$69/4</f>
        <v>28267.8571428571</v>
      </c>
      <c r="M5404" s="54" t="n">
        <f aca="false">M5392*Assumptions!$E$72/Assumptions!$E$69/4</f>
        <v>28267.8571428571</v>
      </c>
      <c r="N5404" s="54" t="n">
        <f aca="false">N5392*Assumptions!$E$72/Assumptions!$E$69/4</f>
        <v>28267.8571428571</v>
      </c>
      <c r="P5404" s="55" t="n">
        <f aca="false">SUM(C5404:F5404)</f>
        <v>226142.857142857</v>
      </c>
      <c r="Q5404" s="55" t="n">
        <f aca="false">SUM(G5404:J5404)</f>
        <v>113071.428571429</v>
      </c>
      <c r="R5404" s="55" t="n">
        <f aca="false">SUM(K5404:N5404)</f>
        <v>113071.428571429</v>
      </c>
      <c r="S5404" s="56" t="n">
        <f aca="false">SUM(P5404:R5404)</f>
        <v>452285.714285714</v>
      </c>
    </row>
    <row r="5405" customFormat="false" ht="15" hidden="false" customHeight="false" outlineLevel="0" collapsed="false">
      <c r="A5405" s="4" t="s">
        <v>564</v>
      </c>
      <c r="B5405" s="36" t="s">
        <v>125</v>
      </c>
      <c r="C5405" s="54" t="n">
        <f aca="false">IF(C5330&lt;=Assumptions!$E$83,Assumptions!$E$82*Assumptions!$D$108/Assumptions!$E$83,0)</f>
        <v>62500</v>
      </c>
      <c r="D5405" s="54" t="n">
        <f aca="false">IF(D5330&lt;=Assumptions!$E$83,Assumptions!$E$82*Assumptions!$D$108/Assumptions!$E$83,0)</f>
        <v>62500</v>
      </c>
      <c r="E5405" s="54" t="n">
        <f aca="false">IF(E5330&lt;=Assumptions!$E$83,Assumptions!$E$82*Assumptions!$D$108/Assumptions!$E$83,0)</f>
        <v>62500</v>
      </c>
      <c r="F5405" s="54" t="n">
        <f aca="false">IF(F5330&lt;=Assumptions!$E$83,Assumptions!$E$82*Assumptions!$D$108/Assumptions!$E$83,0)</f>
        <v>62500</v>
      </c>
      <c r="G5405" s="54" t="n">
        <f aca="false">IF(G5330&lt;=Assumptions!$E$83,Assumptions!$E$82*Assumptions!$D$108/Assumptions!$E$83,0)</f>
        <v>0</v>
      </c>
      <c r="H5405" s="54" t="n">
        <f aca="false">IF(H5330&lt;=Assumptions!$E$83,Assumptions!$E$82*Assumptions!$D$108/Assumptions!$E$83,0)</f>
        <v>0</v>
      </c>
      <c r="I5405" s="54" t="n">
        <f aca="false">IF(I5330&lt;=Assumptions!$E$83,Assumptions!$E$82*Assumptions!$D$108/Assumptions!$E$83,0)</f>
        <v>0</v>
      </c>
      <c r="J5405" s="54" t="n">
        <f aca="false">IF(J5330&lt;=Assumptions!$E$83,Assumptions!$E$82*Assumptions!$D$108/Assumptions!$E$83,0)</f>
        <v>0</v>
      </c>
      <c r="K5405" s="54" t="n">
        <f aca="false">IF(K5330&lt;=Assumptions!$E$83,Assumptions!$E$82*Assumptions!$D$108/Assumptions!$E$83,0)</f>
        <v>0</v>
      </c>
      <c r="L5405" s="54" t="n">
        <f aca="false">IF(L5330&lt;=Assumptions!$E$83,Assumptions!$E$82*Assumptions!$D$108/Assumptions!$E$83,0)</f>
        <v>0</v>
      </c>
      <c r="M5405" s="54" t="n">
        <f aca="false">IF(M5330&lt;=Assumptions!$E$83,Assumptions!$E$82*Assumptions!$D$108/Assumptions!$E$83,0)</f>
        <v>0</v>
      </c>
      <c r="N5405" s="54" t="n">
        <f aca="false">IF(N5330&lt;=Assumptions!$E$83,Assumptions!$E$82*Assumptions!$D$108/Assumptions!$E$83,0)</f>
        <v>0</v>
      </c>
      <c r="P5405" s="55" t="n">
        <f aca="false">SUM(C5405:F5405)</f>
        <v>250000</v>
      </c>
      <c r="Q5405" s="55" t="n">
        <f aca="false">SUM(G5405:J5405)</f>
        <v>0</v>
      </c>
      <c r="R5405" s="55" t="n">
        <f aca="false">SUM(K5405:N5405)</f>
        <v>0</v>
      </c>
      <c r="S5405" s="56" t="n">
        <f aca="false">SUM(P5405:R5405)</f>
        <v>250000</v>
      </c>
    </row>
    <row r="5406" customFormat="false" ht="15" hidden="false" customHeight="false" outlineLevel="0" collapsed="false">
      <c r="A5406" s="4" t="s">
        <v>565</v>
      </c>
      <c r="B5406" s="36" t="s">
        <v>125</v>
      </c>
      <c r="C5406" s="54" t="n">
        <f aca="false">C5394*Assumptions!$E$73/Assumptions!$E$69/4</f>
        <v>0</v>
      </c>
      <c r="D5406" s="54" t="n">
        <f aca="false">D5394*Assumptions!$E$73/Assumptions!$E$69/4</f>
        <v>437.955727522301</v>
      </c>
      <c r="E5406" s="54" t="n">
        <f aca="false">E5394*Assumptions!$E$73/Assumptions!$E$69/4</f>
        <v>1220.21317546292</v>
      </c>
      <c r="F5406" s="54" t="n">
        <f aca="false">F5394*Assumptions!$E$73/Assumptions!$E$69/4</f>
        <v>2089.76973861231</v>
      </c>
      <c r="G5406" s="54" t="n">
        <f aca="false">G5394*Assumptions!$E$73/Assumptions!$E$69/4</f>
        <v>3022.43764871442</v>
      </c>
      <c r="H5406" s="54" t="n">
        <f aca="false">H5394*Assumptions!$E$73/Assumptions!$E$69/4</f>
        <v>4178.89305233491</v>
      </c>
      <c r="I5406" s="54" t="n">
        <f aca="false">I5394*Assumptions!$E$73/Assumptions!$E$69/4</f>
        <v>5545.43592766014</v>
      </c>
      <c r="J5406" s="54" t="n">
        <f aca="false">J5394*Assumptions!$E$73/Assumptions!$E$69/4</f>
        <v>7458.492904427</v>
      </c>
      <c r="K5406" s="54" t="n">
        <f aca="false">K5394*Assumptions!$E$73/Assumptions!$E$69/4</f>
        <v>9879.48913473117</v>
      </c>
      <c r="L5406" s="54" t="n">
        <f aca="false">L5394*Assumptions!$E$73/Assumptions!$E$69/4</f>
        <v>12287.456240707</v>
      </c>
      <c r="M5406" s="54" t="n">
        <f aca="false">M5394*Assumptions!$E$73/Assumptions!$E$69/4</f>
        <v>14556.6321518782</v>
      </c>
      <c r="N5406" s="54" t="n">
        <f aca="false">N5394*Assumptions!$E$73/Assumptions!$E$69/4</f>
        <v>16688.7475579799</v>
      </c>
      <c r="P5406" s="55" t="n">
        <f aca="false">SUM(C5406:F5406)</f>
        <v>3747.93864159753</v>
      </c>
      <c r="Q5406" s="55" t="n">
        <f aca="false">SUM(G5406:J5406)</f>
        <v>20205.2595331365</v>
      </c>
      <c r="R5406" s="55" t="n">
        <f aca="false">SUM(K5406:N5406)</f>
        <v>53412.3250852963</v>
      </c>
      <c r="S5406" s="56" t="n">
        <f aca="false">SUM(P5406:R5406)</f>
        <v>77365.5232600303</v>
      </c>
    </row>
    <row r="5407" customFormat="false" ht="15" hidden="false" customHeight="false" outlineLevel="0" collapsed="false">
      <c r="A5407" s="9" t="s">
        <v>566</v>
      </c>
      <c r="B5407" s="36" t="s">
        <v>125</v>
      </c>
      <c r="C5407" s="55" t="n">
        <f aca="false">C5403+C5404+C5405+C5406</f>
        <v>273265.178571429</v>
      </c>
      <c r="D5407" s="55" t="n">
        <f aca="false">D5403+D5404+D5405+D5406</f>
        <v>239921.708007378</v>
      </c>
      <c r="E5407" s="55" t="n">
        <f aca="false">E5403+E5404+E5405+E5406</f>
        <v>247434.144412419</v>
      </c>
      <c r="F5407" s="55" t="n">
        <f aca="false">F5403+F5404+F5405+F5406</f>
        <v>252717.412665871</v>
      </c>
      <c r="G5407" s="55" t="n">
        <f aca="false">G5403+G5404+G5405+G5406</f>
        <v>239676.094031668</v>
      </c>
      <c r="H5407" s="55" t="n">
        <f aca="false">H5403+H5404+H5405+H5406</f>
        <v>205466.053276673</v>
      </c>
      <c r="I5407" s="55" t="n">
        <f aca="false">I5403+I5404+I5405+I5406</f>
        <v>251708.385801989</v>
      </c>
      <c r="J5407" s="55" t="n">
        <f aca="false">J5403+J5404+J5405+J5406</f>
        <v>221153.291487822</v>
      </c>
      <c r="K5407" s="55" t="n">
        <f aca="false">K5403+K5404+K5405+K5406</f>
        <v>231771.018427764</v>
      </c>
      <c r="L5407" s="55" t="n">
        <f aca="false">L5403+L5404+L5405+L5406</f>
        <v>236338.410201752</v>
      </c>
      <c r="M5407" s="55" t="n">
        <f aca="false">M5403+M5404+M5405+M5406</f>
        <v>238105.547603171</v>
      </c>
      <c r="N5407" s="55" t="n">
        <f aca="false">N5403+N5404+N5405+N5406</f>
        <v>239463.117466221</v>
      </c>
      <c r="P5407" s="55" t="n">
        <f aca="false">SUM(C5407:F5407)</f>
        <v>1013338.4436571</v>
      </c>
      <c r="Q5407" s="55" t="n">
        <f aca="false">SUM(G5407:J5407)</f>
        <v>918003.824598152</v>
      </c>
      <c r="R5407" s="55" t="n">
        <f aca="false">SUM(K5407:N5407)</f>
        <v>945678.093698908</v>
      </c>
      <c r="S5407" s="56" t="n">
        <f aca="false">SUM(P5407:R5407)</f>
        <v>2877020.36195416</v>
      </c>
    </row>
    <row r="5408" customFormat="false" ht="15" hidden="false" customHeight="false" outlineLevel="0" collapsed="false">
      <c r="A5408" s="35" t="s">
        <v>567</v>
      </c>
      <c r="B5408" s="35" t="s">
        <v>444</v>
      </c>
      <c r="C5408" s="6" t="s">
        <v>354</v>
      </c>
      <c r="D5408" s="6" t="s">
        <v>355</v>
      </c>
      <c r="E5408" s="6" t="s">
        <v>356</v>
      </c>
      <c r="F5408" s="6" t="s">
        <v>357</v>
      </c>
      <c r="G5408" s="6" t="s">
        <v>358</v>
      </c>
      <c r="H5408" s="6" t="s">
        <v>359</v>
      </c>
      <c r="I5408" s="6" t="s">
        <v>360</v>
      </c>
      <c r="J5408" s="6" t="s">
        <v>361</v>
      </c>
      <c r="K5408" s="6" t="s">
        <v>362</v>
      </c>
      <c r="L5408" s="6" t="s">
        <v>363</v>
      </c>
      <c r="M5408" s="6" t="s">
        <v>364</v>
      </c>
      <c r="N5408" s="6" t="s">
        <v>365</v>
      </c>
      <c r="P5408" s="6" t="s">
        <v>445</v>
      </c>
      <c r="Q5408" s="6" t="s">
        <v>446</v>
      </c>
      <c r="R5408" s="6" t="s">
        <v>447</v>
      </c>
      <c r="S5408" s="6" t="s">
        <v>448</v>
      </c>
    </row>
    <row r="5409" customFormat="false" ht="15" hidden="false" customHeight="false" outlineLevel="0" collapsed="false">
      <c r="A5409" s="9" t="s">
        <v>568</v>
      </c>
      <c r="B5409" s="36" t="s">
        <v>125</v>
      </c>
      <c r="C5409" s="55" t="n">
        <f aca="false">C5387-C5407</f>
        <v>-273265.178571429</v>
      </c>
      <c r="D5409" s="55" t="n">
        <f aca="false">D5387-D5407</f>
        <v>-239248.773324975</v>
      </c>
      <c r="E5409" s="55" t="n">
        <f aca="false">E5387-E5407</f>
        <v>-244712.439314895</v>
      </c>
      <c r="F5409" s="55" t="n">
        <f aca="false">F5387-F5407</f>
        <v>-246955.022261437</v>
      </c>
      <c r="G5409" s="55" t="n">
        <f aca="false">G5387-G5407</f>
        <v>-230403.783674617</v>
      </c>
      <c r="H5409" s="55" t="n">
        <f aca="false">H5387-H5407</f>
        <v>-192060.329417311</v>
      </c>
      <c r="I5409" s="55" t="n">
        <f aca="false">I5387-I5407</f>
        <v>-233263.835495934</v>
      </c>
      <c r="J5409" s="55" t="n">
        <f aca="false">J5387-J5407</f>
        <v>-196163.471611697</v>
      </c>
      <c r="K5409" s="55" t="n">
        <f aca="false">K5387-K5407</f>
        <v>-198104.335480031</v>
      </c>
      <c r="L5409" s="55" t="n">
        <f aca="false">L5387-L5407</f>
        <v>-192646.59934802</v>
      </c>
      <c r="M5409" s="55" t="n">
        <f aca="false">M5387-M5407</f>
        <v>-184180.109365213</v>
      </c>
      <c r="N5409" s="55" t="n">
        <f aca="false">N5387-N5407</f>
        <v>-175435.898677678</v>
      </c>
      <c r="P5409" s="55" t="n">
        <f aca="false">SUM(C5409:F5409)</f>
        <v>-1004181.41347274</v>
      </c>
      <c r="Q5409" s="55" t="n">
        <f aca="false">SUM(G5409:J5409)</f>
        <v>-851891.420199559</v>
      </c>
      <c r="R5409" s="55" t="n">
        <f aca="false">SUM(K5409:N5409)</f>
        <v>-750366.942870942</v>
      </c>
      <c r="S5409" s="56" t="n">
        <f aca="false">SUM(P5409:R5409)</f>
        <v>-2606439.77654324</v>
      </c>
    </row>
    <row r="5410" customFormat="false" ht="15" hidden="false" customHeight="false" outlineLevel="0" collapsed="false">
      <c r="A5410" s="9" t="s">
        <v>569</v>
      </c>
      <c r="B5410" s="36" t="s">
        <v>125</v>
      </c>
      <c r="C5410" s="55" t="n">
        <f aca="false">0+C5409</f>
        <v>-273265.178571429</v>
      </c>
      <c r="D5410" s="55" t="n">
        <f aca="false">C5410+D5409</f>
        <v>-512513.951896404</v>
      </c>
      <c r="E5410" s="55" t="n">
        <f aca="false">D5410+E5409</f>
        <v>-757226.391211298</v>
      </c>
      <c r="F5410" s="55" t="n">
        <f aca="false">E5410+F5409</f>
        <v>-1004181.41347274</v>
      </c>
      <c r="G5410" s="55" t="n">
        <f aca="false">F5410+G5409</f>
        <v>-1234585.19714735</v>
      </c>
      <c r="H5410" s="55" t="n">
        <f aca="false">G5410+H5409</f>
        <v>-1426645.52656466</v>
      </c>
      <c r="I5410" s="55" t="n">
        <f aca="false">H5410+I5409</f>
        <v>-1659909.3620606</v>
      </c>
      <c r="J5410" s="55" t="n">
        <f aca="false">I5410+J5409</f>
        <v>-1856072.83367229</v>
      </c>
      <c r="K5410" s="55" t="n">
        <f aca="false">J5410+K5409</f>
        <v>-2054177.16915232</v>
      </c>
      <c r="L5410" s="55" t="n">
        <f aca="false">K5410+L5409</f>
        <v>-2246823.76850035</v>
      </c>
      <c r="M5410" s="55" t="n">
        <f aca="false">L5410+M5409</f>
        <v>-2431003.87786556</v>
      </c>
      <c r="N5410" s="55" t="n">
        <f aca="false">M5410+N5409</f>
        <v>-2606439.77654324</v>
      </c>
      <c r="P5410" s="55" t="n">
        <f aca="false">F5410</f>
        <v>-1004181.41347274</v>
      </c>
      <c r="Q5410" s="55" t="n">
        <f aca="false">J5410</f>
        <v>-1856072.83367229</v>
      </c>
      <c r="R5410" s="55" t="n">
        <f aca="false">N5410</f>
        <v>-2606439.77654324</v>
      </c>
      <c r="S5410" s="56" t="n">
        <f aca="false">R5410</f>
        <v>-2606439.77654324</v>
      </c>
    </row>
    <row r="5411" customFormat="false" ht="15" hidden="false" customHeight="false" outlineLevel="0" collapsed="false">
      <c r="A5411" s="4" t="s">
        <v>570</v>
      </c>
      <c r="B5411" s="36" t="s">
        <v>107</v>
      </c>
      <c r="C5411" s="57" t="n">
        <f aca="false">1/(1+Assumptions!$E$87)^(C5330/4)</f>
        <v>0.972065420906982</v>
      </c>
      <c r="D5411" s="57" t="n">
        <f aca="false">1/(1+Assumptions!$E$87)^(D5330/4)</f>
        <v>0.944911182523068</v>
      </c>
      <c r="E5411" s="57" t="n">
        <f aca="false">1/(1+Assumptions!$E$87)^(E5330/4)</f>
        <v>0.918515486359</v>
      </c>
      <c r="F5411" s="57" t="n">
        <f aca="false">1/(1+Assumptions!$E$87)^(F5330/4)</f>
        <v>0.892857142857143</v>
      </c>
      <c r="G5411" s="57" t="n">
        <f aca="false">1/(1+Assumptions!$E$87)^(G5330/4)</f>
        <v>0.867915554381234</v>
      </c>
      <c r="H5411" s="57" t="n">
        <f aca="false">1/(1+Assumptions!$E$87)^(H5330/4)</f>
        <v>0.843670698681311</v>
      </c>
      <c r="I5411" s="57" t="n">
        <f aca="false">1/(1+Assumptions!$E$87)^(I5330/4)</f>
        <v>0.820103112820536</v>
      </c>
      <c r="J5411" s="57" t="n">
        <f aca="false">1/(1+Assumptions!$E$87)^(J5330/4)</f>
        <v>0.79719387755102</v>
      </c>
      <c r="K5411" s="57" t="n">
        <f aca="false">1/(1+Assumptions!$E$87)^(K5330/4)</f>
        <v>0.774924602126102</v>
      </c>
      <c r="L5411" s="57" t="n">
        <f aca="false">1/(1+Assumptions!$E$87)^(L5330/4)</f>
        <v>0.753277409536885</v>
      </c>
      <c r="M5411" s="57" t="n">
        <f aca="false">1/(1+Assumptions!$E$87)^(M5330/4)</f>
        <v>0.732234922161193</v>
      </c>
      <c r="N5411" s="57" t="n">
        <f aca="false">1/(1+Assumptions!$E$87)^(N5330/4)</f>
        <v>0.711780247813411</v>
      </c>
      <c r="P5411" s="58"/>
      <c r="Q5411" s="58"/>
      <c r="R5411" s="58"/>
      <c r="S5411" s="59"/>
    </row>
    <row r="5412" customFormat="false" ht="15" hidden="false" customHeight="false" outlineLevel="0" collapsed="false">
      <c r="A5412" s="4" t="s">
        <v>571</v>
      </c>
      <c r="B5412" s="36" t="s">
        <v>125</v>
      </c>
      <c r="C5412" s="54" t="n">
        <f aca="false">(C5387*(1-Assumptions!$E$88)-C5407)*C5411</f>
        <v>-265631.630827257</v>
      </c>
      <c r="D5412" s="54" t="n">
        <f aca="false">(D5387*(1-Assumptions!$E$88)-D5407)*D5411</f>
        <v>-226196.014020998</v>
      </c>
      <c r="E5412" s="54" t="n">
        <f aca="false">(E5387*(1-Assumptions!$E$88)-E5407)*E5411</f>
        <v>-225272.150871694</v>
      </c>
      <c r="F5412" s="54" t="n">
        <f aca="false">(F5387*(1-Assumptions!$E$88)-F5407)*F5411</f>
        <v>-221524.553877075</v>
      </c>
      <c r="G5412" s="54" t="n">
        <f aca="false">(G5387*(1-Assumptions!$E$88)-G5407)*G5411</f>
        <v>-201580.544116276</v>
      </c>
      <c r="H5412" s="54" t="n">
        <f aca="false">(H5387*(1-Assumptions!$E$88)-H5407)*H5411</f>
        <v>-164297.675591417</v>
      </c>
      <c r="I5412" s="54" t="n">
        <f aca="false">(I5387*(1-Assumptions!$E$88)-I5407)*I5411</f>
        <v>-194325.684222787</v>
      </c>
      <c r="J5412" s="54" t="n">
        <f aca="false">(J5387*(1-Assumptions!$E$88)-J5407)*J5411</f>
        <v>-160364.664849268</v>
      </c>
      <c r="K5412" s="54" t="n">
        <f aca="false">(K5387*(1-Assumptions!$E$88)-K5407)*K5411</f>
        <v>-158733.751528954</v>
      </c>
      <c r="L5412" s="54" t="n">
        <f aca="false">(L5387*(1-Assumptions!$E$88)-L5407)*L5411</f>
        <v>-151698.742132542</v>
      </c>
      <c r="M5412" s="54" t="n">
        <f aca="false">(M5387*(1-Assumptions!$E$88)-M5407)*M5411</f>
        <v>-142760.325858812</v>
      </c>
      <c r="N5412" s="54" t="n">
        <f aca="false">(N5387*(1-Assumptions!$E$88)-N5407)*N5411</f>
        <v>-133986.469367389</v>
      </c>
      <c r="P5412" s="55" t="n">
        <f aca="false">SUM(C5412:F5412)</f>
        <v>-938624.349597023</v>
      </c>
      <c r="Q5412" s="55" t="n">
        <f aca="false">SUM(G5412:J5412)</f>
        <v>-720568.568779748</v>
      </c>
      <c r="R5412" s="55" t="n">
        <f aca="false">SUM(K5412:N5412)</f>
        <v>-587179.288887697</v>
      </c>
      <c r="S5412" s="56" t="n">
        <f aca="false">SUM(P5412:R5412)</f>
        <v>-2246372.20726447</v>
      </c>
    </row>
    <row r="5413" customFormat="false" ht="15" hidden="false" customHeight="false" outlineLevel="0" collapsed="false">
      <c r="A5413" s="4" t="s">
        <v>572</v>
      </c>
      <c r="B5413" s="36" t="s">
        <v>125</v>
      </c>
      <c r="C5413" s="54" t="n">
        <f aca="false">(C5407-C5406)*12/(Assumptions!$E$89*Assumptions!$E$76)*Assumptions!$E$90</f>
        <v>189183.585164835</v>
      </c>
      <c r="D5413" s="54" t="n">
        <f aca="false">(D5407-D5406)*12/(Assumptions!$E$89*Assumptions!$E$76)*Assumptions!$E$90</f>
        <v>165796.443886054</v>
      </c>
      <c r="E5413" s="54" t="n">
        <f aca="false">(E5407-E5406)*12/(Assumptions!$E$89*Assumptions!$E$76)*Assumptions!$E$90</f>
        <v>170455.798548662</v>
      </c>
      <c r="F5413" s="54" t="n">
        <f aca="false">(F5407-F5406)*12/(Assumptions!$E$89*Assumptions!$E$76)*Assumptions!$E$90</f>
        <v>173511.445103487</v>
      </c>
      <c r="G5413" s="54" t="n">
        <f aca="false">(G5407-G5406)*12/(Assumptions!$E$89*Assumptions!$E$76)*Assumptions!$E$90</f>
        <v>163837.14672666</v>
      </c>
      <c r="H5413" s="54" t="n">
        <f aca="false">(H5407-H5406)*12/(Assumptions!$E$89*Assumptions!$E$76)*Assumptions!$E$90</f>
        <v>139352.64938608</v>
      </c>
      <c r="I5413" s="54" t="n">
        <f aca="false">(I5407-I5406)*12/(Assumptions!$E$89*Assumptions!$E$76)*Assumptions!$E$90</f>
        <v>170420.503759151</v>
      </c>
      <c r="J5413" s="54" t="n">
        <f aca="false">(J5407-J5406)*12/(Assumptions!$E$89*Assumptions!$E$76)*Assumptions!$E$90</f>
        <v>147942.552865428</v>
      </c>
      <c r="K5413" s="54" t="n">
        <f aca="false">(K5407-K5406)*12/(Assumptions!$E$89*Assumptions!$E$76)*Assumptions!$E$90</f>
        <v>153617.212587485</v>
      </c>
      <c r="L5413" s="54" t="n">
        <f aca="false">(L5407-L5406)*12/(Assumptions!$E$89*Assumptions!$E$76)*Assumptions!$E$90</f>
        <v>155112.198896108</v>
      </c>
      <c r="M5413" s="54" t="n">
        <f aca="false">(M5407-M5406)*12/(Assumptions!$E$89*Assumptions!$E$76)*Assumptions!$E$90</f>
        <v>154764.633773972</v>
      </c>
      <c r="N5413" s="54" t="n">
        <f aca="false">(N5407-N5406)*12/(Assumptions!$E$89*Assumptions!$E$76)*Assumptions!$E$90</f>
        <v>154228.409936475</v>
      </c>
      <c r="P5413" s="55" t="n">
        <f aca="false">SUM(C5413:F5413)</f>
        <v>698947.272703038</v>
      </c>
      <c r="Q5413" s="55" t="n">
        <f aca="false">SUM(G5413:J5413)</f>
        <v>621552.852737319</v>
      </c>
      <c r="R5413" s="55" t="n">
        <f aca="false">SUM(K5413:N5413)</f>
        <v>617722.455194039</v>
      </c>
      <c r="S5413" s="56" t="n">
        <f aca="false">SUM(P5413:R5413)</f>
        <v>1938222.5806344</v>
      </c>
    </row>
    <row r="5414" customFormat="false" ht="15" hidden="false" customHeight="false" outlineLevel="0" collapsed="false">
      <c r="A5414" s="4" t="s">
        <v>573</v>
      </c>
      <c r="B5414" s="36" t="s">
        <v>125</v>
      </c>
      <c r="C5414" s="54" t="n">
        <f aca="false">0*Assumptions!$E$92^(1/4)+C5413</f>
        <v>189183.585164835</v>
      </c>
      <c r="D5414" s="54" t="n">
        <f aca="false">C5414*Assumptions!$E$92^(1/4)+D5413</f>
        <v>355451.224693068</v>
      </c>
      <c r="E5414" s="54" t="n">
        <f aca="false">D5414*Assumptions!$E$92^(1/4)+E5413</f>
        <v>526792.338254324</v>
      </c>
      <c r="F5414" s="54" t="n">
        <f aca="false">E5414*Assumptions!$E$92^(1/4)+F5413</f>
        <v>701615.854137644</v>
      </c>
      <c r="G5414" s="54" t="n">
        <f aca="false">F5414*Assumptions!$E$92^(1/4)+G5413</f>
        <v>867200.500958804</v>
      </c>
      <c r="H5414" s="54" t="n">
        <f aca="false">G5414*Assumptions!$E$92^(1/4)+H5413</f>
        <v>1008713.06869399</v>
      </c>
      <c r="I5414" s="54" t="n">
        <f aca="false">H5414*Assumptions!$E$92^(1/4)+I5413</f>
        <v>1181645.95322742</v>
      </c>
      <c r="J5414" s="54" t="n">
        <f aca="false">I5414*Assumptions!$E$92^(1/4)+J5413</f>
        <v>1332531.60722541</v>
      </c>
      <c r="K5414" s="54" t="n">
        <f aca="false">J5414*Assumptions!$E$92^(1/4)+K5413</f>
        <v>1489467.72872269</v>
      </c>
      <c r="L5414" s="54" t="n">
        <f aca="false">K5414*Assumptions!$E$92^(1/4)+L5413</f>
        <v>1648289.71408007</v>
      </c>
      <c r="M5414" s="54" t="n">
        <f aca="false">L5414*Assumptions!$E$92^(1/4)+M5413</f>
        <v>1807159.70894891</v>
      </c>
      <c r="N5414" s="54" t="n">
        <f aca="false">M5414*Assumptions!$E$92^(1/4)+N5413</f>
        <v>1965889.17419014</v>
      </c>
      <c r="P5414" s="55" t="n">
        <f aca="false">F5414</f>
        <v>701615.854137644</v>
      </c>
      <c r="Q5414" s="55" t="n">
        <f aca="false">J5414</f>
        <v>1332531.60722541</v>
      </c>
      <c r="R5414" s="55" t="n">
        <f aca="false">N5414</f>
        <v>1965889.17419014</v>
      </c>
      <c r="S5414" s="56" t="n">
        <f aca="false">R5414</f>
        <v>1965889.17419014</v>
      </c>
    </row>
    <row r="5415" customFormat="false" ht="15" hidden="false" customHeight="false" outlineLevel="0" collapsed="false">
      <c r="A5415" s="4" t="s">
        <v>574</v>
      </c>
      <c r="B5415" s="36" t="s">
        <v>125</v>
      </c>
      <c r="C5415" s="54" t="n">
        <f aca="false">(0+C5414)/8*Assumptions!$E$76-(C5407-C5406)-C5414*Assumptions!$E$93/4</f>
        <v>-260258.807091346</v>
      </c>
      <c r="D5415" s="54" t="n">
        <f aca="false">(C5414+D5414)/8*Assumptions!$E$76-(D5407-D5406)-D5414*Assumptions!$E$93/4</f>
        <v>-199675.314287565</v>
      </c>
      <c r="E5415" s="54" t="n">
        <f aca="false">(D5414+E5414)/8*Assumptions!$E$76-(E5407-E5406)-E5414*Assumptions!$E$93/4</f>
        <v>-181116.54597566</v>
      </c>
      <c r="F5415" s="54" t="n">
        <f aca="false">(E5414+F5414)/8*Assumptions!$E$76-(F5407-F5406)-F5414*Assumptions!$E$93/4</f>
        <v>-159589.675472132</v>
      </c>
      <c r="G5415" s="54" t="n">
        <f aca="false">(F5414+G5414)/8*Assumptions!$E$76-(G5407-G5406)-G5414*Assumptions!$E$93/4</f>
        <v>-120027.333793352</v>
      </c>
      <c r="H5415" s="54" t="n">
        <f aca="false">(G5414+H5414)/8*Assumptions!$E$76-(H5407-H5406)-H5414*Assumptions!$E$93/4</f>
        <v>-61478.0960487235</v>
      </c>
      <c r="I5415" s="54" t="n">
        <f aca="false">(H5414+I5414)/8*Assumptions!$E$76-(I5407-I5406)-I5414*Assumptions!$E$93/4</f>
        <v>-82966.8537585568</v>
      </c>
      <c r="J5415" s="54" t="n">
        <f aca="false">(I5414+J5414)/8*Assumptions!$E$76-(J5407-J5406)-J5414*Assumptions!$E$93/4</f>
        <v>-26074.5168869205</v>
      </c>
      <c r="K5415" s="54" t="n">
        <f aca="false">(J5414+K5414)/8*Assumptions!$E$76-(K5407-K5406)-K5414*Assumptions!$E$93/4</f>
        <v>-11222.4298562844</v>
      </c>
      <c r="L5415" s="54" t="n">
        <f aca="false">(K5414+L5414)/8*Assumptions!$E$76-(L5407-L5406)-L5414*Assumptions!$E$93/4</f>
        <v>10288.2168406785</v>
      </c>
      <c r="M5415" s="54" t="n">
        <f aca="false">(L5414+M5414)/8*Assumptions!$E$76-(M5407-M5406)-M5414*Assumptions!$E$93/4</f>
        <v>34616.8538079511</v>
      </c>
      <c r="N5415" s="54" t="n">
        <f aca="false">(M5414+N5414)/8*Assumptions!$E$76-(N5407-N5406)-N5414*Assumptions!$E$93/4</f>
        <v>59212.2371694297</v>
      </c>
      <c r="P5415" s="55" t="n">
        <f aca="false">SUM(C5415:F5415)</f>
        <v>-800640.342826703</v>
      </c>
      <c r="Q5415" s="55" t="n">
        <f aca="false">SUM(G5415:J5415)</f>
        <v>-290546.800487553</v>
      </c>
      <c r="R5415" s="55" t="n">
        <f aca="false">SUM(K5415:N5415)</f>
        <v>92894.8779617748</v>
      </c>
      <c r="S5415" s="56" t="n">
        <f aca="false">SUM(P5415:R5415)</f>
        <v>-998292.265352481</v>
      </c>
    </row>
    <row r="5416" customFormat="false" ht="15" hidden="false" customHeight="false" outlineLevel="0" collapsed="false">
      <c r="A5416" s="4" t="s">
        <v>575</v>
      </c>
      <c r="B5416" s="36" t="s">
        <v>125</v>
      </c>
      <c r="C5416" s="54" t="n">
        <f aca="false">C5415*C5411</f>
        <v>-252988.586859998</v>
      </c>
      <c r="D5416" s="54" t="n">
        <f aca="false">D5415*D5411</f>
        <v>-188675.437344128</v>
      </c>
      <c r="E5416" s="54" t="n">
        <f aca="false">E5415*E5411</f>
        <v>-166358.352314496</v>
      </c>
      <c r="F5416" s="54" t="n">
        <f aca="false">F5415*F5411</f>
        <v>-142490.781671547</v>
      </c>
      <c r="G5416" s="54" t="n">
        <f aca="false">G5415*G5411</f>
        <v>-104173.589950158</v>
      </c>
      <c r="H5416" s="54" t="n">
        <f aca="false">H5415*H5411</f>
        <v>-51867.2682470233</v>
      </c>
      <c r="I5416" s="54" t="n">
        <f aca="false">I5415*I5411</f>
        <v>-68041.3750283186</v>
      </c>
      <c r="J5416" s="54" t="n">
        <f aca="false">J5415*J5411</f>
        <v>-20786.4452223537</v>
      </c>
      <c r="K5416" s="54" t="n">
        <f aca="false">K5415*K5411</f>
        <v>-8696.53699126928</v>
      </c>
      <c r="L5416" s="54" t="n">
        <f aca="false">L5415*L5411</f>
        <v>7749.88133050006</v>
      </c>
      <c r="M5416" s="54" t="n">
        <f aca="false">M5415*M5411</f>
        <v>25347.6692535304</v>
      </c>
      <c r="N5416" s="54" t="n">
        <f aca="false">N5415*N5411</f>
        <v>42146.1008460431</v>
      </c>
      <c r="P5416" s="55" t="n">
        <f aca="false">SUM(C5416:F5416)</f>
        <v>-750513.158190169</v>
      </c>
      <c r="Q5416" s="55" t="n">
        <f aca="false">SUM(G5416:J5416)</f>
        <v>-244868.678447854</v>
      </c>
      <c r="R5416" s="55" t="n">
        <f aca="false">SUM(K5416:N5416)</f>
        <v>66547.1144388043</v>
      </c>
      <c r="S5416" s="56" t="n">
        <f aca="false">SUM(P5416:R5416)</f>
        <v>-928834.722199218</v>
      </c>
    </row>
    <row r="5417" customFormat="false" ht="15" hidden="false" customHeight="false" outlineLevel="0" collapsed="false">
      <c r="A5417" s="4" t="s">
        <v>576</v>
      </c>
      <c r="B5417" s="36"/>
      <c r="C5417" s="37" t="n">
        <f aca="false">IFERROR((S5372*$C$5321*Assumptions!$E$59+S5373*$C$5322*Assumptions!$E$60+S5374*$C$5323*Assumptions!$E$61)/(S5372*$C$5321+S5373*$C$5322+S5374*$C$5323),0.9)</f>
        <v>0.892435895396967</v>
      </c>
    </row>
    <row r="5418" customFormat="false" ht="15" hidden="false" customHeight="false" outlineLevel="0" collapsed="false">
      <c r="A5418" s="4" t="s">
        <v>577</v>
      </c>
      <c r="B5418" s="36"/>
      <c r="C5418" s="37" t="n">
        <f aca="false">IFERROR(N5406*4/N5384,0)</f>
        <v>0.1571253431867</v>
      </c>
    </row>
    <row r="5419" customFormat="false" ht="15" hidden="false" customHeight="false" outlineLevel="0" collapsed="false">
      <c r="A5419" s="4" t="s">
        <v>578</v>
      </c>
      <c r="B5419" s="36"/>
      <c r="C5419" s="60" t="n">
        <f aca="false">$C$5417/(1+Assumptions!$E$87)</f>
        <v>0.796817763747292</v>
      </c>
    </row>
    <row r="5420" customFormat="false" ht="15" hidden="false" customHeight="false" outlineLevel="0" collapsed="false">
      <c r="A5420" s="4" t="s">
        <v>579</v>
      </c>
      <c r="B5420" s="36"/>
      <c r="C5420" s="60" t="n">
        <f aca="false">Assumptions!$E$91/(1+Assumptions!$E$87)</f>
        <v>0.803571428571429</v>
      </c>
    </row>
    <row r="5421" customFormat="false" ht="15" hidden="false" customHeight="false" outlineLevel="0" collapsed="false">
      <c r="A5421" s="35" t="s">
        <v>580</v>
      </c>
      <c r="B5421" s="35" t="s">
        <v>444</v>
      </c>
      <c r="C5421" s="6" t="s">
        <v>354</v>
      </c>
      <c r="D5421" s="6" t="s">
        <v>355</v>
      </c>
      <c r="E5421" s="6" t="s">
        <v>356</v>
      </c>
      <c r="F5421" s="6" t="s">
        <v>357</v>
      </c>
      <c r="G5421" s="6" t="s">
        <v>358</v>
      </c>
      <c r="H5421" s="6" t="s">
        <v>359</v>
      </c>
      <c r="I5421" s="6" t="s">
        <v>360</v>
      </c>
      <c r="J5421" s="6" t="s">
        <v>361</v>
      </c>
      <c r="K5421" s="6" t="s">
        <v>362</v>
      </c>
      <c r="L5421" s="6" t="s">
        <v>363</v>
      </c>
      <c r="M5421" s="6" t="s">
        <v>364</v>
      </c>
      <c r="N5421" s="6" t="s">
        <v>365</v>
      </c>
      <c r="P5421" s="6" t="s">
        <v>445</v>
      </c>
      <c r="Q5421" s="6" t="s">
        <v>446</v>
      </c>
      <c r="R5421" s="6" t="s">
        <v>447</v>
      </c>
      <c r="S5421" s="6" t="s">
        <v>448</v>
      </c>
    </row>
    <row r="5422" customFormat="false" ht="15" hidden="false" customHeight="false" outlineLevel="0" collapsed="false">
      <c r="A5422" s="9" t="s">
        <v>581</v>
      </c>
      <c r="C5422" s="61" t="n">
        <f aca="false">N5384</f>
        <v>424851.834071094</v>
      </c>
      <c r="D5422" s="61"/>
    </row>
    <row r="5423" customFormat="false" ht="15" hidden="false" customHeight="false" outlineLevel="0" collapsed="false">
      <c r="A5423" s="9" t="s">
        <v>582</v>
      </c>
      <c r="C5423" s="62" t="n">
        <f aca="false">N5380</f>
        <v>49.4916809249342</v>
      </c>
      <c r="D5423" s="62"/>
    </row>
    <row r="5424" customFormat="false" ht="15" hidden="false" customHeight="false" outlineLevel="0" collapsed="false">
      <c r="A5424" s="9" t="s">
        <v>583</v>
      </c>
      <c r="C5424" s="63" t="n">
        <f aca="false">S5375</f>
        <v>54.8731221134622</v>
      </c>
      <c r="D5424" s="63"/>
    </row>
    <row r="5425" customFormat="false" ht="15" hidden="false" customHeight="false" outlineLevel="0" collapsed="false">
      <c r="A5425" s="9" t="s">
        <v>584</v>
      </c>
      <c r="C5425" s="61" t="n">
        <f aca="false">S5386</f>
        <v>416277.823709109</v>
      </c>
      <c r="D5425" s="61"/>
    </row>
    <row r="5426" customFormat="false" ht="15" hidden="false" customHeight="false" outlineLevel="0" collapsed="false">
      <c r="A5426" s="9" t="s">
        <v>22</v>
      </c>
      <c r="C5426" s="61" t="n">
        <f aca="false">IFERROR(S5385/S5375,0)</f>
        <v>7462.82271077628</v>
      </c>
      <c r="D5426" s="61"/>
    </row>
    <row r="5427" customFormat="false" ht="15" hidden="false" customHeight="false" outlineLevel="0" collapsed="false">
      <c r="A5427" s="9" t="s">
        <v>585</v>
      </c>
      <c r="C5427" s="61" t="n">
        <f aca="false">IFERROR(S5403/S5375,0)</f>
        <v>38222.157654373</v>
      </c>
      <c r="D5427" s="61"/>
    </row>
    <row r="5428" customFormat="false" ht="23.85" hidden="false" customHeight="false" outlineLevel="0" collapsed="false">
      <c r="A5428" s="9" t="s">
        <v>586</v>
      </c>
      <c r="C5428" s="61" t="n">
        <f aca="false">IFERROR((S5397+S5399+S5400+S5401+S5402)/S5375,0)</f>
        <v>14717.6110299622</v>
      </c>
      <c r="D5428" s="61"/>
    </row>
    <row r="5429" customFormat="false" ht="15" hidden="false" customHeight="false" outlineLevel="0" collapsed="false">
      <c r="A5429" s="9" t="s">
        <v>587</v>
      </c>
      <c r="C5429" s="64" t="n">
        <f aca="false">IFERROR('Engine Runs'!$C$5427/('Engine Runs'!$C$5426*Assumptions!$E$76/12),0)</f>
        <v>94.5540127330444</v>
      </c>
      <c r="D5429" s="64"/>
    </row>
    <row r="5430" customFormat="false" ht="15" hidden="false" customHeight="false" outlineLevel="0" collapsed="false">
      <c r="A5430" s="9" t="s">
        <v>588</v>
      </c>
      <c r="C5430" s="64" t="n">
        <f aca="false">IFERROR((R5403/R5375)/((R5385/R5375)*Assumptions!$E$76/12),0)</f>
        <v>60.8993803031991</v>
      </c>
      <c r="D5430" s="64"/>
    </row>
    <row r="5431" customFormat="false" ht="15" hidden="false" customHeight="false" outlineLevel="0" collapsed="false">
      <c r="A5431" s="9" t="s">
        <v>589</v>
      </c>
      <c r="C5431" s="61" t="n">
        <f aca="false">S5407</f>
        <v>2877020.36195416</v>
      </c>
      <c r="D5431" s="61"/>
    </row>
    <row r="5432" customFormat="false" ht="15" hidden="false" customHeight="false" outlineLevel="0" collapsed="false">
      <c r="A5432" s="9" t="s">
        <v>590</v>
      </c>
      <c r="C5432" s="61" t="n">
        <f aca="false">N5410</f>
        <v>-2606439.77654324</v>
      </c>
      <c r="D5432" s="61"/>
    </row>
    <row r="5433" customFormat="false" ht="15" hidden="false" customHeight="false" outlineLevel="0" collapsed="false">
      <c r="A5433" s="9" t="s">
        <v>591</v>
      </c>
      <c r="C5433" s="61" t="n">
        <f aca="false">MIN($C$5410:$N$5410)</f>
        <v>-2606439.77654324</v>
      </c>
      <c r="D5433" s="61"/>
    </row>
    <row r="5434" customFormat="false" ht="15" hidden="false" customHeight="false" outlineLevel="0" collapsed="false">
      <c r="A5434" s="9" t="s">
        <v>592</v>
      </c>
      <c r="C5434" s="61" t="n">
        <f aca="false">N5384*(Assumptions!$E$76-$C$5418)*$C$5417*(1-$C$5417^Assumptions!$E$85)/(1-$C$5417)</f>
        <v>753847.921985231</v>
      </c>
      <c r="D5434" s="61"/>
    </row>
    <row r="5435" customFormat="false" ht="15" hidden="false" customHeight="false" outlineLevel="0" collapsed="false">
      <c r="A5435" s="9" t="s">
        <v>593</v>
      </c>
      <c r="C5435" s="61" t="n">
        <f aca="false">N5384*(Assumptions!$E$76-$C$5418)*(1-Assumptions!$E$88)/(1+Assumptions!$E$87)^2.5*$C$5419*(1-$C$5419^Assumptions!$E$85)/(1-$C$5419)</f>
        <v>335911.438607334</v>
      </c>
      <c r="D5435" s="61"/>
    </row>
    <row r="5436" customFormat="false" ht="15" hidden="false" customHeight="false" outlineLevel="0" collapsed="false">
      <c r="A5436" s="9" t="s">
        <v>594</v>
      </c>
      <c r="C5436" s="61" t="n">
        <f aca="false">SUM($C$5412:$N$5412)+'Engine Runs'!$C$5435</f>
        <v>-1910460.76865713</v>
      </c>
      <c r="D5436" s="61"/>
    </row>
    <row r="5437" customFormat="false" ht="15" hidden="false" customHeight="false" outlineLevel="0" collapsed="false">
      <c r="A5437" s="9" t="s">
        <v>595</v>
      </c>
      <c r="C5437" s="61" t="n">
        <f aca="false">SUM($C$5416:$N$5416)+N5414*(Assumptions!$E$76-Assumptions!$E$93)/(1+Assumptions!$E$87)^2.5*$C$5420*(1-$C$5420^Assumptions!$E$85)/(1-$C$5420)</f>
        <v>1488114.84418638</v>
      </c>
      <c r="D5437" s="61"/>
    </row>
    <row r="5438" customFormat="false" ht="15" hidden="false" customHeight="false" outlineLevel="0" collapsed="false">
      <c r="A5438" s="9" t="s">
        <v>596</v>
      </c>
      <c r="C5438" s="61" t="n">
        <f aca="false">'Engine Runs'!$C$5436-'Engine Runs'!$C$5437</f>
        <v>-3398575.61284352</v>
      </c>
      <c r="D5438" s="61"/>
    </row>
    <row r="5439" customFormat="false" ht="15" hidden="false" customHeight="false" outlineLevel="0" collapsed="false">
      <c r="A5439" s="9" t="s">
        <v>597</v>
      </c>
      <c r="C5439" s="61" t="n">
        <f aca="false">S5371</f>
        <v>0</v>
      </c>
      <c r="D5439" s="61"/>
    </row>
    <row r="5440" customFormat="false" ht="15" hidden="false" customHeight="false" outlineLevel="0" collapsed="false">
      <c r="A5440" s="9" t="s">
        <v>598</v>
      </c>
      <c r="C5440" s="63" t="n">
        <f aca="false">P5355</f>
        <v>43.6188722246667</v>
      </c>
      <c r="D5440" s="63"/>
    </row>
    <row r="5441" customFormat="false" ht="15" hidden="false" customHeight="false" outlineLevel="0" collapsed="false">
      <c r="A5441" s="9" t="s">
        <v>599</v>
      </c>
      <c r="C5441" s="63" t="n">
        <f aca="false">P5375</f>
        <v>6.23479266604129</v>
      </c>
      <c r="D5441" s="63"/>
    </row>
    <row r="5442" customFormat="false" ht="15" hidden="false" customHeight="false" outlineLevel="0" collapsed="false">
      <c r="A5442" s="9" t="s">
        <v>600</v>
      </c>
      <c r="C5442" s="63" t="n">
        <f aca="false">P5351</f>
        <v>42</v>
      </c>
      <c r="D5442" s="63"/>
    </row>
    <row r="5443" customFormat="false" ht="15" hidden="false" customHeight="false" outlineLevel="0" collapsed="false">
      <c r="A5443" s="9" t="s">
        <v>601</v>
      </c>
      <c r="C5443" s="61" t="n">
        <f aca="false">IFERROR(P5385/P5375,0)</f>
        <v>7292.61704514044</v>
      </c>
      <c r="D5443" s="61"/>
    </row>
    <row r="5446" customFormat="false" ht="15" hidden="false" customHeight="true" outlineLevel="0" collapsed="false">
      <c r="A5446" s="78" t="s">
        <v>858</v>
      </c>
      <c r="B5446" s="78"/>
      <c r="C5446" s="78"/>
      <c r="D5446" s="78"/>
      <c r="E5446" s="78"/>
      <c r="F5446" s="78"/>
      <c r="G5446" s="78"/>
      <c r="H5446" s="78"/>
      <c r="I5446" s="78"/>
      <c r="J5446" s="78"/>
      <c r="K5446" s="78"/>
      <c r="L5446" s="78"/>
      <c r="M5446" s="78"/>
      <c r="N5446" s="78"/>
    </row>
    <row r="5447" customFormat="false" ht="15" hidden="false" customHeight="true" outlineLevel="0" collapsed="false">
      <c r="A5447" s="79" t="s">
        <v>859</v>
      </c>
      <c r="B5447" s="79"/>
      <c r="C5447" s="79"/>
      <c r="D5447" s="79"/>
      <c r="E5447" s="79"/>
      <c r="F5447" s="79"/>
      <c r="G5447" s="79"/>
      <c r="H5447" s="79"/>
      <c r="I5447" s="79"/>
      <c r="J5447" s="79"/>
      <c r="K5447" s="79"/>
      <c r="L5447" s="79"/>
      <c r="M5447" s="79"/>
      <c r="N5447" s="79"/>
    </row>
    <row r="5448" customFormat="false" ht="23.85" hidden="false" customHeight="false" outlineLevel="0" collapsed="false">
      <c r="A5448" s="35" t="s">
        <v>860</v>
      </c>
      <c r="B5448" s="35" t="s">
        <v>444</v>
      </c>
      <c r="C5448" s="6" t="s">
        <v>354</v>
      </c>
      <c r="D5448" s="6" t="s">
        <v>355</v>
      </c>
      <c r="E5448" s="6" t="s">
        <v>356</v>
      </c>
      <c r="F5448" s="6" t="s">
        <v>357</v>
      </c>
      <c r="G5448" s="6" t="s">
        <v>358</v>
      </c>
      <c r="H5448" s="6" t="s">
        <v>359</v>
      </c>
      <c r="I5448" s="6" t="s">
        <v>360</v>
      </c>
      <c r="J5448" s="6" t="s">
        <v>361</v>
      </c>
      <c r="K5448" s="6" t="s">
        <v>362</v>
      </c>
      <c r="L5448" s="6" t="s">
        <v>363</v>
      </c>
      <c r="M5448" s="6" t="s">
        <v>364</v>
      </c>
      <c r="N5448" s="6" t="s">
        <v>365</v>
      </c>
      <c r="P5448" s="6" t="s">
        <v>445</v>
      </c>
      <c r="Q5448" s="6" t="s">
        <v>446</v>
      </c>
      <c r="R5448" s="6" t="s">
        <v>447</v>
      </c>
      <c r="S5448" s="6" t="s">
        <v>448</v>
      </c>
    </row>
    <row r="5449" customFormat="false" ht="15" hidden="false" customHeight="false" outlineLevel="0" collapsed="false">
      <c r="A5449" s="4" t="s">
        <v>449</v>
      </c>
      <c r="B5449" s="36" t="s">
        <v>450</v>
      </c>
      <c r="C5449" s="34" t="n">
        <f aca="false">'Market Sizing'!$C$17*Assumptions!$E$10*Assumptions!$E$11*(1-Assumptions!$E$12)</f>
        <v>843.03944704</v>
      </c>
    </row>
    <row r="5450" customFormat="false" ht="15" hidden="false" customHeight="false" outlineLevel="0" collapsed="false">
      <c r="A5450" s="4" t="s">
        <v>451</v>
      </c>
      <c r="B5450" s="36" t="s">
        <v>450</v>
      </c>
      <c r="C5450" s="34" t="n">
        <f aca="false">'Market Sizing'!$D$17*Assumptions!$E$10*Assumptions!$E$11*(1-Assumptions!$E$12)</f>
        <v>211.19616</v>
      </c>
    </row>
    <row r="5451" customFormat="false" ht="15" hidden="false" customHeight="false" outlineLevel="0" collapsed="false">
      <c r="A5451" s="4" t="s">
        <v>452</v>
      </c>
      <c r="B5451" s="36" t="s">
        <v>450</v>
      </c>
      <c r="C5451" s="34" t="n">
        <f aca="false">'Market Sizing'!$E$17*Assumptions!$E$10*Assumptions!$E$11*(1-Assumptions!$E$12)</f>
        <v>49.53984</v>
      </c>
    </row>
    <row r="5452" customFormat="false" ht="15" hidden="false" customHeight="false" outlineLevel="0" collapsed="false">
      <c r="A5452" s="4" t="s">
        <v>453</v>
      </c>
      <c r="B5452" s="36"/>
      <c r="C5452" s="34" t="n">
        <f aca="false">$C$5449+$C$5450+$C$5451</f>
        <v>1103.77544704</v>
      </c>
    </row>
    <row r="5453" customFormat="false" ht="15" hidden="false" customHeight="false" outlineLevel="0" collapsed="false">
      <c r="A5453" s="4" t="s">
        <v>454</v>
      </c>
      <c r="B5453" s="36" t="s">
        <v>450</v>
      </c>
      <c r="C5453" s="34" t="n">
        <f aca="false">'Market Sizing'!$C$18*Assumptions!$E$10*Assumptions!$E$11*(1-Assumptions!$E$12)</f>
        <v>612.57706944</v>
      </c>
    </row>
    <row r="5454" customFormat="false" ht="15" hidden="false" customHeight="false" outlineLevel="0" collapsed="false">
      <c r="A5454" s="4" t="s">
        <v>455</v>
      </c>
      <c r="B5454" s="36" t="s">
        <v>450</v>
      </c>
      <c r="C5454" s="34" t="n">
        <f aca="false">'Market Sizing'!$D$18*Assumptions!$E$10*Assumptions!$E$11*(1-Assumptions!$E$12)</f>
        <v>142.10112</v>
      </c>
    </row>
    <row r="5455" customFormat="false" ht="15" hidden="false" customHeight="false" outlineLevel="0" collapsed="false">
      <c r="A5455" s="4" t="s">
        <v>456</v>
      </c>
      <c r="B5455" s="36" t="s">
        <v>450</v>
      </c>
      <c r="C5455" s="34" t="n">
        <f aca="false">'Market Sizing'!$E$18*Assumptions!$E$10*Assumptions!$E$11*(1-Assumptions!$E$12)</f>
        <v>24.76992</v>
      </c>
    </row>
    <row r="5456" customFormat="false" ht="15" hidden="false" customHeight="false" outlineLevel="0" collapsed="false">
      <c r="A5456" s="4" t="s">
        <v>457</v>
      </c>
      <c r="B5456" s="36"/>
      <c r="C5456" s="34" t="n">
        <f aca="false">$C$5453+$C$5454+$C$5455</f>
        <v>779.44810944</v>
      </c>
    </row>
    <row r="5457" customFormat="false" ht="15" hidden="false" customHeight="false" outlineLevel="0" collapsed="false">
      <c r="A5457" s="4" t="s">
        <v>458</v>
      </c>
      <c r="B5457" s="36" t="s">
        <v>450</v>
      </c>
      <c r="C5457" s="34" t="n">
        <f aca="false">'Market Sizing'!$C$19*Assumptions!$E$10*Assumptions!$E$11*(1-Assumptions!$E$12)</f>
        <v>2060.77303936</v>
      </c>
    </row>
    <row r="5458" customFormat="false" ht="15" hidden="false" customHeight="false" outlineLevel="0" collapsed="false">
      <c r="A5458" s="4" t="s">
        <v>459</v>
      </c>
      <c r="B5458" s="36" t="s">
        <v>450</v>
      </c>
      <c r="C5458" s="34" t="n">
        <f aca="false">'Market Sizing'!$D$19*Assumptions!$E$10*Assumptions!$E$11*(1-Assumptions!$E$12)</f>
        <v>428.47616</v>
      </c>
    </row>
    <row r="5459" customFormat="false" ht="15" hidden="false" customHeight="false" outlineLevel="0" collapsed="false">
      <c r="A5459" s="4" t="s">
        <v>460</v>
      </c>
      <c r="B5459" s="36" t="s">
        <v>450</v>
      </c>
      <c r="C5459" s="34" t="n">
        <f aca="false">'Market Sizing'!$E$19*Assumptions!$E$10*Assumptions!$E$11*(1-Assumptions!$E$12)</f>
        <v>79.52448</v>
      </c>
    </row>
    <row r="5460" customFormat="false" ht="15" hidden="false" customHeight="false" outlineLevel="0" collapsed="false">
      <c r="A5460" s="4" t="s">
        <v>461</v>
      </c>
      <c r="B5460" s="36"/>
      <c r="C5460" s="34" t="n">
        <f aca="false">$C$5457+$C$5458+$C$5459</f>
        <v>2568.77367936</v>
      </c>
    </row>
    <row r="5461" customFormat="false" ht="15" hidden="false" customHeight="false" outlineLevel="0" collapsed="false">
      <c r="A5461" s="4" t="s">
        <v>462</v>
      </c>
      <c r="B5461" s="36" t="s">
        <v>463</v>
      </c>
      <c r="C5461" s="33" t="n">
        <f aca="false">MAX((Assumptions!$E$51+Assumptions!$E$53)*12,(((('Market Sizing'!$E$25*Assumptions!$E$41*Assumptions!$E$42*Assumptions!$E$43)*Assumptions!$E$44)*Assumptions!$E$45*Assumptions!$E$46+('Market Sizing'!$E$25*Assumptions!$E$41*Assumptions!$E$42*Assumptions!$E$43)*Assumptions!$E$47+('Market Sizing'!$E$25*Assumptions!$E$41*Assumptions!$E$42*Assumptions!$E$43)*Assumptions!$E$48*Assumptions!$E$49)*(Assumptions!$E$51*12/Assumptions!$E$52)+((('Market Sizing'!$E$25*Assumptions!$E$41*Assumptions!$E$42*Assumptions!$E$43)*Assumptions!$E$44)*Assumptions!$E$45+('Market Sizing'!$E$25*Assumptions!$E$41*Assumptions!$E$42*Assumptions!$E$43)+('Market Sizing'!$E$25*Assumptions!$E$41*Assumptions!$E$42*Assumptions!$E$43)*Assumptions!$E$48)*Assumptions!$E$50*(Assumptions!$E$53*12/Assumptions!$E$54)))</f>
        <v>5352</v>
      </c>
    </row>
    <row r="5462" customFormat="false" ht="15" hidden="false" customHeight="false" outlineLevel="0" collapsed="false">
      <c r="A5462" s="4" t="s">
        <v>464</v>
      </c>
      <c r="B5462" s="36" t="s">
        <v>463</v>
      </c>
      <c r="C5462" s="33" t="n">
        <f aca="false">MAX((Assumptions!$E$51+Assumptions!$E$53)*12,(((('Market Sizing'!$E$26*Assumptions!$E$41*Assumptions!$E$42*Assumptions!$E$43)*Assumptions!$E$44)*Assumptions!$E$45*Assumptions!$E$46+('Market Sizing'!$E$26*Assumptions!$E$41*Assumptions!$E$42*Assumptions!$E$43)*Assumptions!$E$47+('Market Sizing'!$E$26*Assumptions!$E$41*Assumptions!$E$42*Assumptions!$E$43)*Assumptions!$E$48*Assumptions!$E$49)*(Assumptions!$E$51*12/Assumptions!$E$52)+((('Market Sizing'!$E$26*Assumptions!$E$41*Assumptions!$E$42*Assumptions!$E$43)*Assumptions!$E$44)*Assumptions!$E$45+('Market Sizing'!$E$26*Assumptions!$E$41*Assumptions!$E$42*Assumptions!$E$43)+('Market Sizing'!$E$26*Assumptions!$E$41*Assumptions!$E$42*Assumptions!$E$43)*Assumptions!$E$48)*Assumptions!$E$50*(Assumptions!$E$53*12/Assumptions!$E$54)))</f>
        <v>9766.72012875208</v>
      </c>
    </row>
    <row r="5463" customFormat="false" ht="15" hidden="false" customHeight="false" outlineLevel="0" collapsed="false">
      <c r="A5463" s="4" t="s">
        <v>465</v>
      </c>
      <c r="B5463" s="36" t="s">
        <v>463</v>
      </c>
      <c r="C5463" s="33" t="n">
        <f aca="false">MAX(Assumptions!$E$55*(Assumptions!$E$51*12/Assumptions!$E$52)+Assumptions!$E$56*(Assumptions!$E$53*12/Assumptions!$E$54),(((('Market Sizing'!$E$27*Assumptions!$E$41*Assumptions!$E$42*Assumptions!$E$43)*Assumptions!$E$44)*Assumptions!$E$45*Assumptions!$E$46+('Market Sizing'!$E$27*Assumptions!$E$41*Assumptions!$E$42*Assumptions!$E$43)*Assumptions!$E$47+('Market Sizing'!$E$27*Assumptions!$E$41*Assumptions!$E$42*Assumptions!$E$43)*Assumptions!$E$48*Assumptions!$E$49)*(Assumptions!$E$51*12/Assumptions!$E$52)+((('Market Sizing'!$E$27*Assumptions!$E$41*Assumptions!$E$42*Assumptions!$E$43)*Assumptions!$E$44)*Assumptions!$E$45+('Market Sizing'!$E$27*Assumptions!$E$41*Assumptions!$E$42*Assumptions!$E$43)+('Market Sizing'!$E$27*Assumptions!$E$41*Assumptions!$E$42*Assumptions!$E$43)*Assumptions!$E$48)*Assumptions!$E$50*(Assumptions!$E$53*12/Assumptions!$E$54)))*(1-Assumptions!$E$57)</f>
        <v>61778.2562194386</v>
      </c>
    </row>
    <row r="5464" customFormat="false" ht="23.85" hidden="false" customHeight="false" outlineLevel="0" collapsed="false">
      <c r="A5464" s="4" t="s">
        <v>466</v>
      </c>
      <c r="B5464" s="36" t="s">
        <v>467</v>
      </c>
      <c r="C5464" s="37" t="n">
        <f aca="false">Assumptions!$E$17*Assumptions!$D$106</f>
        <v>0.4</v>
      </c>
    </row>
    <row r="5465" customFormat="false" ht="23.85" hidden="false" customHeight="false" outlineLevel="0" collapsed="false">
      <c r="A5465" s="4" t="s">
        <v>468</v>
      </c>
      <c r="B5465" s="36" t="s">
        <v>469</v>
      </c>
      <c r="C5465" s="33" t="n">
        <f aca="false">Assumptions!$E$68/Assumptions!$E$69</f>
        <v>285714.285714286</v>
      </c>
    </row>
    <row r="5466" customFormat="false" ht="23.85" hidden="false" customHeight="false" outlineLevel="0" collapsed="false">
      <c r="A5466" s="4" t="s">
        <v>470</v>
      </c>
      <c r="B5466" s="36" t="s">
        <v>471</v>
      </c>
      <c r="C5466" s="33" t="n">
        <f aca="false">Assumptions!$E$66*Assumptions!$E$67/4</f>
        <v>153125</v>
      </c>
    </row>
    <row r="5467" customFormat="false" ht="15" hidden="false" customHeight="false" outlineLevel="0" collapsed="false">
      <c r="A5467" s="4" t="s">
        <v>472</v>
      </c>
      <c r="B5467" s="36"/>
      <c r="C5467" s="38" t="n">
        <f aca="false">$C$5465/Assumptions!$E$66/Assumptions!$E$67</f>
        <v>0.466472303206997</v>
      </c>
    </row>
    <row r="5468" customFormat="false" ht="15" hidden="false" customHeight="false" outlineLevel="0" collapsed="false">
      <c r="A5468" s="4" t="s">
        <v>473</v>
      </c>
      <c r="B5468" s="36"/>
      <c r="C5468" s="33" t="n">
        <f aca="false">MAX(0,Assumptions!$D$103-Assumptions!$E$78)</f>
        <v>0</v>
      </c>
    </row>
    <row r="5469" customFormat="false" ht="15" hidden="false" customHeight="false" outlineLevel="0" collapsed="false">
      <c r="A5469" s="35" t="s">
        <v>474</v>
      </c>
      <c r="B5469" s="35" t="s">
        <v>444</v>
      </c>
      <c r="C5469" s="6" t="s">
        <v>354</v>
      </c>
      <c r="D5469" s="6" t="s">
        <v>355</v>
      </c>
      <c r="E5469" s="6" t="s">
        <v>356</v>
      </c>
      <c r="F5469" s="6" t="s">
        <v>357</v>
      </c>
      <c r="G5469" s="6" t="s">
        <v>358</v>
      </c>
      <c r="H5469" s="6" t="s">
        <v>359</v>
      </c>
      <c r="I5469" s="6" t="s">
        <v>360</v>
      </c>
      <c r="J5469" s="6" t="s">
        <v>361</v>
      </c>
      <c r="K5469" s="6" t="s">
        <v>362</v>
      </c>
      <c r="L5469" s="6" t="s">
        <v>363</v>
      </c>
      <c r="M5469" s="6" t="s">
        <v>364</v>
      </c>
      <c r="N5469" s="6" t="s">
        <v>365</v>
      </c>
      <c r="P5469" s="6" t="s">
        <v>445</v>
      </c>
      <c r="Q5469" s="6" t="s">
        <v>446</v>
      </c>
      <c r="R5469" s="6" t="s">
        <v>447</v>
      </c>
      <c r="S5469" s="6" t="s">
        <v>448</v>
      </c>
    </row>
    <row r="5470" customFormat="false" ht="15" hidden="false" customHeight="false" outlineLevel="0" collapsed="false">
      <c r="A5470" s="4" t="s">
        <v>475</v>
      </c>
      <c r="B5470" s="36" t="s">
        <v>133</v>
      </c>
      <c r="C5470" s="39" t="n">
        <v>1</v>
      </c>
      <c r="D5470" s="39" t="n">
        <v>2</v>
      </c>
      <c r="E5470" s="39" t="n">
        <v>3</v>
      </c>
      <c r="F5470" s="39" t="n">
        <v>4</v>
      </c>
      <c r="G5470" s="39" t="n">
        <v>5</v>
      </c>
      <c r="H5470" s="39" t="n">
        <v>6</v>
      </c>
      <c r="I5470" s="39" t="n">
        <v>7</v>
      </c>
      <c r="J5470" s="39" t="n">
        <v>8</v>
      </c>
      <c r="K5470" s="39" t="n">
        <v>9</v>
      </c>
      <c r="L5470" s="39" t="n">
        <v>10</v>
      </c>
      <c r="M5470" s="39" t="n">
        <v>11</v>
      </c>
      <c r="N5470" s="39" t="n">
        <v>12</v>
      </c>
      <c r="P5470" s="40"/>
      <c r="Q5470" s="40"/>
      <c r="R5470" s="40"/>
      <c r="S5470" s="41"/>
    </row>
    <row r="5471" customFormat="false" ht="15" hidden="false" customHeight="false" outlineLevel="0" collapsed="false">
      <c r="A5471" s="4" t="s">
        <v>476</v>
      </c>
      <c r="B5471" s="36" t="s">
        <v>343</v>
      </c>
      <c r="C5471" s="39" t="n">
        <f aca="false">IF(C5470&lt;=Assumptions!$E$84,1,0)</f>
        <v>1</v>
      </c>
      <c r="D5471" s="39" t="n">
        <f aca="false">IF(D5470&lt;=Assumptions!$E$84,1,0)</f>
        <v>1</v>
      </c>
      <c r="E5471" s="39" t="n">
        <f aca="false">IF(E5470&lt;=Assumptions!$E$84,1,0)</f>
        <v>1</v>
      </c>
      <c r="F5471" s="39" t="n">
        <f aca="false">IF(F5470&lt;=Assumptions!$E$84,1,0)</f>
        <v>1</v>
      </c>
      <c r="G5471" s="39" t="n">
        <f aca="false">IF(G5470&lt;=Assumptions!$E$84,1,0)</f>
        <v>1</v>
      </c>
      <c r="H5471" s="39" t="n">
        <f aca="false">IF(H5470&lt;=Assumptions!$E$84,1,0)</f>
        <v>1</v>
      </c>
      <c r="I5471" s="39" t="n">
        <f aca="false">IF(I5470&lt;=Assumptions!$E$84,1,0)</f>
        <v>1</v>
      </c>
      <c r="J5471" s="39" t="n">
        <f aca="false">IF(J5470&lt;=Assumptions!$E$84,1,0)</f>
        <v>1</v>
      </c>
      <c r="K5471" s="39" t="n">
        <f aca="false">IF(K5470&lt;=Assumptions!$E$84,1,0)</f>
        <v>1</v>
      </c>
      <c r="L5471" s="39" t="n">
        <f aca="false">IF(L5470&lt;=Assumptions!$E$84,1,0)</f>
        <v>1</v>
      </c>
      <c r="M5471" s="39" t="n">
        <f aca="false">IF(M5470&lt;=Assumptions!$E$84,1,0)</f>
        <v>1</v>
      </c>
      <c r="N5471" s="39" t="n">
        <f aca="false">IF(N5470&lt;=Assumptions!$E$84,1,0)</f>
        <v>1</v>
      </c>
      <c r="P5471" s="40"/>
      <c r="Q5471" s="40"/>
      <c r="R5471" s="40"/>
      <c r="S5471" s="41"/>
    </row>
    <row r="5472" customFormat="false" ht="15" hidden="false" customHeight="false" outlineLevel="0" collapsed="false">
      <c r="A5472" s="4" t="s">
        <v>477</v>
      </c>
      <c r="B5472" s="36" t="s">
        <v>478</v>
      </c>
      <c r="C5472" s="42" t="n">
        <f aca="false">IF(C5470=Assumptions!$E$13,0.5,IF(C5470&gt;Assumptions!$E$13,1,0))</f>
        <v>0.5</v>
      </c>
      <c r="D5472" s="42" t="n">
        <f aca="false">IF(D5470=Assumptions!$E$13,0.5,IF(D5470&gt;Assumptions!$E$13,1,0))</f>
        <v>1</v>
      </c>
      <c r="E5472" s="42" t="n">
        <f aca="false">IF(E5470=Assumptions!$E$13,0.5,IF(E5470&gt;Assumptions!$E$13,1,0))</f>
        <v>1</v>
      </c>
      <c r="F5472" s="42" t="n">
        <f aca="false">IF(F5470=Assumptions!$E$13,0.5,IF(F5470&gt;Assumptions!$E$13,1,0))</f>
        <v>1</v>
      </c>
      <c r="G5472" s="42" t="n">
        <f aca="false">IF(G5470=Assumptions!$E$13,0.5,IF(G5470&gt;Assumptions!$E$13,1,0))</f>
        <v>1</v>
      </c>
      <c r="H5472" s="42" t="n">
        <f aca="false">IF(H5470=Assumptions!$E$13,0.5,IF(H5470&gt;Assumptions!$E$13,1,0))</f>
        <v>1</v>
      </c>
      <c r="I5472" s="42" t="n">
        <f aca="false">IF(I5470=Assumptions!$E$13,0.5,IF(I5470&gt;Assumptions!$E$13,1,0))</f>
        <v>1</v>
      </c>
      <c r="J5472" s="42" t="n">
        <f aca="false">IF(J5470=Assumptions!$E$13,0.5,IF(J5470&gt;Assumptions!$E$13,1,0))</f>
        <v>1</v>
      </c>
      <c r="K5472" s="42" t="n">
        <f aca="false">IF(K5470=Assumptions!$E$13,0.5,IF(K5470&gt;Assumptions!$E$13,1,0))</f>
        <v>1</v>
      </c>
      <c r="L5472" s="42" t="n">
        <f aca="false">IF(L5470=Assumptions!$E$13,0.5,IF(L5470&gt;Assumptions!$E$13,1,0))</f>
        <v>1</v>
      </c>
      <c r="M5472" s="42" t="n">
        <f aca="false">IF(M5470=Assumptions!$E$13,0.5,IF(M5470&gt;Assumptions!$E$13,1,0))</f>
        <v>1</v>
      </c>
      <c r="N5472" s="42" t="n">
        <f aca="false">IF(N5470=Assumptions!$E$13,0.5,IF(N5470&gt;Assumptions!$E$13,1,0))</f>
        <v>1</v>
      </c>
      <c r="P5472" s="43"/>
      <c r="Q5472" s="43"/>
      <c r="R5472" s="43"/>
      <c r="S5472" s="44"/>
    </row>
    <row r="5473" customFormat="false" ht="15" hidden="false" customHeight="false" outlineLevel="0" collapsed="false">
      <c r="A5473" s="4" t="s">
        <v>479</v>
      </c>
      <c r="B5473" s="36" t="s">
        <v>478</v>
      </c>
      <c r="C5473" s="42" t="n">
        <f aca="false">IF(C5470=Assumptions!$E$14,0.5,IF(C5470&gt;Assumptions!$E$14,1,0))</f>
        <v>0</v>
      </c>
      <c r="D5473" s="42" t="n">
        <f aca="false">IF(D5470=Assumptions!$E$14,0.5,IF(D5470&gt;Assumptions!$E$14,1,0))</f>
        <v>0</v>
      </c>
      <c r="E5473" s="42" t="n">
        <f aca="false">IF(E5470=Assumptions!$E$14,0.5,IF(E5470&gt;Assumptions!$E$14,1,0))</f>
        <v>0</v>
      </c>
      <c r="F5473" s="42" t="n">
        <f aca="false">IF(F5470=Assumptions!$E$14,0.5,IF(F5470&gt;Assumptions!$E$14,1,0))</f>
        <v>0</v>
      </c>
      <c r="G5473" s="42" t="n">
        <f aca="false">IF(G5470=Assumptions!$E$14,0.5,IF(G5470&gt;Assumptions!$E$14,1,0))</f>
        <v>0.5</v>
      </c>
      <c r="H5473" s="42" t="n">
        <f aca="false">IF(H5470=Assumptions!$E$14,0.5,IF(H5470&gt;Assumptions!$E$14,1,0))</f>
        <v>1</v>
      </c>
      <c r="I5473" s="42" t="n">
        <f aca="false">IF(I5470=Assumptions!$E$14,0.5,IF(I5470&gt;Assumptions!$E$14,1,0))</f>
        <v>1</v>
      </c>
      <c r="J5473" s="42" t="n">
        <f aca="false">IF(J5470=Assumptions!$E$14,0.5,IF(J5470&gt;Assumptions!$E$14,1,0))</f>
        <v>1</v>
      </c>
      <c r="K5473" s="42" t="n">
        <f aca="false">IF(K5470=Assumptions!$E$14,0.5,IF(K5470&gt;Assumptions!$E$14,1,0))</f>
        <v>1</v>
      </c>
      <c r="L5473" s="42" t="n">
        <f aca="false">IF(L5470=Assumptions!$E$14,0.5,IF(L5470&gt;Assumptions!$E$14,1,0))</f>
        <v>1</v>
      </c>
      <c r="M5473" s="42" t="n">
        <f aca="false">IF(M5470=Assumptions!$E$14,0.5,IF(M5470&gt;Assumptions!$E$14,1,0))</f>
        <v>1</v>
      </c>
      <c r="N5473" s="42" t="n">
        <f aca="false">IF(N5470=Assumptions!$E$14,0.5,IF(N5470&gt;Assumptions!$E$14,1,0))</f>
        <v>1</v>
      </c>
      <c r="P5473" s="43"/>
      <c r="Q5473" s="43"/>
      <c r="R5473" s="43"/>
      <c r="S5473" s="44"/>
    </row>
    <row r="5474" customFormat="false" ht="15" hidden="false" customHeight="false" outlineLevel="0" collapsed="false">
      <c r="A5474" s="4" t="s">
        <v>480</v>
      </c>
      <c r="B5474" s="36" t="s">
        <v>478</v>
      </c>
      <c r="C5474" s="42" t="n">
        <f aca="false">IF(C5470=Assumptions!$E$15,0.5,IF(C5470&gt;Assumptions!$E$15,1,0))</f>
        <v>0</v>
      </c>
      <c r="D5474" s="42" t="n">
        <f aca="false">IF(D5470=Assumptions!$E$15,0.5,IF(D5470&gt;Assumptions!$E$15,1,0))</f>
        <v>0</v>
      </c>
      <c r="E5474" s="42" t="n">
        <f aca="false">IF(E5470=Assumptions!$E$15,0.5,IF(E5470&gt;Assumptions!$E$15,1,0))</f>
        <v>0</v>
      </c>
      <c r="F5474" s="42" t="n">
        <f aca="false">IF(F5470=Assumptions!$E$15,0.5,IF(F5470&gt;Assumptions!$E$15,1,0))</f>
        <v>0</v>
      </c>
      <c r="G5474" s="42" t="n">
        <f aca="false">IF(G5470=Assumptions!$E$15,0.5,IF(G5470&gt;Assumptions!$E$15,1,0))</f>
        <v>0</v>
      </c>
      <c r="H5474" s="42" t="n">
        <f aca="false">IF(H5470=Assumptions!$E$15,0.5,IF(H5470&gt;Assumptions!$E$15,1,0))</f>
        <v>0</v>
      </c>
      <c r="I5474" s="42" t="n">
        <f aca="false">IF(I5470=Assumptions!$E$15,0.5,IF(I5470&gt;Assumptions!$E$15,1,0))</f>
        <v>0.5</v>
      </c>
      <c r="J5474" s="42" t="n">
        <f aca="false">IF(J5470=Assumptions!$E$15,0.5,IF(J5470&gt;Assumptions!$E$15,1,0))</f>
        <v>1</v>
      </c>
      <c r="K5474" s="42" t="n">
        <f aca="false">IF(K5470=Assumptions!$E$15,0.5,IF(K5470&gt;Assumptions!$E$15,1,0))</f>
        <v>1</v>
      </c>
      <c r="L5474" s="42" t="n">
        <f aca="false">IF(L5470=Assumptions!$E$15,0.5,IF(L5470&gt;Assumptions!$E$15,1,0))</f>
        <v>1</v>
      </c>
      <c r="M5474" s="42" t="n">
        <f aca="false">IF(M5470=Assumptions!$E$15,0.5,IF(M5470&gt;Assumptions!$E$15,1,0))</f>
        <v>1</v>
      </c>
      <c r="N5474" s="42" t="n">
        <f aca="false">IF(N5470=Assumptions!$E$15,0.5,IF(N5470&gt;Assumptions!$E$15,1,0))</f>
        <v>1</v>
      </c>
      <c r="P5474" s="43"/>
      <c r="Q5474" s="43"/>
      <c r="R5474" s="43"/>
      <c r="S5474" s="44"/>
    </row>
    <row r="5475" customFormat="false" ht="15" hidden="false" customHeight="false" outlineLevel="0" collapsed="false">
      <c r="A5475" s="4" t="s">
        <v>481</v>
      </c>
      <c r="B5475" s="36" t="s">
        <v>478</v>
      </c>
      <c r="C5475" s="45" t="n">
        <f aca="false">Assumptions!$E$21^(MAX(0,C5470-Assumptions!$E$13)/4)</f>
        <v>1</v>
      </c>
      <c r="D5475" s="45" t="n">
        <f aca="false">Assumptions!$E$21^(MAX(0,D5470-Assumptions!$E$13)/4)</f>
        <v>0.9306048591021</v>
      </c>
      <c r="E5475" s="45" t="n">
        <f aca="false">Assumptions!$E$21^(MAX(0,E5470-Assumptions!$E$13)/4)</f>
        <v>0.866025403784439</v>
      </c>
      <c r="F5475" s="45" t="n">
        <f aca="false">Assumptions!$E$21^(MAX(0,F5470-Assumptions!$E$13)/4)</f>
        <v>0.805927448867656</v>
      </c>
      <c r="G5475" s="45" t="n">
        <f aca="false">Assumptions!$E$21^(MAX(0,G5470-Assumptions!$E$13)/4)</f>
        <v>0.75</v>
      </c>
      <c r="H5475" s="45" t="n">
        <f aca="false">Assumptions!$E$21^(MAX(0,H5470-Assumptions!$E$13)/4)</f>
        <v>0.697953644326575</v>
      </c>
      <c r="I5475" s="45" t="n">
        <f aca="false">Assumptions!$E$21^(MAX(0,I5470-Assumptions!$E$13)/4)</f>
        <v>0.649519052838329</v>
      </c>
      <c r="J5475" s="45" t="n">
        <f aca="false">Assumptions!$E$21^(MAX(0,J5470-Assumptions!$E$13)/4)</f>
        <v>0.604445586650742</v>
      </c>
      <c r="K5475" s="45" t="n">
        <f aca="false">Assumptions!$E$21^(MAX(0,K5470-Assumptions!$E$13)/4)</f>
        <v>0.5625</v>
      </c>
      <c r="L5475" s="45" t="n">
        <f aca="false">Assumptions!$E$21^(MAX(0,L5470-Assumptions!$E$13)/4)</f>
        <v>0.523465233244931</v>
      </c>
      <c r="M5475" s="45" t="n">
        <f aca="false">Assumptions!$E$21^(MAX(0,M5470-Assumptions!$E$13)/4)</f>
        <v>0.487139289628747</v>
      </c>
      <c r="N5475" s="45" t="n">
        <f aca="false">Assumptions!$E$21^(MAX(0,N5470-Assumptions!$E$13)/4)</f>
        <v>0.453334189988057</v>
      </c>
      <c r="P5475" s="46"/>
      <c r="Q5475" s="46"/>
      <c r="R5475" s="46"/>
      <c r="S5475" s="47"/>
    </row>
    <row r="5476" customFormat="false" ht="15" hidden="false" customHeight="false" outlineLevel="0" collapsed="false">
      <c r="A5476" s="4" t="s">
        <v>482</v>
      </c>
      <c r="B5476" s="36" t="s">
        <v>478</v>
      </c>
      <c r="C5476" s="45" t="n">
        <f aca="false">Assumptions!$E$21^(MAX(0,C5470-Assumptions!$E$14)/4)</f>
        <v>1</v>
      </c>
      <c r="D5476" s="45" t="n">
        <f aca="false">Assumptions!$E$21^(MAX(0,D5470-Assumptions!$E$14)/4)</f>
        <v>1</v>
      </c>
      <c r="E5476" s="45" t="n">
        <f aca="false">Assumptions!$E$21^(MAX(0,E5470-Assumptions!$E$14)/4)</f>
        <v>1</v>
      </c>
      <c r="F5476" s="45" t="n">
        <f aca="false">Assumptions!$E$21^(MAX(0,F5470-Assumptions!$E$14)/4)</f>
        <v>1</v>
      </c>
      <c r="G5476" s="45" t="n">
        <f aca="false">Assumptions!$E$21^(MAX(0,G5470-Assumptions!$E$14)/4)</f>
        <v>1</v>
      </c>
      <c r="H5476" s="45" t="n">
        <f aca="false">Assumptions!$E$21^(MAX(0,H5470-Assumptions!$E$14)/4)</f>
        <v>0.9306048591021</v>
      </c>
      <c r="I5476" s="45" t="n">
        <f aca="false">Assumptions!$E$21^(MAX(0,I5470-Assumptions!$E$14)/4)</f>
        <v>0.866025403784439</v>
      </c>
      <c r="J5476" s="45" t="n">
        <f aca="false">Assumptions!$E$21^(MAX(0,J5470-Assumptions!$E$14)/4)</f>
        <v>0.805927448867656</v>
      </c>
      <c r="K5476" s="45" t="n">
        <f aca="false">Assumptions!$E$21^(MAX(0,K5470-Assumptions!$E$14)/4)</f>
        <v>0.75</v>
      </c>
      <c r="L5476" s="45" t="n">
        <f aca="false">Assumptions!$E$21^(MAX(0,L5470-Assumptions!$E$14)/4)</f>
        <v>0.697953644326575</v>
      </c>
      <c r="M5476" s="45" t="n">
        <f aca="false">Assumptions!$E$21^(MAX(0,M5470-Assumptions!$E$14)/4)</f>
        <v>0.649519052838329</v>
      </c>
      <c r="N5476" s="45" t="n">
        <f aca="false">Assumptions!$E$21^(MAX(0,N5470-Assumptions!$E$14)/4)</f>
        <v>0.604445586650742</v>
      </c>
      <c r="P5476" s="46"/>
      <c r="Q5476" s="46"/>
      <c r="R5476" s="46"/>
      <c r="S5476" s="47"/>
    </row>
    <row r="5477" customFormat="false" ht="15" hidden="false" customHeight="false" outlineLevel="0" collapsed="false">
      <c r="A5477" s="4" t="s">
        <v>483</v>
      </c>
      <c r="B5477" s="36" t="s">
        <v>478</v>
      </c>
      <c r="C5477" s="45" t="n">
        <f aca="false">Assumptions!$E$21^(MAX(0,C5470-Assumptions!$E$15)/4)</f>
        <v>1</v>
      </c>
      <c r="D5477" s="45" t="n">
        <f aca="false">Assumptions!$E$21^(MAX(0,D5470-Assumptions!$E$15)/4)</f>
        <v>1</v>
      </c>
      <c r="E5477" s="45" t="n">
        <f aca="false">Assumptions!$E$21^(MAX(0,E5470-Assumptions!$E$15)/4)</f>
        <v>1</v>
      </c>
      <c r="F5477" s="45" t="n">
        <f aca="false">Assumptions!$E$21^(MAX(0,F5470-Assumptions!$E$15)/4)</f>
        <v>1</v>
      </c>
      <c r="G5477" s="45" t="n">
        <f aca="false">Assumptions!$E$21^(MAX(0,G5470-Assumptions!$E$15)/4)</f>
        <v>1</v>
      </c>
      <c r="H5477" s="45" t="n">
        <f aca="false">Assumptions!$E$21^(MAX(0,H5470-Assumptions!$E$15)/4)</f>
        <v>1</v>
      </c>
      <c r="I5477" s="45" t="n">
        <f aca="false">Assumptions!$E$21^(MAX(0,I5470-Assumptions!$E$15)/4)</f>
        <v>1</v>
      </c>
      <c r="J5477" s="45" t="n">
        <f aca="false">Assumptions!$E$21^(MAX(0,J5470-Assumptions!$E$15)/4)</f>
        <v>0.9306048591021</v>
      </c>
      <c r="K5477" s="45" t="n">
        <f aca="false">Assumptions!$E$21^(MAX(0,K5470-Assumptions!$E$15)/4)</f>
        <v>0.866025403784439</v>
      </c>
      <c r="L5477" s="45" t="n">
        <f aca="false">Assumptions!$E$21^(MAX(0,L5470-Assumptions!$E$15)/4)</f>
        <v>0.805927448867656</v>
      </c>
      <c r="M5477" s="45" t="n">
        <f aca="false">Assumptions!$E$21^(MAX(0,M5470-Assumptions!$E$15)/4)</f>
        <v>0.75</v>
      </c>
      <c r="N5477" s="45" t="n">
        <f aca="false">Assumptions!$E$21^(MAX(0,N5470-Assumptions!$E$15)/4)</f>
        <v>0.697953644326575</v>
      </c>
      <c r="P5477" s="46"/>
      <c r="Q5477" s="46"/>
      <c r="R5477" s="46"/>
      <c r="S5477" s="47"/>
    </row>
    <row r="5478" customFormat="false" ht="15" hidden="false" customHeight="false" outlineLevel="0" collapsed="false">
      <c r="A5478" s="4" t="s">
        <v>484</v>
      </c>
      <c r="B5478" s="36" t="s">
        <v>485</v>
      </c>
      <c r="C5478" s="39" t="n">
        <f aca="false">$C$5449*C5472+$C$5453*C5473+$C$5457*C5474</f>
        <v>421.51972352</v>
      </c>
      <c r="D5478" s="39" t="n">
        <f aca="false">$C$5449*D5472+$C$5453*D5473+$C$5457*D5474</f>
        <v>843.03944704</v>
      </c>
      <c r="E5478" s="39" t="n">
        <f aca="false">$C$5449*E5472+$C$5453*E5473+$C$5457*E5474</f>
        <v>843.03944704</v>
      </c>
      <c r="F5478" s="39" t="n">
        <f aca="false">$C$5449*F5472+$C$5453*F5473+$C$5457*F5474</f>
        <v>843.03944704</v>
      </c>
      <c r="G5478" s="39" t="n">
        <f aca="false">$C$5449*G5472+$C$5453*G5473+$C$5457*G5474</f>
        <v>1149.32798176</v>
      </c>
      <c r="H5478" s="39" t="n">
        <f aca="false">$C$5449*H5472+$C$5453*H5473+$C$5457*H5474</f>
        <v>1455.61651648</v>
      </c>
      <c r="I5478" s="39" t="n">
        <f aca="false">$C$5449*I5472+$C$5453*I5473+$C$5457*I5474</f>
        <v>2486.00303616</v>
      </c>
      <c r="J5478" s="39" t="n">
        <f aca="false">$C$5449*J5472+$C$5453*J5473+$C$5457*J5474</f>
        <v>3516.38955584</v>
      </c>
      <c r="K5478" s="39" t="n">
        <f aca="false">$C$5449*K5472+$C$5453*K5473+$C$5457*K5474</f>
        <v>3516.38955584</v>
      </c>
      <c r="L5478" s="39" t="n">
        <f aca="false">$C$5449*L5472+$C$5453*L5473+$C$5457*L5474</f>
        <v>3516.38955584</v>
      </c>
      <c r="M5478" s="39" t="n">
        <f aca="false">$C$5449*M5472+$C$5453*M5473+$C$5457*M5474</f>
        <v>3516.38955584</v>
      </c>
      <c r="N5478" s="39" t="n">
        <f aca="false">$C$5449*N5472+$C$5453*N5473+$C$5457*N5474</f>
        <v>3516.38955584</v>
      </c>
      <c r="P5478" s="40" t="n">
        <f aca="false">F5478</f>
        <v>843.03944704</v>
      </c>
      <c r="Q5478" s="40" t="n">
        <f aca="false">J5478</f>
        <v>3516.38955584</v>
      </c>
      <c r="R5478" s="40" t="n">
        <f aca="false">N5478</f>
        <v>3516.38955584</v>
      </c>
      <c r="S5478" s="41" t="n">
        <f aca="false">R5478</f>
        <v>3516.38955584</v>
      </c>
    </row>
    <row r="5479" customFormat="false" ht="15" hidden="false" customHeight="false" outlineLevel="0" collapsed="false">
      <c r="A5479" s="4" t="s">
        <v>486</v>
      </c>
      <c r="B5479" s="36" t="s">
        <v>485</v>
      </c>
      <c r="C5479" s="39" t="n">
        <f aca="false">$C$5450*C5472+$C$5454*C5473+$C$5458*C5474</f>
        <v>105.59808</v>
      </c>
      <c r="D5479" s="39" t="n">
        <f aca="false">$C$5450*D5472+$C$5454*D5473+$C$5458*D5474</f>
        <v>211.19616</v>
      </c>
      <c r="E5479" s="39" t="n">
        <f aca="false">$C$5450*E5472+$C$5454*E5473+$C$5458*E5474</f>
        <v>211.19616</v>
      </c>
      <c r="F5479" s="39" t="n">
        <f aca="false">$C$5450*F5472+$C$5454*F5473+$C$5458*F5474</f>
        <v>211.19616</v>
      </c>
      <c r="G5479" s="39" t="n">
        <f aca="false">$C$5450*G5472+$C$5454*G5473+$C$5458*G5474</f>
        <v>282.24672</v>
      </c>
      <c r="H5479" s="39" t="n">
        <f aca="false">$C$5450*H5472+$C$5454*H5473+$C$5458*H5474</f>
        <v>353.29728</v>
      </c>
      <c r="I5479" s="39" t="n">
        <f aca="false">$C$5450*I5472+$C$5454*I5473+$C$5458*I5474</f>
        <v>567.53536</v>
      </c>
      <c r="J5479" s="39" t="n">
        <f aca="false">$C$5450*J5472+$C$5454*J5473+$C$5458*J5474</f>
        <v>781.77344</v>
      </c>
      <c r="K5479" s="39" t="n">
        <f aca="false">$C$5450*K5472+$C$5454*K5473+$C$5458*K5474</f>
        <v>781.77344</v>
      </c>
      <c r="L5479" s="39" t="n">
        <f aca="false">$C$5450*L5472+$C$5454*L5473+$C$5458*L5474</f>
        <v>781.77344</v>
      </c>
      <c r="M5479" s="39" t="n">
        <f aca="false">$C$5450*M5472+$C$5454*M5473+$C$5458*M5474</f>
        <v>781.77344</v>
      </c>
      <c r="N5479" s="39" t="n">
        <f aca="false">$C$5450*N5472+$C$5454*N5473+$C$5458*N5474</f>
        <v>781.77344</v>
      </c>
      <c r="P5479" s="40" t="n">
        <f aca="false">F5479</f>
        <v>211.19616</v>
      </c>
      <c r="Q5479" s="40" t="n">
        <f aca="false">J5479</f>
        <v>781.77344</v>
      </c>
      <c r="R5479" s="40" t="n">
        <f aca="false">N5479</f>
        <v>781.77344</v>
      </c>
      <c r="S5479" s="41" t="n">
        <f aca="false">R5479</f>
        <v>781.77344</v>
      </c>
    </row>
    <row r="5480" customFormat="false" ht="15" hidden="false" customHeight="false" outlineLevel="0" collapsed="false">
      <c r="A5480" s="4" t="s">
        <v>487</v>
      </c>
      <c r="B5480" s="36" t="s">
        <v>485</v>
      </c>
      <c r="C5480" s="39" t="n">
        <f aca="false">$C$5451*C5472+$C$5455*C5473+$C$5459*C5474</f>
        <v>24.76992</v>
      </c>
      <c r="D5480" s="39" t="n">
        <f aca="false">$C$5451*D5472+$C$5455*D5473+$C$5459*D5474</f>
        <v>49.53984</v>
      </c>
      <c r="E5480" s="39" t="n">
        <f aca="false">$C$5451*E5472+$C$5455*E5473+$C$5459*E5474</f>
        <v>49.53984</v>
      </c>
      <c r="F5480" s="39" t="n">
        <f aca="false">$C$5451*F5472+$C$5455*F5473+$C$5459*F5474</f>
        <v>49.53984</v>
      </c>
      <c r="G5480" s="39" t="n">
        <f aca="false">$C$5451*G5472+$C$5455*G5473+$C$5459*G5474</f>
        <v>61.9248</v>
      </c>
      <c r="H5480" s="39" t="n">
        <f aca="false">$C$5451*H5472+$C$5455*H5473+$C$5459*H5474</f>
        <v>74.30976</v>
      </c>
      <c r="I5480" s="39" t="n">
        <f aca="false">$C$5451*I5472+$C$5455*I5473+$C$5459*I5474</f>
        <v>114.072</v>
      </c>
      <c r="J5480" s="39" t="n">
        <f aca="false">$C$5451*J5472+$C$5455*J5473+$C$5459*J5474</f>
        <v>153.83424</v>
      </c>
      <c r="K5480" s="39" t="n">
        <f aca="false">$C$5451*K5472+$C$5455*K5473+$C$5459*K5474</f>
        <v>153.83424</v>
      </c>
      <c r="L5480" s="39" t="n">
        <f aca="false">$C$5451*L5472+$C$5455*L5473+$C$5459*L5474</f>
        <v>153.83424</v>
      </c>
      <c r="M5480" s="39" t="n">
        <f aca="false">$C$5451*M5472+$C$5455*M5473+$C$5459*M5474</f>
        <v>153.83424</v>
      </c>
      <c r="N5480" s="39" t="n">
        <f aca="false">$C$5451*N5472+$C$5455*N5473+$C$5459*N5474</f>
        <v>153.83424</v>
      </c>
      <c r="P5480" s="40" t="n">
        <f aca="false">F5480</f>
        <v>49.53984</v>
      </c>
      <c r="Q5480" s="40" t="n">
        <f aca="false">J5480</f>
        <v>153.83424</v>
      </c>
      <c r="R5480" s="40" t="n">
        <f aca="false">N5480</f>
        <v>153.83424</v>
      </c>
      <c r="S5480" s="41" t="n">
        <f aca="false">R5480</f>
        <v>153.83424</v>
      </c>
    </row>
    <row r="5481" customFormat="false" ht="15" hidden="false" customHeight="false" outlineLevel="0" collapsed="false">
      <c r="A5481" s="4" t="s">
        <v>488</v>
      </c>
      <c r="B5481" s="36" t="s">
        <v>485</v>
      </c>
      <c r="C5481" s="39" t="n">
        <f aca="false">C5478+C5479+C5480</f>
        <v>551.88772352</v>
      </c>
      <c r="D5481" s="39" t="n">
        <f aca="false">D5478+D5479+D5480</f>
        <v>1103.77544704</v>
      </c>
      <c r="E5481" s="39" t="n">
        <f aca="false">E5478+E5479+E5480</f>
        <v>1103.77544704</v>
      </c>
      <c r="F5481" s="39" t="n">
        <f aca="false">F5478+F5479+F5480</f>
        <v>1103.77544704</v>
      </c>
      <c r="G5481" s="39" t="n">
        <f aca="false">G5478+G5479+G5480</f>
        <v>1493.49950176</v>
      </c>
      <c r="H5481" s="39" t="n">
        <f aca="false">H5478+H5479+H5480</f>
        <v>1883.22355648</v>
      </c>
      <c r="I5481" s="39" t="n">
        <f aca="false">I5478+I5479+I5480</f>
        <v>3167.61039616</v>
      </c>
      <c r="J5481" s="39" t="n">
        <f aca="false">J5478+J5479+J5480</f>
        <v>4451.99723584</v>
      </c>
      <c r="K5481" s="39" t="n">
        <f aca="false">K5478+K5479+K5480</f>
        <v>4451.99723584</v>
      </c>
      <c r="L5481" s="39" t="n">
        <f aca="false">L5478+L5479+L5480</f>
        <v>4451.99723584</v>
      </c>
      <c r="M5481" s="39" t="n">
        <f aca="false">M5478+M5479+M5480</f>
        <v>4451.99723584</v>
      </c>
      <c r="N5481" s="39" t="n">
        <f aca="false">N5478+N5479+N5480</f>
        <v>4451.99723584</v>
      </c>
      <c r="P5481" s="40" t="n">
        <f aca="false">F5481</f>
        <v>1103.77544704</v>
      </c>
      <c r="Q5481" s="40" t="n">
        <f aca="false">J5481</f>
        <v>4451.99723584</v>
      </c>
      <c r="R5481" s="40" t="n">
        <f aca="false">N5481</f>
        <v>4451.99723584</v>
      </c>
      <c r="S5481" s="41" t="n">
        <f aca="false">R5481</f>
        <v>4451.99723584</v>
      </c>
    </row>
    <row r="5482" customFormat="false" ht="15" hidden="false" customHeight="false" outlineLevel="0" collapsed="false">
      <c r="A5482" s="4" t="s">
        <v>489</v>
      </c>
      <c r="B5482" s="36" t="s">
        <v>485</v>
      </c>
      <c r="C5482" s="39" t="n">
        <f aca="false">$C$5452*C5472*C5475+$C$5456*C5473*C5476+$C$5460*C5474*C5477</f>
        <v>551.88772352</v>
      </c>
      <c r="D5482" s="39" t="n">
        <f aca="false">$C$5452*D5472*D5475+$C$5456*D5473*D5476+$C$5460*D5474*D5477</f>
        <v>1027.17879437302</v>
      </c>
      <c r="E5482" s="39" t="n">
        <f aca="false">$C$5452*E5472*E5475+$C$5456*E5473*E5476+$C$5460*E5474*E5477</f>
        <v>955.897577210165</v>
      </c>
      <c r="F5482" s="39" t="n">
        <f aca="false">$C$5452*F5472*F5475+$C$5456*F5473*F5476+$C$5460*F5474*F5477</f>
        <v>889.562930155704</v>
      </c>
      <c r="G5482" s="39" t="n">
        <f aca="false">$C$5452*G5472*G5475+$C$5456*G5473*G5476+$C$5460*G5474*G5477</f>
        <v>1217.55564</v>
      </c>
      <c r="H5482" s="39" t="n">
        <f aca="false">$C$5452*H5472*H5475+$C$5456*H5473*H5476+$C$5460*H5474*H5477</f>
        <v>1495.74229384257</v>
      </c>
      <c r="I5482" s="39" t="n">
        <f aca="false">$C$5452*I5472*I5475+$C$5456*I5473*I5476+$C$5460*I5474*I5477</f>
        <v>2676.33188629442</v>
      </c>
      <c r="J5482" s="39" t="n">
        <f aca="false">$C$5452*J5472*J5475+$C$5456*J5473*J5476+$C$5460*J5474*J5477</f>
        <v>3685.86409192847</v>
      </c>
      <c r="K5482" s="39" t="n">
        <f aca="false">$C$5452*K5472*K5475+$C$5456*K5473*K5476+$C$5460*K5474*K5477</f>
        <v>3430.08303393858</v>
      </c>
      <c r="L5482" s="39" t="n">
        <f aca="false">$C$5452*L5472*L5475+$C$5456*L5473*L5476+$C$5460*L5474*L5477</f>
        <v>3192.05193850692</v>
      </c>
      <c r="M5482" s="39" t="n">
        <f aca="false">$C$5452*M5472*M5475+$C$5456*M5473*M5476+$C$5460*M5474*M5477</f>
        <v>2970.53904448081</v>
      </c>
      <c r="N5482" s="39" t="n">
        <f aca="false">$C$5452*N5472*N5475+$C$5456*N5473*N5476+$C$5460*N5474*N5477</f>
        <v>2764.39806894635</v>
      </c>
      <c r="P5482" s="40"/>
      <c r="Q5482" s="40"/>
      <c r="R5482" s="40"/>
      <c r="S5482" s="41"/>
    </row>
    <row r="5483" customFormat="false" ht="15" hidden="false" customHeight="false" outlineLevel="0" collapsed="false">
      <c r="A5483" s="4" t="s">
        <v>490</v>
      </c>
      <c r="B5483" s="36" t="s">
        <v>491</v>
      </c>
      <c r="C5483" s="48" t="n">
        <f aca="false">$C$5464*Assumptions!$E$20*C5471*C5482</f>
        <v>6.62265268224</v>
      </c>
      <c r="D5483" s="48" t="n">
        <f aca="false">$C$5464*Assumptions!$E$20*D5471*D5482</f>
        <v>12.3261455324762</v>
      </c>
      <c r="E5483" s="48" t="n">
        <f aca="false">$C$5464*Assumptions!$E$20*E5471*E5482</f>
        <v>11.470770926522</v>
      </c>
      <c r="F5483" s="48" t="n">
        <f aca="false">$C$5464*Assumptions!$E$20*F5471*F5482</f>
        <v>10.6747551618685</v>
      </c>
      <c r="G5483" s="48" t="n">
        <f aca="false">$C$5464*Assumptions!$E$20*G5471*G5482</f>
        <v>14.61066768</v>
      </c>
      <c r="H5483" s="48" t="n">
        <f aca="false">$C$5464*Assumptions!$E$20*H5471*H5482</f>
        <v>17.9489075261109</v>
      </c>
      <c r="I5483" s="48" t="n">
        <f aca="false">$C$5464*Assumptions!$E$20*I5471*I5482</f>
        <v>32.115982635533</v>
      </c>
      <c r="J5483" s="48" t="n">
        <f aca="false">$C$5464*Assumptions!$E$20*J5471*J5482</f>
        <v>44.2303691031417</v>
      </c>
      <c r="K5483" s="48" t="n">
        <f aca="false">$C$5464*Assumptions!$E$20*K5471*K5482</f>
        <v>41.160996407263</v>
      </c>
      <c r="L5483" s="48" t="n">
        <f aca="false">$C$5464*Assumptions!$E$20*L5471*L5482</f>
        <v>38.304623262083</v>
      </c>
      <c r="M5483" s="48" t="n">
        <f aca="false">$C$5464*Assumptions!$E$20*M5471*M5482</f>
        <v>35.6464685337698</v>
      </c>
      <c r="N5483" s="48" t="n">
        <f aca="false">$C$5464*Assumptions!$E$20*N5471*N5482</f>
        <v>33.1727768273562</v>
      </c>
      <c r="P5483" s="49" t="n">
        <f aca="false">SUM(C5483:F5483)</f>
        <v>41.0943243031066</v>
      </c>
      <c r="Q5483" s="49" t="n">
        <f aca="false">SUM(G5483:J5483)</f>
        <v>108.905926944786</v>
      </c>
      <c r="R5483" s="49" t="n">
        <f aca="false">SUM(K5483:N5483)</f>
        <v>148.284865030472</v>
      </c>
      <c r="S5483" s="50" t="n">
        <f aca="false">SUM(P5483:R5483)</f>
        <v>298.285116278364</v>
      </c>
    </row>
    <row r="5484" customFormat="false" ht="15" hidden="false" customHeight="false" outlineLevel="0" collapsed="false">
      <c r="A5484" s="4" t="s">
        <v>492</v>
      </c>
      <c r="B5484" s="36" t="s">
        <v>321</v>
      </c>
      <c r="C5484" s="48" t="n">
        <f aca="false">Assumptions!$D$111</f>
        <v>0</v>
      </c>
      <c r="D5484" s="48" t="n">
        <f aca="false">Assumptions!$E$111</f>
        <v>0</v>
      </c>
      <c r="E5484" s="48" t="n">
        <f aca="false">Assumptions!$F$111</f>
        <v>0</v>
      </c>
      <c r="F5484" s="48" t="n">
        <f aca="false">Assumptions!$G$111</f>
        <v>0</v>
      </c>
      <c r="G5484" s="48" t="n">
        <f aca="false">Assumptions!$H$111</f>
        <v>0</v>
      </c>
      <c r="H5484" s="48" t="n">
        <f aca="false">Assumptions!$I$111</f>
        <v>0</v>
      </c>
      <c r="I5484" s="48" t="n">
        <f aca="false">Assumptions!$J$111</f>
        <v>0</v>
      </c>
      <c r="J5484" s="48" t="n">
        <f aca="false">Assumptions!$K$111</f>
        <v>0</v>
      </c>
      <c r="K5484" s="48" t="n">
        <f aca="false">Assumptions!$L$111</f>
        <v>0</v>
      </c>
      <c r="L5484" s="48" t="n">
        <f aca="false">Assumptions!$M$111</f>
        <v>0</v>
      </c>
      <c r="M5484" s="48" t="n">
        <f aca="false">Assumptions!$N$111</f>
        <v>0</v>
      </c>
      <c r="N5484" s="48" t="n">
        <f aca="false">Assumptions!$O$111</f>
        <v>0</v>
      </c>
      <c r="P5484" s="49" t="n">
        <f aca="false">F5484</f>
        <v>0</v>
      </c>
      <c r="Q5484" s="49" t="n">
        <f aca="false">J5484</f>
        <v>0</v>
      </c>
      <c r="R5484" s="49" t="n">
        <f aca="false">N5484</f>
        <v>0</v>
      </c>
      <c r="S5484" s="50" t="n">
        <f aca="false">R5484</f>
        <v>0</v>
      </c>
    </row>
    <row r="5485" customFormat="false" ht="15" hidden="false" customHeight="false" outlineLevel="0" collapsed="false">
      <c r="A5485" s="4" t="s">
        <v>493</v>
      </c>
      <c r="B5485" s="36" t="s">
        <v>321</v>
      </c>
      <c r="C5485" s="48" t="n">
        <f aca="false">0</f>
        <v>0</v>
      </c>
      <c r="D5485" s="48" t="n">
        <f aca="false">0.5*C5484</f>
        <v>0</v>
      </c>
      <c r="E5485" s="48" t="n">
        <f aca="false">C5484+0.5*(D5484-C5484)</f>
        <v>0</v>
      </c>
      <c r="F5485" s="48" t="n">
        <f aca="false">D5484+0.5*(E5484-D5484)</f>
        <v>0</v>
      </c>
      <c r="G5485" s="48" t="n">
        <f aca="false">E5484+0.5*(F5484-E5484)</f>
        <v>0</v>
      </c>
      <c r="H5485" s="48" t="n">
        <f aca="false">F5484+0.5*(G5484-F5484)</f>
        <v>0</v>
      </c>
      <c r="I5485" s="48" t="n">
        <f aca="false">G5484+0.5*(H5484-G5484)</f>
        <v>0</v>
      </c>
      <c r="J5485" s="48" t="n">
        <f aca="false">H5484+0.5*(I5484-H5484)</f>
        <v>0</v>
      </c>
      <c r="K5485" s="48" t="n">
        <f aca="false">I5484+0.5*(J5484-I5484)</f>
        <v>0</v>
      </c>
      <c r="L5485" s="48" t="n">
        <f aca="false">J5484+0.5*(K5484-J5484)</f>
        <v>0</v>
      </c>
      <c r="M5485" s="48" t="n">
        <f aca="false">K5484+0.5*(L5484-K5484)</f>
        <v>0</v>
      </c>
      <c r="N5485" s="48" t="n">
        <f aca="false">L5484+0.5*(M5484-L5484)</f>
        <v>0</v>
      </c>
      <c r="P5485" s="49" t="n">
        <f aca="false">F5485</f>
        <v>0</v>
      </c>
      <c r="Q5485" s="49" t="n">
        <f aca="false">J5485</f>
        <v>0</v>
      </c>
      <c r="R5485" s="49" t="n">
        <f aca="false">N5485</f>
        <v>0</v>
      </c>
      <c r="S5485" s="50" t="n">
        <f aca="false">R5485</f>
        <v>0</v>
      </c>
    </row>
    <row r="5486" customFormat="false" ht="15" hidden="false" customHeight="false" outlineLevel="0" collapsed="false">
      <c r="A5486" s="4" t="s">
        <v>494</v>
      </c>
      <c r="B5486" s="36" t="s">
        <v>485</v>
      </c>
      <c r="C5486" s="39" t="n">
        <f aca="false">MIN(C5485*Assumptions!$E$38,C5481*(1-$C$5464))</f>
        <v>0</v>
      </c>
      <c r="D5486" s="39" t="n">
        <f aca="false">MIN(D5485*Assumptions!$E$38,D5481*(1-$C$5464))</f>
        <v>0</v>
      </c>
      <c r="E5486" s="39" t="n">
        <f aca="false">MIN(E5485*Assumptions!$E$38,E5481*(1-$C$5464))</f>
        <v>0</v>
      </c>
      <c r="F5486" s="39" t="n">
        <f aca="false">MIN(F5485*Assumptions!$E$38,F5481*(1-$C$5464))</f>
        <v>0</v>
      </c>
      <c r="G5486" s="39" t="n">
        <f aca="false">MIN(G5485*Assumptions!$E$38,G5481*(1-$C$5464))</f>
        <v>0</v>
      </c>
      <c r="H5486" s="39" t="n">
        <f aca="false">MIN(H5485*Assumptions!$E$38,H5481*(1-$C$5464))</f>
        <v>0</v>
      </c>
      <c r="I5486" s="39" t="n">
        <f aca="false">MIN(I5485*Assumptions!$E$38,I5481*(1-$C$5464))</f>
        <v>0</v>
      </c>
      <c r="J5486" s="39" t="n">
        <f aca="false">MIN(J5485*Assumptions!$E$38,J5481*(1-$C$5464))</f>
        <v>0</v>
      </c>
      <c r="K5486" s="39" t="n">
        <f aca="false">MIN(K5485*Assumptions!$E$38,K5481*(1-$C$5464))</f>
        <v>0</v>
      </c>
      <c r="L5486" s="39" t="n">
        <f aca="false">MIN(L5485*Assumptions!$E$38,L5481*(1-$C$5464))</f>
        <v>0</v>
      </c>
      <c r="M5486" s="39" t="n">
        <f aca="false">MIN(M5485*Assumptions!$E$38,M5481*(1-$C$5464))</f>
        <v>0</v>
      </c>
      <c r="N5486" s="39" t="n">
        <f aca="false">MIN(N5485*Assumptions!$E$38,N5481*(1-$C$5464))</f>
        <v>0</v>
      </c>
      <c r="P5486" s="40" t="n">
        <f aca="false">SUM(C5486:F5486)</f>
        <v>0</v>
      </c>
      <c r="Q5486" s="40" t="n">
        <f aca="false">SUM(G5486:J5486)</f>
        <v>0</v>
      </c>
      <c r="R5486" s="40" t="n">
        <f aca="false">SUM(K5486:N5486)</f>
        <v>0</v>
      </c>
      <c r="S5486" s="41" t="n">
        <f aca="false">SUM(P5486:R5486)</f>
        <v>0</v>
      </c>
    </row>
    <row r="5487" customFormat="false" ht="15" hidden="false" customHeight="false" outlineLevel="0" collapsed="false">
      <c r="A5487" s="4" t="s">
        <v>495</v>
      </c>
      <c r="B5487" s="36" t="s">
        <v>491</v>
      </c>
      <c r="C5487" s="48" t="n">
        <f aca="false">C5486*Assumptions!$E$20*Assumptions!$E$39*IF(C5481&gt;0,C5482/C5481,0)*C5471</f>
        <v>0</v>
      </c>
      <c r="D5487" s="48" t="n">
        <f aca="false">D5486*Assumptions!$E$20*Assumptions!$E$39*IF(D5481&gt;0,D5482/D5481,0)*D5471</f>
        <v>0</v>
      </c>
      <c r="E5487" s="48" t="n">
        <f aca="false">E5486*Assumptions!$E$20*Assumptions!$E$39*IF(E5481&gt;0,E5482/E5481,0)*E5471</f>
        <v>0</v>
      </c>
      <c r="F5487" s="48" t="n">
        <f aca="false">F5486*Assumptions!$E$20*Assumptions!$E$39*IF(F5481&gt;0,F5482/F5481,0)*F5471</f>
        <v>0</v>
      </c>
      <c r="G5487" s="48" t="n">
        <f aca="false">G5486*Assumptions!$E$20*Assumptions!$E$39*IF(G5481&gt;0,G5482/G5481,0)*G5471</f>
        <v>0</v>
      </c>
      <c r="H5487" s="48" t="n">
        <f aca="false">H5486*Assumptions!$E$20*Assumptions!$E$39*IF(H5481&gt;0,H5482/H5481,0)*H5471</f>
        <v>0</v>
      </c>
      <c r="I5487" s="48" t="n">
        <f aca="false">I5486*Assumptions!$E$20*Assumptions!$E$39*IF(I5481&gt;0,I5482/I5481,0)*I5471</f>
        <v>0</v>
      </c>
      <c r="J5487" s="48" t="n">
        <f aca="false">J5486*Assumptions!$E$20*Assumptions!$E$39*IF(J5481&gt;0,J5482/J5481,0)*J5471</f>
        <v>0</v>
      </c>
      <c r="K5487" s="48" t="n">
        <f aca="false">K5486*Assumptions!$E$20*Assumptions!$E$39*IF(K5481&gt;0,K5482/K5481,0)*K5471</f>
        <v>0</v>
      </c>
      <c r="L5487" s="48" t="n">
        <f aca="false">L5486*Assumptions!$E$20*Assumptions!$E$39*IF(L5481&gt;0,L5482/L5481,0)*L5471</f>
        <v>0</v>
      </c>
      <c r="M5487" s="48" t="n">
        <f aca="false">M5486*Assumptions!$E$20*Assumptions!$E$39*IF(M5481&gt;0,M5482/M5481,0)*M5471</f>
        <v>0</v>
      </c>
      <c r="N5487" s="48" t="n">
        <f aca="false">N5486*Assumptions!$E$20*Assumptions!$E$39*IF(N5481&gt;0,N5482/N5481,0)*N5471</f>
        <v>0</v>
      </c>
      <c r="P5487" s="49" t="n">
        <f aca="false">SUM(C5487:F5487)</f>
        <v>0</v>
      </c>
      <c r="Q5487" s="49" t="n">
        <f aca="false">SUM(G5487:J5487)</f>
        <v>0</v>
      </c>
      <c r="R5487" s="49" t="n">
        <f aca="false">SUM(K5487:N5487)</f>
        <v>0</v>
      </c>
      <c r="S5487" s="50" t="n">
        <f aca="false">SUM(P5487:R5487)</f>
        <v>0</v>
      </c>
    </row>
    <row r="5488" customFormat="false" ht="15" hidden="false" customHeight="false" outlineLevel="0" collapsed="false">
      <c r="A5488" s="4" t="s">
        <v>496</v>
      </c>
      <c r="B5488" s="36" t="s">
        <v>497</v>
      </c>
      <c r="C5488" s="48" t="n">
        <f aca="false">IF(AND(C5481&gt;0,$C$5468&gt;0),C5481*Assumptions!$E$24*(1-EXP(-$C$5468/(Assumptions!$E$23*C5481*Assumptions!$E$24))),0)</f>
        <v>0</v>
      </c>
      <c r="D5488" s="48" t="n">
        <f aca="false">IF(AND(D5481&gt;0,$C$5468&gt;0),D5481*Assumptions!$E$24*(1-EXP(-$C$5468/(Assumptions!$E$23*D5481*Assumptions!$E$24))),0)</f>
        <v>0</v>
      </c>
      <c r="E5488" s="48" t="n">
        <f aca="false">IF(AND(E5481&gt;0,$C$5468&gt;0),E5481*Assumptions!$E$24*(1-EXP(-$C$5468/(Assumptions!$E$23*E5481*Assumptions!$E$24))),0)</f>
        <v>0</v>
      </c>
      <c r="F5488" s="48" t="n">
        <f aca="false">IF(AND(F5481&gt;0,$C$5468&gt;0),F5481*Assumptions!$E$24*(1-EXP(-$C$5468/(Assumptions!$E$23*F5481*Assumptions!$E$24))),0)</f>
        <v>0</v>
      </c>
      <c r="G5488" s="48" t="n">
        <f aca="false">IF(AND(G5481&gt;0,$C$5468&gt;0),G5481*Assumptions!$E$24*(1-EXP(-$C$5468/(Assumptions!$E$23*G5481*Assumptions!$E$24))),0)</f>
        <v>0</v>
      </c>
      <c r="H5488" s="48" t="n">
        <f aca="false">IF(AND(H5481&gt;0,$C$5468&gt;0),H5481*Assumptions!$E$24*(1-EXP(-$C$5468/(Assumptions!$E$23*H5481*Assumptions!$E$24))),0)</f>
        <v>0</v>
      </c>
      <c r="I5488" s="48" t="n">
        <f aca="false">IF(AND(I5481&gt;0,$C$5468&gt;0),I5481*Assumptions!$E$24*(1-EXP(-$C$5468/(Assumptions!$E$23*I5481*Assumptions!$E$24))),0)</f>
        <v>0</v>
      </c>
      <c r="J5488" s="48" t="n">
        <f aca="false">IF(AND(J5481&gt;0,$C$5468&gt;0),J5481*Assumptions!$E$24*(1-EXP(-$C$5468/(Assumptions!$E$23*J5481*Assumptions!$E$24))),0)</f>
        <v>0</v>
      </c>
      <c r="K5488" s="48" t="n">
        <f aca="false">IF(AND(K5481&gt;0,$C$5468&gt;0),K5481*Assumptions!$E$24*(1-EXP(-$C$5468/(Assumptions!$E$23*K5481*Assumptions!$E$24))),0)</f>
        <v>0</v>
      </c>
      <c r="L5488" s="48" t="n">
        <f aca="false">IF(AND(L5481&gt;0,$C$5468&gt;0),L5481*Assumptions!$E$24*(1-EXP(-$C$5468/(Assumptions!$E$23*L5481*Assumptions!$E$24))),0)</f>
        <v>0</v>
      </c>
      <c r="M5488" s="48" t="n">
        <f aca="false">IF(AND(M5481&gt;0,$C$5468&gt;0),M5481*Assumptions!$E$24*(1-EXP(-$C$5468/(Assumptions!$E$23*M5481*Assumptions!$E$24))),0)</f>
        <v>0</v>
      </c>
      <c r="N5488" s="48" t="n">
        <f aca="false">IF(AND(N5481&gt;0,$C$5468&gt;0),N5481*Assumptions!$E$24*(1-EXP(-$C$5468/(Assumptions!$E$23*N5481*Assumptions!$E$24))),0)</f>
        <v>0</v>
      </c>
      <c r="P5488" s="49" t="n">
        <f aca="false">SUM(C5488:F5488)</f>
        <v>0</v>
      </c>
      <c r="Q5488" s="49" t="n">
        <f aca="false">SUM(G5488:J5488)</f>
        <v>0</v>
      </c>
      <c r="R5488" s="49" t="n">
        <f aca="false">SUM(K5488:N5488)</f>
        <v>0</v>
      </c>
      <c r="S5488" s="50" t="n">
        <f aca="false">SUM(P5488:R5488)</f>
        <v>0</v>
      </c>
    </row>
    <row r="5489" customFormat="false" ht="15" hidden="false" customHeight="false" outlineLevel="0" collapsed="false">
      <c r="A5489" s="4" t="s">
        <v>498</v>
      </c>
      <c r="B5489" s="36" t="s">
        <v>497</v>
      </c>
      <c r="C5489" s="48" t="n">
        <f aca="false">(C5481*Assumptions!$E$22*MIN(1,Assumptions!$D$103/Assumptions!$E$78)+C5488)*C5471</f>
        <v>5.5188772352</v>
      </c>
      <c r="D5489" s="48" t="n">
        <f aca="false">(D5481*Assumptions!$E$22*MIN(1,Assumptions!$D$103/Assumptions!$E$78)+D5488)*D5471</f>
        <v>11.0377544704</v>
      </c>
      <c r="E5489" s="48" t="n">
        <f aca="false">(E5481*Assumptions!$E$22*MIN(1,Assumptions!$D$103/Assumptions!$E$78)+E5488)*E5471</f>
        <v>11.0377544704</v>
      </c>
      <c r="F5489" s="48" t="n">
        <f aca="false">(F5481*Assumptions!$E$22*MIN(1,Assumptions!$D$103/Assumptions!$E$78)+F5488)*F5471</f>
        <v>11.0377544704</v>
      </c>
      <c r="G5489" s="48" t="n">
        <f aca="false">(G5481*Assumptions!$E$22*MIN(1,Assumptions!$D$103/Assumptions!$E$78)+G5488)*G5471</f>
        <v>14.9349950176</v>
      </c>
      <c r="H5489" s="48" t="n">
        <f aca="false">(H5481*Assumptions!$E$22*MIN(1,Assumptions!$D$103/Assumptions!$E$78)+H5488)*H5471</f>
        <v>18.8322355648</v>
      </c>
      <c r="I5489" s="48" t="n">
        <f aca="false">(I5481*Assumptions!$E$22*MIN(1,Assumptions!$D$103/Assumptions!$E$78)+I5488)*I5471</f>
        <v>31.6761039616</v>
      </c>
      <c r="J5489" s="48" t="n">
        <f aca="false">(J5481*Assumptions!$E$22*MIN(1,Assumptions!$D$103/Assumptions!$E$78)+J5488)*J5471</f>
        <v>44.5199723584</v>
      </c>
      <c r="K5489" s="48" t="n">
        <f aca="false">(K5481*Assumptions!$E$22*MIN(1,Assumptions!$D$103/Assumptions!$E$78)+K5488)*K5471</f>
        <v>44.5199723584</v>
      </c>
      <c r="L5489" s="48" t="n">
        <f aca="false">(L5481*Assumptions!$E$22*MIN(1,Assumptions!$D$103/Assumptions!$E$78)+L5488)*L5471</f>
        <v>44.5199723584</v>
      </c>
      <c r="M5489" s="48" t="n">
        <f aca="false">(M5481*Assumptions!$E$22*MIN(1,Assumptions!$D$103/Assumptions!$E$78)+M5488)*M5471</f>
        <v>44.5199723584</v>
      </c>
      <c r="N5489" s="48" t="n">
        <f aca="false">(N5481*Assumptions!$E$22*MIN(1,Assumptions!$D$103/Assumptions!$E$78)+N5488)*N5471</f>
        <v>44.5199723584</v>
      </c>
      <c r="P5489" s="49" t="n">
        <f aca="false">SUM(C5489:F5489)</f>
        <v>38.6321406464</v>
      </c>
      <c r="Q5489" s="49" t="n">
        <f aca="false">SUM(G5489:J5489)</f>
        <v>109.9633069024</v>
      </c>
      <c r="R5489" s="49" t="n">
        <f aca="false">SUM(K5489:N5489)</f>
        <v>178.0798894336</v>
      </c>
      <c r="S5489" s="50" t="n">
        <f aca="false">SUM(P5489:R5489)</f>
        <v>326.6753369824</v>
      </c>
    </row>
    <row r="5490" customFormat="false" ht="15" hidden="false" customHeight="false" outlineLevel="0" collapsed="false">
      <c r="A5490" s="4" t="s">
        <v>499</v>
      </c>
      <c r="B5490" s="36" t="s">
        <v>500</v>
      </c>
      <c r="C5490" s="48" t="n">
        <f aca="false">C5471*MIN(Assumptions!$E$27,Assumptions!$E$25+Assumptions!$E$26*(C5470-1))*Assumptions!$D$107</f>
        <v>2</v>
      </c>
      <c r="D5490" s="48" t="n">
        <f aca="false">D5471*MIN(Assumptions!$E$27,Assumptions!$E$25+Assumptions!$E$26*(D5470-1))*Assumptions!$D$107</f>
        <v>3</v>
      </c>
      <c r="E5490" s="48" t="n">
        <f aca="false">E5471*MIN(Assumptions!$E$27,Assumptions!$E$25+Assumptions!$E$26*(E5470-1))*Assumptions!$D$107</f>
        <v>4</v>
      </c>
      <c r="F5490" s="48" t="n">
        <f aca="false">F5471*MIN(Assumptions!$E$27,Assumptions!$E$25+Assumptions!$E$26*(F5470-1))*Assumptions!$D$107</f>
        <v>5</v>
      </c>
      <c r="G5490" s="48" t="n">
        <f aca="false">G5471*MIN(Assumptions!$E$27,Assumptions!$E$25+Assumptions!$E$26*(G5470-1))*Assumptions!$D$107</f>
        <v>6</v>
      </c>
      <c r="H5490" s="48" t="n">
        <f aca="false">H5471*MIN(Assumptions!$E$27,Assumptions!$E$25+Assumptions!$E$26*(H5470-1))*Assumptions!$D$107</f>
        <v>7</v>
      </c>
      <c r="I5490" s="48" t="n">
        <f aca="false">I5471*MIN(Assumptions!$E$27,Assumptions!$E$25+Assumptions!$E$26*(I5470-1))*Assumptions!$D$107</f>
        <v>8</v>
      </c>
      <c r="J5490" s="48" t="n">
        <f aca="false">J5471*MIN(Assumptions!$E$27,Assumptions!$E$25+Assumptions!$E$26*(J5470-1))*Assumptions!$D$107</f>
        <v>9</v>
      </c>
      <c r="K5490" s="48" t="n">
        <f aca="false">K5471*MIN(Assumptions!$E$27,Assumptions!$E$25+Assumptions!$E$26*(K5470-1))*Assumptions!$D$107</f>
        <v>10</v>
      </c>
      <c r="L5490" s="48" t="n">
        <f aca="false">L5471*MIN(Assumptions!$E$27,Assumptions!$E$25+Assumptions!$E$26*(L5470-1))*Assumptions!$D$107</f>
        <v>10</v>
      </c>
      <c r="M5490" s="48" t="n">
        <f aca="false">M5471*MIN(Assumptions!$E$27,Assumptions!$E$25+Assumptions!$E$26*(M5470-1))*Assumptions!$D$107</f>
        <v>10</v>
      </c>
      <c r="N5490" s="48" t="n">
        <f aca="false">N5471*MIN(Assumptions!$E$27,Assumptions!$E$25+Assumptions!$E$26*(N5470-1))*Assumptions!$D$107</f>
        <v>10</v>
      </c>
      <c r="P5490" s="49" t="n">
        <f aca="false">F5490</f>
        <v>5</v>
      </c>
      <c r="Q5490" s="49" t="n">
        <f aca="false">J5490</f>
        <v>9</v>
      </c>
      <c r="R5490" s="49" t="n">
        <f aca="false">N5490</f>
        <v>10</v>
      </c>
      <c r="S5490" s="50" t="n">
        <f aca="false">R5490</f>
        <v>10</v>
      </c>
    </row>
    <row r="5491" customFormat="false" ht="15" hidden="false" customHeight="false" outlineLevel="0" collapsed="false">
      <c r="A5491" s="4" t="s">
        <v>501</v>
      </c>
      <c r="B5491" s="36" t="s">
        <v>502</v>
      </c>
      <c r="C5491" s="48" t="n">
        <f aca="false">C5490*Assumptions!$E$28</f>
        <v>6</v>
      </c>
      <c r="D5491" s="48" t="n">
        <f aca="false">D5490*Assumptions!$E$28</f>
        <v>9</v>
      </c>
      <c r="E5491" s="48" t="n">
        <f aca="false">E5490*Assumptions!$E$28</f>
        <v>12</v>
      </c>
      <c r="F5491" s="48" t="n">
        <f aca="false">F5490*Assumptions!$E$28</f>
        <v>15</v>
      </c>
      <c r="G5491" s="48" t="n">
        <f aca="false">G5490*Assumptions!$E$28</f>
        <v>18</v>
      </c>
      <c r="H5491" s="48" t="n">
        <f aca="false">H5490*Assumptions!$E$28</f>
        <v>21</v>
      </c>
      <c r="I5491" s="48" t="n">
        <f aca="false">I5490*Assumptions!$E$28</f>
        <v>24</v>
      </c>
      <c r="J5491" s="48" t="n">
        <f aca="false">J5490*Assumptions!$E$28</f>
        <v>27</v>
      </c>
      <c r="K5491" s="48" t="n">
        <f aca="false">K5490*Assumptions!$E$28</f>
        <v>30</v>
      </c>
      <c r="L5491" s="48" t="n">
        <f aca="false">L5490*Assumptions!$E$28</f>
        <v>30</v>
      </c>
      <c r="M5491" s="48" t="n">
        <f aca="false">M5490*Assumptions!$E$28</f>
        <v>30</v>
      </c>
      <c r="N5491" s="48" t="n">
        <f aca="false">N5490*Assumptions!$E$28</f>
        <v>30</v>
      </c>
      <c r="P5491" s="49" t="n">
        <f aca="false">SUM(C5491:F5491)</f>
        <v>42</v>
      </c>
      <c r="Q5491" s="49" t="n">
        <f aca="false">SUM(G5491:J5491)</f>
        <v>90</v>
      </c>
      <c r="R5491" s="49" t="n">
        <f aca="false">SUM(K5491:N5491)</f>
        <v>120</v>
      </c>
      <c r="S5491" s="50" t="n">
        <f aca="false">SUM(P5491:R5491)</f>
        <v>252</v>
      </c>
    </row>
    <row r="5492" customFormat="false" ht="15" hidden="false" customHeight="false" outlineLevel="0" collapsed="false">
      <c r="A5492" s="4" t="s">
        <v>503</v>
      </c>
      <c r="B5492" s="36" t="s">
        <v>504</v>
      </c>
      <c r="C5492" s="48" t="n">
        <f aca="false">(C5483+C5487)*Assumptions!$E$29</f>
        <v>2.649061072896</v>
      </c>
      <c r="D5492" s="48" t="n">
        <f aca="false">(D5483+D5487)*Assumptions!$E$29</f>
        <v>4.93045821299048</v>
      </c>
      <c r="E5492" s="48" t="n">
        <f aca="false">(E5483+E5487)*Assumptions!$E$29</f>
        <v>4.58830837060879</v>
      </c>
      <c r="F5492" s="48" t="n">
        <f aca="false">(F5483+F5487)*Assumptions!$E$29</f>
        <v>4.26990206474738</v>
      </c>
      <c r="G5492" s="48" t="n">
        <f aca="false">(G5483+G5487)*Assumptions!$E$29</f>
        <v>5.844267072</v>
      </c>
      <c r="H5492" s="48" t="n">
        <f aca="false">(H5483+H5487)*Assumptions!$E$29</f>
        <v>7.17956301044434</v>
      </c>
      <c r="I5492" s="48" t="n">
        <f aca="false">(I5483+I5487)*Assumptions!$E$29</f>
        <v>12.8463930542132</v>
      </c>
      <c r="J5492" s="48" t="n">
        <f aca="false">(J5483+J5487)*Assumptions!$E$29</f>
        <v>17.6921476412567</v>
      </c>
      <c r="K5492" s="48" t="n">
        <f aca="false">(K5483+K5487)*Assumptions!$E$29</f>
        <v>16.4643985629052</v>
      </c>
      <c r="L5492" s="48" t="n">
        <f aca="false">(L5483+L5487)*Assumptions!$E$29</f>
        <v>15.3218493048332</v>
      </c>
      <c r="M5492" s="48" t="n">
        <f aca="false">(M5483+M5487)*Assumptions!$E$29</f>
        <v>14.2585874135079</v>
      </c>
      <c r="N5492" s="48" t="n">
        <f aca="false">(N5483+N5487)*Assumptions!$E$29</f>
        <v>13.2691107309425</v>
      </c>
      <c r="P5492" s="49" t="n">
        <f aca="false">SUM(C5492:F5492)</f>
        <v>16.4377297212427</v>
      </c>
      <c r="Q5492" s="49" t="n">
        <f aca="false">SUM(G5492:J5492)</f>
        <v>43.5623707779142</v>
      </c>
      <c r="R5492" s="49" t="n">
        <f aca="false">SUM(K5492:N5492)</f>
        <v>59.3139460121888</v>
      </c>
      <c r="S5492" s="50" t="n">
        <f aca="false">SUM(P5492:R5492)</f>
        <v>119.314046511346</v>
      </c>
    </row>
    <row r="5493" customFormat="false" ht="15" hidden="false" customHeight="false" outlineLevel="0" collapsed="false">
      <c r="A5493" s="4" t="s">
        <v>505</v>
      </c>
      <c r="B5493" s="36" t="s">
        <v>504</v>
      </c>
      <c r="C5493" s="48" t="n">
        <f aca="false">C5489*Assumptions!$E$31</f>
        <v>0.883020357632</v>
      </c>
      <c r="D5493" s="48" t="n">
        <f aca="false">D5489*Assumptions!$E$31</f>
        <v>1.766040715264</v>
      </c>
      <c r="E5493" s="48" t="n">
        <f aca="false">E5489*Assumptions!$E$31</f>
        <v>1.766040715264</v>
      </c>
      <c r="F5493" s="48" t="n">
        <f aca="false">F5489*Assumptions!$E$31</f>
        <v>1.766040715264</v>
      </c>
      <c r="G5493" s="48" t="n">
        <f aca="false">G5489*Assumptions!$E$31</f>
        <v>2.389599202816</v>
      </c>
      <c r="H5493" s="48" t="n">
        <f aca="false">H5489*Assumptions!$E$31</f>
        <v>3.013157690368</v>
      </c>
      <c r="I5493" s="48" t="n">
        <f aca="false">I5489*Assumptions!$E$31</f>
        <v>5.068176633856</v>
      </c>
      <c r="J5493" s="48" t="n">
        <f aca="false">J5489*Assumptions!$E$31</f>
        <v>7.123195577344</v>
      </c>
      <c r="K5493" s="48" t="n">
        <f aca="false">K5489*Assumptions!$E$31</f>
        <v>7.123195577344</v>
      </c>
      <c r="L5493" s="48" t="n">
        <f aca="false">L5489*Assumptions!$E$31</f>
        <v>7.123195577344</v>
      </c>
      <c r="M5493" s="48" t="n">
        <f aca="false">M5489*Assumptions!$E$31</f>
        <v>7.123195577344</v>
      </c>
      <c r="N5493" s="48" t="n">
        <f aca="false">N5489*Assumptions!$E$31</f>
        <v>7.123195577344</v>
      </c>
      <c r="P5493" s="49" t="n">
        <f aca="false">SUM(C5493:F5493)</f>
        <v>6.181142503424</v>
      </c>
      <c r="Q5493" s="49" t="n">
        <f aca="false">SUM(G5493:J5493)</f>
        <v>17.594129104384</v>
      </c>
      <c r="R5493" s="49" t="n">
        <f aca="false">SUM(K5493:N5493)</f>
        <v>28.492782309376</v>
      </c>
      <c r="S5493" s="50" t="n">
        <f aca="false">SUM(P5493:R5493)</f>
        <v>52.268053917184</v>
      </c>
    </row>
    <row r="5494" customFormat="false" ht="15" hidden="false" customHeight="false" outlineLevel="0" collapsed="false">
      <c r="A5494" s="4" t="s">
        <v>506</v>
      </c>
      <c r="B5494" s="36" t="s">
        <v>504</v>
      </c>
      <c r="C5494" s="48" t="n">
        <f aca="false">C5491*Assumptions!$E$30</f>
        <v>3</v>
      </c>
      <c r="D5494" s="48" t="n">
        <f aca="false">D5491*Assumptions!$E$30</f>
        <v>4.5</v>
      </c>
      <c r="E5494" s="48" t="n">
        <f aca="false">E5491*Assumptions!$E$30</f>
        <v>6</v>
      </c>
      <c r="F5494" s="48" t="n">
        <f aca="false">F5491*Assumptions!$E$30</f>
        <v>7.5</v>
      </c>
      <c r="G5494" s="48" t="n">
        <f aca="false">G5491*Assumptions!$E$30</f>
        <v>9</v>
      </c>
      <c r="H5494" s="48" t="n">
        <f aca="false">H5491*Assumptions!$E$30</f>
        <v>10.5</v>
      </c>
      <c r="I5494" s="48" t="n">
        <f aca="false">I5491*Assumptions!$E$30</f>
        <v>12</v>
      </c>
      <c r="J5494" s="48" t="n">
        <f aca="false">J5491*Assumptions!$E$30</f>
        <v>13.5</v>
      </c>
      <c r="K5494" s="48" t="n">
        <f aca="false">K5491*Assumptions!$E$30</f>
        <v>15</v>
      </c>
      <c r="L5494" s="48" t="n">
        <f aca="false">L5491*Assumptions!$E$30</f>
        <v>15</v>
      </c>
      <c r="M5494" s="48" t="n">
        <f aca="false">M5491*Assumptions!$E$30</f>
        <v>15</v>
      </c>
      <c r="N5494" s="48" t="n">
        <f aca="false">N5491*Assumptions!$E$30</f>
        <v>15</v>
      </c>
      <c r="P5494" s="49" t="n">
        <f aca="false">SUM(C5494:F5494)</f>
        <v>21</v>
      </c>
      <c r="Q5494" s="49" t="n">
        <f aca="false">SUM(G5494:J5494)</f>
        <v>45</v>
      </c>
      <c r="R5494" s="49" t="n">
        <f aca="false">SUM(K5494:N5494)</f>
        <v>60</v>
      </c>
      <c r="S5494" s="50" t="n">
        <f aca="false">SUM(P5494:R5494)</f>
        <v>126</v>
      </c>
    </row>
    <row r="5495" customFormat="false" ht="15" hidden="false" customHeight="false" outlineLevel="0" collapsed="false">
      <c r="A5495" s="9" t="s">
        <v>507</v>
      </c>
      <c r="B5495" s="36" t="s">
        <v>504</v>
      </c>
      <c r="C5495" s="49" t="n">
        <f aca="false">C5492+C5493+C5494</f>
        <v>6.532081430528</v>
      </c>
      <c r="D5495" s="49" t="n">
        <f aca="false">D5492+D5493+D5494</f>
        <v>11.1964989282545</v>
      </c>
      <c r="E5495" s="49" t="n">
        <f aca="false">E5492+E5493+E5494</f>
        <v>12.3543490858728</v>
      </c>
      <c r="F5495" s="49" t="n">
        <f aca="false">F5492+F5493+F5494</f>
        <v>13.5359427800114</v>
      </c>
      <c r="G5495" s="49" t="n">
        <f aca="false">G5492+G5493+G5494</f>
        <v>17.233866274816</v>
      </c>
      <c r="H5495" s="49" t="n">
        <f aca="false">H5492+H5493+H5494</f>
        <v>20.6927207008123</v>
      </c>
      <c r="I5495" s="49" t="n">
        <f aca="false">I5492+I5493+I5494</f>
        <v>29.9145696880692</v>
      </c>
      <c r="J5495" s="49" t="n">
        <f aca="false">J5492+J5493+J5494</f>
        <v>38.3153432186007</v>
      </c>
      <c r="K5495" s="49" t="n">
        <f aca="false">K5492+K5493+K5494</f>
        <v>38.5875941402492</v>
      </c>
      <c r="L5495" s="49" t="n">
        <f aca="false">L5492+L5493+L5494</f>
        <v>37.4450448821772</v>
      </c>
      <c r="M5495" s="49" t="n">
        <f aca="false">M5492+M5493+M5494</f>
        <v>36.3817829908519</v>
      </c>
      <c r="N5495" s="49" t="n">
        <f aca="false">N5492+N5493+N5494</f>
        <v>35.3923063082865</v>
      </c>
      <c r="P5495" s="49" t="n">
        <f aca="false">SUM(C5495:F5495)</f>
        <v>43.6188722246667</v>
      </c>
      <c r="Q5495" s="49" t="n">
        <f aca="false">SUM(G5495:J5495)</f>
        <v>106.156499882298</v>
      </c>
      <c r="R5495" s="49" t="n">
        <f aca="false">SUM(K5495:N5495)</f>
        <v>147.806728321565</v>
      </c>
      <c r="S5495" s="50" t="n">
        <f aca="false">SUM(P5495:R5495)</f>
        <v>297.58210042853</v>
      </c>
    </row>
    <row r="5496" customFormat="false" ht="15" hidden="false" customHeight="false" outlineLevel="0" collapsed="false">
      <c r="A5496" s="4" t="s">
        <v>508</v>
      </c>
      <c r="B5496" s="36" t="s">
        <v>509</v>
      </c>
      <c r="C5496" s="48" t="n">
        <f aca="false">C5478</f>
        <v>421.51972352</v>
      </c>
      <c r="D5496" s="48" t="n">
        <f aca="false">D5478</f>
        <v>843.03944704</v>
      </c>
      <c r="E5496" s="48" t="n">
        <f aca="false">E5478</f>
        <v>843.03944704</v>
      </c>
      <c r="F5496" s="48" t="n">
        <f aca="false">F5478</f>
        <v>843.03944704</v>
      </c>
      <c r="G5496" s="48" t="n">
        <f aca="false">G5478</f>
        <v>1149.32798176</v>
      </c>
      <c r="H5496" s="48" t="n">
        <f aca="false">H5478</f>
        <v>1455.61651648</v>
      </c>
      <c r="I5496" s="48" t="n">
        <f aca="false">I5478</f>
        <v>2486.00303616</v>
      </c>
      <c r="J5496" s="48" t="n">
        <f aca="false">J5478</f>
        <v>3516.38955584</v>
      </c>
      <c r="K5496" s="48" t="n">
        <f aca="false">K5478</f>
        <v>3516.38955584</v>
      </c>
      <c r="L5496" s="48" t="n">
        <f aca="false">L5478</f>
        <v>3516.38955584</v>
      </c>
      <c r="M5496" s="48" t="n">
        <f aca="false">M5478</f>
        <v>3516.38955584</v>
      </c>
      <c r="N5496" s="48" t="n">
        <f aca="false">N5478</f>
        <v>3516.38955584</v>
      </c>
      <c r="P5496" s="49"/>
      <c r="Q5496" s="49"/>
      <c r="R5496" s="49"/>
      <c r="S5496" s="50"/>
    </row>
    <row r="5497" customFormat="false" ht="15" hidden="false" customHeight="false" outlineLevel="0" collapsed="false">
      <c r="A5497" s="4" t="s">
        <v>510</v>
      </c>
      <c r="B5497" s="36" t="s">
        <v>509</v>
      </c>
      <c r="C5497" s="48" t="n">
        <f aca="false">C5479*3*Assumptions!$E$33</f>
        <v>316.79424</v>
      </c>
      <c r="D5497" s="48" t="n">
        <f aca="false">D5479*3*Assumptions!$E$33</f>
        <v>633.58848</v>
      </c>
      <c r="E5497" s="48" t="n">
        <f aca="false">E5479*3*Assumptions!$E$33</f>
        <v>633.58848</v>
      </c>
      <c r="F5497" s="48" t="n">
        <f aca="false">F5479*3*Assumptions!$E$33</f>
        <v>633.58848</v>
      </c>
      <c r="G5497" s="48" t="n">
        <f aca="false">G5479*3*Assumptions!$E$33</f>
        <v>846.74016</v>
      </c>
      <c r="H5497" s="48" t="n">
        <f aca="false">H5479*3*Assumptions!$E$33</f>
        <v>1059.89184</v>
      </c>
      <c r="I5497" s="48" t="n">
        <f aca="false">I5479*3*Assumptions!$E$33</f>
        <v>1702.60608</v>
      </c>
      <c r="J5497" s="48" t="n">
        <f aca="false">J5479*3*Assumptions!$E$33</f>
        <v>2345.32032</v>
      </c>
      <c r="K5497" s="48" t="n">
        <f aca="false">K5479*3*Assumptions!$E$33</f>
        <v>2345.32032</v>
      </c>
      <c r="L5497" s="48" t="n">
        <f aca="false">L5479*3*Assumptions!$E$33</f>
        <v>2345.32032</v>
      </c>
      <c r="M5497" s="48" t="n">
        <f aca="false">M5479*3*Assumptions!$E$33</f>
        <v>2345.32032</v>
      </c>
      <c r="N5497" s="48" t="n">
        <f aca="false">N5479*3*Assumptions!$E$33</f>
        <v>2345.32032</v>
      </c>
      <c r="P5497" s="49"/>
      <c r="Q5497" s="49"/>
      <c r="R5497" s="49"/>
      <c r="S5497" s="50"/>
    </row>
    <row r="5498" customFormat="false" ht="15" hidden="false" customHeight="false" outlineLevel="0" collapsed="false">
      <c r="A5498" s="4" t="s">
        <v>511</v>
      </c>
      <c r="B5498" s="36" t="s">
        <v>509</v>
      </c>
      <c r="C5498" s="48" t="n">
        <f aca="false">C5480*3*Assumptions!$E$34</f>
        <v>52.016832</v>
      </c>
      <c r="D5498" s="48" t="n">
        <f aca="false">D5480*3*Assumptions!$E$34</f>
        <v>104.033664</v>
      </c>
      <c r="E5498" s="48" t="n">
        <f aca="false">E5480*3*Assumptions!$E$34</f>
        <v>104.033664</v>
      </c>
      <c r="F5498" s="48" t="n">
        <f aca="false">F5480*3*Assumptions!$E$34</f>
        <v>104.033664</v>
      </c>
      <c r="G5498" s="48" t="n">
        <f aca="false">G5480*3*Assumptions!$E$34</f>
        <v>130.04208</v>
      </c>
      <c r="H5498" s="48" t="n">
        <f aca="false">H5480*3*Assumptions!$E$34</f>
        <v>156.050496</v>
      </c>
      <c r="I5498" s="48" t="n">
        <f aca="false">I5480*3*Assumptions!$E$34</f>
        <v>239.5512</v>
      </c>
      <c r="J5498" s="48" t="n">
        <f aca="false">J5480*3*Assumptions!$E$34</f>
        <v>323.051904</v>
      </c>
      <c r="K5498" s="48" t="n">
        <f aca="false">K5480*3*Assumptions!$E$34</f>
        <v>323.051904</v>
      </c>
      <c r="L5498" s="48" t="n">
        <f aca="false">L5480*3*Assumptions!$E$34</f>
        <v>323.051904</v>
      </c>
      <c r="M5498" s="48" t="n">
        <f aca="false">M5480*3*Assumptions!$E$34</f>
        <v>323.051904</v>
      </c>
      <c r="N5498" s="48" t="n">
        <f aca="false">N5480*3*Assumptions!$E$34</f>
        <v>323.051904</v>
      </c>
      <c r="P5498" s="49"/>
      <c r="Q5498" s="49"/>
      <c r="R5498" s="49"/>
      <c r="S5498" s="50"/>
    </row>
    <row r="5499" customFormat="false" ht="15" hidden="false" customHeight="false" outlineLevel="0" collapsed="false">
      <c r="A5499" s="4" t="s">
        <v>512</v>
      </c>
      <c r="B5499" s="36" t="s">
        <v>77</v>
      </c>
      <c r="C5499" s="51" t="n">
        <f aca="false">IFERROR(C5496/(C5496+C5497+C5498),0)</f>
        <v>0.533345943128358</v>
      </c>
      <c r="D5499" s="51" t="n">
        <f aca="false">IFERROR(D5496/(D5496+D5497+D5498),0)</f>
        <v>0.533345943128358</v>
      </c>
      <c r="E5499" s="51" t="n">
        <f aca="false">IFERROR(E5496/(E5496+E5497+E5498),0)</f>
        <v>0.533345943128358</v>
      </c>
      <c r="F5499" s="51" t="n">
        <f aca="false">IFERROR(F5496/(F5496+F5497+F5498),0)</f>
        <v>0.533345943128358</v>
      </c>
      <c r="G5499" s="51" t="n">
        <f aca="false">IFERROR(G5496/(G5496+G5497+G5498),0)</f>
        <v>0.540577797894496</v>
      </c>
      <c r="H5499" s="51" t="n">
        <f aca="false">IFERROR(H5496/(H5496+H5497+H5498),0)</f>
        <v>0.544856616251877</v>
      </c>
      <c r="I5499" s="51" t="n">
        <f aca="false">IFERROR(I5496/(I5496+I5497+I5498),0)</f>
        <v>0.561407640795581</v>
      </c>
      <c r="J5499" s="51" t="n">
        <f aca="false">IFERROR(J5496/(J5496+J5497+J5498),0)</f>
        <v>0.568556992332689</v>
      </c>
      <c r="K5499" s="51" t="n">
        <f aca="false">IFERROR(K5496/(K5496+K5497+K5498),0)</f>
        <v>0.568556992332689</v>
      </c>
      <c r="L5499" s="51" t="n">
        <f aca="false">IFERROR(L5496/(L5496+L5497+L5498),0)</f>
        <v>0.568556992332689</v>
      </c>
      <c r="M5499" s="51" t="n">
        <f aca="false">IFERROR(M5496/(M5496+M5497+M5498),0)</f>
        <v>0.568556992332689</v>
      </c>
      <c r="N5499" s="51" t="n">
        <f aca="false">IFERROR(N5496/(N5496+N5497+N5498),0)</f>
        <v>0.568556992332689</v>
      </c>
      <c r="P5499" s="52"/>
      <c r="Q5499" s="52"/>
      <c r="R5499" s="52"/>
      <c r="S5499" s="53"/>
    </row>
    <row r="5500" customFormat="false" ht="15" hidden="false" customHeight="false" outlineLevel="0" collapsed="false">
      <c r="A5500" s="4" t="s">
        <v>513</v>
      </c>
      <c r="B5500" s="36" t="s">
        <v>77</v>
      </c>
      <c r="C5500" s="51" t="n">
        <f aca="false">IFERROR(C5497/(C5496+C5497+C5498),0)</f>
        <v>0.400837524990488</v>
      </c>
      <c r="D5500" s="51" t="n">
        <f aca="false">IFERROR(D5497/(D5496+D5497+D5498),0)</f>
        <v>0.400837524990488</v>
      </c>
      <c r="E5500" s="51" t="n">
        <f aca="false">IFERROR(E5497/(E5496+E5497+E5498),0)</f>
        <v>0.400837524990488</v>
      </c>
      <c r="F5500" s="51" t="n">
        <f aca="false">IFERROR(F5497/(F5496+F5497+F5498),0)</f>
        <v>0.400837524990488</v>
      </c>
      <c r="G5500" s="51" t="n">
        <f aca="false">IFERROR(G5497/(G5496+G5497+G5498),0)</f>
        <v>0.398257884908275</v>
      </c>
      <c r="H5500" s="51" t="n">
        <f aca="false">IFERROR(H5497/(H5496+H5497+H5498),0)</f>
        <v>0.396731608220461</v>
      </c>
      <c r="I5500" s="51" t="n">
        <f aca="false">IFERROR(I5497/(I5496+I5497+I5498),0)</f>
        <v>0.384495130807834</v>
      </c>
      <c r="J5500" s="51" t="n">
        <f aca="false">IFERROR(J5497/(J5496+J5497+J5498),0)</f>
        <v>0.379209483483238</v>
      </c>
      <c r="K5500" s="51" t="n">
        <f aca="false">IFERROR(K5497/(K5496+K5497+K5498),0)</f>
        <v>0.379209483483238</v>
      </c>
      <c r="L5500" s="51" t="n">
        <f aca="false">IFERROR(L5497/(L5496+L5497+L5498),0)</f>
        <v>0.379209483483238</v>
      </c>
      <c r="M5500" s="51" t="n">
        <f aca="false">IFERROR(M5497/(M5496+M5497+M5498),0)</f>
        <v>0.379209483483238</v>
      </c>
      <c r="N5500" s="51" t="n">
        <f aca="false">IFERROR(N5497/(N5496+N5497+N5498),0)</f>
        <v>0.379209483483238</v>
      </c>
      <c r="P5500" s="52"/>
      <c r="Q5500" s="52"/>
      <c r="R5500" s="52"/>
      <c r="S5500" s="53"/>
    </row>
    <row r="5501" customFormat="false" ht="15" hidden="false" customHeight="false" outlineLevel="0" collapsed="false">
      <c r="A5501" s="4" t="s">
        <v>514</v>
      </c>
      <c r="B5501" s="36" t="s">
        <v>77</v>
      </c>
      <c r="C5501" s="51" t="n">
        <f aca="false">IFERROR(C5498/(C5496+C5497+C5498),0)</f>
        <v>0.0658165318811542</v>
      </c>
      <c r="D5501" s="51" t="n">
        <f aca="false">IFERROR(D5498/(D5496+D5497+D5498),0)</f>
        <v>0.0658165318811542</v>
      </c>
      <c r="E5501" s="51" t="n">
        <f aca="false">IFERROR(E5498/(E5496+E5497+E5498),0)</f>
        <v>0.0658165318811542</v>
      </c>
      <c r="F5501" s="51" t="n">
        <f aca="false">IFERROR(F5498/(F5496+F5497+F5498),0)</f>
        <v>0.0658165318811542</v>
      </c>
      <c r="G5501" s="51" t="n">
        <f aca="false">IFERROR(G5498/(G5496+G5497+G5498),0)</f>
        <v>0.0611643171972292</v>
      </c>
      <c r="H5501" s="51" t="n">
        <f aca="false">IFERROR(H5498/(H5496+H5497+H5498),0)</f>
        <v>0.058411775527662</v>
      </c>
      <c r="I5501" s="51" t="n">
        <f aca="false">IFERROR(I5498/(I5496+I5497+I5498),0)</f>
        <v>0.0540972283965846</v>
      </c>
      <c r="J5501" s="51" t="n">
        <f aca="false">IFERROR(J5498/(J5496+J5497+J5498),0)</f>
        <v>0.0522335241840725</v>
      </c>
      <c r="K5501" s="51" t="n">
        <f aca="false">IFERROR(K5498/(K5496+K5497+K5498),0)</f>
        <v>0.0522335241840725</v>
      </c>
      <c r="L5501" s="51" t="n">
        <f aca="false">IFERROR(L5498/(L5496+L5497+L5498),0)</f>
        <v>0.0522335241840725</v>
      </c>
      <c r="M5501" s="51" t="n">
        <f aca="false">IFERROR(M5498/(M5496+M5497+M5498),0)</f>
        <v>0.0522335241840725</v>
      </c>
      <c r="N5501" s="51" t="n">
        <f aca="false">IFERROR(N5498/(N5496+N5497+N5498),0)</f>
        <v>0.0522335241840725</v>
      </c>
      <c r="P5501" s="52"/>
      <c r="Q5501" s="52"/>
      <c r="R5501" s="52"/>
      <c r="S5501" s="53"/>
    </row>
    <row r="5502" customFormat="false" ht="15" hidden="false" customHeight="false" outlineLevel="0" collapsed="false">
      <c r="A5502" s="4" t="s">
        <v>515</v>
      </c>
      <c r="B5502" s="36" t="s">
        <v>516</v>
      </c>
      <c r="C5502" s="48" t="n">
        <f aca="false">IF(C5470-Assumptions!$E$35&lt;1,0,INDEX($C$5495:$N$5495,1,C5470-Assumptions!$E$35)*INDEX($C$5499:$N$5499,1,C5470-Assumptions!$E$35)*Assumptions!$E$32)</f>
        <v>0</v>
      </c>
      <c r="D5502" s="48" t="n">
        <f aca="false">IF(D5470-Assumptions!$E$35&lt;1,0,INDEX($C$5495:$N$5495,1,D5470-Assumptions!$E$35)*INDEX($C$5499:$N$5499,1,D5470-Assumptions!$E$35)*Assumptions!$E$32)</f>
        <v>0.7316104175428</v>
      </c>
      <c r="E5502" s="48" t="n">
        <f aca="false">IF(E5470-Assumptions!$E$35&lt;1,0,INDEX($C$5495:$N$5495,1,E5470-Assumptions!$E$35)*INDEX($C$5499:$N$5499,1,E5470-Assumptions!$E$35)*Assumptions!$E$32)</f>
        <v>1.25403752893136</v>
      </c>
      <c r="F5502" s="48" t="n">
        <f aca="false">IF(F5470-Assumptions!$E$35&lt;1,0,INDEX($C$5495:$N$5495,1,F5470-Assumptions!$E$35)*INDEX($C$5499:$N$5499,1,F5470-Assumptions!$E$35)*Assumptions!$E$32)</f>
        <v>1.38371981263778</v>
      </c>
      <c r="G5502" s="48" t="n">
        <f aca="false">IF(G5470-Assumptions!$E$35&lt;1,0,INDEX($C$5495:$N$5495,1,G5470-Assumptions!$E$35)*INDEX($C$5499:$N$5499,1,G5470-Assumptions!$E$35)*Assumptions!$E$32)</f>
        <v>1.5160614353087</v>
      </c>
      <c r="H5502" s="48" t="n">
        <f aca="false">IF(H5470-Assumptions!$E$35&lt;1,0,INDEX($C$5495:$N$5495,1,H5470-Assumptions!$E$35)*INDEX($C$5499:$N$5499,1,H5470-Assumptions!$E$35)*Assumptions!$E$32)</f>
        <v>1.95641155081013</v>
      </c>
      <c r="I5502" s="48" t="n">
        <f aca="false">IF(I5470-Assumptions!$E$35&lt;1,0,INDEX($C$5495:$N$5495,1,I5470-Assumptions!$E$35)*INDEX($C$5499:$N$5499,1,I5470-Assumptions!$E$35)*Assumptions!$E$32)</f>
        <v>2.36765881423885</v>
      </c>
      <c r="J5502" s="48" t="n">
        <f aca="false">IF(J5470-Assumptions!$E$35&lt;1,0,INDEX($C$5495:$N$5495,1,J5470-Assumptions!$E$35)*INDEX($C$5499:$N$5499,1,J5470-Assumptions!$E$35)*Assumptions!$E$32)</f>
        <v>3.52679627873873</v>
      </c>
      <c r="K5502" s="48" t="n">
        <f aca="false">IF(K5470-Assumptions!$E$35&lt;1,0,INDEX($C$5495:$N$5495,1,K5470-Assumptions!$E$35)*INDEX($C$5499:$N$5499,1,K5470-Assumptions!$E$35)*Assumptions!$E$32)</f>
        <v>4.57473582311808</v>
      </c>
      <c r="L5502" s="48" t="n">
        <f aca="false">IF(L5470-Assumptions!$E$35&lt;1,0,INDEX($C$5495:$N$5495,1,L5470-Assumptions!$E$35)*INDEX($C$5499:$N$5499,1,L5470-Assumptions!$E$35)*Assumptions!$E$32)</f>
        <v>4.60724175780426</v>
      </c>
      <c r="M5502" s="48" t="n">
        <f aca="false">IF(M5470-Assumptions!$E$35&lt;1,0,INDEX($C$5495:$N$5495,1,M5470-Assumptions!$E$35)*INDEX($C$5499:$N$5499,1,M5470-Assumptions!$E$35)*Assumptions!$E$32)</f>
        <v>4.47082484015438</v>
      </c>
      <c r="N5502" s="48" t="n">
        <f aca="false">IF(N5470-Assumptions!$E$35&lt;1,0,INDEX($C$5495:$N$5495,1,N5470-Assumptions!$E$35)*INDEX($C$5499:$N$5499,1,N5470-Assumptions!$E$35)*Assumptions!$E$32)</f>
        <v>4.34387459372566</v>
      </c>
      <c r="P5502" s="49" t="n">
        <f aca="false">SUM(C5502:F5502)</f>
        <v>3.36936775911194</v>
      </c>
      <c r="Q5502" s="49" t="n">
        <f aca="false">SUM(G5502:J5502)</f>
        <v>9.36692807909641</v>
      </c>
      <c r="R5502" s="49" t="n">
        <f aca="false">SUM(K5502:N5502)</f>
        <v>17.9966770148024</v>
      </c>
      <c r="S5502" s="50" t="n">
        <f aca="false">SUM(P5502:R5502)</f>
        <v>30.7329728530107</v>
      </c>
    </row>
    <row r="5503" customFormat="false" ht="15" hidden="false" customHeight="false" outlineLevel="0" collapsed="false">
      <c r="A5503" s="4" t="s">
        <v>517</v>
      </c>
      <c r="B5503" s="36" t="s">
        <v>516</v>
      </c>
      <c r="C5503" s="48" t="n">
        <f aca="false">IF(C5470-Assumptions!$E$35&lt;1,0,INDEX($C$5495:$N$5495,1,C5470-Assumptions!$E$35)*INDEX($C$5500:$N$5500,1,C5470-Assumptions!$E$35)*Assumptions!$E$32)</f>
        <v>0</v>
      </c>
      <c r="D5503" s="48" t="n">
        <f aca="false">IF(D5470-Assumptions!$E$35&lt;1,0,INDEX($C$5495:$N$5495,1,D5470-Assumptions!$E$35)*INDEX($C$5500:$N$5500,1,D5470-Assumptions!$E$35)*Assumptions!$E$32)</f>
        <v>0.549843704266325</v>
      </c>
      <c r="E5503" s="48" t="n">
        <f aca="false">IF(E5470-Assumptions!$E$35&lt;1,0,INDEX($C$5495:$N$5495,1,E5470-Assumptions!$E$35)*INDEX($C$5500:$N$5500,1,E5470-Assumptions!$E$35)*Assumptions!$E$32)</f>
        <v>0.942475152981636</v>
      </c>
      <c r="F5503" s="48" t="n">
        <f aca="false">IF(F5470-Assumptions!$E$35&lt;1,0,INDEX($C$5495:$N$5495,1,F5470-Assumptions!$E$35)*INDEX($C$5500:$N$5500,1,F5470-Assumptions!$E$35)*Assumptions!$E$32)</f>
        <v>1.03993820919445</v>
      </c>
      <c r="G5503" s="48" t="n">
        <f aca="false">IF(G5470-Assumptions!$E$35&lt;1,0,INDEX($C$5495:$N$5495,1,G5470-Assumptions!$E$35)*INDEX($C$5500:$N$5500,1,G5470-Assumptions!$E$35)*Assumptions!$E$32)</f>
        <v>1.13939989849405</v>
      </c>
      <c r="H5503" s="48" t="n">
        <f aca="false">IF(H5470-Assumptions!$E$35&lt;1,0,INDEX($C$5495:$N$5495,1,H5470-Assumptions!$E$35)*INDEX($C$5500:$N$5500,1,H5470-Assumptions!$E$35)*Assumptions!$E$32)</f>
        <v>1.44133985759406</v>
      </c>
      <c r="I5503" s="48" t="n">
        <f aca="false">IF(I5470-Assumptions!$E$35&lt;1,0,INDEX($C$5495:$N$5495,1,I5470-Assumptions!$E$35)*INDEX($C$5500:$N$5500,1,I5470-Assumptions!$E$35)*Assumptions!$E$32)</f>
        <v>1.72398583603892</v>
      </c>
      <c r="J5503" s="48" t="n">
        <f aca="false">IF(J5470-Assumptions!$E$35&lt;1,0,INDEX($C$5495:$N$5495,1,J5470-Assumptions!$E$35)*INDEX($C$5500:$N$5500,1,J5470-Assumptions!$E$35)*Assumptions!$E$32)</f>
        <v>2.41542134090759</v>
      </c>
      <c r="K5503" s="48" t="n">
        <f aca="false">IF(K5470-Assumptions!$E$35&lt;1,0,INDEX($C$5495:$N$5495,1,K5470-Assumptions!$E$35)*INDEX($C$5500:$N$5500,1,K5470-Assumptions!$E$35)*Assumptions!$E$32)</f>
        <v>3.0512037173958</v>
      </c>
      <c r="L5503" s="48" t="n">
        <f aca="false">IF(L5470-Assumptions!$E$35&lt;1,0,INDEX($C$5495:$N$5495,1,L5470-Assumptions!$E$35)*INDEX($C$5500:$N$5500,1,L5470-Assumptions!$E$35)*Assumptions!$E$32)</f>
        <v>3.07288414498479</v>
      </c>
      <c r="M5503" s="48" t="n">
        <f aca="false">IF(M5470-Assumptions!$E$35&lt;1,0,INDEX($C$5495:$N$5495,1,M5470-Assumptions!$E$35)*INDEX($C$5500:$N$5500,1,M5470-Assumptions!$E$35)*Assumptions!$E$32)</f>
        <v>2.98189838704319</v>
      </c>
      <c r="N5503" s="48" t="n">
        <f aca="false">IF(N5470-Assumptions!$E$35&lt;1,0,INDEX($C$5495:$N$5495,1,N5470-Assumptions!$E$35)*INDEX($C$5500:$N$5500,1,N5470-Assumptions!$E$35)*Assumptions!$E$32)</f>
        <v>2.89722659859365</v>
      </c>
      <c r="P5503" s="49" t="n">
        <f aca="false">SUM(C5503:F5503)</f>
        <v>2.53225706644241</v>
      </c>
      <c r="Q5503" s="49" t="n">
        <f aca="false">SUM(G5503:J5503)</f>
        <v>6.72014693303462</v>
      </c>
      <c r="R5503" s="49" t="n">
        <f aca="false">SUM(K5503:N5503)</f>
        <v>12.0032128480174</v>
      </c>
      <c r="S5503" s="50" t="n">
        <f aca="false">SUM(P5503:R5503)</f>
        <v>21.2556168474945</v>
      </c>
    </row>
    <row r="5504" customFormat="false" ht="15" hidden="false" customHeight="false" outlineLevel="0" collapsed="false">
      <c r="A5504" s="4" t="s">
        <v>518</v>
      </c>
      <c r="B5504" s="36" t="s">
        <v>516</v>
      </c>
      <c r="C5504" s="48" t="n">
        <f aca="false">IF(C5470-Assumptions!$E$36&lt;1,0,INDEX($C$5495:$N$5495,1,C5470-Assumptions!$E$36)*INDEX($C$5501:$N$5501,1,C5470-Assumptions!$E$36)*Assumptions!$E$32)</f>
        <v>0</v>
      </c>
      <c r="D5504" s="48" t="n">
        <f aca="false">IF(D5470-Assumptions!$E$36&lt;1,0,INDEX($C$5495:$N$5495,1,D5470-Assumptions!$E$36)*INDEX($C$5501:$N$5501,1,D5470-Assumptions!$E$36)*Assumptions!$E$32)</f>
        <v>0</v>
      </c>
      <c r="E5504" s="48" t="n">
        <f aca="false">IF(E5470-Assumptions!$E$36&lt;1,0,INDEX($C$5495:$N$5495,1,E5470-Assumptions!$E$36)*INDEX($C$5501:$N$5501,1,E5470-Assumptions!$E$36)*Assumptions!$E$32)</f>
        <v>0.0902829786017547</v>
      </c>
      <c r="F5504" s="48" t="n">
        <f aca="false">IF(F5470-Assumptions!$E$36&lt;1,0,INDEX($C$5495:$N$5495,1,F5470-Assumptions!$E$36)*INDEX($C$5501:$N$5501,1,F5470-Assumptions!$E$36)*Assumptions!$E$32)</f>
        <v>0.154752093020442</v>
      </c>
      <c r="G5504" s="48" t="n">
        <f aca="false">IF(G5470-Assumptions!$E$36&lt;1,0,INDEX($C$5495:$N$5495,1,G5470-Assumptions!$E$36)*INDEX($C$5501:$N$5501,1,G5470-Assumptions!$E$36)*Assumptions!$E$32)</f>
        <v>0.170755286201063</v>
      </c>
      <c r="H5504" s="48" t="n">
        <f aca="false">IF(H5470-Assumptions!$E$36&lt;1,0,INDEX($C$5495:$N$5495,1,H5470-Assumptions!$E$36)*INDEX($C$5501:$N$5501,1,H5470-Assumptions!$E$36)*Assumptions!$E$32)</f>
        <v>0.18708664999964</v>
      </c>
      <c r="I5504" s="48" t="n">
        <f aca="false">IF(I5470-Assumptions!$E$36&lt;1,0,INDEX($C$5495:$N$5495,1,I5470-Assumptions!$E$36)*INDEX($C$5501:$N$5501,1,I5470-Assumptions!$E$36)*Assumptions!$E$32)</f>
        <v>0.22136050930717</v>
      </c>
      <c r="J5504" s="48" t="n">
        <f aca="false">IF(J5470-Assumptions!$E$36&lt;1,0,INDEX($C$5495:$N$5495,1,J5470-Assumptions!$E$36)*INDEX($C$5501:$N$5501,1,J5470-Assumptions!$E$36)*Assumptions!$E$32)</f>
        <v>0.253826696892816</v>
      </c>
      <c r="K5504" s="48" t="n">
        <f aca="false">IF(K5470-Assumptions!$E$36&lt;1,0,INDEX($C$5495:$N$5495,1,K5470-Assumptions!$E$36)*INDEX($C$5501:$N$5501,1,K5470-Assumptions!$E$36)*Assumptions!$E$32)</f>
        <v>0.339842014848216</v>
      </c>
      <c r="L5504" s="48" t="n">
        <f aca="false">IF(L5470-Assumptions!$E$36&lt;1,0,INDEX($C$5495:$N$5495,1,L5470-Assumptions!$E$36)*INDEX($C$5501:$N$5501,1,L5470-Assumptions!$E$36)*Assumptions!$E$32)</f>
        <v>0.420282535392261</v>
      </c>
      <c r="M5504" s="48" t="n">
        <f aca="false">IF(M5470-Assumptions!$E$36&lt;1,0,INDEX($C$5495:$N$5495,1,M5470-Assumptions!$E$36)*INDEX($C$5501:$N$5501,1,M5470-Assumptions!$E$36)*Assumptions!$E$32)</f>
        <v>0.423268866663275</v>
      </c>
      <c r="N5504" s="48" t="n">
        <f aca="false">IF(N5470-Assumptions!$E$36&lt;1,0,INDEX($C$5495:$N$5495,1,N5470-Assumptions!$E$36)*INDEX($C$5501:$N$5501,1,N5470-Assumptions!$E$36)*Assumptions!$E$32)</f>
        <v>0.410736198059646</v>
      </c>
      <c r="P5504" s="49" t="n">
        <f aca="false">SUM(C5504:F5504)</f>
        <v>0.245035071622196</v>
      </c>
      <c r="Q5504" s="49" t="n">
        <f aca="false">SUM(G5504:J5504)</f>
        <v>0.83302914240069</v>
      </c>
      <c r="R5504" s="49" t="n">
        <f aca="false">SUM(K5504:N5504)</f>
        <v>1.5941296149634</v>
      </c>
      <c r="S5504" s="50" t="n">
        <f aca="false">SUM(P5504:R5504)</f>
        <v>2.67219382898628</v>
      </c>
    </row>
    <row r="5505" customFormat="false" ht="15" hidden="false" customHeight="false" outlineLevel="0" collapsed="false">
      <c r="A5505" s="4" t="s">
        <v>519</v>
      </c>
      <c r="B5505" s="36" t="s">
        <v>77</v>
      </c>
      <c r="C5505" s="51" t="n">
        <f aca="false">IF(C5470-Assumptions!$E$35&lt;1,0,IFERROR(INDEX($C$5494:$N$5494,1,C5470-Assumptions!$E$35)/INDEX($C$5495:$N$5495,1,C5470-Assumptions!$E$35),0))</f>
        <v>0</v>
      </c>
      <c r="D5505" s="51" t="n">
        <f aca="false">IF(D5470-Assumptions!$E$35&lt;1,0,IFERROR(INDEX($C$5494:$N$5494,1,D5470-Assumptions!$E$35)/INDEX($C$5495:$N$5495,1,D5470-Assumptions!$E$35),0))</f>
        <v>0.459271678087073</v>
      </c>
      <c r="E5505" s="51" t="n">
        <f aca="false">IF(E5470-Assumptions!$E$35&lt;1,0,IFERROR(INDEX($C$5494:$N$5494,1,E5470-Assumptions!$E$35)/INDEX($C$5495:$N$5495,1,E5470-Assumptions!$E$35),0))</f>
        <v>0.401911350042128</v>
      </c>
      <c r="F5505" s="51" t="n">
        <f aca="false">IF(F5470-Assumptions!$E$35&lt;1,0,IFERROR(INDEX($C$5494:$N$5494,1,F5470-Assumptions!$E$35)/INDEX($C$5495:$N$5495,1,F5470-Assumptions!$E$35),0))</f>
        <v>0.485658933408398</v>
      </c>
      <c r="G5505" s="51" t="n">
        <f aca="false">IF(G5470-Assumptions!$E$35&lt;1,0,IFERROR(INDEX($C$5494:$N$5494,1,G5470-Assumptions!$E$35)/INDEX($C$5495:$N$5495,1,G5470-Assumptions!$E$35),0))</f>
        <v>0.554080356417826</v>
      </c>
      <c r="H5505" s="51" t="n">
        <f aca="false">IF(H5470-Assumptions!$E$35&lt;1,0,IFERROR(INDEX($C$5494:$N$5494,1,H5470-Assumptions!$E$35)/INDEX($C$5495:$N$5495,1,H5470-Assumptions!$E$35),0))</f>
        <v>0.522227563825987</v>
      </c>
      <c r="I5505" s="51" t="n">
        <f aca="false">IF(I5470-Assumptions!$E$35&lt;1,0,IFERROR(INDEX($C$5494:$N$5494,1,I5470-Assumptions!$E$35)/INDEX($C$5495:$N$5495,1,I5470-Assumptions!$E$35),0))</f>
        <v>0.507424816282752</v>
      </c>
      <c r="J5505" s="51" t="n">
        <f aca="false">IF(J5470-Assumptions!$E$35&lt;1,0,IFERROR(INDEX($C$5494:$N$5494,1,J5470-Assumptions!$E$35)/INDEX($C$5495:$N$5495,1,J5470-Assumptions!$E$35),0))</f>
        <v>0.401142323795015</v>
      </c>
      <c r="K5505" s="51" t="n">
        <f aca="false">IF(K5470-Assumptions!$E$35&lt;1,0,IFERROR(INDEX($C$5494:$N$5494,1,K5470-Assumptions!$E$35)/INDEX($C$5495:$N$5495,1,K5470-Assumptions!$E$35),0))</f>
        <v>0.352339268448632</v>
      </c>
      <c r="L5505" s="51" t="n">
        <f aca="false">IF(L5470-Assumptions!$E$35&lt;1,0,IFERROR(INDEX($C$5494:$N$5494,1,L5470-Assumptions!$E$35)/INDEX($C$5495:$N$5495,1,L5470-Assumptions!$E$35),0))</f>
        <v>0.388725970981282</v>
      </c>
      <c r="M5505" s="51" t="n">
        <f aca="false">IF(M5470-Assumptions!$E$35&lt;1,0,IFERROR(INDEX($C$5494:$N$5494,1,M5470-Assumptions!$E$35)/INDEX($C$5495:$N$5495,1,M5470-Assumptions!$E$35),0))</f>
        <v>0.400587048224893</v>
      </c>
      <c r="N5505" s="51" t="n">
        <f aca="false">IF(N5470-Assumptions!$E$35&lt;1,0,IFERROR(INDEX($C$5494:$N$5494,1,N5470-Assumptions!$E$35)/INDEX($C$5495:$N$5495,1,N5470-Assumptions!$E$35),0))</f>
        <v>0.412294251872474</v>
      </c>
      <c r="P5505" s="52"/>
      <c r="Q5505" s="52"/>
      <c r="R5505" s="52"/>
      <c r="S5505" s="53"/>
    </row>
    <row r="5506" customFormat="false" ht="15" hidden="false" customHeight="false" outlineLevel="0" collapsed="false">
      <c r="A5506" s="4" t="s">
        <v>520</v>
      </c>
      <c r="B5506" s="36" t="s">
        <v>516</v>
      </c>
      <c r="C5506" s="48" t="n">
        <f aca="false">C5502*Assumptions!$E$37</f>
        <v>0</v>
      </c>
      <c r="D5506" s="48" t="n">
        <f aca="false">D5502*Assumptions!$E$37</f>
        <v>0.21948312526284</v>
      </c>
      <c r="E5506" s="48" t="n">
        <f aca="false">E5502*Assumptions!$E$37</f>
        <v>0.376211258679409</v>
      </c>
      <c r="F5506" s="48" t="n">
        <f aca="false">F5502*Assumptions!$E$37</f>
        <v>0.415115943791333</v>
      </c>
      <c r="G5506" s="48" t="n">
        <f aca="false">G5502*Assumptions!$E$37</f>
        <v>0.45481843059261</v>
      </c>
      <c r="H5506" s="48" t="n">
        <f aca="false">H5502*Assumptions!$E$37</f>
        <v>0.58692346524304</v>
      </c>
      <c r="I5506" s="48" t="n">
        <f aca="false">I5502*Assumptions!$E$37</f>
        <v>0.710297644271656</v>
      </c>
      <c r="J5506" s="48" t="n">
        <f aca="false">J5502*Assumptions!$E$37</f>
        <v>1.05803888362162</v>
      </c>
      <c r="K5506" s="48" t="n">
        <f aca="false">K5502*Assumptions!$E$37</f>
        <v>1.37242074693542</v>
      </c>
      <c r="L5506" s="48" t="n">
        <f aca="false">L5502*Assumptions!$E$37</f>
        <v>1.38217252734128</v>
      </c>
      <c r="M5506" s="48" t="n">
        <f aca="false">M5502*Assumptions!$E$37</f>
        <v>1.34124745204631</v>
      </c>
      <c r="N5506" s="48" t="n">
        <f aca="false">N5502*Assumptions!$E$37</f>
        <v>1.3031623781177</v>
      </c>
      <c r="P5506" s="49" t="n">
        <f aca="false">SUM(C5506:F5506)</f>
        <v>1.01081032773358</v>
      </c>
      <c r="Q5506" s="49" t="n">
        <f aca="false">SUM(G5506:J5506)</f>
        <v>2.81007842372892</v>
      </c>
      <c r="R5506" s="49" t="n">
        <f aca="false">SUM(K5506:N5506)</f>
        <v>5.39900310444071</v>
      </c>
      <c r="S5506" s="50" t="n">
        <f aca="false">SUM(P5506:R5506)</f>
        <v>9.21989185590322</v>
      </c>
    </row>
    <row r="5507" customFormat="false" ht="15" hidden="false" customHeight="false" outlineLevel="0" collapsed="false">
      <c r="A5507" s="4" t="s">
        <v>521</v>
      </c>
      <c r="B5507" s="36" t="s">
        <v>516</v>
      </c>
      <c r="C5507" s="48" t="n">
        <f aca="false">C5502*(1-Assumptions!$E$37)</f>
        <v>0</v>
      </c>
      <c r="D5507" s="48" t="n">
        <f aca="false">D5502*(1-Assumptions!$E$37)</f>
        <v>0.51212729227996</v>
      </c>
      <c r="E5507" s="48" t="n">
        <f aca="false">E5502*(1-Assumptions!$E$37)</f>
        <v>0.877826270251954</v>
      </c>
      <c r="F5507" s="48" t="n">
        <f aca="false">F5502*(1-Assumptions!$E$37)</f>
        <v>0.968603868846444</v>
      </c>
      <c r="G5507" s="48" t="n">
        <f aca="false">G5502*(1-Assumptions!$E$37)</f>
        <v>1.06124300471609</v>
      </c>
      <c r="H5507" s="48" t="n">
        <f aca="false">H5502*(1-Assumptions!$E$37)</f>
        <v>1.36948808556709</v>
      </c>
      <c r="I5507" s="48" t="n">
        <f aca="false">I5502*(1-Assumptions!$E$37)</f>
        <v>1.6573611699672</v>
      </c>
      <c r="J5507" s="48" t="n">
        <f aca="false">J5502*(1-Assumptions!$E$37)</f>
        <v>2.46875739511711</v>
      </c>
      <c r="K5507" s="48" t="n">
        <f aca="false">K5502*(1-Assumptions!$E$37)</f>
        <v>3.20231507618266</v>
      </c>
      <c r="L5507" s="48" t="n">
        <f aca="false">L5502*(1-Assumptions!$E$37)</f>
        <v>3.22506923046298</v>
      </c>
      <c r="M5507" s="48" t="n">
        <f aca="false">M5502*(1-Assumptions!$E$37)</f>
        <v>3.12957738810806</v>
      </c>
      <c r="N5507" s="48" t="n">
        <f aca="false">N5502*(1-Assumptions!$E$37)</f>
        <v>3.04071221560796</v>
      </c>
      <c r="P5507" s="49" t="n">
        <f aca="false">SUM(C5507:F5507)</f>
        <v>2.35855743137836</v>
      </c>
      <c r="Q5507" s="49" t="n">
        <f aca="false">SUM(G5507:J5507)</f>
        <v>6.55684965536749</v>
      </c>
      <c r="R5507" s="49" t="n">
        <f aca="false">SUM(K5507:N5507)</f>
        <v>12.5976739103617</v>
      </c>
      <c r="S5507" s="50" t="n">
        <f aca="false">SUM(P5507:R5507)</f>
        <v>21.5130809971075</v>
      </c>
    </row>
    <row r="5508" customFormat="false" ht="15" hidden="false" customHeight="false" outlineLevel="0" collapsed="false">
      <c r="A5508" s="4" t="s">
        <v>522</v>
      </c>
      <c r="B5508" s="36" t="s">
        <v>125</v>
      </c>
      <c r="C5508" s="54" t="n">
        <f aca="false">C5507*$C$5461+C5503*$C$5462+C5504*$C$5463</f>
        <v>0</v>
      </c>
      <c r="D5508" s="54" t="n">
        <f aca="false">D5507*$C$5461+D5503*$C$5462+D5504*$C$5463</f>
        <v>8111.07484240787</v>
      </c>
      <c r="E5508" s="54" t="n">
        <f aca="false">E5507*$C$5461+E5503*$C$5462+E5504*$C$5463</f>
        <v>19480.5422301762</v>
      </c>
      <c r="F5508" s="54" t="n">
        <f aca="false">F5507*$C$5461+F5503*$C$5462+F5504*$C$5463</f>
        <v>24901.0677995752</v>
      </c>
      <c r="G5508" s="54" t="n">
        <f aca="false">G5507*$C$5461+G5503*$C$5462+G5504*$C$5463</f>
        <v>27356.9363063133</v>
      </c>
      <c r="H5508" s="54" t="n">
        <f aca="false">H5507*$C$5461+H5503*$C$5462+H5504*$C$5463</f>
        <v>32964.5502324058</v>
      </c>
      <c r="I5508" s="54" t="n">
        <f aca="false">I5507*$C$5461+I5503*$C$5462+I5504*$C$5463</f>
        <v>39383.1504090331</v>
      </c>
      <c r="J5508" s="54" t="n">
        <f aca="false">J5507*$C$5461+J5503*$C$5462+J5504*$C$5463</f>
        <v>52484.5045243044</v>
      </c>
      <c r="K5508" s="54" t="n">
        <f aca="false">K5507*$C$5461+K5503*$C$5462+K5504*$C$5463</f>
        <v>67933.8901187656</v>
      </c>
      <c r="L5508" s="54" t="n">
        <f aca="false">L5507*$C$5461+L5503*$C$5462+L5504*$C$5463</f>
        <v>73236.8921096024</v>
      </c>
      <c r="M5508" s="54" t="n">
        <f aca="false">M5507*$C$5461+M5503*$C$5462+M5504*$C$5463</f>
        <v>72021.6776742176</v>
      </c>
      <c r="N5508" s="54" t="n">
        <f aca="false">N5507*$C$5461+N5503*$C$5462+N5504*$C$5463</f>
        <v>69944.8591983012</v>
      </c>
      <c r="P5508" s="55" t="n">
        <f aca="false">SUM(C5508:F5508)</f>
        <v>52492.6848721592</v>
      </c>
      <c r="Q5508" s="55" t="n">
        <f aca="false">SUM(G5508:J5508)</f>
        <v>152189.141472057</v>
      </c>
      <c r="R5508" s="55" t="n">
        <f aca="false">SUM(K5508:N5508)</f>
        <v>283137.319100887</v>
      </c>
      <c r="S5508" s="56" t="n">
        <f aca="false">SUM(P5508:R5508)</f>
        <v>487819.145445103</v>
      </c>
    </row>
    <row r="5509" customFormat="false" ht="15" hidden="false" customHeight="false" outlineLevel="0" collapsed="false">
      <c r="A5509" s="4" t="s">
        <v>523</v>
      </c>
      <c r="B5509" s="36" t="s">
        <v>125</v>
      </c>
      <c r="C5509" s="54" t="n">
        <f aca="false">(C5485+Assumptions!$D$104*C5471)*$C$5466</f>
        <v>306250</v>
      </c>
      <c r="D5509" s="54" t="n">
        <f aca="false">(D5485+Assumptions!$D$104*D5471)*$C$5466</f>
        <v>306250</v>
      </c>
      <c r="E5509" s="54" t="n">
        <f aca="false">(E5485+Assumptions!$D$104*E5471)*$C$5466</f>
        <v>306250</v>
      </c>
      <c r="F5509" s="54" t="n">
        <f aca="false">(F5485+Assumptions!$D$104*F5471)*$C$5466</f>
        <v>306250</v>
      </c>
      <c r="G5509" s="54" t="n">
        <f aca="false">(G5485+Assumptions!$D$104*G5471)*$C$5466</f>
        <v>306250</v>
      </c>
      <c r="H5509" s="54" t="n">
        <f aca="false">(H5485+Assumptions!$D$104*H5471)*$C$5466</f>
        <v>306250</v>
      </c>
      <c r="I5509" s="54" t="n">
        <f aca="false">(I5485+Assumptions!$D$104*I5471)*$C$5466</f>
        <v>306250</v>
      </c>
      <c r="J5509" s="54" t="n">
        <f aca="false">(J5485+Assumptions!$D$104*J5471)*$C$5466</f>
        <v>306250</v>
      </c>
      <c r="K5509" s="54" t="n">
        <f aca="false">(K5485+Assumptions!$D$104*K5471)*$C$5466</f>
        <v>306250</v>
      </c>
      <c r="L5509" s="54" t="n">
        <f aca="false">(L5485+Assumptions!$D$104*L5471)*$C$5466</f>
        <v>306250</v>
      </c>
      <c r="M5509" s="54" t="n">
        <f aca="false">(M5485+Assumptions!$D$104*M5471)*$C$5466</f>
        <v>306250</v>
      </c>
      <c r="N5509" s="54" t="n">
        <f aca="false">(N5485+Assumptions!$D$104*N5471)*$C$5466</f>
        <v>306250</v>
      </c>
      <c r="P5509" s="55" t="n">
        <f aca="false">SUM(C5509:F5509)</f>
        <v>1225000</v>
      </c>
      <c r="Q5509" s="55" t="n">
        <f aca="false">SUM(G5509:J5509)</f>
        <v>1225000</v>
      </c>
      <c r="R5509" s="55" t="n">
        <f aca="false">SUM(K5509:N5509)</f>
        <v>1225000</v>
      </c>
      <c r="S5509" s="56" t="n">
        <f aca="false">SUM(P5509:R5509)</f>
        <v>3675000</v>
      </c>
    </row>
    <row r="5510" customFormat="false" ht="15" hidden="false" customHeight="false" outlineLevel="0" collapsed="false">
      <c r="A5510" s="4" t="s">
        <v>524</v>
      </c>
      <c r="B5510" s="36" t="s">
        <v>77</v>
      </c>
      <c r="C5510" s="51" t="n">
        <f aca="false">IF(C5508&gt;0,MIN(1,C5509/C5508),1)</f>
        <v>1</v>
      </c>
      <c r="D5510" s="51" t="n">
        <f aca="false">IF(D5508&gt;0,MIN(1,D5509/D5508),1)</f>
        <v>1</v>
      </c>
      <c r="E5510" s="51" t="n">
        <f aca="false">IF(E5508&gt;0,MIN(1,E5509/E5508),1)</f>
        <v>1</v>
      </c>
      <c r="F5510" s="51" t="n">
        <f aca="false">IF(F5508&gt;0,MIN(1,F5509/F5508),1)</f>
        <v>1</v>
      </c>
      <c r="G5510" s="51" t="n">
        <f aca="false">IF(G5508&gt;0,MIN(1,G5509/G5508),1)</f>
        <v>1</v>
      </c>
      <c r="H5510" s="51" t="n">
        <f aca="false">IF(H5508&gt;0,MIN(1,H5509/H5508),1)</f>
        <v>1</v>
      </c>
      <c r="I5510" s="51" t="n">
        <f aca="false">IF(I5508&gt;0,MIN(1,I5509/I5508),1)</f>
        <v>1</v>
      </c>
      <c r="J5510" s="51" t="n">
        <f aca="false">IF(J5508&gt;0,MIN(1,J5509/J5508),1)</f>
        <v>1</v>
      </c>
      <c r="K5510" s="51" t="n">
        <f aca="false">IF(K5508&gt;0,MIN(1,K5509/K5508),1)</f>
        <v>1</v>
      </c>
      <c r="L5510" s="51" t="n">
        <f aca="false">IF(L5508&gt;0,MIN(1,L5509/L5508),1)</f>
        <v>1</v>
      </c>
      <c r="M5510" s="51" t="n">
        <f aca="false">IF(M5508&gt;0,MIN(1,M5509/M5508),1)</f>
        <v>1</v>
      </c>
      <c r="N5510" s="51" t="n">
        <f aca="false">IF(N5508&gt;0,MIN(1,N5509/N5508),1)</f>
        <v>1</v>
      </c>
      <c r="P5510" s="52"/>
      <c r="Q5510" s="52"/>
      <c r="R5510" s="52"/>
      <c r="S5510" s="53"/>
    </row>
    <row r="5511" customFormat="false" ht="15" hidden="false" customHeight="false" outlineLevel="0" collapsed="false">
      <c r="A5511" s="4" t="s">
        <v>525</v>
      </c>
      <c r="B5511" s="36" t="s">
        <v>125</v>
      </c>
      <c r="C5511" s="54" t="n">
        <f aca="false">C5508*(1-C5510)</f>
        <v>0</v>
      </c>
      <c r="D5511" s="54" t="n">
        <f aca="false">D5508*(1-D5510)</f>
        <v>0</v>
      </c>
      <c r="E5511" s="54" t="n">
        <f aca="false">E5508*(1-E5510)</f>
        <v>0</v>
      </c>
      <c r="F5511" s="54" t="n">
        <f aca="false">F5508*(1-F5510)</f>
        <v>0</v>
      </c>
      <c r="G5511" s="54" t="n">
        <f aca="false">G5508*(1-G5510)</f>
        <v>0</v>
      </c>
      <c r="H5511" s="54" t="n">
        <f aca="false">H5508*(1-H5510)</f>
        <v>0</v>
      </c>
      <c r="I5511" s="54" t="n">
        <f aca="false">I5508*(1-I5510)</f>
        <v>0</v>
      </c>
      <c r="J5511" s="54" t="n">
        <f aca="false">J5508*(1-J5510)</f>
        <v>0</v>
      </c>
      <c r="K5511" s="54" t="n">
        <f aca="false">K5508*(1-K5510)</f>
        <v>0</v>
      </c>
      <c r="L5511" s="54" t="n">
        <f aca="false">L5508*(1-L5510)</f>
        <v>0</v>
      </c>
      <c r="M5511" s="54" t="n">
        <f aca="false">M5508*(1-M5510)</f>
        <v>0</v>
      </c>
      <c r="N5511" s="54" t="n">
        <f aca="false">N5508*(1-N5510)</f>
        <v>0</v>
      </c>
      <c r="P5511" s="55" t="n">
        <f aca="false">SUM(C5511:F5511)</f>
        <v>0</v>
      </c>
      <c r="Q5511" s="55" t="n">
        <f aca="false">SUM(G5511:J5511)</f>
        <v>0</v>
      </c>
      <c r="R5511" s="55" t="n">
        <f aca="false">SUM(K5511:N5511)</f>
        <v>0</v>
      </c>
      <c r="S5511" s="56" t="n">
        <f aca="false">SUM(P5511:R5511)</f>
        <v>0</v>
      </c>
    </row>
    <row r="5512" customFormat="false" ht="15" hidden="false" customHeight="false" outlineLevel="0" collapsed="false">
      <c r="A5512" s="4" t="s">
        <v>526</v>
      </c>
      <c r="B5512" s="36" t="s">
        <v>527</v>
      </c>
      <c r="C5512" s="48" t="n">
        <f aca="false">C5506+C5507*C5510</f>
        <v>0</v>
      </c>
      <c r="D5512" s="48" t="n">
        <f aca="false">D5506+D5507*D5510</f>
        <v>0.7316104175428</v>
      </c>
      <c r="E5512" s="48" t="n">
        <f aca="false">E5506+E5507*E5510</f>
        <v>1.25403752893136</v>
      </c>
      <c r="F5512" s="48" t="n">
        <f aca="false">F5506+F5507*F5510</f>
        <v>1.38371981263778</v>
      </c>
      <c r="G5512" s="48" t="n">
        <f aca="false">G5506+G5507*G5510</f>
        <v>1.5160614353087</v>
      </c>
      <c r="H5512" s="48" t="n">
        <f aca="false">H5506+H5507*H5510</f>
        <v>1.95641155081013</v>
      </c>
      <c r="I5512" s="48" t="n">
        <f aca="false">I5506+I5507*I5510</f>
        <v>2.36765881423885</v>
      </c>
      <c r="J5512" s="48" t="n">
        <f aca="false">J5506+J5507*J5510</f>
        <v>3.52679627873873</v>
      </c>
      <c r="K5512" s="48" t="n">
        <f aca="false">K5506+K5507*K5510</f>
        <v>4.57473582311808</v>
      </c>
      <c r="L5512" s="48" t="n">
        <f aca="false">L5506+L5507*L5510</f>
        <v>4.60724175780426</v>
      </c>
      <c r="M5512" s="48" t="n">
        <f aca="false">M5506+M5507*M5510</f>
        <v>4.47082484015438</v>
      </c>
      <c r="N5512" s="48" t="n">
        <f aca="false">N5506+N5507*N5510</f>
        <v>4.34387459372566</v>
      </c>
      <c r="P5512" s="49" t="n">
        <f aca="false">SUM(C5512:F5512)</f>
        <v>3.36936775911194</v>
      </c>
      <c r="Q5512" s="49" t="n">
        <f aca="false">SUM(G5512:J5512)</f>
        <v>9.36692807909641</v>
      </c>
      <c r="R5512" s="49" t="n">
        <f aca="false">SUM(K5512:N5512)</f>
        <v>17.9966770148024</v>
      </c>
      <c r="S5512" s="50" t="n">
        <f aca="false">SUM(P5512:R5512)</f>
        <v>30.7329728530107</v>
      </c>
    </row>
    <row r="5513" customFormat="false" ht="15" hidden="false" customHeight="false" outlineLevel="0" collapsed="false">
      <c r="A5513" s="4" t="s">
        <v>528</v>
      </c>
      <c r="B5513" s="36" t="s">
        <v>527</v>
      </c>
      <c r="C5513" s="48" t="n">
        <f aca="false">C5503*C5510</f>
        <v>0</v>
      </c>
      <c r="D5513" s="48" t="n">
        <f aca="false">D5503*D5510</f>
        <v>0.549843704266325</v>
      </c>
      <c r="E5513" s="48" t="n">
        <f aca="false">E5503*E5510</f>
        <v>0.942475152981636</v>
      </c>
      <c r="F5513" s="48" t="n">
        <f aca="false">F5503*F5510</f>
        <v>1.03993820919445</v>
      </c>
      <c r="G5513" s="48" t="n">
        <f aca="false">G5503*G5510</f>
        <v>1.13939989849405</v>
      </c>
      <c r="H5513" s="48" t="n">
        <f aca="false">H5503*H5510</f>
        <v>1.44133985759406</v>
      </c>
      <c r="I5513" s="48" t="n">
        <f aca="false">I5503*I5510</f>
        <v>1.72398583603892</v>
      </c>
      <c r="J5513" s="48" t="n">
        <f aca="false">J5503*J5510</f>
        <v>2.41542134090759</v>
      </c>
      <c r="K5513" s="48" t="n">
        <f aca="false">K5503*K5510</f>
        <v>3.0512037173958</v>
      </c>
      <c r="L5513" s="48" t="n">
        <f aca="false">L5503*L5510</f>
        <v>3.07288414498479</v>
      </c>
      <c r="M5513" s="48" t="n">
        <f aca="false">M5503*M5510</f>
        <v>2.98189838704319</v>
      </c>
      <c r="N5513" s="48" t="n">
        <f aca="false">N5503*N5510</f>
        <v>2.89722659859365</v>
      </c>
      <c r="P5513" s="49" t="n">
        <f aca="false">SUM(C5513:F5513)</f>
        <v>2.53225706644241</v>
      </c>
      <c r="Q5513" s="49" t="n">
        <f aca="false">SUM(G5513:J5513)</f>
        <v>6.72014693303462</v>
      </c>
      <c r="R5513" s="49" t="n">
        <f aca="false">SUM(K5513:N5513)</f>
        <v>12.0032128480174</v>
      </c>
      <c r="S5513" s="50" t="n">
        <f aca="false">SUM(P5513:R5513)</f>
        <v>21.2556168474945</v>
      </c>
    </row>
    <row r="5514" customFormat="false" ht="15" hidden="false" customHeight="false" outlineLevel="0" collapsed="false">
      <c r="A5514" s="4" t="s">
        <v>529</v>
      </c>
      <c r="B5514" s="36" t="s">
        <v>527</v>
      </c>
      <c r="C5514" s="48" t="n">
        <f aca="false">C5504*C5510</f>
        <v>0</v>
      </c>
      <c r="D5514" s="48" t="n">
        <f aca="false">D5504*D5510</f>
        <v>0</v>
      </c>
      <c r="E5514" s="48" t="n">
        <f aca="false">E5504*E5510</f>
        <v>0.0902829786017547</v>
      </c>
      <c r="F5514" s="48" t="n">
        <f aca="false">F5504*F5510</f>
        <v>0.154752093020442</v>
      </c>
      <c r="G5514" s="48" t="n">
        <f aca="false">G5504*G5510</f>
        <v>0.170755286201063</v>
      </c>
      <c r="H5514" s="48" t="n">
        <f aca="false">H5504*H5510</f>
        <v>0.18708664999964</v>
      </c>
      <c r="I5514" s="48" t="n">
        <f aca="false">I5504*I5510</f>
        <v>0.22136050930717</v>
      </c>
      <c r="J5514" s="48" t="n">
        <f aca="false">J5504*J5510</f>
        <v>0.253826696892816</v>
      </c>
      <c r="K5514" s="48" t="n">
        <f aca="false">K5504*K5510</f>
        <v>0.339842014848216</v>
      </c>
      <c r="L5514" s="48" t="n">
        <f aca="false">L5504*L5510</f>
        <v>0.420282535392261</v>
      </c>
      <c r="M5514" s="48" t="n">
        <f aca="false">M5504*M5510</f>
        <v>0.423268866663275</v>
      </c>
      <c r="N5514" s="48" t="n">
        <f aca="false">N5504*N5510</f>
        <v>0.410736198059646</v>
      </c>
      <c r="P5514" s="49" t="n">
        <f aca="false">SUM(C5514:F5514)</f>
        <v>0.245035071622196</v>
      </c>
      <c r="Q5514" s="49" t="n">
        <f aca="false">SUM(G5514:J5514)</f>
        <v>0.83302914240069</v>
      </c>
      <c r="R5514" s="49" t="n">
        <f aca="false">SUM(K5514:N5514)</f>
        <v>1.5941296149634</v>
      </c>
      <c r="S5514" s="50" t="n">
        <f aca="false">SUM(P5514:R5514)</f>
        <v>2.67219382898628</v>
      </c>
    </row>
    <row r="5515" customFormat="false" ht="15" hidden="false" customHeight="false" outlineLevel="0" collapsed="false">
      <c r="A5515" s="9" t="s">
        <v>530</v>
      </c>
      <c r="B5515" s="36" t="s">
        <v>527</v>
      </c>
      <c r="C5515" s="49" t="n">
        <f aca="false">C5512+C5513+C5514</f>
        <v>0</v>
      </c>
      <c r="D5515" s="49" t="n">
        <f aca="false">D5512+D5513+D5514</f>
        <v>1.28145412180913</v>
      </c>
      <c r="E5515" s="49" t="n">
        <f aca="false">E5512+E5513+E5514</f>
        <v>2.28679566051475</v>
      </c>
      <c r="F5515" s="49" t="n">
        <f aca="false">F5512+F5513+F5514</f>
        <v>2.57841011485266</v>
      </c>
      <c r="G5515" s="49" t="n">
        <f aca="false">G5512+G5513+G5514</f>
        <v>2.82621662000381</v>
      </c>
      <c r="H5515" s="49" t="n">
        <f aca="false">H5512+H5513+H5514</f>
        <v>3.58483805840383</v>
      </c>
      <c r="I5515" s="49" t="n">
        <f aca="false">I5512+I5513+I5514</f>
        <v>4.31300515958495</v>
      </c>
      <c r="J5515" s="49" t="n">
        <f aca="false">J5512+J5513+J5514</f>
        <v>6.19604431653913</v>
      </c>
      <c r="K5515" s="49" t="n">
        <f aca="false">K5512+K5513+K5514</f>
        <v>7.96578155536209</v>
      </c>
      <c r="L5515" s="49" t="n">
        <f aca="false">L5512+L5513+L5514</f>
        <v>8.10040843818132</v>
      </c>
      <c r="M5515" s="49" t="n">
        <f aca="false">M5512+M5513+M5514</f>
        <v>7.87599209386084</v>
      </c>
      <c r="N5515" s="49" t="n">
        <f aca="false">N5512+N5513+N5514</f>
        <v>7.65183739037895</v>
      </c>
      <c r="P5515" s="49" t="n">
        <f aca="false">SUM(C5515:F5515)</f>
        <v>6.14665989717654</v>
      </c>
      <c r="Q5515" s="49" t="n">
        <f aca="false">SUM(G5515:J5515)</f>
        <v>16.9201041545317</v>
      </c>
      <c r="R5515" s="49" t="n">
        <f aca="false">SUM(K5515:N5515)</f>
        <v>31.5940194777832</v>
      </c>
      <c r="S5515" s="50" t="n">
        <f aca="false">SUM(P5515:R5515)</f>
        <v>54.6607835294915</v>
      </c>
    </row>
    <row r="5516" customFormat="false" ht="15" hidden="false" customHeight="false" outlineLevel="0" collapsed="false">
      <c r="A5516" s="35" t="s">
        <v>533</v>
      </c>
      <c r="B5516" s="35" t="s">
        <v>444</v>
      </c>
      <c r="C5516" s="6" t="s">
        <v>354</v>
      </c>
      <c r="D5516" s="6" t="s">
        <v>355</v>
      </c>
      <c r="E5516" s="6" t="s">
        <v>356</v>
      </c>
      <c r="F5516" s="6" t="s">
        <v>357</v>
      </c>
      <c r="G5516" s="6" t="s">
        <v>358</v>
      </c>
      <c r="H5516" s="6" t="s">
        <v>359</v>
      </c>
      <c r="I5516" s="6" t="s">
        <v>360</v>
      </c>
      <c r="J5516" s="6" t="s">
        <v>361</v>
      </c>
      <c r="K5516" s="6" t="s">
        <v>362</v>
      </c>
      <c r="L5516" s="6" t="s">
        <v>363</v>
      </c>
      <c r="M5516" s="6" t="s">
        <v>364</v>
      </c>
      <c r="N5516" s="6" t="s">
        <v>365</v>
      </c>
      <c r="P5516" s="6" t="s">
        <v>445</v>
      </c>
      <c r="Q5516" s="6" t="s">
        <v>446</v>
      </c>
      <c r="R5516" s="6" t="s">
        <v>447</v>
      </c>
      <c r="S5516" s="6" t="s">
        <v>448</v>
      </c>
    </row>
    <row r="5517" customFormat="false" ht="15" hidden="false" customHeight="false" outlineLevel="0" collapsed="false">
      <c r="A5517" s="4" t="s">
        <v>534</v>
      </c>
      <c r="B5517" s="36" t="s">
        <v>527</v>
      </c>
      <c r="C5517" s="48" t="n">
        <f aca="false">0*Assumptions!$E$59^(1/4)+C5512</f>
        <v>0</v>
      </c>
      <c r="D5517" s="48" t="n">
        <f aca="false">C5517*Assumptions!$E$59^(1/4)+D5512</f>
        <v>0.7316104175428</v>
      </c>
      <c r="E5517" s="48" t="n">
        <f aca="false">D5517*Assumptions!$E$59^(1/4)+E5512</f>
        <v>1.96263655142077</v>
      </c>
      <c r="F5517" s="48" t="n">
        <f aca="false">E5517*Assumptions!$E$59^(1/4)+F5512</f>
        <v>3.28462541552631</v>
      </c>
      <c r="G5517" s="48" t="n">
        <f aca="false">F5517*Assumptions!$E$59^(1/4)+G5512</f>
        <v>4.6973752915314</v>
      </c>
      <c r="H5517" s="48" t="n">
        <f aca="false">G5517*Assumptions!$E$59^(1/4)+H5512</f>
        <v>6.50603995963511</v>
      </c>
      <c r="I5517" s="48" t="n">
        <f aca="false">H5517*Assumptions!$E$59^(1/4)+I5512</f>
        <v>8.66906383134925</v>
      </c>
      <c r="J5517" s="48" t="n">
        <f aca="false">I5517*Assumptions!$E$59^(1/4)+J5512</f>
        <v>11.9231914222414</v>
      </c>
      <c r="K5517" s="48" t="n">
        <f aca="false">J5517*Assumptions!$E$59^(1/4)+K5512</f>
        <v>16.1229062484798</v>
      </c>
      <c r="L5517" s="48" t="n">
        <f aca="false">K5517*Assumptions!$E$59^(1/4)+L5512</f>
        <v>20.2230330770861</v>
      </c>
      <c r="M5517" s="48" t="n">
        <f aca="false">L5517*Assumptions!$E$59^(1/4)+M5512</f>
        <v>24.0577814041726</v>
      </c>
      <c r="N5517" s="48" t="n">
        <f aca="false">M5517*Assumptions!$E$59^(1/4)+N5512</f>
        <v>27.644964870045</v>
      </c>
      <c r="P5517" s="49" t="n">
        <f aca="false">F5517</f>
        <v>3.28462541552631</v>
      </c>
      <c r="Q5517" s="49" t="n">
        <f aca="false">J5517</f>
        <v>11.9231914222414</v>
      </c>
      <c r="R5517" s="49" t="n">
        <f aca="false">N5517</f>
        <v>27.644964870045</v>
      </c>
      <c r="S5517" s="50" t="n">
        <f aca="false">R5517</f>
        <v>27.644964870045</v>
      </c>
    </row>
    <row r="5518" customFormat="false" ht="15" hidden="false" customHeight="false" outlineLevel="0" collapsed="false">
      <c r="A5518" s="4" t="s">
        <v>535</v>
      </c>
      <c r="B5518" s="36" t="s">
        <v>527</v>
      </c>
      <c r="C5518" s="48" t="n">
        <f aca="false">0*Assumptions!$E$60^(1/4)+C5513</f>
        <v>0</v>
      </c>
      <c r="D5518" s="48" t="n">
        <f aca="false">C5518*Assumptions!$E$60^(1/4)+D5513</f>
        <v>0.549843704266325</v>
      </c>
      <c r="E5518" s="48" t="n">
        <f aca="false">D5518*Assumptions!$E$60^(1/4)+E5513</f>
        <v>1.4780249808854</v>
      </c>
      <c r="F5518" s="48" t="n">
        <f aca="false">E5518*Assumptions!$E$60^(1/4)+F5513</f>
        <v>2.479540077887</v>
      </c>
      <c r="G5518" s="48" t="n">
        <f aca="false">F5518*Assumptions!$E$60^(1/4)+G5513</f>
        <v>3.55448122376767</v>
      </c>
      <c r="H5518" s="48" t="n">
        <f aca="false">G5518*Assumptions!$E$60^(1/4)+H5513</f>
        <v>4.90341788614214</v>
      </c>
      <c r="I5518" s="48" t="n">
        <f aca="false">H5518*Assumptions!$E$60^(1/4)+I5513</f>
        <v>6.49993322743017</v>
      </c>
      <c r="J5518" s="48" t="n">
        <f aca="false">I5518*Assumptions!$E$60^(1/4)+J5513</f>
        <v>8.74638065593885</v>
      </c>
      <c r="K5518" s="48" t="n">
        <f aca="false">J5518*Assumptions!$E$60^(1/4)+K5513</f>
        <v>11.570211243942</v>
      </c>
      <c r="L5518" s="48" t="n">
        <f aca="false">K5518*Assumptions!$E$60^(1/4)+L5513</f>
        <v>14.3423132435164</v>
      </c>
      <c r="M5518" s="48" t="n">
        <f aca="false">L5518*Assumptions!$E$60^(1/4)+M5513</f>
        <v>16.9513652186333</v>
      </c>
      <c r="N5518" s="48" t="n">
        <f aca="false">M5518*Assumptions!$E$60^(1/4)+N5513</f>
        <v>19.4079198285659</v>
      </c>
      <c r="P5518" s="49" t="n">
        <f aca="false">F5518</f>
        <v>2.479540077887</v>
      </c>
      <c r="Q5518" s="49" t="n">
        <f aca="false">J5518</f>
        <v>8.74638065593885</v>
      </c>
      <c r="R5518" s="49" t="n">
        <f aca="false">N5518</f>
        <v>19.4079198285659</v>
      </c>
      <c r="S5518" s="50" t="n">
        <f aca="false">R5518</f>
        <v>19.4079198285659</v>
      </c>
    </row>
    <row r="5519" customFormat="false" ht="15" hidden="false" customHeight="false" outlineLevel="0" collapsed="false">
      <c r="A5519" s="4" t="s">
        <v>536</v>
      </c>
      <c r="B5519" s="36" t="s">
        <v>527</v>
      </c>
      <c r="C5519" s="48" t="n">
        <f aca="false">0*Assumptions!$E$61^(1/4)+C5514</f>
        <v>0</v>
      </c>
      <c r="D5519" s="48" t="n">
        <f aca="false">C5519*Assumptions!$E$61^(1/4)+D5514</f>
        <v>0</v>
      </c>
      <c r="E5519" s="48" t="n">
        <f aca="false">D5519*Assumptions!$E$61^(1/4)+E5514</f>
        <v>0.0902829786017547</v>
      </c>
      <c r="F5519" s="48" t="n">
        <f aca="false">E5519*Assumptions!$E$61^(1/4)+F5514</f>
        <v>0.243172566396093</v>
      </c>
      <c r="G5519" s="48" t="n">
        <f aca="false">F5519*Assumptions!$E$61^(1/4)+G5514</f>
        <v>0.4089112904193</v>
      </c>
      <c r="H5519" s="48" t="n">
        <f aca="false">G5519*Assumptions!$E$61^(1/4)+H5514</f>
        <v>0.58756224825178</v>
      </c>
      <c r="I5519" s="48" t="n">
        <f aca="false">H5519*Assumptions!$E$61^(1/4)+I5514</f>
        <v>0.79680156068465</v>
      </c>
      <c r="J5519" s="48" t="n">
        <f aca="false">I5519*Assumptions!$E$61^(1/4)+J5514</f>
        <v>1.03419052929328</v>
      </c>
      <c r="K5519" s="48" t="n">
        <f aca="false">J5519*Assumptions!$E$61^(1/4)+K5514</f>
        <v>1.35269756721199</v>
      </c>
      <c r="L5519" s="48" t="n">
        <f aca="false">K5519*Assumptions!$E$61^(1/4)+L5514</f>
        <v>1.7450744405704</v>
      </c>
      <c r="M5519" s="48" t="n">
        <f aca="false">L5519*Assumptions!$E$61^(1/4)+M5514</f>
        <v>2.13234305208215</v>
      </c>
      <c r="N5519" s="48" t="n">
        <f aca="false">M5519*Assumptions!$E$61^(1/4)+N5514</f>
        <v>2.49908978346871</v>
      </c>
      <c r="P5519" s="49" t="n">
        <f aca="false">F5519</f>
        <v>0.243172566396093</v>
      </c>
      <c r="Q5519" s="49" t="n">
        <f aca="false">J5519</f>
        <v>1.03419052929328</v>
      </c>
      <c r="R5519" s="49" t="n">
        <f aca="false">N5519</f>
        <v>2.49908978346871</v>
      </c>
      <c r="S5519" s="50" t="n">
        <f aca="false">R5519</f>
        <v>2.49908978346871</v>
      </c>
    </row>
    <row r="5520" customFormat="false" ht="15" hidden="false" customHeight="false" outlineLevel="0" collapsed="false">
      <c r="A5520" s="9" t="s">
        <v>537</v>
      </c>
      <c r="B5520" s="36" t="s">
        <v>527</v>
      </c>
      <c r="C5520" s="49" t="n">
        <f aca="false">C5517+C5518+C5519</f>
        <v>0</v>
      </c>
      <c r="D5520" s="49" t="n">
        <f aca="false">D5517+D5518+D5519</f>
        <v>1.28145412180913</v>
      </c>
      <c r="E5520" s="49" t="n">
        <f aca="false">E5517+E5518+E5519</f>
        <v>3.53094451090792</v>
      </c>
      <c r="F5520" s="49" t="n">
        <f aca="false">F5517+F5518+F5519</f>
        <v>6.0073380598094</v>
      </c>
      <c r="G5520" s="49" t="n">
        <f aca="false">G5517+G5518+G5519</f>
        <v>8.66076780571837</v>
      </c>
      <c r="H5520" s="49" t="n">
        <f aca="false">H5517+H5518+H5519</f>
        <v>11.997020094029</v>
      </c>
      <c r="I5520" s="49" t="n">
        <f aca="false">I5517+I5518+I5519</f>
        <v>15.9657986194641</v>
      </c>
      <c r="J5520" s="49" t="n">
        <f aca="false">J5517+J5518+J5519</f>
        <v>21.7037626074735</v>
      </c>
      <c r="K5520" s="49" t="n">
        <f aca="false">K5517+K5518+K5519</f>
        <v>29.0458150596337</v>
      </c>
      <c r="L5520" s="49" t="n">
        <f aca="false">L5517+L5518+L5519</f>
        <v>36.3104207611729</v>
      </c>
      <c r="M5520" s="49" t="n">
        <f aca="false">M5517+M5518+M5519</f>
        <v>43.1414896748881</v>
      </c>
      <c r="N5520" s="49" t="n">
        <f aca="false">N5517+N5518+N5519</f>
        <v>49.5519744820796</v>
      </c>
      <c r="P5520" s="49" t="n">
        <f aca="false">F5520</f>
        <v>6.0073380598094</v>
      </c>
      <c r="Q5520" s="49" t="n">
        <f aca="false">J5520</f>
        <v>21.7037626074735</v>
      </c>
      <c r="R5520" s="49" t="n">
        <f aca="false">N5520</f>
        <v>49.5519744820796</v>
      </c>
      <c r="S5520" s="50" t="n">
        <f aca="false">R5520</f>
        <v>49.5519744820796</v>
      </c>
    </row>
    <row r="5521" customFormat="false" ht="15" hidden="false" customHeight="false" outlineLevel="0" collapsed="false">
      <c r="A5521" s="4" t="s">
        <v>538</v>
      </c>
      <c r="B5521" s="36" t="s">
        <v>125</v>
      </c>
      <c r="C5521" s="54" t="n">
        <f aca="false">0*Assumptions!$E$62^(1/4)+C5512*$C$5461</f>
        <v>0</v>
      </c>
      <c r="D5521" s="54" t="n">
        <f aca="false">C5521*Assumptions!$E$62^(1/4)+D5512*$C$5461</f>
        <v>3915.57895468907</v>
      </c>
      <c r="E5521" s="54" t="n">
        <f aca="false">D5521*Assumptions!$E$62^(1/4)+E5512*$C$5461</f>
        <v>10627.1878095297</v>
      </c>
      <c r="F5521" s="54" t="n">
        <f aca="false">E5521*Assumptions!$E$62^(1/4)+F5512*$C$5461</f>
        <v>18032.8562467671</v>
      </c>
      <c r="G5521" s="54" t="n">
        <f aca="false">F5521*Assumptions!$E$62^(1/4)+G5512*$C$5461</f>
        <v>26146.8170485393</v>
      </c>
      <c r="H5521" s="54" t="n">
        <f aca="false">G5521*Assumptions!$E$62^(1/4)+H5512*$C$5461</f>
        <v>36617.5316684751</v>
      </c>
      <c r="I5521" s="54" t="n">
        <f aca="false">H5521*Assumptions!$E$62^(1/4)+I5512*$C$5461</f>
        <v>49289.2416422814</v>
      </c>
      <c r="J5521" s="54" t="n">
        <f aca="false">I5521*Assumptions!$E$62^(1/4)+J5512*$C$5461</f>
        <v>68164.6553260911</v>
      </c>
      <c r="K5521" s="54" t="n">
        <f aca="false">J5521*Assumptions!$E$62^(1/4)+K5512*$C$5461</f>
        <v>92648.6414514191</v>
      </c>
      <c r="L5521" s="54" t="n">
        <f aca="false">K5521*Assumptions!$E$62^(1/4)+L5512*$C$5461</f>
        <v>117306.599339187</v>
      </c>
      <c r="M5521" s="54" t="n">
        <f aca="false">L5521*Assumptions!$E$62^(1/4)+M5512*$C$5461</f>
        <v>141234.453883694</v>
      </c>
      <c r="N5521" s="54" t="n">
        <f aca="false">M5521*Assumptions!$E$62^(1/4)+N5512*$C$5461</f>
        <v>164482.870709313</v>
      </c>
      <c r="P5521" s="55" t="n">
        <f aca="false">F5521</f>
        <v>18032.8562467671</v>
      </c>
      <c r="Q5521" s="55" t="n">
        <f aca="false">J5521</f>
        <v>68164.6553260911</v>
      </c>
      <c r="R5521" s="55" t="n">
        <f aca="false">N5521</f>
        <v>164482.870709313</v>
      </c>
      <c r="S5521" s="56" t="n">
        <f aca="false">R5521</f>
        <v>164482.870709313</v>
      </c>
    </row>
    <row r="5522" customFormat="false" ht="15" hidden="false" customHeight="false" outlineLevel="0" collapsed="false">
      <c r="A5522" s="4" t="s">
        <v>539</v>
      </c>
      <c r="B5522" s="36" t="s">
        <v>125</v>
      </c>
      <c r="C5522" s="54" t="n">
        <f aca="false">0*Assumptions!$E$63^(1/4)+C5513*$C$5462</f>
        <v>0</v>
      </c>
      <c r="D5522" s="54" t="n">
        <f aca="false">C5522*Assumptions!$E$63^(1/4)+D5513*$C$5462</f>
        <v>5370.16957412553</v>
      </c>
      <c r="E5522" s="54" t="n">
        <f aca="false">D5522*Assumptions!$E$63^(1/4)+E5513*$C$5462</f>
        <v>14653.8616638303</v>
      </c>
      <c r="F5522" s="54" t="n">
        <f aca="false">E5522*Assumptions!$E$63^(1/4)+F5513*$C$5462</f>
        <v>25025.67561606</v>
      </c>
      <c r="G5522" s="54" t="n">
        <f aca="false">F5522*Assumptions!$E$63^(1/4)+G5513*$C$5462</f>
        <v>36521.0984536367</v>
      </c>
      <c r="H5522" s="54" t="n">
        <f aca="false">G5522*Assumptions!$E$63^(1/4)+H5513*$C$5462</f>
        <v>51134.1664337924</v>
      </c>
      <c r="I5522" s="54" t="n">
        <f aca="false">H5522*Assumptions!$E$63^(1/4)+I5513*$C$5462</f>
        <v>68722.1884925293</v>
      </c>
      <c r="J5522" s="54" t="n">
        <f aca="false">I5522*Assumptions!$E$63^(1/4)+J5513*$C$5462</f>
        <v>93321.3515445018</v>
      </c>
      <c r="K5522" s="54" t="n">
        <f aca="false">J5522*Assumptions!$E$63^(1/4)+K5513*$C$5462</f>
        <v>124490.98746493</v>
      </c>
      <c r="L5522" s="54" t="n">
        <f aca="false">K5522*Assumptions!$E$63^(1/4)+L5513*$C$5462</f>
        <v>156329.748496521</v>
      </c>
      <c r="M5522" s="54" t="n">
        <f aca="false">L5522*Assumptions!$E$63^(1/4)+M5513*$C$5462</f>
        <v>187747.074176172</v>
      </c>
      <c r="N5522" s="54" t="n">
        <f aca="false">M5522*Assumptions!$E$63^(1/4)+N5513*$C$5462</f>
        <v>218798.44719929</v>
      </c>
      <c r="P5522" s="55" t="n">
        <f aca="false">F5522</f>
        <v>25025.67561606</v>
      </c>
      <c r="Q5522" s="55" t="n">
        <f aca="false">J5522</f>
        <v>93321.3515445018</v>
      </c>
      <c r="R5522" s="55" t="n">
        <f aca="false">N5522</f>
        <v>218798.44719929</v>
      </c>
      <c r="S5522" s="56" t="n">
        <f aca="false">R5522</f>
        <v>218798.44719929</v>
      </c>
    </row>
    <row r="5523" customFormat="false" ht="15" hidden="false" customHeight="false" outlineLevel="0" collapsed="false">
      <c r="A5523" s="4" t="s">
        <v>540</v>
      </c>
      <c r="B5523" s="36" t="s">
        <v>125</v>
      </c>
      <c r="C5523" s="54" t="n">
        <f aca="false">0*Assumptions!$E$64^(1/4)+C5514*$C$5463</f>
        <v>0</v>
      </c>
      <c r="D5523" s="54" t="n">
        <f aca="false">C5523*Assumptions!$E$64^(1/4)+D5514*$C$5463</f>
        <v>0</v>
      </c>
      <c r="E5523" s="54" t="n">
        <f aca="false">D5523*Assumptions!$E$64^(1/4)+E5514*$C$5463</f>
        <v>5577.52498431329</v>
      </c>
      <c r="F5523" s="54" t="n">
        <f aca="false">E5523*Assumptions!$E$64^(1/4)+F5514*$C$5463</f>
        <v>15336.165496614</v>
      </c>
      <c r="G5523" s="54" t="n">
        <f aca="false">F5523*Assumptions!$E$64^(1/4)+G5514*$C$5463</f>
        <v>26430.4538618832</v>
      </c>
      <c r="H5523" s="54" t="n">
        <f aca="false">G5523*Assumptions!$E$64^(1/4)+H5514*$C$5463</f>
        <v>38928.156956962</v>
      </c>
      <c r="I5523" s="54" t="n">
        <f aca="false">H5523*Assumptions!$E$64^(1/4)+I5514*$C$5463</f>
        <v>53987.6335947201</v>
      </c>
      <c r="J5523" s="54" t="n">
        <f aca="false">I5523*Assumptions!$E$64^(1/4)+J5514*$C$5463</f>
        <v>71588.3007075628</v>
      </c>
      <c r="K5523" s="54" t="n">
        <f aca="false">J5523*Assumptions!$E$64^(1/4)+K5514*$C$5463</f>
        <v>95128.6900367127</v>
      </c>
      <c r="L5523" s="54" t="n">
        <f aca="false">K5523*Assumptions!$E$64^(1/4)+L5514*$C$5463</f>
        <v>124475.605415335</v>
      </c>
      <c r="M5523" s="54" t="n">
        <f aca="false">L5523*Assumptions!$E$64^(1/4)+M5514*$C$5463</f>
        <v>155050.530989798</v>
      </c>
      <c r="N5523" s="54" t="n">
        <f aca="false">M5523*Assumptions!$E$64^(1/4)+N5514*$C$5463</f>
        <v>185938.395689869</v>
      </c>
      <c r="P5523" s="55" t="n">
        <f aca="false">F5523</f>
        <v>15336.165496614</v>
      </c>
      <c r="Q5523" s="55" t="n">
        <f aca="false">J5523</f>
        <v>71588.3007075628</v>
      </c>
      <c r="R5523" s="55" t="n">
        <f aca="false">N5523</f>
        <v>185938.395689869</v>
      </c>
      <c r="S5523" s="56" t="n">
        <f aca="false">R5523</f>
        <v>185938.395689869</v>
      </c>
    </row>
    <row r="5524" customFormat="false" ht="15" hidden="false" customHeight="false" outlineLevel="0" collapsed="false">
      <c r="A5524" s="9" t="s">
        <v>541</v>
      </c>
      <c r="B5524" s="36" t="s">
        <v>125</v>
      </c>
      <c r="C5524" s="55" t="n">
        <f aca="false">C5521+C5522+C5523</f>
        <v>0</v>
      </c>
      <c r="D5524" s="55" t="n">
        <f aca="false">D5521+D5522+D5523</f>
        <v>9285.74852881459</v>
      </c>
      <c r="E5524" s="55" t="n">
        <f aca="false">E5521+E5522+E5523</f>
        <v>30858.5744576733</v>
      </c>
      <c r="F5524" s="55" t="n">
        <f aca="false">F5521+F5522+F5523</f>
        <v>58394.6973594411</v>
      </c>
      <c r="G5524" s="55" t="n">
        <f aca="false">G5521+G5522+G5523</f>
        <v>89098.3693640592</v>
      </c>
      <c r="H5524" s="55" t="n">
        <f aca="false">H5521+H5522+H5523</f>
        <v>126679.855059229</v>
      </c>
      <c r="I5524" s="55" t="n">
        <f aca="false">I5521+I5522+I5523</f>
        <v>171999.063729531</v>
      </c>
      <c r="J5524" s="55" t="n">
        <f aca="false">J5521+J5522+J5523</f>
        <v>233074.307578156</v>
      </c>
      <c r="K5524" s="55" t="n">
        <f aca="false">K5521+K5522+K5523</f>
        <v>312268.318953062</v>
      </c>
      <c r="L5524" s="55" t="n">
        <f aca="false">L5521+L5522+L5523</f>
        <v>398111.953251043</v>
      </c>
      <c r="M5524" s="55" t="n">
        <f aca="false">M5521+M5522+M5523</f>
        <v>484032.059049664</v>
      </c>
      <c r="N5524" s="55" t="n">
        <f aca="false">N5521+N5522+N5523</f>
        <v>569219.713598473</v>
      </c>
      <c r="P5524" s="55" t="n">
        <f aca="false">F5524</f>
        <v>58394.6973594411</v>
      </c>
      <c r="Q5524" s="55" t="n">
        <f aca="false">J5524</f>
        <v>233074.307578156</v>
      </c>
      <c r="R5524" s="55" t="n">
        <f aca="false">N5524</f>
        <v>569219.713598473</v>
      </c>
      <c r="S5524" s="56" t="n">
        <f aca="false">R5524</f>
        <v>569219.713598473</v>
      </c>
    </row>
    <row r="5525" customFormat="false" ht="15" hidden="false" customHeight="false" outlineLevel="0" collapsed="false">
      <c r="A5525" s="4" t="s">
        <v>542</v>
      </c>
      <c r="B5525" s="36" t="s">
        <v>125</v>
      </c>
      <c r="C5525" s="54" t="n">
        <f aca="false">C5512*$C$5461+C5513*$C$5462+C5514*$C$5463</f>
        <v>0</v>
      </c>
      <c r="D5525" s="54" t="n">
        <f aca="false">D5512*$C$5461+D5513*$C$5462+D5514*$C$5463</f>
        <v>9285.74852881459</v>
      </c>
      <c r="E5525" s="54" t="n">
        <f aca="false">E5512*$C$5461+E5513*$C$5462+E5514*$C$5463</f>
        <v>21494.0248866284</v>
      </c>
      <c r="F5525" s="54" t="n">
        <f aca="false">F5512*$C$5461+F5513*$C$5462+F5514*$C$5463</f>
        <v>27122.7683307464</v>
      </c>
      <c r="G5525" s="54" t="n">
        <f aca="false">G5512*$C$5461+G5513*$C$5462+G5514*$C$5463</f>
        <v>29791.1245468449</v>
      </c>
      <c r="H5525" s="54" t="n">
        <f aca="false">H5512*$C$5461+H5513*$C$5462+H5514*$C$5463</f>
        <v>36105.7646183866</v>
      </c>
      <c r="I5525" s="54" t="n">
        <f aca="false">I5512*$C$5461+I5513*$C$5462+I5514*$C$5463</f>
        <v>43184.663401175</v>
      </c>
      <c r="J5525" s="54" t="n">
        <f aca="false">J5512*$C$5461+J5513*$C$5462+J5514*$C$5463</f>
        <v>58147.1286294473</v>
      </c>
      <c r="K5525" s="54" t="n">
        <f aca="false">K5512*$C$5461+K5513*$C$5462+K5514*$C$5463</f>
        <v>75279.085956364</v>
      </c>
      <c r="L5525" s="54" t="n">
        <f aca="false">L5512*$C$5461+L5513*$C$5462+L5514*$C$5463</f>
        <v>80634.2794759329</v>
      </c>
      <c r="M5525" s="54" t="n">
        <f aca="false">M5512*$C$5461+M5513*$C$5462+M5514*$C$5463</f>
        <v>79200.0340375695</v>
      </c>
      <c r="N5525" s="54" t="n">
        <f aca="false">N5512*$C$5461+N5513*$C$5462+N5514*$C$5463</f>
        <v>76919.3842459871</v>
      </c>
      <c r="P5525" s="55" t="n">
        <f aca="false">SUM(C5525:F5525)</f>
        <v>57902.5417461894</v>
      </c>
      <c r="Q5525" s="55" t="n">
        <f aca="false">SUM(G5525:J5525)</f>
        <v>167228.681195854</v>
      </c>
      <c r="R5525" s="55" t="n">
        <f aca="false">SUM(K5525:N5525)</f>
        <v>312032.783715853</v>
      </c>
      <c r="S5525" s="56" t="n">
        <f aca="false">SUM(P5525:R5525)</f>
        <v>537164.006657897</v>
      </c>
    </row>
    <row r="5526" customFormat="false" ht="15" hidden="false" customHeight="false" outlineLevel="0" collapsed="false">
      <c r="A5526" s="9" t="s">
        <v>543</v>
      </c>
      <c r="B5526" s="36" t="s">
        <v>125</v>
      </c>
      <c r="C5526" s="55" t="n">
        <f aca="false">(0+C5524)/8</f>
        <v>0</v>
      </c>
      <c r="D5526" s="55" t="n">
        <f aca="false">(C5524+D5524)/8</f>
        <v>1160.71856610182</v>
      </c>
      <c r="E5526" s="55" t="n">
        <f aca="false">(D5524+E5524)/8</f>
        <v>5018.04037331099</v>
      </c>
      <c r="F5526" s="55" t="n">
        <f aca="false">(E5524+F5524)/8</f>
        <v>11156.6589771393</v>
      </c>
      <c r="G5526" s="55" t="n">
        <f aca="false">(F5524+G5524)/8</f>
        <v>18436.6333404375</v>
      </c>
      <c r="H5526" s="55" t="n">
        <f aca="false">(G5524+H5524)/8</f>
        <v>26972.2780529111</v>
      </c>
      <c r="I5526" s="55" t="n">
        <f aca="false">(H5524+I5524)/8</f>
        <v>37334.864848595</v>
      </c>
      <c r="J5526" s="55" t="n">
        <f aca="false">(I5524+J5524)/8</f>
        <v>50634.1714134608</v>
      </c>
      <c r="K5526" s="55" t="n">
        <f aca="false">(J5524+K5524)/8</f>
        <v>68167.8283164022</v>
      </c>
      <c r="L5526" s="55" t="n">
        <f aca="false">(K5524+L5524)/8</f>
        <v>88797.5340255131</v>
      </c>
      <c r="M5526" s="55" t="n">
        <f aca="false">(L5524+M5524)/8</f>
        <v>110268.001537588</v>
      </c>
      <c r="N5526" s="55" t="n">
        <f aca="false">(M5524+N5524)/8</f>
        <v>131656.471581017</v>
      </c>
      <c r="P5526" s="55" t="n">
        <f aca="false">SUM(C5526:F5526)</f>
        <v>17335.4179165521</v>
      </c>
      <c r="Q5526" s="55" t="n">
        <f aca="false">SUM(G5526:J5526)</f>
        <v>133377.947655404</v>
      </c>
      <c r="R5526" s="55" t="n">
        <f aca="false">SUM(K5526:N5526)</f>
        <v>398889.835460521</v>
      </c>
      <c r="S5526" s="56" t="n">
        <f aca="false">SUM(P5526:R5526)</f>
        <v>549603.201032477</v>
      </c>
    </row>
    <row r="5527" customFormat="false" ht="15" hidden="false" customHeight="false" outlineLevel="0" collapsed="false">
      <c r="A5527" s="4" t="s">
        <v>544</v>
      </c>
      <c r="B5527" s="36" t="s">
        <v>125</v>
      </c>
      <c r="C5527" s="54" t="n">
        <f aca="false">C5526*Assumptions!$E$76</f>
        <v>0</v>
      </c>
      <c r="D5527" s="54" t="n">
        <f aca="false">D5526*Assumptions!$E$76</f>
        <v>754.467067966186</v>
      </c>
      <c r="E5527" s="54" t="n">
        <f aca="false">E5526*Assumptions!$E$76</f>
        <v>3261.72624265214</v>
      </c>
      <c r="F5527" s="54" t="n">
        <f aca="false">F5526*Assumptions!$E$76</f>
        <v>7251.82833514054</v>
      </c>
      <c r="G5527" s="54" t="n">
        <f aca="false">G5526*Assumptions!$E$76</f>
        <v>11983.8116712844</v>
      </c>
      <c r="H5527" s="54" t="n">
        <f aca="false">H5526*Assumptions!$E$76</f>
        <v>17531.9807343922</v>
      </c>
      <c r="I5527" s="54" t="n">
        <f aca="false">I5526*Assumptions!$E$76</f>
        <v>24267.6621515868</v>
      </c>
      <c r="J5527" s="54" t="n">
        <f aca="false">J5526*Assumptions!$E$76</f>
        <v>32912.2114187495</v>
      </c>
      <c r="K5527" s="54" t="n">
        <f aca="false">K5526*Assumptions!$E$76</f>
        <v>44309.0884056614</v>
      </c>
      <c r="L5527" s="54" t="n">
        <f aca="false">L5526*Assumptions!$E$76</f>
        <v>57718.3971165835</v>
      </c>
      <c r="M5527" s="54" t="n">
        <f aca="false">M5526*Assumptions!$E$76</f>
        <v>71674.2009994325</v>
      </c>
      <c r="N5527" s="54" t="n">
        <f aca="false">N5526*Assumptions!$E$76</f>
        <v>85576.7065276611</v>
      </c>
      <c r="P5527" s="55" t="n">
        <f aca="false">SUM(C5527:F5527)</f>
        <v>11268.0216457589</v>
      </c>
      <c r="Q5527" s="55" t="n">
        <f aca="false">SUM(G5527:J5527)</f>
        <v>86695.6659760129</v>
      </c>
      <c r="R5527" s="55" t="n">
        <f aca="false">SUM(K5527:N5527)</f>
        <v>259278.393049339</v>
      </c>
      <c r="S5527" s="56" t="n">
        <f aca="false">SUM(P5527:R5527)</f>
        <v>357242.08067111</v>
      </c>
    </row>
    <row r="5528" customFormat="false" ht="15" hidden="false" customHeight="false" outlineLevel="0" collapsed="false">
      <c r="A5528" s="35" t="s">
        <v>547</v>
      </c>
      <c r="B5528" s="35" t="s">
        <v>444</v>
      </c>
      <c r="C5528" s="6" t="s">
        <v>354</v>
      </c>
      <c r="D5528" s="6" t="s">
        <v>355</v>
      </c>
      <c r="E5528" s="6" t="s">
        <v>356</v>
      </c>
      <c r="F5528" s="6" t="s">
        <v>357</v>
      </c>
      <c r="G5528" s="6" t="s">
        <v>358</v>
      </c>
      <c r="H5528" s="6" t="s">
        <v>359</v>
      </c>
      <c r="I5528" s="6" t="s">
        <v>360</v>
      </c>
      <c r="J5528" s="6" t="s">
        <v>361</v>
      </c>
      <c r="K5528" s="6" t="s">
        <v>362</v>
      </c>
      <c r="L5528" s="6" t="s">
        <v>363</v>
      </c>
      <c r="M5528" s="6" t="s">
        <v>364</v>
      </c>
      <c r="N5528" s="6" t="s">
        <v>365</v>
      </c>
      <c r="P5528" s="6" t="s">
        <v>445</v>
      </c>
      <c r="Q5528" s="6" t="s">
        <v>446</v>
      </c>
      <c r="R5528" s="6" t="s">
        <v>447</v>
      </c>
      <c r="S5528" s="6" t="s">
        <v>448</v>
      </c>
    </row>
    <row r="5529" customFormat="false" ht="15" hidden="false" customHeight="false" outlineLevel="0" collapsed="false">
      <c r="A5529" s="4" t="s">
        <v>548</v>
      </c>
      <c r="B5529" s="36" t="s">
        <v>321</v>
      </c>
      <c r="C5529" s="48" t="n">
        <f aca="false">Assumptions!$D$97*C5471</f>
        <v>1</v>
      </c>
      <c r="D5529" s="48" t="n">
        <f aca="false">Assumptions!$D$97*D5471</f>
        <v>1</v>
      </c>
      <c r="E5529" s="48" t="n">
        <f aca="false">Assumptions!$D$97*E5471</f>
        <v>1</v>
      </c>
      <c r="F5529" s="48" t="n">
        <f aca="false">Assumptions!$D$97*F5471</f>
        <v>1</v>
      </c>
      <c r="G5529" s="48" t="n">
        <f aca="false">Assumptions!$D$97*G5471</f>
        <v>1</v>
      </c>
      <c r="H5529" s="48" t="n">
        <f aca="false">Assumptions!$D$97*H5471</f>
        <v>1</v>
      </c>
      <c r="I5529" s="48" t="n">
        <f aca="false">Assumptions!$D$97*I5471</f>
        <v>1</v>
      </c>
      <c r="J5529" s="48" t="n">
        <f aca="false">Assumptions!$D$97*J5471</f>
        <v>1</v>
      </c>
      <c r="K5529" s="48" t="n">
        <f aca="false">Assumptions!$D$97*K5471</f>
        <v>1</v>
      </c>
      <c r="L5529" s="48" t="n">
        <f aca="false">Assumptions!$D$97*L5471</f>
        <v>1</v>
      </c>
      <c r="M5529" s="48" t="n">
        <f aca="false">Assumptions!$D$97*M5471</f>
        <v>1</v>
      </c>
      <c r="N5529" s="48" t="n">
        <f aca="false">Assumptions!$D$97*N5471</f>
        <v>1</v>
      </c>
      <c r="P5529" s="49" t="n">
        <f aca="false">AVERAGE(C5529:F5529)</f>
        <v>1</v>
      </c>
      <c r="Q5529" s="49" t="n">
        <f aca="false">AVERAGE(G5529:J5529)</f>
        <v>1</v>
      </c>
      <c r="R5529" s="49" t="n">
        <f aca="false">AVERAGE(K5529:N5529)</f>
        <v>1</v>
      </c>
      <c r="S5529" s="50"/>
    </row>
    <row r="5530" customFormat="false" ht="15" hidden="false" customHeight="false" outlineLevel="0" collapsed="false">
      <c r="A5530" s="4" t="s">
        <v>549</v>
      </c>
      <c r="B5530" s="36" t="s">
        <v>321</v>
      </c>
      <c r="C5530" s="48" t="n">
        <f aca="false">C5484*C5471</f>
        <v>0</v>
      </c>
      <c r="D5530" s="48" t="n">
        <f aca="false">D5484*D5471</f>
        <v>0</v>
      </c>
      <c r="E5530" s="48" t="n">
        <f aca="false">E5484*E5471</f>
        <v>0</v>
      </c>
      <c r="F5530" s="48" t="n">
        <f aca="false">F5484*F5471</f>
        <v>0</v>
      </c>
      <c r="G5530" s="48" t="n">
        <f aca="false">G5484*G5471</f>
        <v>0</v>
      </c>
      <c r="H5530" s="48" t="n">
        <f aca="false">H5484*H5471</f>
        <v>0</v>
      </c>
      <c r="I5530" s="48" t="n">
        <f aca="false">I5484*I5471</f>
        <v>0</v>
      </c>
      <c r="J5530" s="48" t="n">
        <f aca="false">J5484*J5471</f>
        <v>0</v>
      </c>
      <c r="K5530" s="48" t="n">
        <f aca="false">K5484*K5471</f>
        <v>0</v>
      </c>
      <c r="L5530" s="48" t="n">
        <f aca="false">L5484*L5471</f>
        <v>0</v>
      </c>
      <c r="M5530" s="48" t="n">
        <f aca="false">M5484*M5471</f>
        <v>0</v>
      </c>
      <c r="N5530" s="48" t="n">
        <f aca="false">N5484*N5471</f>
        <v>0</v>
      </c>
      <c r="P5530" s="49" t="n">
        <f aca="false">AVERAGE(C5530:F5530)</f>
        <v>0</v>
      </c>
      <c r="Q5530" s="49" t="n">
        <f aca="false">AVERAGE(G5530:J5530)</f>
        <v>0</v>
      </c>
      <c r="R5530" s="49" t="n">
        <f aca="false">AVERAGE(K5530:N5530)</f>
        <v>0</v>
      </c>
      <c r="S5530" s="50"/>
    </row>
    <row r="5531" customFormat="false" ht="15" hidden="false" customHeight="false" outlineLevel="0" collapsed="false">
      <c r="A5531" s="4" t="s">
        <v>550</v>
      </c>
      <c r="B5531" s="36" t="s">
        <v>321</v>
      </c>
      <c r="C5531" s="48" t="n">
        <f aca="false">IF(C5470&lt;=4,Assumptions!$D$98,Assumptions!$D$99)*C5471</f>
        <v>0</v>
      </c>
      <c r="D5531" s="48" t="n">
        <f aca="false">IF(D5470&lt;=4,Assumptions!$D$98,Assumptions!$D$99)*D5471</f>
        <v>0</v>
      </c>
      <c r="E5531" s="48" t="n">
        <f aca="false">IF(E5470&lt;=4,Assumptions!$D$98,Assumptions!$D$99)*E5471</f>
        <v>0</v>
      </c>
      <c r="F5531" s="48" t="n">
        <f aca="false">IF(F5470&lt;=4,Assumptions!$D$98,Assumptions!$D$99)*F5471</f>
        <v>0</v>
      </c>
      <c r="G5531" s="48" t="n">
        <f aca="false">IF(G5470&lt;=4,Assumptions!$D$98,Assumptions!$D$99)*G5471</f>
        <v>0.5</v>
      </c>
      <c r="H5531" s="48" t="n">
        <f aca="false">IF(H5470&lt;=4,Assumptions!$D$98,Assumptions!$D$99)*H5471</f>
        <v>0.5</v>
      </c>
      <c r="I5531" s="48" t="n">
        <f aca="false">IF(I5470&lt;=4,Assumptions!$D$98,Assumptions!$D$99)*I5471</f>
        <v>0.5</v>
      </c>
      <c r="J5531" s="48" t="n">
        <f aca="false">IF(J5470&lt;=4,Assumptions!$D$98,Assumptions!$D$99)*J5471</f>
        <v>0.5</v>
      </c>
      <c r="K5531" s="48" t="n">
        <f aca="false">IF(K5470&lt;=4,Assumptions!$D$98,Assumptions!$D$99)*K5471</f>
        <v>0.5</v>
      </c>
      <c r="L5531" s="48" t="n">
        <f aca="false">IF(L5470&lt;=4,Assumptions!$D$98,Assumptions!$D$99)*L5471</f>
        <v>0.5</v>
      </c>
      <c r="M5531" s="48" t="n">
        <f aca="false">IF(M5470&lt;=4,Assumptions!$D$98,Assumptions!$D$99)*M5471</f>
        <v>0.5</v>
      </c>
      <c r="N5531" s="48" t="n">
        <f aca="false">IF(N5470&lt;=4,Assumptions!$D$98,Assumptions!$D$99)*N5471</f>
        <v>0.5</v>
      </c>
      <c r="P5531" s="49" t="n">
        <f aca="false">AVERAGE(C5531:F5531)</f>
        <v>0</v>
      </c>
      <c r="Q5531" s="49" t="n">
        <f aca="false">AVERAGE(G5531:J5531)</f>
        <v>0.5</v>
      </c>
      <c r="R5531" s="49" t="n">
        <f aca="false">AVERAGE(K5531:N5531)</f>
        <v>0.5</v>
      </c>
      <c r="S5531" s="50"/>
    </row>
    <row r="5532" customFormat="false" ht="15" hidden="false" customHeight="false" outlineLevel="0" collapsed="false">
      <c r="A5532" s="4" t="s">
        <v>551</v>
      </c>
      <c r="B5532" s="36" t="s">
        <v>321</v>
      </c>
      <c r="C5532" s="48" t="n">
        <f aca="false">IF(C5470&lt;=4,Assumptions!$D$100,Assumptions!$D$101)*C5471</f>
        <v>1</v>
      </c>
      <c r="D5532" s="48" t="n">
        <f aca="false">IF(D5470&lt;=4,Assumptions!$D$100,Assumptions!$D$101)*D5471</f>
        <v>1</v>
      </c>
      <c r="E5532" s="48" t="n">
        <f aca="false">IF(E5470&lt;=4,Assumptions!$D$100,Assumptions!$D$101)*E5471</f>
        <v>1</v>
      </c>
      <c r="F5532" s="48" t="n">
        <f aca="false">IF(F5470&lt;=4,Assumptions!$D$100,Assumptions!$D$101)*F5471</f>
        <v>1</v>
      </c>
      <c r="G5532" s="48" t="n">
        <f aca="false">IF(G5470&lt;=4,Assumptions!$D$100,Assumptions!$D$101)*G5471</f>
        <v>0.5</v>
      </c>
      <c r="H5532" s="48" t="n">
        <f aca="false">IF(H5470&lt;=4,Assumptions!$D$100,Assumptions!$D$101)*H5471</f>
        <v>0.5</v>
      </c>
      <c r="I5532" s="48" t="n">
        <f aca="false">IF(I5470&lt;=4,Assumptions!$D$100,Assumptions!$D$101)*I5471</f>
        <v>0.5</v>
      </c>
      <c r="J5532" s="48" t="n">
        <f aca="false">IF(J5470&lt;=4,Assumptions!$D$100,Assumptions!$D$101)*J5471</f>
        <v>0.5</v>
      </c>
      <c r="K5532" s="48" t="n">
        <f aca="false">IF(K5470&lt;=4,Assumptions!$D$100,Assumptions!$D$101)*K5471</f>
        <v>0.5</v>
      </c>
      <c r="L5532" s="48" t="n">
        <f aca="false">IF(L5470&lt;=4,Assumptions!$D$100,Assumptions!$D$101)*L5471</f>
        <v>0.5</v>
      </c>
      <c r="M5532" s="48" t="n">
        <f aca="false">IF(M5470&lt;=4,Assumptions!$D$100,Assumptions!$D$101)*M5471</f>
        <v>0.5</v>
      </c>
      <c r="N5532" s="48" t="n">
        <f aca="false">IF(N5470&lt;=4,Assumptions!$D$100,Assumptions!$D$101)*N5471</f>
        <v>0.5</v>
      </c>
      <c r="P5532" s="49" t="n">
        <f aca="false">AVERAGE(C5532:F5532)</f>
        <v>1</v>
      </c>
      <c r="Q5532" s="49" t="n">
        <f aca="false">AVERAGE(G5532:J5532)</f>
        <v>0.5</v>
      </c>
      <c r="R5532" s="49" t="n">
        <f aca="false">AVERAGE(K5532:N5532)</f>
        <v>0.5</v>
      </c>
      <c r="S5532" s="50"/>
    </row>
    <row r="5533" customFormat="false" ht="15" hidden="false" customHeight="false" outlineLevel="0" collapsed="false">
      <c r="A5533" s="4" t="s">
        <v>552</v>
      </c>
      <c r="B5533" s="36" t="s">
        <v>321</v>
      </c>
      <c r="C5533" s="48" t="n">
        <f aca="false">Assumptions!$D$102*C5471</f>
        <v>0.25</v>
      </c>
      <c r="D5533" s="48" t="n">
        <f aca="false">Assumptions!$D$102*D5471</f>
        <v>0.25</v>
      </c>
      <c r="E5533" s="48" t="n">
        <f aca="false">Assumptions!$D$102*E5471</f>
        <v>0.25</v>
      </c>
      <c r="F5533" s="48" t="n">
        <f aca="false">Assumptions!$D$102*F5471</f>
        <v>0.25</v>
      </c>
      <c r="G5533" s="48" t="n">
        <f aca="false">Assumptions!$D$102*G5471</f>
        <v>0.25</v>
      </c>
      <c r="H5533" s="48" t="n">
        <f aca="false">Assumptions!$D$102*H5471</f>
        <v>0.25</v>
      </c>
      <c r="I5533" s="48" t="n">
        <f aca="false">Assumptions!$D$102*I5471</f>
        <v>0.25</v>
      </c>
      <c r="J5533" s="48" t="n">
        <f aca="false">Assumptions!$D$102*J5471</f>
        <v>0.25</v>
      </c>
      <c r="K5533" s="48" t="n">
        <f aca="false">Assumptions!$D$102*K5471</f>
        <v>0.25</v>
      </c>
      <c r="L5533" s="48" t="n">
        <f aca="false">Assumptions!$D$102*L5471</f>
        <v>0.25</v>
      </c>
      <c r="M5533" s="48" t="n">
        <f aca="false">Assumptions!$D$102*M5471</f>
        <v>0.25</v>
      </c>
      <c r="N5533" s="48" t="n">
        <f aca="false">Assumptions!$D$102*N5471</f>
        <v>0.25</v>
      </c>
      <c r="P5533" s="49" t="n">
        <f aca="false">AVERAGE(C5533:F5533)</f>
        <v>0.25</v>
      </c>
      <c r="Q5533" s="49" t="n">
        <f aca="false">AVERAGE(G5533:J5533)</f>
        <v>0.25</v>
      </c>
      <c r="R5533" s="49" t="n">
        <f aca="false">AVERAGE(K5533:N5533)</f>
        <v>0.25</v>
      </c>
      <c r="S5533" s="50"/>
    </row>
    <row r="5534" customFormat="false" ht="15" hidden="false" customHeight="false" outlineLevel="0" collapsed="false">
      <c r="A5534" s="4" t="s">
        <v>553</v>
      </c>
      <c r="B5534" s="36" t="s">
        <v>321</v>
      </c>
      <c r="C5534" s="48" t="n">
        <f aca="false">(C5518+C5519)/Assumptions!$E$74+C5517/Assumptions!$E$75</f>
        <v>0</v>
      </c>
      <c r="D5534" s="48" t="n">
        <f aca="false">(D5518+D5519)/Assumptions!$E$74+D5517/Assumptions!$E$75</f>
        <v>0.0166725342768293</v>
      </c>
      <c r="E5534" s="48" t="n">
        <f aca="false">(E5518+E5519)/Assumptions!$E$74+E5517/Assumptions!$E$75</f>
        <v>0.0470582451928619</v>
      </c>
      <c r="F5534" s="48" t="n">
        <f aca="false">(F5518+F5519)/Assumptions!$E$74+F5517/Assumptions!$E$75</f>
        <v>0.0812063177691826</v>
      </c>
      <c r="G5534" s="48" t="n">
        <f aca="false">(G5518+G5519)/Assumptions!$E$74+G5517/Assumptions!$E$75</f>
        <v>0.1178743140208</v>
      </c>
      <c r="H5534" s="48" t="n">
        <f aca="false">(H5518+H5519)/Assumptions!$E$74+H5517/Assumptions!$E$75</f>
        <v>0.163298663198388</v>
      </c>
      <c r="I5534" s="48" t="n">
        <f aca="false">(I5518+I5519)/Assumptions!$E$74+I5517/Assumptions!$E$75</f>
        <v>0.217094625028267</v>
      </c>
      <c r="J5534" s="48" t="n">
        <f aca="false">(J5518+J5519)/Assumptions!$E$74+J5517/Assumptions!$E$75</f>
        <v>0.292207045319769</v>
      </c>
      <c r="K5534" s="48" t="n">
        <f aca="false">(K5518+K5519)/Assumptions!$E$74+K5517/Assumptions!$E$75</f>
        <v>0.387564345272768</v>
      </c>
      <c r="L5534" s="48" t="n">
        <f aca="false">(L5518+L5519)/Assumptions!$E$74+L5517/Assumptions!$E$75</f>
        <v>0.483076824410514</v>
      </c>
      <c r="M5534" s="48" t="n">
        <f aca="false">(M5518+M5519)/Assumptions!$E$74+M5517/Assumptions!$E$75</f>
        <v>0.573323832384577</v>
      </c>
      <c r="N5534" s="48" t="n">
        <f aca="false">(N5518+N5519)/Assumptions!$E$74+N5517/Assumptions!$E$75</f>
        <v>0.658255099781046</v>
      </c>
      <c r="P5534" s="49" t="n">
        <f aca="false">AVERAGE(C5534:F5534)</f>
        <v>0.0362342743097185</v>
      </c>
      <c r="Q5534" s="49" t="n">
        <f aca="false">AVERAGE(G5534:J5534)</f>
        <v>0.197618661891806</v>
      </c>
      <c r="R5534" s="49" t="n">
        <f aca="false">AVERAGE(K5534:N5534)</f>
        <v>0.525555025462226</v>
      </c>
      <c r="S5534" s="50"/>
    </row>
    <row r="5535" customFormat="false" ht="15" hidden="false" customHeight="false" outlineLevel="0" collapsed="false">
      <c r="A5535" s="4" t="s">
        <v>554</v>
      </c>
      <c r="B5535" s="36" t="s">
        <v>125</v>
      </c>
      <c r="C5535" s="54" t="n">
        <f aca="false">(C5529+C5531)*Assumptions!$E$70/Assumptions!$E$69/4</f>
        <v>66753.5714285714</v>
      </c>
      <c r="D5535" s="54" t="n">
        <f aca="false">(D5529+D5531)*Assumptions!$E$70/Assumptions!$E$69/4</f>
        <v>66753.5714285714</v>
      </c>
      <c r="E5535" s="54" t="n">
        <f aca="false">(E5529+E5531)*Assumptions!$E$70/Assumptions!$E$69/4</f>
        <v>66753.5714285714</v>
      </c>
      <c r="F5535" s="54" t="n">
        <f aca="false">(F5529+F5531)*Assumptions!$E$70/Assumptions!$E$69/4</f>
        <v>66753.5714285714</v>
      </c>
      <c r="G5535" s="54" t="n">
        <f aca="false">(G5529+G5531)*Assumptions!$E$70/Assumptions!$E$69/4</f>
        <v>100130.357142857</v>
      </c>
      <c r="H5535" s="54" t="n">
        <f aca="false">(H5529+H5531)*Assumptions!$E$70/Assumptions!$E$69/4</f>
        <v>100130.357142857</v>
      </c>
      <c r="I5535" s="54" t="n">
        <f aca="false">(I5529+I5531)*Assumptions!$E$70/Assumptions!$E$69/4</f>
        <v>100130.357142857</v>
      </c>
      <c r="J5535" s="54" t="n">
        <f aca="false">(J5529+J5531)*Assumptions!$E$70/Assumptions!$E$69/4</f>
        <v>100130.357142857</v>
      </c>
      <c r="K5535" s="54" t="n">
        <f aca="false">(K5529+K5531)*Assumptions!$E$70/Assumptions!$E$69/4</f>
        <v>100130.357142857</v>
      </c>
      <c r="L5535" s="54" t="n">
        <f aca="false">(L5529+L5531)*Assumptions!$E$70/Assumptions!$E$69/4</f>
        <v>100130.357142857</v>
      </c>
      <c r="M5535" s="54" t="n">
        <f aca="false">(M5529+M5531)*Assumptions!$E$70/Assumptions!$E$69/4</f>
        <v>100130.357142857</v>
      </c>
      <c r="N5535" s="54" t="n">
        <f aca="false">(N5529+N5531)*Assumptions!$E$70/Assumptions!$E$69/4</f>
        <v>100130.357142857</v>
      </c>
      <c r="P5535" s="55" t="n">
        <f aca="false">SUM(C5535:F5535)</f>
        <v>267014.285714286</v>
      </c>
      <c r="Q5535" s="55" t="n">
        <f aca="false">SUM(G5535:J5535)</f>
        <v>400521.428571429</v>
      </c>
      <c r="R5535" s="55" t="n">
        <f aca="false">SUM(K5535:N5535)</f>
        <v>400521.428571429</v>
      </c>
      <c r="S5535" s="56" t="n">
        <f aca="false">SUM(P5535:R5535)</f>
        <v>1068057.14285714</v>
      </c>
    </row>
    <row r="5536" customFormat="false" ht="15" hidden="false" customHeight="false" outlineLevel="0" collapsed="false">
      <c r="A5536" s="4" t="s">
        <v>555</v>
      </c>
      <c r="B5536" s="36" t="s">
        <v>125</v>
      </c>
      <c r="C5536" s="54" t="n">
        <f aca="false">C5530*$C$5465/4</f>
        <v>0</v>
      </c>
      <c r="D5536" s="54" t="n">
        <f aca="false">D5530*$C$5465/4</f>
        <v>0</v>
      </c>
      <c r="E5536" s="54" t="n">
        <f aca="false">E5530*$C$5465/4</f>
        <v>0</v>
      </c>
      <c r="F5536" s="54" t="n">
        <f aca="false">F5530*$C$5465/4</f>
        <v>0</v>
      </c>
      <c r="G5536" s="54" t="n">
        <f aca="false">G5530*$C$5465/4</f>
        <v>0</v>
      </c>
      <c r="H5536" s="54" t="n">
        <f aca="false">H5530*$C$5465/4</f>
        <v>0</v>
      </c>
      <c r="I5536" s="54" t="n">
        <f aca="false">I5530*$C$5465/4</f>
        <v>0</v>
      </c>
      <c r="J5536" s="54" t="n">
        <f aca="false">J5530*$C$5465/4</f>
        <v>0</v>
      </c>
      <c r="K5536" s="54" t="n">
        <f aca="false">K5530*$C$5465/4</f>
        <v>0</v>
      </c>
      <c r="L5536" s="54" t="n">
        <f aca="false">L5530*$C$5465/4</f>
        <v>0</v>
      </c>
      <c r="M5536" s="54" t="n">
        <f aca="false">M5530*$C$5465/4</f>
        <v>0</v>
      </c>
      <c r="N5536" s="54" t="n">
        <f aca="false">N5530*$C$5465/4</f>
        <v>0</v>
      </c>
      <c r="P5536" s="55" t="n">
        <f aca="false">SUM(C5536:F5536)</f>
        <v>0</v>
      </c>
      <c r="Q5536" s="55" t="n">
        <f aca="false">SUM(G5536:J5536)</f>
        <v>0</v>
      </c>
      <c r="R5536" s="55" t="n">
        <f aca="false">SUM(K5536:N5536)</f>
        <v>0</v>
      </c>
      <c r="S5536" s="56" t="n">
        <f aca="false">SUM(P5536:R5536)</f>
        <v>0</v>
      </c>
    </row>
    <row r="5537" customFormat="false" ht="15" hidden="false" customHeight="false" outlineLevel="0" collapsed="false">
      <c r="A5537" s="4" t="s">
        <v>556</v>
      </c>
      <c r="B5537" s="36" t="s">
        <v>125</v>
      </c>
      <c r="C5537" s="54" t="n">
        <f aca="false">MAX(0,(C5525-C5506*$C$5461)-C5485*$C$5466)*$C$5467*Assumptions!$D$105</f>
        <v>0</v>
      </c>
      <c r="D5537" s="54" t="n">
        <f aca="false">MAX(0,(D5525-D5506*$C$5461)-D5485*$C$5466)*$C$5467*Assumptions!$D$105</f>
        <v>3783.59176322233</v>
      </c>
      <c r="E5537" s="54" t="n">
        <f aca="false">MAX(0,(E5525-E5506*$C$5461)-E5485*$C$5466)*$C$5467*Assumptions!$D$105</f>
        <v>9087.13340183146</v>
      </c>
      <c r="F5537" s="54" t="n">
        <f aca="false">MAX(0,(F5525-F5506*$C$5461)-F5485*$C$5466)*$C$5467*Assumptions!$D$105</f>
        <v>11615.6584487814</v>
      </c>
      <c r="G5537" s="54" t="n">
        <f aca="false">MAX(0,(G5525-G5506*$C$5461)-G5485*$C$5466)*$C$5467*Assumptions!$D$105</f>
        <v>12761.2530874931</v>
      </c>
      <c r="H5537" s="54" t="n">
        <f aca="false">MAX(0,(H5525-H5506*$C$5461)-H5485*$C$5466)*$C$5467*Assumptions!$D$105</f>
        <v>15377.0496710931</v>
      </c>
      <c r="I5537" s="54" t="n">
        <f aca="false">MAX(0,(I5525-I5506*$C$5461)-I5485*$C$5466)*$C$5467*Assumptions!$D$105</f>
        <v>18371.1488788492</v>
      </c>
      <c r="J5537" s="54" t="n">
        <f aca="false">MAX(0,(J5525-J5506*$C$5461)-J5485*$C$5466)*$C$5467*Assumptions!$D$105</f>
        <v>24482.5677081303</v>
      </c>
      <c r="K5537" s="54" t="n">
        <f aca="false">MAX(0,(K5525-K5506*$C$5461)-K5485*$C$5466)*$C$5467*Assumptions!$D$105</f>
        <v>31689.2781895117</v>
      </c>
      <c r="L5537" s="54" t="n">
        <f aca="false">MAX(0,(L5525-L5506*$C$5461)-L5485*$C$5466)*$C$5467*Assumptions!$D$105</f>
        <v>34162.9817420886</v>
      </c>
      <c r="M5537" s="54" t="n">
        <f aca="false">MAX(0,(M5525-M5506*$C$5461)-M5485*$C$5466)*$C$5467*Assumptions!$D$105</f>
        <v>33596.1178655243</v>
      </c>
      <c r="N5537" s="54" t="n">
        <f aca="false">MAX(0,(N5525-N5506*$C$5461)-N5485*$C$5466)*$C$5467*Assumptions!$D$105</f>
        <v>32627.3395677207</v>
      </c>
      <c r="P5537" s="55" t="n">
        <f aca="false">SUM(C5537:F5537)</f>
        <v>24486.3836138352</v>
      </c>
      <c r="Q5537" s="55" t="n">
        <f aca="false">SUM(G5537:J5537)</f>
        <v>70992.0193455658</v>
      </c>
      <c r="R5537" s="55" t="n">
        <f aca="false">SUM(K5537:N5537)</f>
        <v>132075.717364845</v>
      </c>
      <c r="S5537" s="56" t="n">
        <f aca="false">SUM(P5537:R5537)</f>
        <v>227554.120324246</v>
      </c>
    </row>
    <row r="5538" customFormat="false" ht="15" hidden="false" customHeight="false" outlineLevel="0" collapsed="false">
      <c r="A5538" s="4" t="s">
        <v>557</v>
      </c>
      <c r="B5538" s="36" t="s">
        <v>125</v>
      </c>
      <c r="C5538" s="54" t="n">
        <f aca="false">C5533*Assumptions!$E$71/Assumptions!$E$69/4</f>
        <v>18475.8928571429</v>
      </c>
      <c r="D5538" s="54" t="n">
        <f aca="false">D5533*Assumptions!$E$71/Assumptions!$E$69/4</f>
        <v>18475.8928571429</v>
      </c>
      <c r="E5538" s="54" t="n">
        <f aca="false">E5533*Assumptions!$E$71/Assumptions!$E$69/4</f>
        <v>18475.8928571429</v>
      </c>
      <c r="F5538" s="54" t="n">
        <f aca="false">F5533*Assumptions!$E$71/Assumptions!$E$69/4</f>
        <v>18475.8928571429</v>
      </c>
      <c r="G5538" s="54" t="n">
        <f aca="false">G5533*Assumptions!$E$71/Assumptions!$E$69/4</f>
        <v>18475.8928571429</v>
      </c>
      <c r="H5538" s="54" t="n">
        <f aca="false">H5533*Assumptions!$E$71/Assumptions!$E$69/4</f>
        <v>18475.8928571429</v>
      </c>
      <c r="I5538" s="54" t="n">
        <f aca="false">I5533*Assumptions!$E$71/Assumptions!$E$69/4</f>
        <v>18475.8928571429</v>
      </c>
      <c r="J5538" s="54" t="n">
        <f aca="false">J5533*Assumptions!$E$71/Assumptions!$E$69/4</f>
        <v>18475.8928571429</v>
      </c>
      <c r="K5538" s="54" t="n">
        <f aca="false">K5533*Assumptions!$E$71/Assumptions!$E$69/4</f>
        <v>18475.8928571429</v>
      </c>
      <c r="L5538" s="54" t="n">
        <f aca="false">L5533*Assumptions!$E$71/Assumptions!$E$69/4</f>
        <v>18475.8928571429</v>
      </c>
      <c r="M5538" s="54" t="n">
        <f aca="false">M5533*Assumptions!$E$71/Assumptions!$E$69/4</f>
        <v>18475.8928571429</v>
      </c>
      <c r="N5538" s="54" t="n">
        <f aca="false">N5533*Assumptions!$E$71/Assumptions!$E$69/4</f>
        <v>18475.8928571429</v>
      </c>
      <c r="P5538" s="55" t="n">
        <f aca="false">SUM(C5538:F5538)</f>
        <v>73903.5714285714</v>
      </c>
      <c r="Q5538" s="55" t="n">
        <f aca="false">SUM(G5538:J5538)</f>
        <v>73903.5714285714</v>
      </c>
      <c r="R5538" s="55" t="n">
        <f aca="false">SUM(K5538:N5538)</f>
        <v>73903.5714285714</v>
      </c>
      <c r="S5538" s="56" t="n">
        <f aca="false">SUM(P5538:R5538)</f>
        <v>221710.714285714</v>
      </c>
    </row>
    <row r="5539" customFormat="false" ht="15" hidden="false" customHeight="false" outlineLevel="0" collapsed="false">
      <c r="A5539" s="4" t="s">
        <v>558</v>
      </c>
      <c r="B5539" s="36" t="s">
        <v>125</v>
      </c>
      <c r="C5539" s="54" t="n">
        <f aca="false">(Assumptions!$D$103+Assumptions!$E$77*((C5470=Assumptions!$E$13)+(C5470=Assumptions!$E$14)+(C5470=Assumptions!$E$15)))*C5471</f>
        <v>65000</v>
      </c>
      <c r="D5539" s="54" t="n">
        <f aca="false">(Assumptions!$D$103+Assumptions!$E$77*((D5470=Assumptions!$E$13)+(D5470=Assumptions!$E$14)+(D5470=Assumptions!$E$15)))*D5471</f>
        <v>25000</v>
      </c>
      <c r="E5539" s="54" t="n">
        <f aca="false">(Assumptions!$D$103+Assumptions!$E$77*((E5470=Assumptions!$E$13)+(E5470=Assumptions!$E$14)+(E5470=Assumptions!$E$15)))*E5471</f>
        <v>25000</v>
      </c>
      <c r="F5539" s="54" t="n">
        <f aca="false">(Assumptions!$D$103+Assumptions!$E$77*((F5470=Assumptions!$E$13)+(F5470=Assumptions!$E$14)+(F5470=Assumptions!$E$15)))*F5471</f>
        <v>25000</v>
      </c>
      <c r="G5539" s="54" t="n">
        <f aca="false">(Assumptions!$D$103+Assumptions!$E$77*((G5470=Assumptions!$E$13)+(G5470=Assumptions!$E$14)+(G5470=Assumptions!$E$15)))*G5471</f>
        <v>65000</v>
      </c>
      <c r="H5539" s="54" t="n">
        <f aca="false">(Assumptions!$D$103+Assumptions!$E$77*((H5470=Assumptions!$E$13)+(H5470=Assumptions!$E$14)+(H5470=Assumptions!$E$15)))*H5471</f>
        <v>25000</v>
      </c>
      <c r="I5539" s="54" t="n">
        <f aca="false">(Assumptions!$D$103+Assumptions!$E$77*((I5470=Assumptions!$E$13)+(I5470=Assumptions!$E$14)+(I5470=Assumptions!$E$15)))*I5471</f>
        <v>65000</v>
      </c>
      <c r="J5539" s="54" t="n">
        <f aca="false">(Assumptions!$D$103+Assumptions!$E$77*((J5470=Assumptions!$E$13)+(J5470=Assumptions!$E$14)+(J5470=Assumptions!$E$15)))*J5471</f>
        <v>25000</v>
      </c>
      <c r="K5539" s="54" t="n">
        <f aca="false">(Assumptions!$D$103+Assumptions!$E$77*((K5470=Assumptions!$E$13)+(K5470=Assumptions!$E$14)+(K5470=Assumptions!$E$15)))*K5471</f>
        <v>25000</v>
      </c>
      <c r="L5539" s="54" t="n">
        <f aca="false">(Assumptions!$D$103+Assumptions!$E$77*((L5470=Assumptions!$E$13)+(L5470=Assumptions!$E$14)+(L5470=Assumptions!$E$15)))*L5471</f>
        <v>25000</v>
      </c>
      <c r="M5539" s="54" t="n">
        <f aca="false">(Assumptions!$D$103+Assumptions!$E$77*((M5470=Assumptions!$E$13)+(M5470=Assumptions!$E$14)+(M5470=Assumptions!$E$15)))*M5471</f>
        <v>25000</v>
      </c>
      <c r="N5539" s="54" t="n">
        <f aca="false">(Assumptions!$D$103+Assumptions!$E$77*((N5470=Assumptions!$E$13)+(N5470=Assumptions!$E$14)+(N5470=Assumptions!$E$15)))*N5471</f>
        <v>25000</v>
      </c>
      <c r="P5539" s="55" t="n">
        <f aca="false">SUM(C5539:F5539)</f>
        <v>140000</v>
      </c>
      <c r="Q5539" s="55" t="n">
        <f aca="false">SUM(G5539:J5539)</f>
        <v>180000</v>
      </c>
      <c r="R5539" s="55" t="n">
        <f aca="false">SUM(K5539:N5539)</f>
        <v>100000</v>
      </c>
      <c r="S5539" s="56" t="n">
        <f aca="false">SUM(P5539:R5539)</f>
        <v>420000</v>
      </c>
    </row>
    <row r="5540" customFormat="false" ht="15" hidden="false" customHeight="false" outlineLevel="0" collapsed="false">
      <c r="A5540" s="4" t="s">
        <v>559</v>
      </c>
      <c r="B5540" s="36" t="s">
        <v>125</v>
      </c>
      <c r="C5540" s="54" t="n">
        <f aca="false">C5525*C5505*Assumptions!$E$79</f>
        <v>0</v>
      </c>
      <c r="D5540" s="54" t="n">
        <f aca="false">D5525*D5505*Assumptions!$E$79</f>
        <v>852.936261824649</v>
      </c>
      <c r="E5540" s="54" t="n">
        <f aca="false">E5525*E5505*Assumptions!$E$79</f>
        <v>1727.73851200478</v>
      </c>
      <c r="F5540" s="54" t="n">
        <f aca="false">F5525*F5505*Assumptions!$E$79</f>
        <v>2634.48294771868</v>
      </c>
      <c r="G5540" s="54" t="n">
        <f aca="false">G5525*G5505*Assumptions!$E$79</f>
        <v>3301.33538140074</v>
      </c>
      <c r="H5540" s="54" t="n">
        <f aca="false">H5525*H5505*Assumptions!$E$79</f>
        <v>3771.08509934691</v>
      </c>
      <c r="I5540" s="54" t="n">
        <f aca="false">I5525*I5505*Assumptions!$E$79</f>
        <v>4382.59397851474</v>
      </c>
      <c r="J5540" s="54" t="n">
        <f aca="false">J5525*J5505*Assumptions!$E$79</f>
        <v>4665.05486008483</v>
      </c>
      <c r="K5540" s="54" t="n">
        <f aca="false">K5525*K5505*Assumptions!$E$79</f>
        <v>5304.75561506939</v>
      </c>
      <c r="L5540" s="54" t="n">
        <f aca="false">L5525*L5505*Assumptions!$E$79</f>
        <v>6268.92771673162</v>
      </c>
      <c r="M5540" s="54" t="n">
        <f aca="false">M5525*M5505*Assumptions!$E$79</f>
        <v>6345.3015708842</v>
      </c>
      <c r="N5540" s="54" t="n">
        <f aca="false">N5525*N5505*Assumptions!$E$79</f>
        <v>6342.68399643813</v>
      </c>
      <c r="P5540" s="55" t="n">
        <f aca="false">SUM(C5540:F5540)</f>
        <v>5215.15772154811</v>
      </c>
      <c r="Q5540" s="55" t="n">
        <f aca="false">SUM(G5540:J5540)</f>
        <v>16120.0693193472</v>
      </c>
      <c r="R5540" s="55" t="n">
        <f aca="false">SUM(K5540:N5540)</f>
        <v>24261.6688991233</v>
      </c>
      <c r="S5540" s="56" t="n">
        <f aca="false">SUM(P5540:R5540)</f>
        <v>45596.8959400187</v>
      </c>
    </row>
    <row r="5541" customFormat="false" ht="15" hidden="false" customHeight="false" outlineLevel="0" collapsed="false">
      <c r="A5541" s="4" t="s">
        <v>560</v>
      </c>
      <c r="B5541" s="36" t="s">
        <v>125</v>
      </c>
      <c r="C5541" s="54" t="n">
        <f aca="false">C5490*Assumptions!$E$80</f>
        <v>4000</v>
      </c>
      <c r="D5541" s="54" t="n">
        <f aca="false">D5490*Assumptions!$E$80</f>
        <v>6000</v>
      </c>
      <c r="E5541" s="54" t="n">
        <f aca="false">E5490*Assumptions!$E$80</f>
        <v>8000</v>
      </c>
      <c r="F5541" s="54" t="n">
        <f aca="false">F5490*Assumptions!$E$80</f>
        <v>10000</v>
      </c>
      <c r="G5541" s="54" t="n">
        <f aca="false">G5490*Assumptions!$E$80</f>
        <v>12000</v>
      </c>
      <c r="H5541" s="54" t="n">
        <f aca="false">H5490*Assumptions!$E$80</f>
        <v>14000</v>
      </c>
      <c r="I5541" s="54" t="n">
        <f aca="false">I5490*Assumptions!$E$80</f>
        <v>16000</v>
      </c>
      <c r="J5541" s="54" t="n">
        <f aca="false">J5490*Assumptions!$E$80</f>
        <v>18000</v>
      </c>
      <c r="K5541" s="54" t="n">
        <f aca="false">K5490*Assumptions!$E$80</f>
        <v>20000</v>
      </c>
      <c r="L5541" s="54" t="n">
        <f aca="false">L5490*Assumptions!$E$80</f>
        <v>20000</v>
      </c>
      <c r="M5541" s="54" t="n">
        <f aca="false">M5490*Assumptions!$E$80</f>
        <v>20000</v>
      </c>
      <c r="N5541" s="54" t="n">
        <f aca="false">N5490*Assumptions!$E$80</f>
        <v>20000</v>
      </c>
      <c r="P5541" s="55" t="n">
        <f aca="false">SUM(C5541:F5541)</f>
        <v>28000</v>
      </c>
      <c r="Q5541" s="55" t="n">
        <f aca="false">SUM(G5541:J5541)</f>
        <v>60000</v>
      </c>
      <c r="R5541" s="55" t="n">
        <f aca="false">SUM(K5541:N5541)</f>
        <v>80000</v>
      </c>
      <c r="S5541" s="56" t="n">
        <f aca="false">SUM(P5541:R5541)</f>
        <v>168000</v>
      </c>
    </row>
    <row r="5542" customFormat="false" ht="15" hidden="false" customHeight="false" outlineLevel="0" collapsed="false">
      <c r="A5542" s="4" t="s">
        <v>561</v>
      </c>
      <c r="B5542" s="36" t="s">
        <v>125</v>
      </c>
      <c r="C5542" s="54" t="n">
        <f aca="false">(C5513*$C$5462+C5514*$C$5463)*Assumptions!$E$81</f>
        <v>0</v>
      </c>
      <c r="D5542" s="54" t="n">
        <f aca="false">(D5513*$C$5462+D5514*$C$5463)*Assumptions!$E$81</f>
        <v>805.525436118829</v>
      </c>
      <c r="E5542" s="54" t="n">
        <f aca="false">(E5513*$C$5462+E5514*$C$5463)*Assumptions!$E$81</f>
        <v>2217.36240476816</v>
      </c>
      <c r="F5542" s="54" t="n">
        <f aca="false">(F5513*$C$5462+F5514*$C$5463)*Assumptions!$E$81</f>
        <v>2957.56498402635</v>
      </c>
      <c r="G5542" s="54" t="n">
        <f aca="false">(G5513*$C$5462+G5514*$C$5463)*Assumptions!$E$81</f>
        <v>3251.57456176092</v>
      </c>
      <c r="H5542" s="54" t="n">
        <f aca="false">(H5513*$C$5462+H5514*$C$5463)*Assumptions!$E$81</f>
        <v>3845.25749976761</v>
      </c>
      <c r="I5542" s="54" t="n">
        <f aca="false">(I5513*$C$5462+I5514*$C$5463)*Assumptions!$E$81</f>
        <v>4576.94301410529</v>
      </c>
      <c r="J5542" s="54" t="n">
        <f aca="false">(J5513*$C$5462+J5514*$C$5463)*Assumptions!$E$81</f>
        <v>5890.75724184565</v>
      </c>
      <c r="K5542" s="54" t="n">
        <f aca="false">(K5513*$C$5462+K5514*$C$5463)*Assumptions!$E$81</f>
        <v>7619.2649746554</v>
      </c>
      <c r="L5542" s="54" t="n">
        <f aca="false">(L5513*$C$5462+L5514*$C$5463)*Assumptions!$E$81</f>
        <v>8396.44823822467</v>
      </c>
      <c r="M5542" s="54" t="n">
        <f aca="false">(M5513*$C$5462+M5514*$C$5463)*Assumptions!$E$81</f>
        <v>8290.82692395949</v>
      </c>
      <c r="N5542" s="54" t="n">
        <f aca="false">(N5513*$C$5462+N5514*$C$5463)*Assumptions!$E$81</f>
        <v>8050.6451130551</v>
      </c>
      <c r="P5542" s="55" t="n">
        <f aca="false">SUM(C5542:F5542)</f>
        <v>5980.45282491334</v>
      </c>
      <c r="Q5542" s="55" t="n">
        <f aca="false">SUM(G5542:J5542)</f>
        <v>17564.5323174795</v>
      </c>
      <c r="R5542" s="55" t="n">
        <f aca="false">SUM(K5542:N5542)</f>
        <v>32357.1852498947</v>
      </c>
      <c r="S5542" s="56" t="n">
        <f aca="false">SUM(P5542:R5542)</f>
        <v>55902.1703922875</v>
      </c>
    </row>
    <row r="5543" customFormat="false" ht="15" hidden="false" customHeight="false" outlineLevel="0" collapsed="false">
      <c r="A5543" s="9" t="s">
        <v>562</v>
      </c>
      <c r="B5543" s="36" t="s">
        <v>125</v>
      </c>
      <c r="C5543" s="55" t="n">
        <f aca="false">C5535+C5536+C5537+C5538+C5539+C5540+C5541+C5542</f>
        <v>154229.464285714</v>
      </c>
      <c r="D5543" s="55" t="n">
        <f aca="false">D5535+D5536+D5537+D5538+D5539+D5540+D5541+D5542</f>
        <v>121671.51774688</v>
      </c>
      <c r="E5543" s="55" t="n">
        <f aca="false">E5535+E5536+E5537+E5538+E5539+E5540+E5541+E5542</f>
        <v>131261.698604319</v>
      </c>
      <c r="F5543" s="55" t="n">
        <f aca="false">F5535+F5536+F5537+F5538+F5539+F5540+F5541+F5542</f>
        <v>137437.170666241</v>
      </c>
      <c r="G5543" s="55" t="n">
        <f aca="false">G5535+G5536+G5537+G5538+G5539+G5540+G5541+G5542</f>
        <v>214920.413030655</v>
      </c>
      <c r="H5543" s="55" t="n">
        <f aca="false">H5535+H5536+H5537+H5538+H5539+H5540+H5541+H5542</f>
        <v>180599.642270208</v>
      </c>
      <c r="I5543" s="55" t="n">
        <f aca="false">I5535+I5536+I5537+I5538+I5539+I5540+I5541+I5542</f>
        <v>226936.935871469</v>
      </c>
      <c r="J5543" s="55" t="n">
        <f aca="false">J5535+J5536+J5537+J5538+J5539+J5540+J5541+J5542</f>
        <v>196644.629810061</v>
      </c>
      <c r="K5543" s="55" t="n">
        <f aca="false">K5535+K5536+K5537+K5538+K5539+K5540+K5541+K5542</f>
        <v>208219.548779236</v>
      </c>
      <c r="L5543" s="55" t="n">
        <f aca="false">L5535+L5536+L5537+L5538+L5539+L5540+L5541+L5542</f>
        <v>212434.607697045</v>
      </c>
      <c r="M5543" s="55" t="n">
        <f aca="false">M5535+M5536+M5537+M5538+M5539+M5540+M5541+M5542</f>
        <v>211838.496360368</v>
      </c>
      <c r="N5543" s="55" t="n">
        <f aca="false">N5535+N5536+N5537+N5538+N5539+N5540+N5541+N5542</f>
        <v>210626.918677214</v>
      </c>
      <c r="P5543" s="55" t="n">
        <f aca="false">SUM(C5543:F5543)</f>
        <v>544599.851303154</v>
      </c>
      <c r="Q5543" s="55" t="n">
        <f aca="false">SUM(G5543:J5543)</f>
        <v>819101.620982393</v>
      </c>
      <c r="R5543" s="55" t="n">
        <f aca="false">SUM(K5543:N5543)</f>
        <v>843119.571513863</v>
      </c>
      <c r="S5543" s="56" t="n">
        <f aca="false">SUM(P5543:R5543)</f>
        <v>2206821.04379941</v>
      </c>
    </row>
    <row r="5544" customFormat="false" ht="15" hidden="false" customHeight="false" outlineLevel="0" collapsed="false">
      <c r="A5544" s="4" t="s">
        <v>563</v>
      </c>
      <c r="B5544" s="36" t="s">
        <v>125</v>
      </c>
      <c r="C5544" s="54" t="n">
        <f aca="false">C5532*Assumptions!$E$72/Assumptions!$E$69/4</f>
        <v>56535.7142857143</v>
      </c>
      <c r="D5544" s="54" t="n">
        <f aca="false">D5532*Assumptions!$E$72/Assumptions!$E$69/4</f>
        <v>56535.7142857143</v>
      </c>
      <c r="E5544" s="54" t="n">
        <f aca="false">E5532*Assumptions!$E$72/Assumptions!$E$69/4</f>
        <v>56535.7142857143</v>
      </c>
      <c r="F5544" s="54" t="n">
        <f aca="false">F5532*Assumptions!$E$72/Assumptions!$E$69/4</f>
        <v>56535.7142857143</v>
      </c>
      <c r="G5544" s="54" t="n">
        <f aca="false">G5532*Assumptions!$E$72/Assumptions!$E$69/4</f>
        <v>28267.8571428571</v>
      </c>
      <c r="H5544" s="54" t="n">
        <f aca="false">H5532*Assumptions!$E$72/Assumptions!$E$69/4</f>
        <v>28267.8571428571</v>
      </c>
      <c r="I5544" s="54" t="n">
        <f aca="false">I5532*Assumptions!$E$72/Assumptions!$E$69/4</f>
        <v>28267.8571428571</v>
      </c>
      <c r="J5544" s="54" t="n">
        <f aca="false">J5532*Assumptions!$E$72/Assumptions!$E$69/4</f>
        <v>28267.8571428571</v>
      </c>
      <c r="K5544" s="54" t="n">
        <f aca="false">K5532*Assumptions!$E$72/Assumptions!$E$69/4</f>
        <v>28267.8571428571</v>
      </c>
      <c r="L5544" s="54" t="n">
        <f aca="false">L5532*Assumptions!$E$72/Assumptions!$E$69/4</f>
        <v>28267.8571428571</v>
      </c>
      <c r="M5544" s="54" t="n">
        <f aca="false">M5532*Assumptions!$E$72/Assumptions!$E$69/4</f>
        <v>28267.8571428571</v>
      </c>
      <c r="N5544" s="54" t="n">
        <f aca="false">N5532*Assumptions!$E$72/Assumptions!$E$69/4</f>
        <v>28267.8571428571</v>
      </c>
      <c r="P5544" s="55" t="n">
        <f aca="false">SUM(C5544:F5544)</f>
        <v>226142.857142857</v>
      </c>
      <c r="Q5544" s="55" t="n">
        <f aca="false">SUM(G5544:J5544)</f>
        <v>113071.428571429</v>
      </c>
      <c r="R5544" s="55" t="n">
        <f aca="false">SUM(K5544:N5544)</f>
        <v>113071.428571429</v>
      </c>
      <c r="S5544" s="56" t="n">
        <f aca="false">SUM(P5544:R5544)</f>
        <v>452285.714285714</v>
      </c>
    </row>
    <row r="5545" customFormat="false" ht="15" hidden="false" customHeight="false" outlineLevel="0" collapsed="false">
      <c r="A5545" s="4" t="s">
        <v>564</v>
      </c>
      <c r="B5545" s="36" t="s">
        <v>125</v>
      </c>
      <c r="C5545" s="54" t="n">
        <f aca="false">IF(C5470&lt;=Assumptions!$E$83,Assumptions!$E$82*Assumptions!$D$108/Assumptions!$E$83,0)</f>
        <v>62500</v>
      </c>
      <c r="D5545" s="54" t="n">
        <f aca="false">IF(D5470&lt;=Assumptions!$E$83,Assumptions!$E$82*Assumptions!$D$108/Assumptions!$E$83,0)</f>
        <v>62500</v>
      </c>
      <c r="E5545" s="54" t="n">
        <f aca="false">IF(E5470&lt;=Assumptions!$E$83,Assumptions!$E$82*Assumptions!$D$108/Assumptions!$E$83,0)</f>
        <v>62500</v>
      </c>
      <c r="F5545" s="54" t="n">
        <f aca="false">IF(F5470&lt;=Assumptions!$E$83,Assumptions!$E$82*Assumptions!$D$108/Assumptions!$E$83,0)</f>
        <v>62500</v>
      </c>
      <c r="G5545" s="54" t="n">
        <f aca="false">IF(G5470&lt;=Assumptions!$E$83,Assumptions!$E$82*Assumptions!$D$108/Assumptions!$E$83,0)</f>
        <v>0</v>
      </c>
      <c r="H5545" s="54" t="n">
        <f aca="false">IF(H5470&lt;=Assumptions!$E$83,Assumptions!$E$82*Assumptions!$D$108/Assumptions!$E$83,0)</f>
        <v>0</v>
      </c>
      <c r="I5545" s="54" t="n">
        <f aca="false">IF(I5470&lt;=Assumptions!$E$83,Assumptions!$E$82*Assumptions!$D$108/Assumptions!$E$83,0)</f>
        <v>0</v>
      </c>
      <c r="J5545" s="54" t="n">
        <f aca="false">IF(J5470&lt;=Assumptions!$E$83,Assumptions!$E$82*Assumptions!$D$108/Assumptions!$E$83,0)</f>
        <v>0</v>
      </c>
      <c r="K5545" s="54" t="n">
        <f aca="false">IF(K5470&lt;=Assumptions!$E$83,Assumptions!$E$82*Assumptions!$D$108/Assumptions!$E$83,0)</f>
        <v>0</v>
      </c>
      <c r="L5545" s="54" t="n">
        <f aca="false">IF(L5470&lt;=Assumptions!$E$83,Assumptions!$E$82*Assumptions!$D$108/Assumptions!$E$83,0)</f>
        <v>0</v>
      </c>
      <c r="M5545" s="54" t="n">
        <f aca="false">IF(M5470&lt;=Assumptions!$E$83,Assumptions!$E$82*Assumptions!$D$108/Assumptions!$E$83,0)</f>
        <v>0</v>
      </c>
      <c r="N5545" s="54" t="n">
        <f aca="false">IF(N5470&lt;=Assumptions!$E$83,Assumptions!$E$82*Assumptions!$D$108/Assumptions!$E$83,0)</f>
        <v>0</v>
      </c>
      <c r="P5545" s="55" t="n">
        <f aca="false">SUM(C5545:F5545)</f>
        <v>250000</v>
      </c>
      <c r="Q5545" s="55" t="n">
        <f aca="false">SUM(G5545:J5545)</f>
        <v>0</v>
      </c>
      <c r="R5545" s="55" t="n">
        <f aca="false">SUM(K5545:N5545)</f>
        <v>0</v>
      </c>
      <c r="S5545" s="56" t="n">
        <f aca="false">SUM(P5545:R5545)</f>
        <v>250000</v>
      </c>
    </row>
    <row r="5546" customFormat="false" ht="15" hidden="false" customHeight="false" outlineLevel="0" collapsed="false">
      <c r="A5546" s="4" t="s">
        <v>565</v>
      </c>
      <c r="B5546" s="36" t="s">
        <v>125</v>
      </c>
      <c r="C5546" s="54" t="n">
        <f aca="false">C5534*Assumptions!$E$73/Assumptions!$E$69/4</f>
        <v>0</v>
      </c>
      <c r="D5546" s="54" t="n">
        <f aca="false">D5534*Assumptions!$E$73/Assumptions!$E$69/4</f>
        <v>669.938154102167</v>
      </c>
      <c r="E5546" s="54" t="n">
        <f aca="false">E5534*Assumptions!$E$73/Assumptions!$E$69/4</f>
        <v>1890.90113094603</v>
      </c>
      <c r="F5546" s="54" t="n">
        <f aca="false">F5534*Assumptions!$E$73/Assumptions!$E$69/4</f>
        <v>3263.04386150384</v>
      </c>
      <c r="G5546" s="54" t="n">
        <f aca="false">G5534*Assumptions!$E$73/Assumptions!$E$69/4</f>
        <v>4736.44252517149</v>
      </c>
      <c r="H5546" s="54" t="n">
        <f aca="false">H5534*Assumptions!$E$73/Assumptions!$E$69/4</f>
        <v>6561.6902130181</v>
      </c>
      <c r="I5546" s="54" t="n">
        <f aca="false">I5534*Assumptions!$E$73/Assumptions!$E$69/4</f>
        <v>8723.32723640371</v>
      </c>
      <c r="J5546" s="54" t="n">
        <f aca="false">J5534*Assumptions!$E$73/Assumptions!$E$69/4</f>
        <v>11741.5052389026</v>
      </c>
      <c r="K5546" s="54" t="n">
        <f aca="false">K5534*Assumptions!$E$73/Assumptions!$E$69/4</f>
        <v>15573.1658880854</v>
      </c>
      <c r="L5546" s="54" t="n">
        <f aca="false">L5534*Assumptions!$E$73/Assumptions!$E$69/4</f>
        <v>19411.0619694382</v>
      </c>
      <c r="M5546" s="54" t="n">
        <f aca="false">M5534*Assumptions!$E$73/Assumptions!$E$69/4</f>
        <v>23037.3801362817</v>
      </c>
      <c r="N5546" s="54" t="n">
        <f aca="false">N5534*Assumptions!$E$73/Assumptions!$E$69/4</f>
        <v>26450.1004558448</v>
      </c>
      <c r="P5546" s="55" t="n">
        <f aca="false">SUM(C5546:F5546)</f>
        <v>5823.88314655204</v>
      </c>
      <c r="Q5546" s="55" t="n">
        <f aca="false">SUM(G5546:J5546)</f>
        <v>31762.9652134959</v>
      </c>
      <c r="R5546" s="55" t="n">
        <f aca="false">SUM(K5546:N5546)</f>
        <v>84471.7084496501</v>
      </c>
      <c r="S5546" s="56" t="n">
        <f aca="false">SUM(P5546:R5546)</f>
        <v>122058.556809698</v>
      </c>
    </row>
    <row r="5547" customFormat="false" ht="15" hidden="false" customHeight="false" outlineLevel="0" collapsed="false">
      <c r="A5547" s="9" t="s">
        <v>566</v>
      </c>
      <c r="B5547" s="36" t="s">
        <v>125</v>
      </c>
      <c r="C5547" s="55" t="n">
        <f aca="false">C5543+C5544+C5545+C5546</f>
        <v>273265.178571429</v>
      </c>
      <c r="D5547" s="55" t="n">
        <f aca="false">D5543+D5544+D5545+D5546</f>
        <v>241377.170186697</v>
      </c>
      <c r="E5547" s="55" t="n">
        <f aca="false">E5543+E5544+E5545+E5546</f>
        <v>252188.314020979</v>
      </c>
      <c r="F5547" s="55" t="n">
        <f aca="false">F5543+F5544+F5545+F5546</f>
        <v>259735.928813459</v>
      </c>
      <c r="G5547" s="55" t="n">
        <f aca="false">G5543+G5544+G5545+G5546</f>
        <v>247924.712698683</v>
      </c>
      <c r="H5547" s="55" t="n">
        <f aca="false">H5543+H5544+H5545+H5546</f>
        <v>215429.189626083</v>
      </c>
      <c r="I5547" s="55" t="n">
        <f aca="false">I5543+I5544+I5545+I5546</f>
        <v>263928.12025073</v>
      </c>
      <c r="J5547" s="55" t="n">
        <f aca="false">J5543+J5544+J5545+J5546</f>
        <v>236653.992191821</v>
      </c>
      <c r="K5547" s="55" t="n">
        <f aca="false">K5543+K5544+K5545+K5546</f>
        <v>252060.571810179</v>
      </c>
      <c r="L5547" s="55" t="n">
        <f aca="false">L5543+L5544+L5545+L5546</f>
        <v>260113.52680934</v>
      </c>
      <c r="M5547" s="55" t="n">
        <f aca="false">M5543+M5544+M5545+M5546</f>
        <v>263143.733639507</v>
      </c>
      <c r="N5547" s="55" t="n">
        <f aca="false">N5543+N5544+N5545+N5546</f>
        <v>265344.876275916</v>
      </c>
      <c r="P5547" s="55" t="n">
        <f aca="false">SUM(C5547:F5547)</f>
        <v>1026566.59159256</v>
      </c>
      <c r="Q5547" s="55" t="n">
        <f aca="false">SUM(G5547:J5547)</f>
        <v>963936.014767317</v>
      </c>
      <c r="R5547" s="55" t="n">
        <f aca="false">SUM(K5547:N5547)</f>
        <v>1040662.70853494</v>
      </c>
      <c r="S5547" s="56" t="n">
        <f aca="false">SUM(P5547:R5547)</f>
        <v>3031165.31489482</v>
      </c>
    </row>
    <row r="5548" customFormat="false" ht="15" hidden="false" customHeight="false" outlineLevel="0" collapsed="false">
      <c r="A5548" s="35" t="s">
        <v>567</v>
      </c>
      <c r="B5548" s="35" t="s">
        <v>444</v>
      </c>
      <c r="C5548" s="6" t="s">
        <v>354</v>
      </c>
      <c r="D5548" s="6" t="s">
        <v>355</v>
      </c>
      <c r="E5548" s="6" t="s">
        <v>356</v>
      </c>
      <c r="F5548" s="6" t="s">
        <v>357</v>
      </c>
      <c r="G5548" s="6" t="s">
        <v>358</v>
      </c>
      <c r="H5548" s="6" t="s">
        <v>359</v>
      </c>
      <c r="I5548" s="6" t="s">
        <v>360</v>
      </c>
      <c r="J5548" s="6" t="s">
        <v>361</v>
      </c>
      <c r="K5548" s="6" t="s">
        <v>362</v>
      </c>
      <c r="L5548" s="6" t="s">
        <v>363</v>
      </c>
      <c r="M5548" s="6" t="s">
        <v>364</v>
      </c>
      <c r="N5548" s="6" t="s">
        <v>365</v>
      </c>
      <c r="P5548" s="6" t="s">
        <v>445</v>
      </c>
      <c r="Q5548" s="6" t="s">
        <v>446</v>
      </c>
      <c r="R5548" s="6" t="s">
        <v>447</v>
      </c>
      <c r="S5548" s="6" t="s">
        <v>448</v>
      </c>
    </row>
    <row r="5549" customFormat="false" ht="15" hidden="false" customHeight="false" outlineLevel="0" collapsed="false">
      <c r="A5549" s="9" t="s">
        <v>568</v>
      </c>
      <c r="B5549" s="36" t="s">
        <v>125</v>
      </c>
      <c r="C5549" s="55" t="n">
        <f aca="false">C5527-C5547</f>
        <v>-273265.178571429</v>
      </c>
      <c r="D5549" s="55" t="n">
        <f aca="false">D5527-D5547</f>
        <v>-240622.70311873</v>
      </c>
      <c r="E5549" s="55" t="n">
        <f aca="false">E5527-E5547</f>
        <v>-248926.587778327</v>
      </c>
      <c r="F5549" s="55" t="n">
        <f aca="false">F5527-F5547</f>
        <v>-252484.100478318</v>
      </c>
      <c r="G5549" s="55" t="n">
        <f aca="false">G5527-G5547</f>
        <v>-235940.901027399</v>
      </c>
      <c r="H5549" s="55" t="n">
        <f aca="false">H5527-H5547</f>
        <v>-197897.208891691</v>
      </c>
      <c r="I5549" s="55" t="n">
        <f aca="false">I5527-I5547</f>
        <v>-239660.458099143</v>
      </c>
      <c r="J5549" s="55" t="n">
        <f aca="false">J5527-J5547</f>
        <v>-203741.780773071</v>
      </c>
      <c r="K5549" s="55" t="n">
        <f aca="false">K5527-K5547</f>
        <v>-207751.483404518</v>
      </c>
      <c r="L5549" s="55" t="n">
        <f aca="false">L5527-L5547</f>
        <v>-202395.129692757</v>
      </c>
      <c r="M5549" s="55" t="n">
        <f aca="false">M5527-M5547</f>
        <v>-191469.532640074</v>
      </c>
      <c r="N5549" s="55" t="n">
        <f aca="false">N5527-N5547</f>
        <v>-179768.169748255</v>
      </c>
      <c r="P5549" s="55" t="n">
        <f aca="false">SUM(C5549:F5549)</f>
        <v>-1015298.5699468</v>
      </c>
      <c r="Q5549" s="55" t="n">
        <f aca="false">SUM(G5549:J5549)</f>
        <v>-877240.348791304</v>
      </c>
      <c r="R5549" s="55" t="n">
        <f aca="false">SUM(K5549:N5549)</f>
        <v>-781384.315485603</v>
      </c>
      <c r="S5549" s="56" t="n">
        <f aca="false">SUM(P5549:R5549)</f>
        <v>-2673923.23422371</v>
      </c>
    </row>
    <row r="5550" customFormat="false" ht="15" hidden="false" customHeight="false" outlineLevel="0" collapsed="false">
      <c r="A5550" s="9" t="s">
        <v>569</v>
      </c>
      <c r="B5550" s="36" t="s">
        <v>125</v>
      </c>
      <c r="C5550" s="55" t="n">
        <f aca="false">0+C5549</f>
        <v>-273265.178571429</v>
      </c>
      <c r="D5550" s="55" t="n">
        <f aca="false">C5550+D5549</f>
        <v>-513887.881690159</v>
      </c>
      <c r="E5550" s="55" t="n">
        <f aca="false">D5550+E5549</f>
        <v>-762814.469468486</v>
      </c>
      <c r="F5550" s="55" t="n">
        <f aca="false">E5550+F5549</f>
        <v>-1015298.5699468</v>
      </c>
      <c r="G5550" s="55" t="n">
        <f aca="false">F5550+G5549</f>
        <v>-1251239.4709742</v>
      </c>
      <c r="H5550" s="55" t="n">
        <f aca="false">G5550+H5549</f>
        <v>-1449136.67986589</v>
      </c>
      <c r="I5550" s="55" t="n">
        <f aca="false">H5550+I5549</f>
        <v>-1688797.13796504</v>
      </c>
      <c r="J5550" s="55" t="n">
        <f aca="false">I5550+J5549</f>
        <v>-1892538.91873811</v>
      </c>
      <c r="K5550" s="55" t="n">
        <f aca="false">J5550+K5549</f>
        <v>-2100290.40214263</v>
      </c>
      <c r="L5550" s="55" t="n">
        <f aca="false">K5550+L5549</f>
        <v>-2302685.53183538</v>
      </c>
      <c r="M5550" s="55" t="n">
        <f aca="false">L5550+M5549</f>
        <v>-2494155.06447546</v>
      </c>
      <c r="N5550" s="55" t="n">
        <f aca="false">M5550+N5549</f>
        <v>-2673923.23422371</v>
      </c>
      <c r="P5550" s="55" t="n">
        <f aca="false">F5550</f>
        <v>-1015298.5699468</v>
      </c>
      <c r="Q5550" s="55" t="n">
        <f aca="false">J5550</f>
        <v>-1892538.91873811</v>
      </c>
      <c r="R5550" s="55" t="n">
        <f aca="false">N5550</f>
        <v>-2673923.23422371</v>
      </c>
      <c r="S5550" s="56" t="n">
        <f aca="false">R5550</f>
        <v>-2673923.23422371</v>
      </c>
    </row>
    <row r="5551" customFormat="false" ht="15" hidden="false" customHeight="false" outlineLevel="0" collapsed="false">
      <c r="A5551" s="4" t="s">
        <v>570</v>
      </c>
      <c r="B5551" s="36" t="s">
        <v>107</v>
      </c>
      <c r="C5551" s="57" t="n">
        <f aca="false">1/(1+Assumptions!$E$87)^(C5470/4)</f>
        <v>0.972065420906982</v>
      </c>
      <c r="D5551" s="57" t="n">
        <f aca="false">1/(1+Assumptions!$E$87)^(D5470/4)</f>
        <v>0.944911182523068</v>
      </c>
      <c r="E5551" s="57" t="n">
        <f aca="false">1/(1+Assumptions!$E$87)^(E5470/4)</f>
        <v>0.918515486359</v>
      </c>
      <c r="F5551" s="57" t="n">
        <f aca="false">1/(1+Assumptions!$E$87)^(F5470/4)</f>
        <v>0.892857142857143</v>
      </c>
      <c r="G5551" s="57" t="n">
        <f aca="false">1/(1+Assumptions!$E$87)^(G5470/4)</f>
        <v>0.867915554381234</v>
      </c>
      <c r="H5551" s="57" t="n">
        <f aca="false">1/(1+Assumptions!$E$87)^(H5470/4)</f>
        <v>0.843670698681311</v>
      </c>
      <c r="I5551" s="57" t="n">
        <f aca="false">1/(1+Assumptions!$E$87)^(I5470/4)</f>
        <v>0.820103112820536</v>
      </c>
      <c r="J5551" s="57" t="n">
        <f aca="false">1/(1+Assumptions!$E$87)^(J5470/4)</f>
        <v>0.79719387755102</v>
      </c>
      <c r="K5551" s="57" t="n">
        <f aca="false">1/(1+Assumptions!$E$87)^(K5470/4)</f>
        <v>0.774924602126102</v>
      </c>
      <c r="L5551" s="57" t="n">
        <f aca="false">1/(1+Assumptions!$E$87)^(L5470/4)</f>
        <v>0.753277409536885</v>
      </c>
      <c r="M5551" s="57" t="n">
        <f aca="false">1/(1+Assumptions!$E$87)^(M5470/4)</f>
        <v>0.732234922161193</v>
      </c>
      <c r="N5551" s="57" t="n">
        <f aca="false">1/(1+Assumptions!$E$87)^(N5470/4)</f>
        <v>0.711780247813411</v>
      </c>
      <c r="P5551" s="58"/>
      <c r="Q5551" s="58"/>
      <c r="R5551" s="58"/>
      <c r="S5551" s="59"/>
    </row>
    <row r="5552" customFormat="false" ht="15" hidden="false" customHeight="false" outlineLevel="0" collapsed="false">
      <c r="A5552" s="4" t="s">
        <v>571</v>
      </c>
      <c r="B5552" s="36" t="s">
        <v>125</v>
      </c>
      <c r="C5552" s="54" t="n">
        <f aca="false">(C5527*(1-Assumptions!$E$88)-C5547)*C5551</f>
        <v>-265631.630827257</v>
      </c>
      <c r="D5552" s="54" t="n">
        <f aca="false">(D5527*(1-Assumptions!$E$88)-D5547)*D5551</f>
        <v>-227509.66381969</v>
      </c>
      <c r="E5552" s="54" t="n">
        <f aca="false">(E5527*(1-Assumptions!$E$88)-E5547)*E5551</f>
        <v>-229242.115054124</v>
      </c>
      <c r="F5552" s="54" t="n">
        <f aca="false">(F5527*(1-Assumptions!$E$88)-F5547)*F5551</f>
        <v>-226727.201915488</v>
      </c>
      <c r="G5552" s="54" t="n">
        <f aca="false">(G5527*(1-Assumptions!$E$88)-G5547)*G5551</f>
        <v>-206856.965226459</v>
      </c>
      <c r="H5552" s="54" t="n">
        <f aca="false">(H5527*(1-Assumptions!$E$88)-H5547)*H5551</f>
        <v>-169918.320179824</v>
      </c>
      <c r="I5552" s="54" t="n">
        <f aca="false">(I5527*(1-Assumptions!$E$88)-I5547)*I5551</f>
        <v>-200526.684761382</v>
      </c>
      <c r="J5552" s="54" t="n">
        <f aca="false">(J5527*(1-Assumptions!$E$88)-J5547)*J5551</f>
        <v>-167669.182921573</v>
      </c>
      <c r="K5552" s="54" t="n">
        <f aca="false">(K5527*(1-Assumptions!$E$88)-K5547)*K5551</f>
        <v>-167858.976159019</v>
      </c>
      <c r="L5552" s="54" t="n">
        <f aca="false">(L5527*(1-Assumptions!$E$88)-L5547)*L5551</f>
        <v>-161155.271930362</v>
      </c>
      <c r="M5552" s="54" t="n">
        <f aca="false">(M5527*(1-Assumptions!$E$88)-M5547)*M5551</f>
        <v>-150697.148926902</v>
      </c>
      <c r="N5552" s="54" t="n">
        <f aca="false">(N5527*(1-Assumptions!$E$88)-N5547)*N5551</f>
        <v>-140137.794288239</v>
      </c>
      <c r="P5552" s="55" t="n">
        <f aca="false">SUM(C5552:F5552)</f>
        <v>-949110.611616559</v>
      </c>
      <c r="Q5552" s="55" t="n">
        <f aca="false">SUM(G5552:J5552)</f>
        <v>-744971.153089238</v>
      </c>
      <c r="R5552" s="55" t="n">
        <f aca="false">SUM(K5552:N5552)</f>
        <v>-619849.191304521</v>
      </c>
      <c r="S5552" s="56" t="n">
        <f aca="false">SUM(P5552:R5552)</f>
        <v>-2313930.95601032</v>
      </c>
    </row>
    <row r="5553" customFormat="false" ht="15" hidden="false" customHeight="false" outlineLevel="0" collapsed="false">
      <c r="A5553" s="4" t="s">
        <v>572</v>
      </c>
      <c r="B5553" s="36" t="s">
        <v>125</v>
      </c>
      <c r="C5553" s="54" t="n">
        <f aca="false">(C5547-C5546)*12/(Assumptions!$E$89*Assumptions!$E$76)*Assumptions!$E$90</f>
        <v>189183.585164835</v>
      </c>
      <c r="D5553" s="54" t="n">
        <f aca="false">(D5547-D5546)*12/(Assumptions!$E$89*Assumptions!$E$76)*Assumptions!$E$90</f>
        <v>166643.468330258</v>
      </c>
      <c r="E5553" s="54" t="n">
        <f aca="false">(E5547-E5546)*12/(Assumptions!$E$89*Assumptions!$E$76)*Assumptions!$E$90</f>
        <v>173282.824308484</v>
      </c>
      <c r="F5553" s="54" t="n">
        <f aca="false">(F5547-F5546)*12/(Assumptions!$E$89*Assumptions!$E$76)*Assumptions!$E$90</f>
        <v>177558.151120584</v>
      </c>
      <c r="G5553" s="54" t="n">
        <f aca="false">(G5547-G5546)*12/(Assumptions!$E$89*Assumptions!$E$76)*Assumptions!$E$90</f>
        <v>168361.110120124</v>
      </c>
      <c r="H5553" s="54" t="n">
        <f aca="false">(H5547-H5546)*12/(Assumptions!$E$89*Assumptions!$E$76)*Assumptions!$E$90</f>
        <v>144600.576516737</v>
      </c>
      <c r="I5553" s="54" t="n">
        <f aca="false">(I5547-I5546)*12/(Assumptions!$E$89*Assumptions!$E$76)*Assumptions!$E$90</f>
        <v>176680.241317611</v>
      </c>
      <c r="J5553" s="54" t="n">
        <f aca="false">(J5547-J5546)*12/(Assumptions!$E$89*Assumptions!$E$76)*Assumptions!$E$90</f>
        <v>155708.644813559</v>
      </c>
      <c r="K5553" s="54" t="n">
        <f aca="false">(K5547-K5546)*12/(Assumptions!$E$89*Assumptions!$E$76)*Assumptions!$E$90</f>
        <v>163722.050253757</v>
      </c>
      <c r="L5553" s="54" t="n">
        <f aca="false">(L5547-L5546)*12/(Assumptions!$E$89*Assumptions!$E$76)*Assumptions!$E$90</f>
        <v>166640.167966086</v>
      </c>
      <c r="M5553" s="54" t="n">
        <f aca="false">(M5547-M5546)*12/(Assumptions!$E$89*Assumptions!$E$76)*Assumptions!$E$90</f>
        <v>166227.475502233</v>
      </c>
      <c r="N5553" s="54" t="n">
        <f aca="false">(N5547-N5546)*12/(Assumptions!$E$89*Assumptions!$E$76)*Assumptions!$E$90</f>
        <v>165388.690952357</v>
      </c>
      <c r="P5553" s="55" t="n">
        <f aca="false">SUM(C5553:F5553)</f>
        <v>706668.028924161</v>
      </c>
      <c r="Q5553" s="55" t="n">
        <f aca="false">SUM(G5553:J5553)</f>
        <v>645350.57276803</v>
      </c>
      <c r="R5553" s="55" t="n">
        <f aca="false">SUM(K5553:N5553)</f>
        <v>661978.384674433</v>
      </c>
      <c r="S5553" s="56" t="n">
        <f aca="false">SUM(P5553:R5553)</f>
        <v>2013996.98636662</v>
      </c>
    </row>
    <row r="5554" customFormat="false" ht="15" hidden="false" customHeight="false" outlineLevel="0" collapsed="false">
      <c r="A5554" s="4" t="s">
        <v>573</v>
      </c>
      <c r="B5554" s="36" t="s">
        <v>125</v>
      </c>
      <c r="C5554" s="54" t="n">
        <f aca="false">0*Assumptions!$E$92^(1/4)+C5553</f>
        <v>189183.585164835</v>
      </c>
      <c r="D5554" s="54" t="n">
        <f aca="false">C5554*Assumptions!$E$92^(1/4)+D5553</f>
        <v>356298.249137272</v>
      </c>
      <c r="E5554" s="54" t="n">
        <f aca="false">D5554*Assumptions!$E$92^(1/4)+E5553</f>
        <v>530468.498124611</v>
      </c>
      <c r="F5554" s="54" t="n">
        <f aca="false">E5554*Assumptions!$E$92^(1/4)+F5553</f>
        <v>709347.876160374</v>
      </c>
      <c r="G5554" s="54" t="n">
        <f aca="false">F5554*Assumptions!$E$92^(1/4)+G5553</f>
        <v>879475.744362308</v>
      </c>
      <c r="H5554" s="54" t="n">
        <f aca="false">G5554*Assumptions!$E$92^(1/4)+H5553</f>
        <v>1026266.81292298</v>
      </c>
      <c r="I5554" s="54" t="n">
        <f aca="false">H5554*Assumptions!$E$92^(1/4)+I5553</f>
        <v>1205503.15576251</v>
      </c>
      <c r="J5554" s="54" t="n">
        <f aca="false">I5554*Assumptions!$E$92^(1/4)+J5553</f>
        <v>1364214.32234947</v>
      </c>
      <c r="K5554" s="54" t="n">
        <f aca="false">J5554*Assumptions!$E$92^(1/4)+K5553</f>
        <v>1531334.19299621</v>
      </c>
      <c r="L5554" s="54" t="n">
        <f aca="false">K5554*Assumptions!$E$92^(1/4)+L5553</f>
        <v>1701788.4233601</v>
      </c>
      <c r="M5554" s="54" t="n">
        <f aca="false">L5554*Assumptions!$E$92^(1/4)+M5553</f>
        <v>1872254.50808575</v>
      </c>
      <c r="N5554" s="54" t="n">
        <f aca="false">M5554*Assumptions!$E$92^(1/4)+N5553</f>
        <v>2042306.38461254</v>
      </c>
      <c r="P5554" s="55" t="n">
        <f aca="false">F5554</f>
        <v>709347.876160374</v>
      </c>
      <c r="Q5554" s="55" t="n">
        <f aca="false">J5554</f>
        <v>1364214.32234947</v>
      </c>
      <c r="R5554" s="55" t="n">
        <f aca="false">N5554</f>
        <v>2042306.38461254</v>
      </c>
      <c r="S5554" s="56" t="n">
        <f aca="false">R5554</f>
        <v>2042306.38461254</v>
      </c>
    </row>
    <row r="5555" customFormat="false" ht="15" hidden="false" customHeight="false" outlineLevel="0" collapsed="false">
      <c r="A5555" s="4" t="s">
        <v>574</v>
      </c>
      <c r="B5555" s="36" t="s">
        <v>125</v>
      </c>
      <c r="C5555" s="54" t="n">
        <f aca="false">(0+C5554)/8*Assumptions!$E$76-(C5547-C5546)-C5554*Assumptions!$E$93/4</f>
        <v>-260258.807091346</v>
      </c>
      <c r="D5555" s="54" t="n">
        <f aca="false">(C5554+D5554)/8*Assumptions!$E$76-(D5547-D5546)-D5554*Assumptions!$E$93/4</f>
        <v>-200840.561109764</v>
      </c>
      <c r="E5555" s="54" t="n">
        <f aca="false">(D5554+E5554)/8*Assumptions!$E$76-(E5547-E5546)-E5554*Assumptions!$E$93/4</f>
        <v>-184878.470901563</v>
      </c>
      <c r="F5555" s="54" t="n">
        <f aca="false">(E5554+F5554)/8*Assumptions!$E$76-(F5547-F5546)-F5554*Assumptions!$E$93/4</f>
        <v>-164604.652993305</v>
      </c>
      <c r="G5555" s="54" t="n">
        <f aca="false">(F5554+G5554)/8*Assumptions!$E$76-(G5547-G5546)-G5554*Assumptions!$E$93/4</f>
        <v>-125089.797810573</v>
      </c>
      <c r="H5555" s="54" t="n">
        <f aca="false">(G5554+H5554)/8*Assumptions!$E$76-(H5547-H5546)-H5554*Assumptions!$E$93/4</f>
        <v>-66854.2517951728</v>
      </c>
      <c r="I5555" s="54" t="n">
        <f aca="false">(H5554+I5554)/8*Assumptions!$E$76-(I5547-I5546)-I5554*Assumptions!$E$93/4</f>
        <v>-88942.2725056623</v>
      </c>
      <c r="J5555" s="54" t="n">
        <f aca="false">(I5554+J5554)/8*Assumptions!$E$76-(J5547-J5546)-J5554*Assumptions!$E$93/4</f>
        <v>-33175.6208856881</v>
      </c>
      <c r="K5555" s="54" t="n">
        <f aca="false">(J5554+K5554)/8*Assumptions!$E$76-(K5547-K5546)-K5554*Assumptions!$E$93/4</f>
        <v>-20365.7664627099</v>
      </c>
      <c r="L5555" s="54" t="n">
        <f aca="false">(K5554+L5554)/8*Assumptions!$E$76-(L5547-L5546)-L5554*Assumptions!$E$93/4</f>
        <v>716.392447046608</v>
      </c>
      <c r="M5555" s="54" t="n">
        <f aca="false">(L5554+M5554)/8*Assumptions!$E$76-(M5547-M5546)-M5554*Assumptions!$E$93/4</f>
        <v>26881.4533256781</v>
      </c>
      <c r="N5555" s="54" t="n">
        <f aca="false">(M5554+N5554)/8*Assumptions!$E$76-(N5547-N5546)-N5554*Assumptions!$E$93/4</f>
        <v>53634.4669040078</v>
      </c>
      <c r="P5555" s="55" t="n">
        <f aca="false">SUM(C5555:F5555)</f>
        <v>-810582.492095978</v>
      </c>
      <c r="Q5555" s="55" t="n">
        <f aca="false">SUM(G5555:J5555)</f>
        <v>-314061.942997096</v>
      </c>
      <c r="R5555" s="55" t="n">
        <f aca="false">SUM(K5555:N5555)</f>
        <v>60866.5462140227</v>
      </c>
      <c r="S5555" s="56" t="n">
        <f aca="false">SUM(P5555:R5555)</f>
        <v>-1063777.88887905</v>
      </c>
    </row>
    <row r="5556" customFormat="false" ht="15" hidden="false" customHeight="false" outlineLevel="0" collapsed="false">
      <c r="A5556" s="4" t="s">
        <v>575</v>
      </c>
      <c r="B5556" s="36" t="s">
        <v>125</v>
      </c>
      <c r="C5556" s="54" t="n">
        <f aca="false">C5555*C5551</f>
        <v>-252988.586859998</v>
      </c>
      <c r="D5556" s="54" t="n">
        <f aca="false">D5555*D5551</f>
        <v>-189776.492096824</v>
      </c>
      <c r="E5556" s="54" t="n">
        <f aca="false">E5555*E5551</f>
        <v>-169813.738617457</v>
      </c>
      <c r="F5556" s="54" t="n">
        <f aca="false">F5555*F5551</f>
        <v>-146968.440172593</v>
      </c>
      <c r="G5556" s="54" t="n">
        <f aca="false">G5555*G5551</f>
        <v>-108567.3812142</v>
      </c>
      <c r="H5556" s="54" t="n">
        <f aca="false">H5555*H5551</f>
        <v>-56402.9733218497</v>
      </c>
      <c r="I5556" s="54" t="n">
        <f aca="false">I5555*I5551</f>
        <v>-72941.834543226</v>
      </c>
      <c r="J5556" s="54" t="n">
        <f aca="false">J5555*J5551</f>
        <v>-26447.4018540243</v>
      </c>
      <c r="K5556" s="54" t="n">
        <f aca="false">K5555*K5551</f>
        <v>-15781.9334731085</v>
      </c>
      <c r="L5556" s="54" t="n">
        <f aca="false">L5555*L5551</f>
        <v>539.642246723059</v>
      </c>
      <c r="M5556" s="54" t="n">
        <f aca="false">M5555*M5551</f>
        <v>19683.5388835077</v>
      </c>
      <c r="N5556" s="54" t="n">
        <f aca="false">N5555*N5551</f>
        <v>38175.9541442749</v>
      </c>
      <c r="P5556" s="55" t="n">
        <f aca="false">SUM(C5556:F5556)</f>
        <v>-759547.257746873</v>
      </c>
      <c r="Q5556" s="55" t="n">
        <f aca="false">SUM(G5556:J5556)</f>
        <v>-264359.5909333</v>
      </c>
      <c r="R5556" s="55" t="n">
        <f aca="false">SUM(K5556:N5556)</f>
        <v>42617.201801397</v>
      </c>
      <c r="S5556" s="56" t="n">
        <f aca="false">SUM(P5556:R5556)</f>
        <v>-981289.646878775</v>
      </c>
    </row>
    <row r="5557" customFormat="false" ht="15" hidden="false" customHeight="false" outlineLevel="0" collapsed="false">
      <c r="A5557" s="4" t="s">
        <v>576</v>
      </c>
      <c r="B5557" s="36"/>
      <c r="C5557" s="37" t="n">
        <f aca="false">IFERROR((S5512*$C$5461*Assumptions!$E$59+S5513*$C$5462*Assumptions!$E$60+S5514*$C$5463*Assumptions!$E$61)/(S5512*$C$5461+S5513*$C$5462+S5514*$C$5463),0.9)</f>
        <v>0.900022362046539</v>
      </c>
    </row>
    <row r="5558" customFormat="false" ht="15" hidden="false" customHeight="false" outlineLevel="0" collapsed="false">
      <c r="A5558" s="4" t="s">
        <v>577</v>
      </c>
      <c r="B5558" s="36"/>
      <c r="C5558" s="37" t="n">
        <f aca="false">IFERROR(N5546*4/N5524,0)</f>
        <v>0.185869180732575</v>
      </c>
    </row>
    <row r="5559" customFormat="false" ht="15" hidden="false" customHeight="false" outlineLevel="0" collapsed="false">
      <c r="A5559" s="4" t="s">
        <v>578</v>
      </c>
      <c r="B5559" s="36"/>
      <c r="C5559" s="60" t="n">
        <f aca="false">$C$5557/(1+Assumptions!$E$87)</f>
        <v>0.80359139468441</v>
      </c>
    </row>
    <row r="5560" customFormat="false" ht="15" hidden="false" customHeight="false" outlineLevel="0" collapsed="false">
      <c r="A5560" s="4" t="s">
        <v>579</v>
      </c>
      <c r="B5560" s="36"/>
      <c r="C5560" s="60" t="n">
        <f aca="false">Assumptions!$E$91/(1+Assumptions!$E$87)</f>
        <v>0.803571428571429</v>
      </c>
    </row>
    <row r="5561" customFormat="false" ht="15" hidden="false" customHeight="false" outlineLevel="0" collapsed="false">
      <c r="A5561" s="35" t="s">
        <v>580</v>
      </c>
      <c r="B5561" s="35" t="s">
        <v>444</v>
      </c>
      <c r="C5561" s="6" t="s">
        <v>354</v>
      </c>
      <c r="D5561" s="6" t="s">
        <v>355</v>
      </c>
      <c r="E5561" s="6" t="s">
        <v>356</v>
      </c>
      <c r="F5561" s="6" t="s">
        <v>357</v>
      </c>
      <c r="G5561" s="6" t="s">
        <v>358</v>
      </c>
      <c r="H5561" s="6" t="s">
        <v>359</v>
      </c>
      <c r="I5561" s="6" t="s">
        <v>360</v>
      </c>
      <c r="J5561" s="6" t="s">
        <v>361</v>
      </c>
      <c r="K5561" s="6" t="s">
        <v>362</v>
      </c>
      <c r="L5561" s="6" t="s">
        <v>363</v>
      </c>
      <c r="M5561" s="6" t="s">
        <v>364</v>
      </c>
      <c r="N5561" s="6" t="s">
        <v>365</v>
      </c>
      <c r="P5561" s="6" t="s">
        <v>445</v>
      </c>
      <c r="Q5561" s="6" t="s">
        <v>446</v>
      </c>
      <c r="R5561" s="6" t="s">
        <v>447</v>
      </c>
      <c r="S5561" s="6" t="s">
        <v>448</v>
      </c>
    </row>
    <row r="5562" customFormat="false" ht="15" hidden="false" customHeight="false" outlineLevel="0" collapsed="false">
      <c r="A5562" s="9" t="s">
        <v>581</v>
      </c>
      <c r="C5562" s="61" t="n">
        <f aca="false">N5524</f>
        <v>569219.713598473</v>
      </c>
      <c r="D5562" s="61"/>
    </row>
    <row r="5563" customFormat="false" ht="15" hidden="false" customHeight="false" outlineLevel="0" collapsed="false">
      <c r="A5563" s="9" t="s">
        <v>582</v>
      </c>
      <c r="C5563" s="62" t="n">
        <f aca="false">N5520</f>
        <v>49.5519744820796</v>
      </c>
      <c r="D5563" s="62"/>
    </row>
    <row r="5564" customFormat="false" ht="15" hidden="false" customHeight="false" outlineLevel="0" collapsed="false">
      <c r="A5564" s="9" t="s">
        <v>583</v>
      </c>
      <c r="C5564" s="63" t="n">
        <f aca="false">S5515</f>
        <v>54.6607835294915</v>
      </c>
      <c r="D5564" s="63"/>
    </row>
    <row r="5565" customFormat="false" ht="15" hidden="false" customHeight="false" outlineLevel="0" collapsed="false">
      <c r="A5565" s="9" t="s">
        <v>584</v>
      </c>
      <c r="C5565" s="61" t="n">
        <f aca="false">S5526</f>
        <v>549603.201032477</v>
      </c>
      <c r="D5565" s="61"/>
    </row>
    <row r="5566" customFormat="false" ht="15" hidden="false" customHeight="false" outlineLevel="0" collapsed="false">
      <c r="A5566" s="9" t="s">
        <v>22</v>
      </c>
      <c r="C5566" s="61" t="n">
        <f aca="false">IFERROR(S5525/S5515,0)</f>
        <v>9827.22844373567</v>
      </c>
      <c r="D5566" s="61"/>
    </row>
    <row r="5567" customFormat="false" ht="15" hidden="false" customHeight="false" outlineLevel="0" collapsed="false">
      <c r="A5567" s="9" t="s">
        <v>585</v>
      </c>
      <c r="C5567" s="61" t="n">
        <f aca="false">IFERROR(S5543/S5515,0)</f>
        <v>40373.0225090672</v>
      </c>
      <c r="D5567" s="61"/>
    </row>
    <row r="5568" customFormat="false" ht="23.85" hidden="false" customHeight="false" outlineLevel="0" collapsed="false">
      <c r="A5568" s="9" t="s">
        <v>586</v>
      </c>
      <c r="C5568" s="61" t="n">
        <f aca="false">IFERROR((S5537+S5539+S5540+S5541+S5542)/S5515,0)</f>
        <v>16777.1687019775</v>
      </c>
      <c r="D5568" s="61"/>
    </row>
    <row r="5569" customFormat="false" ht="15" hidden="false" customHeight="false" outlineLevel="0" collapsed="false">
      <c r="A5569" s="9" t="s">
        <v>587</v>
      </c>
      <c r="C5569" s="64" t="n">
        <f aca="false">IFERROR('Engine Runs'!$C$5567/('Engine Runs'!$C$5566*Assumptions!$E$76/12),0)</f>
        <v>75.8452001118201</v>
      </c>
      <c r="D5569" s="64"/>
    </row>
    <row r="5570" customFormat="false" ht="15" hidden="false" customHeight="false" outlineLevel="0" collapsed="false">
      <c r="A5570" s="9" t="s">
        <v>588</v>
      </c>
      <c r="C5570" s="64" t="n">
        <f aca="false">IFERROR((R5543/R5515)/((R5525/R5515)*Assumptions!$E$76/12),0)</f>
        <v>49.8834904839782</v>
      </c>
      <c r="D5570" s="64"/>
    </row>
    <row r="5571" customFormat="false" ht="15" hidden="false" customHeight="false" outlineLevel="0" collapsed="false">
      <c r="A5571" s="9" t="s">
        <v>589</v>
      </c>
      <c r="C5571" s="61" t="n">
        <f aca="false">S5547</f>
        <v>3031165.31489482</v>
      </c>
      <c r="D5571" s="61"/>
    </row>
    <row r="5572" customFormat="false" ht="15" hidden="false" customHeight="false" outlineLevel="0" collapsed="false">
      <c r="A5572" s="9" t="s">
        <v>590</v>
      </c>
      <c r="C5572" s="61" t="n">
        <f aca="false">N5550</f>
        <v>-2673923.23422371</v>
      </c>
      <c r="D5572" s="61"/>
    </row>
    <row r="5573" customFormat="false" ht="15" hidden="false" customHeight="false" outlineLevel="0" collapsed="false">
      <c r="A5573" s="9" t="s">
        <v>591</v>
      </c>
      <c r="C5573" s="61" t="n">
        <f aca="false">MIN($C$5550:$N$5550)</f>
        <v>-2673923.23422371</v>
      </c>
      <c r="D5573" s="61"/>
    </row>
    <row r="5574" customFormat="false" ht="15" hidden="false" customHeight="false" outlineLevel="0" collapsed="false">
      <c r="A5574" s="9" t="s">
        <v>592</v>
      </c>
      <c r="C5574" s="61" t="n">
        <f aca="false">N5524*(Assumptions!$E$76-$C$5558)*$C$5557*(1-$C$5557^Assumptions!$E$85)/(1-$C$5557)</f>
        <v>973772.420319942</v>
      </c>
      <c r="D5574" s="61"/>
    </row>
    <row r="5575" customFormat="false" ht="15" hidden="false" customHeight="false" outlineLevel="0" collapsed="false">
      <c r="A5575" s="9" t="s">
        <v>593</v>
      </c>
      <c r="C5575" s="61" t="n">
        <f aca="false">N5524*(Assumptions!$E$76-$C$5558)*(1-Assumptions!$E$88)/(1+Assumptions!$E$87)^2.5*$C$5559*(1-$C$5559^Assumptions!$E$85)/(1-$C$5559)</f>
        <v>433107.177906642</v>
      </c>
      <c r="D5575" s="61"/>
    </row>
    <row r="5576" customFormat="false" ht="15" hidden="false" customHeight="false" outlineLevel="0" collapsed="false">
      <c r="A5576" s="9" t="s">
        <v>594</v>
      </c>
      <c r="C5576" s="61" t="n">
        <f aca="false">SUM($C$5552:$N$5552)+'Engine Runs'!$C$5575</f>
        <v>-1880823.77810368</v>
      </c>
      <c r="D5576" s="61"/>
    </row>
    <row r="5577" customFormat="false" ht="15" hidden="false" customHeight="false" outlineLevel="0" collapsed="false">
      <c r="A5577" s="9" t="s">
        <v>595</v>
      </c>
      <c r="C5577" s="61" t="n">
        <f aca="false">SUM($C$5556:$N$5556)+N5554*(Assumptions!$E$76-Assumptions!$E$93)/(1+Assumptions!$E$87)^2.5*$C$5560*(1-$C$5560^Assumptions!$E$85)/(1-$C$5560)</f>
        <v>1529610.55824052</v>
      </c>
      <c r="D5577" s="61"/>
    </row>
    <row r="5578" customFormat="false" ht="15" hidden="false" customHeight="false" outlineLevel="0" collapsed="false">
      <c r="A5578" s="9" t="s">
        <v>596</v>
      </c>
      <c r="C5578" s="61" t="n">
        <f aca="false">'Engine Runs'!$C$5576-'Engine Runs'!$C$5577</f>
        <v>-3410434.33634419</v>
      </c>
      <c r="D5578" s="61"/>
    </row>
    <row r="5579" customFormat="false" ht="15" hidden="false" customHeight="false" outlineLevel="0" collapsed="false">
      <c r="A5579" s="9" t="s">
        <v>597</v>
      </c>
      <c r="C5579" s="61" t="n">
        <f aca="false">S5511</f>
        <v>0</v>
      </c>
      <c r="D5579" s="61"/>
    </row>
    <row r="5580" customFormat="false" ht="15" hidden="false" customHeight="false" outlineLevel="0" collapsed="false">
      <c r="A5580" s="9" t="s">
        <v>598</v>
      </c>
      <c r="C5580" s="63" t="n">
        <f aca="false">P5495</f>
        <v>43.6188722246667</v>
      </c>
      <c r="D5580" s="63"/>
    </row>
    <row r="5581" customFormat="false" ht="15" hidden="false" customHeight="false" outlineLevel="0" collapsed="false">
      <c r="A5581" s="9" t="s">
        <v>599</v>
      </c>
      <c r="C5581" s="63" t="n">
        <f aca="false">P5515</f>
        <v>6.14665989717654</v>
      </c>
      <c r="D5581" s="63"/>
    </row>
    <row r="5582" customFormat="false" ht="15" hidden="false" customHeight="false" outlineLevel="0" collapsed="false">
      <c r="A5582" s="9" t="s">
        <v>600</v>
      </c>
      <c r="C5582" s="63" t="n">
        <f aca="false">P5491</f>
        <v>42</v>
      </c>
      <c r="D5582" s="63"/>
    </row>
    <row r="5583" customFormat="false" ht="15" hidden="false" customHeight="false" outlineLevel="0" collapsed="false">
      <c r="A5583" s="9" t="s">
        <v>601</v>
      </c>
      <c r="C5583" s="61" t="n">
        <f aca="false">IFERROR(P5525/P5515,0)</f>
        <v>9420.16358718445</v>
      </c>
      <c r="D5583" s="61"/>
    </row>
    <row r="5586" customFormat="false" ht="15" hidden="false" customHeight="true" outlineLevel="0" collapsed="false">
      <c r="A5586" s="78" t="s">
        <v>861</v>
      </c>
      <c r="B5586" s="78"/>
      <c r="C5586" s="78"/>
      <c r="D5586" s="78"/>
      <c r="E5586" s="78"/>
      <c r="F5586" s="78"/>
      <c r="G5586" s="78"/>
      <c r="H5586" s="78"/>
      <c r="I5586" s="78"/>
      <c r="J5586" s="78"/>
      <c r="K5586" s="78"/>
      <c r="L5586" s="78"/>
      <c r="M5586" s="78"/>
      <c r="N5586" s="78"/>
    </row>
    <row r="5587" customFormat="false" ht="15" hidden="false" customHeight="true" outlineLevel="0" collapsed="false">
      <c r="A5587" s="79" t="s">
        <v>862</v>
      </c>
      <c r="B5587" s="79"/>
      <c r="C5587" s="79"/>
      <c r="D5587" s="79"/>
      <c r="E5587" s="79"/>
      <c r="F5587" s="79"/>
      <c r="G5587" s="79"/>
      <c r="H5587" s="79"/>
      <c r="I5587" s="79"/>
      <c r="J5587" s="79"/>
      <c r="K5587" s="79"/>
      <c r="L5587" s="79"/>
      <c r="M5587" s="79"/>
      <c r="N5587" s="79"/>
    </row>
    <row r="5588" customFormat="false" ht="23.85" hidden="false" customHeight="false" outlineLevel="0" collapsed="false">
      <c r="A5588" s="35" t="s">
        <v>863</v>
      </c>
      <c r="B5588" s="35" t="s">
        <v>444</v>
      </c>
      <c r="C5588" s="6" t="s">
        <v>354</v>
      </c>
      <c r="D5588" s="6" t="s">
        <v>355</v>
      </c>
      <c r="E5588" s="6" t="s">
        <v>356</v>
      </c>
      <c r="F5588" s="6" t="s">
        <v>357</v>
      </c>
      <c r="G5588" s="6" t="s">
        <v>358</v>
      </c>
      <c r="H5588" s="6" t="s">
        <v>359</v>
      </c>
      <c r="I5588" s="6" t="s">
        <v>360</v>
      </c>
      <c r="J5588" s="6" t="s">
        <v>361</v>
      </c>
      <c r="K5588" s="6" t="s">
        <v>362</v>
      </c>
      <c r="L5588" s="6" t="s">
        <v>363</v>
      </c>
      <c r="M5588" s="6" t="s">
        <v>364</v>
      </c>
      <c r="N5588" s="6" t="s">
        <v>365</v>
      </c>
      <c r="P5588" s="6" t="s">
        <v>445</v>
      </c>
      <c r="Q5588" s="6" t="s">
        <v>446</v>
      </c>
      <c r="R5588" s="6" t="s">
        <v>447</v>
      </c>
      <c r="S5588" s="6" t="s">
        <v>448</v>
      </c>
    </row>
    <row r="5589" customFormat="false" ht="15" hidden="false" customHeight="false" outlineLevel="0" collapsed="false">
      <c r="A5589" s="4" t="s">
        <v>449</v>
      </c>
      <c r="B5589" s="36" t="s">
        <v>450</v>
      </c>
      <c r="C5589" s="34" t="n">
        <f aca="false">'Market Sizing'!$C$17*Assumptions!$E$10*Assumptions!$E$11*(1-Assumptions!$E$12)</f>
        <v>843.03944704</v>
      </c>
    </row>
    <row r="5590" customFormat="false" ht="15" hidden="false" customHeight="false" outlineLevel="0" collapsed="false">
      <c r="A5590" s="4" t="s">
        <v>451</v>
      </c>
      <c r="B5590" s="36" t="s">
        <v>450</v>
      </c>
      <c r="C5590" s="34" t="n">
        <f aca="false">'Market Sizing'!$D$17*Assumptions!$E$10*Assumptions!$E$11*(1-Assumptions!$E$12)</f>
        <v>211.19616</v>
      </c>
    </row>
    <row r="5591" customFormat="false" ht="15" hidden="false" customHeight="false" outlineLevel="0" collapsed="false">
      <c r="A5591" s="4" t="s">
        <v>452</v>
      </c>
      <c r="B5591" s="36" t="s">
        <v>450</v>
      </c>
      <c r="C5591" s="34" t="n">
        <f aca="false">'Market Sizing'!$E$17*Assumptions!$E$10*Assumptions!$E$11*(1-Assumptions!$E$12)</f>
        <v>49.53984</v>
      </c>
    </row>
    <row r="5592" customFormat="false" ht="15" hidden="false" customHeight="false" outlineLevel="0" collapsed="false">
      <c r="A5592" s="4" t="s">
        <v>453</v>
      </c>
      <c r="B5592" s="36"/>
      <c r="C5592" s="34" t="n">
        <f aca="false">$C$5589+$C$5590+$C$5591</f>
        <v>1103.77544704</v>
      </c>
    </row>
    <row r="5593" customFormat="false" ht="15" hidden="false" customHeight="false" outlineLevel="0" collapsed="false">
      <c r="A5593" s="4" t="s">
        <v>454</v>
      </c>
      <c r="B5593" s="36" t="s">
        <v>450</v>
      </c>
      <c r="C5593" s="34" t="n">
        <f aca="false">'Market Sizing'!$C$18*Assumptions!$E$10*Assumptions!$E$11*(1-Assumptions!$E$12)</f>
        <v>612.57706944</v>
      </c>
    </row>
    <row r="5594" customFormat="false" ht="15" hidden="false" customHeight="false" outlineLevel="0" collapsed="false">
      <c r="A5594" s="4" t="s">
        <v>455</v>
      </c>
      <c r="B5594" s="36" t="s">
        <v>450</v>
      </c>
      <c r="C5594" s="34" t="n">
        <f aca="false">'Market Sizing'!$D$18*Assumptions!$E$10*Assumptions!$E$11*(1-Assumptions!$E$12)</f>
        <v>142.10112</v>
      </c>
    </row>
    <row r="5595" customFormat="false" ht="15" hidden="false" customHeight="false" outlineLevel="0" collapsed="false">
      <c r="A5595" s="4" t="s">
        <v>456</v>
      </c>
      <c r="B5595" s="36" t="s">
        <v>450</v>
      </c>
      <c r="C5595" s="34" t="n">
        <f aca="false">'Market Sizing'!$E$18*Assumptions!$E$10*Assumptions!$E$11*(1-Assumptions!$E$12)</f>
        <v>24.76992</v>
      </c>
    </row>
    <row r="5596" customFormat="false" ht="15" hidden="false" customHeight="false" outlineLevel="0" collapsed="false">
      <c r="A5596" s="4" t="s">
        <v>457</v>
      </c>
      <c r="B5596" s="36"/>
      <c r="C5596" s="34" t="n">
        <f aca="false">$C$5593+$C$5594+$C$5595</f>
        <v>779.44810944</v>
      </c>
    </row>
    <row r="5597" customFormat="false" ht="15" hidden="false" customHeight="false" outlineLevel="0" collapsed="false">
      <c r="A5597" s="4" t="s">
        <v>458</v>
      </c>
      <c r="B5597" s="36" t="s">
        <v>450</v>
      </c>
      <c r="C5597" s="34" t="n">
        <f aca="false">'Market Sizing'!$C$19*Assumptions!$E$10*Assumptions!$E$11*(1-Assumptions!$E$12)</f>
        <v>2060.77303936</v>
      </c>
    </row>
    <row r="5598" customFormat="false" ht="15" hidden="false" customHeight="false" outlineLevel="0" collapsed="false">
      <c r="A5598" s="4" t="s">
        <v>459</v>
      </c>
      <c r="B5598" s="36" t="s">
        <v>450</v>
      </c>
      <c r="C5598" s="34" t="n">
        <f aca="false">'Market Sizing'!$D$19*Assumptions!$E$10*Assumptions!$E$11*(1-Assumptions!$E$12)</f>
        <v>428.47616</v>
      </c>
    </row>
    <row r="5599" customFormat="false" ht="15" hidden="false" customHeight="false" outlineLevel="0" collapsed="false">
      <c r="A5599" s="4" t="s">
        <v>460</v>
      </c>
      <c r="B5599" s="36" t="s">
        <v>450</v>
      </c>
      <c r="C5599" s="34" t="n">
        <f aca="false">'Market Sizing'!$E$19*Assumptions!$E$10*Assumptions!$E$11*(1-Assumptions!$E$12)</f>
        <v>79.52448</v>
      </c>
    </row>
    <row r="5600" customFormat="false" ht="15" hidden="false" customHeight="false" outlineLevel="0" collapsed="false">
      <c r="A5600" s="4" t="s">
        <v>461</v>
      </c>
      <c r="B5600" s="36"/>
      <c r="C5600" s="34" t="n">
        <f aca="false">$C$5597+$C$5598+$C$5599</f>
        <v>2568.77367936</v>
      </c>
    </row>
    <row r="5601" customFormat="false" ht="15" hidden="false" customHeight="false" outlineLevel="0" collapsed="false">
      <c r="A5601" s="4" t="s">
        <v>462</v>
      </c>
      <c r="B5601" s="36" t="s">
        <v>463</v>
      </c>
      <c r="C5601" s="33" t="n">
        <f aca="false">MAX((Assumptions!$E$51+Assumptions!$E$53)*12,(((('Market Sizing'!$E$25*Assumptions!$E$41*Assumptions!$E$42*Assumptions!$D$43)*Assumptions!$E$44)*Assumptions!$E$45*Assumptions!$E$46+('Market Sizing'!$E$25*Assumptions!$E$41*Assumptions!$E$42*Assumptions!$D$43)*Assumptions!$E$47+('Market Sizing'!$E$25*Assumptions!$E$41*Assumptions!$E$42*Assumptions!$D$43)*Assumptions!$E$48*Assumptions!$E$49)*(Assumptions!$E$51*12/Assumptions!$E$52)+((('Market Sizing'!$E$25*Assumptions!$E$41*Assumptions!$E$42*Assumptions!$D$43)*Assumptions!$E$44)*Assumptions!$E$45+('Market Sizing'!$E$25*Assumptions!$E$41*Assumptions!$E$42*Assumptions!$D$43)+('Market Sizing'!$E$25*Assumptions!$E$41*Assumptions!$E$42*Assumptions!$D$43)*Assumptions!$E$48)*Assumptions!$E$50*(Assumptions!$E$53*12/Assumptions!$E$54)))</f>
        <v>5352</v>
      </c>
    </row>
    <row r="5602" customFormat="false" ht="15" hidden="false" customHeight="false" outlineLevel="0" collapsed="false">
      <c r="A5602" s="4" t="s">
        <v>464</v>
      </c>
      <c r="B5602" s="36" t="s">
        <v>463</v>
      </c>
      <c r="C5602" s="33" t="n">
        <f aca="false">MAX((Assumptions!$E$51+Assumptions!$E$53)*12,(((('Market Sizing'!$E$26*Assumptions!$E$41*Assumptions!$E$42*Assumptions!$D$43)*Assumptions!$E$44)*Assumptions!$E$45*Assumptions!$E$46+('Market Sizing'!$E$26*Assumptions!$E$41*Assumptions!$E$42*Assumptions!$D$43)*Assumptions!$E$47+('Market Sizing'!$E$26*Assumptions!$E$41*Assumptions!$E$42*Assumptions!$D$43)*Assumptions!$E$48*Assumptions!$E$49)*(Assumptions!$E$51*12/Assumptions!$E$52)+((('Market Sizing'!$E$26*Assumptions!$E$41*Assumptions!$E$42*Assumptions!$D$43)*Assumptions!$E$44)*Assumptions!$E$45+('Market Sizing'!$E$26*Assumptions!$E$41*Assumptions!$E$42*Assumptions!$D$43)+('Market Sizing'!$E$26*Assumptions!$E$41*Assumptions!$E$42*Assumptions!$D$43)*Assumptions!$E$48)*Assumptions!$E$50*(Assumptions!$E$53*12/Assumptions!$E$54)))</f>
        <v>7325.04009656406</v>
      </c>
    </row>
    <row r="5603" customFormat="false" ht="15" hidden="false" customHeight="false" outlineLevel="0" collapsed="false">
      <c r="A5603" s="4" t="s">
        <v>465</v>
      </c>
      <c r="B5603" s="36" t="s">
        <v>463</v>
      </c>
      <c r="C5603" s="33" t="n">
        <f aca="false">MAX(Assumptions!$E$55*(Assumptions!$E$51*12/Assumptions!$E$52)+Assumptions!$E$56*(Assumptions!$E$53*12/Assumptions!$E$54),(((('Market Sizing'!$E$27*Assumptions!$E$41*Assumptions!$E$42*Assumptions!$D$43)*Assumptions!$E$44)*Assumptions!$E$45*Assumptions!$E$46+('Market Sizing'!$E$27*Assumptions!$E$41*Assumptions!$E$42*Assumptions!$D$43)*Assumptions!$E$47+('Market Sizing'!$E$27*Assumptions!$E$41*Assumptions!$E$42*Assumptions!$D$43)*Assumptions!$E$48*Assumptions!$E$49)*(Assumptions!$E$51*12/Assumptions!$E$52)+((('Market Sizing'!$E$27*Assumptions!$E$41*Assumptions!$E$42*Assumptions!$D$43)*Assumptions!$E$44)*Assumptions!$E$45+('Market Sizing'!$E$27*Assumptions!$E$41*Assumptions!$E$42*Assumptions!$D$43)+('Market Sizing'!$E$27*Assumptions!$E$41*Assumptions!$E$42*Assumptions!$D$43)*Assumptions!$E$48)*Assumptions!$E$50*(Assumptions!$E$53*12/Assumptions!$E$54)))*(1-Assumptions!$E$57)</f>
        <v>46333.6921645789</v>
      </c>
    </row>
    <row r="5604" customFormat="false" ht="23.85" hidden="false" customHeight="false" outlineLevel="0" collapsed="false">
      <c r="A5604" s="4" t="s">
        <v>466</v>
      </c>
      <c r="B5604" s="36" t="s">
        <v>467</v>
      </c>
      <c r="C5604" s="37" t="n">
        <f aca="false">Assumptions!$E$17*Assumptions!$D$106</f>
        <v>0.4</v>
      </c>
    </row>
    <row r="5605" customFormat="false" ht="23.85" hidden="false" customHeight="false" outlineLevel="0" collapsed="false">
      <c r="A5605" s="4" t="s">
        <v>468</v>
      </c>
      <c r="B5605" s="36" t="s">
        <v>469</v>
      </c>
      <c r="C5605" s="33" t="n">
        <f aca="false">Assumptions!$E$68/Assumptions!$E$69</f>
        <v>285714.285714286</v>
      </c>
    </row>
    <row r="5606" customFormat="false" ht="23.85" hidden="false" customHeight="false" outlineLevel="0" collapsed="false">
      <c r="A5606" s="4" t="s">
        <v>470</v>
      </c>
      <c r="B5606" s="36" t="s">
        <v>471</v>
      </c>
      <c r="C5606" s="33" t="n">
        <f aca="false">Assumptions!$E$66*Assumptions!$E$67/4</f>
        <v>153125</v>
      </c>
    </row>
    <row r="5607" customFormat="false" ht="15" hidden="false" customHeight="false" outlineLevel="0" collapsed="false">
      <c r="A5607" s="4" t="s">
        <v>472</v>
      </c>
      <c r="B5607" s="36"/>
      <c r="C5607" s="38" t="n">
        <f aca="false">$C$5605/Assumptions!$E$66/Assumptions!$E$67</f>
        <v>0.466472303206997</v>
      </c>
    </row>
    <row r="5608" customFormat="false" ht="15" hidden="false" customHeight="false" outlineLevel="0" collapsed="false">
      <c r="A5608" s="4" t="s">
        <v>473</v>
      </c>
      <c r="B5608" s="36"/>
      <c r="C5608" s="33" t="n">
        <f aca="false">MAX(0,Assumptions!$D$103-Assumptions!$E$78)</f>
        <v>0</v>
      </c>
    </row>
    <row r="5609" customFormat="false" ht="15" hidden="false" customHeight="false" outlineLevel="0" collapsed="false">
      <c r="A5609" s="35" t="s">
        <v>474</v>
      </c>
      <c r="B5609" s="35" t="s">
        <v>444</v>
      </c>
      <c r="C5609" s="6" t="s">
        <v>354</v>
      </c>
      <c r="D5609" s="6" t="s">
        <v>355</v>
      </c>
      <c r="E5609" s="6" t="s">
        <v>356</v>
      </c>
      <c r="F5609" s="6" t="s">
        <v>357</v>
      </c>
      <c r="G5609" s="6" t="s">
        <v>358</v>
      </c>
      <c r="H5609" s="6" t="s">
        <v>359</v>
      </c>
      <c r="I5609" s="6" t="s">
        <v>360</v>
      </c>
      <c r="J5609" s="6" t="s">
        <v>361</v>
      </c>
      <c r="K5609" s="6" t="s">
        <v>362</v>
      </c>
      <c r="L5609" s="6" t="s">
        <v>363</v>
      </c>
      <c r="M5609" s="6" t="s">
        <v>364</v>
      </c>
      <c r="N5609" s="6" t="s">
        <v>365</v>
      </c>
      <c r="P5609" s="6" t="s">
        <v>445</v>
      </c>
      <c r="Q5609" s="6" t="s">
        <v>446</v>
      </c>
      <c r="R5609" s="6" t="s">
        <v>447</v>
      </c>
      <c r="S5609" s="6" t="s">
        <v>448</v>
      </c>
    </row>
    <row r="5610" customFormat="false" ht="15" hidden="false" customHeight="false" outlineLevel="0" collapsed="false">
      <c r="A5610" s="4" t="s">
        <v>475</v>
      </c>
      <c r="B5610" s="36" t="s">
        <v>133</v>
      </c>
      <c r="C5610" s="39" t="n">
        <v>1</v>
      </c>
      <c r="D5610" s="39" t="n">
        <v>2</v>
      </c>
      <c r="E5610" s="39" t="n">
        <v>3</v>
      </c>
      <c r="F5610" s="39" t="n">
        <v>4</v>
      </c>
      <c r="G5610" s="39" t="n">
        <v>5</v>
      </c>
      <c r="H5610" s="39" t="n">
        <v>6</v>
      </c>
      <c r="I5610" s="39" t="n">
        <v>7</v>
      </c>
      <c r="J5610" s="39" t="n">
        <v>8</v>
      </c>
      <c r="K5610" s="39" t="n">
        <v>9</v>
      </c>
      <c r="L5610" s="39" t="n">
        <v>10</v>
      </c>
      <c r="M5610" s="39" t="n">
        <v>11</v>
      </c>
      <c r="N5610" s="39" t="n">
        <v>12</v>
      </c>
      <c r="P5610" s="40"/>
      <c r="Q5610" s="40"/>
      <c r="R5610" s="40"/>
      <c r="S5610" s="41"/>
    </row>
    <row r="5611" customFormat="false" ht="15" hidden="false" customHeight="false" outlineLevel="0" collapsed="false">
      <c r="A5611" s="4" t="s">
        <v>476</v>
      </c>
      <c r="B5611" s="36" t="s">
        <v>343</v>
      </c>
      <c r="C5611" s="39" t="n">
        <f aca="false">IF(C5610&lt;=Assumptions!$E$84,1,0)</f>
        <v>1</v>
      </c>
      <c r="D5611" s="39" t="n">
        <f aca="false">IF(D5610&lt;=Assumptions!$E$84,1,0)</f>
        <v>1</v>
      </c>
      <c r="E5611" s="39" t="n">
        <f aca="false">IF(E5610&lt;=Assumptions!$E$84,1,0)</f>
        <v>1</v>
      </c>
      <c r="F5611" s="39" t="n">
        <f aca="false">IF(F5610&lt;=Assumptions!$E$84,1,0)</f>
        <v>1</v>
      </c>
      <c r="G5611" s="39" t="n">
        <f aca="false">IF(G5610&lt;=Assumptions!$E$84,1,0)</f>
        <v>1</v>
      </c>
      <c r="H5611" s="39" t="n">
        <f aca="false">IF(H5610&lt;=Assumptions!$E$84,1,0)</f>
        <v>1</v>
      </c>
      <c r="I5611" s="39" t="n">
        <f aca="false">IF(I5610&lt;=Assumptions!$E$84,1,0)</f>
        <v>1</v>
      </c>
      <c r="J5611" s="39" t="n">
        <f aca="false">IF(J5610&lt;=Assumptions!$E$84,1,0)</f>
        <v>1</v>
      </c>
      <c r="K5611" s="39" t="n">
        <f aca="false">IF(K5610&lt;=Assumptions!$E$84,1,0)</f>
        <v>1</v>
      </c>
      <c r="L5611" s="39" t="n">
        <f aca="false">IF(L5610&lt;=Assumptions!$E$84,1,0)</f>
        <v>1</v>
      </c>
      <c r="M5611" s="39" t="n">
        <f aca="false">IF(M5610&lt;=Assumptions!$E$84,1,0)</f>
        <v>1</v>
      </c>
      <c r="N5611" s="39" t="n">
        <f aca="false">IF(N5610&lt;=Assumptions!$E$84,1,0)</f>
        <v>1</v>
      </c>
      <c r="P5611" s="40"/>
      <c r="Q5611" s="40"/>
      <c r="R5611" s="40"/>
      <c r="S5611" s="41"/>
    </row>
    <row r="5612" customFormat="false" ht="15" hidden="false" customHeight="false" outlineLevel="0" collapsed="false">
      <c r="A5612" s="4" t="s">
        <v>477</v>
      </c>
      <c r="B5612" s="36" t="s">
        <v>478</v>
      </c>
      <c r="C5612" s="42" t="n">
        <f aca="false">IF(C5610=Assumptions!$E$13,0.5,IF(C5610&gt;Assumptions!$E$13,1,0))</f>
        <v>0.5</v>
      </c>
      <c r="D5612" s="42" t="n">
        <f aca="false">IF(D5610=Assumptions!$E$13,0.5,IF(D5610&gt;Assumptions!$E$13,1,0))</f>
        <v>1</v>
      </c>
      <c r="E5612" s="42" t="n">
        <f aca="false">IF(E5610=Assumptions!$E$13,0.5,IF(E5610&gt;Assumptions!$E$13,1,0))</f>
        <v>1</v>
      </c>
      <c r="F5612" s="42" t="n">
        <f aca="false">IF(F5610=Assumptions!$E$13,0.5,IF(F5610&gt;Assumptions!$E$13,1,0))</f>
        <v>1</v>
      </c>
      <c r="G5612" s="42" t="n">
        <f aca="false">IF(G5610=Assumptions!$E$13,0.5,IF(G5610&gt;Assumptions!$E$13,1,0))</f>
        <v>1</v>
      </c>
      <c r="H5612" s="42" t="n">
        <f aca="false">IF(H5610=Assumptions!$E$13,0.5,IF(H5610&gt;Assumptions!$E$13,1,0))</f>
        <v>1</v>
      </c>
      <c r="I5612" s="42" t="n">
        <f aca="false">IF(I5610=Assumptions!$E$13,0.5,IF(I5610&gt;Assumptions!$E$13,1,0))</f>
        <v>1</v>
      </c>
      <c r="J5612" s="42" t="n">
        <f aca="false">IF(J5610=Assumptions!$E$13,0.5,IF(J5610&gt;Assumptions!$E$13,1,0))</f>
        <v>1</v>
      </c>
      <c r="K5612" s="42" t="n">
        <f aca="false">IF(K5610=Assumptions!$E$13,0.5,IF(K5610&gt;Assumptions!$E$13,1,0))</f>
        <v>1</v>
      </c>
      <c r="L5612" s="42" t="n">
        <f aca="false">IF(L5610=Assumptions!$E$13,0.5,IF(L5610&gt;Assumptions!$E$13,1,0))</f>
        <v>1</v>
      </c>
      <c r="M5612" s="42" t="n">
        <f aca="false">IF(M5610=Assumptions!$E$13,0.5,IF(M5610&gt;Assumptions!$E$13,1,0))</f>
        <v>1</v>
      </c>
      <c r="N5612" s="42" t="n">
        <f aca="false">IF(N5610=Assumptions!$E$13,0.5,IF(N5610&gt;Assumptions!$E$13,1,0))</f>
        <v>1</v>
      </c>
      <c r="P5612" s="43"/>
      <c r="Q5612" s="43"/>
      <c r="R5612" s="43"/>
      <c r="S5612" s="44"/>
    </row>
    <row r="5613" customFormat="false" ht="15" hidden="false" customHeight="false" outlineLevel="0" collapsed="false">
      <c r="A5613" s="4" t="s">
        <v>479</v>
      </c>
      <c r="B5613" s="36" t="s">
        <v>478</v>
      </c>
      <c r="C5613" s="42" t="n">
        <f aca="false">IF(C5610=Assumptions!$E$14,0.5,IF(C5610&gt;Assumptions!$E$14,1,0))</f>
        <v>0</v>
      </c>
      <c r="D5613" s="42" t="n">
        <f aca="false">IF(D5610=Assumptions!$E$14,0.5,IF(D5610&gt;Assumptions!$E$14,1,0))</f>
        <v>0</v>
      </c>
      <c r="E5613" s="42" t="n">
        <f aca="false">IF(E5610=Assumptions!$E$14,0.5,IF(E5610&gt;Assumptions!$E$14,1,0))</f>
        <v>0</v>
      </c>
      <c r="F5613" s="42" t="n">
        <f aca="false">IF(F5610=Assumptions!$E$14,0.5,IF(F5610&gt;Assumptions!$E$14,1,0))</f>
        <v>0</v>
      </c>
      <c r="G5613" s="42" t="n">
        <f aca="false">IF(G5610=Assumptions!$E$14,0.5,IF(G5610&gt;Assumptions!$E$14,1,0))</f>
        <v>0.5</v>
      </c>
      <c r="H5613" s="42" t="n">
        <f aca="false">IF(H5610=Assumptions!$E$14,0.5,IF(H5610&gt;Assumptions!$E$14,1,0))</f>
        <v>1</v>
      </c>
      <c r="I5613" s="42" t="n">
        <f aca="false">IF(I5610=Assumptions!$E$14,0.5,IF(I5610&gt;Assumptions!$E$14,1,0))</f>
        <v>1</v>
      </c>
      <c r="J5613" s="42" t="n">
        <f aca="false">IF(J5610=Assumptions!$E$14,0.5,IF(J5610&gt;Assumptions!$E$14,1,0))</f>
        <v>1</v>
      </c>
      <c r="K5613" s="42" t="n">
        <f aca="false">IF(K5610=Assumptions!$E$14,0.5,IF(K5610&gt;Assumptions!$E$14,1,0))</f>
        <v>1</v>
      </c>
      <c r="L5613" s="42" t="n">
        <f aca="false">IF(L5610=Assumptions!$E$14,0.5,IF(L5610&gt;Assumptions!$E$14,1,0))</f>
        <v>1</v>
      </c>
      <c r="M5613" s="42" t="n">
        <f aca="false">IF(M5610=Assumptions!$E$14,0.5,IF(M5610&gt;Assumptions!$E$14,1,0))</f>
        <v>1</v>
      </c>
      <c r="N5613" s="42" t="n">
        <f aca="false">IF(N5610=Assumptions!$E$14,0.5,IF(N5610&gt;Assumptions!$E$14,1,0))</f>
        <v>1</v>
      </c>
      <c r="P5613" s="43"/>
      <c r="Q5613" s="43"/>
      <c r="R5613" s="43"/>
      <c r="S5613" s="44"/>
    </row>
    <row r="5614" customFormat="false" ht="15" hidden="false" customHeight="false" outlineLevel="0" collapsed="false">
      <c r="A5614" s="4" t="s">
        <v>480</v>
      </c>
      <c r="B5614" s="36" t="s">
        <v>478</v>
      </c>
      <c r="C5614" s="42" t="n">
        <f aca="false">IF(C5610=Assumptions!$E$15,0.5,IF(C5610&gt;Assumptions!$E$15,1,0))</f>
        <v>0</v>
      </c>
      <c r="D5614" s="42" t="n">
        <f aca="false">IF(D5610=Assumptions!$E$15,0.5,IF(D5610&gt;Assumptions!$E$15,1,0))</f>
        <v>0</v>
      </c>
      <c r="E5614" s="42" t="n">
        <f aca="false">IF(E5610=Assumptions!$E$15,0.5,IF(E5610&gt;Assumptions!$E$15,1,0))</f>
        <v>0</v>
      </c>
      <c r="F5614" s="42" t="n">
        <f aca="false">IF(F5610=Assumptions!$E$15,0.5,IF(F5610&gt;Assumptions!$E$15,1,0))</f>
        <v>0</v>
      </c>
      <c r="G5614" s="42" t="n">
        <f aca="false">IF(G5610=Assumptions!$E$15,0.5,IF(G5610&gt;Assumptions!$E$15,1,0))</f>
        <v>0</v>
      </c>
      <c r="H5614" s="42" t="n">
        <f aca="false">IF(H5610=Assumptions!$E$15,0.5,IF(H5610&gt;Assumptions!$E$15,1,0))</f>
        <v>0</v>
      </c>
      <c r="I5614" s="42" t="n">
        <f aca="false">IF(I5610=Assumptions!$E$15,0.5,IF(I5610&gt;Assumptions!$E$15,1,0))</f>
        <v>0.5</v>
      </c>
      <c r="J5614" s="42" t="n">
        <f aca="false">IF(J5610=Assumptions!$E$15,0.5,IF(J5610&gt;Assumptions!$E$15,1,0))</f>
        <v>1</v>
      </c>
      <c r="K5614" s="42" t="n">
        <f aca="false">IF(K5610=Assumptions!$E$15,0.5,IF(K5610&gt;Assumptions!$E$15,1,0))</f>
        <v>1</v>
      </c>
      <c r="L5614" s="42" t="n">
        <f aca="false">IF(L5610=Assumptions!$E$15,0.5,IF(L5610&gt;Assumptions!$E$15,1,0))</f>
        <v>1</v>
      </c>
      <c r="M5614" s="42" t="n">
        <f aca="false">IF(M5610=Assumptions!$E$15,0.5,IF(M5610&gt;Assumptions!$E$15,1,0))</f>
        <v>1</v>
      </c>
      <c r="N5614" s="42" t="n">
        <f aca="false">IF(N5610=Assumptions!$E$15,0.5,IF(N5610&gt;Assumptions!$E$15,1,0))</f>
        <v>1</v>
      </c>
      <c r="P5614" s="43"/>
      <c r="Q5614" s="43"/>
      <c r="R5614" s="43"/>
      <c r="S5614" s="44"/>
    </row>
    <row r="5615" customFormat="false" ht="15" hidden="false" customHeight="false" outlineLevel="0" collapsed="false">
      <c r="A5615" s="4" t="s">
        <v>481</v>
      </c>
      <c r="B5615" s="36" t="s">
        <v>478</v>
      </c>
      <c r="C5615" s="45" t="n">
        <f aca="false">Assumptions!$E$21^(MAX(0,C5610-Assumptions!$E$13)/4)</f>
        <v>1</v>
      </c>
      <c r="D5615" s="45" t="n">
        <f aca="false">Assumptions!$E$21^(MAX(0,D5610-Assumptions!$E$13)/4)</f>
        <v>0.9306048591021</v>
      </c>
      <c r="E5615" s="45" t="n">
        <f aca="false">Assumptions!$E$21^(MAX(0,E5610-Assumptions!$E$13)/4)</f>
        <v>0.866025403784439</v>
      </c>
      <c r="F5615" s="45" t="n">
        <f aca="false">Assumptions!$E$21^(MAX(0,F5610-Assumptions!$E$13)/4)</f>
        <v>0.805927448867656</v>
      </c>
      <c r="G5615" s="45" t="n">
        <f aca="false">Assumptions!$E$21^(MAX(0,G5610-Assumptions!$E$13)/4)</f>
        <v>0.75</v>
      </c>
      <c r="H5615" s="45" t="n">
        <f aca="false">Assumptions!$E$21^(MAX(0,H5610-Assumptions!$E$13)/4)</f>
        <v>0.697953644326575</v>
      </c>
      <c r="I5615" s="45" t="n">
        <f aca="false">Assumptions!$E$21^(MAX(0,I5610-Assumptions!$E$13)/4)</f>
        <v>0.649519052838329</v>
      </c>
      <c r="J5615" s="45" t="n">
        <f aca="false">Assumptions!$E$21^(MAX(0,J5610-Assumptions!$E$13)/4)</f>
        <v>0.604445586650742</v>
      </c>
      <c r="K5615" s="45" t="n">
        <f aca="false">Assumptions!$E$21^(MAX(0,K5610-Assumptions!$E$13)/4)</f>
        <v>0.5625</v>
      </c>
      <c r="L5615" s="45" t="n">
        <f aca="false">Assumptions!$E$21^(MAX(0,L5610-Assumptions!$E$13)/4)</f>
        <v>0.523465233244931</v>
      </c>
      <c r="M5615" s="45" t="n">
        <f aca="false">Assumptions!$E$21^(MAX(0,M5610-Assumptions!$E$13)/4)</f>
        <v>0.487139289628747</v>
      </c>
      <c r="N5615" s="45" t="n">
        <f aca="false">Assumptions!$E$21^(MAX(0,N5610-Assumptions!$E$13)/4)</f>
        <v>0.453334189988057</v>
      </c>
      <c r="P5615" s="46"/>
      <c r="Q5615" s="46"/>
      <c r="R5615" s="46"/>
      <c r="S5615" s="47"/>
    </row>
    <row r="5616" customFormat="false" ht="15" hidden="false" customHeight="false" outlineLevel="0" collapsed="false">
      <c r="A5616" s="4" t="s">
        <v>482</v>
      </c>
      <c r="B5616" s="36" t="s">
        <v>478</v>
      </c>
      <c r="C5616" s="45" t="n">
        <f aca="false">Assumptions!$E$21^(MAX(0,C5610-Assumptions!$E$14)/4)</f>
        <v>1</v>
      </c>
      <c r="D5616" s="45" t="n">
        <f aca="false">Assumptions!$E$21^(MAX(0,D5610-Assumptions!$E$14)/4)</f>
        <v>1</v>
      </c>
      <c r="E5616" s="45" t="n">
        <f aca="false">Assumptions!$E$21^(MAX(0,E5610-Assumptions!$E$14)/4)</f>
        <v>1</v>
      </c>
      <c r="F5616" s="45" t="n">
        <f aca="false">Assumptions!$E$21^(MAX(0,F5610-Assumptions!$E$14)/4)</f>
        <v>1</v>
      </c>
      <c r="G5616" s="45" t="n">
        <f aca="false">Assumptions!$E$21^(MAX(0,G5610-Assumptions!$E$14)/4)</f>
        <v>1</v>
      </c>
      <c r="H5616" s="45" t="n">
        <f aca="false">Assumptions!$E$21^(MAX(0,H5610-Assumptions!$E$14)/4)</f>
        <v>0.9306048591021</v>
      </c>
      <c r="I5616" s="45" t="n">
        <f aca="false">Assumptions!$E$21^(MAX(0,I5610-Assumptions!$E$14)/4)</f>
        <v>0.866025403784439</v>
      </c>
      <c r="J5616" s="45" t="n">
        <f aca="false">Assumptions!$E$21^(MAX(0,J5610-Assumptions!$E$14)/4)</f>
        <v>0.805927448867656</v>
      </c>
      <c r="K5616" s="45" t="n">
        <f aca="false">Assumptions!$E$21^(MAX(0,K5610-Assumptions!$E$14)/4)</f>
        <v>0.75</v>
      </c>
      <c r="L5616" s="45" t="n">
        <f aca="false">Assumptions!$E$21^(MAX(0,L5610-Assumptions!$E$14)/4)</f>
        <v>0.697953644326575</v>
      </c>
      <c r="M5616" s="45" t="n">
        <f aca="false">Assumptions!$E$21^(MAX(0,M5610-Assumptions!$E$14)/4)</f>
        <v>0.649519052838329</v>
      </c>
      <c r="N5616" s="45" t="n">
        <f aca="false">Assumptions!$E$21^(MAX(0,N5610-Assumptions!$E$14)/4)</f>
        <v>0.604445586650742</v>
      </c>
      <c r="P5616" s="46"/>
      <c r="Q5616" s="46"/>
      <c r="R5616" s="46"/>
      <c r="S5616" s="47"/>
    </row>
    <row r="5617" customFormat="false" ht="15" hidden="false" customHeight="false" outlineLevel="0" collapsed="false">
      <c r="A5617" s="4" t="s">
        <v>483</v>
      </c>
      <c r="B5617" s="36" t="s">
        <v>478</v>
      </c>
      <c r="C5617" s="45" t="n">
        <f aca="false">Assumptions!$E$21^(MAX(0,C5610-Assumptions!$E$15)/4)</f>
        <v>1</v>
      </c>
      <c r="D5617" s="45" t="n">
        <f aca="false">Assumptions!$E$21^(MAX(0,D5610-Assumptions!$E$15)/4)</f>
        <v>1</v>
      </c>
      <c r="E5617" s="45" t="n">
        <f aca="false">Assumptions!$E$21^(MAX(0,E5610-Assumptions!$E$15)/4)</f>
        <v>1</v>
      </c>
      <c r="F5617" s="45" t="n">
        <f aca="false">Assumptions!$E$21^(MAX(0,F5610-Assumptions!$E$15)/4)</f>
        <v>1</v>
      </c>
      <c r="G5617" s="45" t="n">
        <f aca="false">Assumptions!$E$21^(MAX(0,G5610-Assumptions!$E$15)/4)</f>
        <v>1</v>
      </c>
      <c r="H5617" s="45" t="n">
        <f aca="false">Assumptions!$E$21^(MAX(0,H5610-Assumptions!$E$15)/4)</f>
        <v>1</v>
      </c>
      <c r="I5617" s="45" t="n">
        <f aca="false">Assumptions!$E$21^(MAX(0,I5610-Assumptions!$E$15)/4)</f>
        <v>1</v>
      </c>
      <c r="J5617" s="45" t="n">
        <f aca="false">Assumptions!$E$21^(MAX(0,J5610-Assumptions!$E$15)/4)</f>
        <v>0.9306048591021</v>
      </c>
      <c r="K5617" s="45" t="n">
        <f aca="false">Assumptions!$E$21^(MAX(0,K5610-Assumptions!$E$15)/4)</f>
        <v>0.866025403784439</v>
      </c>
      <c r="L5617" s="45" t="n">
        <f aca="false">Assumptions!$E$21^(MAX(0,L5610-Assumptions!$E$15)/4)</f>
        <v>0.805927448867656</v>
      </c>
      <c r="M5617" s="45" t="n">
        <f aca="false">Assumptions!$E$21^(MAX(0,M5610-Assumptions!$E$15)/4)</f>
        <v>0.75</v>
      </c>
      <c r="N5617" s="45" t="n">
        <f aca="false">Assumptions!$E$21^(MAX(0,N5610-Assumptions!$E$15)/4)</f>
        <v>0.697953644326575</v>
      </c>
      <c r="P5617" s="46"/>
      <c r="Q5617" s="46"/>
      <c r="R5617" s="46"/>
      <c r="S5617" s="47"/>
    </row>
    <row r="5618" customFormat="false" ht="15" hidden="false" customHeight="false" outlineLevel="0" collapsed="false">
      <c r="A5618" s="4" t="s">
        <v>484</v>
      </c>
      <c r="B5618" s="36" t="s">
        <v>485</v>
      </c>
      <c r="C5618" s="39" t="n">
        <f aca="false">$C$5589*C5612+$C$5593*C5613+$C$5597*C5614</f>
        <v>421.51972352</v>
      </c>
      <c r="D5618" s="39" t="n">
        <f aca="false">$C$5589*D5612+$C$5593*D5613+$C$5597*D5614</f>
        <v>843.03944704</v>
      </c>
      <c r="E5618" s="39" t="n">
        <f aca="false">$C$5589*E5612+$C$5593*E5613+$C$5597*E5614</f>
        <v>843.03944704</v>
      </c>
      <c r="F5618" s="39" t="n">
        <f aca="false">$C$5589*F5612+$C$5593*F5613+$C$5597*F5614</f>
        <v>843.03944704</v>
      </c>
      <c r="G5618" s="39" t="n">
        <f aca="false">$C$5589*G5612+$C$5593*G5613+$C$5597*G5614</f>
        <v>1149.32798176</v>
      </c>
      <c r="H5618" s="39" t="n">
        <f aca="false">$C$5589*H5612+$C$5593*H5613+$C$5597*H5614</f>
        <v>1455.61651648</v>
      </c>
      <c r="I5618" s="39" t="n">
        <f aca="false">$C$5589*I5612+$C$5593*I5613+$C$5597*I5614</f>
        <v>2486.00303616</v>
      </c>
      <c r="J5618" s="39" t="n">
        <f aca="false">$C$5589*J5612+$C$5593*J5613+$C$5597*J5614</f>
        <v>3516.38955584</v>
      </c>
      <c r="K5618" s="39" t="n">
        <f aca="false">$C$5589*K5612+$C$5593*K5613+$C$5597*K5614</f>
        <v>3516.38955584</v>
      </c>
      <c r="L5618" s="39" t="n">
        <f aca="false">$C$5589*L5612+$C$5593*L5613+$C$5597*L5614</f>
        <v>3516.38955584</v>
      </c>
      <c r="M5618" s="39" t="n">
        <f aca="false">$C$5589*M5612+$C$5593*M5613+$C$5597*M5614</f>
        <v>3516.38955584</v>
      </c>
      <c r="N5618" s="39" t="n">
        <f aca="false">$C$5589*N5612+$C$5593*N5613+$C$5597*N5614</f>
        <v>3516.38955584</v>
      </c>
      <c r="P5618" s="40" t="n">
        <f aca="false">F5618</f>
        <v>843.03944704</v>
      </c>
      <c r="Q5618" s="40" t="n">
        <f aca="false">J5618</f>
        <v>3516.38955584</v>
      </c>
      <c r="R5618" s="40" t="n">
        <f aca="false">N5618</f>
        <v>3516.38955584</v>
      </c>
      <c r="S5618" s="41" t="n">
        <f aca="false">R5618</f>
        <v>3516.38955584</v>
      </c>
    </row>
    <row r="5619" customFormat="false" ht="15" hidden="false" customHeight="false" outlineLevel="0" collapsed="false">
      <c r="A5619" s="4" t="s">
        <v>486</v>
      </c>
      <c r="B5619" s="36" t="s">
        <v>485</v>
      </c>
      <c r="C5619" s="39" t="n">
        <f aca="false">$C$5590*C5612+$C$5594*C5613+$C$5598*C5614</f>
        <v>105.59808</v>
      </c>
      <c r="D5619" s="39" t="n">
        <f aca="false">$C$5590*D5612+$C$5594*D5613+$C$5598*D5614</f>
        <v>211.19616</v>
      </c>
      <c r="E5619" s="39" t="n">
        <f aca="false">$C$5590*E5612+$C$5594*E5613+$C$5598*E5614</f>
        <v>211.19616</v>
      </c>
      <c r="F5619" s="39" t="n">
        <f aca="false">$C$5590*F5612+$C$5594*F5613+$C$5598*F5614</f>
        <v>211.19616</v>
      </c>
      <c r="G5619" s="39" t="n">
        <f aca="false">$C$5590*G5612+$C$5594*G5613+$C$5598*G5614</f>
        <v>282.24672</v>
      </c>
      <c r="H5619" s="39" t="n">
        <f aca="false">$C$5590*H5612+$C$5594*H5613+$C$5598*H5614</f>
        <v>353.29728</v>
      </c>
      <c r="I5619" s="39" t="n">
        <f aca="false">$C$5590*I5612+$C$5594*I5613+$C$5598*I5614</f>
        <v>567.53536</v>
      </c>
      <c r="J5619" s="39" t="n">
        <f aca="false">$C$5590*J5612+$C$5594*J5613+$C$5598*J5614</f>
        <v>781.77344</v>
      </c>
      <c r="K5619" s="39" t="n">
        <f aca="false">$C$5590*K5612+$C$5594*K5613+$C$5598*K5614</f>
        <v>781.77344</v>
      </c>
      <c r="L5619" s="39" t="n">
        <f aca="false">$C$5590*L5612+$C$5594*L5613+$C$5598*L5614</f>
        <v>781.77344</v>
      </c>
      <c r="M5619" s="39" t="n">
        <f aca="false">$C$5590*M5612+$C$5594*M5613+$C$5598*M5614</f>
        <v>781.77344</v>
      </c>
      <c r="N5619" s="39" t="n">
        <f aca="false">$C$5590*N5612+$C$5594*N5613+$C$5598*N5614</f>
        <v>781.77344</v>
      </c>
      <c r="P5619" s="40" t="n">
        <f aca="false">F5619</f>
        <v>211.19616</v>
      </c>
      <c r="Q5619" s="40" t="n">
        <f aca="false">J5619</f>
        <v>781.77344</v>
      </c>
      <c r="R5619" s="40" t="n">
        <f aca="false">N5619</f>
        <v>781.77344</v>
      </c>
      <c r="S5619" s="41" t="n">
        <f aca="false">R5619</f>
        <v>781.77344</v>
      </c>
    </row>
    <row r="5620" customFormat="false" ht="15" hidden="false" customHeight="false" outlineLevel="0" collapsed="false">
      <c r="A5620" s="4" t="s">
        <v>487</v>
      </c>
      <c r="B5620" s="36" t="s">
        <v>485</v>
      </c>
      <c r="C5620" s="39" t="n">
        <f aca="false">$C$5591*C5612+$C$5595*C5613+$C$5599*C5614</f>
        <v>24.76992</v>
      </c>
      <c r="D5620" s="39" t="n">
        <f aca="false">$C$5591*D5612+$C$5595*D5613+$C$5599*D5614</f>
        <v>49.53984</v>
      </c>
      <c r="E5620" s="39" t="n">
        <f aca="false">$C$5591*E5612+$C$5595*E5613+$C$5599*E5614</f>
        <v>49.53984</v>
      </c>
      <c r="F5620" s="39" t="n">
        <f aca="false">$C$5591*F5612+$C$5595*F5613+$C$5599*F5614</f>
        <v>49.53984</v>
      </c>
      <c r="G5620" s="39" t="n">
        <f aca="false">$C$5591*G5612+$C$5595*G5613+$C$5599*G5614</f>
        <v>61.9248</v>
      </c>
      <c r="H5620" s="39" t="n">
        <f aca="false">$C$5591*H5612+$C$5595*H5613+$C$5599*H5614</f>
        <v>74.30976</v>
      </c>
      <c r="I5620" s="39" t="n">
        <f aca="false">$C$5591*I5612+$C$5595*I5613+$C$5599*I5614</f>
        <v>114.072</v>
      </c>
      <c r="J5620" s="39" t="n">
        <f aca="false">$C$5591*J5612+$C$5595*J5613+$C$5599*J5614</f>
        <v>153.83424</v>
      </c>
      <c r="K5620" s="39" t="n">
        <f aca="false">$C$5591*K5612+$C$5595*K5613+$C$5599*K5614</f>
        <v>153.83424</v>
      </c>
      <c r="L5620" s="39" t="n">
        <f aca="false">$C$5591*L5612+$C$5595*L5613+$C$5599*L5614</f>
        <v>153.83424</v>
      </c>
      <c r="M5620" s="39" t="n">
        <f aca="false">$C$5591*M5612+$C$5595*M5613+$C$5599*M5614</f>
        <v>153.83424</v>
      </c>
      <c r="N5620" s="39" t="n">
        <f aca="false">$C$5591*N5612+$C$5595*N5613+$C$5599*N5614</f>
        <v>153.83424</v>
      </c>
      <c r="P5620" s="40" t="n">
        <f aca="false">F5620</f>
        <v>49.53984</v>
      </c>
      <c r="Q5620" s="40" t="n">
        <f aca="false">J5620</f>
        <v>153.83424</v>
      </c>
      <c r="R5620" s="40" t="n">
        <f aca="false">N5620</f>
        <v>153.83424</v>
      </c>
      <c r="S5620" s="41" t="n">
        <f aca="false">R5620</f>
        <v>153.83424</v>
      </c>
    </row>
    <row r="5621" customFormat="false" ht="15" hidden="false" customHeight="false" outlineLevel="0" collapsed="false">
      <c r="A5621" s="4" t="s">
        <v>488</v>
      </c>
      <c r="B5621" s="36" t="s">
        <v>485</v>
      </c>
      <c r="C5621" s="39" t="n">
        <f aca="false">C5618+C5619+C5620</f>
        <v>551.88772352</v>
      </c>
      <c r="D5621" s="39" t="n">
        <f aca="false">D5618+D5619+D5620</f>
        <v>1103.77544704</v>
      </c>
      <c r="E5621" s="39" t="n">
        <f aca="false">E5618+E5619+E5620</f>
        <v>1103.77544704</v>
      </c>
      <c r="F5621" s="39" t="n">
        <f aca="false">F5618+F5619+F5620</f>
        <v>1103.77544704</v>
      </c>
      <c r="G5621" s="39" t="n">
        <f aca="false">G5618+G5619+G5620</f>
        <v>1493.49950176</v>
      </c>
      <c r="H5621" s="39" t="n">
        <f aca="false">H5618+H5619+H5620</f>
        <v>1883.22355648</v>
      </c>
      <c r="I5621" s="39" t="n">
        <f aca="false">I5618+I5619+I5620</f>
        <v>3167.61039616</v>
      </c>
      <c r="J5621" s="39" t="n">
        <f aca="false">J5618+J5619+J5620</f>
        <v>4451.99723584</v>
      </c>
      <c r="K5621" s="39" t="n">
        <f aca="false">K5618+K5619+K5620</f>
        <v>4451.99723584</v>
      </c>
      <c r="L5621" s="39" t="n">
        <f aca="false">L5618+L5619+L5620</f>
        <v>4451.99723584</v>
      </c>
      <c r="M5621" s="39" t="n">
        <f aca="false">M5618+M5619+M5620</f>
        <v>4451.99723584</v>
      </c>
      <c r="N5621" s="39" t="n">
        <f aca="false">N5618+N5619+N5620</f>
        <v>4451.99723584</v>
      </c>
      <c r="P5621" s="40" t="n">
        <f aca="false">F5621</f>
        <v>1103.77544704</v>
      </c>
      <c r="Q5621" s="40" t="n">
        <f aca="false">J5621</f>
        <v>4451.99723584</v>
      </c>
      <c r="R5621" s="40" t="n">
        <f aca="false">N5621</f>
        <v>4451.99723584</v>
      </c>
      <c r="S5621" s="41" t="n">
        <f aca="false">R5621</f>
        <v>4451.99723584</v>
      </c>
    </row>
    <row r="5622" customFormat="false" ht="15" hidden="false" customHeight="false" outlineLevel="0" collapsed="false">
      <c r="A5622" s="4" t="s">
        <v>489</v>
      </c>
      <c r="B5622" s="36" t="s">
        <v>485</v>
      </c>
      <c r="C5622" s="39" t="n">
        <f aca="false">$C$5592*C5612*C5615+$C$5596*C5613*C5616+$C$5600*C5614*C5617</f>
        <v>551.88772352</v>
      </c>
      <c r="D5622" s="39" t="n">
        <f aca="false">$C$5592*D5612*D5615+$C$5596*D5613*D5616+$C$5600*D5614*D5617</f>
        <v>1027.17879437302</v>
      </c>
      <c r="E5622" s="39" t="n">
        <f aca="false">$C$5592*E5612*E5615+$C$5596*E5613*E5616+$C$5600*E5614*E5617</f>
        <v>955.897577210165</v>
      </c>
      <c r="F5622" s="39" t="n">
        <f aca="false">$C$5592*F5612*F5615+$C$5596*F5613*F5616+$C$5600*F5614*F5617</f>
        <v>889.562930155704</v>
      </c>
      <c r="G5622" s="39" t="n">
        <f aca="false">$C$5592*G5612*G5615+$C$5596*G5613*G5616+$C$5600*G5614*G5617</f>
        <v>1217.55564</v>
      </c>
      <c r="H5622" s="39" t="n">
        <f aca="false">$C$5592*H5612*H5615+$C$5596*H5613*H5616+$C$5600*H5614*H5617</f>
        <v>1495.74229384257</v>
      </c>
      <c r="I5622" s="39" t="n">
        <f aca="false">$C$5592*I5612*I5615+$C$5596*I5613*I5616+$C$5600*I5614*I5617</f>
        <v>2676.33188629442</v>
      </c>
      <c r="J5622" s="39" t="n">
        <f aca="false">$C$5592*J5612*J5615+$C$5596*J5613*J5616+$C$5600*J5614*J5617</f>
        <v>3685.86409192847</v>
      </c>
      <c r="K5622" s="39" t="n">
        <f aca="false">$C$5592*K5612*K5615+$C$5596*K5613*K5616+$C$5600*K5614*K5617</f>
        <v>3430.08303393858</v>
      </c>
      <c r="L5622" s="39" t="n">
        <f aca="false">$C$5592*L5612*L5615+$C$5596*L5613*L5616+$C$5600*L5614*L5617</f>
        <v>3192.05193850692</v>
      </c>
      <c r="M5622" s="39" t="n">
        <f aca="false">$C$5592*M5612*M5615+$C$5596*M5613*M5616+$C$5600*M5614*M5617</f>
        <v>2970.53904448081</v>
      </c>
      <c r="N5622" s="39" t="n">
        <f aca="false">$C$5592*N5612*N5615+$C$5596*N5613*N5616+$C$5600*N5614*N5617</f>
        <v>2764.39806894635</v>
      </c>
      <c r="P5622" s="40"/>
      <c r="Q5622" s="40"/>
      <c r="R5622" s="40"/>
      <c r="S5622" s="41"/>
    </row>
    <row r="5623" customFormat="false" ht="15" hidden="false" customHeight="false" outlineLevel="0" collapsed="false">
      <c r="A5623" s="4" t="s">
        <v>490</v>
      </c>
      <c r="B5623" s="36" t="s">
        <v>491</v>
      </c>
      <c r="C5623" s="48" t="n">
        <f aca="false">$C$5604*Assumptions!$E$20*C5611*C5622</f>
        <v>6.62265268224</v>
      </c>
      <c r="D5623" s="48" t="n">
        <f aca="false">$C$5604*Assumptions!$E$20*D5611*D5622</f>
        <v>12.3261455324762</v>
      </c>
      <c r="E5623" s="48" t="n">
        <f aca="false">$C$5604*Assumptions!$E$20*E5611*E5622</f>
        <v>11.470770926522</v>
      </c>
      <c r="F5623" s="48" t="n">
        <f aca="false">$C$5604*Assumptions!$E$20*F5611*F5622</f>
        <v>10.6747551618685</v>
      </c>
      <c r="G5623" s="48" t="n">
        <f aca="false">$C$5604*Assumptions!$E$20*G5611*G5622</f>
        <v>14.61066768</v>
      </c>
      <c r="H5623" s="48" t="n">
        <f aca="false">$C$5604*Assumptions!$E$20*H5611*H5622</f>
        <v>17.9489075261109</v>
      </c>
      <c r="I5623" s="48" t="n">
        <f aca="false">$C$5604*Assumptions!$E$20*I5611*I5622</f>
        <v>32.115982635533</v>
      </c>
      <c r="J5623" s="48" t="n">
        <f aca="false">$C$5604*Assumptions!$E$20*J5611*J5622</f>
        <v>44.2303691031417</v>
      </c>
      <c r="K5623" s="48" t="n">
        <f aca="false">$C$5604*Assumptions!$E$20*K5611*K5622</f>
        <v>41.160996407263</v>
      </c>
      <c r="L5623" s="48" t="n">
        <f aca="false">$C$5604*Assumptions!$E$20*L5611*L5622</f>
        <v>38.304623262083</v>
      </c>
      <c r="M5623" s="48" t="n">
        <f aca="false">$C$5604*Assumptions!$E$20*M5611*M5622</f>
        <v>35.6464685337698</v>
      </c>
      <c r="N5623" s="48" t="n">
        <f aca="false">$C$5604*Assumptions!$E$20*N5611*N5622</f>
        <v>33.1727768273562</v>
      </c>
      <c r="P5623" s="49" t="n">
        <f aca="false">SUM(C5623:F5623)</f>
        <v>41.0943243031066</v>
      </c>
      <c r="Q5623" s="49" t="n">
        <f aca="false">SUM(G5623:J5623)</f>
        <v>108.905926944786</v>
      </c>
      <c r="R5623" s="49" t="n">
        <f aca="false">SUM(K5623:N5623)</f>
        <v>148.284865030472</v>
      </c>
      <c r="S5623" s="50" t="n">
        <f aca="false">SUM(P5623:R5623)</f>
        <v>298.285116278364</v>
      </c>
    </row>
    <row r="5624" customFormat="false" ht="15" hidden="false" customHeight="false" outlineLevel="0" collapsed="false">
      <c r="A5624" s="4" t="s">
        <v>492</v>
      </c>
      <c r="B5624" s="36" t="s">
        <v>321</v>
      </c>
      <c r="C5624" s="48" t="n">
        <f aca="false">Assumptions!$D$111</f>
        <v>0</v>
      </c>
      <c r="D5624" s="48" t="n">
        <f aca="false">Assumptions!$E$111</f>
        <v>0</v>
      </c>
      <c r="E5624" s="48" t="n">
        <f aca="false">Assumptions!$F$111</f>
        <v>0</v>
      </c>
      <c r="F5624" s="48" t="n">
        <f aca="false">Assumptions!$G$111</f>
        <v>0</v>
      </c>
      <c r="G5624" s="48" t="n">
        <f aca="false">Assumptions!$H$111</f>
        <v>0</v>
      </c>
      <c r="H5624" s="48" t="n">
        <f aca="false">Assumptions!$I$111</f>
        <v>0</v>
      </c>
      <c r="I5624" s="48" t="n">
        <f aca="false">Assumptions!$J$111</f>
        <v>0</v>
      </c>
      <c r="J5624" s="48" t="n">
        <f aca="false">Assumptions!$K$111</f>
        <v>0</v>
      </c>
      <c r="K5624" s="48" t="n">
        <f aca="false">Assumptions!$L$111</f>
        <v>0</v>
      </c>
      <c r="L5624" s="48" t="n">
        <f aca="false">Assumptions!$M$111</f>
        <v>0</v>
      </c>
      <c r="M5624" s="48" t="n">
        <f aca="false">Assumptions!$N$111</f>
        <v>0</v>
      </c>
      <c r="N5624" s="48" t="n">
        <f aca="false">Assumptions!$O$111</f>
        <v>0</v>
      </c>
      <c r="P5624" s="49" t="n">
        <f aca="false">F5624</f>
        <v>0</v>
      </c>
      <c r="Q5624" s="49" t="n">
        <f aca="false">J5624</f>
        <v>0</v>
      </c>
      <c r="R5624" s="49" t="n">
        <f aca="false">N5624</f>
        <v>0</v>
      </c>
      <c r="S5624" s="50" t="n">
        <f aca="false">R5624</f>
        <v>0</v>
      </c>
    </row>
    <row r="5625" customFormat="false" ht="15" hidden="false" customHeight="false" outlineLevel="0" collapsed="false">
      <c r="A5625" s="4" t="s">
        <v>493</v>
      </c>
      <c r="B5625" s="36" t="s">
        <v>321</v>
      </c>
      <c r="C5625" s="48" t="n">
        <f aca="false">0</f>
        <v>0</v>
      </c>
      <c r="D5625" s="48" t="n">
        <f aca="false">0.5*C5624</f>
        <v>0</v>
      </c>
      <c r="E5625" s="48" t="n">
        <f aca="false">C5624+0.5*(D5624-C5624)</f>
        <v>0</v>
      </c>
      <c r="F5625" s="48" t="n">
        <f aca="false">D5624+0.5*(E5624-D5624)</f>
        <v>0</v>
      </c>
      <c r="G5625" s="48" t="n">
        <f aca="false">E5624+0.5*(F5624-E5624)</f>
        <v>0</v>
      </c>
      <c r="H5625" s="48" t="n">
        <f aca="false">F5624+0.5*(G5624-F5624)</f>
        <v>0</v>
      </c>
      <c r="I5625" s="48" t="n">
        <f aca="false">G5624+0.5*(H5624-G5624)</f>
        <v>0</v>
      </c>
      <c r="J5625" s="48" t="n">
        <f aca="false">H5624+0.5*(I5624-H5624)</f>
        <v>0</v>
      </c>
      <c r="K5625" s="48" t="n">
        <f aca="false">I5624+0.5*(J5624-I5624)</f>
        <v>0</v>
      </c>
      <c r="L5625" s="48" t="n">
        <f aca="false">J5624+0.5*(K5624-J5624)</f>
        <v>0</v>
      </c>
      <c r="M5625" s="48" t="n">
        <f aca="false">K5624+0.5*(L5624-K5624)</f>
        <v>0</v>
      </c>
      <c r="N5625" s="48" t="n">
        <f aca="false">L5624+0.5*(M5624-L5624)</f>
        <v>0</v>
      </c>
      <c r="P5625" s="49" t="n">
        <f aca="false">F5625</f>
        <v>0</v>
      </c>
      <c r="Q5625" s="49" t="n">
        <f aca="false">J5625</f>
        <v>0</v>
      </c>
      <c r="R5625" s="49" t="n">
        <f aca="false">N5625</f>
        <v>0</v>
      </c>
      <c r="S5625" s="50" t="n">
        <f aca="false">R5625</f>
        <v>0</v>
      </c>
    </row>
    <row r="5626" customFormat="false" ht="15" hidden="false" customHeight="false" outlineLevel="0" collapsed="false">
      <c r="A5626" s="4" t="s">
        <v>494</v>
      </c>
      <c r="B5626" s="36" t="s">
        <v>485</v>
      </c>
      <c r="C5626" s="39" t="n">
        <f aca="false">MIN(C5625*Assumptions!$E$38,C5621*(1-$C$5604))</f>
        <v>0</v>
      </c>
      <c r="D5626" s="39" t="n">
        <f aca="false">MIN(D5625*Assumptions!$E$38,D5621*(1-$C$5604))</f>
        <v>0</v>
      </c>
      <c r="E5626" s="39" t="n">
        <f aca="false">MIN(E5625*Assumptions!$E$38,E5621*(1-$C$5604))</f>
        <v>0</v>
      </c>
      <c r="F5626" s="39" t="n">
        <f aca="false">MIN(F5625*Assumptions!$E$38,F5621*(1-$C$5604))</f>
        <v>0</v>
      </c>
      <c r="G5626" s="39" t="n">
        <f aca="false">MIN(G5625*Assumptions!$E$38,G5621*(1-$C$5604))</f>
        <v>0</v>
      </c>
      <c r="H5626" s="39" t="n">
        <f aca="false">MIN(H5625*Assumptions!$E$38,H5621*(1-$C$5604))</f>
        <v>0</v>
      </c>
      <c r="I5626" s="39" t="n">
        <f aca="false">MIN(I5625*Assumptions!$E$38,I5621*(1-$C$5604))</f>
        <v>0</v>
      </c>
      <c r="J5626" s="39" t="n">
        <f aca="false">MIN(J5625*Assumptions!$E$38,J5621*(1-$C$5604))</f>
        <v>0</v>
      </c>
      <c r="K5626" s="39" t="n">
        <f aca="false">MIN(K5625*Assumptions!$E$38,K5621*(1-$C$5604))</f>
        <v>0</v>
      </c>
      <c r="L5626" s="39" t="n">
        <f aca="false">MIN(L5625*Assumptions!$E$38,L5621*(1-$C$5604))</f>
        <v>0</v>
      </c>
      <c r="M5626" s="39" t="n">
        <f aca="false">MIN(M5625*Assumptions!$E$38,M5621*(1-$C$5604))</f>
        <v>0</v>
      </c>
      <c r="N5626" s="39" t="n">
        <f aca="false">MIN(N5625*Assumptions!$E$38,N5621*(1-$C$5604))</f>
        <v>0</v>
      </c>
      <c r="P5626" s="40" t="n">
        <f aca="false">SUM(C5626:F5626)</f>
        <v>0</v>
      </c>
      <c r="Q5626" s="40" t="n">
        <f aca="false">SUM(G5626:J5626)</f>
        <v>0</v>
      </c>
      <c r="R5626" s="40" t="n">
        <f aca="false">SUM(K5626:N5626)</f>
        <v>0</v>
      </c>
      <c r="S5626" s="41" t="n">
        <f aca="false">SUM(P5626:R5626)</f>
        <v>0</v>
      </c>
    </row>
    <row r="5627" customFormat="false" ht="15" hidden="false" customHeight="false" outlineLevel="0" collapsed="false">
      <c r="A5627" s="4" t="s">
        <v>495</v>
      </c>
      <c r="B5627" s="36" t="s">
        <v>491</v>
      </c>
      <c r="C5627" s="48" t="n">
        <f aca="false">C5626*Assumptions!$E$20*Assumptions!$E$39*IF(C5621&gt;0,C5622/C5621,0)*C5611</f>
        <v>0</v>
      </c>
      <c r="D5627" s="48" t="n">
        <f aca="false">D5626*Assumptions!$E$20*Assumptions!$E$39*IF(D5621&gt;0,D5622/D5621,0)*D5611</f>
        <v>0</v>
      </c>
      <c r="E5627" s="48" t="n">
        <f aca="false">E5626*Assumptions!$E$20*Assumptions!$E$39*IF(E5621&gt;0,E5622/E5621,0)*E5611</f>
        <v>0</v>
      </c>
      <c r="F5627" s="48" t="n">
        <f aca="false">F5626*Assumptions!$E$20*Assumptions!$E$39*IF(F5621&gt;0,F5622/F5621,0)*F5611</f>
        <v>0</v>
      </c>
      <c r="G5627" s="48" t="n">
        <f aca="false">G5626*Assumptions!$E$20*Assumptions!$E$39*IF(G5621&gt;0,G5622/G5621,0)*G5611</f>
        <v>0</v>
      </c>
      <c r="H5627" s="48" t="n">
        <f aca="false">H5626*Assumptions!$E$20*Assumptions!$E$39*IF(H5621&gt;0,H5622/H5621,0)*H5611</f>
        <v>0</v>
      </c>
      <c r="I5627" s="48" t="n">
        <f aca="false">I5626*Assumptions!$E$20*Assumptions!$E$39*IF(I5621&gt;0,I5622/I5621,0)*I5611</f>
        <v>0</v>
      </c>
      <c r="J5627" s="48" t="n">
        <f aca="false">J5626*Assumptions!$E$20*Assumptions!$E$39*IF(J5621&gt;0,J5622/J5621,0)*J5611</f>
        <v>0</v>
      </c>
      <c r="K5627" s="48" t="n">
        <f aca="false">K5626*Assumptions!$E$20*Assumptions!$E$39*IF(K5621&gt;0,K5622/K5621,0)*K5611</f>
        <v>0</v>
      </c>
      <c r="L5627" s="48" t="n">
        <f aca="false">L5626*Assumptions!$E$20*Assumptions!$E$39*IF(L5621&gt;0,L5622/L5621,0)*L5611</f>
        <v>0</v>
      </c>
      <c r="M5627" s="48" t="n">
        <f aca="false">M5626*Assumptions!$E$20*Assumptions!$E$39*IF(M5621&gt;0,M5622/M5621,0)*M5611</f>
        <v>0</v>
      </c>
      <c r="N5627" s="48" t="n">
        <f aca="false">N5626*Assumptions!$E$20*Assumptions!$E$39*IF(N5621&gt;0,N5622/N5621,0)*N5611</f>
        <v>0</v>
      </c>
      <c r="P5627" s="49" t="n">
        <f aca="false">SUM(C5627:F5627)</f>
        <v>0</v>
      </c>
      <c r="Q5627" s="49" t="n">
        <f aca="false">SUM(G5627:J5627)</f>
        <v>0</v>
      </c>
      <c r="R5627" s="49" t="n">
        <f aca="false">SUM(K5627:N5627)</f>
        <v>0</v>
      </c>
      <c r="S5627" s="50" t="n">
        <f aca="false">SUM(P5627:R5627)</f>
        <v>0</v>
      </c>
    </row>
    <row r="5628" customFormat="false" ht="15" hidden="false" customHeight="false" outlineLevel="0" collapsed="false">
      <c r="A5628" s="4" t="s">
        <v>496</v>
      </c>
      <c r="B5628" s="36" t="s">
        <v>497</v>
      </c>
      <c r="C5628" s="48" t="n">
        <f aca="false">IF(AND(C5621&gt;0,$C$5608&gt;0),C5621*Assumptions!$E$24*(1-EXP(-$C$5608/(Assumptions!$E$23*C5621*Assumptions!$E$24))),0)</f>
        <v>0</v>
      </c>
      <c r="D5628" s="48" t="n">
        <f aca="false">IF(AND(D5621&gt;0,$C$5608&gt;0),D5621*Assumptions!$E$24*(1-EXP(-$C$5608/(Assumptions!$E$23*D5621*Assumptions!$E$24))),0)</f>
        <v>0</v>
      </c>
      <c r="E5628" s="48" t="n">
        <f aca="false">IF(AND(E5621&gt;0,$C$5608&gt;0),E5621*Assumptions!$E$24*(1-EXP(-$C$5608/(Assumptions!$E$23*E5621*Assumptions!$E$24))),0)</f>
        <v>0</v>
      </c>
      <c r="F5628" s="48" t="n">
        <f aca="false">IF(AND(F5621&gt;0,$C$5608&gt;0),F5621*Assumptions!$E$24*(1-EXP(-$C$5608/(Assumptions!$E$23*F5621*Assumptions!$E$24))),0)</f>
        <v>0</v>
      </c>
      <c r="G5628" s="48" t="n">
        <f aca="false">IF(AND(G5621&gt;0,$C$5608&gt;0),G5621*Assumptions!$E$24*(1-EXP(-$C$5608/(Assumptions!$E$23*G5621*Assumptions!$E$24))),0)</f>
        <v>0</v>
      </c>
      <c r="H5628" s="48" t="n">
        <f aca="false">IF(AND(H5621&gt;0,$C$5608&gt;0),H5621*Assumptions!$E$24*(1-EXP(-$C$5608/(Assumptions!$E$23*H5621*Assumptions!$E$24))),0)</f>
        <v>0</v>
      </c>
      <c r="I5628" s="48" t="n">
        <f aca="false">IF(AND(I5621&gt;0,$C$5608&gt;0),I5621*Assumptions!$E$24*(1-EXP(-$C$5608/(Assumptions!$E$23*I5621*Assumptions!$E$24))),0)</f>
        <v>0</v>
      </c>
      <c r="J5628" s="48" t="n">
        <f aca="false">IF(AND(J5621&gt;0,$C$5608&gt;0),J5621*Assumptions!$E$24*(1-EXP(-$C$5608/(Assumptions!$E$23*J5621*Assumptions!$E$24))),0)</f>
        <v>0</v>
      </c>
      <c r="K5628" s="48" t="n">
        <f aca="false">IF(AND(K5621&gt;0,$C$5608&gt;0),K5621*Assumptions!$E$24*(1-EXP(-$C$5608/(Assumptions!$E$23*K5621*Assumptions!$E$24))),0)</f>
        <v>0</v>
      </c>
      <c r="L5628" s="48" t="n">
        <f aca="false">IF(AND(L5621&gt;0,$C$5608&gt;0),L5621*Assumptions!$E$24*(1-EXP(-$C$5608/(Assumptions!$E$23*L5621*Assumptions!$E$24))),0)</f>
        <v>0</v>
      </c>
      <c r="M5628" s="48" t="n">
        <f aca="false">IF(AND(M5621&gt;0,$C$5608&gt;0),M5621*Assumptions!$E$24*(1-EXP(-$C$5608/(Assumptions!$E$23*M5621*Assumptions!$E$24))),0)</f>
        <v>0</v>
      </c>
      <c r="N5628" s="48" t="n">
        <f aca="false">IF(AND(N5621&gt;0,$C$5608&gt;0),N5621*Assumptions!$E$24*(1-EXP(-$C$5608/(Assumptions!$E$23*N5621*Assumptions!$E$24))),0)</f>
        <v>0</v>
      </c>
      <c r="P5628" s="49" t="n">
        <f aca="false">SUM(C5628:F5628)</f>
        <v>0</v>
      </c>
      <c r="Q5628" s="49" t="n">
        <f aca="false">SUM(G5628:J5628)</f>
        <v>0</v>
      </c>
      <c r="R5628" s="49" t="n">
        <f aca="false">SUM(K5628:N5628)</f>
        <v>0</v>
      </c>
      <c r="S5628" s="50" t="n">
        <f aca="false">SUM(P5628:R5628)</f>
        <v>0</v>
      </c>
    </row>
    <row r="5629" customFormat="false" ht="15" hidden="false" customHeight="false" outlineLevel="0" collapsed="false">
      <c r="A5629" s="4" t="s">
        <v>498</v>
      </c>
      <c r="B5629" s="36" t="s">
        <v>497</v>
      </c>
      <c r="C5629" s="48" t="n">
        <f aca="false">(C5621*Assumptions!$E$22*MIN(1,Assumptions!$D$103/Assumptions!$E$78)+C5628)*C5611</f>
        <v>5.5188772352</v>
      </c>
      <c r="D5629" s="48" t="n">
        <f aca="false">(D5621*Assumptions!$E$22*MIN(1,Assumptions!$D$103/Assumptions!$E$78)+D5628)*D5611</f>
        <v>11.0377544704</v>
      </c>
      <c r="E5629" s="48" t="n">
        <f aca="false">(E5621*Assumptions!$E$22*MIN(1,Assumptions!$D$103/Assumptions!$E$78)+E5628)*E5611</f>
        <v>11.0377544704</v>
      </c>
      <c r="F5629" s="48" t="n">
        <f aca="false">(F5621*Assumptions!$E$22*MIN(1,Assumptions!$D$103/Assumptions!$E$78)+F5628)*F5611</f>
        <v>11.0377544704</v>
      </c>
      <c r="G5629" s="48" t="n">
        <f aca="false">(G5621*Assumptions!$E$22*MIN(1,Assumptions!$D$103/Assumptions!$E$78)+G5628)*G5611</f>
        <v>14.9349950176</v>
      </c>
      <c r="H5629" s="48" t="n">
        <f aca="false">(H5621*Assumptions!$E$22*MIN(1,Assumptions!$D$103/Assumptions!$E$78)+H5628)*H5611</f>
        <v>18.8322355648</v>
      </c>
      <c r="I5629" s="48" t="n">
        <f aca="false">(I5621*Assumptions!$E$22*MIN(1,Assumptions!$D$103/Assumptions!$E$78)+I5628)*I5611</f>
        <v>31.6761039616</v>
      </c>
      <c r="J5629" s="48" t="n">
        <f aca="false">(J5621*Assumptions!$E$22*MIN(1,Assumptions!$D$103/Assumptions!$E$78)+J5628)*J5611</f>
        <v>44.5199723584</v>
      </c>
      <c r="K5629" s="48" t="n">
        <f aca="false">(K5621*Assumptions!$E$22*MIN(1,Assumptions!$D$103/Assumptions!$E$78)+K5628)*K5611</f>
        <v>44.5199723584</v>
      </c>
      <c r="L5629" s="48" t="n">
        <f aca="false">(L5621*Assumptions!$E$22*MIN(1,Assumptions!$D$103/Assumptions!$E$78)+L5628)*L5611</f>
        <v>44.5199723584</v>
      </c>
      <c r="M5629" s="48" t="n">
        <f aca="false">(M5621*Assumptions!$E$22*MIN(1,Assumptions!$D$103/Assumptions!$E$78)+M5628)*M5611</f>
        <v>44.5199723584</v>
      </c>
      <c r="N5629" s="48" t="n">
        <f aca="false">(N5621*Assumptions!$E$22*MIN(1,Assumptions!$D$103/Assumptions!$E$78)+N5628)*N5611</f>
        <v>44.5199723584</v>
      </c>
      <c r="P5629" s="49" t="n">
        <f aca="false">SUM(C5629:F5629)</f>
        <v>38.6321406464</v>
      </c>
      <c r="Q5629" s="49" t="n">
        <f aca="false">SUM(G5629:J5629)</f>
        <v>109.9633069024</v>
      </c>
      <c r="R5629" s="49" t="n">
        <f aca="false">SUM(K5629:N5629)</f>
        <v>178.0798894336</v>
      </c>
      <c r="S5629" s="50" t="n">
        <f aca="false">SUM(P5629:R5629)</f>
        <v>326.6753369824</v>
      </c>
    </row>
    <row r="5630" customFormat="false" ht="15" hidden="false" customHeight="false" outlineLevel="0" collapsed="false">
      <c r="A5630" s="4" t="s">
        <v>499</v>
      </c>
      <c r="B5630" s="36" t="s">
        <v>500</v>
      </c>
      <c r="C5630" s="48" t="n">
        <f aca="false">C5611*MIN(Assumptions!$E$27,Assumptions!$E$25+Assumptions!$E$26*(C5610-1))*Assumptions!$D$107</f>
        <v>2</v>
      </c>
      <c r="D5630" s="48" t="n">
        <f aca="false">D5611*MIN(Assumptions!$E$27,Assumptions!$E$25+Assumptions!$E$26*(D5610-1))*Assumptions!$D$107</f>
        <v>3</v>
      </c>
      <c r="E5630" s="48" t="n">
        <f aca="false">E5611*MIN(Assumptions!$E$27,Assumptions!$E$25+Assumptions!$E$26*(E5610-1))*Assumptions!$D$107</f>
        <v>4</v>
      </c>
      <c r="F5630" s="48" t="n">
        <f aca="false">F5611*MIN(Assumptions!$E$27,Assumptions!$E$25+Assumptions!$E$26*(F5610-1))*Assumptions!$D$107</f>
        <v>5</v>
      </c>
      <c r="G5630" s="48" t="n">
        <f aca="false">G5611*MIN(Assumptions!$E$27,Assumptions!$E$25+Assumptions!$E$26*(G5610-1))*Assumptions!$D$107</f>
        <v>6</v>
      </c>
      <c r="H5630" s="48" t="n">
        <f aca="false">H5611*MIN(Assumptions!$E$27,Assumptions!$E$25+Assumptions!$E$26*(H5610-1))*Assumptions!$D$107</f>
        <v>7</v>
      </c>
      <c r="I5630" s="48" t="n">
        <f aca="false">I5611*MIN(Assumptions!$E$27,Assumptions!$E$25+Assumptions!$E$26*(I5610-1))*Assumptions!$D$107</f>
        <v>8</v>
      </c>
      <c r="J5630" s="48" t="n">
        <f aca="false">J5611*MIN(Assumptions!$E$27,Assumptions!$E$25+Assumptions!$E$26*(J5610-1))*Assumptions!$D$107</f>
        <v>9</v>
      </c>
      <c r="K5630" s="48" t="n">
        <f aca="false">K5611*MIN(Assumptions!$E$27,Assumptions!$E$25+Assumptions!$E$26*(K5610-1))*Assumptions!$D$107</f>
        <v>10</v>
      </c>
      <c r="L5630" s="48" t="n">
        <f aca="false">L5611*MIN(Assumptions!$E$27,Assumptions!$E$25+Assumptions!$E$26*(L5610-1))*Assumptions!$D$107</f>
        <v>10</v>
      </c>
      <c r="M5630" s="48" t="n">
        <f aca="false">M5611*MIN(Assumptions!$E$27,Assumptions!$E$25+Assumptions!$E$26*(M5610-1))*Assumptions!$D$107</f>
        <v>10</v>
      </c>
      <c r="N5630" s="48" t="n">
        <f aca="false">N5611*MIN(Assumptions!$E$27,Assumptions!$E$25+Assumptions!$E$26*(N5610-1))*Assumptions!$D$107</f>
        <v>10</v>
      </c>
      <c r="P5630" s="49" t="n">
        <f aca="false">F5630</f>
        <v>5</v>
      </c>
      <c r="Q5630" s="49" t="n">
        <f aca="false">J5630</f>
        <v>9</v>
      </c>
      <c r="R5630" s="49" t="n">
        <f aca="false">N5630</f>
        <v>10</v>
      </c>
      <c r="S5630" s="50" t="n">
        <f aca="false">R5630</f>
        <v>10</v>
      </c>
    </row>
    <row r="5631" customFormat="false" ht="15" hidden="false" customHeight="false" outlineLevel="0" collapsed="false">
      <c r="A5631" s="4" t="s">
        <v>501</v>
      </c>
      <c r="B5631" s="36" t="s">
        <v>502</v>
      </c>
      <c r="C5631" s="48" t="n">
        <f aca="false">C5630*Assumptions!$E$28</f>
        <v>6</v>
      </c>
      <c r="D5631" s="48" t="n">
        <f aca="false">D5630*Assumptions!$E$28</f>
        <v>9</v>
      </c>
      <c r="E5631" s="48" t="n">
        <f aca="false">E5630*Assumptions!$E$28</f>
        <v>12</v>
      </c>
      <c r="F5631" s="48" t="n">
        <f aca="false">F5630*Assumptions!$E$28</f>
        <v>15</v>
      </c>
      <c r="G5631" s="48" t="n">
        <f aca="false">G5630*Assumptions!$E$28</f>
        <v>18</v>
      </c>
      <c r="H5631" s="48" t="n">
        <f aca="false">H5630*Assumptions!$E$28</f>
        <v>21</v>
      </c>
      <c r="I5631" s="48" t="n">
        <f aca="false">I5630*Assumptions!$E$28</f>
        <v>24</v>
      </c>
      <c r="J5631" s="48" t="n">
        <f aca="false">J5630*Assumptions!$E$28</f>
        <v>27</v>
      </c>
      <c r="K5631" s="48" t="n">
        <f aca="false">K5630*Assumptions!$E$28</f>
        <v>30</v>
      </c>
      <c r="L5631" s="48" t="n">
        <f aca="false">L5630*Assumptions!$E$28</f>
        <v>30</v>
      </c>
      <c r="M5631" s="48" t="n">
        <f aca="false">M5630*Assumptions!$E$28</f>
        <v>30</v>
      </c>
      <c r="N5631" s="48" t="n">
        <f aca="false">N5630*Assumptions!$E$28</f>
        <v>30</v>
      </c>
      <c r="P5631" s="49" t="n">
        <f aca="false">SUM(C5631:F5631)</f>
        <v>42</v>
      </c>
      <c r="Q5631" s="49" t="n">
        <f aca="false">SUM(G5631:J5631)</f>
        <v>90</v>
      </c>
      <c r="R5631" s="49" t="n">
        <f aca="false">SUM(K5631:N5631)</f>
        <v>120</v>
      </c>
      <c r="S5631" s="50" t="n">
        <f aca="false">SUM(P5631:R5631)</f>
        <v>252</v>
      </c>
    </row>
    <row r="5632" customFormat="false" ht="15" hidden="false" customHeight="false" outlineLevel="0" collapsed="false">
      <c r="A5632" s="4" t="s">
        <v>503</v>
      </c>
      <c r="B5632" s="36" t="s">
        <v>504</v>
      </c>
      <c r="C5632" s="48" t="n">
        <f aca="false">(C5623+C5627)*Assumptions!$E$29</f>
        <v>2.649061072896</v>
      </c>
      <c r="D5632" s="48" t="n">
        <f aca="false">(D5623+D5627)*Assumptions!$E$29</f>
        <v>4.93045821299048</v>
      </c>
      <c r="E5632" s="48" t="n">
        <f aca="false">(E5623+E5627)*Assumptions!$E$29</f>
        <v>4.58830837060879</v>
      </c>
      <c r="F5632" s="48" t="n">
        <f aca="false">(F5623+F5627)*Assumptions!$E$29</f>
        <v>4.26990206474738</v>
      </c>
      <c r="G5632" s="48" t="n">
        <f aca="false">(G5623+G5627)*Assumptions!$E$29</f>
        <v>5.844267072</v>
      </c>
      <c r="H5632" s="48" t="n">
        <f aca="false">(H5623+H5627)*Assumptions!$E$29</f>
        <v>7.17956301044434</v>
      </c>
      <c r="I5632" s="48" t="n">
        <f aca="false">(I5623+I5627)*Assumptions!$E$29</f>
        <v>12.8463930542132</v>
      </c>
      <c r="J5632" s="48" t="n">
        <f aca="false">(J5623+J5627)*Assumptions!$E$29</f>
        <v>17.6921476412567</v>
      </c>
      <c r="K5632" s="48" t="n">
        <f aca="false">(K5623+K5627)*Assumptions!$E$29</f>
        <v>16.4643985629052</v>
      </c>
      <c r="L5632" s="48" t="n">
        <f aca="false">(L5623+L5627)*Assumptions!$E$29</f>
        <v>15.3218493048332</v>
      </c>
      <c r="M5632" s="48" t="n">
        <f aca="false">(M5623+M5627)*Assumptions!$E$29</f>
        <v>14.2585874135079</v>
      </c>
      <c r="N5632" s="48" t="n">
        <f aca="false">(N5623+N5627)*Assumptions!$E$29</f>
        <v>13.2691107309425</v>
      </c>
      <c r="P5632" s="49" t="n">
        <f aca="false">SUM(C5632:F5632)</f>
        <v>16.4377297212427</v>
      </c>
      <c r="Q5632" s="49" t="n">
        <f aca="false">SUM(G5632:J5632)</f>
        <v>43.5623707779142</v>
      </c>
      <c r="R5632" s="49" t="n">
        <f aca="false">SUM(K5632:N5632)</f>
        <v>59.3139460121888</v>
      </c>
      <c r="S5632" s="50" t="n">
        <f aca="false">SUM(P5632:R5632)</f>
        <v>119.314046511346</v>
      </c>
    </row>
    <row r="5633" customFormat="false" ht="15" hidden="false" customHeight="false" outlineLevel="0" collapsed="false">
      <c r="A5633" s="4" t="s">
        <v>505</v>
      </c>
      <c r="B5633" s="36" t="s">
        <v>504</v>
      </c>
      <c r="C5633" s="48" t="n">
        <f aca="false">C5629*Assumptions!$E$31</f>
        <v>0.883020357632</v>
      </c>
      <c r="D5633" s="48" t="n">
        <f aca="false">D5629*Assumptions!$E$31</f>
        <v>1.766040715264</v>
      </c>
      <c r="E5633" s="48" t="n">
        <f aca="false">E5629*Assumptions!$E$31</f>
        <v>1.766040715264</v>
      </c>
      <c r="F5633" s="48" t="n">
        <f aca="false">F5629*Assumptions!$E$31</f>
        <v>1.766040715264</v>
      </c>
      <c r="G5633" s="48" t="n">
        <f aca="false">G5629*Assumptions!$E$31</f>
        <v>2.389599202816</v>
      </c>
      <c r="H5633" s="48" t="n">
        <f aca="false">H5629*Assumptions!$E$31</f>
        <v>3.013157690368</v>
      </c>
      <c r="I5633" s="48" t="n">
        <f aca="false">I5629*Assumptions!$E$31</f>
        <v>5.068176633856</v>
      </c>
      <c r="J5633" s="48" t="n">
        <f aca="false">J5629*Assumptions!$E$31</f>
        <v>7.123195577344</v>
      </c>
      <c r="K5633" s="48" t="n">
        <f aca="false">K5629*Assumptions!$E$31</f>
        <v>7.123195577344</v>
      </c>
      <c r="L5633" s="48" t="n">
        <f aca="false">L5629*Assumptions!$E$31</f>
        <v>7.123195577344</v>
      </c>
      <c r="M5633" s="48" t="n">
        <f aca="false">M5629*Assumptions!$E$31</f>
        <v>7.123195577344</v>
      </c>
      <c r="N5633" s="48" t="n">
        <f aca="false">N5629*Assumptions!$E$31</f>
        <v>7.123195577344</v>
      </c>
      <c r="P5633" s="49" t="n">
        <f aca="false">SUM(C5633:F5633)</f>
        <v>6.181142503424</v>
      </c>
      <c r="Q5633" s="49" t="n">
        <f aca="false">SUM(G5633:J5633)</f>
        <v>17.594129104384</v>
      </c>
      <c r="R5633" s="49" t="n">
        <f aca="false">SUM(K5633:N5633)</f>
        <v>28.492782309376</v>
      </c>
      <c r="S5633" s="50" t="n">
        <f aca="false">SUM(P5633:R5633)</f>
        <v>52.268053917184</v>
      </c>
    </row>
    <row r="5634" customFormat="false" ht="15" hidden="false" customHeight="false" outlineLevel="0" collapsed="false">
      <c r="A5634" s="4" t="s">
        <v>506</v>
      </c>
      <c r="B5634" s="36" t="s">
        <v>504</v>
      </c>
      <c r="C5634" s="48" t="n">
        <f aca="false">C5631*Assumptions!$E$30</f>
        <v>3</v>
      </c>
      <c r="D5634" s="48" t="n">
        <f aca="false">D5631*Assumptions!$E$30</f>
        <v>4.5</v>
      </c>
      <c r="E5634" s="48" t="n">
        <f aca="false">E5631*Assumptions!$E$30</f>
        <v>6</v>
      </c>
      <c r="F5634" s="48" t="n">
        <f aca="false">F5631*Assumptions!$E$30</f>
        <v>7.5</v>
      </c>
      <c r="G5634" s="48" t="n">
        <f aca="false">G5631*Assumptions!$E$30</f>
        <v>9</v>
      </c>
      <c r="H5634" s="48" t="n">
        <f aca="false">H5631*Assumptions!$E$30</f>
        <v>10.5</v>
      </c>
      <c r="I5634" s="48" t="n">
        <f aca="false">I5631*Assumptions!$E$30</f>
        <v>12</v>
      </c>
      <c r="J5634" s="48" t="n">
        <f aca="false">J5631*Assumptions!$E$30</f>
        <v>13.5</v>
      </c>
      <c r="K5634" s="48" t="n">
        <f aca="false">K5631*Assumptions!$E$30</f>
        <v>15</v>
      </c>
      <c r="L5634" s="48" t="n">
        <f aca="false">L5631*Assumptions!$E$30</f>
        <v>15</v>
      </c>
      <c r="M5634" s="48" t="n">
        <f aca="false">M5631*Assumptions!$E$30</f>
        <v>15</v>
      </c>
      <c r="N5634" s="48" t="n">
        <f aca="false">N5631*Assumptions!$E$30</f>
        <v>15</v>
      </c>
      <c r="P5634" s="49" t="n">
        <f aca="false">SUM(C5634:F5634)</f>
        <v>21</v>
      </c>
      <c r="Q5634" s="49" t="n">
        <f aca="false">SUM(G5634:J5634)</f>
        <v>45</v>
      </c>
      <c r="R5634" s="49" t="n">
        <f aca="false">SUM(K5634:N5634)</f>
        <v>60</v>
      </c>
      <c r="S5634" s="50" t="n">
        <f aca="false">SUM(P5634:R5634)</f>
        <v>126</v>
      </c>
    </row>
    <row r="5635" customFormat="false" ht="15" hidden="false" customHeight="false" outlineLevel="0" collapsed="false">
      <c r="A5635" s="9" t="s">
        <v>507</v>
      </c>
      <c r="B5635" s="36" t="s">
        <v>504</v>
      </c>
      <c r="C5635" s="49" t="n">
        <f aca="false">C5632+C5633+C5634</f>
        <v>6.532081430528</v>
      </c>
      <c r="D5635" s="49" t="n">
        <f aca="false">D5632+D5633+D5634</f>
        <v>11.1964989282545</v>
      </c>
      <c r="E5635" s="49" t="n">
        <f aca="false">E5632+E5633+E5634</f>
        <v>12.3543490858728</v>
      </c>
      <c r="F5635" s="49" t="n">
        <f aca="false">F5632+F5633+F5634</f>
        <v>13.5359427800114</v>
      </c>
      <c r="G5635" s="49" t="n">
        <f aca="false">G5632+G5633+G5634</f>
        <v>17.233866274816</v>
      </c>
      <c r="H5635" s="49" t="n">
        <f aca="false">H5632+H5633+H5634</f>
        <v>20.6927207008123</v>
      </c>
      <c r="I5635" s="49" t="n">
        <f aca="false">I5632+I5633+I5634</f>
        <v>29.9145696880692</v>
      </c>
      <c r="J5635" s="49" t="n">
        <f aca="false">J5632+J5633+J5634</f>
        <v>38.3153432186007</v>
      </c>
      <c r="K5635" s="49" t="n">
        <f aca="false">K5632+K5633+K5634</f>
        <v>38.5875941402492</v>
      </c>
      <c r="L5635" s="49" t="n">
        <f aca="false">L5632+L5633+L5634</f>
        <v>37.4450448821772</v>
      </c>
      <c r="M5635" s="49" t="n">
        <f aca="false">M5632+M5633+M5634</f>
        <v>36.3817829908519</v>
      </c>
      <c r="N5635" s="49" t="n">
        <f aca="false">N5632+N5633+N5634</f>
        <v>35.3923063082865</v>
      </c>
      <c r="P5635" s="49" t="n">
        <f aca="false">SUM(C5635:F5635)</f>
        <v>43.6188722246667</v>
      </c>
      <c r="Q5635" s="49" t="n">
        <f aca="false">SUM(G5635:J5635)</f>
        <v>106.156499882298</v>
      </c>
      <c r="R5635" s="49" t="n">
        <f aca="false">SUM(K5635:N5635)</f>
        <v>147.806728321565</v>
      </c>
      <c r="S5635" s="50" t="n">
        <f aca="false">SUM(P5635:R5635)</f>
        <v>297.58210042853</v>
      </c>
    </row>
    <row r="5636" customFormat="false" ht="15" hidden="false" customHeight="false" outlineLevel="0" collapsed="false">
      <c r="A5636" s="4" t="s">
        <v>508</v>
      </c>
      <c r="B5636" s="36" t="s">
        <v>509</v>
      </c>
      <c r="C5636" s="48" t="n">
        <f aca="false">C5618</f>
        <v>421.51972352</v>
      </c>
      <c r="D5636" s="48" t="n">
        <f aca="false">D5618</f>
        <v>843.03944704</v>
      </c>
      <c r="E5636" s="48" t="n">
        <f aca="false">E5618</f>
        <v>843.03944704</v>
      </c>
      <c r="F5636" s="48" t="n">
        <f aca="false">F5618</f>
        <v>843.03944704</v>
      </c>
      <c r="G5636" s="48" t="n">
        <f aca="false">G5618</f>
        <v>1149.32798176</v>
      </c>
      <c r="H5636" s="48" t="n">
        <f aca="false">H5618</f>
        <v>1455.61651648</v>
      </c>
      <c r="I5636" s="48" t="n">
        <f aca="false">I5618</f>
        <v>2486.00303616</v>
      </c>
      <c r="J5636" s="48" t="n">
        <f aca="false">J5618</f>
        <v>3516.38955584</v>
      </c>
      <c r="K5636" s="48" t="n">
        <f aca="false">K5618</f>
        <v>3516.38955584</v>
      </c>
      <c r="L5636" s="48" t="n">
        <f aca="false">L5618</f>
        <v>3516.38955584</v>
      </c>
      <c r="M5636" s="48" t="n">
        <f aca="false">M5618</f>
        <v>3516.38955584</v>
      </c>
      <c r="N5636" s="48" t="n">
        <f aca="false">N5618</f>
        <v>3516.38955584</v>
      </c>
      <c r="P5636" s="49"/>
      <c r="Q5636" s="49"/>
      <c r="R5636" s="49"/>
      <c r="S5636" s="50"/>
    </row>
    <row r="5637" customFormat="false" ht="15" hidden="false" customHeight="false" outlineLevel="0" collapsed="false">
      <c r="A5637" s="4" t="s">
        <v>510</v>
      </c>
      <c r="B5637" s="36" t="s">
        <v>509</v>
      </c>
      <c r="C5637" s="48" t="n">
        <f aca="false">C5619*Assumptions!$E$18*Assumptions!$E$33</f>
        <v>211.19616</v>
      </c>
      <c r="D5637" s="48" t="n">
        <f aca="false">D5619*Assumptions!$E$18*Assumptions!$E$33</f>
        <v>422.39232</v>
      </c>
      <c r="E5637" s="48" t="n">
        <f aca="false">E5619*Assumptions!$E$18*Assumptions!$E$33</f>
        <v>422.39232</v>
      </c>
      <c r="F5637" s="48" t="n">
        <f aca="false">F5619*Assumptions!$E$18*Assumptions!$E$33</f>
        <v>422.39232</v>
      </c>
      <c r="G5637" s="48" t="n">
        <f aca="false">G5619*Assumptions!$E$18*Assumptions!$E$33</f>
        <v>564.49344</v>
      </c>
      <c r="H5637" s="48" t="n">
        <f aca="false">H5619*Assumptions!$E$18*Assumptions!$E$33</f>
        <v>706.59456</v>
      </c>
      <c r="I5637" s="48" t="n">
        <f aca="false">I5619*Assumptions!$E$18*Assumptions!$E$33</f>
        <v>1135.07072</v>
      </c>
      <c r="J5637" s="48" t="n">
        <f aca="false">J5619*Assumptions!$E$18*Assumptions!$E$33</f>
        <v>1563.54688</v>
      </c>
      <c r="K5637" s="48" t="n">
        <f aca="false">K5619*Assumptions!$E$18*Assumptions!$E$33</f>
        <v>1563.54688</v>
      </c>
      <c r="L5637" s="48" t="n">
        <f aca="false">L5619*Assumptions!$E$18*Assumptions!$E$33</f>
        <v>1563.54688</v>
      </c>
      <c r="M5637" s="48" t="n">
        <f aca="false">M5619*Assumptions!$E$18*Assumptions!$E$33</f>
        <v>1563.54688</v>
      </c>
      <c r="N5637" s="48" t="n">
        <f aca="false">N5619*Assumptions!$E$18*Assumptions!$E$33</f>
        <v>1563.54688</v>
      </c>
      <c r="P5637" s="49"/>
      <c r="Q5637" s="49"/>
      <c r="R5637" s="49"/>
      <c r="S5637" s="50"/>
    </row>
    <row r="5638" customFormat="false" ht="15" hidden="false" customHeight="false" outlineLevel="0" collapsed="false">
      <c r="A5638" s="4" t="s">
        <v>511</v>
      </c>
      <c r="B5638" s="36" t="s">
        <v>509</v>
      </c>
      <c r="C5638" s="48" t="n">
        <f aca="false">C5620*Assumptions!$E$19*Assumptions!$E$34</f>
        <v>34.677888</v>
      </c>
      <c r="D5638" s="48" t="n">
        <f aca="false">D5620*Assumptions!$E$19*Assumptions!$E$34</f>
        <v>69.355776</v>
      </c>
      <c r="E5638" s="48" t="n">
        <f aca="false">E5620*Assumptions!$E$19*Assumptions!$E$34</f>
        <v>69.355776</v>
      </c>
      <c r="F5638" s="48" t="n">
        <f aca="false">F5620*Assumptions!$E$19*Assumptions!$E$34</f>
        <v>69.355776</v>
      </c>
      <c r="G5638" s="48" t="n">
        <f aca="false">G5620*Assumptions!$E$19*Assumptions!$E$34</f>
        <v>86.69472</v>
      </c>
      <c r="H5638" s="48" t="n">
        <f aca="false">H5620*Assumptions!$E$19*Assumptions!$E$34</f>
        <v>104.033664</v>
      </c>
      <c r="I5638" s="48" t="n">
        <f aca="false">I5620*Assumptions!$E$19*Assumptions!$E$34</f>
        <v>159.7008</v>
      </c>
      <c r="J5638" s="48" t="n">
        <f aca="false">J5620*Assumptions!$E$19*Assumptions!$E$34</f>
        <v>215.367936</v>
      </c>
      <c r="K5638" s="48" t="n">
        <f aca="false">K5620*Assumptions!$E$19*Assumptions!$E$34</f>
        <v>215.367936</v>
      </c>
      <c r="L5638" s="48" t="n">
        <f aca="false">L5620*Assumptions!$E$19*Assumptions!$E$34</f>
        <v>215.367936</v>
      </c>
      <c r="M5638" s="48" t="n">
        <f aca="false">M5620*Assumptions!$E$19*Assumptions!$E$34</f>
        <v>215.367936</v>
      </c>
      <c r="N5638" s="48" t="n">
        <f aca="false">N5620*Assumptions!$E$19*Assumptions!$E$34</f>
        <v>215.367936</v>
      </c>
      <c r="P5638" s="49"/>
      <c r="Q5638" s="49"/>
      <c r="R5638" s="49"/>
      <c r="S5638" s="50"/>
    </row>
    <row r="5639" customFormat="false" ht="15" hidden="false" customHeight="false" outlineLevel="0" collapsed="false">
      <c r="A5639" s="4" t="s">
        <v>512</v>
      </c>
      <c r="B5639" s="36" t="s">
        <v>77</v>
      </c>
      <c r="C5639" s="51" t="n">
        <f aca="false">IFERROR(C5636/(C5636+C5637+C5638),0)</f>
        <v>0.631590736245533</v>
      </c>
      <c r="D5639" s="51" t="n">
        <f aca="false">IFERROR(D5636/(D5636+D5637+D5638),0)</f>
        <v>0.631590736245533</v>
      </c>
      <c r="E5639" s="51" t="n">
        <f aca="false">IFERROR(E5636/(E5636+E5637+E5638),0)</f>
        <v>0.631590736245533</v>
      </c>
      <c r="F5639" s="51" t="n">
        <f aca="false">IFERROR(F5636/(F5636+F5637+F5638),0)</f>
        <v>0.631590736245533</v>
      </c>
      <c r="G5639" s="51" t="n">
        <f aca="false">IFERROR(G5636/(G5636+G5637+G5638),0)</f>
        <v>0.638332506498128</v>
      </c>
      <c r="H5639" s="51" t="n">
        <f aca="false">IFERROR(H5636/(H5636+H5637+H5638),0)</f>
        <v>0.642303318118984</v>
      </c>
      <c r="I5639" s="51" t="n">
        <f aca="false">IFERROR(I5636/(I5636+I5637+I5638),0)</f>
        <v>0.657538025405288</v>
      </c>
      <c r="J5639" s="51" t="n">
        <f aca="false">IFERROR(J5636/(J5636+J5637+J5638),0)</f>
        <v>0.664058061428891</v>
      </c>
      <c r="K5639" s="51" t="n">
        <f aca="false">IFERROR(K5636/(K5636+K5637+K5638),0)</f>
        <v>0.664058061428891</v>
      </c>
      <c r="L5639" s="51" t="n">
        <f aca="false">IFERROR(L5636/(L5636+L5637+L5638),0)</f>
        <v>0.664058061428891</v>
      </c>
      <c r="M5639" s="51" t="n">
        <f aca="false">IFERROR(M5636/(M5636+M5637+M5638),0)</f>
        <v>0.664058061428891</v>
      </c>
      <c r="N5639" s="51" t="n">
        <f aca="false">IFERROR(N5636/(N5636+N5637+N5638),0)</f>
        <v>0.664058061428891</v>
      </c>
      <c r="P5639" s="52"/>
      <c r="Q5639" s="52"/>
      <c r="R5639" s="52"/>
      <c r="S5639" s="53"/>
    </row>
    <row r="5640" customFormat="false" ht="15" hidden="false" customHeight="false" outlineLevel="0" collapsed="false">
      <c r="A5640" s="4" t="s">
        <v>513</v>
      </c>
      <c r="B5640" s="36" t="s">
        <v>77</v>
      </c>
      <c r="C5640" s="51" t="n">
        <f aca="false">IFERROR(C5637/(C5636+C5637+C5638),0)</f>
        <v>0.316449102482628</v>
      </c>
      <c r="D5640" s="51" t="n">
        <f aca="false">IFERROR(D5637/(D5636+D5637+D5638),0)</f>
        <v>0.316449102482628</v>
      </c>
      <c r="E5640" s="51" t="n">
        <f aca="false">IFERROR(E5637/(E5636+E5637+E5638),0)</f>
        <v>0.316449102482628</v>
      </c>
      <c r="F5640" s="51" t="n">
        <f aca="false">IFERROR(F5637/(F5636+F5637+F5638),0)</f>
        <v>0.316449102482628</v>
      </c>
      <c r="G5640" s="51" t="n">
        <f aca="false">IFERROR(G5637/(G5636+G5637+G5638),0)</f>
        <v>0.313517566939561</v>
      </c>
      <c r="H5640" s="51" t="n">
        <f aca="false">IFERROR(H5637/(H5636+H5637+H5638),0)</f>
        <v>0.311790932099567</v>
      </c>
      <c r="I5640" s="51" t="n">
        <f aca="false">IFERROR(I5637/(I5636+I5637+I5638),0)</f>
        <v>0.300221741111391</v>
      </c>
      <c r="J5640" s="51" t="n">
        <f aca="false">IFERROR(J5637/(J5636+J5637+J5638),0)</f>
        <v>0.295270445324128</v>
      </c>
      <c r="K5640" s="51" t="n">
        <f aca="false">IFERROR(K5637/(K5636+K5637+K5638),0)</f>
        <v>0.295270445324128</v>
      </c>
      <c r="L5640" s="51" t="n">
        <f aca="false">IFERROR(L5637/(L5636+L5637+L5638),0)</f>
        <v>0.295270445324128</v>
      </c>
      <c r="M5640" s="51" t="n">
        <f aca="false">IFERROR(M5637/(M5636+M5637+M5638),0)</f>
        <v>0.295270445324128</v>
      </c>
      <c r="N5640" s="51" t="n">
        <f aca="false">IFERROR(N5637/(N5636+N5637+N5638),0)</f>
        <v>0.295270445324128</v>
      </c>
      <c r="P5640" s="52"/>
      <c r="Q5640" s="52"/>
      <c r="R5640" s="52"/>
      <c r="S5640" s="53"/>
    </row>
    <row r="5641" customFormat="false" ht="15" hidden="false" customHeight="false" outlineLevel="0" collapsed="false">
      <c r="A5641" s="4" t="s">
        <v>514</v>
      </c>
      <c r="B5641" s="36" t="s">
        <v>77</v>
      </c>
      <c r="C5641" s="51" t="n">
        <f aca="false">IFERROR(C5638/(C5636+C5637+C5638),0)</f>
        <v>0.0519601612718389</v>
      </c>
      <c r="D5641" s="51" t="n">
        <f aca="false">IFERROR(D5638/(D5636+D5637+D5638),0)</f>
        <v>0.0519601612718389</v>
      </c>
      <c r="E5641" s="51" t="n">
        <f aca="false">IFERROR(E5638/(E5636+E5637+E5638),0)</f>
        <v>0.0519601612718389</v>
      </c>
      <c r="F5641" s="51" t="n">
        <f aca="false">IFERROR(F5638/(F5636+F5637+F5638),0)</f>
        <v>0.0519601612718389</v>
      </c>
      <c r="G5641" s="51" t="n">
        <f aca="false">IFERROR(G5638/(G5636+G5637+G5638),0)</f>
        <v>0.0481499265623113</v>
      </c>
      <c r="H5641" s="51" t="n">
        <f aca="false">IFERROR(H5638/(H5636+H5637+H5638),0)</f>
        <v>0.0459057497814491</v>
      </c>
      <c r="I5641" s="51" t="n">
        <f aca="false">IFERROR(I5638/(I5636+I5637+I5638),0)</f>
        <v>0.0422402334833216</v>
      </c>
      <c r="J5641" s="51" t="n">
        <f aca="false">IFERROR(J5638/(J5636+J5637+J5638),0)</f>
        <v>0.0406714932469811</v>
      </c>
      <c r="K5641" s="51" t="n">
        <f aca="false">IFERROR(K5638/(K5636+K5637+K5638),0)</f>
        <v>0.0406714932469811</v>
      </c>
      <c r="L5641" s="51" t="n">
        <f aca="false">IFERROR(L5638/(L5636+L5637+L5638),0)</f>
        <v>0.0406714932469811</v>
      </c>
      <c r="M5641" s="51" t="n">
        <f aca="false">IFERROR(M5638/(M5636+M5637+M5638),0)</f>
        <v>0.0406714932469811</v>
      </c>
      <c r="N5641" s="51" t="n">
        <f aca="false">IFERROR(N5638/(N5636+N5637+N5638),0)</f>
        <v>0.0406714932469811</v>
      </c>
      <c r="P5641" s="52"/>
      <c r="Q5641" s="52"/>
      <c r="R5641" s="52"/>
      <c r="S5641" s="53"/>
    </row>
    <row r="5642" customFormat="false" ht="15" hidden="false" customHeight="false" outlineLevel="0" collapsed="false">
      <c r="A5642" s="4" t="s">
        <v>515</v>
      </c>
      <c r="B5642" s="36" t="s">
        <v>516</v>
      </c>
      <c r="C5642" s="48" t="n">
        <f aca="false">IF(C5610-Assumptions!$E$35&lt;1,0,INDEX($C$5635:$N$5635,1,C5610-Assumptions!$E$35)*INDEX($C$5639:$N$5639,1,C5610-Assumptions!$E$35)*Assumptions!$E$32)</f>
        <v>0</v>
      </c>
      <c r="D5642" s="48" t="n">
        <f aca="false">IF(D5610-Assumptions!$E$35&lt;1,0,INDEX($C$5635:$N$5635,1,D5610-Assumptions!$E$35)*INDEX($C$5639:$N$5639,1,D5610-Assumptions!$E$35)*Assumptions!$E$32)</f>
        <v>0.866376445183821</v>
      </c>
      <c r="E5642" s="48" t="n">
        <f aca="false">IF(E5610-Assumptions!$E$35&lt;1,0,INDEX($C$5635:$N$5635,1,E5610-Assumptions!$E$35)*INDEX($C$5639:$N$5639,1,E5610-Assumptions!$E$35)*Assumptions!$E$32)</f>
        <v>1.4850370503084</v>
      </c>
      <c r="F5642" s="48" t="n">
        <f aca="false">IF(F5610-Assumptions!$E$35&lt;1,0,INDEX($C$5635:$N$5635,1,F5610-Assumptions!$E$35)*INDEX($C$5639:$N$5639,1,F5610-Assumptions!$E$35)*Assumptions!$E$32)</f>
        <v>1.63860741134595</v>
      </c>
      <c r="G5642" s="48" t="n">
        <f aca="false">IF(G5610-Assumptions!$E$35&lt;1,0,INDEX($C$5635:$N$5635,1,G5610-Assumptions!$E$35)*INDEX($C$5639:$N$5639,1,G5610-Assumptions!$E$35)*Assumptions!$E$32)</f>
        <v>1.79532697390301</v>
      </c>
      <c r="H5642" s="48" t="n">
        <f aca="false">IF(H5610-Assumptions!$E$35&lt;1,0,INDEX($C$5635:$N$5635,1,H5610-Assumptions!$E$35)*INDEX($C$5639:$N$5639,1,H5610-Assumptions!$E$35)*Assumptions!$E$32)</f>
        <v>2.31019678172994</v>
      </c>
      <c r="I5642" s="48" t="n">
        <f aca="false">IF(I5610-Assumptions!$E$35&lt;1,0,INDEX($C$5635:$N$5635,1,I5610-Assumptions!$E$35)*INDEX($C$5639:$N$5639,1,I5610-Assumptions!$E$35)*Assumptions!$E$32)</f>
        <v>2.79111066507864</v>
      </c>
      <c r="J5642" s="48" t="n">
        <f aca="false">IF(J5610-Assumptions!$E$35&lt;1,0,INDEX($C$5635:$N$5635,1,J5610-Assumptions!$E$35)*INDEX($C$5639:$N$5639,1,J5610-Assumptions!$E$35)*Assumptions!$E$32)</f>
        <v>4.1306930875438</v>
      </c>
      <c r="K5642" s="48" t="n">
        <f aca="false">IF(K5610-Assumptions!$E$35&lt;1,0,INDEX($C$5635:$N$5635,1,K5610-Assumptions!$E$35)*INDEX($C$5639:$N$5639,1,K5610-Assumptions!$E$35)*Assumptions!$E$32)</f>
        <v>5.34315863355258</v>
      </c>
      <c r="L5642" s="48" t="n">
        <f aca="false">IF(L5610-Assumptions!$E$35&lt;1,0,INDEX($C$5635:$N$5635,1,L5610-Assumptions!$E$35)*INDEX($C$5639:$N$5639,1,L5610-Assumptions!$E$35)*Assumptions!$E$32)</f>
        <v>5.38112462159553</v>
      </c>
      <c r="M5642" s="48" t="n">
        <f aca="false">IF(M5610-Assumptions!$E$35&lt;1,0,INDEX($C$5635:$N$5635,1,M5610-Assumptions!$E$35)*INDEX($C$5639:$N$5639,1,M5610-Assumptions!$E$35)*Assumptions!$E$32)</f>
        <v>5.22179362206104</v>
      </c>
      <c r="N5642" s="48" t="n">
        <f aca="false">IF(N5610-Assumptions!$E$35&lt;1,0,INDEX($C$5635:$N$5635,1,N5610-Assumptions!$E$35)*INDEX($C$5639:$N$5639,1,N5610-Assumptions!$E$35)*Assumptions!$E$32)</f>
        <v>5.07351941968866</v>
      </c>
      <c r="P5642" s="49" t="n">
        <f aca="false">SUM(C5642:F5642)</f>
        <v>3.99002090683817</v>
      </c>
      <c r="Q5642" s="49" t="n">
        <f aca="false">SUM(G5642:J5642)</f>
        <v>11.0273275082554</v>
      </c>
      <c r="R5642" s="49" t="n">
        <f aca="false">SUM(K5642:N5642)</f>
        <v>21.0195962968978</v>
      </c>
      <c r="S5642" s="50" t="n">
        <f aca="false">SUM(P5642:R5642)</f>
        <v>36.0369447119914</v>
      </c>
    </row>
    <row r="5643" customFormat="false" ht="15" hidden="false" customHeight="false" outlineLevel="0" collapsed="false">
      <c r="A5643" s="4" t="s">
        <v>517</v>
      </c>
      <c r="B5643" s="36" t="s">
        <v>516</v>
      </c>
      <c r="C5643" s="48" t="n">
        <f aca="false">IF(C5610-Assumptions!$E$35&lt;1,0,INDEX($C$5635:$N$5635,1,C5610-Assumptions!$E$35)*INDEX($C$5640:$N$5640,1,C5610-Assumptions!$E$35)*Assumptions!$E$32)</f>
        <v>0</v>
      </c>
      <c r="D5643" s="48" t="n">
        <f aca="false">IF(D5610-Assumptions!$E$35&lt;1,0,INDEX($C$5635:$N$5635,1,D5610-Assumptions!$E$35)*INDEX($C$5640:$N$5640,1,D5610-Assumptions!$E$35)*Assumptions!$E$32)</f>
        <v>0.434084974267145</v>
      </c>
      <c r="E5643" s="48" t="n">
        <f aca="false">IF(E5610-Assumptions!$E$35&lt;1,0,INDEX($C$5635:$N$5635,1,E5610-Assumptions!$E$35)*INDEX($C$5640:$N$5640,1,E5610-Assumptions!$E$35)*Assumptions!$E$32)</f>
        <v>0.744055627726705</v>
      </c>
      <c r="F5643" s="48" t="n">
        <f aca="false">IF(F5610-Assumptions!$E$35&lt;1,0,INDEX($C$5635:$N$5635,1,F5610-Assumptions!$E$35)*INDEX($C$5640:$N$5640,1,F5610-Assumptions!$E$35)*Assumptions!$E$32)</f>
        <v>0.820999762796119</v>
      </c>
      <c r="G5643" s="48" t="n">
        <f aca="false">IF(G5610-Assumptions!$E$35&lt;1,0,INDEX($C$5635:$N$5635,1,G5610-Assumptions!$E$35)*INDEX($C$5640:$N$5640,1,G5610-Assumptions!$E$35)*Assumptions!$E$32)</f>
        <v>0.89952175823807</v>
      </c>
      <c r="H5643" s="48" t="n">
        <f aca="false">IF(H5610-Assumptions!$E$35&lt;1,0,INDEX($C$5635:$N$5635,1,H5610-Assumptions!$E$35)*INDEX($C$5640:$N$5640,1,H5610-Assumptions!$E$35)*Assumptions!$E$32)</f>
        <v>1.13465516292283</v>
      </c>
      <c r="I5643" s="48" t="n">
        <f aca="false">IF(I5610-Assumptions!$E$35&lt;1,0,INDEX($C$5635:$N$5635,1,I5610-Assumptions!$E$35)*INDEX($C$5640:$N$5640,1,I5610-Assumptions!$E$35)*Assumptions!$E$32)</f>
        <v>1.35487856174628</v>
      </c>
      <c r="J5643" s="48" t="n">
        <f aca="false">IF(J5610-Assumptions!$E$35&lt;1,0,INDEX($C$5635:$N$5635,1,J5610-Assumptions!$E$35)*INDEX($C$5640:$N$5640,1,J5610-Assumptions!$E$35)*Assumptions!$E$32)</f>
        <v>1.88601088123353</v>
      </c>
      <c r="K5643" s="48" t="n">
        <f aca="false">IF(K5610-Assumptions!$E$35&lt;1,0,INDEX($C$5635:$N$5635,1,K5610-Assumptions!$E$35)*INDEX($C$5640:$N$5640,1,K5610-Assumptions!$E$35)*Assumptions!$E$32)</f>
        <v>2.37581157552964</v>
      </c>
      <c r="L5643" s="48" t="n">
        <f aca="false">IF(L5610-Assumptions!$E$35&lt;1,0,INDEX($C$5635:$N$5635,1,L5610-Assumptions!$E$35)*INDEX($C$5640:$N$5640,1,L5610-Assumptions!$E$35)*Assumptions!$E$32)</f>
        <v>2.3926929822134</v>
      </c>
      <c r="M5643" s="48" t="n">
        <f aca="false">IF(M5610-Assumptions!$E$35&lt;1,0,INDEX($C$5635:$N$5635,1,M5610-Assumptions!$E$35)*INDEX($C$5640:$N$5640,1,M5610-Assumptions!$E$35)*Assumptions!$E$32)</f>
        <v>2.32184716628391</v>
      </c>
      <c r="N5643" s="48" t="n">
        <f aca="false">IF(N5610-Assumptions!$E$35&lt;1,0,INDEX($C$5635:$N$5635,1,N5610-Assumptions!$E$35)*INDEX($C$5640:$N$5640,1,N5610-Assumptions!$E$35)*Assumptions!$E$32)</f>
        <v>2.25591770573287</v>
      </c>
      <c r="P5643" s="49" t="n">
        <f aca="false">SUM(C5643:F5643)</f>
        <v>1.99914036478997</v>
      </c>
      <c r="Q5643" s="49" t="n">
        <f aca="false">SUM(G5643:J5643)</f>
        <v>5.27506636414072</v>
      </c>
      <c r="R5643" s="49" t="n">
        <f aca="false">SUM(K5643:N5643)</f>
        <v>9.34626942975982</v>
      </c>
      <c r="S5643" s="50" t="n">
        <f aca="false">SUM(P5643:R5643)</f>
        <v>16.6204761586905</v>
      </c>
    </row>
    <row r="5644" customFormat="false" ht="15" hidden="false" customHeight="false" outlineLevel="0" collapsed="false">
      <c r="A5644" s="4" t="s">
        <v>518</v>
      </c>
      <c r="B5644" s="36" t="s">
        <v>516</v>
      </c>
      <c r="C5644" s="48" t="n">
        <f aca="false">IF(C5610-Assumptions!$E$36&lt;1,0,INDEX($C$5635:$N$5635,1,C5610-Assumptions!$E$36)*INDEX($C$5641:$N$5641,1,C5610-Assumptions!$E$36)*Assumptions!$E$32)</f>
        <v>0</v>
      </c>
      <c r="D5644" s="48" t="n">
        <f aca="false">IF(D5610-Assumptions!$E$36&lt;1,0,INDEX($C$5635:$N$5635,1,D5610-Assumptions!$E$36)*INDEX($C$5641:$N$5641,1,D5610-Assumptions!$E$36)*Assumptions!$E$32)</f>
        <v>0</v>
      </c>
      <c r="E5644" s="48" t="n">
        <f aca="false">IF(E5610-Assumptions!$E$36&lt;1,0,INDEX($C$5635:$N$5635,1,E5610-Assumptions!$E$36)*INDEX($C$5641:$N$5641,1,E5610-Assumptions!$E$36)*Assumptions!$E$32)</f>
        <v>0.071275680959914</v>
      </c>
      <c r="F5644" s="48" t="n">
        <f aca="false">IF(F5610-Assumptions!$E$36&lt;1,0,INDEX($C$5635:$N$5635,1,F5610-Assumptions!$E$36)*INDEX($C$5641:$N$5641,1,F5610-Assumptions!$E$36)*Assumptions!$E$32)</f>
        <v>0.122172096898336</v>
      </c>
      <c r="G5644" s="48" t="n">
        <f aca="false">IF(G5610-Assumptions!$E$36&lt;1,0,INDEX($C$5635:$N$5635,1,G5610-Assumptions!$E$36)*INDEX($C$5641:$N$5641,1,G5610-Assumptions!$E$36)*Assumptions!$E$32)</f>
        <v>0.134806133891215</v>
      </c>
      <c r="H5644" s="48" t="n">
        <f aca="false">IF(H5610-Assumptions!$E$36&lt;1,0,INDEX($C$5635:$N$5635,1,H5610-Assumptions!$E$36)*INDEX($C$5641:$N$5641,1,H5610-Assumptions!$E$36)*Assumptions!$E$32)</f>
        <v>0.147699251661313</v>
      </c>
      <c r="I5644" s="48" t="n">
        <f aca="false">IF(I5610-Assumptions!$E$36&lt;1,0,INDEX($C$5635:$N$5635,1,I5610-Assumptions!$E$36)*INDEX($C$5641:$N$5641,1,I5610-Assumptions!$E$36)*Assumptions!$E$32)</f>
        <v>0.174259973058587</v>
      </c>
      <c r="J5644" s="48" t="n">
        <f aca="false">IF(J5610-Assumptions!$E$36&lt;1,0,INDEX($C$5635:$N$5635,1,J5610-Assumptions!$E$36)*INDEX($C$5641:$N$5641,1,J5610-Assumptions!$E$36)*Assumptions!$E$32)</f>
        <v>0.19948212034567</v>
      </c>
      <c r="K5644" s="48" t="n">
        <f aca="false">IF(K5610-Assumptions!$E$36&lt;1,0,INDEX($C$5635:$N$5635,1,K5610-Assumptions!$E$36)*INDEX($C$5641:$N$5641,1,K5610-Assumptions!$E$36)*Assumptions!$E$32)</f>
        <v>0.265355665717199</v>
      </c>
      <c r="L5644" s="48" t="n">
        <f aca="false">IF(L5610-Assumptions!$E$36&lt;1,0,INDEX($C$5635:$N$5635,1,L5610-Assumptions!$E$36)*INDEX($C$5641:$N$5641,1,L5610-Assumptions!$E$36)*Assumptions!$E$32)</f>
        <v>0.327251866823927</v>
      </c>
      <c r="M5644" s="48" t="n">
        <f aca="false">IF(M5610-Assumptions!$E$36&lt;1,0,INDEX($C$5635:$N$5635,1,M5610-Assumptions!$E$36)*INDEX($C$5641:$N$5641,1,M5610-Assumptions!$E$36)*Assumptions!$E$32)</f>
        <v>0.329577165643402</v>
      </c>
      <c r="N5644" s="48" t="n">
        <f aca="false">IF(N5610-Assumptions!$E$36&lt;1,0,INDEX($C$5635:$N$5635,1,N5610-Assumptions!$E$36)*INDEX($C$5641:$N$5641,1,N5610-Assumptions!$E$36)*Assumptions!$E$32)</f>
        <v>0.319818636912259</v>
      </c>
      <c r="P5644" s="49" t="n">
        <f aca="false">SUM(C5644:F5644)</f>
        <v>0.19344777785825</v>
      </c>
      <c r="Q5644" s="49" t="n">
        <f aca="false">SUM(G5644:J5644)</f>
        <v>0.656247478956785</v>
      </c>
      <c r="R5644" s="49" t="n">
        <f aca="false">SUM(K5644:N5644)</f>
        <v>1.24200333509679</v>
      </c>
      <c r="S5644" s="50" t="n">
        <f aca="false">SUM(P5644:R5644)</f>
        <v>2.09169859191182</v>
      </c>
    </row>
    <row r="5645" customFormat="false" ht="15" hidden="false" customHeight="false" outlineLevel="0" collapsed="false">
      <c r="A5645" s="4" t="s">
        <v>519</v>
      </c>
      <c r="B5645" s="36" t="s">
        <v>77</v>
      </c>
      <c r="C5645" s="51" t="n">
        <f aca="false">IF(C5610-Assumptions!$E$35&lt;1,0,IFERROR(INDEX($C$5634:$N$5634,1,C5610-Assumptions!$E$35)/INDEX($C$5635:$N$5635,1,C5610-Assumptions!$E$35),0))</f>
        <v>0</v>
      </c>
      <c r="D5645" s="51" t="n">
        <f aca="false">IF(D5610-Assumptions!$E$35&lt;1,0,IFERROR(INDEX($C$5634:$N$5634,1,D5610-Assumptions!$E$35)/INDEX($C$5635:$N$5635,1,D5610-Assumptions!$E$35),0))</f>
        <v>0.459271678087073</v>
      </c>
      <c r="E5645" s="51" t="n">
        <f aca="false">IF(E5610-Assumptions!$E$35&lt;1,0,IFERROR(INDEX($C$5634:$N$5634,1,E5610-Assumptions!$E$35)/INDEX($C$5635:$N$5635,1,E5610-Assumptions!$E$35),0))</f>
        <v>0.401911350042128</v>
      </c>
      <c r="F5645" s="51" t="n">
        <f aca="false">IF(F5610-Assumptions!$E$35&lt;1,0,IFERROR(INDEX($C$5634:$N$5634,1,F5610-Assumptions!$E$35)/INDEX($C$5635:$N$5635,1,F5610-Assumptions!$E$35),0))</f>
        <v>0.485658933408398</v>
      </c>
      <c r="G5645" s="51" t="n">
        <f aca="false">IF(G5610-Assumptions!$E$35&lt;1,0,IFERROR(INDEX($C$5634:$N$5634,1,G5610-Assumptions!$E$35)/INDEX($C$5635:$N$5635,1,G5610-Assumptions!$E$35),0))</f>
        <v>0.554080356417826</v>
      </c>
      <c r="H5645" s="51" t="n">
        <f aca="false">IF(H5610-Assumptions!$E$35&lt;1,0,IFERROR(INDEX($C$5634:$N$5634,1,H5610-Assumptions!$E$35)/INDEX($C$5635:$N$5635,1,H5610-Assumptions!$E$35),0))</f>
        <v>0.522227563825987</v>
      </c>
      <c r="I5645" s="51" t="n">
        <f aca="false">IF(I5610-Assumptions!$E$35&lt;1,0,IFERROR(INDEX($C$5634:$N$5634,1,I5610-Assumptions!$E$35)/INDEX($C$5635:$N$5635,1,I5610-Assumptions!$E$35),0))</f>
        <v>0.507424816282752</v>
      </c>
      <c r="J5645" s="51" t="n">
        <f aca="false">IF(J5610-Assumptions!$E$35&lt;1,0,IFERROR(INDEX($C$5634:$N$5634,1,J5610-Assumptions!$E$35)/INDEX($C$5635:$N$5635,1,J5610-Assumptions!$E$35),0))</f>
        <v>0.401142323795015</v>
      </c>
      <c r="K5645" s="51" t="n">
        <f aca="false">IF(K5610-Assumptions!$E$35&lt;1,0,IFERROR(INDEX($C$5634:$N$5634,1,K5610-Assumptions!$E$35)/INDEX($C$5635:$N$5635,1,K5610-Assumptions!$E$35),0))</f>
        <v>0.352339268448632</v>
      </c>
      <c r="L5645" s="51" t="n">
        <f aca="false">IF(L5610-Assumptions!$E$35&lt;1,0,IFERROR(INDEX($C$5634:$N$5634,1,L5610-Assumptions!$E$35)/INDEX($C$5635:$N$5635,1,L5610-Assumptions!$E$35),0))</f>
        <v>0.388725970981282</v>
      </c>
      <c r="M5645" s="51" t="n">
        <f aca="false">IF(M5610-Assumptions!$E$35&lt;1,0,IFERROR(INDEX($C$5634:$N$5634,1,M5610-Assumptions!$E$35)/INDEX($C$5635:$N$5635,1,M5610-Assumptions!$E$35),0))</f>
        <v>0.400587048224893</v>
      </c>
      <c r="N5645" s="51" t="n">
        <f aca="false">IF(N5610-Assumptions!$E$35&lt;1,0,IFERROR(INDEX($C$5634:$N$5634,1,N5610-Assumptions!$E$35)/INDEX($C$5635:$N$5635,1,N5610-Assumptions!$E$35),0))</f>
        <v>0.412294251872474</v>
      </c>
      <c r="P5645" s="52"/>
      <c r="Q5645" s="52"/>
      <c r="R5645" s="52"/>
      <c r="S5645" s="53"/>
    </row>
    <row r="5646" customFormat="false" ht="15" hidden="false" customHeight="false" outlineLevel="0" collapsed="false">
      <c r="A5646" s="4" t="s">
        <v>520</v>
      </c>
      <c r="B5646" s="36" t="s">
        <v>516</v>
      </c>
      <c r="C5646" s="48" t="n">
        <f aca="false">C5642*Assumptions!$E$37</f>
        <v>0</v>
      </c>
      <c r="D5646" s="48" t="n">
        <f aca="false">D5642*Assumptions!$E$37</f>
        <v>0.259912933555146</v>
      </c>
      <c r="E5646" s="48" t="n">
        <f aca="false">E5642*Assumptions!$E$37</f>
        <v>0.44551111509252</v>
      </c>
      <c r="F5646" s="48" t="n">
        <f aca="false">F5642*Assumptions!$E$37</f>
        <v>0.491582223403786</v>
      </c>
      <c r="G5646" s="48" t="n">
        <f aca="false">G5642*Assumptions!$E$37</f>
        <v>0.538598092170902</v>
      </c>
      <c r="H5646" s="48" t="n">
        <f aca="false">H5642*Assumptions!$E$37</f>
        <v>0.693059034518982</v>
      </c>
      <c r="I5646" s="48" t="n">
        <f aca="false">I5642*Assumptions!$E$37</f>
        <v>0.837333199523593</v>
      </c>
      <c r="J5646" s="48" t="n">
        <f aca="false">J5642*Assumptions!$E$37</f>
        <v>1.23920792626314</v>
      </c>
      <c r="K5646" s="48" t="n">
        <f aca="false">K5642*Assumptions!$E$37</f>
        <v>1.60294759006577</v>
      </c>
      <c r="L5646" s="48" t="n">
        <f aca="false">L5642*Assumptions!$E$37</f>
        <v>1.61433738647866</v>
      </c>
      <c r="M5646" s="48" t="n">
        <f aca="false">M5642*Assumptions!$E$37</f>
        <v>1.56653808661831</v>
      </c>
      <c r="N5646" s="48" t="n">
        <f aca="false">N5642*Assumptions!$E$37</f>
        <v>1.5220558259066</v>
      </c>
      <c r="P5646" s="49" t="n">
        <f aca="false">SUM(C5646:F5646)</f>
        <v>1.19700627205145</v>
      </c>
      <c r="Q5646" s="49" t="n">
        <f aca="false">SUM(G5646:J5646)</f>
        <v>3.30819825247662</v>
      </c>
      <c r="R5646" s="49" t="n">
        <f aca="false">SUM(K5646:N5646)</f>
        <v>6.30587888906934</v>
      </c>
      <c r="S5646" s="50" t="n">
        <f aca="false">SUM(P5646:R5646)</f>
        <v>10.8110834135974</v>
      </c>
    </row>
    <row r="5647" customFormat="false" ht="15" hidden="false" customHeight="false" outlineLevel="0" collapsed="false">
      <c r="A5647" s="4" t="s">
        <v>521</v>
      </c>
      <c r="B5647" s="36" t="s">
        <v>516</v>
      </c>
      <c r="C5647" s="48" t="n">
        <f aca="false">C5642*(1-Assumptions!$E$37)</f>
        <v>0</v>
      </c>
      <c r="D5647" s="48" t="n">
        <f aca="false">D5642*(1-Assumptions!$E$37)</f>
        <v>0.606463511628675</v>
      </c>
      <c r="E5647" s="48" t="n">
        <f aca="false">E5642*(1-Assumptions!$E$37)</f>
        <v>1.03952593521588</v>
      </c>
      <c r="F5647" s="48" t="n">
        <f aca="false">F5642*(1-Assumptions!$E$37)</f>
        <v>1.14702518794217</v>
      </c>
      <c r="G5647" s="48" t="n">
        <f aca="false">G5642*(1-Assumptions!$E$37)</f>
        <v>1.25672888173211</v>
      </c>
      <c r="H5647" s="48" t="n">
        <f aca="false">H5642*(1-Assumptions!$E$37)</f>
        <v>1.61713774721096</v>
      </c>
      <c r="I5647" s="48" t="n">
        <f aca="false">I5642*(1-Assumptions!$E$37)</f>
        <v>1.95377746555505</v>
      </c>
      <c r="J5647" s="48" t="n">
        <f aca="false">J5642*(1-Assumptions!$E$37)</f>
        <v>2.89148516128066</v>
      </c>
      <c r="K5647" s="48" t="n">
        <f aca="false">K5642*(1-Assumptions!$E$37)</f>
        <v>3.7402110434868</v>
      </c>
      <c r="L5647" s="48" t="n">
        <f aca="false">L5642*(1-Assumptions!$E$37)</f>
        <v>3.76678723511687</v>
      </c>
      <c r="M5647" s="48" t="n">
        <f aca="false">M5642*(1-Assumptions!$E$37)</f>
        <v>3.65525553544273</v>
      </c>
      <c r="N5647" s="48" t="n">
        <f aca="false">N5642*(1-Assumptions!$E$37)</f>
        <v>3.55146359378206</v>
      </c>
      <c r="P5647" s="49" t="n">
        <f aca="false">SUM(C5647:F5647)</f>
        <v>2.79301463478672</v>
      </c>
      <c r="Q5647" s="49" t="n">
        <f aca="false">SUM(G5647:J5647)</f>
        <v>7.71912925577877</v>
      </c>
      <c r="R5647" s="49" t="n">
        <f aca="false">SUM(K5647:N5647)</f>
        <v>14.7137174078285</v>
      </c>
      <c r="S5647" s="50" t="n">
        <f aca="false">SUM(P5647:R5647)</f>
        <v>25.225861298394</v>
      </c>
    </row>
    <row r="5648" customFormat="false" ht="15" hidden="false" customHeight="false" outlineLevel="0" collapsed="false">
      <c r="A5648" s="4" t="s">
        <v>522</v>
      </c>
      <c r="B5648" s="36" t="s">
        <v>125</v>
      </c>
      <c r="C5648" s="54" t="n">
        <f aca="false">C5647*$C$5601+C5643*$C$5602+C5644*$C$5603</f>
        <v>0</v>
      </c>
      <c r="D5648" s="54" t="n">
        <f aca="false">D5647*$C$5601+D5643*$C$5602+D5644*$C$5603</f>
        <v>6425.48255605948</v>
      </c>
      <c r="E5648" s="54" t="n">
        <f aca="false">E5647*$C$5601+E5643*$C$5602+E5644*$C$5603</f>
        <v>14316.245572865</v>
      </c>
      <c r="F5648" s="54" t="n">
        <f aca="false">F5647*$C$5601+F5643*$C$5602+F5644*$C$5603</f>
        <v>17813.4193164062</v>
      </c>
      <c r="G5648" s="54" t="n">
        <f aca="false">G5647*$C$5601+G5643*$C$5602+G5644*$C$5603</f>
        <v>19561.1118314684</v>
      </c>
      <c r="H5648" s="54" t="n">
        <f aca="false">H5647*$C$5601+H5643*$C$5602+H5644*$C$5603</f>
        <v>23809.7674466702</v>
      </c>
      <c r="I5648" s="54" t="n">
        <f aca="false">I5647*$C$5601+I5643*$C$5602+I5644*$C$5603</f>
        <v>28455.2647347216</v>
      </c>
      <c r="J5648" s="54" t="n">
        <f aca="false">J5647*$C$5601+J5643*$C$5602+J5644*$C$5603</f>
        <v>38533.0770671996</v>
      </c>
      <c r="K5648" s="54" t="n">
        <f aca="false">K5647*$C$5601+K5643*$C$5602+K5644*$C$5603</f>
        <v>49715.4322868446</v>
      </c>
      <c r="L5648" s="54" t="n">
        <f aca="false">L5647*$C$5601+L5643*$C$5602+L5644*$C$5603</f>
        <v>52849.2045735297</v>
      </c>
      <c r="M5648" s="54" t="n">
        <f aca="false">M5647*$C$5601+M5643*$C$5602+M5644*$C$5603</f>
        <v>51841.0781542086</v>
      </c>
      <c r="N5648" s="54" t="n">
        <f aca="false">N5647*$C$5601+N5643*$C$5602+N5644*$C$5603</f>
        <v>50350.4990741515</v>
      </c>
      <c r="P5648" s="55" t="n">
        <f aca="false">SUM(C5648:F5648)</f>
        <v>38555.1474453307</v>
      </c>
      <c r="Q5648" s="55" t="n">
        <f aca="false">SUM(G5648:J5648)</f>
        <v>110359.22108006</v>
      </c>
      <c r="R5648" s="55" t="n">
        <f aca="false">SUM(K5648:N5648)</f>
        <v>204756.214088734</v>
      </c>
      <c r="S5648" s="56" t="n">
        <f aca="false">SUM(P5648:R5648)</f>
        <v>353670.582614125</v>
      </c>
    </row>
    <row r="5649" customFormat="false" ht="15" hidden="false" customHeight="false" outlineLevel="0" collapsed="false">
      <c r="A5649" s="4" t="s">
        <v>523</v>
      </c>
      <c r="B5649" s="36" t="s">
        <v>125</v>
      </c>
      <c r="C5649" s="54" t="n">
        <f aca="false">(C5625+Assumptions!$D$104*C5611)*$C$5606</f>
        <v>306250</v>
      </c>
      <c r="D5649" s="54" t="n">
        <f aca="false">(D5625+Assumptions!$D$104*D5611)*$C$5606</f>
        <v>306250</v>
      </c>
      <c r="E5649" s="54" t="n">
        <f aca="false">(E5625+Assumptions!$D$104*E5611)*$C$5606</f>
        <v>306250</v>
      </c>
      <c r="F5649" s="54" t="n">
        <f aca="false">(F5625+Assumptions!$D$104*F5611)*$C$5606</f>
        <v>306250</v>
      </c>
      <c r="G5649" s="54" t="n">
        <f aca="false">(G5625+Assumptions!$D$104*G5611)*$C$5606</f>
        <v>306250</v>
      </c>
      <c r="H5649" s="54" t="n">
        <f aca="false">(H5625+Assumptions!$D$104*H5611)*$C$5606</f>
        <v>306250</v>
      </c>
      <c r="I5649" s="54" t="n">
        <f aca="false">(I5625+Assumptions!$D$104*I5611)*$C$5606</f>
        <v>306250</v>
      </c>
      <c r="J5649" s="54" t="n">
        <f aca="false">(J5625+Assumptions!$D$104*J5611)*$C$5606</f>
        <v>306250</v>
      </c>
      <c r="K5649" s="54" t="n">
        <f aca="false">(K5625+Assumptions!$D$104*K5611)*$C$5606</f>
        <v>306250</v>
      </c>
      <c r="L5649" s="54" t="n">
        <f aca="false">(L5625+Assumptions!$D$104*L5611)*$C$5606</f>
        <v>306250</v>
      </c>
      <c r="M5649" s="54" t="n">
        <f aca="false">(M5625+Assumptions!$D$104*M5611)*$C$5606</f>
        <v>306250</v>
      </c>
      <c r="N5649" s="54" t="n">
        <f aca="false">(N5625+Assumptions!$D$104*N5611)*$C$5606</f>
        <v>306250</v>
      </c>
      <c r="P5649" s="55" t="n">
        <f aca="false">SUM(C5649:F5649)</f>
        <v>1225000</v>
      </c>
      <c r="Q5649" s="55" t="n">
        <f aca="false">SUM(G5649:J5649)</f>
        <v>1225000</v>
      </c>
      <c r="R5649" s="55" t="n">
        <f aca="false">SUM(K5649:N5649)</f>
        <v>1225000</v>
      </c>
      <c r="S5649" s="56" t="n">
        <f aca="false">SUM(P5649:R5649)</f>
        <v>3675000</v>
      </c>
    </row>
    <row r="5650" customFormat="false" ht="15" hidden="false" customHeight="false" outlineLevel="0" collapsed="false">
      <c r="A5650" s="4" t="s">
        <v>524</v>
      </c>
      <c r="B5650" s="36" t="s">
        <v>77</v>
      </c>
      <c r="C5650" s="51" t="n">
        <f aca="false">IF(C5648&gt;0,MIN(1,C5649/C5648),1)</f>
        <v>1</v>
      </c>
      <c r="D5650" s="51" t="n">
        <f aca="false">IF(D5648&gt;0,MIN(1,D5649/D5648),1)</f>
        <v>1</v>
      </c>
      <c r="E5650" s="51" t="n">
        <f aca="false">IF(E5648&gt;0,MIN(1,E5649/E5648),1)</f>
        <v>1</v>
      </c>
      <c r="F5650" s="51" t="n">
        <f aca="false">IF(F5648&gt;0,MIN(1,F5649/F5648),1)</f>
        <v>1</v>
      </c>
      <c r="G5650" s="51" t="n">
        <f aca="false">IF(G5648&gt;0,MIN(1,G5649/G5648),1)</f>
        <v>1</v>
      </c>
      <c r="H5650" s="51" t="n">
        <f aca="false">IF(H5648&gt;0,MIN(1,H5649/H5648),1)</f>
        <v>1</v>
      </c>
      <c r="I5650" s="51" t="n">
        <f aca="false">IF(I5648&gt;0,MIN(1,I5649/I5648),1)</f>
        <v>1</v>
      </c>
      <c r="J5650" s="51" t="n">
        <f aca="false">IF(J5648&gt;0,MIN(1,J5649/J5648),1)</f>
        <v>1</v>
      </c>
      <c r="K5650" s="51" t="n">
        <f aca="false">IF(K5648&gt;0,MIN(1,K5649/K5648),1)</f>
        <v>1</v>
      </c>
      <c r="L5650" s="51" t="n">
        <f aca="false">IF(L5648&gt;0,MIN(1,L5649/L5648),1)</f>
        <v>1</v>
      </c>
      <c r="M5650" s="51" t="n">
        <f aca="false">IF(M5648&gt;0,MIN(1,M5649/M5648),1)</f>
        <v>1</v>
      </c>
      <c r="N5650" s="51" t="n">
        <f aca="false">IF(N5648&gt;0,MIN(1,N5649/N5648),1)</f>
        <v>1</v>
      </c>
      <c r="P5650" s="52"/>
      <c r="Q5650" s="52"/>
      <c r="R5650" s="52"/>
      <c r="S5650" s="53"/>
    </row>
    <row r="5651" customFormat="false" ht="15" hidden="false" customHeight="false" outlineLevel="0" collapsed="false">
      <c r="A5651" s="4" t="s">
        <v>525</v>
      </c>
      <c r="B5651" s="36" t="s">
        <v>125</v>
      </c>
      <c r="C5651" s="54" t="n">
        <f aca="false">C5648*(1-C5650)</f>
        <v>0</v>
      </c>
      <c r="D5651" s="54" t="n">
        <f aca="false">D5648*(1-D5650)</f>
        <v>0</v>
      </c>
      <c r="E5651" s="54" t="n">
        <f aca="false">E5648*(1-E5650)</f>
        <v>0</v>
      </c>
      <c r="F5651" s="54" t="n">
        <f aca="false">F5648*(1-F5650)</f>
        <v>0</v>
      </c>
      <c r="G5651" s="54" t="n">
        <f aca="false">G5648*(1-G5650)</f>
        <v>0</v>
      </c>
      <c r="H5651" s="54" t="n">
        <f aca="false">H5648*(1-H5650)</f>
        <v>0</v>
      </c>
      <c r="I5651" s="54" t="n">
        <f aca="false">I5648*(1-I5650)</f>
        <v>0</v>
      </c>
      <c r="J5651" s="54" t="n">
        <f aca="false">J5648*(1-J5650)</f>
        <v>0</v>
      </c>
      <c r="K5651" s="54" t="n">
        <f aca="false">K5648*(1-K5650)</f>
        <v>0</v>
      </c>
      <c r="L5651" s="54" t="n">
        <f aca="false">L5648*(1-L5650)</f>
        <v>0</v>
      </c>
      <c r="M5651" s="54" t="n">
        <f aca="false">M5648*(1-M5650)</f>
        <v>0</v>
      </c>
      <c r="N5651" s="54" t="n">
        <f aca="false">N5648*(1-N5650)</f>
        <v>0</v>
      </c>
      <c r="P5651" s="55" t="n">
        <f aca="false">SUM(C5651:F5651)</f>
        <v>0</v>
      </c>
      <c r="Q5651" s="55" t="n">
        <f aca="false">SUM(G5651:J5651)</f>
        <v>0</v>
      </c>
      <c r="R5651" s="55" t="n">
        <f aca="false">SUM(K5651:N5651)</f>
        <v>0</v>
      </c>
      <c r="S5651" s="56" t="n">
        <f aca="false">SUM(P5651:R5651)</f>
        <v>0</v>
      </c>
    </row>
    <row r="5652" customFormat="false" ht="15" hidden="false" customHeight="false" outlineLevel="0" collapsed="false">
      <c r="A5652" s="4" t="s">
        <v>526</v>
      </c>
      <c r="B5652" s="36" t="s">
        <v>527</v>
      </c>
      <c r="C5652" s="48" t="n">
        <f aca="false">C5646+C5647*C5650</f>
        <v>0</v>
      </c>
      <c r="D5652" s="48" t="n">
        <f aca="false">D5646+D5647*D5650</f>
        <v>0.866376445183821</v>
      </c>
      <c r="E5652" s="48" t="n">
        <f aca="false">E5646+E5647*E5650</f>
        <v>1.4850370503084</v>
      </c>
      <c r="F5652" s="48" t="n">
        <f aca="false">F5646+F5647*F5650</f>
        <v>1.63860741134595</v>
      </c>
      <c r="G5652" s="48" t="n">
        <f aca="false">G5646+G5647*G5650</f>
        <v>1.79532697390301</v>
      </c>
      <c r="H5652" s="48" t="n">
        <f aca="false">H5646+H5647*H5650</f>
        <v>2.31019678172994</v>
      </c>
      <c r="I5652" s="48" t="n">
        <f aca="false">I5646+I5647*I5650</f>
        <v>2.79111066507864</v>
      </c>
      <c r="J5652" s="48" t="n">
        <f aca="false">J5646+J5647*J5650</f>
        <v>4.1306930875438</v>
      </c>
      <c r="K5652" s="48" t="n">
        <f aca="false">K5646+K5647*K5650</f>
        <v>5.34315863355258</v>
      </c>
      <c r="L5652" s="48" t="n">
        <f aca="false">L5646+L5647*L5650</f>
        <v>5.38112462159553</v>
      </c>
      <c r="M5652" s="48" t="n">
        <f aca="false">M5646+M5647*M5650</f>
        <v>5.22179362206104</v>
      </c>
      <c r="N5652" s="48" t="n">
        <f aca="false">N5646+N5647*N5650</f>
        <v>5.07351941968866</v>
      </c>
      <c r="P5652" s="49" t="n">
        <f aca="false">SUM(C5652:F5652)</f>
        <v>3.99002090683817</v>
      </c>
      <c r="Q5652" s="49" t="n">
        <f aca="false">SUM(G5652:J5652)</f>
        <v>11.0273275082554</v>
      </c>
      <c r="R5652" s="49" t="n">
        <f aca="false">SUM(K5652:N5652)</f>
        <v>21.0195962968978</v>
      </c>
      <c r="S5652" s="50" t="n">
        <f aca="false">SUM(P5652:R5652)</f>
        <v>36.0369447119914</v>
      </c>
    </row>
    <row r="5653" customFormat="false" ht="15" hidden="false" customHeight="false" outlineLevel="0" collapsed="false">
      <c r="A5653" s="4" t="s">
        <v>528</v>
      </c>
      <c r="B5653" s="36" t="s">
        <v>527</v>
      </c>
      <c r="C5653" s="48" t="n">
        <f aca="false">C5643*C5650</f>
        <v>0</v>
      </c>
      <c r="D5653" s="48" t="n">
        <f aca="false">D5643*D5650</f>
        <v>0.434084974267145</v>
      </c>
      <c r="E5653" s="48" t="n">
        <f aca="false">E5643*E5650</f>
        <v>0.744055627726705</v>
      </c>
      <c r="F5653" s="48" t="n">
        <f aca="false">F5643*F5650</f>
        <v>0.820999762796119</v>
      </c>
      <c r="G5653" s="48" t="n">
        <f aca="false">G5643*G5650</f>
        <v>0.89952175823807</v>
      </c>
      <c r="H5653" s="48" t="n">
        <f aca="false">H5643*H5650</f>
        <v>1.13465516292283</v>
      </c>
      <c r="I5653" s="48" t="n">
        <f aca="false">I5643*I5650</f>
        <v>1.35487856174628</v>
      </c>
      <c r="J5653" s="48" t="n">
        <f aca="false">J5643*J5650</f>
        <v>1.88601088123353</v>
      </c>
      <c r="K5653" s="48" t="n">
        <f aca="false">K5643*K5650</f>
        <v>2.37581157552964</v>
      </c>
      <c r="L5653" s="48" t="n">
        <f aca="false">L5643*L5650</f>
        <v>2.3926929822134</v>
      </c>
      <c r="M5653" s="48" t="n">
        <f aca="false">M5643*M5650</f>
        <v>2.32184716628391</v>
      </c>
      <c r="N5653" s="48" t="n">
        <f aca="false">N5643*N5650</f>
        <v>2.25591770573287</v>
      </c>
      <c r="P5653" s="49" t="n">
        <f aca="false">SUM(C5653:F5653)</f>
        <v>1.99914036478997</v>
      </c>
      <c r="Q5653" s="49" t="n">
        <f aca="false">SUM(G5653:J5653)</f>
        <v>5.27506636414072</v>
      </c>
      <c r="R5653" s="49" t="n">
        <f aca="false">SUM(K5653:N5653)</f>
        <v>9.34626942975982</v>
      </c>
      <c r="S5653" s="50" t="n">
        <f aca="false">SUM(P5653:R5653)</f>
        <v>16.6204761586905</v>
      </c>
    </row>
    <row r="5654" customFormat="false" ht="15" hidden="false" customHeight="false" outlineLevel="0" collapsed="false">
      <c r="A5654" s="4" t="s">
        <v>529</v>
      </c>
      <c r="B5654" s="36" t="s">
        <v>527</v>
      </c>
      <c r="C5654" s="48" t="n">
        <f aca="false">C5644*C5650</f>
        <v>0</v>
      </c>
      <c r="D5654" s="48" t="n">
        <f aca="false">D5644*D5650</f>
        <v>0</v>
      </c>
      <c r="E5654" s="48" t="n">
        <f aca="false">E5644*E5650</f>
        <v>0.071275680959914</v>
      </c>
      <c r="F5654" s="48" t="n">
        <f aca="false">F5644*F5650</f>
        <v>0.122172096898336</v>
      </c>
      <c r="G5654" s="48" t="n">
        <f aca="false">G5644*G5650</f>
        <v>0.134806133891215</v>
      </c>
      <c r="H5654" s="48" t="n">
        <f aca="false">H5644*H5650</f>
        <v>0.147699251661313</v>
      </c>
      <c r="I5654" s="48" t="n">
        <f aca="false">I5644*I5650</f>
        <v>0.174259973058587</v>
      </c>
      <c r="J5654" s="48" t="n">
        <f aca="false">J5644*J5650</f>
        <v>0.19948212034567</v>
      </c>
      <c r="K5654" s="48" t="n">
        <f aca="false">K5644*K5650</f>
        <v>0.265355665717199</v>
      </c>
      <c r="L5654" s="48" t="n">
        <f aca="false">L5644*L5650</f>
        <v>0.327251866823927</v>
      </c>
      <c r="M5654" s="48" t="n">
        <f aca="false">M5644*M5650</f>
        <v>0.329577165643402</v>
      </c>
      <c r="N5654" s="48" t="n">
        <f aca="false">N5644*N5650</f>
        <v>0.319818636912259</v>
      </c>
      <c r="P5654" s="49" t="n">
        <f aca="false">SUM(C5654:F5654)</f>
        <v>0.19344777785825</v>
      </c>
      <c r="Q5654" s="49" t="n">
        <f aca="false">SUM(G5654:J5654)</f>
        <v>0.656247478956785</v>
      </c>
      <c r="R5654" s="49" t="n">
        <f aca="false">SUM(K5654:N5654)</f>
        <v>1.24200333509679</v>
      </c>
      <c r="S5654" s="50" t="n">
        <f aca="false">SUM(P5654:R5654)</f>
        <v>2.09169859191182</v>
      </c>
    </row>
    <row r="5655" customFormat="false" ht="15" hidden="false" customHeight="false" outlineLevel="0" collapsed="false">
      <c r="A5655" s="9" t="s">
        <v>530</v>
      </c>
      <c r="B5655" s="36" t="s">
        <v>527</v>
      </c>
      <c r="C5655" s="49" t="n">
        <f aca="false">C5652+C5653+C5654</f>
        <v>0</v>
      </c>
      <c r="D5655" s="49" t="n">
        <f aca="false">D5652+D5653+D5654</f>
        <v>1.30046141945097</v>
      </c>
      <c r="E5655" s="49" t="n">
        <f aca="false">E5652+E5653+E5654</f>
        <v>2.30036835899502</v>
      </c>
      <c r="F5655" s="49" t="n">
        <f aca="false">F5652+F5653+F5654</f>
        <v>2.58177927104041</v>
      </c>
      <c r="G5655" s="49" t="n">
        <f aca="false">G5652+G5653+G5654</f>
        <v>2.82965486603229</v>
      </c>
      <c r="H5655" s="49" t="n">
        <f aca="false">H5652+H5653+H5654</f>
        <v>3.59255119631409</v>
      </c>
      <c r="I5655" s="49" t="n">
        <f aca="false">I5652+I5653+I5654</f>
        <v>4.32024919988351</v>
      </c>
      <c r="J5655" s="49" t="n">
        <f aca="false">J5652+J5653+J5654</f>
        <v>6.216186089123</v>
      </c>
      <c r="K5655" s="49" t="n">
        <f aca="false">K5652+K5653+K5654</f>
        <v>7.98432587479941</v>
      </c>
      <c r="L5655" s="49" t="n">
        <f aca="false">L5652+L5653+L5654</f>
        <v>8.10106947063285</v>
      </c>
      <c r="M5655" s="49" t="n">
        <f aca="false">M5652+M5653+M5654</f>
        <v>7.87321795398836</v>
      </c>
      <c r="N5655" s="49" t="n">
        <f aca="false">N5652+N5653+N5654</f>
        <v>7.64925576233379</v>
      </c>
      <c r="P5655" s="49" t="n">
        <f aca="false">SUM(C5655:F5655)</f>
        <v>6.18260904948639</v>
      </c>
      <c r="Q5655" s="49" t="n">
        <f aca="false">SUM(G5655:J5655)</f>
        <v>16.9586413513529</v>
      </c>
      <c r="R5655" s="49" t="n">
        <f aca="false">SUM(K5655:N5655)</f>
        <v>31.6078690617544</v>
      </c>
      <c r="S5655" s="50" t="n">
        <f aca="false">SUM(P5655:R5655)</f>
        <v>54.7491194625937</v>
      </c>
    </row>
    <row r="5656" customFormat="false" ht="15" hidden="false" customHeight="false" outlineLevel="0" collapsed="false">
      <c r="A5656" s="35" t="s">
        <v>533</v>
      </c>
      <c r="B5656" s="35" t="s">
        <v>444</v>
      </c>
      <c r="C5656" s="6" t="s">
        <v>354</v>
      </c>
      <c r="D5656" s="6" t="s">
        <v>355</v>
      </c>
      <c r="E5656" s="6" t="s">
        <v>356</v>
      </c>
      <c r="F5656" s="6" t="s">
        <v>357</v>
      </c>
      <c r="G5656" s="6" t="s">
        <v>358</v>
      </c>
      <c r="H5656" s="6" t="s">
        <v>359</v>
      </c>
      <c r="I5656" s="6" t="s">
        <v>360</v>
      </c>
      <c r="J5656" s="6" t="s">
        <v>361</v>
      </c>
      <c r="K5656" s="6" t="s">
        <v>362</v>
      </c>
      <c r="L5656" s="6" t="s">
        <v>363</v>
      </c>
      <c r="M5656" s="6" t="s">
        <v>364</v>
      </c>
      <c r="N5656" s="6" t="s">
        <v>365</v>
      </c>
      <c r="P5656" s="6" t="s">
        <v>445</v>
      </c>
      <c r="Q5656" s="6" t="s">
        <v>446</v>
      </c>
      <c r="R5656" s="6" t="s">
        <v>447</v>
      </c>
      <c r="S5656" s="6" t="s">
        <v>448</v>
      </c>
    </row>
    <row r="5657" customFormat="false" ht="15" hidden="false" customHeight="false" outlineLevel="0" collapsed="false">
      <c r="A5657" s="4" t="s">
        <v>534</v>
      </c>
      <c r="B5657" s="36" t="s">
        <v>527</v>
      </c>
      <c r="C5657" s="48" t="n">
        <f aca="false">0*Assumptions!$E$59^(1/4)+C5652</f>
        <v>0</v>
      </c>
      <c r="D5657" s="48" t="n">
        <f aca="false">C5657*Assumptions!$E$59^(1/4)+D5652</f>
        <v>0.866376445183821</v>
      </c>
      <c r="E5657" s="48" t="n">
        <f aca="false">D5657*Assumptions!$E$59^(1/4)+E5652</f>
        <v>2.32416329488403</v>
      </c>
      <c r="F5657" s="48" t="n">
        <f aca="false">E5657*Assumptions!$E$59^(1/4)+F5652</f>
        <v>3.88966863104794</v>
      </c>
      <c r="G5657" s="48" t="n">
        <f aca="false">F5657*Assumptions!$E$59^(1/4)+G5652</f>
        <v>5.56265357789716</v>
      </c>
      <c r="H5657" s="48" t="n">
        <f aca="false">G5657*Assumptions!$E$59^(1/4)+H5652</f>
        <v>7.69788781678072</v>
      </c>
      <c r="I5657" s="48" t="n">
        <f aca="false">H5657*Assumptions!$E$59^(1/4)+I5652</f>
        <v>10.2468762630101</v>
      </c>
      <c r="J5657" s="48" t="n">
        <f aca="false">I5657*Assumptions!$E$59^(1/4)+J5652</f>
        <v>14.0552736148763</v>
      </c>
      <c r="K5657" s="48" t="n">
        <f aca="false">J5657*Assumptions!$E$59^(1/4)+K5652</f>
        <v>18.9563507170835</v>
      </c>
      <c r="L5657" s="48" t="n">
        <f aca="false">K5657*Assumptions!$E$59^(1/4)+L5652</f>
        <v>23.7412398769334</v>
      </c>
      <c r="M5657" s="48" t="n">
        <f aca="false">L5657*Assumptions!$E$59^(1/4)+M5652</f>
        <v>28.2162985745513</v>
      </c>
      <c r="N5657" s="48" t="n">
        <f aca="false">M5657*Assumptions!$E$59^(1/4)+N5652</f>
        <v>32.4023287268997</v>
      </c>
      <c r="P5657" s="49" t="n">
        <f aca="false">F5657</f>
        <v>3.88966863104794</v>
      </c>
      <c r="Q5657" s="49" t="n">
        <f aca="false">J5657</f>
        <v>14.0552736148763</v>
      </c>
      <c r="R5657" s="49" t="n">
        <f aca="false">N5657</f>
        <v>32.4023287268997</v>
      </c>
      <c r="S5657" s="50" t="n">
        <f aca="false">R5657</f>
        <v>32.4023287268997</v>
      </c>
    </row>
    <row r="5658" customFormat="false" ht="15" hidden="false" customHeight="false" outlineLevel="0" collapsed="false">
      <c r="A5658" s="4" t="s">
        <v>535</v>
      </c>
      <c r="B5658" s="36" t="s">
        <v>527</v>
      </c>
      <c r="C5658" s="48" t="n">
        <f aca="false">0*Assumptions!$E$60^(1/4)+C5653</f>
        <v>0</v>
      </c>
      <c r="D5658" s="48" t="n">
        <f aca="false">C5658*Assumptions!$E$60^(1/4)+D5653</f>
        <v>0.434084974267145</v>
      </c>
      <c r="E5658" s="48" t="n">
        <f aca="false">D5658*Assumptions!$E$60^(1/4)+E5653</f>
        <v>1.16685601892983</v>
      </c>
      <c r="F5658" s="48" t="n">
        <f aca="false">E5658*Assumptions!$E$60^(1/4)+F5653</f>
        <v>1.95752189677268</v>
      </c>
      <c r="G5658" s="48" t="n">
        <f aca="false">F5658*Assumptions!$E$60^(1/4)+G5653</f>
        <v>2.80615541940422</v>
      </c>
      <c r="H5658" s="48" t="n">
        <f aca="false">G5658*Assumptions!$E$60^(1/4)+H5653</f>
        <v>3.86786105447419</v>
      </c>
      <c r="I5658" s="48" t="n">
        <f aca="false">H5658*Assumptions!$E$60^(1/4)+I5653</f>
        <v>5.12218971945664</v>
      </c>
      <c r="J5658" s="48" t="n">
        <f aca="false">I5658*Assumptions!$E$60^(1/4)+J5653</f>
        <v>6.87504285788544</v>
      </c>
      <c r="K5658" s="48" t="n">
        <f aca="false">J5658*Assumptions!$E$60^(1/4)+K5653</f>
        <v>9.07212907594454</v>
      </c>
      <c r="L5658" s="48" t="n">
        <f aca="false">K5658*Assumptions!$E$60^(1/4)+L5653</f>
        <v>11.2289806902372</v>
      </c>
      <c r="M5658" s="48" t="n">
        <f aca="false">L5658*Assumptions!$E$60^(1/4)+M5653</f>
        <v>13.2589164271123</v>
      </c>
      <c r="N5658" s="48" t="n">
        <f aca="false">M5658*Assumptions!$E$60^(1/4)+N5653</f>
        <v>15.1701519792802</v>
      </c>
      <c r="P5658" s="49" t="n">
        <f aca="false">F5658</f>
        <v>1.95752189677268</v>
      </c>
      <c r="Q5658" s="49" t="n">
        <f aca="false">J5658</f>
        <v>6.87504285788544</v>
      </c>
      <c r="R5658" s="49" t="n">
        <f aca="false">N5658</f>
        <v>15.1701519792802</v>
      </c>
      <c r="S5658" s="50" t="n">
        <f aca="false">R5658</f>
        <v>15.1701519792802</v>
      </c>
    </row>
    <row r="5659" customFormat="false" ht="15" hidden="false" customHeight="false" outlineLevel="0" collapsed="false">
      <c r="A5659" s="4" t="s">
        <v>536</v>
      </c>
      <c r="B5659" s="36" t="s">
        <v>527</v>
      </c>
      <c r="C5659" s="48" t="n">
        <f aca="false">0*Assumptions!$E$61^(1/4)+C5654</f>
        <v>0</v>
      </c>
      <c r="D5659" s="48" t="n">
        <f aca="false">C5659*Assumptions!$E$61^(1/4)+D5654</f>
        <v>0</v>
      </c>
      <c r="E5659" s="48" t="n">
        <f aca="false">D5659*Assumptions!$E$61^(1/4)+E5654</f>
        <v>0.071275680959914</v>
      </c>
      <c r="F5659" s="48" t="n">
        <f aca="false">E5659*Assumptions!$E$61^(1/4)+F5654</f>
        <v>0.191977386314485</v>
      </c>
      <c r="G5659" s="48" t="n">
        <f aca="false">F5659*Assumptions!$E$61^(1/4)+G5654</f>
        <v>0.322823096094288</v>
      </c>
      <c r="H5659" s="48" t="n">
        <f aca="false">G5659*Assumptions!$E$61^(1/4)+H5654</f>
        <v>0.463862623930639</v>
      </c>
      <c r="I5659" s="48" t="n">
        <f aca="false">H5659*Assumptions!$E$61^(1/4)+I5654</f>
        <v>0.628553278667598</v>
      </c>
      <c r="J5659" s="48" t="n">
        <f aca="false">I5659*Assumptions!$E$61^(1/4)+J5654</f>
        <v>0.815068571993006</v>
      </c>
      <c r="K5659" s="48" t="n">
        <f aca="false">J5659*Assumptions!$E$61^(1/4)+K5654</f>
        <v>1.06360966758325</v>
      </c>
      <c r="L5659" s="48" t="n">
        <f aca="false">K5659*Assumptions!$E$61^(1/4)+L5654</f>
        <v>1.36891965128493</v>
      </c>
      <c r="M5659" s="48" t="n">
        <f aca="false">L5659*Assumptions!$E$61^(1/4)+M5654</f>
        <v>1.67025649916167</v>
      </c>
      <c r="N5659" s="48" t="n">
        <f aca="false">M5659*Assumptions!$E$61^(1/4)+N5654</f>
        <v>1.95561834801929</v>
      </c>
      <c r="P5659" s="49" t="n">
        <f aca="false">F5659</f>
        <v>0.191977386314485</v>
      </c>
      <c r="Q5659" s="49" t="n">
        <f aca="false">J5659</f>
        <v>0.815068571993006</v>
      </c>
      <c r="R5659" s="49" t="n">
        <f aca="false">N5659</f>
        <v>1.95561834801929</v>
      </c>
      <c r="S5659" s="50" t="n">
        <f aca="false">R5659</f>
        <v>1.95561834801929</v>
      </c>
    </row>
    <row r="5660" customFormat="false" ht="15" hidden="false" customHeight="false" outlineLevel="0" collapsed="false">
      <c r="A5660" s="9" t="s">
        <v>537</v>
      </c>
      <c r="B5660" s="36" t="s">
        <v>527</v>
      </c>
      <c r="C5660" s="49" t="n">
        <f aca="false">C5657+C5658+C5659</f>
        <v>0</v>
      </c>
      <c r="D5660" s="49" t="n">
        <f aca="false">D5657+D5658+D5659</f>
        <v>1.30046141945097</v>
      </c>
      <c r="E5660" s="49" t="n">
        <f aca="false">E5657+E5658+E5659</f>
        <v>3.56229499477378</v>
      </c>
      <c r="F5660" s="49" t="n">
        <f aca="false">F5657+F5658+F5659</f>
        <v>6.0391679141351</v>
      </c>
      <c r="G5660" s="49" t="n">
        <f aca="false">G5657+G5658+G5659</f>
        <v>8.69163209339566</v>
      </c>
      <c r="H5660" s="49" t="n">
        <f aca="false">H5657+H5658+H5659</f>
        <v>12.0296114951856</v>
      </c>
      <c r="I5660" s="49" t="n">
        <f aca="false">I5657+I5658+I5659</f>
        <v>15.9976192611344</v>
      </c>
      <c r="J5660" s="49" t="n">
        <f aca="false">J5657+J5658+J5659</f>
        <v>21.7453850447547</v>
      </c>
      <c r="K5660" s="49" t="n">
        <f aca="false">K5657+K5658+K5659</f>
        <v>29.0920894606113</v>
      </c>
      <c r="L5660" s="49" t="n">
        <f aca="false">L5657+L5658+L5659</f>
        <v>36.3391402184556</v>
      </c>
      <c r="M5660" s="49" t="n">
        <f aca="false">M5657+M5658+M5659</f>
        <v>43.1454715008253</v>
      </c>
      <c r="N5660" s="49" t="n">
        <f aca="false">N5657+N5658+N5659</f>
        <v>49.5280990541991</v>
      </c>
      <c r="P5660" s="49" t="n">
        <f aca="false">F5660</f>
        <v>6.0391679141351</v>
      </c>
      <c r="Q5660" s="49" t="n">
        <f aca="false">J5660</f>
        <v>21.7453850447547</v>
      </c>
      <c r="R5660" s="49" t="n">
        <f aca="false">N5660</f>
        <v>49.5280990541991</v>
      </c>
      <c r="S5660" s="50" t="n">
        <f aca="false">R5660</f>
        <v>49.5280990541991</v>
      </c>
    </row>
    <row r="5661" customFormat="false" ht="15" hidden="false" customHeight="false" outlineLevel="0" collapsed="false">
      <c r="A5661" s="4" t="s">
        <v>538</v>
      </c>
      <c r="B5661" s="36" t="s">
        <v>125</v>
      </c>
      <c r="C5661" s="54" t="n">
        <f aca="false">0*Assumptions!$E$62^(1/4)+C5652*$C$5601</f>
        <v>0</v>
      </c>
      <c r="D5661" s="54" t="n">
        <f aca="false">C5661*Assumptions!$E$62^(1/4)+D5652*$C$5601</f>
        <v>4636.84673462381</v>
      </c>
      <c r="E5661" s="54" t="n">
        <f aca="false">D5661*Assumptions!$E$62^(1/4)+E5652*$C$5601</f>
        <v>12584.7650278744</v>
      </c>
      <c r="F5661" s="54" t="n">
        <f aca="false">E5661*Assumptions!$E$62^(1/4)+F5652*$C$5601</f>
        <v>21354.5918933979</v>
      </c>
      <c r="G5661" s="54" t="n">
        <f aca="false">F5661*Assumptions!$E$62^(1/4)+G5652*$C$5601</f>
        <v>30963.1818577268</v>
      </c>
      <c r="H5661" s="54" t="n">
        <f aca="false">G5661*Assumptions!$E$62^(1/4)+H5652*$C$5601</f>
        <v>43327.3550335454</v>
      </c>
      <c r="I5661" s="54" t="n">
        <f aca="false">H5661*Assumptions!$E$62^(1/4)+I5652*$C$5601</f>
        <v>58265.3793130463</v>
      </c>
      <c r="J5661" s="54" t="n">
        <f aca="false">I5661*Assumptions!$E$62^(1/4)+J5652*$C$5601</f>
        <v>80372.8487175808</v>
      </c>
      <c r="K5661" s="54" t="n">
        <f aca="false">J5661*Assumptions!$E$62^(1/4)+K5652*$C$5601</f>
        <v>108969.433724354</v>
      </c>
      <c r="L5661" s="54" t="n">
        <f aca="false">K5661*Assumptions!$E$62^(1/4)+L5652*$C$5601</f>
        <v>137769.212699133</v>
      </c>
      <c r="M5661" s="54" t="n">
        <f aca="false">L5661*Assumptions!$E$62^(1/4)+M5652*$C$5601</f>
        <v>165716.252164404</v>
      </c>
      <c r="N5661" s="54" t="n">
        <f aca="false">M5661*Assumptions!$E$62^(1/4)+N5652*$C$5601</f>
        <v>192869.728098578</v>
      </c>
      <c r="P5661" s="55" t="n">
        <f aca="false">F5661</f>
        <v>21354.5918933979</v>
      </c>
      <c r="Q5661" s="55" t="n">
        <f aca="false">J5661</f>
        <v>80372.8487175808</v>
      </c>
      <c r="R5661" s="55" t="n">
        <f aca="false">N5661</f>
        <v>192869.728098578</v>
      </c>
      <c r="S5661" s="56" t="n">
        <f aca="false">R5661</f>
        <v>192869.728098578</v>
      </c>
    </row>
    <row r="5662" customFormat="false" ht="15" hidden="false" customHeight="false" outlineLevel="0" collapsed="false">
      <c r="A5662" s="4" t="s">
        <v>539</v>
      </c>
      <c r="B5662" s="36" t="s">
        <v>125</v>
      </c>
      <c r="C5662" s="54" t="n">
        <f aca="false">0*Assumptions!$E$63^(1/4)+C5653*$C$5602</f>
        <v>0</v>
      </c>
      <c r="D5662" s="54" t="n">
        <f aca="false">C5662*Assumptions!$E$63^(1/4)+D5653*$C$5602</f>
        <v>3179.68984182282</v>
      </c>
      <c r="E5662" s="54" t="n">
        <f aca="false">D5662*Assumptions!$E$63^(1/4)+E5653*$C$5602</f>
        <v>8676.58542859803</v>
      </c>
      <c r="F5662" s="54" t="n">
        <f aca="false">E5662*Assumptions!$E$63^(1/4)+F5653*$C$5602</f>
        <v>14817.7604901977</v>
      </c>
      <c r="G5662" s="54" t="n">
        <f aca="false">F5662*Assumptions!$E$63^(1/4)+G5653*$C$5602</f>
        <v>21624.2269750205</v>
      </c>
      <c r="H5662" s="54" t="n">
        <f aca="false">G5662*Assumptions!$E$63^(1/4)+H5653*$C$5602</f>
        <v>30252.9321193513</v>
      </c>
      <c r="I5662" s="54" t="n">
        <f aca="false">H5662*Assumptions!$E$63^(1/4)+I5653*$C$5602</f>
        <v>40621.3987821881</v>
      </c>
      <c r="J5662" s="54" t="n">
        <f aca="false">I5662*Assumptions!$E$63^(1/4)+J5653*$C$5602</f>
        <v>55032.5762666655</v>
      </c>
      <c r="K5662" s="54" t="n">
        <f aca="false">J5662*Assumptions!$E$63^(1/4)+K5653*$C$5602</f>
        <v>73243.0308777032</v>
      </c>
      <c r="L5662" s="54" t="n">
        <f aca="false">K5662*Assumptions!$E$63^(1/4)+L5653*$C$5602</f>
        <v>91844.3598792095</v>
      </c>
      <c r="M5662" s="54" t="n">
        <f aca="false">L5662*Assumptions!$E$63^(1/4)+M5653*$C$5602</f>
        <v>110199.693478659</v>
      </c>
      <c r="N5662" s="54" t="n">
        <f aca="false">M5662*Assumptions!$E$63^(1/4)+N5653*$C$5602</f>
        <v>128341.434477641</v>
      </c>
      <c r="P5662" s="55" t="n">
        <f aca="false">F5662</f>
        <v>14817.7604901977</v>
      </c>
      <c r="Q5662" s="55" t="n">
        <f aca="false">J5662</f>
        <v>55032.5762666655</v>
      </c>
      <c r="R5662" s="55" t="n">
        <f aca="false">N5662</f>
        <v>128341.434477641</v>
      </c>
      <c r="S5662" s="56" t="n">
        <f aca="false">R5662</f>
        <v>128341.434477641</v>
      </c>
    </row>
    <row r="5663" customFormat="false" ht="15" hidden="false" customHeight="false" outlineLevel="0" collapsed="false">
      <c r="A5663" s="4" t="s">
        <v>540</v>
      </c>
      <c r="B5663" s="36" t="s">
        <v>125</v>
      </c>
      <c r="C5663" s="54" t="n">
        <f aca="false">0*Assumptions!$E$64^(1/4)+C5654*$C$5603</f>
        <v>0</v>
      </c>
      <c r="D5663" s="54" t="n">
        <f aca="false">C5663*Assumptions!$E$64^(1/4)+D5654*$C$5603</f>
        <v>0</v>
      </c>
      <c r="E5663" s="54" t="n">
        <f aca="false">D5663*Assumptions!$E$64^(1/4)+E5654*$C$5603</f>
        <v>3302.46546041739</v>
      </c>
      <c r="F5663" s="54" t="n">
        <f aca="false">E5663*Assumptions!$E$64^(1/4)+F5654*$C$5603</f>
        <v>9080.57910816307</v>
      </c>
      <c r="G5663" s="54" t="n">
        <f aca="false">F5663*Assumptions!$E$64^(1/4)+G5654*$C$5603</f>
        <v>15649.5329429298</v>
      </c>
      <c r="H5663" s="54" t="n">
        <f aca="false">G5663*Assumptions!$E$64^(1/4)+H5654*$C$5603</f>
        <v>23049.4518894392</v>
      </c>
      <c r="I5663" s="54" t="n">
        <f aca="false">H5663*Assumptions!$E$64^(1/4)+I5654*$C$5603</f>
        <v>31943.1540076608</v>
      </c>
      <c r="J5663" s="54" t="n">
        <f aca="false">I5663*Assumptions!$E$64^(1/4)+J5654*$C$5603</f>
        <v>42321.7342728912</v>
      </c>
      <c r="K5663" s="54" t="n">
        <f aca="false">J5663*Assumptions!$E$64^(1/4)+K5654*$C$5603</f>
        <v>56121.5214605441</v>
      </c>
      <c r="L5663" s="54" t="n">
        <f aca="false">K5663*Assumptions!$E$64^(1/4)+L5654*$C$5603</f>
        <v>73279.8820627497</v>
      </c>
      <c r="M5663" s="54" t="n">
        <f aca="false">L5663*Assumptions!$E$64^(1/4)+M5654*$C$5603</f>
        <v>91156.1006408378</v>
      </c>
      <c r="N5663" s="54" t="n">
        <f aca="false">M5663*Assumptions!$E$64^(1/4)+N5654*$C$5603</f>
        <v>109215.814497617</v>
      </c>
      <c r="P5663" s="55" t="n">
        <f aca="false">F5663</f>
        <v>9080.57910816307</v>
      </c>
      <c r="Q5663" s="55" t="n">
        <f aca="false">J5663</f>
        <v>42321.7342728912</v>
      </c>
      <c r="R5663" s="55" t="n">
        <f aca="false">N5663</f>
        <v>109215.814497617</v>
      </c>
      <c r="S5663" s="56" t="n">
        <f aca="false">R5663</f>
        <v>109215.814497617</v>
      </c>
    </row>
    <row r="5664" customFormat="false" ht="15" hidden="false" customHeight="false" outlineLevel="0" collapsed="false">
      <c r="A5664" s="9" t="s">
        <v>541</v>
      </c>
      <c r="B5664" s="36" t="s">
        <v>125</v>
      </c>
      <c r="C5664" s="55" t="n">
        <f aca="false">C5661+C5662+C5663</f>
        <v>0</v>
      </c>
      <c r="D5664" s="55" t="n">
        <f aca="false">D5661+D5662+D5663</f>
        <v>7816.53657644663</v>
      </c>
      <c r="E5664" s="55" t="n">
        <f aca="false">E5661+E5662+E5663</f>
        <v>24563.8159168898</v>
      </c>
      <c r="F5664" s="55" t="n">
        <f aca="false">F5661+F5662+F5663</f>
        <v>45252.9314917586</v>
      </c>
      <c r="G5664" s="55" t="n">
        <f aca="false">G5661+G5662+G5663</f>
        <v>68236.9417756771</v>
      </c>
      <c r="H5664" s="55" t="n">
        <f aca="false">H5661+H5662+H5663</f>
        <v>96629.739042336</v>
      </c>
      <c r="I5664" s="55" t="n">
        <f aca="false">I5661+I5662+I5663</f>
        <v>130829.932102895</v>
      </c>
      <c r="J5664" s="55" t="n">
        <f aca="false">J5661+J5662+J5663</f>
        <v>177727.159257137</v>
      </c>
      <c r="K5664" s="55" t="n">
        <f aca="false">K5661+K5662+K5663</f>
        <v>238333.986062601</v>
      </c>
      <c r="L5664" s="55" t="n">
        <f aca="false">L5661+L5662+L5663</f>
        <v>302893.454641093</v>
      </c>
      <c r="M5664" s="55" t="n">
        <f aca="false">M5661+M5662+M5663</f>
        <v>367072.046283901</v>
      </c>
      <c r="N5664" s="55" t="n">
        <f aca="false">N5661+N5662+N5663</f>
        <v>430426.977073836</v>
      </c>
      <c r="P5664" s="55" t="n">
        <f aca="false">F5664</f>
        <v>45252.9314917586</v>
      </c>
      <c r="Q5664" s="55" t="n">
        <f aca="false">J5664</f>
        <v>177727.159257137</v>
      </c>
      <c r="R5664" s="55" t="n">
        <f aca="false">N5664</f>
        <v>430426.977073836</v>
      </c>
      <c r="S5664" s="56" t="n">
        <f aca="false">R5664</f>
        <v>430426.977073836</v>
      </c>
    </row>
    <row r="5665" customFormat="false" ht="15" hidden="false" customHeight="false" outlineLevel="0" collapsed="false">
      <c r="A5665" s="4" t="s">
        <v>542</v>
      </c>
      <c r="B5665" s="36" t="s">
        <v>125</v>
      </c>
      <c r="C5665" s="54" t="n">
        <f aca="false">C5652*$C$5601+C5653*$C$5602+C5654*$C$5603</f>
        <v>0</v>
      </c>
      <c r="D5665" s="54" t="n">
        <f aca="false">D5652*$C$5601+D5653*$C$5602+D5654*$C$5603</f>
        <v>7816.53657644663</v>
      </c>
      <c r="E5665" s="54" t="n">
        <f aca="false">E5652*$C$5601+E5653*$C$5602+E5654*$C$5603</f>
        <v>16700.6210608402</v>
      </c>
      <c r="F5665" s="54" t="n">
        <f aca="false">F5652*$C$5601+F5653*$C$5602+F5654*$C$5603</f>
        <v>20444.3673760633</v>
      </c>
      <c r="G5665" s="54" t="n">
        <f aca="false">G5652*$C$5601+G5653*$C$5602+G5654*$C$5603</f>
        <v>22443.6888207671</v>
      </c>
      <c r="H5665" s="54" t="n">
        <f aca="false">H5652*$C$5601+H5653*$C$5602+H5654*$C$5603</f>
        <v>27519.0193994158</v>
      </c>
      <c r="I5665" s="54" t="n">
        <f aca="false">I5652*$C$5601+I5653*$C$5602+I5654*$C$5603</f>
        <v>32936.6720185718</v>
      </c>
      <c r="J5665" s="54" t="n">
        <f aca="false">J5652*$C$5601+J5653*$C$5602+J5654*$C$5603</f>
        <v>45165.3178885599</v>
      </c>
      <c r="K5665" s="54" t="n">
        <f aca="false">K5652*$C$5601+K5653*$C$5602+K5654*$C$5603</f>
        <v>58294.4077888766</v>
      </c>
      <c r="L5665" s="54" t="n">
        <f aca="false">L5652*$C$5601+L5653*$C$5602+L5654*$C$5603</f>
        <v>61489.1382659635</v>
      </c>
      <c r="M5665" s="54" t="n">
        <f aca="false">M5652*$C$5601+M5653*$C$5602+M5654*$C$5603</f>
        <v>60225.1899937898</v>
      </c>
      <c r="N5665" s="54" t="n">
        <f aca="false">N5652*$C$5601+N5653*$C$5602+N5654*$C$5603</f>
        <v>58496.5418544036</v>
      </c>
      <c r="P5665" s="55" t="n">
        <f aca="false">SUM(C5665:F5665)</f>
        <v>44961.5250133501</v>
      </c>
      <c r="Q5665" s="55" t="n">
        <f aca="false">SUM(G5665:J5665)</f>
        <v>128064.698127315</v>
      </c>
      <c r="R5665" s="55" t="n">
        <f aca="false">SUM(K5665:N5665)</f>
        <v>238505.277903033</v>
      </c>
      <c r="S5665" s="56" t="n">
        <f aca="false">SUM(P5665:R5665)</f>
        <v>411531.501043698</v>
      </c>
    </row>
    <row r="5666" customFormat="false" ht="15" hidden="false" customHeight="false" outlineLevel="0" collapsed="false">
      <c r="A5666" s="9" t="s">
        <v>543</v>
      </c>
      <c r="B5666" s="36" t="s">
        <v>125</v>
      </c>
      <c r="C5666" s="55" t="n">
        <f aca="false">(0+C5664)/8</f>
        <v>0</v>
      </c>
      <c r="D5666" s="55" t="n">
        <f aca="false">(C5664+D5664)/8</f>
        <v>977.067072055828</v>
      </c>
      <c r="E5666" s="55" t="n">
        <f aca="false">(D5664+E5664)/8</f>
        <v>4047.54406166705</v>
      </c>
      <c r="F5666" s="55" t="n">
        <f aca="false">(E5664+F5664)/8</f>
        <v>8727.09342608105</v>
      </c>
      <c r="G5666" s="55" t="n">
        <f aca="false">(F5664+G5664)/8</f>
        <v>14186.2341584295</v>
      </c>
      <c r="H5666" s="55" t="n">
        <f aca="false">(G5664+H5664)/8</f>
        <v>20608.3351022516</v>
      </c>
      <c r="I5666" s="55" t="n">
        <f aca="false">(H5664+I5664)/8</f>
        <v>28432.4588931539</v>
      </c>
      <c r="J5666" s="55" t="n">
        <f aca="false">(I5664+J5664)/8</f>
        <v>38569.6364200041</v>
      </c>
      <c r="K5666" s="55" t="n">
        <f aca="false">(J5664+K5664)/8</f>
        <v>52007.6431649673</v>
      </c>
      <c r="L5666" s="55" t="n">
        <f aca="false">(K5664+L5664)/8</f>
        <v>67653.4300879617</v>
      </c>
      <c r="M5666" s="55" t="n">
        <f aca="false">(L5664+M5664)/8</f>
        <v>83745.6876156242</v>
      </c>
      <c r="N5666" s="55" t="n">
        <f aca="false">(M5664+N5664)/8</f>
        <v>99687.3779197171</v>
      </c>
      <c r="P5666" s="55" t="n">
        <f aca="false">SUM(C5666:F5666)</f>
        <v>13751.7045598039</v>
      </c>
      <c r="Q5666" s="55" t="n">
        <f aca="false">SUM(G5666:J5666)</f>
        <v>101796.664573839</v>
      </c>
      <c r="R5666" s="55" t="n">
        <f aca="false">SUM(K5666:N5666)</f>
        <v>303094.13878827</v>
      </c>
      <c r="S5666" s="56" t="n">
        <f aca="false">SUM(P5666:R5666)</f>
        <v>418642.507921913</v>
      </c>
    </row>
    <row r="5667" customFormat="false" ht="15" hidden="false" customHeight="false" outlineLevel="0" collapsed="false">
      <c r="A5667" s="4" t="s">
        <v>544</v>
      </c>
      <c r="B5667" s="36" t="s">
        <v>125</v>
      </c>
      <c r="C5667" s="54" t="n">
        <f aca="false">C5666*Assumptions!$E$76</f>
        <v>0</v>
      </c>
      <c r="D5667" s="54" t="n">
        <f aca="false">D5666*Assumptions!$E$76</f>
        <v>635.093596836288</v>
      </c>
      <c r="E5667" s="54" t="n">
        <f aca="false">E5666*Assumptions!$E$76</f>
        <v>2630.90364008358</v>
      </c>
      <c r="F5667" s="54" t="n">
        <f aca="false">F5666*Assumptions!$E$76</f>
        <v>5672.61072695269</v>
      </c>
      <c r="G5667" s="54" t="n">
        <f aca="false">G5666*Assumptions!$E$76</f>
        <v>9221.05220297916</v>
      </c>
      <c r="H5667" s="54" t="n">
        <f aca="false">H5666*Assumptions!$E$76</f>
        <v>13395.4178164636</v>
      </c>
      <c r="I5667" s="54" t="n">
        <f aca="false">I5666*Assumptions!$E$76</f>
        <v>18481.09828055</v>
      </c>
      <c r="J5667" s="54" t="n">
        <f aca="false">J5666*Assumptions!$E$76</f>
        <v>25070.2636730027</v>
      </c>
      <c r="K5667" s="54" t="n">
        <f aca="false">K5666*Assumptions!$E$76</f>
        <v>33804.9680572288</v>
      </c>
      <c r="L5667" s="54" t="n">
        <f aca="false">L5666*Assumptions!$E$76</f>
        <v>43974.7295571751</v>
      </c>
      <c r="M5667" s="54" t="n">
        <f aca="false">M5666*Assumptions!$E$76</f>
        <v>54434.6969501558</v>
      </c>
      <c r="N5667" s="54" t="n">
        <f aca="false">N5666*Assumptions!$E$76</f>
        <v>64796.7956478161</v>
      </c>
      <c r="P5667" s="55" t="n">
        <f aca="false">SUM(C5667:F5667)</f>
        <v>8938.60796387256</v>
      </c>
      <c r="Q5667" s="55" t="n">
        <f aca="false">SUM(G5667:J5667)</f>
        <v>66167.8319729954</v>
      </c>
      <c r="R5667" s="55" t="n">
        <f aca="false">SUM(K5667:N5667)</f>
        <v>197011.190212376</v>
      </c>
      <c r="S5667" s="56" t="n">
        <f aca="false">SUM(P5667:R5667)</f>
        <v>272117.630149244</v>
      </c>
    </row>
    <row r="5668" customFormat="false" ht="15" hidden="false" customHeight="false" outlineLevel="0" collapsed="false">
      <c r="A5668" s="35" t="s">
        <v>547</v>
      </c>
      <c r="B5668" s="35" t="s">
        <v>444</v>
      </c>
      <c r="C5668" s="6" t="s">
        <v>354</v>
      </c>
      <c r="D5668" s="6" t="s">
        <v>355</v>
      </c>
      <c r="E5668" s="6" t="s">
        <v>356</v>
      </c>
      <c r="F5668" s="6" t="s">
        <v>357</v>
      </c>
      <c r="G5668" s="6" t="s">
        <v>358</v>
      </c>
      <c r="H5668" s="6" t="s">
        <v>359</v>
      </c>
      <c r="I5668" s="6" t="s">
        <v>360</v>
      </c>
      <c r="J5668" s="6" t="s">
        <v>361</v>
      </c>
      <c r="K5668" s="6" t="s">
        <v>362</v>
      </c>
      <c r="L5668" s="6" t="s">
        <v>363</v>
      </c>
      <c r="M5668" s="6" t="s">
        <v>364</v>
      </c>
      <c r="N5668" s="6" t="s">
        <v>365</v>
      </c>
      <c r="P5668" s="6" t="s">
        <v>445</v>
      </c>
      <c r="Q5668" s="6" t="s">
        <v>446</v>
      </c>
      <c r="R5668" s="6" t="s">
        <v>447</v>
      </c>
      <c r="S5668" s="6" t="s">
        <v>448</v>
      </c>
    </row>
    <row r="5669" customFormat="false" ht="15" hidden="false" customHeight="false" outlineLevel="0" collapsed="false">
      <c r="A5669" s="4" t="s">
        <v>548</v>
      </c>
      <c r="B5669" s="36" t="s">
        <v>321</v>
      </c>
      <c r="C5669" s="48" t="n">
        <f aca="false">Assumptions!$D$97*C5611</f>
        <v>1</v>
      </c>
      <c r="D5669" s="48" t="n">
        <f aca="false">Assumptions!$D$97*D5611</f>
        <v>1</v>
      </c>
      <c r="E5669" s="48" t="n">
        <f aca="false">Assumptions!$D$97*E5611</f>
        <v>1</v>
      </c>
      <c r="F5669" s="48" t="n">
        <f aca="false">Assumptions!$D$97*F5611</f>
        <v>1</v>
      </c>
      <c r="G5669" s="48" t="n">
        <f aca="false">Assumptions!$D$97*G5611</f>
        <v>1</v>
      </c>
      <c r="H5669" s="48" t="n">
        <f aca="false">Assumptions!$D$97*H5611</f>
        <v>1</v>
      </c>
      <c r="I5669" s="48" t="n">
        <f aca="false">Assumptions!$D$97*I5611</f>
        <v>1</v>
      </c>
      <c r="J5669" s="48" t="n">
        <f aca="false">Assumptions!$D$97*J5611</f>
        <v>1</v>
      </c>
      <c r="K5669" s="48" t="n">
        <f aca="false">Assumptions!$D$97*K5611</f>
        <v>1</v>
      </c>
      <c r="L5669" s="48" t="n">
        <f aca="false">Assumptions!$D$97*L5611</f>
        <v>1</v>
      </c>
      <c r="M5669" s="48" t="n">
        <f aca="false">Assumptions!$D$97*M5611</f>
        <v>1</v>
      </c>
      <c r="N5669" s="48" t="n">
        <f aca="false">Assumptions!$D$97*N5611</f>
        <v>1</v>
      </c>
      <c r="P5669" s="49" t="n">
        <f aca="false">AVERAGE(C5669:F5669)</f>
        <v>1</v>
      </c>
      <c r="Q5669" s="49" t="n">
        <f aca="false">AVERAGE(G5669:J5669)</f>
        <v>1</v>
      </c>
      <c r="R5669" s="49" t="n">
        <f aca="false">AVERAGE(K5669:N5669)</f>
        <v>1</v>
      </c>
      <c r="S5669" s="50"/>
    </row>
    <row r="5670" customFormat="false" ht="15" hidden="false" customHeight="false" outlineLevel="0" collapsed="false">
      <c r="A5670" s="4" t="s">
        <v>549</v>
      </c>
      <c r="B5670" s="36" t="s">
        <v>321</v>
      </c>
      <c r="C5670" s="48" t="n">
        <f aca="false">C5624*C5611</f>
        <v>0</v>
      </c>
      <c r="D5670" s="48" t="n">
        <f aca="false">D5624*D5611</f>
        <v>0</v>
      </c>
      <c r="E5670" s="48" t="n">
        <f aca="false">E5624*E5611</f>
        <v>0</v>
      </c>
      <c r="F5670" s="48" t="n">
        <f aca="false">F5624*F5611</f>
        <v>0</v>
      </c>
      <c r="G5670" s="48" t="n">
        <f aca="false">G5624*G5611</f>
        <v>0</v>
      </c>
      <c r="H5670" s="48" t="n">
        <f aca="false">H5624*H5611</f>
        <v>0</v>
      </c>
      <c r="I5670" s="48" t="n">
        <f aca="false">I5624*I5611</f>
        <v>0</v>
      </c>
      <c r="J5670" s="48" t="n">
        <f aca="false">J5624*J5611</f>
        <v>0</v>
      </c>
      <c r="K5670" s="48" t="n">
        <f aca="false">K5624*K5611</f>
        <v>0</v>
      </c>
      <c r="L5670" s="48" t="n">
        <f aca="false">L5624*L5611</f>
        <v>0</v>
      </c>
      <c r="M5670" s="48" t="n">
        <f aca="false">M5624*M5611</f>
        <v>0</v>
      </c>
      <c r="N5670" s="48" t="n">
        <f aca="false">N5624*N5611</f>
        <v>0</v>
      </c>
      <c r="P5670" s="49" t="n">
        <f aca="false">AVERAGE(C5670:F5670)</f>
        <v>0</v>
      </c>
      <c r="Q5670" s="49" t="n">
        <f aca="false">AVERAGE(G5670:J5670)</f>
        <v>0</v>
      </c>
      <c r="R5670" s="49" t="n">
        <f aca="false">AVERAGE(K5670:N5670)</f>
        <v>0</v>
      </c>
      <c r="S5670" s="50"/>
    </row>
    <row r="5671" customFormat="false" ht="15" hidden="false" customHeight="false" outlineLevel="0" collapsed="false">
      <c r="A5671" s="4" t="s">
        <v>550</v>
      </c>
      <c r="B5671" s="36" t="s">
        <v>321</v>
      </c>
      <c r="C5671" s="48" t="n">
        <f aca="false">IF(C5610&lt;=4,Assumptions!$D$98,Assumptions!$D$99)*C5611</f>
        <v>0</v>
      </c>
      <c r="D5671" s="48" t="n">
        <f aca="false">IF(D5610&lt;=4,Assumptions!$D$98,Assumptions!$D$99)*D5611</f>
        <v>0</v>
      </c>
      <c r="E5671" s="48" t="n">
        <f aca="false">IF(E5610&lt;=4,Assumptions!$D$98,Assumptions!$D$99)*E5611</f>
        <v>0</v>
      </c>
      <c r="F5671" s="48" t="n">
        <f aca="false">IF(F5610&lt;=4,Assumptions!$D$98,Assumptions!$D$99)*F5611</f>
        <v>0</v>
      </c>
      <c r="G5671" s="48" t="n">
        <f aca="false">IF(G5610&lt;=4,Assumptions!$D$98,Assumptions!$D$99)*G5611</f>
        <v>0.5</v>
      </c>
      <c r="H5671" s="48" t="n">
        <f aca="false">IF(H5610&lt;=4,Assumptions!$D$98,Assumptions!$D$99)*H5611</f>
        <v>0.5</v>
      </c>
      <c r="I5671" s="48" t="n">
        <f aca="false">IF(I5610&lt;=4,Assumptions!$D$98,Assumptions!$D$99)*I5611</f>
        <v>0.5</v>
      </c>
      <c r="J5671" s="48" t="n">
        <f aca="false">IF(J5610&lt;=4,Assumptions!$D$98,Assumptions!$D$99)*J5611</f>
        <v>0.5</v>
      </c>
      <c r="K5671" s="48" t="n">
        <f aca="false">IF(K5610&lt;=4,Assumptions!$D$98,Assumptions!$D$99)*K5611</f>
        <v>0.5</v>
      </c>
      <c r="L5671" s="48" t="n">
        <f aca="false">IF(L5610&lt;=4,Assumptions!$D$98,Assumptions!$D$99)*L5611</f>
        <v>0.5</v>
      </c>
      <c r="M5671" s="48" t="n">
        <f aca="false">IF(M5610&lt;=4,Assumptions!$D$98,Assumptions!$D$99)*M5611</f>
        <v>0.5</v>
      </c>
      <c r="N5671" s="48" t="n">
        <f aca="false">IF(N5610&lt;=4,Assumptions!$D$98,Assumptions!$D$99)*N5611</f>
        <v>0.5</v>
      </c>
      <c r="P5671" s="49" t="n">
        <f aca="false">AVERAGE(C5671:F5671)</f>
        <v>0</v>
      </c>
      <c r="Q5671" s="49" t="n">
        <f aca="false">AVERAGE(G5671:J5671)</f>
        <v>0.5</v>
      </c>
      <c r="R5671" s="49" t="n">
        <f aca="false">AVERAGE(K5671:N5671)</f>
        <v>0.5</v>
      </c>
      <c r="S5671" s="50"/>
    </row>
    <row r="5672" customFormat="false" ht="15" hidden="false" customHeight="false" outlineLevel="0" collapsed="false">
      <c r="A5672" s="4" t="s">
        <v>551</v>
      </c>
      <c r="B5672" s="36" t="s">
        <v>321</v>
      </c>
      <c r="C5672" s="48" t="n">
        <f aca="false">IF(C5610&lt;=4,Assumptions!$D$100,Assumptions!$D$101)*C5611</f>
        <v>1</v>
      </c>
      <c r="D5672" s="48" t="n">
        <f aca="false">IF(D5610&lt;=4,Assumptions!$D$100,Assumptions!$D$101)*D5611</f>
        <v>1</v>
      </c>
      <c r="E5672" s="48" t="n">
        <f aca="false">IF(E5610&lt;=4,Assumptions!$D$100,Assumptions!$D$101)*E5611</f>
        <v>1</v>
      </c>
      <c r="F5672" s="48" t="n">
        <f aca="false">IF(F5610&lt;=4,Assumptions!$D$100,Assumptions!$D$101)*F5611</f>
        <v>1</v>
      </c>
      <c r="G5672" s="48" t="n">
        <f aca="false">IF(G5610&lt;=4,Assumptions!$D$100,Assumptions!$D$101)*G5611</f>
        <v>0.5</v>
      </c>
      <c r="H5672" s="48" t="n">
        <f aca="false">IF(H5610&lt;=4,Assumptions!$D$100,Assumptions!$D$101)*H5611</f>
        <v>0.5</v>
      </c>
      <c r="I5672" s="48" t="n">
        <f aca="false">IF(I5610&lt;=4,Assumptions!$D$100,Assumptions!$D$101)*I5611</f>
        <v>0.5</v>
      </c>
      <c r="J5672" s="48" t="n">
        <f aca="false">IF(J5610&lt;=4,Assumptions!$D$100,Assumptions!$D$101)*J5611</f>
        <v>0.5</v>
      </c>
      <c r="K5672" s="48" t="n">
        <f aca="false">IF(K5610&lt;=4,Assumptions!$D$100,Assumptions!$D$101)*K5611</f>
        <v>0.5</v>
      </c>
      <c r="L5672" s="48" t="n">
        <f aca="false">IF(L5610&lt;=4,Assumptions!$D$100,Assumptions!$D$101)*L5611</f>
        <v>0.5</v>
      </c>
      <c r="M5672" s="48" t="n">
        <f aca="false">IF(M5610&lt;=4,Assumptions!$D$100,Assumptions!$D$101)*M5611</f>
        <v>0.5</v>
      </c>
      <c r="N5672" s="48" t="n">
        <f aca="false">IF(N5610&lt;=4,Assumptions!$D$100,Assumptions!$D$101)*N5611</f>
        <v>0.5</v>
      </c>
      <c r="P5672" s="49" t="n">
        <f aca="false">AVERAGE(C5672:F5672)</f>
        <v>1</v>
      </c>
      <c r="Q5672" s="49" t="n">
        <f aca="false">AVERAGE(G5672:J5672)</f>
        <v>0.5</v>
      </c>
      <c r="R5672" s="49" t="n">
        <f aca="false">AVERAGE(K5672:N5672)</f>
        <v>0.5</v>
      </c>
      <c r="S5672" s="50"/>
    </row>
    <row r="5673" customFormat="false" ht="15" hidden="false" customHeight="false" outlineLevel="0" collapsed="false">
      <c r="A5673" s="4" t="s">
        <v>552</v>
      </c>
      <c r="B5673" s="36" t="s">
        <v>321</v>
      </c>
      <c r="C5673" s="48" t="n">
        <f aca="false">Assumptions!$D$102*C5611</f>
        <v>0.25</v>
      </c>
      <c r="D5673" s="48" t="n">
        <f aca="false">Assumptions!$D$102*D5611</f>
        <v>0.25</v>
      </c>
      <c r="E5673" s="48" t="n">
        <f aca="false">Assumptions!$D$102*E5611</f>
        <v>0.25</v>
      </c>
      <c r="F5673" s="48" t="n">
        <f aca="false">Assumptions!$D$102*F5611</f>
        <v>0.25</v>
      </c>
      <c r="G5673" s="48" t="n">
        <f aca="false">Assumptions!$D$102*G5611</f>
        <v>0.25</v>
      </c>
      <c r="H5673" s="48" t="n">
        <f aca="false">Assumptions!$D$102*H5611</f>
        <v>0.25</v>
      </c>
      <c r="I5673" s="48" t="n">
        <f aca="false">Assumptions!$D$102*I5611</f>
        <v>0.25</v>
      </c>
      <c r="J5673" s="48" t="n">
        <f aca="false">Assumptions!$D$102*J5611</f>
        <v>0.25</v>
      </c>
      <c r="K5673" s="48" t="n">
        <f aca="false">Assumptions!$D$102*K5611</f>
        <v>0.25</v>
      </c>
      <c r="L5673" s="48" t="n">
        <f aca="false">Assumptions!$D$102*L5611</f>
        <v>0.25</v>
      </c>
      <c r="M5673" s="48" t="n">
        <f aca="false">Assumptions!$D$102*M5611</f>
        <v>0.25</v>
      </c>
      <c r="N5673" s="48" t="n">
        <f aca="false">Assumptions!$D$102*N5611</f>
        <v>0.25</v>
      </c>
      <c r="P5673" s="49" t="n">
        <f aca="false">AVERAGE(C5673:F5673)</f>
        <v>0.25</v>
      </c>
      <c r="Q5673" s="49" t="n">
        <f aca="false">AVERAGE(G5673:J5673)</f>
        <v>0.25</v>
      </c>
      <c r="R5673" s="49" t="n">
        <f aca="false">AVERAGE(K5673:N5673)</f>
        <v>0.25</v>
      </c>
      <c r="S5673" s="50"/>
    </row>
    <row r="5674" customFormat="false" ht="15" hidden="false" customHeight="false" outlineLevel="0" collapsed="false">
      <c r="A5674" s="4" t="s">
        <v>553</v>
      </c>
      <c r="B5674" s="36" t="s">
        <v>321</v>
      </c>
      <c r="C5674" s="48" t="n">
        <f aca="false">(C5658+C5659)/Assumptions!$E$74+C5657/Assumptions!$E$75</f>
        <v>0</v>
      </c>
      <c r="D5674" s="48" t="n">
        <f aca="false">(D5658+D5659)/Assumptions!$E$74+D5657/Assumptions!$E$75</f>
        <v>0.0143176301374139</v>
      </c>
      <c r="E5674" s="48" t="n">
        <f aca="false">(E5658+E5659)/Assumptions!$E$74+E5657/Assumptions!$E$75</f>
        <v>0.0402499456767798</v>
      </c>
      <c r="F5674" s="48" t="n">
        <f aca="false">(F5658+F5659)/Assumptions!$E$74+F5657/Assumptions!$E$75</f>
        <v>0.069296156601371</v>
      </c>
      <c r="G5674" s="48" t="n">
        <f aca="false">(G5658+G5659)/Assumptions!$E$74+G5657/Assumptions!$E$75</f>
        <v>0.100475077199051</v>
      </c>
      <c r="H5674" s="48" t="n">
        <f aca="false">(H5658+H5659)/Assumptions!$E$74+H5657/Assumptions!$E$75</f>
        <v>0.139084643227244</v>
      </c>
      <c r="I5674" s="48" t="n">
        <f aca="false">(I5658+I5659)/Assumptions!$E$74+I5657/Assumptions!$E$75</f>
        <v>0.184756080005146</v>
      </c>
      <c r="J5674" s="48" t="n">
        <f aca="false">(J5658+J5659)/Assumptions!$E$74+J5657/Assumptions!$E$75</f>
        <v>0.248473880206466</v>
      </c>
      <c r="K5674" s="48" t="n">
        <f aca="false">(K5658+K5659)/Assumptions!$E$74+K5657/Assumptions!$E$75</f>
        <v>0.329218871456529</v>
      </c>
      <c r="L5674" s="48" t="n">
        <f aca="false">(L5658+L5659)/Assumptions!$E$74+L5657/Assumptions!$E$75</f>
        <v>0.409912468045788</v>
      </c>
      <c r="M5674" s="48" t="n">
        <f aca="false">(M5658+M5659)/Assumptions!$E$74+M5657/Assumptions!$E$75</f>
        <v>0.486094517455055</v>
      </c>
      <c r="N5674" s="48" t="n">
        <f aca="false">(N5658+N5659)/Assumptions!$E$74+N5657/Assumptions!$E$75</f>
        <v>0.557753573090085</v>
      </c>
      <c r="P5674" s="49" t="n">
        <f aca="false">AVERAGE(C5674:F5674)</f>
        <v>0.0309659331038912</v>
      </c>
      <c r="Q5674" s="49" t="n">
        <f aca="false">AVERAGE(G5674:J5674)</f>
        <v>0.168197420159477</v>
      </c>
      <c r="R5674" s="49" t="n">
        <f aca="false">AVERAGE(K5674:N5674)</f>
        <v>0.445744857511864</v>
      </c>
      <c r="S5674" s="50"/>
    </row>
    <row r="5675" customFormat="false" ht="15" hidden="false" customHeight="false" outlineLevel="0" collapsed="false">
      <c r="A5675" s="4" t="s">
        <v>554</v>
      </c>
      <c r="B5675" s="36" t="s">
        <v>125</v>
      </c>
      <c r="C5675" s="54" t="n">
        <f aca="false">(C5669+C5671)*Assumptions!$E$70/Assumptions!$E$69/4</f>
        <v>66753.5714285714</v>
      </c>
      <c r="D5675" s="54" t="n">
        <f aca="false">(D5669+D5671)*Assumptions!$E$70/Assumptions!$E$69/4</f>
        <v>66753.5714285714</v>
      </c>
      <c r="E5675" s="54" t="n">
        <f aca="false">(E5669+E5671)*Assumptions!$E$70/Assumptions!$E$69/4</f>
        <v>66753.5714285714</v>
      </c>
      <c r="F5675" s="54" t="n">
        <f aca="false">(F5669+F5671)*Assumptions!$E$70/Assumptions!$E$69/4</f>
        <v>66753.5714285714</v>
      </c>
      <c r="G5675" s="54" t="n">
        <f aca="false">(G5669+G5671)*Assumptions!$E$70/Assumptions!$E$69/4</f>
        <v>100130.357142857</v>
      </c>
      <c r="H5675" s="54" t="n">
        <f aca="false">(H5669+H5671)*Assumptions!$E$70/Assumptions!$E$69/4</f>
        <v>100130.357142857</v>
      </c>
      <c r="I5675" s="54" t="n">
        <f aca="false">(I5669+I5671)*Assumptions!$E$70/Assumptions!$E$69/4</f>
        <v>100130.357142857</v>
      </c>
      <c r="J5675" s="54" t="n">
        <f aca="false">(J5669+J5671)*Assumptions!$E$70/Assumptions!$E$69/4</f>
        <v>100130.357142857</v>
      </c>
      <c r="K5675" s="54" t="n">
        <f aca="false">(K5669+K5671)*Assumptions!$E$70/Assumptions!$E$69/4</f>
        <v>100130.357142857</v>
      </c>
      <c r="L5675" s="54" t="n">
        <f aca="false">(L5669+L5671)*Assumptions!$E$70/Assumptions!$E$69/4</f>
        <v>100130.357142857</v>
      </c>
      <c r="M5675" s="54" t="n">
        <f aca="false">(M5669+M5671)*Assumptions!$E$70/Assumptions!$E$69/4</f>
        <v>100130.357142857</v>
      </c>
      <c r="N5675" s="54" t="n">
        <f aca="false">(N5669+N5671)*Assumptions!$E$70/Assumptions!$E$69/4</f>
        <v>100130.357142857</v>
      </c>
      <c r="P5675" s="55" t="n">
        <f aca="false">SUM(C5675:F5675)</f>
        <v>267014.285714286</v>
      </c>
      <c r="Q5675" s="55" t="n">
        <f aca="false">SUM(G5675:J5675)</f>
        <v>400521.428571429</v>
      </c>
      <c r="R5675" s="55" t="n">
        <f aca="false">SUM(K5675:N5675)</f>
        <v>400521.428571429</v>
      </c>
      <c r="S5675" s="56" t="n">
        <f aca="false">SUM(P5675:R5675)</f>
        <v>1068057.14285714</v>
      </c>
    </row>
    <row r="5676" customFormat="false" ht="15" hidden="false" customHeight="false" outlineLevel="0" collapsed="false">
      <c r="A5676" s="4" t="s">
        <v>555</v>
      </c>
      <c r="B5676" s="36" t="s">
        <v>125</v>
      </c>
      <c r="C5676" s="54" t="n">
        <f aca="false">C5670*$C$5605/4</f>
        <v>0</v>
      </c>
      <c r="D5676" s="54" t="n">
        <f aca="false">D5670*$C$5605/4</f>
        <v>0</v>
      </c>
      <c r="E5676" s="54" t="n">
        <f aca="false">E5670*$C$5605/4</f>
        <v>0</v>
      </c>
      <c r="F5676" s="54" t="n">
        <f aca="false">F5670*$C$5605/4</f>
        <v>0</v>
      </c>
      <c r="G5676" s="54" t="n">
        <f aca="false">G5670*$C$5605/4</f>
        <v>0</v>
      </c>
      <c r="H5676" s="54" t="n">
        <f aca="false">H5670*$C$5605/4</f>
        <v>0</v>
      </c>
      <c r="I5676" s="54" t="n">
        <f aca="false">I5670*$C$5605/4</f>
        <v>0</v>
      </c>
      <c r="J5676" s="54" t="n">
        <f aca="false">J5670*$C$5605/4</f>
        <v>0</v>
      </c>
      <c r="K5676" s="54" t="n">
        <f aca="false">K5670*$C$5605/4</f>
        <v>0</v>
      </c>
      <c r="L5676" s="54" t="n">
        <f aca="false">L5670*$C$5605/4</f>
        <v>0</v>
      </c>
      <c r="M5676" s="54" t="n">
        <f aca="false">M5670*$C$5605/4</f>
        <v>0</v>
      </c>
      <c r="N5676" s="54" t="n">
        <f aca="false">N5670*$C$5605/4</f>
        <v>0</v>
      </c>
      <c r="P5676" s="55" t="n">
        <f aca="false">SUM(C5676:F5676)</f>
        <v>0</v>
      </c>
      <c r="Q5676" s="55" t="n">
        <f aca="false">SUM(G5676:J5676)</f>
        <v>0</v>
      </c>
      <c r="R5676" s="55" t="n">
        <f aca="false">SUM(K5676:N5676)</f>
        <v>0</v>
      </c>
      <c r="S5676" s="56" t="n">
        <f aca="false">SUM(P5676:R5676)</f>
        <v>0</v>
      </c>
    </row>
    <row r="5677" customFormat="false" ht="15" hidden="false" customHeight="false" outlineLevel="0" collapsed="false">
      <c r="A5677" s="4" t="s">
        <v>556</v>
      </c>
      <c r="B5677" s="36" t="s">
        <v>125</v>
      </c>
      <c r="C5677" s="54" t="n">
        <f aca="false">MAX(0,(C5665-C5646*$C$5601)-C5625*$C$5606)*$C$5607*Assumptions!$D$105</f>
        <v>0</v>
      </c>
      <c r="D5677" s="54" t="n">
        <f aca="false">MAX(0,(D5665-D5646*$C$5601)-D5625*$C$5606)*$C$5607*Assumptions!$D$105</f>
        <v>2997.30964714145</v>
      </c>
      <c r="E5677" s="54" t="n">
        <f aca="false">MAX(0,(E5665-E5646*$C$5601)-E5625*$C$5606)*$C$5607*Assumptions!$D$105</f>
        <v>6678.13204565133</v>
      </c>
      <c r="F5677" s="54" t="n">
        <f aca="false">MAX(0,(F5665-F5646*$C$5601)-F5625*$C$5606)*$C$5607*Assumptions!$D$105</f>
        <v>8309.46673651602</v>
      </c>
      <c r="G5677" s="54" t="n">
        <f aca="false">MAX(0,(G5665-G5646*$C$5601)-G5625*$C$5606)*$C$5607*Assumptions!$D$105</f>
        <v>9124.71688931473</v>
      </c>
      <c r="H5677" s="54" t="n">
        <f aca="false">MAX(0,(H5665-H5646*$C$5601)-H5625*$C$5606)*$C$5607*Assumptions!$D$105</f>
        <v>11106.5970596712</v>
      </c>
      <c r="I5677" s="54" t="n">
        <f aca="false">MAX(0,(I5665-I5646*$C$5601)-I5625*$C$5606)*$C$5607*Assumptions!$D$105</f>
        <v>13273.5928791704</v>
      </c>
      <c r="J5677" s="54" t="n">
        <f aca="false">MAX(0,(J5665-J5646*$C$5601)-J5625*$C$5606)*$C$5607*Assumptions!$D$105</f>
        <v>17974.6132091893</v>
      </c>
      <c r="K5677" s="54" t="n">
        <f aca="false">MAX(0,(K5665-K5646*$C$5601)-K5625*$C$5606)*$C$5607*Assumptions!$D$105</f>
        <v>23190.8722037759</v>
      </c>
      <c r="L5677" s="54" t="n">
        <f aca="false">MAX(0,(L5665-L5646*$C$5601)-L5625*$C$5606)*$C$5607*Assumptions!$D$105</f>
        <v>24652.6901800722</v>
      </c>
      <c r="M5677" s="54" t="n">
        <f aca="false">MAX(0,(M5665-M5646*$C$5601)-M5625*$C$5606)*$C$5607*Assumptions!$D$105</f>
        <v>24182.4271273276</v>
      </c>
      <c r="N5677" s="54" t="n">
        <f aca="false">MAX(0,(N5665-N5646*$C$5601)-N5625*$C$5606)*$C$5607*Assumptions!$D$105</f>
        <v>23487.1132707412</v>
      </c>
      <c r="P5677" s="55" t="n">
        <f aca="false">SUM(C5677:F5677)</f>
        <v>17984.9084293088</v>
      </c>
      <c r="Q5677" s="55" t="n">
        <f aca="false">SUM(G5677:J5677)</f>
        <v>51479.5200373457</v>
      </c>
      <c r="R5677" s="55" t="n">
        <f aca="false">SUM(K5677:N5677)</f>
        <v>95513.1027819169</v>
      </c>
      <c r="S5677" s="56" t="n">
        <f aca="false">SUM(P5677:R5677)</f>
        <v>164977.531248571</v>
      </c>
    </row>
    <row r="5678" customFormat="false" ht="15" hidden="false" customHeight="false" outlineLevel="0" collapsed="false">
      <c r="A5678" s="4" t="s">
        <v>557</v>
      </c>
      <c r="B5678" s="36" t="s">
        <v>125</v>
      </c>
      <c r="C5678" s="54" t="n">
        <f aca="false">C5673*Assumptions!$E$71/Assumptions!$E$69/4</f>
        <v>18475.8928571429</v>
      </c>
      <c r="D5678" s="54" t="n">
        <f aca="false">D5673*Assumptions!$E$71/Assumptions!$E$69/4</f>
        <v>18475.8928571429</v>
      </c>
      <c r="E5678" s="54" t="n">
        <f aca="false">E5673*Assumptions!$E$71/Assumptions!$E$69/4</f>
        <v>18475.8928571429</v>
      </c>
      <c r="F5678" s="54" t="n">
        <f aca="false">F5673*Assumptions!$E$71/Assumptions!$E$69/4</f>
        <v>18475.8928571429</v>
      </c>
      <c r="G5678" s="54" t="n">
        <f aca="false">G5673*Assumptions!$E$71/Assumptions!$E$69/4</f>
        <v>18475.8928571429</v>
      </c>
      <c r="H5678" s="54" t="n">
        <f aca="false">H5673*Assumptions!$E$71/Assumptions!$E$69/4</f>
        <v>18475.8928571429</v>
      </c>
      <c r="I5678" s="54" t="n">
        <f aca="false">I5673*Assumptions!$E$71/Assumptions!$E$69/4</f>
        <v>18475.8928571429</v>
      </c>
      <c r="J5678" s="54" t="n">
        <f aca="false">J5673*Assumptions!$E$71/Assumptions!$E$69/4</f>
        <v>18475.8928571429</v>
      </c>
      <c r="K5678" s="54" t="n">
        <f aca="false">K5673*Assumptions!$E$71/Assumptions!$E$69/4</f>
        <v>18475.8928571429</v>
      </c>
      <c r="L5678" s="54" t="n">
        <f aca="false">L5673*Assumptions!$E$71/Assumptions!$E$69/4</f>
        <v>18475.8928571429</v>
      </c>
      <c r="M5678" s="54" t="n">
        <f aca="false">M5673*Assumptions!$E$71/Assumptions!$E$69/4</f>
        <v>18475.8928571429</v>
      </c>
      <c r="N5678" s="54" t="n">
        <f aca="false">N5673*Assumptions!$E$71/Assumptions!$E$69/4</f>
        <v>18475.8928571429</v>
      </c>
      <c r="P5678" s="55" t="n">
        <f aca="false">SUM(C5678:F5678)</f>
        <v>73903.5714285714</v>
      </c>
      <c r="Q5678" s="55" t="n">
        <f aca="false">SUM(G5678:J5678)</f>
        <v>73903.5714285714</v>
      </c>
      <c r="R5678" s="55" t="n">
        <f aca="false">SUM(K5678:N5678)</f>
        <v>73903.5714285714</v>
      </c>
      <c r="S5678" s="56" t="n">
        <f aca="false">SUM(P5678:R5678)</f>
        <v>221710.714285714</v>
      </c>
    </row>
    <row r="5679" customFormat="false" ht="15" hidden="false" customHeight="false" outlineLevel="0" collapsed="false">
      <c r="A5679" s="4" t="s">
        <v>558</v>
      </c>
      <c r="B5679" s="36" t="s">
        <v>125</v>
      </c>
      <c r="C5679" s="54" t="n">
        <f aca="false">(Assumptions!$D$103+Assumptions!$E$77*((C5610=Assumptions!$E$13)+(C5610=Assumptions!$E$14)+(C5610=Assumptions!$E$15)))*C5611</f>
        <v>65000</v>
      </c>
      <c r="D5679" s="54" t="n">
        <f aca="false">(Assumptions!$D$103+Assumptions!$E$77*((D5610=Assumptions!$E$13)+(D5610=Assumptions!$E$14)+(D5610=Assumptions!$E$15)))*D5611</f>
        <v>25000</v>
      </c>
      <c r="E5679" s="54" t="n">
        <f aca="false">(Assumptions!$D$103+Assumptions!$E$77*((E5610=Assumptions!$E$13)+(E5610=Assumptions!$E$14)+(E5610=Assumptions!$E$15)))*E5611</f>
        <v>25000</v>
      </c>
      <c r="F5679" s="54" t="n">
        <f aca="false">(Assumptions!$D$103+Assumptions!$E$77*((F5610=Assumptions!$E$13)+(F5610=Assumptions!$E$14)+(F5610=Assumptions!$E$15)))*F5611</f>
        <v>25000</v>
      </c>
      <c r="G5679" s="54" t="n">
        <f aca="false">(Assumptions!$D$103+Assumptions!$E$77*((G5610=Assumptions!$E$13)+(G5610=Assumptions!$E$14)+(G5610=Assumptions!$E$15)))*G5611</f>
        <v>65000</v>
      </c>
      <c r="H5679" s="54" t="n">
        <f aca="false">(Assumptions!$D$103+Assumptions!$E$77*((H5610=Assumptions!$E$13)+(H5610=Assumptions!$E$14)+(H5610=Assumptions!$E$15)))*H5611</f>
        <v>25000</v>
      </c>
      <c r="I5679" s="54" t="n">
        <f aca="false">(Assumptions!$D$103+Assumptions!$E$77*((I5610=Assumptions!$E$13)+(I5610=Assumptions!$E$14)+(I5610=Assumptions!$E$15)))*I5611</f>
        <v>65000</v>
      </c>
      <c r="J5679" s="54" t="n">
        <f aca="false">(Assumptions!$D$103+Assumptions!$E$77*((J5610=Assumptions!$E$13)+(J5610=Assumptions!$E$14)+(J5610=Assumptions!$E$15)))*J5611</f>
        <v>25000</v>
      </c>
      <c r="K5679" s="54" t="n">
        <f aca="false">(Assumptions!$D$103+Assumptions!$E$77*((K5610=Assumptions!$E$13)+(K5610=Assumptions!$E$14)+(K5610=Assumptions!$E$15)))*K5611</f>
        <v>25000</v>
      </c>
      <c r="L5679" s="54" t="n">
        <f aca="false">(Assumptions!$D$103+Assumptions!$E$77*((L5610=Assumptions!$E$13)+(L5610=Assumptions!$E$14)+(L5610=Assumptions!$E$15)))*L5611</f>
        <v>25000</v>
      </c>
      <c r="M5679" s="54" t="n">
        <f aca="false">(Assumptions!$D$103+Assumptions!$E$77*((M5610=Assumptions!$E$13)+(M5610=Assumptions!$E$14)+(M5610=Assumptions!$E$15)))*M5611</f>
        <v>25000</v>
      </c>
      <c r="N5679" s="54" t="n">
        <f aca="false">(Assumptions!$D$103+Assumptions!$E$77*((N5610=Assumptions!$E$13)+(N5610=Assumptions!$E$14)+(N5610=Assumptions!$E$15)))*N5611</f>
        <v>25000</v>
      </c>
      <c r="P5679" s="55" t="n">
        <f aca="false">SUM(C5679:F5679)</f>
        <v>140000</v>
      </c>
      <c r="Q5679" s="55" t="n">
        <f aca="false">SUM(G5679:J5679)</f>
        <v>180000</v>
      </c>
      <c r="R5679" s="55" t="n">
        <f aca="false">SUM(K5679:N5679)</f>
        <v>100000</v>
      </c>
      <c r="S5679" s="56" t="n">
        <f aca="false">SUM(P5679:R5679)</f>
        <v>420000</v>
      </c>
    </row>
    <row r="5680" customFormat="false" ht="15" hidden="false" customHeight="false" outlineLevel="0" collapsed="false">
      <c r="A5680" s="4" t="s">
        <v>559</v>
      </c>
      <c r="B5680" s="36" t="s">
        <v>125</v>
      </c>
      <c r="C5680" s="54" t="n">
        <f aca="false">C5665*C5645*Assumptions!$E$79</f>
        <v>0</v>
      </c>
      <c r="D5680" s="54" t="n">
        <f aca="false">D5665*D5645*Assumptions!$E$79</f>
        <v>717.982774058725</v>
      </c>
      <c r="E5680" s="54" t="n">
        <f aca="false">E5665*E5645*Assumptions!$E$79</f>
        <v>1342.43383142086</v>
      </c>
      <c r="F5680" s="54" t="n">
        <f aca="false">F5665*F5645*Assumptions!$E$79</f>
        <v>1985.79793081367</v>
      </c>
      <c r="G5680" s="54" t="n">
        <f aca="false">G5665*G5645*Assumptions!$E$79</f>
        <v>2487.12142022828</v>
      </c>
      <c r="H5680" s="54" t="n">
        <f aca="false">H5665*H5645*Assumptions!$E$79</f>
        <v>2874.23809196739</v>
      </c>
      <c r="I5680" s="54" t="n">
        <f aca="false">I5665*I5645*Assumptions!$E$79</f>
        <v>3342.57694959781</v>
      </c>
      <c r="J5680" s="54" t="n">
        <f aca="false">J5665*J5645*Assumptions!$E$79</f>
        <v>3623.5441145515</v>
      </c>
      <c r="K5680" s="54" t="n">
        <f aca="false">K5665*K5645*Assumptions!$E$79</f>
        <v>4107.8817989958</v>
      </c>
      <c r="L5680" s="54" t="n">
        <f aca="false">L5665*L5645*Assumptions!$E$79</f>
        <v>4780.48499544779</v>
      </c>
      <c r="M5680" s="54" t="n">
        <f aca="false">M5665*M5645*Assumptions!$E$79</f>
        <v>4825.08621767913</v>
      </c>
      <c r="N5680" s="54" t="n">
        <f aca="false">N5665*N5645*Assumptions!$E$79</f>
        <v>4823.55759219764</v>
      </c>
      <c r="P5680" s="55" t="n">
        <f aca="false">SUM(C5680:F5680)</f>
        <v>4046.21453629325</v>
      </c>
      <c r="Q5680" s="55" t="n">
        <f aca="false">SUM(G5680:J5680)</f>
        <v>12327.480576345</v>
      </c>
      <c r="R5680" s="55" t="n">
        <f aca="false">SUM(K5680:N5680)</f>
        <v>18537.0106043204</v>
      </c>
      <c r="S5680" s="56" t="n">
        <f aca="false">SUM(P5680:R5680)</f>
        <v>34910.7057169586</v>
      </c>
    </row>
    <row r="5681" customFormat="false" ht="15" hidden="false" customHeight="false" outlineLevel="0" collapsed="false">
      <c r="A5681" s="4" t="s">
        <v>560</v>
      </c>
      <c r="B5681" s="36" t="s">
        <v>125</v>
      </c>
      <c r="C5681" s="54" t="n">
        <f aca="false">C5630*Assumptions!$E$80</f>
        <v>4000</v>
      </c>
      <c r="D5681" s="54" t="n">
        <f aca="false">D5630*Assumptions!$E$80</f>
        <v>6000</v>
      </c>
      <c r="E5681" s="54" t="n">
        <f aca="false">E5630*Assumptions!$E$80</f>
        <v>8000</v>
      </c>
      <c r="F5681" s="54" t="n">
        <f aca="false">F5630*Assumptions!$E$80</f>
        <v>10000</v>
      </c>
      <c r="G5681" s="54" t="n">
        <f aca="false">G5630*Assumptions!$E$80</f>
        <v>12000</v>
      </c>
      <c r="H5681" s="54" t="n">
        <f aca="false">H5630*Assumptions!$E$80</f>
        <v>14000</v>
      </c>
      <c r="I5681" s="54" t="n">
        <f aca="false">I5630*Assumptions!$E$80</f>
        <v>16000</v>
      </c>
      <c r="J5681" s="54" t="n">
        <f aca="false">J5630*Assumptions!$E$80</f>
        <v>18000</v>
      </c>
      <c r="K5681" s="54" t="n">
        <f aca="false">K5630*Assumptions!$E$80</f>
        <v>20000</v>
      </c>
      <c r="L5681" s="54" t="n">
        <f aca="false">L5630*Assumptions!$E$80</f>
        <v>20000</v>
      </c>
      <c r="M5681" s="54" t="n">
        <f aca="false">M5630*Assumptions!$E$80</f>
        <v>20000</v>
      </c>
      <c r="N5681" s="54" t="n">
        <f aca="false">N5630*Assumptions!$E$80</f>
        <v>20000</v>
      </c>
      <c r="P5681" s="55" t="n">
        <f aca="false">SUM(C5681:F5681)</f>
        <v>28000</v>
      </c>
      <c r="Q5681" s="55" t="n">
        <f aca="false">SUM(G5681:J5681)</f>
        <v>60000</v>
      </c>
      <c r="R5681" s="55" t="n">
        <f aca="false">SUM(K5681:N5681)</f>
        <v>80000</v>
      </c>
      <c r="S5681" s="56" t="n">
        <f aca="false">SUM(P5681:R5681)</f>
        <v>168000</v>
      </c>
    </row>
    <row r="5682" customFormat="false" ht="15" hidden="false" customHeight="false" outlineLevel="0" collapsed="false">
      <c r="A5682" s="4" t="s">
        <v>561</v>
      </c>
      <c r="B5682" s="36" t="s">
        <v>125</v>
      </c>
      <c r="C5682" s="54" t="n">
        <f aca="false">(C5653*$C$5602+C5654*$C$5603)*Assumptions!$E$81</f>
        <v>0</v>
      </c>
      <c r="D5682" s="54" t="n">
        <f aca="false">(D5653*$C$5602+D5654*$C$5603)*Assumptions!$E$81</f>
        <v>476.953476273423</v>
      </c>
      <c r="E5682" s="54" t="n">
        <f aca="false">(E5653*$C$5602+E5654*$C$5603)*Assumptions!$E$81</f>
        <v>1312.90541513845</v>
      </c>
      <c r="F5682" s="54" t="n">
        <f aca="false">(F5653*$C$5602+F5654*$C$5603)*Assumptions!$E$81</f>
        <v>1751.18107658096</v>
      </c>
      <c r="G5682" s="54" t="n">
        <f aca="false">(G5653*$C$5602+G5654*$C$5603)*Assumptions!$E$81</f>
        <v>1925.26482846573</v>
      </c>
      <c r="H5682" s="54" t="n">
        <f aca="false">(H5653*$C$5602+H5654*$C$5603)*Assumptions!$E$81</f>
        <v>2273.22693353957</v>
      </c>
      <c r="I5682" s="54" t="n">
        <f aca="false">(I5653*$C$5602+I5654*$C$5603)*Assumptions!$E$81</f>
        <v>2699.79716086064</v>
      </c>
      <c r="J5682" s="54" t="n">
        <f aca="false">(J5653*$C$5602+J5654*$C$5603)*Assumptions!$E$81</f>
        <v>3458.67727260383</v>
      </c>
      <c r="K5682" s="54" t="n">
        <f aca="false">(K5653*$C$5602+K5654*$C$5603)*Assumptions!$E$81</f>
        <v>4454.67341731548</v>
      </c>
      <c r="L5682" s="54" t="n">
        <f aca="false">(L5653*$C$5602+L5654*$C$5603)*Assumptions!$E$81</f>
        <v>4903.40389367763</v>
      </c>
      <c r="M5682" s="54" t="n">
        <f aca="false">(M5653*$C$5602+M5654*$C$5603)*Assumptions!$E$81</f>
        <v>4841.72257927787</v>
      </c>
      <c r="N5682" s="54" t="n">
        <f aca="false">(N5653*$C$5602+N5654*$C$5603)*Assumptions!$E$81</f>
        <v>4701.45988803449</v>
      </c>
      <c r="P5682" s="55" t="n">
        <f aca="false">SUM(C5682:F5682)</f>
        <v>3541.03996799283</v>
      </c>
      <c r="Q5682" s="55" t="n">
        <f aca="false">SUM(G5682:J5682)</f>
        <v>10356.9661954698</v>
      </c>
      <c r="R5682" s="55" t="n">
        <f aca="false">SUM(K5682:N5682)</f>
        <v>18901.2597783055</v>
      </c>
      <c r="S5682" s="56" t="n">
        <f aca="false">SUM(P5682:R5682)</f>
        <v>32799.2659417681</v>
      </c>
    </row>
    <row r="5683" customFormat="false" ht="15" hidden="false" customHeight="false" outlineLevel="0" collapsed="false">
      <c r="A5683" s="9" t="s">
        <v>562</v>
      </c>
      <c r="B5683" s="36" t="s">
        <v>125</v>
      </c>
      <c r="C5683" s="55" t="n">
        <f aca="false">C5675+C5676+C5677+C5678+C5679+C5680+C5681+C5682</f>
        <v>154229.464285714</v>
      </c>
      <c r="D5683" s="55" t="n">
        <f aca="false">D5675+D5676+D5677+D5678+D5679+D5680+D5681+D5682</f>
        <v>120421.710183188</v>
      </c>
      <c r="E5683" s="55" t="n">
        <f aca="false">E5675+E5676+E5677+E5678+E5679+E5680+E5681+E5682</f>
        <v>127562.935577925</v>
      </c>
      <c r="F5683" s="55" t="n">
        <f aca="false">F5675+F5676+F5677+F5678+F5679+F5680+F5681+F5682</f>
        <v>132275.910029625</v>
      </c>
      <c r="G5683" s="55" t="n">
        <f aca="false">G5675+G5676+G5677+G5678+G5679+G5680+G5681+G5682</f>
        <v>209143.353138009</v>
      </c>
      <c r="H5683" s="55" t="n">
        <f aca="false">H5675+H5676+H5677+H5678+H5679+H5680+H5681+H5682</f>
        <v>173860.312085178</v>
      </c>
      <c r="I5683" s="55" t="n">
        <f aca="false">I5675+I5676+I5677+I5678+I5679+I5680+I5681+I5682</f>
        <v>218922.216989629</v>
      </c>
      <c r="J5683" s="55" t="n">
        <f aca="false">J5675+J5676+J5677+J5678+J5679+J5680+J5681+J5682</f>
        <v>186663.084596345</v>
      </c>
      <c r="K5683" s="55" t="n">
        <f aca="false">K5675+K5676+K5677+K5678+K5679+K5680+K5681+K5682</f>
        <v>195359.677420087</v>
      </c>
      <c r="L5683" s="55" t="n">
        <f aca="false">L5675+L5676+L5677+L5678+L5679+L5680+L5681+L5682</f>
        <v>197942.829069198</v>
      </c>
      <c r="M5683" s="55" t="n">
        <f aca="false">M5675+M5676+M5677+M5678+M5679+M5680+M5681+M5682</f>
        <v>197455.485924285</v>
      </c>
      <c r="N5683" s="55" t="n">
        <f aca="false">N5675+N5676+N5677+N5678+N5679+N5680+N5681+N5682</f>
        <v>196618.380750973</v>
      </c>
      <c r="P5683" s="55" t="n">
        <f aca="false">SUM(C5683:F5683)</f>
        <v>534490.020076452</v>
      </c>
      <c r="Q5683" s="55" t="n">
        <f aca="false">SUM(G5683:J5683)</f>
        <v>788588.96680916</v>
      </c>
      <c r="R5683" s="55" t="n">
        <f aca="false">SUM(K5683:N5683)</f>
        <v>787376.373164543</v>
      </c>
      <c r="S5683" s="56" t="n">
        <f aca="false">SUM(P5683:R5683)</f>
        <v>2110455.36005016</v>
      </c>
    </row>
    <row r="5684" customFormat="false" ht="15" hidden="false" customHeight="false" outlineLevel="0" collapsed="false">
      <c r="A5684" s="4" t="s">
        <v>563</v>
      </c>
      <c r="B5684" s="36" t="s">
        <v>125</v>
      </c>
      <c r="C5684" s="54" t="n">
        <f aca="false">C5672*Assumptions!$E$72/Assumptions!$E$69/4</f>
        <v>56535.7142857143</v>
      </c>
      <c r="D5684" s="54" t="n">
        <f aca="false">D5672*Assumptions!$E$72/Assumptions!$E$69/4</f>
        <v>56535.7142857143</v>
      </c>
      <c r="E5684" s="54" t="n">
        <f aca="false">E5672*Assumptions!$E$72/Assumptions!$E$69/4</f>
        <v>56535.7142857143</v>
      </c>
      <c r="F5684" s="54" t="n">
        <f aca="false">F5672*Assumptions!$E$72/Assumptions!$E$69/4</f>
        <v>56535.7142857143</v>
      </c>
      <c r="G5684" s="54" t="n">
        <f aca="false">G5672*Assumptions!$E$72/Assumptions!$E$69/4</f>
        <v>28267.8571428571</v>
      </c>
      <c r="H5684" s="54" t="n">
        <f aca="false">H5672*Assumptions!$E$72/Assumptions!$E$69/4</f>
        <v>28267.8571428571</v>
      </c>
      <c r="I5684" s="54" t="n">
        <f aca="false">I5672*Assumptions!$E$72/Assumptions!$E$69/4</f>
        <v>28267.8571428571</v>
      </c>
      <c r="J5684" s="54" t="n">
        <f aca="false">J5672*Assumptions!$E$72/Assumptions!$E$69/4</f>
        <v>28267.8571428571</v>
      </c>
      <c r="K5684" s="54" t="n">
        <f aca="false">K5672*Assumptions!$E$72/Assumptions!$E$69/4</f>
        <v>28267.8571428571</v>
      </c>
      <c r="L5684" s="54" t="n">
        <f aca="false">L5672*Assumptions!$E$72/Assumptions!$E$69/4</f>
        <v>28267.8571428571</v>
      </c>
      <c r="M5684" s="54" t="n">
        <f aca="false">M5672*Assumptions!$E$72/Assumptions!$E$69/4</f>
        <v>28267.8571428571</v>
      </c>
      <c r="N5684" s="54" t="n">
        <f aca="false">N5672*Assumptions!$E$72/Assumptions!$E$69/4</f>
        <v>28267.8571428571</v>
      </c>
      <c r="P5684" s="55" t="n">
        <f aca="false">SUM(C5684:F5684)</f>
        <v>226142.857142857</v>
      </c>
      <c r="Q5684" s="55" t="n">
        <f aca="false">SUM(G5684:J5684)</f>
        <v>113071.428571429</v>
      </c>
      <c r="R5684" s="55" t="n">
        <f aca="false">SUM(K5684:N5684)</f>
        <v>113071.428571429</v>
      </c>
      <c r="S5684" s="56" t="n">
        <f aca="false">SUM(P5684:R5684)</f>
        <v>452285.714285714</v>
      </c>
    </row>
    <row r="5685" customFormat="false" ht="15" hidden="false" customHeight="false" outlineLevel="0" collapsed="false">
      <c r="A5685" s="4" t="s">
        <v>564</v>
      </c>
      <c r="B5685" s="36" t="s">
        <v>125</v>
      </c>
      <c r="C5685" s="54" t="n">
        <f aca="false">IF(C5610&lt;=Assumptions!$E$83,Assumptions!$E$82*Assumptions!$D$108/Assumptions!$E$83,0)</f>
        <v>62500</v>
      </c>
      <c r="D5685" s="54" t="n">
        <f aca="false">IF(D5610&lt;=Assumptions!$E$83,Assumptions!$E$82*Assumptions!$D$108/Assumptions!$E$83,0)</f>
        <v>62500</v>
      </c>
      <c r="E5685" s="54" t="n">
        <f aca="false">IF(E5610&lt;=Assumptions!$E$83,Assumptions!$E$82*Assumptions!$D$108/Assumptions!$E$83,0)</f>
        <v>62500</v>
      </c>
      <c r="F5685" s="54" t="n">
        <f aca="false">IF(F5610&lt;=Assumptions!$E$83,Assumptions!$E$82*Assumptions!$D$108/Assumptions!$E$83,0)</f>
        <v>62500</v>
      </c>
      <c r="G5685" s="54" t="n">
        <f aca="false">IF(G5610&lt;=Assumptions!$E$83,Assumptions!$E$82*Assumptions!$D$108/Assumptions!$E$83,0)</f>
        <v>0</v>
      </c>
      <c r="H5685" s="54" t="n">
        <f aca="false">IF(H5610&lt;=Assumptions!$E$83,Assumptions!$E$82*Assumptions!$D$108/Assumptions!$E$83,0)</f>
        <v>0</v>
      </c>
      <c r="I5685" s="54" t="n">
        <f aca="false">IF(I5610&lt;=Assumptions!$E$83,Assumptions!$E$82*Assumptions!$D$108/Assumptions!$E$83,0)</f>
        <v>0</v>
      </c>
      <c r="J5685" s="54" t="n">
        <f aca="false">IF(J5610&lt;=Assumptions!$E$83,Assumptions!$E$82*Assumptions!$D$108/Assumptions!$E$83,0)</f>
        <v>0</v>
      </c>
      <c r="K5685" s="54" t="n">
        <f aca="false">IF(K5610&lt;=Assumptions!$E$83,Assumptions!$E$82*Assumptions!$D$108/Assumptions!$E$83,0)</f>
        <v>0</v>
      </c>
      <c r="L5685" s="54" t="n">
        <f aca="false">IF(L5610&lt;=Assumptions!$E$83,Assumptions!$E$82*Assumptions!$D$108/Assumptions!$E$83,0)</f>
        <v>0</v>
      </c>
      <c r="M5685" s="54" t="n">
        <f aca="false">IF(M5610&lt;=Assumptions!$E$83,Assumptions!$E$82*Assumptions!$D$108/Assumptions!$E$83,0)</f>
        <v>0</v>
      </c>
      <c r="N5685" s="54" t="n">
        <f aca="false">IF(N5610&lt;=Assumptions!$E$83,Assumptions!$E$82*Assumptions!$D$108/Assumptions!$E$83,0)</f>
        <v>0</v>
      </c>
      <c r="P5685" s="55" t="n">
        <f aca="false">SUM(C5685:F5685)</f>
        <v>250000</v>
      </c>
      <c r="Q5685" s="55" t="n">
        <f aca="false">SUM(G5685:J5685)</f>
        <v>0</v>
      </c>
      <c r="R5685" s="55" t="n">
        <f aca="false">SUM(K5685:N5685)</f>
        <v>0</v>
      </c>
      <c r="S5685" s="56" t="n">
        <f aca="false">SUM(P5685:R5685)</f>
        <v>250000</v>
      </c>
    </row>
    <row r="5686" customFormat="false" ht="15" hidden="false" customHeight="false" outlineLevel="0" collapsed="false">
      <c r="A5686" s="4" t="s">
        <v>565</v>
      </c>
      <c r="B5686" s="36" t="s">
        <v>125</v>
      </c>
      <c r="C5686" s="54" t="n">
        <f aca="false">C5674*Assumptions!$E$73/Assumptions!$E$69/4</f>
        <v>0</v>
      </c>
      <c r="D5686" s="54" t="n">
        <f aca="false">D5674*Assumptions!$E$73/Assumptions!$E$69/4</f>
        <v>575.3130595573</v>
      </c>
      <c r="E5686" s="54" t="n">
        <f aca="false">E5674*Assumptions!$E$73/Assumptions!$E$69/4</f>
        <v>1617.32906717661</v>
      </c>
      <c r="F5686" s="54" t="n">
        <f aca="false">F5674*Assumptions!$E$73/Assumptions!$E$69/4</f>
        <v>2784.46806400723</v>
      </c>
      <c r="G5686" s="54" t="n">
        <f aca="false">G5674*Assumptions!$E$73/Assumptions!$E$69/4</f>
        <v>4037.30390559473</v>
      </c>
      <c r="H5686" s="54" t="n">
        <f aca="false">H5674*Assumptions!$E$73/Assumptions!$E$69/4</f>
        <v>5588.71900339185</v>
      </c>
      <c r="I5686" s="54" t="n">
        <f aca="false">I5674*Assumptions!$E$73/Assumptions!$E$69/4</f>
        <v>7423.89520049251</v>
      </c>
      <c r="J5686" s="54" t="n">
        <f aca="false">J5674*Assumptions!$E$73/Assumptions!$E$69/4</f>
        <v>9984.21295072483</v>
      </c>
      <c r="K5686" s="54" t="n">
        <f aca="false">K5674*Assumptions!$E$73/Assumptions!$E$69/4</f>
        <v>13228.7197241336</v>
      </c>
      <c r="L5686" s="54" t="n">
        <f aca="false">L5674*Assumptions!$E$73/Assumptions!$E$69/4</f>
        <v>16471.1613499398</v>
      </c>
      <c r="M5686" s="54" t="n">
        <f aca="false">M5674*Assumptions!$E$73/Assumptions!$E$69/4</f>
        <v>19532.3193424529</v>
      </c>
      <c r="N5686" s="54" t="n">
        <f aca="false">N5674*Assumptions!$E$73/Assumptions!$E$69/4</f>
        <v>22411.7337529877</v>
      </c>
      <c r="P5686" s="55" t="n">
        <f aca="false">SUM(C5686:F5686)</f>
        <v>4977.11019074114</v>
      </c>
      <c r="Q5686" s="55" t="n">
        <f aca="false">SUM(G5686:J5686)</f>
        <v>27034.1310602039</v>
      </c>
      <c r="R5686" s="55" t="n">
        <f aca="false">SUM(K5686:N5686)</f>
        <v>71643.934169514</v>
      </c>
      <c r="S5686" s="56" t="n">
        <f aca="false">SUM(P5686:R5686)</f>
        <v>103655.175420459</v>
      </c>
    </row>
    <row r="5687" customFormat="false" ht="15" hidden="false" customHeight="false" outlineLevel="0" collapsed="false">
      <c r="A5687" s="9" t="s">
        <v>566</v>
      </c>
      <c r="B5687" s="36" t="s">
        <v>125</v>
      </c>
      <c r="C5687" s="55" t="n">
        <f aca="false">C5683+C5684+C5685+C5686</f>
        <v>273265.178571429</v>
      </c>
      <c r="D5687" s="55" t="n">
        <f aca="false">D5683+D5684+D5685+D5686</f>
        <v>240032.737528459</v>
      </c>
      <c r="E5687" s="55" t="n">
        <f aca="false">E5683+E5684+E5685+E5686</f>
        <v>248215.978930816</v>
      </c>
      <c r="F5687" s="55" t="n">
        <f aca="false">F5683+F5684+F5685+F5686</f>
        <v>254096.092379346</v>
      </c>
      <c r="G5687" s="55" t="n">
        <f aca="false">G5683+G5684+G5685+G5686</f>
        <v>241448.514186461</v>
      </c>
      <c r="H5687" s="55" t="n">
        <f aca="false">H5683+H5684+H5685+H5686</f>
        <v>207716.888231427</v>
      </c>
      <c r="I5687" s="55" t="n">
        <f aca="false">I5683+I5684+I5685+I5686</f>
        <v>254613.969332979</v>
      </c>
      <c r="J5687" s="55" t="n">
        <f aca="false">J5683+J5684+J5685+J5686</f>
        <v>224915.154689927</v>
      </c>
      <c r="K5687" s="55" t="n">
        <f aca="false">K5683+K5684+K5685+K5686</f>
        <v>236856.254287078</v>
      </c>
      <c r="L5687" s="55" t="n">
        <f aca="false">L5683+L5684+L5685+L5686</f>
        <v>242681.847561995</v>
      </c>
      <c r="M5687" s="55" t="n">
        <f aca="false">M5683+M5684+M5685+M5686</f>
        <v>245255.662409595</v>
      </c>
      <c r="N5687" s="55" t="n">
        <f aca="false">N5683+N5684+N5685+N5686</f>
        <v>247297.971646818</v>
      </c>
      <c r="P5687" s="55" t="n">
        <f aca="false">SUM(C5687:F5687)</f>
        <v>1015609.98741005</v>
      </c>
      <c r="Q5687" s="55" t="n">
        <f aca="false">SUM(G5687:J5687)</f>
        <v>928694.526440793</v>
      </c>
      <c r="R5687" s="55" t="n">
        <f aca="false">SUM(K5687:N5687)</f>
        <v>972091.735905486</v>
      </c>
      <c r="S5687" s="56" t="n">
        <f aca="false">SUM(P5687:R5687)</f>
        <v>2916396.24975633</v>
      </c>
    </row>
    <row r="5688" customFormat="false" ht="15" hidden="false" customHeight="false" outlineLevel="0" collapsed="false">
      <c r="A5688" s="35" t="s">
        <v>567</v>
      </c>
      <c r="B5688" s="35" t="s">
        <v>444</v>
      </c>
      <c r="C5688" s="6" t="s">
        <v>354</v>
      </c>
      <c r="D5688" s="6" t="s">
        <v>355</v>
      </c>
      <c r="E5688" s="6" t="s">
        <v>356</v>
      </c>
      <c r="F5688" s="6" t="s">
        <v>357</v>
      </c>
      <c r="G5688" s="6" t="s">
        <v>358</v>
      </c>
      <c r="H5688" s="6" t="s">
        <v>359</v>
      </c>
      <c r="I5688" s="6" t="s">
        <v>360</v>
      </c>
      <c r="J5688" s="6" t="s">
        <v>361</v>
      </c>
      <c r="K5688" s="6" t="s">
        <v>362</v>
      </c>
      <c r="L5688" s="6" t="s">
        <v>363</v>
      </c>
      <c r="M5688" s="6" t="s">
        <v>364</v>
      </c>
      <c r="N5688" s="6" t="s">
        <v>365</v>
      </c>
      <c r="P5688" s="6" t="s">
        <v>445</v>
      </c>
      <c r="Q5688" s="6" t="s">
        <v>446</v>
      </c>
      <c r="R5688" s="6" t="s">
        <v>447</v>
      </c>
      <c r="S5688" s="6" t="s">
        <v>448</v>
      </c>
    </row>
    <row r="5689" customFormat="false" ht="15" hidden="false" customHeight="false" outlineLevel="0" collapsed="false">
      <c r="A5689" s="9" t="s">
        <v>568</v>
      </c>
      <c r="B5689" s="36" t="s">
        <v>125</v>
      </c>
      <c r="C5689" s="55" t="n">
        <f aca="false">C5667-C5687</f>
        <v>-273265.178571429</v>
      </c>
      <c r="D5689" s="55" t="n">
        <f aca="false">D5667-D5687</f>
        <v>-239397.643931623</v>
      </c>
      <c r="E5689" s="55" t="n">
        <f aca="false">E5667-E5687</f>
        <v>-245585.075290732</v>
      </c>
      <c r="F5689" s="55" t="n">
        <f aca="false">F5667-F5687</f>
        <v>-248423.481652394</v>
      </c>
      <c r="G5689" s="55" t="n">
        <f aca="false">G5667-G5687</f>
        <v>-232227.461983481</v>
      </c>
      <c r="H5689" s="55" t="n">
        <f aca="false">H5667-H5687</f>
        <v>-194321.470414964</v>
      </c>
      <c r="I5689" s="55" t="n">
        <f aca="false">I5667-I5687</f>
        <v>-236132.871052429</v>
      </c>
      <c r="J5689" s="55" t="n">
        <f aca="false">J5667-J5687</f>
        <v>-199844.891016924</v>
      </c>
      <c r="K5689" s="55" t="n">
        <f aca="false">K5667-K5687</f>
        <v>-203051.286229849</v>
      </c>
      <c r="L5689" s="55" t="n">
        <f aca="false">L5667-L5687</f>
        <v>-198707.118004819</v>
      </c>
      <c r="M5689" s="55" t="n">
        <f aca="false">M5667-M5687</f>
        <v>-190820.965459439</v>
      </c>
      <c r="N5689" s="55" t="n">
        <f aca="false">N5667-N5687</f>
        <v>-182501.175999002</v>
      </c>
      <c r="P5689" s="55" t="n">
        <f aca="false">SUM(C5689:F5689)</f>
        <v>-1006671.37944618</v>
      </c>
      <c r="Q5689" s="55" t="n">
        <f aca="false">SUM(G5689:J5689)</f>
        <v>-862526.694467798</v>
      </c>
      <c r="R5689" s="55" t="n">
        <f aca="false">SUM(K5689:N5689)</f>
        <v>-775080.54569311</v>
      </c>
      <c r="S5689" s="56" t="n">
        <f aca="false">SUM(P5689:R5689)</f>
        <v>-2644278.61960709</v>
      </c>
    </row>
    <row r="5690" customFormat="false" ht="15" hidden="false" customHeight="false" outlineLevel="0" collapsed="false">
      <c r="A5690" s="9" t="s">
        <v>569</v>
      </c>
      <c r="B5690" s="36" t="s">
        <v>125</v>
      </c>
      <c r="C5690" s="55" t="n">
        <f aca="false">0+C5689</f>
        <v>-273265.178571429</v>
      </c>
      <c r="D5690" s="55" t="n">
        <f aca="false">C5690+D5689</f>
        <v>-512662.822503052</v>
      </c>
      <c r="E5690" s="55" t="n">
        <f aca="false">D5690+E5689</f>
        <v>-758247.897793784</v>
      </c>
      <c r="F5690" s="55" t="n">
        <f aca="false">E5690+F5689</f>
        <v>-1006671.37944618</v>
      </c>
      <c r="G5690" s="55" t="n">
        <f aca="false">F5690+G5689</f>
        <v>-1238898.84142966</v>
      </c>
      <c r="H5690" s="55" t="n">
        <f aca="false">G5690+H5689</f>
        <v>-1433220.31184462</v>
      </c>
      <c r="I5690" s="55" t="n">
        <f aca="false">H5690+I5689</f>
        <v>-1669353.18289705</v>
      </c>
      <c r="J5690" s="55" t="n">
        <f aca="false">I5690+J5689</f>
        <v>-1869198.07391398</v>
      </c>
      <c r="K5690" s="55" t="n">
        <f aca="false">J5690+K5689</f>
        <v>-2072249.36014382</v>
      </c>
      <c r="L5690" s="55" t="n">
        <f aca="false">K5690+L5689</f>
        <v>-2270956.47814864</v>
      </c>
      <c r="M5690" s="55" t="n">
        <f aca="false">L5690+M5689</f>
        <v>-2461777.44360808</v>
      </c>
      <c r="N5690" s="55" t="n">
        <f aca="false">M5690+N5689</f>
        <v>-2644278.61960709</v>
      </c>
      <c r="P5690" s="55" t="n">
        <f aca="false">F5690</f>
        <v>-1006671.37944618</v>
      </c>
      <c r="Q5690" s="55" t="n">
        <f aca="false">J5690</f>
        <v>-1869198.07391398</v>
      </c>
      <c r="R5690" s="55" t="n">
        <f aca="false">N5690</f>
        <v>-2644278.61960709</v>
      </c>
      <c r="S5690" s="56" t="n">
        <f aca="false">R5690</f>
        <v>-2644278.61960709</v>
      </c>
    </row>
    <row r="5691" customFormat="false" ht="15" hidden="false" customHeight="false" outlineLevel="0" collapsed="false">
      <c r="A5691" s="4" t="s">
        <v>570</v>
      </c>
      <c r="B5691" s="36" t="s">
        <v>107</v>
      </c>
      <c r="C5691" s="57" t="n">
        <f aca="false">1/(1+Assumptions!$E$87)^(C5610/4)</f>
        <v>0.972065420906982</v>
      </c>
      <c r="D5691" s="57" t="n">
        <f aca="false">1/(1+Assumptions!$E$87)^(D5610/4)</f>
        <v>0.944911182523068</v>
      </c>
      <c r="E5691" s="57" t="n">
        <f aca="false">1/(1+Assumptions!$E$87)^(E5610/4)</f>
        <v>0.918515486359</v>
      </c>
      <c r="F5691" s="57" t="n">
        <f aca="false">1/(1+Assumptions!$E$87)^(F5610/4)</f>
        <v>0.892857142857143</v>
      </c>
      <c r="G5691" s="57" t="n">
        <f aca="false">1/(1+Assumptions!$E$87)^(G5610/4)</f>
        <v>0.867915554381234</v>
      </c>
      <c r="H5691" s="57" t="n">
        <f aca="false">1/(1+Assumptions!$E$87)^(H5610/4)</f>
        <v>0.843670698681311</v>
      </c>
      <c r="I5691" s="57" t="n">
        <f aca="false">1/(1+Assumptions!$E$87)^(I5610/4)</f>
        <v>0.820103112820536</v>
      </c>
      <c r="J5691" s="57" t="n">
        <f aca="false">1/(1+Assumptions!$E$87)^(J5610/4)</f>
        <v>0.79719387755102</v>
      </c>
      <c r="K5691" s="57" t="n">
        <f aca="false">1/(1+Assumptions!$E$87)^(K5610/4)</f>
        <v>0.774924602126102</v>
      </c>
      <c r="L5691" s="57" t="n">
        <f aca="false">1/(1+Assumptions!$E$87)^(L5610/4)</f>
        <v>0.753277409536885</v>
      </c>
      <c r="M5691" s="57" t="n">
        <f aca="false">1/(1+Assumptions!$E$87)^(M5610/4)</f>
        <v>0.732234922161193</v>
      </c>
      <c r="N5691" s="57" t="n">
        <f aca="false">1/(1+Assumptions!$E$87)^(N5610/4)</f>
        <v>0.711780247813411</v>
      </c>
      <c r="P5691" s="58"/>
      <c r="Q5691" s="58"/>
      <c r="R5691" s="58"/>
      <c r="S5691" s="59"/>
    </row>
    <row r="5692" customFormat="false" ht="15" hidden="false" customHeight="false" outlineLevel="0" collapsed="false">
      <c r="A5692" s="4" t="s">
        <v>571</v>
      </c>
      <c r="B5692" s="36" t="s">
        <v>125</v>
      </c>
      <c r="C5692" s="54" t="n">
        <f aca="false">(C5667*(1-Assumptions!$E$88)-C5687)*C5691</f>
        <v>-265631.630827257</v>
      </c>
      <c r="D5692" s="54" t="n">
        <f aca="false">(D5667*(1-Assumptions!$E$88)-D5687)*D5691</f>
        <v>-226329.532228986</v>
      </c>
      <c r="E5692" s="54" t="n">
        <f aca="false">(E5667*(1-Assumptions!$E$88)-E5687)*E5691</f>
        <v>-226057.000020486</v>
      </c>
      <c r="F5692" s="54" t="n">
        <f aca="false">(F5667*(1-Assumptions!$E$88)-F5687)*F5691</f>
        <v>-222819.646248022</v>
      </c>
      <c r="G5692" s="54" t="n">
        <f aca="false">(G5667*(1-Assumptions!$E$88)-G5687)*G5691</f>
        <v>-203154.445336886</v>
      </c>
      <c r="H5692" s="54" t="n">
        <f aca="false">(H5667*(1-Assumptions!$E$88)-H5687)*H5691</f>
        <v>-166203.595015441</v>
      </c>
      <c r="I5692" s="54" t="n">
        <f aca="false">(I5667*(1-Assumptions!$E$88)-I5687)*I5691</f>
        <v>-196684.583834991</v>
      </c>
      <c r="J5692" s="54" t="n">
        <f aca="false">(J5667*(1-Assumptions!$E$88)-J5687)*J5691</f>
        <v>-163312.295720284</v>
      </c>
      <c r="K5692" s="54" t="n">
        <f aca="false">(K5667*(1-Assumptions!$E$88)-K5687)*K5691</f>
        <v>-162588.697477186</v>
      </c>
      <c r="L5692" s="54" t="n">
        <f aca="false">(L5667*(1-Assumptions!$E$88)-L5687)*L5691</f>
        <v>-156306.617180393</v>
      </c>
      <c r="M5692" s="54" t="n">
        <f aca="false">(M5667*(1-Assumptions!$E$88)-M5687)*M5691</f>
        <v>-147697.572006749</v>
      </c>
      <c r="N5692" s="54" t="n">
        <f aca="false">(N5667*(1-Assumptions!$E$88)-N5687)*N5691</f>
        <v>-139124.948131552</v>
      </c>
      <c r="P5692" s="55" t="n">
        <f aca="false">SUM(C5692:F5692)</f>
        <v>-940837.809324751</v>
      </c>
      <c r="Q5692" s="55" t="n">
        <f aca="false">SUM(G5692:J5692)</f>
        <v>-729354.919907602</v>
      </c>
      <c r="R5692" s="55" t="n">
        <f aca="false">SUM(K5692:N5692)</f>
        <v>-605717.83479588</v>
      </c>
      <c r="S5692" s="56" t="n">
        <f aca="false">SUM(P5692:R5692)</f>
        <v>-2275910.56402823</v>
      </c>
    </row>
    <row r="5693" customFormat="false" ht="15" hidden="false" customHeight="false" outlineLevel="0" collapsed="false">
      <c r="A5693" s="4" t="s">
        <v>572</v>
      </c>
      <c r="B5693" s="36" t="s">
        <v>125</v>
      </c>
      <c r="C5693" s="54" t="n">
        <f aca="false">(C5687-C5686)*12/(Assumptions!$E$89*Assumptions!$E$76)*Assumptions!$E$90</f>
        <v>189183.585164835</v>
      </c>
      <c r="D5693" s="54" t="n">
        <f aca="false">(D5687-D5686)*12/(Assumptions!$E$89*Assumptions!$E$76)*Assumptions!$E$90</f>
        <v>165778.216940009</v>
      </c>
      <c r="E5693" s="54" t="n">
        <f aca="false">(E5687-E5686)*12/(Assumptions!$E$89*Assumptions!$E$76)*Assumptions!$E$90</f>
        <v>170722.142213289</v>
      </c>
      <c r="F5693" s="54" t="n">
        <f aca="false">(F5687-F5686)*12/(Assumptions!$E$89*Assumptions!$E$76)*Assumptions!$E$90</f>
        <v>173984.97067985</v>
      </c>
      <c r="G5693" s="54" t="n">
        <f aca="false">(G5687-G5686)*12/(Assumptions!$E$89*Assumptions!$E$76)*Assumptions!$E$90</f>
        <v>164361.607117523</v>
      </c>
      <c r="H5693" s="54" t="n">
        <f aca="false">(H5687-H5686)*12/(Assumptions!$E$89*Assumptions!$E$76)*Assumptions!$E$90</f>
        <v>139934.88638864</v>
      </c>
      <c r="I5693" s="54" t="n">
        <f aca="false">(I5687-I5686)*12/(Assumptions!$E$89*Assumptions!$E$76)*Assumptions!$E$90</f>
        <v>171131.589784029</v>
      </c>
      <c r="J5693" s="54" t="n">
        <f aca="false">(J5687-J5686)*12/(Assumptions!$E$89*Assumptions!$E$76)*Assumptions!$E$90</f>
        <v>148798.344280986</v>
      </c>
      <c r="K5693" s="54" t="n">
        <f aca="false">(K5687-K5686)*12/(Assumptions!$E$89*Assumptions!$E$76)*Assumptions!$E$90</f>
        <v>154819.062389731</v>
      </c>
      <c r="L5693" s="54" t="n">
        <f aca="false">(L5687-L5686)*12/(Assumptions!$E$89*Assumptions!$E$76)*Assumptions!$E$90</f>
        <v>156607.398146807</v>
      </c>
      <c r="M5693" s="54" t="n">
        <f aca="false">(M5687-M5686)*12/(Assumptions!$E$89*Assumptions!$E$76)*Assumptions!$E$90</f>
        <v>156270.00673879</v>
      </c>
      <c r="N5693" s="54" t="n">
        <f aca="false">(N5687-N5686)*12/(Assumptions!$E$89*Assumptions!$E$76)*Assumptions!$E$90</f>
        <v>155690.472388037</v>
      </c>
      <c r="P5693" s="55" t="n">
        <f aca="false">SUM(C5693:F5693)</f>
        <v>699668.914997983</v>
      </c>
      <c r="Q5693" s="55" t="n">
        <f aca="false">SUM(G5693:J5693)</f>
        <v>624226.427571177</v>
      </c>
      <c r="R5693" s="55" t="n">
        <f aca="false">SUM(K5693:N5693)</f>
        <v>623386.939663365</v>
      </c>
      <c r="S5693" s="56" t="n">
        <f aca="false">SUM(P5693:R5693)</f>
        <v>1947282.28223253</v>
      </c>
    </row>
    <row r="5694" customFormat="false" ht="15" hidden="false" customHeight="false" outlineLevel="0" collapsed="false">
      <c r="A5694" s="4" t="s">
        <v>573</v>
      </c>
      <c r="B5694" s="36" t="s">
        <v>125</v>
      </c>
      <c r="C5694" s="54" t="n">
        <f aca="false">0*Assumptions!$E$92^(1/4)+C5693</f>
        <v>189183.585164835</v>
      </c>
      <c r="D5694" s="54" t="n">
        <f aca="false">C5694*Assumptions!$E$92^(1/4)+D5693</f>
        <v>355432.997747024</v>
      </c>
      <c r="E5694" s="54" t="n">
        <f aca="false">D5694*Assumptions!$E$92^(1/4)+E5693</f>
        <v>527040.409575428</v>
      </c>
      <c r="F5694" s="54" t="n">
        <f aca="false">E5694*Assumptions!$E$92^(1/4)+F5693</f>
        <v>702338.068901219</v>
      </c>
      <c r="G5694" s="54" t="n">
        <f aca="false">F5694*Assumptions!$E$92^(1/4)+G5693</f>
        <v>868448.974918614</v>
      </c>
      <c r="H5694" s="54" t="n">
        <f aca="false">G5694*Assumptions!$E$92^(1/4)+H5693</f>
        <v>1010546.88920463</v>
      </c>
      <c r="I5694" s="54" t="n">
        <f aca="false">H5694*Assumptions!$E$92^(1/4)+I5693</f>
        <v>1184195.42722175</v>
      </c>
      <c r="J5694" s="54" t="n">
        <f aca="false">I5694*Assumptions!$E$92^(1/4)+J5693</f>
        <v>1335943.22255743</v>
      </c>
      <c r="K5694" s="54" t="n">
        <f aca="false">J5694*Assumptions!$E$92^(1/4)+K5693</f>
        <v>1494089.69109669</v>
      </c>
      <c r="L5694" s="54" t="n">
        <f aca="false">K5694*Assumptions!$E$92^(1/4)+L5693</f>
        <v>1654418.38753085</v>
      </c>
      <c r="M5694" s="54" t="n">
        <f aca="false">L5694*Assumptions!$E$92^(1/4)+M5693</f>
        <v>1814809.0199247</v>
      </c>
      <c r="N5694" s="54" t="n">
        <f aca="false">M5694*Assumptions!$E$92^(1/4)+N5693</f>
        <v>1975019.59959811</v>
      </c>
      <c r="P5694" s="55" t="n">
        <f aca="false">F5694</f>
        <v>702338.068901219</v>
      </c>
      <c r="Q5694" s="55" t="n">
        <f aca="false">J5694</f>
        <v>1335943.22255743</v>
      </c>
      <c r="R5694" s="55" t="n">
        <f aca="false">N5694</f>
        <v>1975019.59959811</v>
      </c>
      <c r="S5694" s="56" t="n">
        <f aca="false">R5694</f>
        <v>1975019.59959811</v>
      </c>
    </row>
    <row r="5695" customFormat="false" ht="15" hidden="false" customHeight="false" outlineLevel="0" collapsed="false">
      <c r="A5695" s="4" t="s">
        <v>574</v>
      </c>
      <c r="B5695" s="36" t="s">
        <v>125</v>
      </c>
      <c r="C5695" s="54" t="n">
        <f aca="false">(0+C5694)/8*Assumptions!$E$76-(C5687-C5686)-C5694*Assumptions!$E$93/4</f>
        <v>-260258.807091346</v>
      </c>
      <c r="D5695" s="54" t="n">
        <f aca="false">(C5694+D5694)/8*Assumptions!$E$76-(D5687-D5686)-D5694*Assumptions!$E$93/4</f>
        <v>-199650.239579151</v>
      </c>
      <c r="E5695" s="54" t="n">
        <f aca="false">(D5694+E5694)/8*Assumptions!$E$76-(E5687-E5686)-E5694*Assumptions!$E$93/4</f>
        <v>-181485.690638383</v>
      </c>
      <c r="F5695" s="54" t="n">
        <f aca="false">(E5694+F5694)/8*Assumptions!$E$76-(F5687-F5686)-F5694*Assumptions!$E$93/4</f>
        <v>-160203.848800377</v>
      </c>
      <c r="G5695" s="54" t="n">
        <f aca="false">(F5694+G5694)/8*Assumptions!$E$76-(G5687-G5686)-G5694*Assumptions!$E$93/4</f>
        <v>-120640.375156987</v>
      </c>
      <c r="H5695" s="54" t="n">
        <f aca="false">(G5694+H5694)/8*Assumptions!$E$76-(H5687-H5686)-H5694*Assumptions!$E$93/4</f>
        <v>-62091.5913830798</v>
      </c>
      <c r="I5695" s="54" t="n">
        <f aca="false">(H5694+I5694)/8*Assumptions!$E$76-(I5687-I5686)-I5694*Assumptions!$E$93/4</f>
        <v>-83669.7037631148</v>
      </c>
      <c r="J5695" s="54" t="n">
        <f aca="false">(I5694+J5694)/8*Assumptions!$E$76-(J5687-J5686)-J5694*Assumptions!$E$93/4</f>
        <v>-26868.9667266113</v>
      </c>
      <c r="K5695" s="54" t="n">
        <f aca="false">(J5694+K5694)/8*Assumptions!$E$76-(K5687-K5686)-K5694*Assumptions!$E$93/4</f>
        <v>-12363.4814672556</v>
      </c>
      <c r="L5695" s="54" t="n">
        <f aca="false">(K5694+L5694)/8*Assumptions!$E$76-(L5687-L5686)-L5694*Assumptions!$E$93/4</f>
        <v>8925.36533229768</v>
      </c>
      <c r="M5695" s="54" t="n">
        <f aca="false">(L5694+M5694)/8*Assumptions!$E$76-(M5687-M5686)-M5694*Assumptions!$E$93/4</f>
        <v>33466.2710395633</v>
      </c>
      <c r="N5695" s="54" t="n">
        <f aca="false">(M5694+N5694)/8*Assumptions!$E$76-(N5687-N5686)-N5694*Assumptions!$E$93/4</f>
        <v>58349.5924474212</v>
      </c>
      <c r="P5695" s="55" t="n">
        <f aca="false">SUM(C5695:F5695)</f>
        <v>-801598.586109257</v>
      </c>
      <c r="Q5695" s="55" t="n">
        <f aca="false">SUM(G5695:J5695)</f>
        <v>-293270.637029793</v>
      </c>
      <c r="R5695" s="55" t="n">
        <f aca="false">SUM(K5695:N5695)</f>
        <v>88377.7473520265</v>
      </c>
      <c r="S5695" s="56" t="n">
        <f aca="false">SUM(P5695:R5695)</f>
        <v>-1006491.47578702</v>
      </c>
    </row>
    <row r="5696" customFormat="false" ht="15" hidden="false" customHeight="false" outlineLevel="0" collapsed="false">
      <c r="A5696" s="4" t="s">
        <v>575</v>
      </c>
      <c r="B5696" s="36" t="s">
        <v>125</v>
      </c>
      <c r="C5696" s="54" t="n">
        <f aca="false">C5695*C5691</f>
        <v>-252988.586859998</v>
      </c>
      <c r="D5696" s="54" t="n">
        <f aca="false">D5695*D5691</f>
        <v>-188651.74397175</v>
      </c>
      <c r="E5696" s="54" t="n">
        <f aca="false">E5695*E5691</f>
        <v>-166697.417403913</v>
      </c>
      <c r="F5696" s="54" t="n">
        <f aca="false">F5695*F5691</f>
        <v>-143039.150714622</v>
      </c>
      <c r="G5696" s="54" t="n">
        <f aca="false">G5695*G5691</f>
        <v>-104705.658085137</v>
      </c>
      <c r="H5696" s="54" t="n">
        <f aca="false">H5695*H5691</f>
        <v>-52384.8562843974</v>
      </c>
      <c r="I5696" s="54" t="n">
        <f aca="false">I5695*I5691</f>
        <v>-68617.7845049026</v>
      </c>
      <c r="J5696" s="54" t="n">
        <f aca="false">J5695*J5691</f>
        <v>-21419.7757705766</v>
      </c>
      <c r="K5696" s="54" t="n">
        <f aca="false">K5695*K5691</f>
        <v>-9580.7659569065</v>
      </c>
      <c r="L5696" s="54" t="n">
        <f aca="false">L5695*L5691</f>
        <v>6723.27607668351</v>
      </c>
      <c r="M5696" s="54" t="n">
        <f aca="false">M5695*M5691</f>
        <v>24505.17236968</v>
      </c>
      <c r="N5696" s="54" t="n">
        <f aca="false">N5695*N5691</f>
        <v>41532.087372037</v>
      </c>
      <c r="P5696" s="55" t="n">
        <f aca="false">SUM(C5696:F5696)</f>
        <v>-751376.898950284</v>
      </c>
      <c r="Q5696" s="55" t="n">
        <f aca="false">SUM(G5696:J5696)</f>
        <v>-247128.074645013</v>
      </c>
      <c r="R5696" s="55" t="n">
        <f aca="false">SUM(K5696:N5696)</f>
        <v>63179.769861494</v>
      </c>
      <c r="S5696" s="56" t="n">
        <f aca="false">SUM(P5696:R5696)</f>
        <v>-935325.203733803</v>
      </c>
    </row>
    <row r="5697" customFormat="false" ht="15" hidden="false" customHeight="false" outlineLevel="0" collapsed="false">
      <c r="A5697" s="4" t="s">
        <v>576</v>
      </c>
      <c r="B5697" s="36"/>
      <c r="C5697" s="37" t="n">
        <f aca="false">IFERROR((S5652*$C$5601*Assumptions!$E$59+S5653*$C$5602*Assumptions!$E$60+S5654*$C$5603*Assumptions!$E$61)/(S5652*$C$5601+S5653*$C$5602+S5654*$C$5603),0.9)</f>
        <v>0.895336755062662</v>
      </c>
    </row>
    <row r="5698" customFormat="false" ht="15" hidden="false" customHeight="false" outlineLevel="0" collapsed="false">
      <c r="A5698" s="4" t="s">
        <v>577</v>
      </c>
      <c r="B5698" s="36"/>
      <c r="C5698" s="37" t="n">
        <f aca="false">IFERROR(N5686*4/N5664,0)</f>
        <v>0.208274433961821</v>
      </c>
    </row>
    <row r="5699" customFormat="false" ht="15" hidden="false" customHeight="false" outlineLevel="0" collapsed="false">
      <c r="A5699" s="4" t="s">
        <v>578</v>
      </c>
      <c r="B5699" s="36"/>
      <c r="C5699" s="60" t="n">
        <f aca="false">$C$5697/(1+Assumptions!$E$87)</f>
        <v>0.799407817020234</v>
      </c>
    </row>
    <row r="5700" customFormat="false" ht="15" hidden="false" customHeight="false" outlineLevel="0" collapsed="false">
      <c r="A5700" s="4" t="s">
        <v>579</v>
      </c>
      <c r="B5700" s="36"/>
      <c r="C5700" s="60" t="n">
        <f aca="false">Assumptions!$E$91/(1+Assumptions!$E$87)</f>
        <v>0.803571428571429</v>
      </c>
    </row>
    <row r="5701" customFormat="false" ht="15" hidden="false" customHeight="false" outlineLevel="0" collapsed="false">
      <c r="A5701" s="35" t="s">
        <v>580</v>
      </c>
      <c r="B5701" s="35" t="s">
        <v>444</v>
      </c>
      <c r="C5701" s="6" t="s">
        <v>354</v>
      </c>
      <c r="D5701" s="6" t="s">
        <v>355</v>
      </c>
      <c r="E5701" s="6" t="s">
        <v>356</v>
      </c>
      <c r="F5701" s="6" t="s">
        <v>357</v>
      </c>
      <c r="G5701" s="6" t="s">
        <v>358</v>
      </c>
      <c r="H5701" s="6" t="s">
        <v>359</v>
      </c>
      <c r="I5701" s="6" t="s">
        <v>360</v>
      </c>
      <c r="J5701" s="6" t="s">
        <v>361</v>
      </c>
      <c r="K5701" s="6" t="s">
        <v>362</v>
      </c>
      <c r="L5701" s="6" t="s">
        <v>363</v>
      </c>
      <c r="M5701" s="6" t="s">
        <v>364</v>
      </c>
      <c r="N5701" s="6" t="s">
        <v>365</v>
      </c>
      <c r="P5701" s="6" t="s">
        <v>445</v>
      </c>
      <c r="Q5701" s="6" t="s">
        <v>446</v>
      </c>
      <c r="R5701" s="6" t="s">
        <v>447</v>
      </c>
      <c r="S5701" s="6" t="s">
        <v>448</v>
      </c>
    </row>
    <row r="5702" customFormat="false" ht="15" hidden="false" customHeight="false" outlineLevel="0" collapsed="false">
      <c r="A5702" s="9" t="s">
        <v>581</v>
      </c>
      <c r="C5702" s="61" t="n">
        <f aca="false">N5664</f>
        <v>430426.977073836</v>
      </c>
      <c r="D5702" s="61"/>
    </row>
    <row r="5703" customFormat="false" ht="15" hidden="false" customHeight="false" outlineLevel="0" collapsed="false">
      <c r="A5703" s="9" t="s">
        <v>582</v>
      </c>
      <c r="C5703" s="62" t="n">
        <f aca="false">N5660</f>
        <v>49.5280990541991</v>
      </c>
      <c r="D5703" s="62"/>
    </row>
    <row r="5704" customFormat="false" ht="15" hidden="false" customHeight="false" outlineLevel="0" collapsed="false">
      <c r="A5704" s="9" t="s">
        <v>583</v>
      </c>
      <c r="C5704" s="63" t="n">
        <f aca="false">S5655</f>
        <v>54.7491194625937</v>
      </c>
      <c r="D5704" s="63"/>
    </row>
    <row r="5705" customFormat="false" ht="15" hidden="false" customHeight="false" outlineLevel="0" collapsed="false">
      <c r="A5705" s="9" t="s">
        <v>584</v>
      </c>
      <c r="C5705" s="61" t="n">
        <f aca="false">S5666</f>
        <v>418642.507921913</v>
      </c>
      <c r="D5705" s="61"/>
    </row>
    <row r="5706" customFormat="false" ht="15" hidden="false" customHeight="false" outlineLevel="0" collapsed="false">
      <c r="A5706" s="9" t="s">
        <v>22</v>
      </c>
      <c r="C5706" s="61" t="n">
        <f aca="false">IFERROR(S5665/S5655,0)</f>
        <v>7516.67798648103</v>
      </c>
      <c r="D5706" s="61"/>
    </row>
    <row r="5707" customFormat="false" ht="15" hidden="false" customHeight="false" outlineLevel="0" collapsed="false">
      <c r="A5707" s="9" t="s">
        <v>585</v>
      </c>
      <c r="C5707" s="61" t="n">
        <f aca="false">IFERROR(S5683/S5655,0)</f>
        <v>38547.7498225717</v>
      </c>
      <c r="D5707" s="61"/>
    </row>
    <row r="5708" customFormat="false" ht="23.85" hidden="false" customHeight="false" outlineLevel="0" collapsed="false">
      <c r="A5708" s="9" t="s">
        <v>586</v>
      </c>
      <c r="C5708" s="61" t="n">
        <f aca="false">IFERROR((S5677+S5679+S5680+S5681+S5682)/S5655,0)</f>
        <v>14989.9671622667</v>
      </c>
      <c r="D5708" s="61"/>
    </row>
    <row r="5709" customFormat="false" ht="15" hidden="false" customHeight="false" outlineLevel="0" collapsed="false">
      <c r="A5709" s="9" t="s">
        <v>587</v>
      </c>
      <c r="C5709" s="64" t="n">
        <f aca="false">IFERROR('Engine Runs'!$C$5707/('Engine Runs'!$C$5706*Assumptions!$E$76/12),0)</f>
        <v>94.6762342666662</v>
      </c>
      <c r="D5709" s="64"/>
    </row>
    <row r="5710" customFormat="false" ht="15" hidden="false" customHeight="false" outlineLevel="0" collapsed="false">
      <c r="A5710" s="9" t="s">
        <v>588</v>
      </c>
      <c r="C5710" s="64" t="n">
        <f aca="false">IFERROR((R5683/R5655)/((R5665/R5655)*Assumptions!$E$76/12),0)</f>
        <v>60.9469917172805</v>
      </c>
      <c r="D5710" s="64"/>
    </row>
    <row r="5711" customFormat="false" ht="15" hidden="false" customHeight="false" outlineLevel="0" collapsed="false">
      <c r="A5711" s="9" t="s">
        <v>589</v>
      </c>
      <c r="C5711" s="61" t="n">
        <f aca="false">S5687</f>
        <v>2916396.24975633</v>
      </c>
      <c r="D5711" s="61"/>
    </row>
    <row r="5712" customFormat="false" ht="15" hidden="false" customHeight="false" outlineLevel="0" collapsed="false">
      <c r="A5712" s="9" t="s">
        <v>590</v>
      </c>
      <c r="C5712" s="61" t="n">
        <f aca="false">N5690</f>
        <v>-2644278.61960709</v>
      </c>
      <c r="D5712" s="61"/>
    </row>
    <row r="5713" customFormat="false" ht="15" hidden="false" customHeight="false" outlineLevel="0" collapsed="false">
      <c r="A5713" s="9" t="s">
        <v>591</v>
      </c>
      <c r="C5713" s="61" t="n">
        <f aca="false">MIN($C$5690:$N$5690)</f>
        <v>-2644278.61960709</v>
      </c>
      <c r="D5713" s="61"/>
    </row>
    <row r="5714" customFormat="false" ht="15" hidden="false" customHeight="false" outlineLevel="0" collapsed="false">
      <c r="A5714" s="9" t="s">
        <v>592</v>
      </c>
      <c r="C5714" s="61" t="n">
        <f aca="false">N5664*(Assumptions!$E$76-$C$5698)*$C$5697*(1-$C$5697^Assumptions!$E$85)/(1-$C$5697)</f>
        <v>690677.699713525</v>
      </c>
      <c r="D5714" s="61"/>
    </row>
    <row r="5715" customFormat="false" ht="15" hidden="false" customHeight="false" outlineLevel="0" collapsed="false">
      <c r="A5715" s="9" t="s">
        <v>593</v>
      </c>
      <c r="C5715" s="61" t="n">
        <f aca="false">N5664*(Assumptions!$E$76-$C$5698)*(1-Assumptions!$E$88)/(1+Assumptions!$E$87)^2.5*$C$5699*(1-$C$5699^Assumptions!$E$85)/(1-$C$5699)</f>
        <v>307545.178233936</v>
      </c>
      <c r="D5715" s="61"/>
    </row>
    <row r="5716" customFormat="false" ht="15" hidden="false" customHeight="false" outlineLevel="0" collapsed="false">
      <c r="A5716" s="9" t="s">
        <v>594</v>
      </c>
      <c r="C5716" s="61" t="n">
        <f aca="false">SUM($C$5692:$N$5692)+'Engine Runs'!$C$5715</f>
        <v>-1968365.3857943</v>
      </c>
      <c r="D5716" s="61"/>
    </row>
    <row r="5717" customFormat="false" ht="15" hidden="false" customHeight="false" outlineLevel="0" collapsed="false">
      <c r="A5717" s="9" t="s">
        <v>595</v>
      </c>
      <c r="C5717" s="61" t="n">
        <f aca="false">SUM($C$5696:$N$5696)+N5694*(Assumptions!$E$76-Assumptions!$E$93)/(1+Assumptions!$E$87)^2.5*$C$5700*(1-$C$5700^Assumptions!$E$85)/(1-$C$5700)</f>
        <v>1492849.7043549</v>
      </c>
      <c r="D5717" s="61"/>
    </row>
    <row r="5718" customFormat="false" ht="15" hidden="false" customHeight="false" outlineLevel="0" collapsed="false">
      <c r="A5718" s="9" t="s">
        <v>596</v>
      </c>
      <c r="C5718" s="61" t="n">
        <f aca="false">'Engine Runs'!$C$5716-'Engine Runs'!$C$5717</f>
        <v>-3461215.09014919</v>
      </c>
      <c r="D5718" s="61"/>
    </row>
    <row r="5719" customFormat="false" ht="15" hidden="false" customHeight="false" outlineLevel="0" collapsed="false">
      <c r="A5719" s="9" t="s">
        <v>597</v>
      </c>
      <c r="C5719" s="61" t="n">
        <f aca="false">S5651</f>
        <v>0</v>
      </c>
      <c r="D5719" s="61"/>
    </row>
    <row r="5720" customFormat="false" ht="15" hidden="false" customHeight="false" outlineLevel="0" collapsed="false">
      <c r="A5720" s="9" t="s">
        <v>598</v>
      </c>
      <c r="C5720" s="63" t="n">
        <f aca="false">P5635</f>
        <v>43.6188722246667</v>
      </c>
      <c r="D5720" s="63"/>
    </row>
    <row r="5721" customFormat="false" ht="15" hidden="false" customHeight="false" outlineLevel="0" collapsed="false">
      <c r="A5721" s="9" t="s">
        <v>599</v>
      </c>
      <c r="C5721" s="63" t="n">
        <f aca="false">P5655</f>
        <v>6.18260904948639</v>
      </c>
      <c r="D5721" s="63"/>
    </row>
    <row r="5722" customFormat="false" ht="15" hidden="false" customHeight="false" outlineLevel="0" collapsed="false">
      <c r="A5722" s="9" t="s">
        <v>600</v>
      </c>
      <c r="C5722" s="63" t="n">
        <f aca="false">P5631</f>
        <v>42</v>
      </c>
      <c r="D5722" s="63"/>
    </row>
    <row r="5723" customFormat="false" ht="15" hidden="false" customHeight="false" outlineLevel="0" collapsed="false">
      <c r="A5723" s="9" t="s">
        <v>601</v>
      </c>
      <c r="C5723" s="61" t="n">
        <f aca="false">IFERROR(P5665/P5655,0)</f>
        <v>7272.25749735627</v>
      </c>
      <c r="D5723" s="61"/>
    </row>
    <row r="5726" customFormat="false" ht="15" hidden="false" customHeight="true" outlineLevel="0" collapsed="false">
      <c r="A5726" s="78" t="s">
        <v>864</v>
      </c>
      <c r="B5726" s="78"/>
      <c r="C5726" s="78"/>
      <c r="D5726" s="78"/>
      <c r="E5726" s="78"/>
      <c r="F5726" s="78"/>
      <c r="G5726" s="78"/>
      <c r="H5726" s="78"/>
      <c r="I5726" s="78"/>
      <c r="J5726" s="78"/>
      <c r="K5726" s="78"/>
      <c r="L5726" s="78"/>
      <c r="M5726" s="78"/>
      <c r="N5726" s="78"/>
    </row>
    <row r="5727" customFormat="false" ht="15" hidden="false" customHeight="true" outlineLevel="0" collapsed="false">
      <c r="A5727" s="79" t="s">
        <v>865</v>
      </c>
      <c r="B5727" s="79"/>
      <c r="C5727" s="79"/>
      <c r="D5727" s="79"/>
      <c r="E5727" s="79"/>
      <c r="F5727" s="79"/>
      <c r="G5727" s="79"/>
      <c r="H5727" s="79"/>
      <c r="I5727" s="79"/>
      <c r="J5727" s="79"/>
      <c r="K5727" s="79"/>
      <c r="L5727" s="79"/>
      <c r="M5727" s="79"/>
      <c r="N5727" s="79"/>
    </row>
    <row r="5728" customFormat="false" ht="23.85" hidden="false" customHeight="false" outlineLevel="0" collapsed="false">
      <c r="A5728" s="35" t="s">
        <v>866</v>
      </c>
      <c r="B5728" s="35" t="s">
        <v>444</v>
      </c>
      <c r="C5728" s="6" t="s">
        <v>354</v>
      </c>
      <c r="D5728" s="6" t="s">
        <v>355</v>
      </c>
      <c r="E5728" s="6" t="s">
        <v>356</v>
      </c>
      <c r="F5728" s="6" t="s">
        <v>357</v>
      </c>
      <c r="G5728" s="6" t="s">
        <v>358</v>
      </c>
      <c r="H5728" s="6" t="s">
        <v>359</v>
      </c>
      <c r="I5728" s="6" t="s">
        <v>360</v>
      </c>
      <c r="J5728" s="6" t="s">
        <v>361</v>
      </c>
      <c r="K5728" s="6" t="s">
        <v>362</v>
      </c>
      <c r="L5728" s="6" t="s">
        <v>363</v>
      </c>
      <c r="M5728" s="6" t="s">
        <v>364</v>
      </c>
      <c r="N5728" s="6" t="s">
        <v>365</v>
      </c>
      <c r="P5728" s="6" t="s">
        <v>445</v>
      </c>
      <c r="Q5728" s="6" t="s">
        <v>446</v>
      </c>
      <c r="R5728" s="6" t="s">
        <v>447</v>
      </c>
      <c r="S5728" s="6" t="s">
        <v>448</v>
      </c>
    </row>
    <row r="5729" customFormat="false" ht="15" hidden="false" customHeight="false" outlineLevel="0" collapsed="false">
      <c r="A5729" s="4" t="s">
        <v>449</v>
      </c>
      <c r="B5729" s="36" t="s">
        <v>450</v>
      </c>
      <c r="C5729" s="34" t="n">
        <f aca="false">'Market Sizing'!$C$17*Assumptions!$E$10*Assumptions!$E$11*(1-Assumptions!$E$12)</f>
        <v>843.03944704</v>
      </c>
    </row>
    <row r="5730" customFormat="false" ht="15" hidden="false" customHeight="false" outlineLevel="0" collapsed="false">
      <c r="A5730" s="4" t="s">
        <v>451</v>
      </c>
      <c r="B5730" s="36" t="s">
        <v>450</v>
      </c>
      <c r="C5730" s="34" t="n">
        <f aca="false">'Market Sizing'!$D$17*Assumptions!$E$10*Assumptions!$E$11*(1-Assumptions!$E$12)</f>
        <v>211.19616</v>
      </c>
    </row>
    <row r="5731" customFormat="false" ht="15" hidden="false" customHeight="false" outlineLevel="0" collapsed="false">
      <c r="A5731" s="4" t="s">
        <v>452</v>
      </c>
      <c r="B5731" s="36" t="s">
        <v>450</v>
      </c>
      <c r="C5731" s="34" t="n">
        <f aca="false">'Market Sizing'!$E$17*Assumptions!$E$10*Assumptions!$E$11*(1-Assumptions!$E$12)</f>
        <v>49.53984</v>
      </c>
    </row>
    <row r="5732" customFormat="false" ht="15" hidden="false" customHeight="false" outlineLevel="0" collapsed="false">
      <c r="A5732" s="4" t="s">
        <v>453</v>
      </c>
      <c r="B5732" s="36"/>
      <c r="C5732" s="34" t="n">
        <f aca="false">$C$5729+$C$5730+$C$5731</f>
        <v>1103.77544704</v>
      </c>
    </row>
    <row r="5733" customFormat="false" ht="15" hidden="false" customHeight="false" outlineLevel="0" collapsed="false">
      <c r="A5733" s="4" t="s">
        <v>454</v>
      </c>
      <c r="B5733" s="36" t="s">
        <v>450</v>
      </c>
      <c r="C5733" s="34" t="n">
        <f aca="false">'Market Sizing'!$C$18*Assumptions!$E$10*Assumptions!$E$11*(1-Assumptions!$E$12)</f>
        <v>612.57706944</v>
      </c>
    </row>
    <row r="5734" customFormat="false" ht="15" hidden="false" customHeight="false" outlineLevel="0" collapsed="false">
      <c r="A5734" s="4" t="s">
        <v>455</v>
      </c>
      <c r="B5734" s="36" t="s">
        <v>450</v>
      </c>
      <c r="C5734" s="34" t="n">
        <f aca="false">'Market Sizing'!$D$18*Assumptions!$E$10*Assumptions!$E$11*(1-Assumptions!$E$12)</f>
        <v>142.10112</v>
      </c>
    </row>
    <row r="5735" customFormat="false" ht="15" hidden="false" customHeight="false" outlineLevel="0" collapsed="false">
      <c r="A5735" s="4" t="s">
        <v>456</v>
      </c>
      <c r="B5735" s="36" t="s">
        <v>450</v>
      </c>
      <c r="C5735" s="34" t="n">
        <f aca="false">'Market Sizing'!$E$18*Assumptions!$E$10*Assumptions!$E$11*(1-Assumptions!$E$12)</f>
        <v>24.76992</v>
      </c>
    </row>
    <row r="5736" customFormat="false" ht="15" hidden="false" customHeight="false" outlineLevel="0" collapsed="false">
      <c r="A5736" s="4" t="s">
        <v>457</v>
      </c>
      <c r="B5736" s="36"/>
      <c r="C5736" s="34" t="n">
        <f aca="false">$C$5733+$C$5734+$C$5735</f>
        <v>779.44810944</v>
      </c>
    </row>
    <row r="5737" customFormat="false" ht="15" hidden="false" customHeight="false" outlineLevel="0" collapsed="false">
      <c r="A5737" s="4" t="s">
        <v>458</v>
      </c>
      <c r="B5737" s="36" t="s">
        <v>450</v>
      </c>
      <c r="C5737" s="34" t="n">
        <f aca="false">'Market Sizing'!$C$19*Assumptions!$E$10*Assumptions!$E$11*(1-Assumptions!$E$12)</f>
        <v>2060.77303936</v>
      </c>
    </row>
    <row r="5738" customFormat="false" ht="15" hidden="false" customHeight="false" outlineLevel="0" collapsed="false">
      <c r="A5738" s="4" t="s">
        <v>459</v>
      </c>
      <c r="B5738" s="36" t="s">
        <v>450</v>
      </c>
      <c r="C5738" s="34" t="n">
        <f aca="false">'Market Sizing'!$D$19*Assumptions!$E$10*Assumptions!$E$11*(1-Assumptions!$E$12)</f>
        <v>428.47616</v>
      </c>
    </row>
    <row r="5739" customFormat="false" ht="15" hidden="false" customHeight="false" outlineLevel="0" collapsed="false">
      <c r="A5739" s="4" t="s">
        <v>460</v>
      </c>
      <c r="B5739" s="36" t="s">
        <v>450</v>
      </c>
      <c r="C5739" s="34" t="n">
        <f aca="false">'Market Sizing'!$E$19*Assumptions!$E$10*Assumptions!$E$11*(1-Assumptions!$E$12)</f>
        <v>79.52448</v>
      </c>
    </row>
    <row r="5740" customFormat="false" ht="15" hidden="false" customHeight="false" outlineLevel="0" collapsed="false">
      <c r="A5740" s="4" t="s">
        <v>461</v>
      </c>
      <c r="B5740" s="36"/>
      <c r="C5740" s="34" t="n">
        <f aca="false">$C$5737+$C$5738+$C$5739</f>
        <v>2568.77367936</v>
      </c>
    </row>
    <row r="5741" customFormat="false" ht="15" hidden="false" customHeight="false" outlineLevel="0" collapsed="false">
      <c r="A5741" s="4" t="s">
        <v>462</v>
      </c>
      <c r="B5741" s="36" t="s">
        <v>463</v>
      </c>
      <c r="C5741" s="33" t="n">
        <f aca="false">MAX((Assumptions!$E$51+Assumptions!$E$53)*12,(((('Market Sizing'!$E$25*Assumptions!$E$41*Assumptions!$E$42*Assumptions!$F$43)*Assumptions!$E$44)*Assumptions!$E$45*Assumptions!$E$46+('Market Sizing'!$E$25*Assumptions!$E$41*Assumptions!$E$42*Assumptions!$F$43)*Assumptions!$E$47+('Market Sizing'!$E$25*Assumptions!$E$41*Assumptions!$E$42*Assumptions!$F$43)*Assumptions!$E$48*Assumptions!$E$49)*(Assumptions!$E$51*12/Assumptions!$E$52)+((('Market Sizing'!$E$25*Assumptions!$E$41*Assumptions!$E$42*Assumptions!$F$43)*Assumptions!$E$44)*Assumptions!$E$45+('Market Sizing'!$E$25*Assumptions!$E$41*Assumptions!$E$42*Assumptions!$F$43)+('Market Sizing'!$E$25*Assumptions!$E$41*Assumptions!$E$42*Assumptions!$F$43)*Assumptions!$E$48)*Assumptions!$E$50*(Assumptions!$E$53*12/Assumptions!$E$54)))</f>
        <v>5352</v>
      </c>
    </row>
    <row r="5742" customFormat="false" ht="15" hidden="false" customHeight="false" outlineLevel="0" collapsed="false">
      <c r="A5742" s="4" t="s">
        <v>464</v>
      </c>
      <c r="B5742" s="36" t="s">
        <v>463</v>
      </c>
      <c r="C5742" s="33" t="n">
        <f aca="false">MAX((Assumptions!$E$51+Assumptions!$E$53)*12,(((('Market Sizing'!$E$26*Assumptions!$E$41*Assumptions!$E$42*Assumptions!$F$43)*Assumptions!$E$44)*Assumptions!$E$45*Assumptions!$E$46+('Market Sizing'!$E$26*Assumptions!$E$41*Assumptions!$E$42*Assumptions!$F$43)*Assumptions!$E$47+('Market Sizing'!$E$26*Assumptions!$E$41*Assumptions!$E$42*Assumptions!$F$43)*Assumptions!$E$48*Assumptions!$E$49)*(Assumptions!$E$51*12/Assumptions!$E$52)+((('Market Sizing'!$E$26*Assumptions!$E$41*Assumptions!$E$42*Assumptions!$F$43)*Assumptions!$E$44)*Assumptions!$E$45+('Market Sizing'!$E$26*Assumptions!$E$41*Assumptions!$E$42*Assumptions!$F$43)+('Market Sizing'!$E$26*Assumptions!$E$41*Assumptions!$E$42*Assumptions!$F$43)*Assumptions!$E$48)*Assumptions!$E$50*(Assumptions!$E$53*12/Assumptions!$E$54)))</f>
        <v>14650.0801931281</v>
      </c>
    </row>
    <row r="5743" customFormat="false" ht="15" hidden="false" customHeight="false" outlineLevel="0" collapsed="false">
      <c r="A5743" s="4" t="s">
        <v>465</v>
      </c>
      <c r="B5743" s="36" t="s">
        <v>463</v>
      </c>
      <c r="C5743" s="33" t="n">
        <f aca="false">MAX(Assumptions!$E$55*(Assumptions!$E$51*12/Assumptions!$E$52)+Assumptions!$E$56*(Assumptions!$E$53*12/Assumptions!$E$54),(((('Market Sizing'!$E$27*Assumptions!$E$41*Assumptions!$E$42*Assumptions!$F$43)*Assumptions!$E$44)*Assumptions!$E$45*Assumptions!$E$46+('Market Sizing'!$E$27*Assumptions!$E$41*Assumptions!$E$42*Assumptions!$F$43)*Assumptions!$E$47+('Market Sizing'!$E$27*Assumptions!$E$41*Assumptions!$E$42*Assumptions!$F$43)*Assumptions!$E$48*Assumptions!$E$49)*(Assumptions!$E$51*12/Assumptions!$E$52)+((('Market Sizing'!$E$27*Assumptions!$E$41*Assumptions!$E$42*Assumptions!$F$43)*Assumptions!$E$44)*Assumptions!$E$45+('Market Sizing'!$E$27*Assumptions!$E$41*Assumptions!$E$42*Assumptions!$F$43)+('Market Sizing'!$E$27*Assumptions!$E$41*Assumptions!$E$42*Assumptions!$F$43)*Assumptions!$E$48)*Assumptions!$E$50*(Assumptions!$E$53*12/Assumptions!$E$54)))*(1-Assumptions!$E$57)</f>
        <v>92667.3843291578</v>
      </c>
    </row>
    <row r="5744" customFormat="false" ht="23.85" hidden="false" customHeight="false" outlineLevel="0" collapsed="false">
      <c r="A5744" s="4" t="s">
        <v>466</v>
      </c>
      <c r="B5744" s="36" t="s">
        <v>467</v>
      </c>
      <c r="C5744" s="37" t="n">
        <f aca="false">Assumptions!$E$17*Assumptions!$D$106</f>
        <v>0.4</v>
      </c>
    </row>
    <row r="5745" customFormat="false" ht="23.85" hidden="false" customHeight="false" outlineLevel="0" collapsed="false">
      <c r="A5745" s="4" t="s">
        <v>468</v>
      </c>
      <c r="B5745" s="36" t="s">
        <v>469</v>
      </c>
      <c r="C5745" s="33" t="n">
        <f aca="false">Assumptions!$E$68/Assumptions!$E$69</f>
        <v>285714.285714286</v>
      </c>
    </row>
    <row r="5746" customFormat="false" ht="23.85" hidden="false" customHeight="false" outlineLevel="0" collapsed="false">
      <c r="A5746" s="4" t="s">
        <v>470</v>
      </c>
      <c r="B5746" s="36" t="s">
        <v>471</v>
      </c>
      <c r="C5746" s="33" t="n">
        <f aca="false">Assumptions!$E$66*Assumptions!$E$67/4</f>
        <v>153125</v>
      </c>
    </row>
    <row r="5747" customFormat="false" ht="15" hidden="false" customHeight="false" outlineLevel="0" collapsed="false">
      <c r="A5747" s="4" t="s">
        <v>472</v>
      </c>
      <c r="B5747" s="36"/>
      <c r="C5747" s="38" t="n">
        <f aca="false">$C$5745/Assumptions!$E$66/Assumptions!$E$67</f>
        <v>0.466472303206997</v>
      </c>
    </row>
    <row r="5748" customFormat="false" ht="15" hidden="false" customHeight="false" outlineLevel="0" collapsed="false">
      <c r="A5748" s="4" t="s">
        <v>473</v>
      </c>
      <c r="B5748" s="36"/>
      <c r="C5748" s="33" t="n">
        <f aca="false">MAX(0,Assumptions!$D$103-Assumptions!$E$78)</f>
        <v>0</v>
      </c>
    </row>
    <row r="5749" customFormat="false" ht="15" hidden="false" customHeight="false" outlineLevel="0" collapsed="false">
      <c r="A5749" s="35" t="s">
        <v>474</v>
      </c>
      <c r="B5749" s="35" t="s">
        <v>444</v>
      </c>
      <c r="C5749" s="6" t="s">
        <v>354</v>
      </c>
      <c r="D5749" s="6" t="s">
        <v>355</v>
      </c>
      <c r="E5749" s="6" t="s">
        <v>356</v>
      </c>
      <c r="F5749" s="6" t="s">
        <v>357</v>
      </c>
      <c r="G5749" s="6" t="s">
        <v>358</v>
      </c>
      <c r="H5749" s="6" t="s">
        <v>359</v>
      </c>
      <c r="I5749" s="6" t="s">
        <v>360</v>
      </c>
      <c r="J5749" s="6" t="s">
        <v>361</v>
      </c>
      <c r="K5749" s="6" t="s">
        <v>362</v>
      </c>
      <c r="L5749" s="6" t="s">
        <v>363</v>
      </c>
      <c r="M5749" s="6" t="s">
        <v>364</v>
      </c>
      <c r="N5749" s="6" t="s">
        <v>365</v>
      </c>
      <c r="P5749" s="6" t="s">
        <v>445</v>
      </c>
      <c r="Q5749" s="6" t="s">
        <v>446</v>
      </c>
      <c r="R5749" s="6" t="s">
        <v>447</v>
      </c>
      <c r="S5749" s="6" t="s">
        <v>448</v>
      </c>
    </row>
    <row r="5750" customFormat="false" ht="15" hidden="false" customHeight="false" outlineLevel="0" collapsed="false">
      <c r="A5750" s="4" t="s">
        <v>475</v>
      </c>
      <c r="B5750" s="36" t="s">
        <v>133</v>
      </c>
      <c r="C5750" s="39" t="n">
        <v>1</v>
      </c>
      <c r="D5750" s="39" t="n">
        <v>2</v>
      </c>
      <c r="E5750" s="39" t="n">
        <v>3</v>
      </c>
      <c r="F5750" s="39" t="n">
        <v>4</v>
      </c>
      <c r="G5750" s="39" t="n">
        <v>5</v>
      </c>
      <c r="H5750" s="39" t="n">
        <v>6</v>
      </c>
      <c r="I5750" s="39" t="n">
        <v>7</v>
      </c>
      <c r="J5750" s="39" t="n">
        <v>8</v>
      </c>
      <c r="K5750" s="39" t="n">
        <v>9</v>
      </c>
      <c r="L5750" s="39" t="n">
        <v>10</v>
      </c>
      <c r="M5750" s="39" t="n">
        <v>11</v>
      </c>
      <c r="N5750" s="39" t="n">
        <v>12</v>
      </c>
      <c r="P5750" s="40"/>
      <c r="Q5750" s="40"/>
      <c r="R5750" s="40"/>
      <c r="S5750" s="41"/>
    </row>
    <row r="5751" customFormat="false" ht="15" hidden="false" customHeight="false" outlineLevel="0" collapsed="false">
      <c r="A5751" s="4" t="s">
        <v>476</v>
      </c>
      <c r="B5751" s="36" t="s">
        <v>343</v>
      </c>
      <c r="C5751" s="39" t="n">
        <f aca="false">IF(C5750&lt;=Assumptions!$E$84,1,0)</f>
        <v>1</v>
      </c>
      <c r="D5751" s="39" t="n">
        <f aca="false">IF(D5750&lt;=Assumptions!$E$84,1,0)</f>
        <v>1</v>
      </c>
      <c r="E5751" s="39" t="n">
        <f aca="false">IF(E5750&lt;=Assumptions!$E$84,1,0)</f>
        <v>1</v>
      </c>
      <c r="F5751" s="39" t="n">
        <f aca="false">IF(F5750&lt;=Assumptions!$E$84,1,0)</f>
        <v>1</v>
      </c>
      <c r="G5751" s="39" t="n">
        <f aca="false">IF(G5750&lt;=Assumptions!$E$84,1,0)</f>
        <v>1</v>
      </c>
      <c r="H5751" s="39" t="n">
        <f aca="false">IF(H5750&lt;=Assumptions!$E$84,1,0)</f>
        <v>1</v>
      </c>
      <c r="I5751" s="39" t="n">
        <f aca="false">IF(I5750&lt;=Assumptions!$E$84,1,0)</f>
        <v>1</v>
      </c>
      <c r="J5751" s="39" t="n">
        <f aca="false">IF(J5750&lt;=Assumptions!$E$84,1,0)</f>
        <v>1</v>
      </c>
      <c r="K5751" s="39" t="n">
        <f aca="false">IF(K5750&lt;=Assumptions!$E$84,1,0)</f>
        <v>1</v>
      </c>
      <c r="L5751" s="39" t="n">
        <f aca="false">IF(L5750&lt;=Assumptions!$E$84,1,0)</f>
        <v>1</v>
      </c>
      <c r="M5751" s="39" t="n">
        <f aca="false">IF(M5750&lt;=Assumptions!$E$84,1,0)</f>
        <v>1</v>
      </c>
      <c r="N5751" s="39" t="n">
        <f aca="false">IF(N5750&lt;=Assumptions!$E$84,1,0)</f>
        <v>1</v>
      </c>
      <c r="P5751" s="40"/>
      <c r="Q5751" s="40"/>
      <c r="R5751" s="40"/>
      <c r="S5751" s="41"/>
    </row>
    <row r="5752" customFormat="false" ht="15" hidden="false" customHeight="false" outlineLevel="0" collapsed="false">
      <c r="A5752" s="4" t="s">
        <v>477</v>
      </c>
      <c r="B5752" s="36" t="s">
        <v>478</v>
      </c>
      <c r="C5752" s="42" t="n">
        <f aca="false">IF(C5750=Assumptions!$E$13,0.5,IF(C5750&gt;Assumptions!$E$13,1,0))</f>
        <v>0.5</v>
      </c>
      <c r="D5752" s="42" t="n">
        <f aca="false">IF(D5750=Assumptions!$E$13,0.5,IF(D5750&gt;Assumptions!$E$13,1,0))</f>
        <v>1</v>
      </c>
      <c r="E5752" s="42" t="n">
        <f aca="false">IF(E5750=Assumptions!$E$13,0.5,IF(E5750&gt;Assumptions!$E$13,1,0))</f>
        <v>1</v>
      </c>
      <c r="F5752" s="42" t="n">
        <f aca="false">IF(F5750=Assumptions!$E$13,0.5,IF(F5750&gt;Assumptions!$E$13,1,0))</f>
        <v>1</v>
      </c>
      <c r="G5752" s="42" t="n">
        <f aca="false">IF(G5750=Assumptions!$E$13,0.5,IF(G5750&gt;Assumptions!$E$13,1,0))</f>
        <v>1</v>
      </c>
      <c r="H5752" s="42" t="n">
        <f aca="false">IF(H5750=Assumptions!$E$13,0.5,IF(H5750&gt;Assumptions!$E$13,1,0))</f>
        <v>1</v>
      </c>
      <c r="I5752" s="42" t="n">
        <f aca="false">IF(I5750=Assumptions!$E$13,0.5,IF(I5750&gt;Assumptions!$E$13,1,0))</f>
        <v>1</v>
      </c>
      <c r="J5752" s="42" t="n">
        <f aca="false">IF(J5750=Assumptions!$E$13,0.5,IF(J5750&gt;Assumptions!$E$13,1,0))</f>
        <v>1</v>
      </c>
      <c r="K5752" s="42" t="n">
        <f aca="false">IF(K5750=Assumptions!$E$13,0.5,IF(K5750&gt;Assumptions!$E$13,1,0))</f>
        <v>1</v>
      </c>
      <c r="L5752" s="42" t="n">
        <f aca="false">IF(L5750=Assumptions!$E$13,0.5,IF(L5750&gt;Assumptions!$E$13,1,0))</f>
        <v>1</v>
      </c>
      <c r="M5752" s="42" t="n">
        <f aca="false">IF(M5750=Assumptions!$E$13,0.5,IF(M5750&gt;Assumptions!$E$13,1,0))</f>
        <v>1</v>
      </c>
      <c r="N5752" s="42" t="n">
        <f aca="false">IF(N5750=Assumptions!$E$13,0.5,IF(N5750&gt;Assumptions!$E$13,1,0))</f>
        <v>1</v>
      </c>
      <c r="P5752" s="43"/>
      <c r="Q5752" s="43"/>
      <c r="R5752" s="43"/>
      <c r="S5752" s="44"/>
    </row>
    <row r="5753" customFormat="false" ht="15" hidden="false" customHeight="false" outlineLevel="0" collapsed="false">
      <c r="A5753" s="4" t="s">
        <v>479</v>
      </c>
      <c r="B5753" s="36" t="s">
        <v>478</v>
      </c>
      <c r="C5753" s="42" t="n">
        <f aca="false">IF(C5750=Assumptions!$E$14,0.5,IF(C5750&gt;Assumptions!$E$14,1,0))</f>
        <v>0</v>
      </c>
      <c r="D5753" s="42" t="n">
        <f aca="false">IF(D5750=Assumptions!$E$14,0.5,IF(D5750&gt;Assumptions!$E$14,1,0))</f>
        <v>0</v>
      </c>
      <c r="E5753" s="42" t="n">
        <f aca="false">IF(E5750=Assumptions!$E$14,0.5,IF(E5750&gt;Assumptions!$E$14,1,0))</f>
        <v>0</v>
      </c>
      <c r="F5753" s="42" t="n">
        <f aca="false">IF(F5750=Assumptions!$E$14,0.5,IF(F5750&gt;Assumptions!$E$14,1,0))</f>
        <v>0</v>
      </c>
      <c r="G5753" s="42" t="n">
        <f aca="false">IF(G5750=Assumptions!$E$14,0.5,IF(G5750&gt;Assumptions!$E$14,1,0))</f>
        <v>0.5</v>
      </c>
      <c r="H5753" s="42" t="n">
        <f aca="false">IF(H5750=Assumptions!$E$14,0.5,IF(H5750&gt;Assumptions!$E$14,1,0))</f>
        <v>1</v>
      </c>
      <c r="I5753" s="42" t="n">
        <f aca="false">IF(I5750=Assumptions!$E$14,0.5,IF(I5750&gt;Assumptions!$E$14,1,0))</f>
        <v>1</v>
      </c>
      <c r="J5753" s="42" t="n">
        <f aca="false">IF(J5750=Assumptions!$E$14,0.5,IF(J5750&gt;Assumptions!$E$14,1,0))</f>
        <v>1</v>
      </c>
      <c r="K5753" s="42" t="n">
        <f aca="false">IF(K5750=Assumptions!$E$14,0.5,IF(K5750&gt;Assumptions!$E$14,1,0))</f>
        <v>1</v>
      </c>
      <c r="L5753" s="42" t="n">
        <f aca="false">IF(L5750=Assumptions!$E$14,0.5,IF(L5750&gt;Assumptions!$E$14,1,0))</f>
        <v>1</v>
      </c>
      <c r="M5753" s="42" t="n">
        <f aca="false">IF(M5750=Assumptions!$E$14,0.5,IF(M5750&gt;Assumptions!$E$14,1,0))</f>
        <v>1</v>
      </c>
      <c r="N5753" s="42" t="n">
        <f aca="false">IF(N5750=Assumptions!$E$14,0.5,IF(N5750&gt;Assumptions!$E$14,1,0))</f>
        <v>1</v>
      </c>
      <c r="P5753" s="43"/>
      <c r="Q5753" s="43"/>
      <c r="R5753" s="43"/>
      <c r="S5753" s="44"/>
    </row>
    <row r="5754" customFormat="false" ht="15" hidden="false" customHeight="false" outlineLevel="0" collapsed="false">
      <c r="A5754" s="4" t="s">
        <v>480</v>
      </c>
      <c r="B5754" s="36" t="s">
        <v>478</v>
      </c>
      <c r="C5754" s="42" t="n">
        <f aca="false">IF(C5750=Assumptions!$E$15,0.5,IF(C5750&gt;Assumptions!$E$15,1,0))</f>
        <v>0</v>
      </c>
      <c r="D5754" s="42" t="n">
        <f aca="false">IF(D5750=Assumptions!$E$15,0.5,IF(D5750&gt;Assumptions!$E$15,1,0))</f>
        <v>0</v>
      </c>
      <c r="E5754" s="42" t="n">
        <f aca="false">IF(E5750=Assumptions!$E$15,0.5,IF(E5750&gt;Assumptions!$E$15,1,0))</f>
        <v>0</v>
      </c>
      <c r="F5754" s="42" t="n">
        <f aca="false">IF(F5750=Assumptions!$E$15,0.5,IF(F5750&gt;Assumptions!$E$15,1,0))</f>
        <v>0</v>
      </c>
      <c r="G5754" s="42" t="n">
        <f aca="false">IF(G5750=Assumptions!$E$15,0.5,IF(G5750&gt;Assumptions!$E$15,1,0))</f>
        <v>0</v>
      </c>
      <c r="H5754" s="42" t="n">
        <f aca="false">IF(H5750=Assumptions!$E$15,0.5,IF(H5750&gt;Assumptions!$E$15,1,0))</f>
        <v>0</v>
      </c>
      <c r="I5754" s="42" t="n">
        <f aca="false">IF(I5750=Assumptions!$E$15,0.5,IF(I5750&gt;Assumptions!$E$15,1,0))</f>
        <v>0.5</v>
      </c>
      <c r="J5754" s="42" t="n">
        <f aca="false">IF(J5750=Assumptions!$E$15,0.5,IF(J5750&gt;Assumptions!$E$15,1,0))</f>
        <v>1</v>
      </c>
      <c r="K5754" s="42" t="n">
        <f aca="false">IF(K5750=Assumptions!$E$15,0.5,IF(K5750&gt;Assumptions!$E$15,1,0))</f>
        <v>1</v>
      </c>
      <c r="L5754" s="42" t="n">
        <f aca="false">IF(L5750=Assumptions!$E$15,0.5,IF(L5750&gt;Assumptions!$E$15,1,0))</f>
        <v>1</v>
      </c>
      <c r="M5754" s="42" t="n">
        <f aca="false">IF(M5750=Assumptions!$E$15,0.5,IF(M5750&gt;Assumptions!$E$15,1,0))</f>
        <v>1</v>
      </c>
      <c r="N5754" s="42" t="n">
        <f aca="false">IF(N5750=Assumptions!$E$15,0.5,IF(N5750&gt;Assumptions!$E$15,1,0))</f>
        <v>1</v>
      </c>
      <c r="P5754" s="43"/>
      <c r="Q5754" s="43"/>
      <c r="R5754" s="43"/>
      <c r="S5754" s="44"/>
    </row>
    <row r="5755" customFormat="false" ht="15" hidden="false" customHeight="false" outlineLevel="0" collapsed="false">
      <c r="A5755" s="4" t="s">
        <v>481</v>
      </c>
      <c r="B5755" s="36" t="s">
        <v>478</v>
      </c>
      <c r="C5755" s="45" t="n">
        <f aca="false">Assumptions!$E$21^(MAX(0,C5750-Assumptions!$E$13)/4)</f>
        <v>1</v>
      </c>
      <c r="D5755" s="45" t="n">
        <f aca="false">Assumptions!$E$21^(MAX(0,D5750-Assumptions!$E$13)/4)</f>
        <v>0.9306048591021</v>
      </c>
      <c r="E5755" s="45" t="n">
        <f aca="false">Assumptions!$E$21^(MAX(0,E5750-Assumptions!$E$13)/4)</f>
        <v>0.866025403784439</v>
      </c>
      <c r="F5755" s="45" t="n">
        <f aca="false">Assumptions!$E$21^(MAX(0,F5750-Assumptions!$E$13)/4)</f>
        <v>0.805927448867656</v>
      </c>
      <c r="G5755" s="45" t="n">
        <f aca="false">Assumptions!$E$21^(MAX(0,G5750-Assumptions!$E$13)/4)</f>
        <v>0.75</v>
      </c>
      <c r="H5755" s="45" t="n">
        <f aca="false">Assumptions!$E$21^(MAX(0,H5750-Assumptions!$E$13)/4)</f>
        <v>0.697953644326575</v>
      </c>
      <c r="I5755" s="45" t="n">
        <f aca="false">Assumptions!$E$21^(MAX(0,I5750-Assumptions!$E$13)/4)</f>
        <v>0.649519052838329</v>
      </c>
      <c r="J5755" s="45" t="n">
        <f aca="false">Assumptions!$E$21^(MAX(0,J5750-Assumptions!$E$13)/4)</f>
        <v>0.604445586650742</v>
      </c>
      <c r="K5755" s="45" t="n">
        <f aca="false">Assumptions!$E$21^(MAX(0,K5750-Assumptions!$E$13)/4)</f>
        <v>0.5625</v>
      </c>
      <c r="L5755" s="45" t="n">
        <f aca="false">Assumptions!$E$21^(MAX(0,L5750-Assumptions!$E$13)/4)</f>
        <v>0.523465233244931</v>
      </c>
      <c r="M5755" s="45" t="n">
        <f aca="false">Assumptions!$E$21^(MAX(0,M5750-Assumptions!$E$13)/4)</f>
        <v>0.487139289628747</v>
      </c>
      <c r="N5755" s="45" t="n">
        <f aca="false">Assumptions!$E$21^(MAX(0,N5750-Assumptions!$E$13)/4)</f>
        <v>0.453334189988057</v>
      </c>
      <c r="P5755" s="46"/>
      <c r="Q5755" s="46"/>
      <c r="R5755" s="46"/>
      <c r="S5755" s="47"/>
    </row>
    <row r="5756" customFormat="false" ht="15" hidden="false" customHeight="false" outlineLevel="0" collapsed="false">
      <c r="A5756" s="4" t="s">
        <v>482</v>
      </c>
      <c r="B5756" s="36" t="s">
        <v>478</v>
      </c>
      <c r="C5756" s="45" t="n">
        <f aca="false">Assumptions!$E$21^(MAX(0,C5750-Assumptions!$E$14)/4)</f>
        <v>1</v>
      </c>
      <c r="D5756" s="45" t="n">
        <f aca="false">Assumptions!$E$21^(MAX(0,D5750-Assumptions!$E$14)/4)</f>
        <v>1</v>
      </c>
      <c r="E5756" s="45" t="n">
        <f aca="false">Assumptions!$E$21^(MAX(0,E5750-Assumptions!$E$14)/4)</f>
        <v>1</v>
      </c>
      <c r="F5756" s="45" t="n">
        <f aca="false">Assumptions!$E$21^(MAX(0,F5750-Assumptions!$E$14)/4)</f>
        <v>1</v>
      </c>
      <c r="G5756" s="45" t="n">
        <f aca="false">Assumptions!$E$21^(MAX(0,G5750-Assumptions!$E$14)/4)</f>
        <v>1</v>
      </c>
      <c r="H5756" s="45" t="n">
        <f aca="false">Assumptions!$E$21^(MAX(0,H5750-Assumptions!$E$14)/4)</f>
        <v>0.9306048591021</v>
      </c>
      <c r="I5756" s="45" t="n">
        <f aca="false">Assumptions!$E$21^(MAX(0,I5750-Assumptions!$E$14)/4)</f>
        <v>0.866025403784439</v>
      </c>
      <c r="J5756" s="45" t="n">
        <f aca="false">Assumptions!$E$21^(MAX(0,J5750-Assumptions!$E$14)/4)</f>
        <v>0.805927448867656</v>
      </c>
      <c r="K5756" s="45" t="n">
        <f aca="false">Assumptions!$E$21^(MAX(0,K5750-Assumptions!$E$14)/4)</f>
        <v>0.75</v>
      </c>
      <c r="L5756" s="45" t="n">
        <f aca="false">Assumptions!$E$21^(MAX(0,L5750-Assumptions!$E$14)/4)</f>
        <v>0.697953644326575</v>
      </c>
      <c r="M5756" s="45" t="n">
        <f aca="false">Assumptions!$E$21^(MAX(0,M5750-Assumptions!$E$14)/4)</f>
        <v>0.649519052838329</v>
      </c>
      <c r="N5756" s="45" t="n">
        <f aca="false">Assumptions!$E$21^(MAX(0,N5750-Assumptions!$E$14)/4)</f>
        <v>0.604445586650742</v>
      </c>
      <c r="P5756" s="46"/>
      <c r="Q5756" s="46"/>
      <c r="R5756" s="46"/>
      <c r="S5756" s="47"/>
    </row>
    <row r="5757" customFormat="false" ht="15" hidden="false" customHeight="false" outlineLevel="0" collapsed="false">
      <c r="A5757" s="4" t="s">
        <v>483</v>
      </c>
      <c r="B5757" s="36" t="s">
        <v>478</v>
      </c>
      <c r="C5757" s="45" t="n">
        <f aca="false">Assumptions!$E$21^(MAX(0,C5750-Assumptions!$E$15)/4)</f>
        <v>1</v>
      </c>
      <c r="D5757" s="45" t="n">
        <f aca="false">Assumptions!$E$21^(MAX(0,D5750-Assumptions!$E$15)/4)</f>
        <v>1</v>
      </c>
      <c r="E5757" s="45" t="n">
        <f aca="false">Assumptions!$E$21^(MAX(0,E5750-Assumptions!$E$15)/4)</f>
        <v>1</v>
      </c>
      <c r="F5757" s="45" t="n">
        <f aca="false">Assumptions!$E$21^(MAX(0,F5750-Assumptions!$E$15)/4)</f>
        <v>1</v>
      </c>
      <c r="G5757" s="45" t="n">
        <f aca="false">Assumptions!$E$21^(MAX(0,G5750-Assumptions!$E$15)/4)</f>
        <v>1</v>
      </c>
      <c r="H5757" s="45" t="n">
        <f aca="false">Assumptions!$E$21^(MAX(0,H5750-Assumptions!$E$15)/4)</f>
        <v>1</v>
      </c>
      <c r="I5757" s="45" t="n">
        <f aca="false">Assumptions!$E$21^(MAX(0,I5750-Assumptions!$E$15)/4)</f>
        <v>1</v>
      </c>
      <c r="J5757" s="45" t="n">
        <f aca="false">Assumptions!$E$21^(MAX(0,J5750-Assumptions!$E$15)/4)</f>
        <v>0.9306048591021</v>
      </c>
      <c r="K5757" s="45" t="n">
        <f aca="false">Assumptions!$E$21^(MAX(0,K5750-Assumptions!$E$15)/4)</f>
        <v>0.866025403784439</v>
      </c>
      <c r="L5757" s="45" t="n">
        <f aca="false">Assumptions!$E$21^(MAX(0,L5750-Assumptions!$E$15)/4)</f>
        <v>0.805927448867656</v>
      </c>
      <c r="M5757" s="45" t="n">
        <f aca="false">Assumptions!$E$21^(MAX(0,M5750-Assumptions!$E$15)/4)</f>
        <v>0.75</v>
      </c>
      <c r="N5757" s="45" t="n">
        <f aca="false">Assumptions!$E$21^(MAX(0,N5750-Assumptions!$E$15)/4)</f>
        <v>0.697953644326575</v>
      </c>
      <c r="P5757" s="46"/>
      <c r="Q5757" s="46"/>
      <c r="R5757" s="46"/>
      <c r="S5757" s="47"/>
    </row>
    <row r="5758" customFormat="false" ht="15" hidden="false" customHeight="false" outlineLevel="0" collapsed="false">
      <c r="A5758" s="4" t="s">
        <v>484</v>
      </c>
      <c r="B5758" s="36" t="s">
        <v>485</v>
      </c>
      <c r="C5758" s="39" t="n">
        <f aca="false">$C$5729*C5752+$C$5733*C5753+$C$5737*C5754</f>
        <v>421.51972352</v>
      </c>
      <c r="D5758" s="39" t="n">
        <f aca="false">$C$5729*D5752+$C$5733*D5753+$C$5737*D5754</f>
        <v>843.03944704</v>
      </c>
      <c r="E5758" s="39" t="n">
        <f aca="false">$C$5729*E5752+$C$5733*E5753+$C$5737*E5754</f>
        <v>843.03944704</v>
      </c>
      <c r="F5758" s="39" t="n">
        <f aca="false">$C$5729*F5752+$C$5733*F5753+$C$5737*F5754</f>
        <v>843.03944704</v>
      </c>
      <c r="G5758" s="39" t="n">
        <f aca="false">$C$5729*G5752+$C$5733*G5753+$C$5737*G5754</f>
        <v>1149.32798176</v>
      </c>
      <c r="H5758" s="39" t="n">
        <f aca="false">$C$5729*H5752+$C$5733*H5753+$C$5737*H5754</f>
        <v>1455.61651648</v>
      </c>
      <c r="I5758" s="39" t="n">
        <f aca="false">$C$5729*I5752+$C$5733*I5753+$C$5737*I5754</f>
        <v>2486.00303616</v>
      </c>
      <c r="J5758" s="39" t="n">
        <f aca="false">$C$5729*J5752+$C$5733*J5753+$C$5737*J5754</f>
        <v>3516.38955584</v>
      </c>
      <c r="K5758" s="39" t="n">
        <f aca="false">$C$5729*K5752+$C$5733*K5753+$C$5737*K5754</f>
        <v>3516.38955584</v>
      </c>
      <c r="L5758" s="39" t="n">
        <f aca="false">$C$5729*L5752+$C$5733*L5753+$C$5737*L5754</f>
        <v>3516.38955584</v>
      </c>
      <c r="M5758" s="39" t="n">
        <f aca="false">$C$5729*M5752+$C$5733*M5753+$C$5737*M5754</f>
        <v>3516.38955584</v>
      </c>
      <c r="N5758" s="39" t="n">
        <f aca="false">$C$5729*N5752+$C$5733*N5753+$C$5737*N5754</f>
        <v>3516.38955584</v>
      </c>
      <c r="P5758" s="40" t="n">
        <f aca="false">F5758</f>
        <v>843.03944704</v>
      </c>
      <c r="Q5758" s="40" t="n">
        <f aca="false">J5758</f>
        <v>3516.38955584</v>
      </c>
      <c r="R5758" s="40" t="n">
        <f aca="false">N5758</f>
        <v>3516.38955584</v>
      </c>
      <c r="S5758" s="41" t="n">
        <f aca="false">R5758</f>
        <v>3516.38955584</v>
      </c>
    </row>
    <row r="5759" customFormat="false" ht="15" hidden="false" customHeight="false" outlineLevel="0" collapsed="false">
      <c r="A5759" s="4" t="s">
        <v>486</v>
      </c>
      <c r="B5759" s="36" t="s">
        <v>485</v>
      </c>
      <c r="C5759" s="39" t="n">
        <f aca="false">$C$5730*C5752+$C$5734*C5753+$C$5738*C5754</f>
        <v>105.59808</v>
      </c>
      <c r="D5759" s="39" t="n">
        <f aca="false">$C$5730*D5752+$C$5734*D5753+$C$5738*D5754</f>
        <v>211.19616</v>
      </c>
      <c r="E5759" s="39" t="n">
        <f aca="false">$C$5730*E5752+$C$5734*E5753+$C$5738*E5754</f>
        <v>211.19616</v>
      </c>
      <c r="F5759" s="39" t="n">
        <f aca="false">$C$5730*F5752+$C$5734*F5753+$C$5738*F5754</f>
        <v>211.19616</v>
      </c>
      <c r="G5759" s="39" t="n">
        <f aca="false">$C$5730*G5752+$C$5734*G5753+$C$5738*G5754</f>
        <v>282.24672</v>
      </c>
      <c r="H5759" s="39" t="n">
        <f aca="false">$C$5730*H5752+$C$5734*H5753+$C$5738*H5754</f>
        <v>353.29728</v>
      </c>
      <c r="I5759" s="39" t="n">
        <f aca="false">$C$5730*I5752+$C$5734*I5753+$C$5738*I5754</f>
        <v>567.53536</v>
      </c>
      <c r="J5759" s="39" t="n">
        <f aca="false">$C$5730*J5752+$C$5734*J5753+$C$5738*J5754</f>
        <v>781.77344</v>
      </c>
      <c r="K5759" s="39" t="n">
        <f aca="false">$C$5730*K5752+$C$5734*K5753+$C$5738*K5754</f>
        <v>781.77344</v>
      </c>
      <c r="L5759" s="39" t="n">
        <f aca="false">$C$5730*L5752+$C$5734*L5753+$C$5738*L5754</f>
        <v>781.77344</v>
      </c>
      <c r="M5759" s="39" t="n">
        <f aca="false">$C$5730*M5752+$C$5734*M5753+$C$5738*M5754</f>
        <v>781.77344</v>
      </c>
      <c r="N5759" s="39" t="n">
        <f aca="false">$C$5730*N5752+$C$5734*N5753+$C$5738*N5754</f>
        <v>781.77344</v>
      </c>
      <c r="P5759" s="40" t="n">
        <f aca="false">F5759</f>
        <v>211.19616</v>
      </c>
      <c r="Q5759" s="40" t="n">
        <f aca="false">J5759</f>
        <v>781.77344</v>
      </c>
      <c r="R5759" s="40" t="n">
        <f aca="false">N5759</f>
        <v>781.77344</v>
      </c>
      <c r="S5759" s="41" t="n">
        <f aca="false">R5759</f>
        <v>781.77344</v>
      </c>
    </row>
    <row r="5760" customFormat="false" ht="15" hidden="false" customHeight="false" outlineLevel="0" collapsed="false">
      <c r="A5760" s="4" t="s">
        <v>487</v>
      </c>
      <c r="B5760" s="36" t="s">
        <v>485</v>
      </c>
      <c r="C5760" s="39" t="n">
        <f aca="false">$C$5731*C5752+$C$5735*C5753+$C$5739*C5754</f>
        <v>24.76992</v>
      </c>
      <c r="D5760" s="39" t="n">
        <f aca="false">$C$5731*D5752+$C$5735*D5753+$C$5739*D5754</f>
        <v>49.53984</v>
      </c>
      <c r="E5760" s="39" t="n">
        <f aca="false">$C$5731*E5752+$C$5735*E5753+$C$5739*E5754</f>
        <v>49.53984</v>
      </c>
      <c r="F5760" s="39" t="n">
        <f aca="false">$C$5731*F5752+$C$5735*F5753+$C$5739*F5754</f>
        <v>49.53984</v>
      </c>
      <c r="G5760" s="39" t="n">
        <f aca="false">$C$5731*G5752+$C$5735*G5753+$C$5739*G5754</f>
        <v>61.9248</v>
      </c>
      <c r="H5760" s="39" t="n">
        <f aca="false">$C$5731*H5752+$C$5735*H5753+$C$5739*H5754</f>
        <v>74.30976</v>
      </c>
      <c r="I5760" s="39" t="n">
        <f aca="false">$C$5731*I5752+$C$5735*I5753+$C$5739*I5754</f>
        <v>114.072</v>
      </c>
      <c r="J5760" s="39" t="n">
        <f aca="false">$C$5731*J5752+$C$5735*J5753+$C$5739*J5754</f>
        <v>153.83424</v>
      </c>
      <c r="K5760" s="39" t="n">
        <f aca="false">$C$5731*K5752+$C$5735*K5753+$C$5739*K5754</f>
        <v>153.83424</v>
      </c>
      <c r="L5760" s="39" t="n">
        <f aca="false">$C$5731*L5752+$C$5735*L5753+$C$5739*L5754</f>
        <v>153.83424</v>
      </c>
      <c r="M5760" s="39" t="n">
        <f aca="false">$C$5731*M5752+$C$5735*M5753+$C$5739*M5754</f>
        <v>153.83424</v>
      </c>
      <c r="N5760" s="39" t="n">
        <f aca="false">$C$5731*N5752+$C$5735*N5753+$C$5739*N5754</f>
        <v>153.83424</v>
      </c>
      <c r="P5760" s="40" t="n">
        <f aca="false">F5760</f>
        <v>49.53984</v>
      </c>
      <c r="Q5760" s="40" t="n">
        <f aca="false">J5760</f>
        <v>153.83424</v>
      </c>
      <c r="R5760" s="40" t="n">
        <f aca="false">N5760</f>
        <v>153.83424</v>
      </c>
      <c r="S5760" s="41" t="n">
        <f aca="false">R5760</f>
        <v>153.83424</v>
      </c>
    </row>
    <row r="5761" customFormat="false" ht="15" hidden="false" customHeight="false" outlineLevel="0" collapsed="false">
      <c r="A5761" s="4" t="s">
        <v>488</v>
      </c>
      <c r="B5761" s="36" t="s">
        <v>485</v>
      </c>
      <c r="C5761" s="39" t="n">
        <f aca="false">C5758+C5759+C5760</f>
        <v>551.88772352</v>
      </c>
      <c r="D5761" s="39" t="n">
        <f aca="false">D5758+D5759+D5760</f>
        <v>1103.77544704</v>
      </c>
      <c r="E5761" s="39" t="n">
        <f aca="false">E5758+E5759+E5760</f>
        <v>1103.77544704</v>
      </c>
      <c r="F5761" s="39" t="n">
        <f aca="false">F5758+F5759+F5760</f>
        <v>1103.77544704</v>
      </c>
      <c r="G5761" s="39" t="n">
        <f aca="false">G5758+G5759+G5760</f>
        <v>1493.49950176</v>
      </c>
      <c r="H5761" s="39" t="n">
        <f aca="false">H5758+H5759+H5760</f>
        <v>1883.22355648</v>
      </c>
      <c r="I5761" s="39" t="n">
        <f aca="false">I5758+I5759+I5760</f>
        <v>3167.61039616</v>
      </c>
      <c r="J5761" s="39" t="n">
        <f aca="false">J5758+J5759+J5760</f>
        <v>4451.99723584</v>
      </c>
      <c r="K5761" s="39" t="n">
        <f aca="false">K5758+K5759+K5760</f>
        <v>4451.99723584</v>
      </c>
      <c r="L5761" s="39" t="n">
        <f aca="false">L5758+L5759+L5760</f>
        <v>4451.99723584</v>
      </c>
      <c r="M5761" s="39" t="n">
        <f aca="false">M5758+M5759+M5760</f>
        <v>4451.99723584</v>
      </c>
      <c r="N5761" s="39" t="n">
        <f aca="false">N5758+N5759+N5760</f>
        <v>4451.99723584</v>
      </c>
      <c r="P5761" s="40" t="n">
        <f aca="false">F5761</f>
        <v>1103.77544704</v>
      </c>
      <c r="Q5761" s="40" t="n">
        <f aca="false">J5761</f>
        <v>4451.99723584</v>
      </c>
      <c r="R5761" s="40" t="n">
        <f aca="false">N5761</f>
        <v>4451.99723584</v>
      </c>
      <c r="S5761" s="41" t="n">
        <f aca="false">R5761</f>
        <v>4451.99723584</v>
      </c>
    </row>
    <row r="5762" customFormat="false" ht="15" hidden="false" customHeight="false" outlineLevel="0" collapsed="false">
      <c r="A5762" s="4" t="s">
        <v>489</v>
      </c>
      <c r="B5762" s="36" t="s">
        <v>485</v>
      </c>
      <c r="C5762" s="39" t="n">
        <f aca="false">$C$5732*C5752*C5755+$C$5736*C5753*C5756+$C$5740*C5754*C5757</f>
        <v>551.88772352</v>
      </c>
      <c r="D5762" s="39" t="n">
        <f aca="false">$C$5732*D5752*D5755+$C$5736*D5753*D5756+$C$5740*D5754*D5757</f>
        <v>1027.17879437302</v>
      </c>
      <c r="E5762" s="39" t="n">
        <f aca="false">$C$5732*E5752*E5755+$C$5736*E5753*E5756+$C$5740*E5754*E5757</f>
        <v>955.897577210165</v>
      </c>
      <c r="F5762" s="39" t="n">
        <f aca="false">$C$5732*F5752*F5755+$C$5736*F5753*F5756+$C$5740*F5754*F5757</f>
        <v>889.562930155704</v>
      </c>
      <c r="G5762" s="39" t="n">
        <f aca="false">$C$5732*G5752*G5755+$C$5736*G5753*G5756+$C$5740*G5754*G5757</f>
        <v>1217.55564</v>
      </c>
      <c r="H5762" s="39" t="n">
        <f aca="false">$C$5732*H5752*H5755+$C$5736*H5753*H5756+$C$5740*H5754*H5757</f>
        <v>1495.74229384257</v>
      </c>
      <c r="I5762" s="39" t="n">
        <f aca="false">$C$5732*I5752*I5755+$C$5736*I5753*I5756+$C$5740*I5754*I5757</f>
        <v>2676.33188629442</v>
      </c>
      <c r="J5762" s="39" t="n">
        <f aca="false">$C$5732*J5752*J5755+$C$5736*J5753*J5756+$C$5740*J5754*J5757</f>
        <v>3685.86409192847</v>
      </c>
      <c r="K5762" s="39" t="n">
        <f aca="false">$C$5732*K5752*K5755+$C$5736*K5753*K5756+$C$5740*K5754*K5757</f>
        <v>3430.08303393858</v>
      </c>
      <c r="L5762" s="39" t="n">
        <f aca="false">$C$5732*L5752*L5755+$C$5736*L5753*L5756+$C$5740*L5754*L5757</f>
        <v>3192.05193850692</v>
      </c>
      <c r="M5762" s="39" t="n">
        <f aca="false">$C$5732*M5752*M5755+$C$5736*M5753*M5756+$C$5740*M5754*M5757</f>
        <v>2970.53904448081</v>
      </c>
      <c r="N5762" s="39" t="n">
        <f aca="false">$C$5732*N5752*N5755+$C$5736*N5753*N5756+$C$5740*N5754*N5757</f>
        <v>2764.39806894635</v>
      </c>
      <c r="P5762" s="40"/>
      <c r="Q5762" s="40"/>
      <c r="R5762" s="40"/>
      <c r="S5762" s="41"/>
    </row>
    <row r="5763" customFormat="false" ht="15" hidden="false" customHeight="false" outlineLevel="0" collapsed="false">
      <c r="A5763" s="4" t="s">
        <v>490</v>
      </c>
      <c r="B5763" s="36" t="s">
        <v>491</v>
      </c>
      <c r="C5763" s="48" t="n">
        <f aca="false">$C$5744*Assumptions!$E$20*C5751*C5762</f>
        <v>6.62265268224</v>
      </c>
      <c r="D5763" s="48" t="n">
        <f aca="false">$C$5744*Assumptions!$E$20*D5751*D5762</f>
        <v>12.3261455324762</v>
      </c>
      <c r="E5763" s="48" t="n">
        <f aca="false">$C$5744*Assumptions!$E$20*E5751*E5762</f>
        <v>11.470770926522</v>
      </c>
      <c r="F5763" s="48" t="n">
        <f aca="false">$C$5744*Assumptions!$E$20*F5751*F5762</f>
        <v>10.6747551618685</v>
      </c>
      <c r="G5763" s="48" t="n">
        <f aca="false">$C$5744*Assumptions!$E$20*G5751*G5762</f>
        <v>14.61066768</v>
      </c>
      <c r="H5763" s="48" t="n">
        <f aca="false">$C$5744*Assumptions!$E$20*H5751*H5762</f>
        <v>17.9489075261109</v>
      </c>
      <c r="I5763" s="48" t="n">
        <f aca="false">$C$5744*Assumptions!$E$20*I5751*I5762</f>
        <v>32.115982635533</v>
      </c>
      <c r="J5763" s="48" t="n">
        <f aca="false">$C$5744*Assumptions!$E$20*J5751*J5762</f>
        <v>44.2303691031417</v>
      </c>
      <c r="K5763" s="48" t="n">
        <f aca="false">$C$5744*Assumptions!$E$20*K5751*K5762</f>
        <v>41.160996407263</v>
      </c>
      <c r="L5763" s="48" t="n">
        <f aca="false">$C$5744*Assumptions!$E$20*L5751*L5762</f>
        <v>38.304623262083</v>
      </c>
      <c r="M5763" s="48" t="n">
        <f aca="false">$C$5744*Assumptions!$E$20*M5751*M5762</f>
        <v>35.6464685337698</v>
      </c>
      <c r="N5763" s="48" t="n">
        <f aca="false">$C$5744*Assumptions!$E$20*N5751*N5762</f>
        <v>33.1727768273562</v>
      </c>
      <c r="P5763" s="49" t="n">
        <f aca="false">SUM(C5763:F5763)</f>
        <v>41.0943243031066</v>
      </c>
      <c r="Q5763" s="49" t="n">
        <f aca="false">SUM(G5763:J5763)</f>
        <v>108.905926944786</v>
      </c>
      <c r="R5763" s="49" t="n">
        <f aca="false">SUM(K5763:N5763)</f>
        <v>148.284865030472</v>
      </c>
      <c r="S5763" s="50" t="n">
        <f aca="false">SUM(P5763:R5763)</f>
        <v>298.285116278364</v>
      </c>
    </row>
    <row r="5764" customFormat="false" ht="15" hidden="false" customHeight="false" outlineLevel="0" collapsed="false">
      <c r="A5764" s="4" t="s">
        <v>492</v>
      </c>
      <c r="B5764" s="36" t="s">
        <v>321</v>
      </c>
      <c r="C5764" s="48" t="n">
        <f aca="false">Assumptions!$D$111</f>
        <v>0</v>
      </c>
      <c r="D5764" s="48" t="n">
        <f aca="false">Assumptions!$E$111</f>
        <v>0</v>
      </c>
      <c r="E5764" s="48" t="n">
        <f aca="false">Assumptions!$F$111</f>
        <v>0</v>
      </c>
      <c r="F5764" s="48" t="n">
        <f aca="false">Assumptions!$G$111</f>
        <v>0</v>
      </c>
      <c r="G5764" s="48" t="n">
        <f aca="false">Assumptions!$H$111</f>
        <v>0</v>
      </c>
      <c r="H5764" s="48" t="n">
        <f aca="false">Assumptions!$I$111</f>
        <v>0</v>
      </c>
      <c r="I5764" s="48" t="n">
        <f aca="false">Assumptions!$J$111</f>
        <v>0</v>
      </c>
      <c r="J5764" s="48" t="n">
        <f aca="false">Assumptions!$K$111</f>
        <v>0</v>
      </c>
      <c r="K5764" s="48" t="n">
        <f aca="false">Assumptions!$L$111</f>
        <v>0</v>
      </c>
      <c r="L5764" s="48" t="n">
        <f aca="false">Assumptions!$M$111</f>
        <v>0</v>
      </c>
      <c r="M5764" s="48" t="n">
        <f aca="false">Assumptions!$N$111</f>
        <v>0</v>
      </c>
      <c r="N5764" s="48" t="n">
        <f aca="false">Assumptions!$O$111</f>
        <v>0</v>
      </c>
      <c r="P5764" s="49" t="n">
        <f aca="false">F5764</f>
        <v>0</v>
      </c>
      <c r="Q5764" s="49" t="n">
        <f aca="false">J5764</f>
        <v>0</v>
      </c>
      <c r="R5764" s="49" t="n">
        <f aca="false">N5764</f>
        <v>0</v>
      </c>
      <c r="S5764" s="50" t="n">
        <f aca="false">R5764</f>
        <v>0</v>
      </c>
    </row>
    <row r="5765" customFormat="false" ht="15" hidden="false" customHeight="false" outlineLevel="0" collapsed="false">
      <c r="A5765" s="4" t="s">
        <v>493</v>
      </c>
      <c r="B5765" s="36" t="s">
        <v>321</v>
      </c>
      <c r="C5765" s="48" t="n">
        <f aca="false">0</f>
        <v>0</v>
      </c>
      <c r="D5765" s="48" t="n">
        <f aca="false">0.5*C5764</f>
        <v>0</v>
      </c>
      <c r="E5765" s="48" t="n">
        <f aca="false">C5764+0.5*(D5764-C5764)</f>
        <v>0</v>
      </c>
      <c r="F5765" s="48" t="n">
        <f aca="false">D5764+0.5*(E5764-D5764)</f>
        <v>0</v>
      </c>
      <c r="G5765" s="48" t="n">
        <f aca="false">E5764+0.5*(F5764-E5764)</f>
        <v>0</v>
      </c>
      <c r="H5765" s="48" t="n">
        <f aca="false">F5764+0.5*(G5764-F5764)</f>
        <v>0</v>
      </c>
      <c r="I5765" s="48" t="n">
        <f aca="false">G5764+0.5*(H5764-G5764)</f>
        <v>0</v>
      </c>
      <c r="J5765" s="48" t="n">
        <f aca="false">H5764+0.5*(I5764-H5764)</f>
        <v>0</v>
      </c>
      <c r="K5765" s="48" t="n">
        <f aca="false">I5764+0.5*(J5764-I5764)</f>
        <v>0</v>
      </c>
      <c r="L5765" s="48" t="n">
        <f aca="false">J5764+0.5*(K5764-J5764)</f>
        <v>0</v>
      </c>
      <c r="M5765" s="48" t="n">
        <f aca="false">K5764+0.5*(L5764-K5764)</f>
        <v>0</v>
      </c>
      <c r="N5765" s="48" t="n">
        <f aca="false">L5764+0.5*(M5764-L5764)</f>
        <v>0</v>
      </c>
      <c r="P5765" s="49" t="n">
        <f aca="false">F5765</f>
        <v>0</v>
      </c>
      <c r="Q5765" s="49" t="n">
        <f aca="false">J5765</f>
        <v>0</v>
      </c>
      <c r="R5765" s="49" t="n">
        <f aca="false">N5765</f>
        <v>0</v>
      </c>
      <c r="S5765" s="50" t="n">
        <f aca="false">R5765</f>
        <v>0</v>
      </c>
    </row>
    <row r="5766" customFormat="false" ht="15" hidden="false" customHeight="false" outlineLevel="0" collapsed="false">
      <c r="A5766" s="4" t="s">
        <v>494</v>
      </c>
      <c r="B5766" s="36" t="s">
        <v>485</v>
      </c>
      <c r="C5766" s="39" t="n">
        <f aca="false">MIN(C5765*Assumptions!$E$38,C5761*(1-$C$5744))</f>
        <v>0</v>
      </c>
      <c r="D5766" s="39" t="n">
        <f aca="false">MIN(D5765*Assumptions!$E$38,D5761*(1-$C$5744))</f>
        <v>0</v>
      </c>
      <c r="E5766" s="39" t="n">
        <f aca="false">MIN(E5765*Assumptions!$E$38,E5761*(1-$C$5744))</f>
        <v>0</v>
      </c>
      <c r="F5766" s="39" t="n">
        <f aca="false">MIN(F5765*Assumptions!$E$38,F5761*(1-$C$5744))</f>
        <v>0</v>
      </c>
      <c r="G5766" s="39" t="n">
        <f aca="false">MIN(G5765*Assumptions!$E$38,G5761*(1-$C$5744))</f>
        <v>0</v>
      </c>
      <c r="H5766" s="39" t="n">
        <f aca="false">MIN(H5765*Assumptions!$E$38,H5761*(1-$C$5744))</f>
        <v>0</v>
      </c>
      <c r="I5766" s="39" t="n">
        <f aca="false">MIN(I5765*Assumptions!$E$38,I5761*(1-$C$5744))</f>
        <v>0</v>
      </c>
      <c r="J5766" s="39" t="n">
        <f aca="false">MIN(J5765*Assumptions!$E$38,J5761*(1-$C$5744))</f>
        <v>0</v>
      </c>
      <c r="K5766" s="39" t="n">
        <f aca="false">MIN(K5765*Assumptions!$E$38,K5761*(1-$C$5744))</f>
        <v>0</v>
      </c>
      <c r="L5766" s="39" t="n">
        <f aca="false">MIN(L5765*Assumptions!$E$38,L5761*(1-$C$5744))</f>
        <v>0</v>
      </c>
      <c r="M5766" s="39" t="n">
        <f aca="false">MIN(M5765*Assumptions!$E$38,M5761*(1-$C$5744))</f>
        <v>0</v>
      </c>
      <c r="N5766" s="39" t="n">
        <f aca="false">MIN(N5765*Assumptions!$E$38,N5761*(1-$C$5744))</f>
        <v>0</v>
      </c>
      <c r="P5766" s="40" t="n">
        <f aca="false">SUM(C5766:F5766)</f>
        <v>0</v>
      </c>
      <c r="Q5766" s="40" t="n">
        <f aca="false">SUM(G5766:J5766)</f>
        <v>0</v>
      </c>
      <c r="R5766" s="40" t="n">
        <f aca="false">SUM(K5766:N5766)</f>
        <v>0</v>
      </c>
      <c r="S5766" s="41" t="n">
        <f aca="false">SUM(P5766:R5766)</f>
        <v>0</v>
      </c>
    </row>
    <row r="5767" customFormat="false" ht="15" hidden="false" customHeight="false" outlineLevel="0" collapsed="false">
      <c r="A5767" s="4" t="s">
        <v>495</v>
      </c>
      <c r="B5767" s="36" t="s">
        <v>491</v>
      </c>
      <c r="C5767" s="48" t="n">
        <f aca="false">C5766*Assumptions!$E$20*Assumptions!$E$39*IF(C5761&gt;0,C5762/C5761,0)*C5751</f>
        <v>0</v>
      </c>
      <c r="D5767" s="48" t="n">
        <f aca="false">D5766*Assumptions!$E$20*Assumptions!$E$39*IF(D5761&gt;0,D5762/D5761,0)*D5751</f>
        <v>0</v>
      </c>
      <c r="E5767" s="48" t="n">
        <f aca="false">E5766*Assumptions!$E$20*Assumptions!$E$39*IF(E5761&gt;0,E5762/E5761,0)*E5751</f>
        <v>0</v>
      </c>
      <c r="F5767" s="48" t="n">
        <f aca="false">F5766*Assumptions!$E$20*Assumptions!$E$39*IF(F5761&gt;0,F5762/F5761,0)*F5751</f>
        <v>0</v>
      </c>
      <c r="G5767" s="48" t="n">
        <f aca="false">G5766*Assumptions!$E$20*Assumptions!$E$39*IF(G5761&gt;0,G5762/G5761,0)*G5751</f>
        <v>0</v>
      </c>
      <c r="H5767" s="48" t="n">
        <f aca="false">H5766*Assumptions!$E$20*Assumptions!$E$39*IF(H5761&gt;0,H5762/H5761,0)*H5751</f>
        <v>0</v>
      </c>
      <c r="I5767" s="48" t="n">
        <f aca="false">I5766*Assumptions!$E$20*Assumptions!$E$39*IF(I5761&gt;0,I5762/I5761,0)*I5751</f>
        <v>0</v>
      </c>
      <c r="J5767" s="48" t="n">
        <f aca="false">J5766*Assumptions!$E$20*Assumptions!$E$39*IF(J5761&gt;0,J5762/J5761,0)*J5751</f>
        <v>0</v>
      </c>
      <c r="K5767" s="48" t="n">
        <f aca="false">K5766*Assumptions!$E$20*Assumptions!$E$39*IF(K5761&gt;0,K5762/K5761,0)*K5751</f>
        <v>0</v>
      </c>
      <c r="L5767" s="48" t="n">
        <f aca="false">L5766*Assumptions!$E$20*Assumptions!$E$39*IF(L5761&gt;0,L5762/L5761,0)*L5751</f>
        <v>0</v>
      </c>
      <c r="M5767" s="48" t="n">
        <f aca="false">M5766*Assumptions!$E$20*Assumptions!$E$39*IF(M5761&gt;0,M5762/M5761,0)*M5751</f>
        <v>0</v>
      </c>
      <c r="N5767" s="48" t="n">
        <f aca="false">N5766*Assumptions!$E$20*Assumptions!$E$39*IF(N5761&gt;0,N5762/N5761,0)*N5751</f>
        <v>0</v>
      </c>
      <c r="P5767" s="49" t="n">
        <f aca="false">SUM(C5767:F5767)</f>
        <v>0</v>
      </c>
      <c r="Q5767" s="49" t="n">
        <f aca="false">SUM(G5767:J5767)</f>
        <v>0</v>
      </c>
      <c r="R5767" s="49" t="n">
        <f aca="false">SUM(K5767:N5767)</f>
        <v>0</v>
      </c>
      <c r="S5767" s="50" t="n">
        <f aca="false">SUM(P5767:R5767)</f>
        <v>0</v>
      </c>
    </row>
    <row r="5768" customFormat="false" ht="15" hidden="false" customHeight="false" outlineLevel="0" collapsed="false">
      <c r="A5768" s="4" t="s">
        <v>496</v>
      </c>
      <c r="B5768" s="36" t="s">
        <v>497</v>
      </c>
      <c r="C5768" s="48" t="n">
        <f aca="false">IF(AND(C5761&gt;0,$C$5748&gt;0),C5761*Assumptions!$E$24*(1-EXP(-$C$5748/(Assumptions!$E$23*C5761*Assumptions!$E$24))),0)</f>
        <v>0</v>
      </c>
      <c r="D5768" s="48" t="n">
        <f aca="false">IF(AND(D5761&gt;0,$C$5748&gt;0),D5761*Assumptions!$E$24*(1-EXP(-$C$5748/(Assumptions!$E$23*D5761*Assumptions!$E$24))),0)</f>
        <v>0</v>
      </c>
      <c r="E5768" s="48" t="n">
        <f aca="false">IF(AND(E5761&gt;0,$C$5748&gt;0),E5761*Assumptions!$E$24*(1-EXP(-$C$5748/(Assumptions!$E$23*E5761*Assumptions!$E$24))),0)</f>
        <v>0</v>
      </c>
      <c r="F5768" s="48" t="n">
        <f aca="false">IF(AND(F5761&gt;0,$C$5748&gt;0),F5761*Assumptions!$E$24*(1-EXP(-$C$5748/(Assumptions!$E$23*F5761*Assumptions!$E$24))),0)</f>
        <v>0</v>
      </c>
      <c r="G5768" s="48" t="n">
        <f aca="false">IF(AND(G5761&gt;0,$C$5748&gt;0),G5761*Assumptions!$E$24*(1-EXP(-$C$5748/(Assumptions!$E$23*G5761*Assumptions!$E$24))),0)</f>
        <v>0</v>
      </c>
      <c r="H5768" s="48" t="n">
        <f aca="false">IF(AND(H5761&gt;0,$C$5748&gt;0),H5761*Assumptions!$E$24*(1-EXP(-$C$5748/(Assumptions!$E$23*H5761*Assumptions!$E$24))),0)</f>
        <v>0</v>
      </c>
      <c r="I5768" s="48" t="n">
        <f aca="false">IF(AND(I5761&gt;0,$C$5748&gt;0),I5761*Assumptions!$E$24*(1-EXP(-$C$5748/(Assumptions!$E$23*I5761*Assumptions!$E$24))),0)</f>
        <v>0</v>
      </c>
      <c r="J5768" s="48" t="n">
        <f aca="false">IF(AND(J5761&gt;0,$C$5748&gt;0),J5761*Assumptions!$E$24*(1-EXP(-$C$5748/(Assumptions!$E$23*J5761*Assumptions!$E$24))),0)</f>
        <v>0</v>
      </c>
      <c r="K5768" s="48" t="n">
        <f aca="false">IF(AND(K5761&gt;0,$C$5748&gt;0),K5761*Assumptions!$E$24*(1-EXP(-$C$5748/(Assumptions!$E$23*K5761*Assumptions!$E$24))),0)</f>
        <v>0</v>
      </c>
      <c r="L5768" s="48" t="n">
        <f aca="false">IF(AND(L5761&gt;0,$C$5748&gt;0),L5761*Assumptions!$E$24*(1-EXP(-$C$5748/(Assumptions!$E$23*L5761*Assumptions!$E$24))),0)</f>
        <v>0</v>
      </c>
      <c r="M5768" s="48" t="n">
        <f aca="false">IF(AND(M5761&gt;0,$C$5748&gt;0),M5761*Assumptions!$E$24*(1-EXP(-$C$5748/(Assumptions!$E$23*M5761*Assumptions!$E$24))),0)</f>
        <v>0</v>
      </c>
      <c r="N5768" s="48" t="n">
        <f aca="false">IF(AND(N5761&gt;0,$C$5748&gt;0),N5761*Assumptions!$E$24*(1-EXP(-$C$5748/(Assumptions!$E$23*N5761*Assumptions!$E$24))),0)</f>
        <v>0</v>
      </c>
      <c r="P5768" s="49" t="n">
        <f aca="false">SUM(C5768:F5768)</f>
        <v>0</v>
      </c>
      <c r="Q5768" s="49" t="n">
        <f aca="false">SUM(G5768:J5768)</f>
        <v>0</v>
      </c>
      <c r="R5768" s="49" t="n">
        <f aca="false">SUM(K5768:N5768)</f>
        <v>0</v>
      </c>
      <c r="S5768" s="50" t="n">
        <f aca="false">SUM(P5768:R5768)</f>
        <v>0</v>
      </c>
    </row>
    <row r="5769" customFormat="false" ht="15" hidden="false" customHeight="false" outlineLevel="0" collapsed="false">
      <c r="A5769" s="4" t="s">
        <v>498</v>
      </c>
      <c r="B5769" s="36" t="s">
        <v>497</v>
      </c>
      <c r="C5769" s="48" t="n">
        <f aca="false">(C5761*Assumptions!$E$22*MIN(1,Assumptions!$D$103/Assumptions!$E$78)+C5768)*C5751</f>
        <v>5.5188772352</v>
      </c>
      <c r="D5769" s="48" t="n">
        <f aca="false">(D5761*Assumptions!$E$22*MIN(1,Assumptions!$D$103/Assumptions!$E$78)+D5768)*D5751</f>
        <v>11.0377544704</v>
      </c>
      <c r="E5769" s="48" t="n">
        <f aca="false">(E5761*Assumptions!$E$22*MIN(1,Assumptions!$D$103/Assumptions!$E$78)+E5768)*E5751</f>
        <v>11.0377544704</v>
      </c>
      <c r="F5769" s="48" t="n">
        <f aca="false">(F5761*Assumptions!$E$22*MIN(1,Assumptions!$D$103/Assumptions!$E$78)+F5768)*F5751</f>
        <v>11.0377544704</v>
      </c>
      <c r="G5769" s="48" t="n">
        <f aca="false">(G5761*Assumptions!$E$22*MIN(1,Assumptions!$D$103/Assumptions!$E$78)+G5768)*G5751</f>
        <v>14.9349950176</v>
      </c>
      <c r="H5769" s="48" t="n">
        <f aca="false">(H5761*Assumptions!$E$22*MIN(1,Assumptions!$D$103/Assumptions!$E$78)+H5768)*H5751</f>
        <v>18.8322355648</v>
      </c>
      <c r="I5769" s="48" t="n">
        <f aca="false">(I5761*Assumptions!$E$22*MIN(1,Assumptions!$D$103/Assumptions!$E$78)+I5768)*I5751</f>
        <v>31.6761039616</v>
      </c>
      <c r="J5769" s="48" t="n">
        <f aca="false">(J5761*Assumptions!$E$22*MIN(1,Assumptions!$D$103/Assumptions!$E$78)+J5768)*J5751</f>
        <v>44.5199723584</v>
      </c>
      <c r="K5769" s="48" t="n">
        <f aca="false">(K5761*Assumptions!$E$22*MIN(1,Assumptions!$D$103/Assumptions!$E$78)+K5768)*K5751</f>
        <v>44.5199723584</v>
      </c>
      <c r="L5769" s="48" t="n">
        <f aca="false">(L5761*Assumptions!$E$22*MIN(1,Assumptions!$D$103/Assumptions!$E$78)+L5768)*L5751</f>
        <v>44.5199723584</v>
      </c>
      <c r="M5769" s="48" t="n">
        <f aca="false">(M5761*Assumptions!$E$22*MIN(1,Assumptions!$D$103/Assumptions!$E$78)+M5768)*M5751</f>
        <v>44.5199723584</v>
      </c>
      <c r="N5769" s="48" t="n">
        <f aca="false">(N5761*Assumptions!$E$22*MIN(1,Assumptions!$D$103/Assumptions!$E$78)+N5768)*N5751</f>
        <v>44.5199723584</v>
      </c>
      <c r="P5769" s="49" t="n">
        <f aca="false">SUM(C5769:F5769)</f>
        <v>38.6321406464</v>
      </c>
      <c r="Q5769" s="49" t="n">
        <f aca="false">SUM(G5769:J5769)</f>
        <v>109.9633069024</v>
      </c>
      <c r="R5769" s="49" t="n">
        <f aca="false">SUM(K5769:N5769)</f>
        <v>178.0798894336</v>
      </c>
      <c r="S5769" s="50" t="n">
        <f aca="false">SUM(P5769:R5769)</f>
        <v>326.6753369824</v>
      </c>
    </row>
    <row r="5770" customFormat="false" ht="15" hidden="false" customHeight="false" outlineLevel="0" collapsed="false">
      <c r="A5770" s="4" t="s">
        <v>499</v>
      </c>
      <c r="B5770" s="36" t="s">
        <v>500</v>
      </c>
      <c r="C5770" s="48" t="n">
        <f aca="false">C5751*MIN(Assumptions!$E$27,Assumptions!$E$25+Assumptions!$E$26*(C5750-1))*Assumptions!$D$107</f>
        <v>2</v>
      </c>
      <c r="D5770" s="48" t="n">
        <f aca="false">D5751*MIN(Assumptions!$E$27,Assumptions!$E$25+Assumptions!$E$26*(D5750-1))*Assumptions!$D$107</f>
        <v>3</v>
      </c>
      <c r="E5770" s="48" t="n">
        <f aca="false">E5751*MIN(Assumptions!$E$27,Assumptions!$E$25+Assumptions!$E$26*(E5750-1))*Assumptions!$D$107</f>
        <v>4</v>
      </c>
      <c r="F5770" s="48" t="n">
        <f aca="false">F5751*MIN(Assumptions!$E$27,Assumptions!$E$25+Assumptions!$E$26*(F5750-1))*Assumptions!$D$107</f>
        <v>5</v>
      </c>
      <c r="G5770" s="48" t="n">
        <f aca="false">G5751*MIN(Assumptions!$E$27,Assumptions!$E$25+Assumptions!$E$26*(G5750-1))*Assumptions!$D$107</f>
        <v>6</v>
      </c>
      <c r="H5770" s="48" t="n">
        <f aca="false">H5751*MIN(Assumptions!$E$27,Assumptions!$E$25+Assumptions!$E$26*(H5750-1))*Assumptions!$D$107</f>
        <v>7</v>
      </c>
      <c r="I5770" s="48" t="n">
        <f aca="false">I5751*MIN(Assumptions!$E$27,Assumptions!$E$25+Assumptions!$E$26*(I5750-1))*Assumptions!$D$107</f>
        <v>8</v>
      </c>
      <c r="J5770" s="48" t="n">
        <f aca="false">J5751*MIN(Assumptions!$E$27,Assumptions!$E$25+Assumptions!$E$26*(J5750-1))*Assumptions!$D$107</f>
        <v>9</v>
      </c>
      <c r="K5770" s="48" t="n">
        <f aca="false">K5751*MIN(Assumptions!$E$27,Assumptions!$E$25+Assumptions!$E$26*(K5750-1))*Assumptions!$D$107</f>
        <v>10</v>
      </c>
      <c r="L5770" s="48" t="n">
        <f aca="false">L5751*MIN(Assumptions!$E$27,Assumptions!$E$25+Assumptions!$E$26*(L5750-1))*Assumptions!$D$107</f>
        <v>10</v>
      </c>
      <c r="M5770" s="48" t="n">
        <f aca="false">M5751*MIN(Assumptions!$E$27,Assumptions!$E$25+Assumptions!$E$26*(M5750-1))*Assumptions!$D$107</f>
        <v>10</v>
      </c>
      <c r="N5770" s="48" t="n">
        <f aca="false">N5751*MIN(Assumptions!$E$27,Assumptions!$E$25+Assumptions!$E$26*(N5750-1))*Assumptions!$D$107</f>
        <v>10</v>
      </c>
      <c r="P5770" s="49" t="n">
        <f aca="false">F5770</f>
        <v>5</v>
      </c>
      <c r="Q5770" s="49" t="n">
        <f aca="false">J5770</f>
        <v>9</v>
      </c>
      <c r="R5770" s="49" t="n">
        <f aca="false">N5770</f>
        <v>10</v>
      </c>
      <c r="S5770" s="50" t="n">
        <f aca="false">R5770</f>
        <v>10</v>
      </c>
    </row>
    <row r="5771" customFormat="false" ht="15" hidden="false" customHeight="false" outlineLevel="0" collapsed="false">
      <c r="A5771" s="4" t="s">
        <v>501</v>
      </c>
      <c r="B5771" s="36" t="s">
        <v>502</v>
      </c>
      <c r="C5771" s="48" t="n">
        <f aca="false">C5770*Assumptions!$E$28</f>
        <v>6</v>
      </c>
      <c r="D5771" s="48" t="n">
        <f aca="false">D5770*Assumptions!$E$28</f>
        <v>9</v>
      </c>
      <c r="E5771" s="48" t="n">
        <f aca="false">E5770*Assumptions!$E$28</f>
        <v>12</v>
      </c>
      <c r="F5771" s="48" t="n">
        <f aca="false">F5770*Assumptions!$E$28</f>
        <v>15</v>
      </c>
      <c r="G5771" s="48" t="n">
        <f aca="false">G5770*Assumptions!$E$28</f>
        <v>18</v>
      </c>
      <c r="H5771" s="48" t="n">
        <f aca="false">H5770*Assumptions!$E$28</f>
        <v>21</v>
      </c>
      <c r="I5771" s="48" t="n">
        <f aca="false">I5770*Assumptions!$E$28</f>
        <v>24</v>
      </c>
      <c r="J5771" s="48" t="n">
        <f aca="false">J5770*Assumptions!$E$28</f>
        <v>27</v>
      </c>
      <c r="K5771" s="48" t="n">
        <f aca="false">K5770*Assumptions!$E$28</f>
        <v>30</v>
      </c>
      <c r="L5771" s="48" t="n">
        <f aca="false">L5770*Assumptions!$E$28</f>
        <v>30</v>
      </c>
      <c r="M5771" s="48" t="n">
        <f aca="false">M5770*Assumptions!$E$28</f>
        <v>30</v>
      </c>
      <c r="N5771" s="48" t="n">
        <f aca="false">N5770*Assumptions!$E$28</f>
        <v>30</v>
      </c>
      <c r="P5771" s="49" t="n">
        <f aca="false">SUM(C5771:F5771)</f>
        <v>42</v>
      </c>
      <c r="Q5771" s="49" t="n">
        <f aca="false">SUM(G5771:J5771)</f>
        <v>90</v>
      </c>
      <c r="R5771" s="49" t="n">
        <f aca="false">SUM(K5771:N5771)</f>
        <v>120</v>
      </c>
      <c r="S5771" s="50" t="n">
        <f aca="false">SUM(P5771:R5771)</f>
        <v>252</v>
      </c>
    </row>
    <row r="5772" customFormat="false" ht="15" hidden="false" customHeight="false" outlineLevel="0" collapsed="false">
      <c r="A5772" s="4" t="s">
        <v>503</v>
      </c>
      <c r="B5772" s="36" t="s">
        <v>504</v>
      </c>
      <c r="C5772" s="48" t="n">
        <f aca="false">(C5763+C5767)*Assumptions!$E$29</f>
        <v>2.649061072896</v>
      </c>
      <c r="D5772" s="48" t="n">
        <f aca="false">(D5763+D5767)*Assumptions!$E$29</f>
        <v>4.93045821299048</v>
      </c>
      <c r="E5772" s="48" t="n">
        <f aca="false">(E5763+E5767)*Assumptions!$E$29</f>
        <v>4.58830837060879</v>
      </c>
      <c r="F5772" s="48" t="n">
        <f aca="false">(F5763+F5767)*Assumptions!$E$29</f>
        <v>4.26990206474738</v>
      </c>
      <c r="G5772" s="48" t="n">
        <f aca="false">(G5763+G5767)*Assumptions!$E$29</f>
        <v>5.844267072</v>
      </c>
      <c r="H5772" s="48" t="n">
        <f aca="false">(H5763+H5767)*Assumptions!$E$29</f>
        <v>7.17956301044434</v>
      </c>
      <c r="I5772" s="48" t="n">
        <f aca="false">(I5763+I5767)*Assumptions!$E$29</f>
        <v>12.8463930542132</v>
      </c>
      <c r="J5772" s="48" t="n">
        <f aca="false">(J5763+J5767)*Assumptions!$E$29</f>
        <v>17.6921476412567</v>
      </c>
      <c r="K5772" s="48" t="n">
        <f aca="false">(K5763+K5767)*Assumptions!$E$29</f>
        <v>16.4643985629052</v>
      </c>
      <c r="L5772" s="48" t="n">
        <f aca="false">(L5763+L5767)*Assumptions!$E$29</f>
        <v>15.3218493048332</v>
      </c>
      <c r="M5772" s="48" t="n">
        <f aca="false">(M5763+M5767)*Assumptions!$E$29</f>
        <v>14.2585874135079</v>
      </c>
      <c r="N5772" s="48" t="n">
        <f aca="false">(N5763+N5767)*Assumptions!$E$29</f>
        <v>13.2691107309425</v>
      </c>
      <c r="P5772" s="49" t="n">
        <f aca="false">SUM(C5772:F5772)</f>
        <v>16.4377297212427</v>
      </c>
      <c r="Q5772" s="49" t="n">
        <f aca="false">SUM(G5772:J5772)</f>
        <v>43.5623707779142</v>
      </c>
      <c r="R5772" s="49" t="n">
        <f aca="false">SUM(K5772:N5772)</f>
        <v>59.3139460121888</v>
      </c>
      <c r="S5772" s="50" t="n">
        <f aca="false">SUM(P5772:R5772)</f>
        <v>119.314046511346</v>
      </c>
    </row>
    <row r="5773" customFormat="false" ht="15" hidden="false" customHeight="false" outlineLevel="0" collapsed="false">
      <c r="A5773" s="4" t="s">
        <v>505</v>
      </c>
      <c r="B5773" s="36" t="s">
        <v>504</v>
      </c>
      <c r="C5773" s="48" t="n">
        <f aca="false">C5769*Assumptions!$E$31</f>
        <v>0.883020357632</v>
      </c>
      <c r="D5773" s="48" t="n">
        <f aca="false">D5769*Assumptions!$E$31</f>
        <v>1.766040715264</v>
      </c>
      <c r="E5773" s="48" t="n">
        <f aca="false">E5769*Assumptions!$E$31</f>
        <v>1.766040715264</v>
      </c>
      <c r="F5773" s="48" t="n">
        <f aca="false">F5769*Assumptions!$E$31</f>
        <v>1.766040715264</v>
      </c>
      <c r="G5773" s="48" t="n">
        <f aca="false">G5769*Assumptions!$E$31</f>
        <v>2.389599202816</v>
      </c>
      <c r="H5773" s="48" t="n">
        <f aca="false">H5769*Assumptions!$E$31</f>
        <v>3.013157690368</v>
      </c>
      <c r="I5773" s="48" t="n">
        <f aca="false">I5769*Assumptions!$E$31</f>
        <v>5.068176633856</v>
      </c>
      <c r="J5773" s="48" t="n">
        <f aca="false">J5769*Assumptions!$E$31</f>
        <v>7.123195577344</v>
      </c>
      <c r="K5773" s="48" t="n">
        <f aca="false">K5769*Assumptions!$E$31</f>
        <v>7.123195577344</v>
      </c>
      <c r="L5773" s="48" t="n">
        <f aca="false">L5769*Assumptions!$E$31</f>
        <v>7.123195577344</v>
      </c>
      <c r="M5773" s="48" t="n">
        <f aca="false">M5769*Assumptions!$E$31</f>
        <v>7.123195577344</v>
      </c>
      <c r="N5773" s="48" t="n">
        <f aca="false">N5769*Assumptions!$E$31</f>
        <v>7.123195577344</v>
      </c>
      <c r="P5773" s="49" t="n">
        <f aca="false">SUM(C5773:F5773)</f>
        <v>6.181142503424</v>
      </c>
      <c r="Q5773" s="49" t="n">
        <f aca="false">SUM(G5773:J5773)</f>
        <v>17.594129104384</v>
      </c>
      <c r="R5773" s="49" t="n">
        <f aca="false">SUM(K5773:N5773)</f>
        <v>28.492782309376</v>
      </c>
      <c r="S5773" s="50" t="n">
        <f aca="false">SUM(P5773:R5773)</f>
        <v>52.268053917184</v>
      </c>
    </row>
    <row r="5774" customFormat="false" ht="15" hidden="false" customHeight="false" outlineLevel="0" collapsed="false">
      <c r="A5774" s="4" t="s">
        <v>506</v>
      </c>
      <c r="B5774" s="36" t="s">
        <v>504</v>
      </c>
      <c r="C5774" s="48" t="n">
        <f aca="false">C5771*Assumptions!$E$30</f>
        <v>3</v>
      </c>
      <c r="D5774" s="48" t="n">
        <f aca="false">D5771*Assumptions!$E$30</f>
        <v>4.5</v>
      </c>
      <c r="E5774" s="48" t="n">
        <f aca="false">E5771*Assumptions!$E$30</f>
        <v>6</v>
      </c>
      <c r="F5774" s="48" t="n">
        <f aca="false">F5771*Assumptions!$E$30</f>
        <v>7.5</v>
      </c>
      <c r="G5774" s="48" t="n">
        <f aca="false">G5771*Assumptions!$E$30</f>
        <v>9</v>
      </c>
      <c r="H5774" s="48" t="n">
        <f aca="false">H5771*Assumptions!$E$30</f>
        <v>10.5</v>
      </c>
      <c r="I5774" s="48" t="n">
        <f aca="false">I5771*Assumptions!$E$30</f>
        <v>12</v>
      </c>
      <c r="J5774" s="48" t="n">
        <f aca="false">J5771*Assumptions!$E$30</f>
        <v>13.5</v>
      </c>
      <c r="K5774" s="48" t="n">
        <f aca="false">K5771*Assumptions!$E$30</f>
        <v>15</v>
      </c>
      <c r="L5774" s="48" t="n">
        <f aca="false">L5771*Assumptions!$E$30</f>
        <v>15</v>
      </c>
      <c r="M5774" s="48" t="n">
        <f aca="false">M5771*Assumptions!$E$30</f>
        <v>15</v>
      </c>
      <c r="N5774" s="48" t="n">
        <f aca="false">N5771*Assumptions!$E$30</f>
        <v>15</v>
      </c>
      <c r="P5774" s="49" t="n">
        <f aca="false">SUM(C5774:F5774)</f>
        <v>21</v>
      </c>
      <c r="Q5774" s="49" t="n">
        <f aca="false">SUM(G5774:J5774)</f>
        <v>45</v>
      </c>
      <c r="R5774" s="49" t="n">
        <f aca="false">SUM(K5774:N5774)</f>
        <v>60</v>
      </c>
      <c r="S5774" s="50" t="n">
        <f aca="false">SUM(P5774:R5774)</f>
        <v>126</v>
      </c>
    </row>
    <row r="5775" customFormat="false" ht="15" hidden="false" customHeight="false" outlineLevel="0" collapsed="false">
      <c r="A5775" s="9" t="s">
        <v>507</v>
      </c>
      <c r="B5775" s="36" t="s">
        <v>504</v>
      </c>
      <c r="C5775" s="49" t="n">
        <f aca="false">C5772+C5773+C5774</f>
        <v>6.532081430528</v>
      </c>
      <c r="D5775" s="49" t="n">
        <f aca="false">D5772+D5773+D5774</f>
        <v>11.1964989282545</v>
      </c>
      <c r="E5775" s="49" t="n">
        <f aca="false">E5772+E5773+E5774</f>
        <v>12.3543490858728</v>
      </c>
      <c r="F5775" s="49" t="n">
        <f aca="false">F5772+F5773+F5774</f>
        <v>13.5359427800114</v>
      </c>
      <c r="G5775" s="49" t="n">
        <f aca="false">G5772+G5773+G5774</f>
        <v>17.233866274816</v>
      </c>
      <c r="H5775" s="49" t="n">
        <f aca="false">H5772+H5773+H5774</f>
        <v>20.6927207008123</v>
      </c>
      <c r="I5775" s="49" t="n">
        <f aca="false">I5772+I5773+I5774</f>
        <v>29.9145696880692</v>
      </c>
      <c r="J5775" s="49" t="n">
        <f aca="false">J5772+J5773+J5774</f>
        <v>38.3153432186007</v>
      </c>
      <c r="K5775" s="49" t="n">
        <f aca="false">K5772+K5773+K5774</f>
        <v>38.5875941402492</v>
      </c>
      <c r="L5775" s="49" t="n">
        <f aca="false">L5772+L5773+L5774</f>
        <v>37.4450448821772</v>
      </c>
      <c r="M5775" s="49" t="n">
        <f aca="false">M5772+M5773+M5774</f>
        <v>36.3817829908519</v>
      </c>
      <c r="N5775" s="49" t="n">
        <f aca="false">N5772+N5773+N5774</f>
        <v>35.3923063082865</v>
      </c>
      <c r="P5775" s="49" t="n">
        <f aca="false">SUM(C5775:F5775)</f>
        <v>43.6188722246667</v>
      </c>
      <c r="Q5775" s="49" t="n">
        <f aca="false">SUM(G5775:J5775)</f>
        <v>106.156499882298</v>
      </c>
      <c r="R5775" s="49" t="n">
        <f aca="false">SUM(K5775:N5775)</f>
        <v>147.806728321565</v>
      </c>
      <c r="S5775" s="50" t="n">
        <f aca="false">SUM(P5775:R5775)</f>
        <v>297.58210042853</v>
      </c>
    </row>
    <row r="5776" customFormat="false" ht="15" hidden="false" customHeight="false" outlineLevel="0" collapsed="false">
      <c r="A5776" s="4" t="s">
        <v>508</v>
      </c>
      <c r="B5776" s="36" t="s">
        <v>509</v>
      </c>
      <c r="C5776" s="48" t="n">
        <f aca="false">C5758</f>
        <v>421.51972352</v>
      </c>
      <c r="D5776" s="48" t="n">
        <f aca="false">D5758</f>
        <v>843.03944704</v>
      </c>
      <c r="E5776" s="48" t="n">
        <f aca="false">E5758</f>
        <v>843.03944704</v>
      </c>
      <c r="F5776" s="48" t="n">
        <f aca="false">F5758</f>
        <v>843.03944704</v>
      </c>
      <c r="G5776" s="48" t="n">
        <f aca="false">G5758</f>
        <v>1149.32798176</v>
      </c>
      <c r="H5776" s="48" t="n">
        <f aca="false">H5758</f>
        <v>1455.61651648</v>
      </c>
      <c r="I5776" s="48" t="n">
        <f aca="false">I5758</f>
        <v>2486.00303616</v>
      </c>
      <c r="J5776" s="48" t="n">
        <f aca="false">J5758</f>
        <v>3516.38955584</v>
      </c>
      <c r="K5776" s="48" t="n">
        <f aca="false">K5758</f>
        <v>3516.38955584</v>
      </c>
      <c r="L5776" s="48" t="n">
        <f aca="false">L5758</f>
        <v>3516.38955584</v>
      </c>
      <c r="M5776" s="48" t="n">
        <f aca="false">M5758</f>
        <v>3516.38955584</v>
      </c>
      <c r="N5776" s="48" t="n">
        <f aca="false">N5758</f>
        <v>3516.38955584</v>
      </c>
      <c r="P5776" s="49"/>
      <c r="Q5776" s="49"/>
      <c r="R5776" s="49"/>
      <c r="S5776" s="50"/>
    </row>
    <row r="5777" customFormat="false" ht="15" hidden="false" customHeight="false" outlineLevel="0" collapsed="false">
      <c r="A5777" s="4" t="s">
        <v>510</v>
      </c>
      <c r="B5777" s="36" t="s">
        <v>509</v>
      </c>
      <c r="C5777" s="48" t="n">
        <f aca="false">C5759*Assumptions!$E$18*Assumptions!$E$33</f>
        <v>211.19616</v>
      </c>
      <c r="D5777" s="48" t="n">
        <f aca="false">D5759*Assumptions!$E$18*Assumptions!$E$33</f>
        <v>422.39232</v>
      </c>
      <c r="E5777" s="48" t="n">
        <f aca="false">E5759*Assumptions!$E$18*Assumptions!$E$33</f>
        <v>422.39232</v>
      </c>
      <c r="F5777" s="48" t="n">
        <f aca="false">F5759*Assumptions!$E$18*Assumptions!$E$33</f>
        <v>422.39232</v>
      </c>
      <c r="G5777" s="48" t="n">
        <f aca="false">G5759*Assumptions!$E$18*Assumptions!$E$33</f>
        <v>564.49344</v>
      </c>
      <c r="H5777" s="48" t="n">
        <f aca="false">H5759*Assumptions!$E$18*Assumptions!$E$33</f>
        <v>706.59456</v>
      </c>
      <c r="I5777" s="48" t="n">
        <f aca="false">I5759*Assumptions!$E$18*Assumptions!$E$33</f>
        <v>1135.07072</v>
      </c>
      <c r="J5777" s="48" t="n">
        <f aca="false">J5759*Assumptions!$E$18*Assumptions!$E$33</f>
        <v>1563.54688</v>
      </c>
      <c r="K5777" s="48" t="n">
        <f aca="false">K5759*Assumptions!$E$18*Assumptions!$E$33</f>
        <v>1563.54688</v>
      </c>
      <c r="L5777" s="48" t="n">
        <f aca="false">L5759*Assumptions!$E$18*Assumptions!$E$33</f>
        <v>1563.54688</v>
      </c>
      <c r="M5777" s="48" t="n">
        <f aca="false">M5759*Assumptions!$E$18*Assumptions!$E$33</f>
        <v>1563.54688</v>
      </c>
      <c r="N5777" s="48" t="n">
        <f aca="false">N5759*Assumptions!$E$18*Assumptions!$E$33</f>
        <v>1563.54688</v>
      </c>
      <c r="P5777" s="49"/>
      <c r="Q5777" s="49"/>
      <c r="R5777" s="49"/>
      <c r="S5777" s="50"/>
    </row>
    <row r="5778" customFormat="false" ht="15" hidden="false" customHeight="false" outlineLevel="0" collapsed="false">
      <c r="A5778" s="4" t="s">
        <v>511</v>
      </c>
      <c r="B5778" s="36" t="s">
        <v>509</v>
      </c>
      <c r="C5778" s="48" t="n">
        <f aca="false">C5760*Assumptions!$E$19*Assumptions!$E$34</f>
        <v>34.677888</v>
      </c>
      <c r="D5778" s="48" t="n">
        <f aca="false">D5760*Assumptions!$E$19*Assumptions!$E$34</f>
        <v>69.355776</v>
      </c>
      <c r="E5778" s="48" t="n">
        <f aca="false">E5760*Assumptions!$E$19*Assumptions!$E$34</f>
        <v>69.355776</v>
      </c>
      <c r="F5778" s="48" t="n">
        <f aca="false">F5760*Assumptions!$E$19*Assumptions!$E$34</f>
        <v>69.355776</v>
      </c>
      <c r="G5778" s="48" t="n">
        <f aca="false">G5760*Assumptions!$E$19*Assumptions!$E$34</f>
        <v>86.69472</v>
      </c>
      <c r="H5778" s="48" t="n">
        <f aca="false">H5760*Assumptions!$E$19*Assumptions!$E$34</f>
        <v>104.033664</v>
      </c>
      <c r="I5778" s="48" t="n">
        <f aca="false">I5760*Assumptions!$E$19*Assumptions!$E$34</f>
        <v>159.7008</v>
      </c>
      <c r="J5778" s="48" t="n">
        <f aca="false">J5760*Assumptions!$E$19*Assumptions!$E$34</f>
        <v>215.367936</v>
      </c>
      <c r="K5778" s="48" t="n">
        <f aca="false">K5760*Assumptions!$E$19*Assumptions!$E$34</f>
        <v>215.367936</v>
      </c>
      <c r="L5778" s="48" t="n">
        <f aca="false">L5760*Assumptions!$E$19*Assumptions!$E$34</f>
        <v>215.367936</v>
      </c>
      <c r="M5778" s="48" t="n">
        <f aca="false">M5760*Assumptions!$E$19*Assumptions!$E$34</f>
        <v>215.367936</v>
      </c>
      <c r="N5778" s="48" t="n">
        <f aca="false">N5760*Assumptions!$E$19*Assumptions!$E$34</f>
        <v>215.367936</v>
      </c>
      <c r="P5778" s="49"/>
      <c r="Q5778" s="49"/>
      <c r="R5778" s="49"/>
      <c r="S5778" s="50"/>
    </row>
    <row r="5779" customFormat="false" ht="15" hidden="false" customHeight="false" outlineLevel="0" collapsed="false">
      <c r="A5779" s="4" t="s">
        <v>512</v>
      </c>
      <c r="B5779" s="36" t="s">
        <v>77</v>
      </c>
      <c r="C5779" s="51" t="n">
        <f aca="false">IFERROR(C5776/(C5776+C5777+C5778),0)</f>
        <v>0.631590736245533</v>
      </c>
      <c r="D5779" s="51" t="n">
        <f aca="false">IFERROR(D5776/(D5776+D5777+D5778),0)</f>
        <v>0.631590736245533</v>
      </c>
      <c r="E5779" s="51" t="n">
        <f aca="false">IFERROR(E5776/(E5776+E5777+E5778),0)</f>
        <v>0.631590736245533</v>
      </c>
      <c r="F5779" s="51" t="n">
        <f aca="false">IFERROR(F5776/(F5776+F5777+F5778),0)</f>
        <v>0.631590736245533</v>
      </c>
      <c r="G5779" s="51" t="n">
        <f aca="false">IFERROR(G5776/(G5776+G5777+G5778),0)</f>
        <v>0.638332506498128</v>
      </c>
      <c r="H5779" s="51" t="n">
        <f aca="false">IFERROR(H5776/(H5776+H5777+H5778),0)</f>
        <v>0.642303318118984</v>
      </c>
      <c r="I5779" s="51" t="n">
        <f aca="false">IFERROR(I5776/(I5776+I5777+I5778),0)</f>
        <v>0.657538025405288</v>
      </c>
      <c r="J5779" s="51" t="n">
        <f aca="false">IFERROR(J5776/(J5776+J5777+J5778),0)</f>
        <v>0.664058061428891</v>
      </c>
      <c r="K5779" s="51" t="n">
        <f aca="false">IFERROR(K5776/(K5776+K5777+K5778),0)</f>
        <v>0.664058061428891</v>
      </c>
      <c r="L5779" s="51" t="n">
        <f aca="false">IFERROR(L5776/(L5776+L5777+L5778),0)</f>
        <v>0.664058061428891</v>
      </c>
      <c r="M5779" s="51" t="n">
        <f aca="false">IFERROR(M5776/(M5776+M5777+M5778),0)</f>
        <v>0.664058061428891</v>
      </c>
      <c r="N5779" s="51" t="n">
        <f aca="false">IFERROR(N5776/(N5776+N5777+N5778),0)</f>
        <v>0.664058061428891</v>
      </c>
      <c r="P5779" s="52"/>
      <c r="Q5779" s="52"/>
      <c r="R5779" s="52"/>
      <c r="S5779" s="53"/>
    </row>
    <row r="5780" customFormat="false" ht="15" hidden="false" customHeight="false" outlineLevel="0" collapsed="false">
      <c r="A5780" s="4" t="s">
        <v>513</v>
      </c>
      <c r="B5780" s="36" t="s">
        <v>77</v>
      </c>
      <c r="C5780" s="51" t="n">
        <f aca="false">IFERROR(C5777/(C5776+C5777+C5778),0)</f>
        <v>0.316449102482628</v>
      </c>
      <c r="D5780" s="51" t="n">
        <f aca="false">IFERROR(D5777/(D5776+D5777+D5778),0)</f>
        <v>0.316449102482628</v>
      </c>
      <c r="E5780" s="51" t="n">
        <f aca="false">IFERROR(E5777/(E5776+E5777+E5778),0)</f>
        <v>0.316449102482628</v>
      </c>
      <c r="F5780" s="51" t="n">
        <f aca="false">IFERROR(F5777/(F5776+F5777+F5778),0)</f>
        <v>0.316449102482628</v>
      </c>
      <c r="G5780" s="51" t="n">
        <f aca="false">IFERROR(G5777/(G5776+G5777+G5778),0)</f>
        <v>0.313517566939561</v>
      </c>
      <c r="H5780" s="51" t="n">
        <f aca="false">IFERROR(H5777/(H5776+H5777+H5778),0)</f>
        <v>0.311790932099567</v>
      </c>
      <c r="I5780" s="51" t="n">
        <f aca="false">IFERROR(I5777/(I5776+I5777+I5778),0)</f>
        <v>0.300221741111391</v>
      </c>
      <c r="J5780" s="51" t="n">
        <f aca="false">IFERROR(J5777/(J5776+J5777+J5778),0)</f>
        <v>0.295270445324128</v>
      </c>
      <c r="K5780" s="51" t="n">
        <f aca="false">IFERROR(K5777/(K5776+K5777+K5778),0)</f>
        <v>0.295270445324128</v>
      </c>
      <c r="L5780" s="51" t="n">
        <f aca="false">IFERROR(L5777/(L5776+L5777+L5778),0)</f>
        <v>0.295270445324128</v>
      </c>
      <c r="M5780" s="51" t="n">
        <f aca="false">IFERROR(M5777/(M5776+M5777+M5778),0)</f>
        <v>0.295270445324128</v>
      </c>
      <c r="N5780" s="51" t="n">
        <f aca="false">IFERROR(N5777/(N5776+N5777+N5778),0)</f>
        <v>0.295270445324128</v>
      </c>
      <c r="P5780" s="52"/>
      <c r="Q5780" s="52"/>
      <c r="R5780" s="52"/>
      <c r="S5780" s="53"/>
    </row>
    <row r="5781" customFormat="false" ht="15" hidden="false" customHeight="false" outlineLevel="0" collapsed="false">
      <c r="A5781" s="4" t="s">
        <v>514</v>
      </c>
      <c r="B5781" s="36" t="s">
        <v>77</v>
      </c>
      <c r="C5781" s="51" t="n">
        <f aca="false">IFERROR(C5778/(C5776+C5777+C5778),0)</f>
        <v>0.0519601612718389</v>
      </c>
      <c r="D5781" s="51" t="n">
        <f aca="false">IFERROR(D5778/(D5776+D5777+D5778),0)</f>
        <v>0.0519601612718389</v>
      </c>
      <c r="E5781" s="51" t="n">
        <f aca="false">IFERROR(E5778/(E5776+E5777+E5778),0)</f>
        <v>0.0519601612718389</v>
      </c>
      <c r="F5781" s="51" t="n">
        <f aca="false">IFERROR(F5778/(F5776+F5777+F5778),0)</f>
        <v>0.0519601612718389</v>
      </c>
      <c r="G5781" s="51" t="n">
        <f aca="false">IFERROR(G5778/(G5776+G5777+G5778),0)</f>
        <v>0.0481499265623113</v>
      </c>
      <c r="H5781" s="51" t="n">
        <f aca="false">IFERROR(H5778/(H5776+H5777+H5778),0)</f>
        <v>0.0459057497814491</v>
      </c>
      <c r="I5781" s="51" t="n">
        <f aca="false">IFERROR(I5778/(I5776+I5777+I5778),0)</f>
        <v>0.0422402334833216</v>
      </c>
      <c r="J5781" s="51" t="n">
        <f aca="false">IFERROR(J5778/(J5776+J5777+J5778),0)</f>
        <v>0.0406714932469811</v>
      </c>
      <c r="K5781" s="51" t="n">
        <f aca="false">IFERROR(K5778/(K5776+K5777+K5778),0)</f>
        <v>0.0406714932469811</v>
      </c>
      <c r="L5781" s="51" t="n">
        <f aca="false">IFERROR(L5778/(L5776+L5777+L5778),0)</f>
        <v>0.0406714932469811</v>
      </c>
      <c r="M5781" s="51" t="n">
        <f aca="false">IFERROR(M5778/(M5776+M5777+M5778),0)</f>
        <v>0.0406714932469811</v>
      </c>
      <c r="N5781" s="51" t="n">
        <f aca="false">IFERROR(N5778/(N5776+N5777+N5778),0)</f>
        <v>0.0406714932469811</v>
      </c>
      <c r="P5781" s="52"/>
      <c r="Q5781" s="52"/>
      <c r="R5781" s="52"/>
      <c r="S5781" s="53"/>
    </row>
    <row r="5782" customFormat="false" ht="15" hidden="false" customHeight="false" outlineLevel="0" collapsed="false">
      <c r="A5782" s="4" t="s">
        <v>515</v>
      </c>
      <c r="B5782" s="36" t="s">
        <v>516</v>
      </c>
      <c r="C5782" s="48" t="n">
        <f aca="false">IF(C5750-Assumptions!$E$35&lt;1,0,INDEX($C$5775:$N$5775,1,C5750-Assumptions!$E$35)*INDEX($C$5779:$N$5779,1,C5750-Assumptions!$E$35)*Assumptions!$E$32)</f>
        <v>0</v>
      </c>
      <c r="D5782" s="48" t="n">
        <f aca="false">IF(D5750-Assumptions!$E$35&lt;1,0,INDEX($C$5775:$N$5775,1,D5750-Assumptions!$E$35)*INDEX($C$5779:$N$5779,1,D5750-Assumptions!$E$35)*Assumptions!$E$32)</f>
        <v>0.866376445183821</v>
      </c>
      <c r="E5782" s="48" t="n">
        <f aca="false">IF(E5750-Assumptions!$E$35&lt;1,0,INDEX($C$5775:$N$5775,1,E5750-Assumptions!$E$35)*INDEX($C$5779:$N$5779,1,E5750-Assumptions!$E$35)*Assumptions!$E$32)</f>
        <v>1.4850370503084</v>
      </c>
      <c r="F5782" s="48" t="n">
        <f aca="false">IF(F5750-Assumptions!$E$35&lt;1,0,INDEX($C$5775:$N$5775,1,F5750-Assumptions!$E$35)*INDEX($C$5779:$N$5779,1,F5750-Assumptions!$E$35)*Assumptions!$E$32)</f>
        <v>1.63860741134595</v>
      </c>
      <c r="G5782" s="48" t="n">
        <f aca="false">IF(G5750-Assumptions!$E$35&lt;1,0,INDEX($C$5775:$N$5775,1,G5750-Assumptions!$E$35)*INDEX($C$5779:$N$5779,1,G5750-Assumptions!$E$35)*Assumptions!$E$32)</f>
        <v>1.79532697390301</v>
      </c>
      <c r="H5782" s="48" t="n">
        <f aca="false">IF(H5750-Assumptions!$E$35&lt;1,0,INDEX($C$5775:$N$5775,1,H5750-Assumptions!$E$35)*INDEX($C$5779:$N$5779,1,H5750-Assumptions!$E$35)*Assumptions!$E$32)</f>
        <v>2.31019678172994</v>
      </c>
      <c r="I5782" s="48" t="n">
        <f aca="false">IF(I5750-Assumptions!$E$35&lt;1,0,INDEX($C$5775:$N$5775,1,I5750-Assumptions!$E$35)*INDEX($C$5779:$N$5779,1,I5750-Assumptions!$E$35)*Assumptions!$E$32)</f>
        <v>2.79111066507864</v>
      </c>
      <c r="J5782" s="48" t="n">
        <f aca="false">IF(J5750-Assumptions!$E$35&lt;1,0,INDEX($C$5775:$N$5775,1,J5750-Assumptions!$E$35)*INDEX($C$5779:$N$5779,1,J5750-Assumptions!$E$35)*Assumptions!$E$32)</f>
        <v>4.1306930875438</v>
      </c>
      <c r="K5782" s="48" t="n">
        <f aca="false">IF(K5750-Assumptions!$E$35&lt;1,0,INDEX($C$5775:$N$5775,1,K5750-Assumptions!$E$35)*INDEX($C$5779:$N$5779,1,K5750-Assumptions!$E$35)*Assumptions!$E$32)</f>
        <v>5.34315863355258</v>
      </c>
      <c r="L5782" s="48" t="n">
        <f aca="false">IF(L5750-Assumptions!$E$35&lt;1,0,INDEX($C$5775:$N$5775,1,L5750-Assumptions!$E$35)*INDEX($C$5779:$N$5779,1,L5750-Assumptions!$E$35)*Assumptions!$E$32)</f>
        <v>5.38112462159553</v>
      </c>
      <c r="M5782" s="48" t="n">
        <f aca="false">IF(M5750-Assumptions!$E$35&lt;1,0,INDEX($C$5775:$N$5775,1,M5750-Assumptions!$E$35)*INDEX($C$5779:$N$5779,1,M5750-Assumptions!$E$35)*Assumptions!$E$32)</f>
        <v>5.22179362206104</v>
      </c>
      <c r="N5782" s="48" t="n">
        <f aca="false">IF(N5750-Assumptions!$E$35&lt;1,0,INDEX($C$5775:$N$5775,1,N5750-Assumptions!$E$35)*INDEX($C$5779:$N$5779,1,N5750-Assumptions!$E$35)*Assumptions!$E$32)</f>
        <v>5.07351941968866</v>
      </c>
      <c r="P5782" s="49" t="n">
        <f aca="false">SUM(C5782:F5782)</f>
        <v>3.99002090683817</v>
      </c>
      <c r="Q5782" s="49" t="n">
        <f aca="false">SUM(G5782:J5782)</f>
        <v>11.0273275082554</v>
      </c>
      <c r="R5782" s="49" t="n">
        <f aca="false">SUM(K5782:N5782)</f>
        <v>21.0195962968978</v>
      </c>
      <c r="S5782" s="50" t="n">
        <f aca="false">SUM(P5782:R5782)</f>
        <v>36.0369447119914</v>
      </c>
    </row>
    <row r="5783" customFormat="false" ht="15" hidden="false" customHeight="false" outlineLevel="0" collapsed="false">
      <c r="A5783" s="4" t="s">
        <v>517</v>
      </c>
      <c r="B5783" s="36" t="s">
        <v>516</v>
      </c>
      <c r="C5783" s="48" t="n">
        <f aca="false">IF(C5750-Assumptions!$E$35&lt;1,0,INDEX($C$5775:$N$5775,1,C5750-Assumptions!$E$35)*INDEX($C$5780:$N$5780,1,C5750-Assumptions!$E$35)*Assumptions!$E$32)</f>
        <v>0</v>
      </c>
      <c r="D5783" s="48" t="n">
        <f aca="false">IF(D5750-Assumptions!$E$35&lt;1,0,INDEX($C$5775:$N$5775,1,D5750-Assumptions!$E$35)*INDEX($C$5780:$N$5780,1,D5750-Assumptions!$E$35)*Assumptions!$E$32)</f>
        <v>0.434084974267145</v>
      </c>
      <c r="E5783" s="48" t="n">
        <f aca="false">IF(E5750-Assumptions!$E$35&lt;1,0,INDEX($C$5775:$N$5775,1,E5750-Assumptions!$E$35)*INDEX($C$5780:$N$5780,1,E5750-Assumptions!$E$35)*Assumptions!$E$32)</f>
        <v>0.744055627726705</v>
      </c>
      <c r="F5783" s="48" t="n">
        <f aca="false">IF(F5750-Assumptions!$E$35&lt;1,0,INDEX($C$5775:$N$5775,1,F5750-Assumptions!$E$35)*INDEX($C$5780:$N$5780,1,F5750-Assumptions!$E$35)*Assumptions!$E$32)</f>
        <v>0.820999762796119</v>
      </c>
      <c r="G5783" s="48" t="n">
        <f aca="false">IF(G5750-Assumptions!$E$35&lt;1,0,INDEX($C$5775:$N$5775,1,G5750-Assumptions!$E$35)*INDEX($C$5780:$N$5780,1,G5750-Assumptions!$E$35)*Assumptions!$E$32)</f>
        <v>0.89952175823807</v>
      </c>
      <c r="H5783" s="48" t="n">
        <f aca="false">IF(H5750-Assumptions!$E$35&lt;1,0,INDEX($C$5775:$N$5775,1,H5750-Assumptions!$E$35)*INDEX($C$5780:$N$5780,1,H5750-Assumptions!$E$35)*Assumptions!$E$32)</f>
        <v>1.13465516292283</v>
      </c>
      <c r="I5783" s="48" t="n">
        <f aca="false">IF(I5750-Assumptions!$E$35&lt;1,0,INDEX($C$5775:$N$5775,1,I5750-Assumptions!$E$35)*INDEX($C$5780:$N$5780,1,I5750-Assumptions!$E$35)*Assumptions!$E$32)</f>
        <v>1.35487856174628</v>
      </c>
      <c r="J5783" s="48" t="n">
        <f aca="false">IF(J5750-Assumptions!$E$35&lt;1,0,INDEX($C$5775:$N$5775,1,J5750-Assumptions!$E$35)*INDEX($C$5780:$N$5780,1,J5750-Assumptions!$E$35)*Assumptions!$E$32)</f>
        <v>1.88601088123353</v>
      </c>
      <c r="K5783" s="48" t="n">
        <f aca="false">IF(K5750-Assumptions!$E$35&lt;1,0,INDEX($C$5775:$N$5775,1,K5750-Assumptions!$E$35)*INDEX($C$5780:$N$5780,1,K5750-Assumptions!$E$35)*Assumptions!$E$32)</f>
        <v>2.37581157552964</v>
      </c>
      <c r="L5783" s="48" t="n">
        <f aca="false">IF(L5750-Assumptions!$E$35&lt;1,0,INDEX($C$5775:$N$5775,1,L5750-Assumptions!$E$35)*INDEX($C$5780:$N$5780,1,L5750-Assumptions!$E$35)*Assumptions!$E$32)</f>
        <v>2.3926929822134</v>
      </c>
      <c r="M5783" s="48" t="n">
        <f aca="false">IF(M5750-Assumptions!$E$35&lt;1,0,INDEX($C$5775:$N$5775,1,M5750-Assumptions!$E$35)*INDEX($C$5780:$N$5780,1,M5750-Assumptions!$E$35)*Assumptions!$E$32)</f>
        <v>2.32184716628391</v>
      </c>
      <c r="N5783" s="48" t="n">
        <f aca="false">IF(N5750-Assumptions!$E$35&lt;1,0,INDEX($C$5775:$N$5775,1,N5750-Assumptions!$E$35)*INDEX($C$5780:$N$5780,1,N5750-Assumptions!$E$35)*Assumptions!$E$32)</f>
        <v>2.25591770573287</v>
      </c>
      <c r="P5783" s="49" t="n">
        <f aca="false">SUM(C5783:F5783)</f>
        <v>1.99914036478997</v>
      </c>
      <c r="Q5783" s="49" t="n">
        <f aca="false">SUM(G5783:J5783)</f>
        <v>5.27506636414072</v>
      </c>
      <c r="R5783" s="49" t="n">
        <f aca="false">SUM(K5783:N5783)</f>
        <v>9.34626942975982</v>
      </c>
      <c r="S5783" s="50" t="n">
        <f aca="false">SUM(P5783:R5783)</f>
        <v>16.6204761586905</v>
      </c>
    </row>
    <row r="5784" customFormat="false" ht="15" hidden="false" customHeight="false" outlineLevel="0" collapsed="false">
      <c r="A5784" s="4" t="s">
        <v>518</v>
      </c>
      <c r="B5784" s="36" t="s">
        <v>516</v>
      </c>
      <c r="C5784" s="48" t="n">
        <f aca="false">IF(C5750-Assumptions!$E$36&lt;1,0,INDEX($C$5775:$N$5775,1,C5750-Assumptions!$E$36)*INDEX($C$5781:$N$5781,1,C5750-Assumptions!$E$36)*Assumptions!$E$32)</f>
        <v>0</v>
      </c>
      <c r="D5784" s="48" t="n">
        <f aca="false">IF(D5750-Assumptions!$E$36&lt;1,0,INDEX($C$5775:$N$5775,1,D5750-Assumptions!$E$36)*INDEX($C$5781:$N$5781,1,D5750-Assumptions!$E$36)*Assumptions!$E$32)</f>
        <v>0</v>
      </c>
      <c r="E5784" s="48" t="n">
        <f aca="false">IF(E5750-Assumptions!$E$36&lt;1,0,INDEX($C$5775:$N$5775,1,E5750-Assumptions!$E$36)*INDEX($C$5781:$N$5781,1,E5750-Assumptions!$E$36)*Assumptions!$E$32)</f>
        <v>0.071275680959914</v>
      </c>
      <c r="F5784" s="48" t="n">
        <f aca="false">IF(F5750-Assumptions!$E$36&lt;1,0,INDEX($C$5775:$N$5775,1,F5750-Assumptions!$E$36)*INDEX($C$5781:$N$5781,1,F5750-Assumptions!$E$36)*Assumptions!$E$32)</f>
        <v>0.122172096898336</v>
      </c>
      <c r="G5784" s="48" t="n">
        <f aca="false">IF(G5750-Assumptions!$E$36&lt;1,0,INDEX($C$5775:$N$5775,1,G5750-Assumptions!$E$36)*INDEX($C$5781:$N$5781,1,G5750-Assumptions!$E$36)*Assumptions!$E$32)</f>
        <v>0.134806133891215</v>
      </c>
      <c r="H5784" s="48" t="n">
        <f aca="false">IF(H5750-Assumptions!$E$36&lt;1,0,INDEX($C$5775:$N$5775,1,H5750-Assumptions!$E$36)*INDEX($C$5781:$N$5781,1,H5750-Assumptions!$E$36)*Assumptions!$E$32)</f>
        <v>0.147699251661313</v>
      </c>
      <c r="I5784" s="48" t="n">
        <f aca="false">IF(I5750-Assumptions!$E$36&lt;1,0,INDEX($C$5775:$N$5775,1,I5750-Assumptions!$E$36)*INDEX($C$5781:$N$5781,1,I5750-Assumptions!$E$36)*Assumptions!$E$32)</f>
        <v>0.174259973058587</v>
      </c>
      <c r="J5784" s="48" t="n">
        <f aca="false">IF(J5750-Assumptions!$E$36&lt;1,0,INDEX($C$5775:$N$5775,1,J5750-Assumptions!$E$36)*INDEX($C$5781:$N$5781,1,J5750-Assumptions!$E$36)*Assumptions!$E$32)</f>
        <v>0.19948212034567</v>
      </c>
      <c r="K5784" s="48" t="n">
        <f aca="false">IF(K5750-Assumptions!$E$36&lt;1,0,INDEX($C$5775:$N$5775,1,K5750-Assumptions!$E$36)*INDEX($C$5781:$N$5781,1,K5750-Assumptions!$E$36)*Assumptions!$E$32)</f>
        <v>0.265355665717199</v>
      </c>
      <c r="L5784" s="48" t="n">
        <f aca="false">IF(L5750-Assumptions!$E$36&lt;1,0,INDEX($C$5775:$N$5775,1,L5750-Assumptions!$E$36)*INDEX($C$5781:$N$5781,1,L5750-Assumptions!$E$36)*Assumptions!$E$32)</f>
        <v>0.327251866823927</v>
      </c>
      <c r="M5784" s="48" t="n">
        <f aca="false">IF(M5750-Assumptions!$E$36&lt;1,0,INDEX($C$5775:$N$5775,1,M5750-Assumptions!$E$36)*INDEX($C$5781:$N$5781,1,M5750-Assumptions!$E$36)*Assumptions!$E$32)</f>
        <v>0.329577165643402</v>
      </c>
      <c r="N5784" s="48" t="n">
        <f aca="false">IF(N5750-Assumptions!$E$36&lt;1,0,INDEX($C$5775:$N$5775,1,N5750-Assumptions!$E$36)*INDEX($C$5781:$N$5781,1,N5750-Assumptions!$E$36)*Assumptions!$E$32)</f>
        <v>0.319818636912259</v>
      </c>
      <c r="P5784" s="49" t="n">
        <f aca="false">SUM(C5784:F5784)</f>
        <v>0.19344777785825</v>
      </c>
      <c r="Q5784" s="49" t="n">
        <f aca="false">SUM(G5784:J5784)</f>
        <v>0.656247478956785</v>
      </c>
      <c r="R5784" s="49" t="n">
        <f aca="false">SUM(K5784:N5784)</f>
        <v>1.24200333509679</v>
      </c>
      <c r="S5784" s="50" t="n">
        <f aca="false">SUM(P5784:R5784)</f>
        <v>2.09169859191182</v>
      </c>
    </row>
    <row r="5785" customFormat="false" ht="15" hidden="false" customHeight="false" outlineLevel="0" collapsed="false">
      <c r="A5785" s="4" t="s">
        <v>519</v>
      </c>
      <c r="B5785" s="36" t="s">
        <v>77</v>
      </c>
      <c r="C5785" s="51" t="n">
        <f aca="false">IF(C5750-Assumptions!$E$35&lt;1,0,IFERROR(INDEX($C$5774:$N$5774,1,C5750-Assumptions!$E$35)/INDEX($C$5775:$N$5775,1,C5750-Assumptions!$E$35),0))</f>
        <v>0</v>
      </c>
      <c r="D5785" s="51" t="n">
        <f aca="false">IF(D5750-Assumptions!$E$35&lt;1,0,IFERROR(INDEX($C$5774:$N$5774,1,D5750-Assumptions!$E$35)/INDEX($C$5775:$N$5775,1,D5750-Assumptions!$E$35),0))</f>
        <v>0.459271678087073</v>
      </c>
      <c r="E5785" s="51" t="n">
        <f aca="false">IF(E5750-Assumptions!$E$35&lt;1,0,IFERROR(INDEX($C$5774:$N$5774,1,E5750-Assumptions!$E$35)/INDEX($C$5775:$N$5775,1,E5750-Assumptions!$E$35),0))</f>
        <v>0.401911350042128</v>
      </c>
      <c r="F5785" s="51" t="n">
        <f aca="false">IF(F5750-Assumptions!$E$35&lt;1,0,IFERROR(INDEX($C$5774:$N$5774,1,F5750-Assumptions!$E$35)/INDEX($C$5775:$N$5775,1,F5750-Assumptions!$E$35),0))</f>
        <v>0.485658933408398</v>
      </c>
      <c r="G5785" s="51" t="n">
        <f aca="false">IF(G5750-Assumptions!$E$35&lt;1,0,IFERROR(INDEX($C$5774:$N$5774,1,G5750-Assumptions!$E$35)/INDEX($C$5775:$N$5775,1,G5750-Assumptions!$E$35),0))</f>
        <v>0.554080356417826</v>
      </c>
      <c r="H5785" s="51" t="n">
        <f aca="false">IF(H5750-Assumptions!$E$35&lt;1,0,IFERROR(INDEX($C$5774:$N$5774,1,H5750-Assumptions!$E$35)/INDEX($C$5775:$N$5775,1,H5750-Assumptions!$E$35),0))</f>
        <v>0.522227563825987</v>
      </c>
      <c r="I5785" s="51" t="n">
        <f aca="false">IF(I5750-Assumptions!$E$35&lt;1,0,IFERROR(INDEX($C$5774:$N$5774,1,I5750-Assumptions!$E$35)/INDEX($C$5775:$N$5775,1,I5750-Assumptions!$E$35),0))</f>
        <v>0.507424816282752</v>
      </c>
      <c r="J5785" s="51" t="n">
        <f aca="false">IF(J5750-Assumptions!$E$35&lt;1,0,IFERROR(INDEX($C$5774:$N$5774,1,J5750-Assumptions!$E$35)/INDEX($C$5775:$N$5775,1,J5750-Assumptions!$E$35),0))</f>
        <v>0.401142323795015</v>
      </c>
      <c r="K5785" s="51" t="n">
        <f aca="false">IF(K5750-Assumptions!$E$35&lt;1,0,IFERROR(INDEX($C$5774:$N$5774,1,K5750-Assumptions!$E$35)/INDEX($C$5775:$N$5775,1,K5750-Assumptions!$E$35),0))</f>
        <v>0.352339268448632</v>
      </c>
      <c r="L5785" s="51" t="n">
        <f aca="false">IF(L5750-Assumptions!$E$35&lt;1,0,IFERROR(INDEX($C$5774:$N$5774,1,L5750-Assumptions!$E$35)/INDEX($C$5775:$N$5775,1,L5750-Assumptions!$E$35),0))</f>
        <v>0.388725970981282</v>
      </c>
      <c r="M5785" s="51" t="n">
        <f aca="false">IF(M5750-Assumptions!$E$35&lt;1,0,IFERROR(INDEX($C$5774:$N$5774,1,M5750-Assumptions!$E$35)/INDEX($C$5775:$N$5775,1,M5750-Assumptions!$E$35),0))</f>
        <v>0.400587048224893</v>
      </c>
      <c r="N5785" s="51" t="n">
        <f aca="false">IF(N5750-Assumptions!$E$35&lt;1,0,IFERROR(INDEX($C$5774:$N$5774,1,N5750-Assumptions!$E$35)/INDEX($C$5775:$N$5775,1,N5750-Assumptions!$E$35),0))</f>
        <v>0.412294251872474</v>
      </c>
      <c r="P5785" s="52"/>
      <c r="Q5785" s="52"/>
      <c r="R5785" s="52"/>
      <c r="S5785" s="53"/>
    </row>
    <row r="5786" customFormat="false" ht="15" hidden="false" customHeight="false" outlineLevel="0" collapsed="false">
      <c r="A5786" s="4" t="s">
        <v>520</v>
      </c>
      <c r="B5786" s="36" t="s">
        <v>516</v>
      </c>
      <c r="C5786" s="48" t="n">
        <f aca="false">C5782*Assumptions!$E$37</f>
        <v>0</v>
      </c>
      <c r="D5786" s="48" t="n">
        <f aca="false">D5782*Assumptions!$E$37</f>
        <v>0.259912933555146</v>
      </c>
      <c r="E5786" s="48" t="n">
        <f aca="false">E5782*Assumptions!$E$37</f>
        <v>0.44551111509252</v>
      </c>
      <c r="F5786" s="48" t="n">
        <f aca="false">F5782*Assumptions!$E$37</f>
        <v>0.491582223403786</v>
      </c>
      <c r="G5786" s="48" t="n">
        <f aca="false">G5782*Assumptions!$E$37</f>
        <v>0.538598092170902</v>
      </c>
      <c r="H5786" s="48" t="n">
        <f aca="false">H5782*Assumptions!$E$37</f>
        <v>0.693059034518982</v>
      </c>
      <c r="I5786" s="48" t="n">
        <f aca="false">I5782*Assumptions!$E$37</f>
        <v>0.837333199523593</v>
      </c>
      <c r="J5786" s="48" t="n">
        <f aca="false">J5782*Assumptions!$E$37</f>
        <v>1.23920792626314</v>
      </c>
      <c r="K5786" s="48" t="n">
        <f aca="false">K5782*Assumptions!$E$37</f>
        <v>1.60294759006577</v>
      </c>
      <c r="L5786" s="48" t="n">
        <f aca="false">L5782*Assumptions!$E$37</f>
        <v>1.61433738647866</v>
      </c>
      <c r="M5786" s="48" t="n">
        <f aca="false">M5782*Assumptions!$E$37</f>
        <v>1.56653808661831</v>
      </c>
      <c r="N5786" s="48" t="n">
        <f aca="false">N5782*Assumptions!$E$37</f>
        <v>1.5220558259066</v>
      </c>
      <c r="P5786" s="49" t="n">
        <f aca="false">SUM(C5786:F5786)</f>
        <v>1.19700627205145</v>
      </c>
      <c r="Q5786" s="49" t="n">
        <f aca="false">SUM(G5786:J5786)</f>
        <v>3.30819825247662</v>
      </c>
      <c r="R5786" s="49" t="n">
        <f aca="false">SUM(K5786:N5786)</f>
        <v>6.30587888906934</v>
      </c>
      <c r="S5786" s="50" t="n">
        <f aca="false">SUM(P5786:R5786)</f>
        <v>10.8110834135974</v>
      </c>
    </row>
    <row r="5787" customFormat="false" ht="15" hidden="false" customHeight="false" outlineLevel="0" collapsed="false">
      <c r="A5787" s="4" t="s">
        <v>521</v>
      </c>
      <c r="B5787" s="36" t="s">
        <v>516</v>
      </c>
      <c r="C5787" s="48" t="n">
        <f aca="false">C5782*(1-Assumptions!$E$37)</f>
        <v>0</v>
      </c>
      <c r="D5787" s="48" t="n">
        <f aca="false">D5782*(1-Assumptions!$E$37)</f>
        <v>0.606463511628675</v>
      </c>
      <c r="E5787" s="48" t="n">
        <f aca="false">E5782*(1-Assumptions!$E$37)</f>
        <v>1.03952593521588</v>
      </c>
      <c r="F5787" s="48" t="n">
        <f aca="false">F5782*(1-Assumptions!$E$37)</f>
        <v>1.14702518794217</v>
      </c>
      <c r="G5787" s="48" t="n">
        <f aca="false">G5782*(1-Assumptions!$E$37)</f>
        <v>1.25672888173211</v>
      </c>
      <c r="H5787" s="48" t="n">
        <f aca="false">H5782*(1-Assumptions!$E$37)</f>
        <v>1.61713774721096</v>
      </c>
      <c r="I5787" s="48" t="n">
        <f aca="false">I5782*(1-Assumptions!$E$37)</f>
        <v>1.95377746555505</v>
      </c>
      <c r="J5787" s="48" t="n">
        <f aca="false">J5782*(1-Assumptions!$E$37)</f>
        <v>2.89148516128066</v>
      </c>
      <c r="K5787" s="48" t="n">
        <f aca="false">K5782*(1-Assumptions!$E$37)</f>
        <v>3.7402110434868</v>
      </c>
      <c r="L5787" s="48" t="n">
        <f aca="false">L5782*(1-Assumptions!$E$37)</f>
        <v>3.76678723511687</v>
      </c>
      <c r="M5787" s="48" t="n">
        <f aca="false">M5782*(1-Assumptions!$E$37)</f>
        <v>3.65525553544273</v>
      </c>
      <c r="N5787" s="48" t="n">
        <f aca="false">N5782*(1-Assumptions!$E$37)</f>
        <v>3.55146359378206</v>
      </c>
      <c r="P5787" s="49" t="n">
        <f aca="false">SUM(C5787:F5787)</f>
        <v>2.79301463478672</v>
      </c>
      <c r="Q5787" s="49" t="n">
        <f aca="false">SUM(G5787:J5787)</f>
        <v>7.71912925577877</v>
      </c>
      <c r="R5787" s="49" t="n">
        <f aca="false">SUM(K5787:N5787)</f>
        <v>14.7137174078285</v>
      </c>
      <c r="S5787" s="50" t="n">
        <f aca="false">SUM(P5787:R5787)</f>
        <v>25.225861298394</v>
      </c>
    </row>
    <row r="5788" customFormat="false" ht="15" hidden="false" customHeight="false" outlineLevel="0" collapsed="false">
      <c r="A5788" s="4" t="s">
        <v>522</v>
      </c>
      <c r="B5788" s="36" t="s">
        <v>125</v>
      </c>
      <c r="C5788" s="54" t="n">
        <f aca="false">C5787*$C$5741+C5783*$C$5742+C5784*$C$5743</f>
        <v>0</v>
      </c>
      <c r="D5788" s="54" t="n">
        <f aca="false">D5787*$C$5741+D5783*$C$5742+D5784*$C$5743</f>
        <v>9605.1723978823</v>
      </c>
      <c r="E5788" s="54" t="n">
        <f aca="false">E5787*$C$5741+E5783*$C$5742+E5784*$C$5743</f>
        <v>23068.9483404547</v>
      </c>
      <c r="F5788" s="54" t="n">
        <f aca="false">F5787*$C$5741+F5783*$C$5742+F5784*$C$5743</f>
        <v>29487.959826946</v>
      </c>
      <c r="G5788" s="54" t="n">
        <f aca="false">G5787*$C$5741+G5783*$C$5742+G5784*$C$5743</f>
        <v>32396.2106879066</v>
      </c>
      <c r="H5788" s="54" t="n">
        <f aca="false">H5787*$C$5741+H5783*$C$5742+H5784*$C$5743</f>
        <v>38964.6136702673</v>
      </c>
      <c r="I5788" s="54" t="n">
        <f aca="false">I5787*$C$5741+I5783*$C$5742+I5784*$C$5743</f>
        <v>46453.9124737925</v>
      </c>
      <c r="J5788" s="54" t="n">
        <f aca="false">J5787*$C$5741+J5783*$C$5742+J5784*$C$5743</f>
        <v>61590.9255512251</v>
      </c>
      <c r="K5788" s="54" t="n">
        <f aca="false">K5787*$C$5741+K5783*$C$5742+K5784*$C$5743</f>
        <v>79413.2550689478</v>
      </c>
      <c r="L5788" s="54" t="n">
        <f aca="false">L5787*$C$5741+L5783*$C$5742+L5784*$C$5743</f>
        <v>85538.5638647139</v>
      </c>
      <c r="M5788" s="54" t="n">
        <f aca="false">M5787*$C$5741+M5783*$C$5742+M5784*$C$5743</f>
        <v>84119.2286827277</v>
      </c>
      <c r="N5788" s="54" t="n">
        <f aca="false">N5787*$C$5741+N5783*$C$5742+N5784*$C$5743</f>
        <v>81693.5649943814</v>
      </c>
      <c r="P5788" s="55" t="n">
        <f aca="false">SUM(C5788:F5788)</f>
        <v>62162.0805652829</v>
      </c>
      <c r="Q5788" s="55" t="n">
        <f aca="false">SUM(G5788:J5788)</f>
        <v>179405.662383192</v>
      </c>
      <c r="R5788" s="55" t="n">
        <f aca="false">SUM(K5788:N5788)</f>
        <v>330764.612610771</v>
      </c>
      <c r="S5788" s="56" t="n">
        <f aca="false">SUM(P5788:R5788)</f>
        <v>572332.355559245</v>
      </c>
    </row>
    <row r="5789" customFormat="false" ht="15" hidden="false" customHeight="false" outlineLevel="0" collapsed="false">
      <c r="A5789" s="4" t="s">
        <v>523</v>
      </c>
      <c r="B5789" s="36" t="s">
        <v>125</v>
      </c>
      <c r="C5789" s="54" t="n">
        <f aca="false">(C5765+Assumptions!$D$104*C5751)*$C$5746</f>
        <v>306250</v>
      </c>
      <c r="D5789" s="54" t="n">
        <f aca="false">(D5765+Assumptions!$D$104*D5751)*$C$5746</f>
        <v>306250</v>
      </c>
      <c r="E5789" s="54" t="n">
        <f aca="false">(E5765+Assumptions!$D$104*E5751)*$C$5746</f>
        <v>306250</v>
      </c>
      <c r="F5789" s="54" t="n">
        <f aca="false">(F5765+Assumptions!$D$104*F5751)*$C$5746</f>
        <v>306250</v>
      </c>
      <c r="G5789" s="54" t="n">
        <f aca="false">(G5765+Assumptions!$D$104*G5751)*$C$5746</f>
        <v>306250</v>
      </c>
      <c r="H5789" s="54" t="n">
        <f aca="false">(H5765+Assumptions!$D$104*H5751)*$C$5746</f>
        <v>306250</v>
      </c>
      <c r="I5789" s="54" t="n">
        <f aca="false">(I5765+Assumptions!$D$104*I5751)*$C$5746</f>
        <v>306250</v>
      </c>
      <c r="J5789" s="54" t="n">
        <f aca="false">(J5765+Assumptions!$D$104*J5751)*$C$5746</f>
        <v>306250</v>
      </c>
      <c r="K5789" s="54" t="n">
        <f aca="false">(K5765+Assumptions!$D$104*K5751)*$C$5746</f>
        <v>306250</v>
      </c>
      <c r="L5789" s="54" t="n">
        <f aca="false">(L5765+Assumptions!$D$104*L5751)*$C$5746</f>
        <v>306250</v>
      </c>
      <c r="M5789" s="54" t="n">
        <f aca="false">(M5765+Assumptions!$D$104*M5751)*$C$5746</f>
        <v>306250</v>
      </c>
      <c r="N5789" s="54" t="n">
        <f aca="false">(N5765+Assumptions!$D$104*N5751)*$C$5746</f>
        <v>306250</v>
      </c>
      <c r="P5789" s="55" t="n">
        <f aca="false">SUM(C5789:F5789)</f>
        <v>1225000</v>
      </c>
      <c r="Q5789" s="55" t="n">
        <f aca="false">SUM(G5789:J5789)</f>
        <v>1225000</v>
      </c>
      <c r="R5789" s="55" t="n">
        <f aca="false">SUM(K5789:N5789)</f>
        <v>1225000</v>
      </c>
      <c r="S5789" s="56" t="n">
        <f aca="false">SUM(P5789:R5789)</f>
        <v>3675000</v>
      </c>
    </row>
    <row r="5790" customFormat="false" ht="15" hidden="false" customHeight="false" outlineLevel="0" collapsed="false">
      <c r="A5790" s="4" t="s">
        <v>524</v>
      </c>
      <c r="B5790" s="36" t="s">
        <v>77</v>
      </c>
      <c r="C5790" s="51" t="n">
        <f aca="false">IF(C5788&gt;0,MIN(1,C5789/C5788),1)</f>
        <v>1</v>
      </c>
      <c r="D5790" s="51" t="n">
        <f aca="false">IF(D5788&gt;0,MIN(1,D5789/D5788),1)</f>
        <v>1</v>
      </c>
      <c r="E5790" s="51" t="n">
        <f aca="false">IF(E5788&gt;0,MIN(1,E5789/E5788),1)</f>
        <v>1</v>
      </c>
      <c r="F5790" s="51" t="n">
        <f aca="false">IF(F5788&gt;0,MIN(1,F5789/F5788),1)</f>
        <v>1</v>
      </c>
      <c r="G5790" s="51" t="n">
        <f aca="false">IF(G5788&gt;0,MIN(1,G5789/G5788),1)</f>
        <v>1</v>
      </c>
      <c r="H5790" s="51" t="n">
        <f aca="false">IF(H5788&gt;0,MIN(1,H5789/H5788),1)</f>
        <v>1</v>
      </c>
      <c r="I5790" s="51" t="n">
        <f aca="false">IF(I5788&gt;0,MIN(1,I5789/I5788),1)</f>
        <v>1</v>
      </c>
      <c r="J5790" s="51" t="n">
        <f aca="false">IF(J5788&gt;0,MIN(1,J5789/J5788),1)</f>
        <v>1</v>
      </c>
      <c r="K5790" s="51" t="n">
        <f aca="false">IF(K5788&gt;0,MIN(1,K5789/K5788),1)</f>
        <v>1</v>
      </c>
      <c r="L5790" s="51" t="n">
        <f aca="false">IF(L5788&gt;0,MIN(1,L5789/L5788),1)</f>
        <v>1</v>
      </c>
      <c r="M5790" s="51" t="n">
        <f aca="false">IF(M5788&gt;0,MIN(1,M5789/M5788),1)</f>
        <v>1</v>
      </c>
      <c r="N5790" s="51" t="n">
        <f aca="false">IF(N5788&gt;0,MIN(1,N5789/N5788),1)</f>
        <v>1</v>
      </c>
      <c r="P5790" s="52"/>
      <c r="Q5790" s="52"/>
      <c r="R5790" s="52"/>
      <c r="S5790" s="53"/>
    </row>
    <row r="5791" customFormat="false" ht="15" hidden="false" customHeight="false" outlineLevel="0" collapsed="false">
      <c r="A5791" s="4" t="s">
        <v>525</v>
      </c>
      <c r="B5791" s="36" t="s">
        <v>125</v>
      </c>
      <c r="C5791" s="54" t="n">
        <f aca="false">C5788*(1-C5790)</f>
        <v>0</v>
      </c>
      <c r="D5791" s="54" t="n">
        <f aca="false">D5788*(1-D5790)</f>
        <v>0</v>
      </c>
      <c r="E5791" s="54" t="n">
        <f aca="false">E5788*(1-E5790)</f>
        <v>0</v>
      </c>
      <c r="F5791" s="54" t="n">
        <f aca="false">F5788*(1-F5790)</f>
        <v>0</v>
      </c>
      <c r="G5791" s="54" t="n">
        <f aca="false">G5788*(1-G5790)</f>
        <v>0</v>
      </c>
      <c r="H5791" s="54" t="n">
        <f aca="false">H5788*(1-H5790)</f>
        <v>0</v>
      </c>
      <c r="I5791" s="54" t="n">
        <f aca="false">I5788*(1-I5790)</f>
        <v>0</v>
      </c>
      <c r="J5791" s="54" t="n">
        <f aca="false">J5788*(1-J5790)</f>
        <v>0</v>
      </c>
      <c r="K5791" s="54" t="n">
        <f aca="false">K5788*(1-K5790)</f>
        <v>0</v>
      </c>
      <c r="L5791" s="54" t="n">
        <f aca="false">L5788*(1-L5790)</f>
        <v>0</v>
      </c>
      <c r="M5791" s="54" t="n">
        <f aca="false">M5788*(1-M5790)</f>
        <v>0</v>
      </c>
      <c r="N5791" s="54" t="n">
        <f aca="false">N5788*(1-N5790)</f>
        <v>0</v>
      </c>
      <c r="P5791" s="55" t="n">
        <f aca="false">SUM(C5791:F5791)</f>
        <v>0</v>
      </c>
      <c r="Q5791" s="55" t="n">
        <f aca="false">SUM(G5791:J5791)</f>
        <v>0</v>
      </c>
      <c r="R5791" s="55" t="n">
        <f aca="false">SUM(K5791:N5791)</f>
        <v>0</v>
      </c>
      <c r="S5791" s="56" t="n">
        <f aca="false">SUM(P5791:R5791)</f>
        <v>0</v>
      </c>
    </row>
    <row r="5792" customFormat="false" ht="15" hidden="false" customHeight="false" outlineLevel="0" collapsed="false">
      <c r="A5792" s="4" t="s">
        <v>526</v>
      </c>
      <c r="B5792" s="36" t="s">
        <v>527</v>
      </c>
      <c r="C5792" s="48" t="n">
        <f aca="false">C5786+C5787*C5790</f>
        <v>0</v>
      </c>
      <c r="D5792" s="48" t="n">
        <f aca="false">D5786+D5787*D5790</f>
        <v>0.866376445183821</v>
      </c>
      <c r="E5792" s="48" t="n">
        <f aca="false">E5786+E5787*E5790</f>
        <v>1.4850370503084</v>
      </c>
      <c r="F5792" s="48" t="n">
        <f aca="false">F5786+F5787*F5790</f>
        <v>1.63860741134595</v>
      </c>
      <c r="G5792" s="48" t="n">
        <f aca="false">G5786+G5787*G5790</f>
        <v>1.79532697390301</v>
      </c>
      <c r="H5792" s="48" t="n">
        <f aca="false">H5786+H5787*H5790</f>
        <v>2.31019678172994</v>
      </c>
      <c r="I5792" s="48" t="n">
        <f aca="false">I5786+I5787*I5790</f>
        <v>2.79111066507864</v>
      </c>
      <c r="J5792" s="48" t="n">
        <f aca="false">J5786+J5787*J5790</f>
        <v>4.1306930875438</v>
      </c>
      <c r="K5792" s="48" t="n">
        <f aca="false">K5786+K5787*K5790</f>
        <v>5.34315863355258</v>
      </c>
      <c r="L5792" s="48" t="n">
        <f aca="false">L5786+L5787*L5790</f>
        <v>5.38112462159553</v>
      </c>
      <c r="M5792" s="48" t="n">
        <f aca="false">M5786+M5787*M5790</f>
        <v>5.22179362206104</v>
      </c>
      <c r="N5792" s="48" t="n">
        <f aca="false">N5786+N5787*N5790</f>
        <v>5.07351941968866</v>
      </c>
      <c r="P5792" s="49" t="n">
        <f aca="false">SUM(C5792:F5792)</f>
        <v>3.99002090683817</v>
      </c>
      <c r="Q5792" s="49" t="n">
        <f aca="false">SUM(G5792:J5792)</f>
        <v>11.0273275082554</v>
      </c>
      <c r="R5792" s="49" t="n">
        <f aca="false">SUM(K5792:N5792)</f>
        <v>21.0195962968978</v>
      </c>
      <c r="S5792" s="50" t="n">
        <f aca="false">SUM(P5792:R5792)</f>
        <v>36.0369447119914</v>
      </c>
    </row>
    <row r="5793" customFormat="false" ht="15" hidden="false" customHeight="false" outlineLevel="0" collapsed="false">
      <c r="A5793" s="4" t="s">
        <v>528</v>
      </c>
      <c r="B5793" s="36" t="s">
        <v>527</v>
      </c>
      <c r="C5793" s="48" t="n">
        <f aca="false">C5783*C5790</f>
        <v>0</v>
      </c>
      <c r="D5793" s="48" t="n">
        <f aca="false">D5783*D5790</f>
        <v>0.434084974267145</v>
      </c>
      <c r="E5793" s="48" t="n">
        <f aca="false">E5783*E5790</f>
        <v>0.744055627726705</v>
      </c>
      <c r="F5793" s="48" t="n">
        <f aca="false">F5783*F5790</f>
        <v>0.820999762796119</v>
      </c>
      <c r="G5793" s="48" t="n">
        <f aca="false">G5783*G5790</f>
        <v>0.89952175823807</v>
      </c>
      <c r="H5793" s="48" t="n">
        <f aca="false">H5783*H5790</f>
        <v>1.13465516292283</v>
      </c>
      <c r="I5793" s="48" t="n">
        <f aca="false">I5783*I5790</f>
        <v>1.35487856174628</v>
      </c>
      <c r="J5793" s="48" t="n">
        <f aca="false">J5783*J5790</f>
        <v>1.88601088123353</v>
      </c>
      <c r="K5793" s="48" t="n">
        <f aca="false">K5783*K5790</f>
        <v>2.37581157552964</v>
      </c>
      <c r="L5793" s="48" t="n">
        <f aca="false">L5783*L5790</f>
        <v>2.3926929822134</v>
      </c>
      <c r="M5793" s="48" t="n">
        <f aca="false">M5783*M5790</f>
        <v>2.32184716628391</v>
      </c>
      <c r="N5793" s="48" t="n">
        <f aca="false">N5783*N5790</f>
        <v>2.25591770573287</v>
      </c>
      <c r="P5793" s="49" t="n">
        <f aca="false">SUM(C5793:F5793)</f>
        <v>1.99914036478997</v>
      </c>
      <c r="Q5793" s="49" t="n">
        <f aca="false">SUM(G5793:J5793)</f>
        <v>5.27506636414072</v>
      </c>
      <c r="R5793" s="49" t="n">
        <f aca="false">SUM(K5793:N5793)</f>
        <v>9.34626942975982</v>
      </c>
      <c r="S5793" s="50" t="n">
        <f aca="false">SUM(P5793:R5793)</f>
        <v>16.6204761586905</v>
      </c>
    </row>
    <row r="5794" customFormat="false" ht="15" hidden="false" customHeight="false" outlineLevel="0" collapsed="false">
      <c r="A5794" s="4" t="s">
        <v>529</v>
      </c>
      <c r="B5794" s="36" t="s">
        <v>527</v>
      </c>
      <c r="C5794" s="48" t="n">
        <f aca="false">C5784*C5790</f>
        <v>0</v>
      </c>
      <c r="D5794" s="48" t="n">
        <f aca="false">D5784*D5790</f>
        <v>0</v>
      </c>
      <c r="E5794" s="48" t="n">
        <f aca="false">E5784*E5790</f>
        <v>0.071275680959914</v>
      </c>
      <c r="F5794" s="48" t="n">
        <f aca="false">F5784*F5790</f>
        <v>0.122172096898336</v>
      </c>
      <c r="G5794" s="48" t="n">
        <f aca="false">G5784*G5790</f>
        <v>0.134806133891215</v>
      </c>
      <c r="H5794" s="48" t="n">
        <f aca="false">H5784*H5790</f>
        <v>0.147699251661313</v>
      </c>
      <c r="I5794" s="48" t="n">
        <f aca="false">I5784*I5790</f>
        <v>0.174259973058587</v>
      </c>
      <c r="J5794" s="48" t="n">
        <f aca="false">J5784*J5790</f>
        <v>0.19948212034567</v>
      </c>
      <c r="K5794" s="48" t="n">
        <f aca="false">K5784*K5790</f>
        <v>0.265355665717199</v>
      </c>
      <c r="L5794" s="48" t="n">
        <f aca="false">L5784*L5790</f>
        <v>0.327251866823927</v>
      </c>
      <c r="M5794" s="48" t="n">
        <f aca="false">M5784*M5790</f>
        <v>0.329577165643402</v>
      </c>
      <c r="N5794" s="48" t="n">
        <f aca="false">N5784*N5790</f>
        <v>0.319818636912259</v>
      </c>
      <c r="P5794" s="49" t="n">
        <f aca="false">SUM(C5794:F5794)</f>
        <v>0.19344777785825</v>
      </c>
      <c r="Q5794" s="49" t="n">
        <f aca="false">SUM(G5794:J5794)</f>
        <v>0.656247478956785</v>
      </c>
      <c r="R5794" s="49" t="n">
        <f aca="false">SUM(K5794:N5794)</f>
        <v>1.24200333509679</v>
      </c>
      <c r="S5794" s="50" t="n">
        <f aca="false">SUM(P5794:R5794)</f>
        <v>2.09169859191182</v>
      </c>
    </row>
    <row r="5795" customFormat="false" ht="15" hidden="false" customHeight="false" outlineLevel="0" collapsed="false">
      <c r="A5795" s="9" t="s">
        <v>530</v>
      </c>
      <c r="B5795" s="36" t="s">
        <v>527</v>
      </c>
      <c r="C5795" s="49" t="n">
        <f aca="false">C5792+C5793+C5794</f>
        <v>0</v>
      </c>
      <c r="D5795" s="49" t="n">
        <f aca="false">D5792+D5793+D5794</f>
        <v>1.30046141945097</v>
      </c>
      <c r="E5795" s="49" t="n">
        <f aca="false">E5792+E5793+E5794</f>
        <v>2.30036835899502</v>
      </c>
      <c r="F5795" s="49" t="n">
        <f aca="false">F5792+F5793+F5794</f>
        <v>2.58177927104041</v>
      </c>
      <c r="G5795" s="49" t="n">
        <f aca="false">G5792+G5793+G5794</f>
        <v>2.82965486603229</v>
      </c>
      <c r="H5795" s="49" t="n">
        <f aca="false">H5792+H5793+H5794</f>
        <v>3.59255119631409</v>
      </c>
      <c r="I5795" s="49" t="n">
        <f aca="false">I5792+I5793+I5794</f>
        <v>4.32024919988351</v>
      </c>
      <c r="J5795" s="49" t="n">
        <f aca="false">J5792+J5793+J5794</f>
        <v>6.216186089123</v>
      </c>
      <c r="K5795" s="49" t="n">
        <f aca="false">K5792+K5793+K5794</f>
        <v>7.98432587479941</v>
      </c>
      <c r="L5795" s="49" t="n">
        <f aca="false">L5792+L5793+L5794</f>
        <v>8.10106947063285</v>
      </c>
      <c r="M5795" s="49" t="n">
        <f aca="false">M5792+M5793+M5794</f>
        <v>7.87321795398836</v>
      </c>
      <c r="N5795" s="49" t="n">
        <f aca="false">N5792+N5793+N5794</f>
        <v>7.64925576233379</v>
      </c>
      <c r="P5795" s="49" t="n">
        <f aca="false">SUM(C5795:F5795)</f>
        <v>6.18260904948639</v>
      </c>
      <c r="Q5795" s="49" t="n">
        <f aca="false">SUM(G5795:J5795)</f>
        <v>16.9586413513529</v>
      </c>
      <c r="R5795" s="49" t="n">
        <f aca="false">SUM(K5795:N5795)</f>
        <v>31.6078690617544</v>
      </c>
      <c r="S5795" s="50" t="n">
        <f aca="false">SUM(P5795:R5795)</f>
        <v>54.7491194625937</v>
      </c>
    </row>
    <row r="5796" customFormat="false" ht="15" hidden="false" customHeight="false" outlineLevel="0" collapsed="false">
      <c r="A5796" s="35" t="s">
        <v>533</v>
      </c>
      <c r="B5796" s="35" t="s">
        <v>444</v>
      </c>
      <c r="C5796" s="6" t="s">
        <v>354</v>
      </c>
      <c r="D5796" s="6" t="s">
        <v>355</v>
      </c>
      <c r="E5796" s="6" t="s">
        <v>356</v>
      </c>
      <c r="F5796" s="6" t="s">
        <v>357</v>
      </c>
      <c r="G5796" s="6" t="s">
        <v>358</v>
      </c>
      <c r="H5796" s="6" t="s">
        <v>359</v>
      </c>
      <c r="I5796" s="6" t="s">
        <v>360</v>
      </c>
      <c r="J5796" s="6" t="s">
        <v>361</v>
      </c>
      <c r="K5796" s="6" t="s">
        <v>362</v>
      </c>
      <c r="L5796" s="6" t="s">
        <v>363</v>
      </c>
      <c r="M5796" s="6" t="s">
        <v>364</v>
      </c>
      <c r="N5796" s="6" t="s">
        <v>365</v>
      </c>
      <c r="P5796" s="6" t="s">
        <v>445</v>
      </c>
      <c r="Q5796" s="6" t="s">
        <v>446</v>
      </c>
      <c r="R5796" s="6" t="s">
        <v>447</v>
      </c>
      <c r="S5796" s="6" t="s">
        <v>448</v>
      </c>
    </row>
    <row r="5797" customFormat="false" ht="15" hidden="false" customHeight="false" outlineLevel="0" collapsed="false">
      <c r="A5797" s="4" t="s">
        <v>534</v>
      </c>
      <c r="B5797" s="36" t="s">
        <v>527</v>
      </c>
      <c r="C5797" s="48" t="n">
        <f aca="false">0*Assumptions!$E$59^(1/4)+C5792</f>
        <v>0</v>
      </c>
      <c r="D5797" s="48" t="n">
        <f aca="false">C5797*Assumptions!$E$59^(1/4)+D5792</f>
        <v>0.866376445183821</v>
      </c>
      <c r="E5797" s="48" t="n">
        <f aca="false">D5797*Assumptions!$E$59^(1/4)+E5792</f>
        <v>2.32416329488403</v>
      </c>
      <c r="F5797" s="48" t="n">
        <f aca="false">E5797*Assumptions!$E$59^(1/4)+F5792</f>
        <v>3.88966863104794</v>
      </c>
      <c r="G5797" s="48" t="n">
        <f aca="false">F5797*Assumptions!$E$59^(1/4)+G5792</f>
        <v>5.56265357789716</v>
      </c>
      <c r="H5797" s="48" t="n">
        <f aca="false">G5797*Assumptions!$E$59^(1/4)+H5792</f>
        <v>7.69788781678072</v>
      </c>
      <c r="I5797" s="48" t="n">
        <f aca="false">H5797*Assumptions!$E$59^(1/4)+I5792</f>
        <v>10.2468762630101</v>
      </c>
      <c r="J5797" s="48" t="n">
        <f aca="false">I5797*Assumptions!$E$59^(1/4)+J5792</f>
        <v>14.0552736148763</v>
      </c>
      <c r="K5797" s="48" t="n">
        <f aca="false">J5797*Assumptions!$E$59^(1/4)+K5792</f>
        <v>18.9563507170835</v>
      </c>
      <c r="L5797" s="48" t="n">
        <f aca="false">K5797*Assumptions!$E$59^(1/4)+L5792</f>
        <v>23.7412398769334</v>
      </c>
      <c r="M5797" s="48" t="n">
        <f aca="false">L5797*Assumptions!$E$59^(1/4)+M5792</f>
        <v>28.2162985745513</v>
      </c>
      <c r="N5797" s="48" t="n">
        <f aca="false">M5797*Assumptions!$E$59^(1/4)+N5792</f>
        <v>32.4023287268997</v>
      </c>
      <c r="P5797" s="49" t="n">
        <f aca="false">F5797</f>
        <v>3.88966863104794</v>
      </c>
      <c r="Q5797" s="49" t="n">
        <f aca="false">J5797</f>
        <v>14.0552736148763</v>
      </c>
      <c r="R5797" s="49" t="n">
        <f aca="false">N5797</f>
        <v>32.4023287268997</v>
      </c>
      <c r="S5797" s="50" t="n">
        <f aca="false">R5797</f>
        <v>32.4023287268997</v>
      </c>
    </row>
    <row r="5798" customFormat="false" ht="15" hidden="false" customHeight="false" outlineLevel="0" collapsed="false">
      <c r="A5798" s="4" t="s">
        <v>535</v>
      </c>
      <c r="B5798" s="36" t="s">
        <v>527</v>
      </c>
      <c r="C5798" s="48" t="n">
        <f aca="false">0*Assumptions!$E$60^(1/4)+C5793</f>
        <v>0</v>
      </c>
      <c r="D5798" s="48" t="n">
        <f aca="false">C5798*Assumptions!$E$60^(1/4)+D5793</f>
        <v>0.434084974267145</v>
      </c>
      <c r="E5798" s="48" t="n">
        <f aca="false">D5798*Assumptions!$E$60^(1/4)+E5793</f>
        <v>1.16685601892983</v>
      </c>
      <c r="F5798" s="48" t="n">
        <f aca="false">E5798*Assumptions!$E$60^(1/4)+F5793</f>
        <v>1.95752189677268</v>
      </c>
      <c r="G5798" s="48" t="n">
        <f aca="false">F5798*Assumptions!$E$60^(1/4)+G5793</f>
        <v>2.80615541940422</v>
      </c>
      <c r="H5798" s="48" t="n">
        <f aca="false">G5798*Assumptions!$E$60^(1/4)+H5793</f>
        <v>3.86786105447419</v>
      </c>
      <c r="I5798" s="48" t="n">
        <f aca="false">H5798*Assumptions!$E$60^(1/4)+I5793</f>
        <v>5.12218971945664</v>
      </c>
      <c r="J5798" s="48" t="n">
        <f aca="false">I5798*Assumptions!$E$60^(1/4)+J5793</f>
        <v>6.87504285788544</v>
      </c>
      <c r="K5798" s="48" t="n">
        <f aca="false">J5798*Assumptions!$E$60^(1/4)+K5793</f>
        <v>9.07212907594454</v>
      </c>
      <c r="L5798" s="48" t="n">
        <f aca="false">K5798*Assumptions!$E$60^(1/4)+L5793</f>
        <v>11.2289806902372</v>
      </c>
      <c r="M5798" s="48" t="n">
        <f aca="false">L5798*Assumptions!$E$60^(1/4)+M5793</f>
        <v>13.2589164271123</v>
      </c>
      <c r="N5798" s="48" t="n">
        <f aca="false">M5798*Assumptions!$E$60^(1/4)+N5793</f>
        <v>15.1701519792802</v>
      </c>
      <c r="P5798" s="49" t="n">
        <f aca="false">F5798</f>
        <v>1.95752189677268</v>
      </c>
      <c r="Q5798" s="49" t="n">
        <f aca="false">J5798</f>
        <v>6.87504285788544</v>
      </c>
      <c r="R5798" s="49" t="n">
        <f aca="false">N5798</f>
        <v>15.1701519792802</v>
      </c>
      <c r="S5798" s="50" t="n">
        <f aca="false">R5798</f>
        <v>15.1701519792802</v>
      </c>
    </row>
    <row r="5799" customFormat="false" ht="15" hidden="false" customHeight="false" outlineLevel="0" collapsed="false">
      <c r="A5799" s="4" t="s">
        <v>536</v>
      </c>
      <c r="B5799" s="36" t="s">
        <v>527</v>
      </c>
      <c r="C5799" s="48" t="n">
        <f aca="false">0*Assumptions!$E$61^(1/4)+C5794</f>
        <v>0</v>
      </c>
      <c r="D5799" s="48" t="n">
        <f aca="false">C5799*Assumptions!$E$61^(1/4)+D5794</f>
        <v>0</v>
      </c>
      <c r="E5799" s="48" t="n">
        <f aca="false">D5799*Assumptions!$E$61^(1/4)+E5794</f>
        <v>0.071275680959914</v>
      </c>
      <c r="F5799" s="48" t="n">
        <f aca="false">E5799*Assumptions!$E$61^(1/4)+F5794</f>
        <v>0.191977386314485</v>
      </c>
      <c r="G5799" s="48" t="n">
        <f aca="false">F5799*Assumptions!$E$61^(1/4)+G5794</f>
        <v>0.322823096094288</v>
      </c>
      <c r="H5799" s="48" t="n">
        <f aca="false">G5799*Assumptions!$E$61^(1/4)+H5794</f>
        <v>0.463862623930639</v>
      </c>
      <c r="I5799" s="48" t="n">
        <f aca="false">H5799*Assumptions!$E$61^(1/4)+I5794</f>
        <v>0.628553278667598</v>
      </c>
      <c r="J5799" s="48" t="n">
        <f aca="false">I5799*Assumptions!$E$61^(1/4)+J5794</f>
        <v>0.815068571993006</v>
      </c>
      <c r="K5799" s="48" t="n">
        <f aca="false">J5799*Assumptions!$E$61^(1/4)+K5794</f>
        <v>1.06360966758325</v>
      </c>
      <c r="L5799" s="48" t="n">
        <f aca="false">K5799*Assumptions!$E$61^(1/4)+L5794</f>
        <v>1.36891965128493</v>
      </c>
      <c r="M5799" s="48" t="n">
        <f aca="false">L5799*Assumptions!$E$61^(1/4)+M5794</f>
        <v>1.67025649916167</v>
      </c>
      <c r="N5799" s="48" t="n">
        <f aca="false">M5799*Assumptions!$E$61^(1/4)+N5794</f>
        <v>1.95561834801929</v>
      </c>
      <c r="P5799" s="49" t="n">
        <f aca="false">F5799</f>
        <v>0.191977386314485</v>
      </c>
      <c r="Q5799" s="49" t="n">
        <f aca="false">J5799</f>
        <v>0.815068571993006</v>
      </c>
      <c r="R5799" s="49" t="n">
        <f aca="false">N5799</f>
        <v>1.95561834801929</v>
      </c>
      <c r="S5799" s="50" t="n">
        <f aca="false">R5799</f>
        <v>1.95561834801929</v>
      </c>
    </row>
    <row r="5800" customFormat="false" ht="15" hidden="false" customHeight="false" outlineLevel="0" collapsed="false">
      <c r="A5800" s="9" t="s">
        <v>537</v>
      </c>
      <c r="B5800" s="36" t="s">
        <v>527</v>
      </c>
      <c r="C5800" s="49" t="n">
        <f aca="false">C5797+C5798+C5799</f>
        <v>0</v>
      </c>
      <c r="D5800" s="49" t="n">
        <f aca="false">D5797+D5798+D5799</f>
        <v>1.30046141945097</v>
      </c>
      <c r="E5800" s="49" t="n">
        <f aca="false">E5797+E5798+E5799</f>
        <v>3.56229499477378</v>
      </c>
      <c r="F5800" s="49" t="n">
        <f aca="false">F5797+F5798+F5799</f>
        <v>6.0391679141351</v>
      </c>
      <c r="G5800" s="49" t="n">
        <f aca="false">G5797+G5798+G5799</f>
        <v>8.69163209339566</v>
      </c>
      <c r="H5800" s="49" t="n">
        <f aca="false">H5797+H5798+H5799</f>
        <v>12.0296114951856</v>
      </c>
      <c r="I5800" s="49" t="n">
        <f aca="false">I5797+I5798+I5799</f>
        <v>15.9976192611344</v>
      </c>
      <c r="J5800" s="49" t="n">
        <f aca="false">J5797+J5798+J5799</f>
        <v>21.7453850447547</v>
      </c>
      <c r="K5800" s="49" t="n">
        <f aca="false">K5797+K5798+K5799</f>
        <v>29.0920894606113</v>
      </c>
      <c r="L5800" s="49" t="n">
        <f aca="false">L5797+L5798+L5799</f>
        <v>36.3391402184556</v>
      </c>
      <c r="M5800" s="49" t="n">
        <f aca="false">M5797+M5798+M5799</f>
        <v>43.1454715008253</v>
      </c>
      <c r="N5800" s="49" t="n">
        <f aca="false">N5797+N5798+N5799</f>
        <v>49.5280990541991</v>
      </c>
      <c r="P5800" s="49" t="n">
        <f aca="false">F5800</f>
        <v>6.0391679141351</v>
      </c>
      <c r="Q5800" s="49" t="n">
        <f aca="false">J5800</f>
        <v>21.7453850447547</v>
      </c>
      <c r="R5800" s="49" t="n">
        <f aca="false">N5800</f>
        <v>49.5280990541991</v>
      </c>
      <c r="S5800" s="50" t="n">
        <f aca="false">R5800</f>
        <v>49.5280990541991</v>
      </c>
    </row>
    <row r="5801" customFormat="false" ht="15" hidden="false" customHeight="false" outlineLevel="0" collapsed="false">
      <c r="A5801" s="4" t="s">
        <v>538</v>
      </c>
      <c r="B5801" s="36" t="s">
        <v>125</v>
      </c>
      <c r="C5801" s="54" t="n">
        <f aca="false">0*Assumptions!$E$62^(1/4)+C5792*$C$5741</f>
        <v>0</v>
      </c>
      <c r="D5801" s="54" t="n">
        <f aca="false">C5801*Assumptions!$E$62^(1/4)+D5792*$C$5741</f>
        <v>4636.84673462381</v>
      </c>
      <c r="E5801" s="54" t="n">
        <f aca="false">D5801*Assumptions!$E$62^(1/4)+E5792*$C$5741</f>
        <v>12584.7650278744</v>
      </c>
      <c r="F5801" s="54" t="n">
        <f aca="false">E5801*Assumptions!$E$62^(1/4)+F5792*$C$5741</f>
        <v>21354.5918933979</v>
      </c>
      <c r="G5801" s="54" t="n">
        <f aca="false">F5801*Assumptions!$E$62^(1/4)+G5792*$C$5741</f>
        <v>30963.1818577268</v>
      </c>
      <c r="H5801" s="54" t="n">
        <f aca="false">G5801*Assumptions!$E$62^(1/4)+H5792*$C$5741</f>
        <v>43327.3550335454</v>
      </c>
      <c r="I5801" s="54" t="n">
        <f aca="false">H5801*Assumptions!$E$62^(1/4)+I5792*$C$5741</f>
        <v>58265.3793130463</v>
      </c>
      <c r="J5801" s="54" t="n">
        <f aca="false">I5801*Assumptions!$E$62^(1/4)+J5792*$C$5741</f>
        <v>80372.8487175808</v>
      </c>
      <c r="K5801" s="54" t="n">
        <f aca="false">J5801*Assumptions!$E$62^(1/4)+K5792*$C$5741</f>
        <v>108969.433724354</v>
      </c>
      <c r="L5801" s="54" t="n">
        <f aca="false">K5801*Assumptions!$E$62^(1/4)+L5792*$C$5741</f>
        <v>137769.212699133</v>
      </c>
      <c r="M5801" s="54" t="n">
        <f aca="false">L5801*Assumptions!$E$62^(1/4)+M5792*$C$5741</f>
        <v>165716.252164404</v>
      </c>
      <c r="N5801" s="54" t="n">
        <f aca="false">M5801*Assumptions!$E$62^(1/4)+N5792*$C$5741</f>
        <v>192869.728098578</v>
      </c>
      <c r="P5801" s="55" t="n">
        <f aca="false">F5801</f>
        <v>21354.5918933979</v>
      </c>
      <c r="Q5801" s="55" t="n">
        <f aca="false">J5801</f>
        <v>80372.8487175808</v>
      </c>
      <c r="R5801" s="55" t="n">
        <f aca="false">N5801</f>
        <v>192869.728098578</v>
      </c>
      <c r="S5801" s="56" t="n">
        <f aca="false">R5801</f>
        <v>192869.728098578</v>
      </c>
    </row>
    <row r="5802" customFormat="false" ht="15" hidden="false" customHeight="false" outlineLevel="0" collapsed="false">
      <c r="A5802" s="4" t="s">
        <v>539</v>
      </c>
      <c r="B5802" s="36" t="s">
        <v>125</v>
      </c>
      <c r="C5802" s="54" t="n">
        <f aca="false">0*Assumptions!$E$63^(1/4)+C5793*$C$5742</f>
        <v>0</v>
      </c>
      <c r="D5802" s="54" t="n">
        <f aca="false">C5802*Assumptions!$E$63^(1/4)+D5793*$C$5742</f>
        <v>6359.37968364564</v>
      </c>
      <c r="E5802" s="54" t="n">
        <f aca="false">D5802*Assumptions!$E$63^(1/4)+E5793*$C$5742</f>
        <v>17353.1708571961</v>
      </c>
      <c r="F5802" s="54" t="n">
        <f aca="false">E5802*Assumptions!$E$63^(1/4)+F5793*$C$5742</f>
        <v>29635.5209803953</v>
      </c>
      <c r="G5802" s="54" t="n">
        <f aca="false">F5802*Assumptions!$E$63^(1/4)+G5793*$C$5742</f>
        <v>43248.4539500411</v>
      </c>
      <c r="H5802" s="54" t="n">
        <f aca="false">G5802*Assumptions!$E$63^(1/4)+H5793*$C$5742</f>
        <v>60505.8642387027</v>
      </c>
      <c r="I5802" s="54" t="n">
        <f aca="false">H5802*Assumptions!$E$63^(1/4)+I5793*$C$5742</f>
        <v>81242.7975643762</v>
      </c>
      <c r="J5802" s="54" t="n">
        <f aca="false">I5802*Assumptions!$E$63^(1/4)+J5793*$C$5742</f>
        <v>110065.152533331</v>
      </c>
      <c r="K5802" s="54" t="n">
        <f aca="false">J5802*Assumptions!$E$63^(1/4)+K5793*$C$5742</f>
        <v>146486.061755406</v>
      </c>
      <c r="L5802" s="54" t="n">
        <f aca="false">K5802*Assumptions!$E$63^(1/4)+L5793*$C$5742</f>
        <v>183688.719758419</v>
      </c>
      <c r="M5802" s="54" t="n">
        <f aca="false">L5802*Assumptions!$E$63^(1/4)+M5793*$C$5742</f>
        <v>220399.386957319</v>
      </c>
      <c r="N5802" s="54" t="n">
        <f aca="false">M5802*Assumptions!$E$63^(1/4)+N5793*$C$5742</f>
        <v>256682.868955281</v>
      </c>
      <c r="P5802" s="55" t="n">
        <f aca="false">F5802</f>
        <v>29635.5209803953</v>
      </c>
      <c r="Q5802" s="55" t="n">
        <f aca="false">J5802</f>
        <v>110065.152533331</v>
      </c>
      <c r="R5802" s="55" t="n">
        <f aca="false">N5802</f>
        <v>256682.868955281</v>
      </c>
      <c r="S5802" s="56" t="n">
        <f aca="false">R5802</f>
        <v>256682.868955281</v>
      </c>
    </row>
    <row r="5803" customFormat="false" ht="15" hidden="false" customHeight="false" outlineLevel="0" collapsed="false">
      <c r="A5803" s="4" t="s">
        <v>540</v>
      </c>
      <c r="B5803" s="36" t="s">
        <v>125</v>
      </c>
      <c r="C5803" s="54" t="n">
        <f aca="false">0*Assumptions!$E$64^(1/4)+C5794*$C$5743</f>
        <v>0</v>
      </c>
      <c r="D5803" s="54" t="n">
        <f aca="false">C5803*Assumptions!$E$64^(1/4)+D5794*$C$5743</f>
        <v>0</v>
      </c>
      <c r="E5803" s="54" t="n">
        <f aca="false">D5803*Assumptions!$E$64^(1/4)+E5794*$C$5743</f>
        <v>6604.93092083479</v>
      </c>
      <c r="F5803" s="54" t="n">
        <f aca="false">E5803*Assumptions!$E$64^(1/4)+F5794*$C$5743</f>
        <v>18161.1582163261</v>
      </c>
      <c r="G5803" s="54" t="n">
        <f aca="false">F5803*Assumptions!$E$64^(1/4)+G5794*$C$5743</f>
        <v>31299.0658858596</v>
      </c>
      <c r="H5803" s="54" t="n">
        <f aca="false">G5803*Assumptions!$E$64^(1/4)+H5794*$C$5743</f>
        <v>46098.9037788784</v>
      </c>
      <c r="I5803" s="54" t="n">
        <f aca="false">H5803*Assumptions!$E$64^(1/4)+I5794*$C$5743</f>
        <v>63886.3080153216</v>
      </c>
      <c r="J5803" s="54" t="n">
        <f aca="false">I5803*Assumptions!$E$64^(1/4)+J5794*$C$5743</f>
        <v>84643.4685457823</v>
      </c>
      <c r="K5803" s="54" t="n">
        <f aca="false">J5803*Assumptions!$E$64^(1/4)+K5794*$C$5743</f>
        <v>112243.042921088</v>
      </c>
      <c r="L5803" s="54" t="n">
        <f aca="false">K5803*Assumptions!$E$64^(1/4)+L5794*$C$5743</f>
        <v>146559.764125499</v>
      </c>
      <c r="M5803" s="54" t="n">
        <f aca="false">L5803*Assumptions!$E$64^(1/4)+M5794*$C$5743</f>
        <v>182312.201281676</v>
      </c>
      <c r="N5803" s="54" t="n">
        <f aca="false">M5803*Assumptions!$E$64^(1/4)+N5794*$C$5743</f>
        <v>218431.628995234</v>
      </c>
      <c r="P5803" s="55" t="n">
        <f aca="false">F5803</f>
        <v>18161.1582163261</v>
      </c>
      <c r="Q5803" s="55" t="n">
        <f aca="false">J5803</f>
        <v>84643.4685457823</v>
      </c>
      <c r="R5803" s="55" t="n">
        <f aca="false">N5803</f>
        <v>218431.628995234</v>
      </c>
      <c r="S5803" s="56" t="n">
        <f aca="false">R5803</f>
        <v>218431.628995234</v>
      </c>
    </row>
    <row r="5804" customFormat="false" ht="15" hidden="false" customHeight="false" outlineLevel="0" collapsed="false">
      <c r="A5804" s="9" t="s">
        <v>541</v>
      </c>
      <c r="B5804" s="36" t="s">
        <v>125</v>
      </c>
      <c r="C5804" s="55" t="n">
        <f aca="false">C5801+C5802+C5803</f>
        <v>0</v>
      </c>
      <c r="D5804" s="55" t="n">
        <f aca="false">D5801+D5802+D5803</f>
        <v>10996.2264182694</v>
      </c>
      <c r="E5804" s="55" t="n">
        <f aca="false">E5801+E5802+E5803</f>
        <v>36542.8668059052</v>
      </c>
      <c r="F5804" s="55" t="n">
        <f aca="false">F5801+F5802+F5803</f>
        <v>69151.2710901194</v>
      </c>
      <c r="G5804" s="55" t="n">
        <f aca="false">G5801+G5802+G5803</f>
        <v>105510.701693627</v>
      </c>
      <c r="H5804" s="55" t="n">
        <f aca="false">H5801+H5802+H5803</f>
        <v>149932.123051126</v>
      </c>
      <c r="I5804" s="55" t="n">
        <f aca="false">I5801+I5802+I5803</f>
        <v>203394.484892744</v>
      </c>
      <c r="J5804" s="55" t="n">
        <f aca="false">J5801+J5802+J5803</f>
        <v>275081.469796694</v>
      </c>
      <c r="K5804" s="55" t="n">
        <f aca="false">K5801+K5802+K5803</f>
        <v>367698.538400849</v>
      </c>
      <c r="L5804" s="55" t="n">
        <f aca="false">L5801+L5802+L5803</f>
        <v>468017.696583052</v>
      </c>
      <c r="M5804" s="55" t="n">
        <f aca="false">M5801+M5802+M5803</f>
        <v>568427.840403398</v>
      </c>
      <c r="N5804" s="55" t="n">
        <f aca="false">N5801+N5802+N5803</f>
        <v>667984.226049093</v>
      </c>
      <c r="P5804" s="55" t="n">
        <f aca="false">F5804</f>
        <v>69151.2710901194</v>
      </c>
      <c r="Q5804" s="55" t="n">
        <f aca="false">J5804</f>
        <v>275081.469796694</v>
      </c>
      <c r="R5804" s="55" t="n">
        <f aca="false">N5804</f>
        <v>667984.226049093</v>
      </c>
      <c r="S5804" s="56" t="n">
        <f aca="false">R5804</f>
        <v>667984.226049093</v>
      </c>
    </row>
    <row r="5805" customFormat="false" ht="15" hidden="false" customHeight="false" outlineLevel="0" collapsed="false">
      <c r="A5805" s="4" t="s">
        <v>542</v>
      </c>
      <c r="B5805" s="36" t="s">
        <v>125</v>
      </c>
      <c r="C5805" s="54" t="n">
        <f aca="false">C5792*$C$5741+C5793*$C$5742+C5794*$C$5743</f>
        <v>0</v>
      </c>
      <c r="D5805" s="54" t="n">
        <f aca="false">D5792*$C$5741+D5793*$C$5742+D5794*$C$5743</f>
        <v>10996.2264182694</v>
      </c>
      <c r="E5805" s="54" t="n">
        <f aca="false">E5792*$C$5741+E5793*$C$5742+E5794*$C$5743</f>
        <v>25453.3238284299</v>
      </c>
      <c r="F5805" s="54" t="n">
        <f aca="false">F5792*$C$5741+F5793*$C$5742+F5794*$C$5743</f>
        <v>32118.907886603</v>
      </c>
      <c r="G5805" s="54" t="n">
        <f aca="false">G5792*$C$5741+G5793*$C$5742+G5794*$C$5743</f>
        <v>35278.7876772053</v>
      </c>
      <c r="H5805" s="54" t="n">
        <f aca="false">H5792*$C$5741+H5793*$C$5742+H5794*$C$5743</f>
        <v>42673.8656230129</v>
      </c>
      <c r="I5805" s="54" t="n">
        <f aca="false">I5792*$C$5741+I5793*$C$5742+I5794*$C$5743</f>
        <v>50935.3197576428</v>
      </c>
      <c r="J5805" s="54" t="n">
        <f aca="false">J5792*$C$5741+J5793*$C$5742+J5794*$C$5743</f>
        <v>68223.1663725854</v>
      </c>
      <c r="K5805" s="54" t="n">
        <f aca="false">K5792*$C$5741+K5793*$C$5742+K5794*$C$5743</f>
        <v>87992.2305709798</v>
      </c>
      <c r="L5805" s="54" t="n">
        <f aca="false">L5792*$C$5741+L5793*$C$5742+L5794*$C$5743</f>
        <v>94178.4975571476</v>
      </c>
      <c r="M5805" s="54" t="n">
        <f aca="false">M5792*$C$5741+M5793*$C$5742+M5794*$C$5743</f>
        <v>92503.340522309</v>
      </c>
      <c r="N5805" s="54" t="n">
        <f aca="false">N5792*$C$5741+N5793*$C$5742+N5794*$C$5743</f>
        <v>89839.6077746335</v>
      </c>
      <c r="P5805" s="55" t="n">
        <f aca="false">SUM(C5805:F5805)</f>
        <v>68568.4581333023</v>
      </c>
      <c r="Q5805" s="55" t="n">
        <f aca="false">SUM(G5805:J5805)</f>
        <v>197111.139430446</v>
      </c>
      <c r="R5805" s="55" t="n">
        <f aca="false">SUM(K5805:N5805)</f>
        <v>364513.67642507</v>
      </c>
      <c r="S5805" s="56" t="n">
        <f aca="false">SUM(P5805:R5805)</f>
        <v>630193.273988819</v>
      </c>
    </row>
    <row r="5806" customFormat="false" ht="15" hidden="false" customHeight="false" outlineLevel="0" collapsed="false">
      <c r="A5806" s="9" t="s">
        <v>543</v>
      </c>
      <c r="B5806" s="36" t="s">
        <v>125</v>
      </c>
      <c r="C5806" s="55" t="n">
        <f aca="false">(0+C5804)/8</f>
        <v>0</v>
      </c>
      <c r="D5806" s="55" t="n">
        <f aca="false">(C5804+D5804)/8</f>
        <v>1374.52830228368</v>
      </c>
      <c r="E5806" s="55" t="n">
        <f aca="false">(D5804+E5804)/8</f>
        <v>5942.38665302183</v>
      </c>
      <c r="F5806" s="55" t="n">
        <f aca="false">(E5804+F5804)/8</f>
        <v>13211.7672370031</v>
      </c>
      <c r="G5806" s="55" t="n">
        <f aca="false">(F5804+G5804)/8</f>
        <v>21832.7465979684</v>
      </c>
      <c r="H5806" s="55" t="n">
        <f aca="false">(G5804+H5804)/8</f>
        <v>31930.3530930942</v>
      </c>
      <c r="I5806" s="55" t="n">
        <f aca="false">(H5804+I5804)/8</f>
        <v>44165.8259929838</v>
      </c>
      <c r="J5806" s="55" t="n">
        <f aca="false">(I5804+J5804)/8</f>
        <v>59809.4943361798</v>
      </c>
      <c r="K5806" s="55" t="n">
        <f aca="false">(J5804+K5804)/8</f>
        <v>80347.5010246928</v>
      </c>
      <c r="L5806" s="55" t="n">
        <f aca="false">(K5804+L5804)/8</f>
        <v>104464.529372988</v>
      </c>
      <c r="M5806" s="55" t="n">
        <f aca="false">(L5804+M5804)/8</f>
        <v>129555.692123306</v>
      </c>
      <c r="N5806" s="55" t="n">
        <f aca="false">(M5804+N5804)/8</f>
        <v>154551.508306561</v>
      </c>
      <c r="P5806" s="55" t="n">
        <f aca="false">SUM(C5806:F5806)</f>
        <v>20528.6821923086</v>
      </c>
      <c r="Q5806" s="55" t="n">
        <f aca="false">SUM(G5806:J5806)</f>
        <v>157738.420020226</v>
      </c>
      <c r="R5806" s="55" t="n">
        <f aca="false">SUM(K5806:N5806)</f>
        <v>468919.230827548</v>
      </c>
      <c r="S5806" s="56" t="n">
        <f aca="false">SUM(P5806:R5806)</f>
        <v>647186.333040083</v>
      </c>
    </row>
    <row r="5807" customFormat="false" ht="15" hidden="false" customHeight="false" outlineLevel="0" collapsed="false">
      <c r="A5807" s="4" t="s">
        <v>544</v>
      </c>
      <c r="B5807" s="36" t="s">
        <v>125</v>
      </c>
      <c r="C5807" s="54" t="n">
        <f aca="false">C5806*Assumptions!$E$76</f>
        <v>0</v>
      </c>
      <c r="D5807" s="54" t="n">
        <f aca="false">D5806*Assumptions!$E$76</f>
        <v>893.443396484393</v>
      </c>
      <c r="E5807" s="54" t="n">
        <f aca="false">E5806*Assumptions!$E$76</f>
        <v>3862.55132446419</v>
      </c>
      <c r="F5807" s="54" t="n">
        <f aca="false">F5806*Assumptions!$E$76</f>
        <v>8587.648704052</v>
      </c>
      <c r="G5807" s="54" t="n">
        <f aca="false">G5806*Assumptions!$E$76</f>
        <v>14191.2852886794</v>
      </c>
      <c r="H5807" s="54" t="n">
        <f aca="false">H5806*Assumptions!$E$76</f>
        <v>20754.7295105113</v>
      </c>
      <c r="I5807" s="54" t="n">
        <f aca="false">I5806*Assumptions!$E$76</f>
        <v>28707.7868954395</v>
      </c>
      <c r="J5807" s="54" t="n">
        <f aca="false">J5806*Assumptions!$E$76</f>
        <v>38876.1713185169</v>
      </c>
      <c r="K5807" s="54" t="n">
        <f aca="false">K5806*Assumptions!$E$76</f>
        <v>52225.8756660503</v>
      </c>
      <c r="L5807" s="54" t="n">
        <f aca="false">L5806*Assumptions!$E$76</f>
        <v>67901.9440924419</v>
      </c>
      <c r="M5807" s="54" t="n">
        <f aca="false">M5806*Assumptions!$E$76</f>
        <v>84211.1998801491</v>
      </c>
      <c r="N5807" s="54" t="n">
        <f aca="false">N5806*Assumptions!$E$76</f>
        <v>100458.480399265</v>
      </c>
      <c r="P5807" s="55" t="n">
        <f aca="false">SUM(C5807:F5807)</f>
        <v>13343.6434250006</v>
      </c>
      <c r="Q5807" s="55" t="n">
        <f aca="false">SUM(G5807:J5807)</f>
        <v>102529.973013147</v>
      </c>
      <c r="R5807" s="55" t="n">
        <f aca="false">SUM(K5807:N5807)</f>
        <v>304797.500037906</v>
      </c>
      <c r="S5807" s="56" t="n">
        <f aca="false">SUM(P5807:R5807)</f>
        <v>420671.116476054</v>
      </c>
    </row>
    <row r="5808" customFormat="false" ht="15" hidden="false" customHeight="false" outlineLevel="0" collapsed="false">
      <c r="A5808" s="35" t="s">
        <v>547</v>
      </c>
      <c r="B5808" s="35" t="s">
        <v>444</v>
      </c>
      <c r="C5808" s="6" t="s">
        <v>354</v>
      </c>
      <c r="D5808" s="6" t="s">
        <v>355</v>
      </c>
      <c r="E5808" s="6" t="s">
        <v>356</v>
      </c>
      <c r="F5808" s="6" t="s">
        <v>357</v>
      </c>
      <c r="G5808" s="6" t="s">
        <v>358</v>
      </c>
      <c r="H5808" s="6" t="s">
        <v>359</v>
      </c>
      <c r="I5808" s="6" t="s">
        <v>360</v>
      </c>
      <c r="J5808" s="6" t="s">
        <v>361</v>
      </c>
      <c r="K5808" s="6" t="s">
        <v>362</v>
      </c>
      <c r="L5808" s="6" t="s">
        <v>363</v>
      </c>
      <c r="M5808" s="6" t="s">
        <v>364</v>
      </c>
      <c r="N5808" s="6" t="s">
        <v>365</v>
      </c>
      <c r="P5808" s="6" t="s">
        <v>445</v>
      </c>
      <c r="Q5808" s="6" t="s">
        <v>446</v>
      </c>
      <c r="R5808" s="6" t="s">
        <v>447</v>
      </c>
      <c r="S5808" s="6" t="s">
        <v>448</v>
      </c>
    </row>
    <row r="5809" customFormat="false" ht="15" hidden="false" customHeight="false" outlineLevel="0" collapsed="false">
      <c r="A5809" s="4" t="s">
        <v>548</v>
      </c>
      <c r="B5809" s="36" t="s">
        <v>321</v>
      </c>
      <c r="C5809" s="48" t="n">
        <f aca="false">Assumptions!$D$97*C5751</f>
        <v>1</v>
      </c>
      <c r="D5809" s="48" t="n">
        <f aca="false">Assumptions!$D$97*D5751</f>
        <v>1</v>
      </c>
      <c r="E5809" s="48" t="n">
        <f aca="false">Assumptions!$D$97*E5751</f>
        <v>1</v>
      </c>
      <c r="F5809" s="48" t="n">
        <f aca="false">Assumptions!$D$97*F5751</f>
        <v>1</v>
      </c>
      <c r="G5809" s="48" t="n">
        <f aca="false">Assumptions!$D$97*G5751</f>
        <v>1</v>
      </c>
      <c r="H5809" s="48" t="n">
        <f aca="false">Assumptions!$D$97*H5751</f>
        <v>1</v>
      </c>
      <c r="I5809" s="48" t="n">
        <f aca="false">Assumptions!$D$97*I5751</f>
        <v>1</v>
      </c>
      <c r="J5809" s="48" t="n">
        <f aca="false">Assumptions!$D$97*J5751</f>
        <v>1</v>
      </c>
      <c r="K5809" s="48" t="n">
        <f aca="false">Assumptions!$D$97*K5751</f>
        <v>1</v>
      </c>
      <c r="L5809" s="48" t="n">
        <f aca="false">Assumptions!$D$97*L5751</f>
        <v>1</v>
      </c>
      <c r="M5809" s="48" t="n">
        <f aca="false">Assumptions!$D$97*M5751</f>
        <v>1</v>
      </c>
      <c r="N5809" s="48" t="n">
        <f aca="false">Assumptions!$D$97*N5751</f>
        <v>1</v>
      </c>
      <c r="P5809" s="49" t="n">
        <f aca="false">AVERAGE(C5809:F5809)</f>
        <v>1</v>
      </c>
      <c r="Q5809" s="49" t="n">
        <f aca="false">AVERAGE(G5809:J5809)</f>
        <v>1</v>
      </c>
      <c r="R5809" s="49" t="n">
        <f aca="false">AVERAGE(K5809:N5809)</f>
        <v>1</v>
      </c>
      <c r="S5809" s="50"/>
    </row>
    <row r="5810" customFormat="false" ht="15" hidden="false" customHeight="false" outlineLevel="0" collapsed="false">
      <c r="A5810" s="4" t="s">
        <v>549</v>
      </c>
      <c r="B5810" s="36" t="s">
        <v>321</v>
      </c>
      <c r="C5810" s="48" t="n">
        <f aca="false">C5764*C5751</f>
        <v>0</v>
      </c>
      <c r="D5810" s="48" t="n">
        <f aca="false">D5764*D5751</f>
        <v>0</v>
      </c>
      <c r="E5810" s="48" t="n">
        <f aca="false">E5764*E5751</f>
        <v>0</v>
      </c>
      <c r="F5810" s="48" t="n">
        <f aca="false">F5764*F5751</f>
        <v>0</v>
      </c>
      <c r="G5810" s="48" t="n">
        <f aca="false">G5764*G5751</f>
        <v>0</v>
      </c>
      <c r="H5810" s="48" t="n">
        <f aca="false">H5764*H5751</f>
        <v>0</v>
      </c>
      <c r="I5810" s="48" t="n">
        <f aca="false">I5764*I5751</f>
        <v>0</v>
      </c>
      <c r="J5810" s="48" t="n">
        <f aca="false">J5764*J5751</f>
        <v>0</v>
      </c>
      <c r="K5810" s="48" t="n">
        <f aca="false">K5764*K5751</f>
        <v>0</v>
      </c>
      <c r="L5810" s="48" t="n">
        <f aca="false">L5764*L5751</f>
        <v>0</v>
      </c>
      <c r="M5810" s="48" t="n">
        <f aca="false">M5764*M5751</f>
        <v>0</v>
      </c>
      <c r="N5810" s="48" t="n">
        <f aca="false">N5764*N5751</f>
        <v>0</v>
      </c>
      <c r="P5810" s="49" t="n">
        <f aca="false">AVERAGE(C5810:F5810)</f>
        <v>0</v>
      </c>
      <c r="Q5810" s="49" t="n">
        <f aca="false">AVERAGE(G5810:J5810)</f>
        <v>0</v>
      </c>
      <c r="R5810" s="49" t="n">
        <f aca="false">AVERAGE(K5810:N5810)</f>
        <v>0</v>
      </c>
      <c r="S5810" s="50"/>
    </row>
    <row r="5811" customFormat="false" ht="15" hidden="false" customHeight="false" outlineLevel="0" collapsed="false">
      <c r="A5811" s="4" t="s">
        <v>550</v>
      </c>
      <c r="B5811" s="36" t="s">
        <v>321</v>
      </c>
      <c r="C5811" s="48" t="n">
        <f aca="false">IF(C5750&lt;=4,Assumptions!$D$98,Assumptions!$D$99)*C5751</f>
        <v>0</v>
      </c>
      <c r="D5811" s="48" t="n">
        <f aca="false">IF(D5750&lt;=4,Assumptions!$D$98,Assumptions!$D$99)*D5751</f>
        <v>0</v>
      </c>
      <c r="E5811" s="48" t="n">
        <f aca="false">IF(E5750&lt;=4,Assumptions!$D$98,Assumptions!$D$99)*E5751</f>
        <v>0</v>
      </c>
      <c r="F5811" s="48" t="n">
        <f aca="false">IF(F5750&lt;=4,Assumptions!$D$98,Assumptions!$D$99)*F5751</f>
        <v>0</v>
      </c>
      <c r="G5811" s="48" t="n">
        <f aca="false">IF(G5750&lt;=4,Assumptions!$D$98,Assumptions!$D$99)*G5751</f>
        <v>0.5</v>
      </c>
      <c r="H5811" s="48" t="n">
        <f aca="false">IF(H5750&lt;=4,Assumptions!$D$98,Assumptions!$D$99)*H5751</f>
        <v>0.5</v>
      </c>
      <c r="I5811" s="48" t="n">
        <f aca="false">IF(I5750&lt;=4,Assumptions!$D$98,Assumptions!$D$99)*I5751</f>
        <v>0.5</v>
      </c>
      <c r="J5811" s="48" t="n">
        <f aca="false">IF(J5750&lt;=4,Assumptions!$D$98,Assumptions!$D$99)*J5751</f>
        <v>0.5</v>
      </c>
      <c r="K5811" s="48" t="n">
        <f aca="false">IF(K5750&lt;=4,Assumptions!$D$98,Assumptions!$D$99)*K5751</f>
        <v>0.5</v>
      </c>
      <c r="L5811" s="48" t="n">
        <f aca="false">IF(L5750&lt;=4,Assumptions!$D$98,Assumptions!$D$99)*L5751</f>
        <v>0.5</v>
      </c>
      <c r="M5811" s="48" t="n">
        <f aca="false">IF(M5750&lt;=4,Assumptions!$D$98,Assumptions!$D$99)*M5751</f>
        <v>0.5</v>
      </c>
      <c r="N5811" s="48" t="n">
        <f aca="false">IF(N5750&lt;=4,Assumptions!$D$98,Assumptions!$D$99)*N5751</f>
        <v>0.5</v>
      </c>
      <c r="P5811" s="49" t="n">
        <f aca="false">AVERAGE(C5811:F5811)</f>
        <v>0</v>
      </c>
      <c r="Q5811" s="49" t="n">
        <f aca="false">AVERAGE(G5811:J5811)</f>
        <v>0.5</v>
      </c>
      <c r="R5811" s="49" t="n">
        <f aca="false">AVERAGE(K5811:N5811)</f>
        <v>0.5</v>
      </c>
      <c r="S5811" s="50"/>
    </row>
    <row r="5812" customFormat="false" ht="15" hidden="false" customHeight="false" outlineLevel="0" collapsed="false">
      <c r="A5812" s="4" t="s">
        <v>551</v>
      </c>
      <c r="B5812" s="36" t="s">
        <v>321</v>
      </c>
      <c r="C5812" s="48" t="n">
        <f aca="false">IF(C5750&lt;=4,Assumptions!$D$100,Assumptions!$D$101)*C5751</f>
        <v>1</v>
      </c>
      <c r="D5812" s="48" t="n">
        <f aca="false">IF(D5750&lt;=4,Assumptions!$D$100,Assumptions!$D$101)*D5751</f>
        <v>1</v>
      </c>
      <c r="E5812" s="48" t="n">
        <f aca="false">IF(E5750&lt;=4,Assumptions!$D$100,Assumptions!$D$101)*E5751</f>
        <v>1</v>
      </c>
      <c r="F5812" s="48" t="n">
        <f aca="false">IF(F5750&lt;=4,Assumptions!$D$100,Assumptions!$D$101)*F5751</f>
        <v>1</v>
      </c>
      <c r="G5812" s="48" t="n">
        <f aca="false">IF(G5750&lt;=4,Assumptions!$D$100,Assumptions!$D$101)*G5751</f>
        <v>0.5</v>
      </c>
      <c r="H5812" s="48" t="n">
        <f aca="false">IF(H5750&lt;=4,Assumptions!$D$100,Assumptions!$D$101)*H5751</f>
        <v>0.5</v>
      </c>
      <c r="I5812" s="48" t="n">
        <f aca="false">IF(I5750&lt;=4,Assumptions!$D$100,Assumptions!$D$101)*I5751</f>
        <v>0.5</v>
      </c>
      <c r="J5812" s="48" t="n">
        <f aca="false">IF(J5750&lt;=4,Assumptions!$D$100,Assumptions!$D$101)*J5751</f>
        <v>0.5</v>
      </c>
      <c r="K5812" s="48" t="n">
        <f aca="false">IF(K5750&lt;=4,Assumptions!$D$100,Assumptions!$D$101)*K5751</f>
        <v>0.5</v>
      </c>
      <c r="L5812" s="48" t="n">
        <f aca="false">IF(L5750&lt;=4,Assumptions!$D$100,Assumptions!$D$101)*L5751</f>
        <v>0.5</v>
      </c>
      <c r="M5812" s="48" t="n">
        <f aca="false">IF(M5750&lt;=4,Assumptions!$D$100,Assumptions!$D$101)*M5751</f>
        <v>0.5</v>
      </c>
      <c r="N5812" s="48" t="n">
        <f aca="false">IF(N5750&lt;=4,Assumptions!$D$100,Assumptions!$D$101)*N5751</f>
        <v>0.5</v>
      </c>
      <c r="P5812" s="49" t="n">
        <f aca="false">AVERAGE(C5812:F5812)</f>
        <v>1</v>
      </c>
      <c r="Q5812" s="49" t="n">
        <f aca="false">AVERAGE(G5812:J5812)</f>
        <v>0.5</v>
      </c>
      <c r="R5812" s="49" t="n">
        <f aca="false">AVERAGE(K5812:N5812)</f>
        <v>0.5</v>
      </c>
      <c r="S5812" s="50"/>
    </row>
    <row r="5813" customFormat="false" ht="15" hidden="false" customHeight="false" outlineLevel="0" collapsed="false">
      <c r="A5813" s="4" t="s">
        <v>552</v>
      </c>
      <c r="B5813" s="36" t="s">
        <v>321</v>
      </c>
      <c r="C5813" s="48" t="n">
        <f aca="false">Assumptions!$D$102*C5751</f>
        <v>0.25</v>
      </c>
      <c r="D5813" s="48" t="n">
        <f aca="false">Assumptions!$D$102*D5751</f>
        <v>0.25</v>
      </c>
      <c r="E5813" s="48" t="n">
        <f aca="false">Assumptions!$D$102*E5751</f>
        <v>0.25</v>
      </c>
      <c r="F5813" s="48" t="n">
        <f aca="false">Assumptions!$D$102*F5751</f>
        <v>0.25</v>
      </c>
      <c r="G5813" s="48" t="n">
        <f aca="false">Assumptions!$D$102*G5751</f>
        <v>0.25</v>
      </c>
      <c r="H5813" s="48" t="n">
        <f aca="false">Assumptions!$D$102*H5751</f>
        <v>0.25</v>
      </c>
      <c r="I5813" s="48" t="n">
        <f aca="false">Assumptions!$D$102*I5751</f>
        <v>0.25</v>
      </c>
      <c r="J5813" s="48" t="n">
        <f aca="false">Assumptions!$D$102*J5751</f>
        <v>0.25</v>
      </c>
      <c r="K5813" s="48" t="n">
        <f aca="false">Assumptions!$D$102*K5751</f>
        <v>0.25</v>
      </c>
      <c r="L5813" s="48" t="n">
        <f aca="false">Assumptions!$D$102*L5751</f>
        <v>0.25</v>
      </c>
      <c r="M5813" s="48" t="n">
        <f aca="false">Assumptions!$D$102*M5751</f>
        <v>0.25</v>
      </c>
      <c r="N5813" s="48" t="n">
        <f aca="false">Assumptions!$D$102*N5751</f>
        <v>0.25</v>
      </c>
      <c r="P5813" s="49" t="n">
        <f aca="false">AVERAGE(C5813:F5813)</f>
        <v>0.25</v>
      </c>
      <c r="Q5813" s="49" t="n">
        <f aca="false">AVERAGE(G5813:J5813)</f>
        <v>0.25</v>
      </c>
      <c r="R5813" s="49" t="n">
        <f aca="false">AVERAGE(K5813:N5813)</f>
        <v>0.25</v>
      </c>
      <c r="S5813" s="50"/>
    </row>
    <row r="5814" customFormat="false" ht="15" hidden="false" customHeight="false" outlineLevel="0" collapsed="false">
      <c r="A5814" s="4" t="s">
        <v>553</v>
      </c>
      <c r="B5814" s="36" t="s">
        <v>321</v>
      </c>
      <c r="C5814" s="48" t="n">
        <f aca="false">(C5798+C5799)/Assumptions!$E$74+C5797/Assumptions!$E$75</f>
        <v>0</v>
      </c>
      <c r="D5814" s="48" t="n">
        <f aca="false">(D5798+D5799)/Assumptions!$E$74+D5797/Assumptions!$E$75</f>
        <v>0.0143176301374139</v>
      </c>
      <c r="E5814" s="48" t="n">
        <f aca="false">(E5798+E5799)/Assumptions!$E$74+E5797/Assumptions!$E$75</f>
        <v>0.0402499456767798</v>
      </c>
      <c r="F5814" s="48" t="n">
        <f aca="false">(F5798+F5799)/Assumptions!$E$74+F5797/Assumptions!$E$75</f>
        <v>0.069296156601371</v>
      </c>
      <c r="G5814" s="48" t="n">
        <f aca="false">(G5798+G5799)/Assumptions!$E$74+G5797/Assumptions!$E$75</f>
        <v>0.100475077199051</v>
      </c>
      <c r="H5814" s="48" t="n">
        <f aca="false">(H5798+H5799)/Assumptions!$E$74+H5797/Assumptions!$E$75</f>
        <v>0.139084643227244</v>
      </c>
      <c r="I5814" s="48" t="n">
        <f aca="false">(I5798+I5799)/Assumptions!$E$74+I5797/Assumptions!$E$75</f>
        <v>0.184756080005146</v>
      </c>
      <c r="J5814" s="48" t="n">
        <f aca="false">(J5798+J5799)/Assumptions!$E$74+J5797/Assumptions!$E$75</f>
        <v>0.248473880206466</v>
      </c>
      <c r="K5814" s="48" t="n">
        <f aca="false">(K5798+K5799)/Assumptions!$E$74+K5797/Assumptions!$E$75</f>
        <v>0.329218871456529</v>
      </c>
      <c r="L5814" s="48" t="n">
        <f aca="false">(L5798+L5799)/Assumptions!$E$74+L5797/Assumptions!$E$75</f>
        <v>0.409912468045788</v>
      </c>
      <c r="M5814" s="48" t="n">
        <f aca="false">(M5798+M5799)/Assumptions!$E$74+M5797/Assumptions!$E$75</f>
        <v>0.486094517455055</v>
      </c>
      <c r="N5814" s="48" t="n">
        <f aca="false">(N5798+N5799)/Assumptions!$E$74+N5797/Assumptions!$E$75</f>
        <v>0.557753573090085</v>
      </c>
      <c r="P5814" s="49" t="n">
        <f aca="false">AVERAGE(C5814:F5814)</f>
        <v>0.0309659331038912</v>
      </c>
      <c r="Q5814" s="49" t="n">
        <f aca="false">AVERAGE(G5814:J5814)</f>
        <v>0.168197420159477</v>
      </c>
      <c r="R5814" s="49" t="n">
        <f aca="false">AVERAGE(K5814:N5814)</f>
        <v>0.445744857511864</v>
      </c>
      <c r="S5814" s="50"/>
    </row>
    <row r="5815" customFormat="false" ht="15" hidden="false" customHeight="false" outlineLevel="0" collapsed="false">
      <c r="A5815" s="4" t="s">
        <v>554</v>
      </c>
      <c r="B5815" s="36" t="s">
        <v>125</v>
      </c>
      <c r="C5815" s="54" t="n">
        <f aca="false">(C5809+C5811)*Assumptions!$E$70/Assumptions!$E$69/4</f>
        <v>66753.5714285714</v>
      </c>
      <c r="D5815" s="54" t="n">
        <f aca="false">(D5809+D5811)*Assumptions!$E$70/Assumptions!$E$69/4</f>
        <v>66753.5714285714</v>
      </c>
      <c r="E5815" s="54" t="n">
        <f aca="false">(E5809+E5811)*Assumptions!$E$70/Assumptions!$E$69/4</f>
        <v>66753.5714285714</v>
      </c>
      <c r="F5815" s="54" t="n">
        <f aca="false">(F5809+F5811)*Assumptions!$E$70/Assumptions!$E$69/4</f>
        <v>66753.5714285714</v>
      </c>
      <c r="G5815" s="54" t="n">
        <f aca="false">(G5809+G5811)*Assumptions!$E$70/Assumptions!$E$69/4</f>
        <v>100130.357142857</v>
      </c>
      <c r="H5815" s="54" t="n">
        <f aca="false">(H5809+H5811)*Assumptions!$E$70/Assumptions!$E$69/4</f>
        <v>100130.357142857</v>
      </c>
      <c r="I5815" s="54" t="n">
        <f aca="false">(I5809+I5811)*Assumptions!$E$70/Assumptions!$E$69/4</f>
        <v>100130.357142857</v>
      </c>
      <c r="J5815" s="54" t="n">
        <f aca="false">(J5809+J5811)*Assumptions!$E$70/Assumptions!$E$69/4</f>
        <v>100130.357142857</v>
      </c>
      <c r="K5815" s="54" t="n">
        <f aca="false">(K5809+K5811)*Assumptions!$E$70/Assumptions!$E$69/4</f>
        <v>100130.357142857</v>
      </c>
      <c r="L5815" s="54" t="n">
        <f aca="false">(L5809+L5811)*Assumptions!$E$70/Assumptions!$E$69/4</f>
        <v>100130.357142857</v>
      </c>
      <c r="M5815" s="54" t="n">
        <f aca="false">(M5809+M5811)*Assumptions!$E$70/Assumptions!$E$69/4</f>
        <v>100130.357142857</v>
      </c>
      <c r="N5815" s="54" t="n">
        <f aca="false">(N5809+N5811)*Assumptions!$E$70/Assumptions!$E$69/4</f>
        <v>100130.357142857</v>
      </c>
      <c r="P5815" s="55" t="n">
        <f aca="false">SUM(C5815:F5815)</f>
        <v>267014.285714286</v>
      </c>
      <c r="Q5815" s="55" t="n">
        <f aca="false">SUM(G5815:J5815)</f>
        <v>400521.428571429</v>
      </c>
      <c r="R5815" s="55" t="n">
        <f aca="false">SUM(K5815:N5815)</f>
        <v>400521.428571429</v>
      </c>
      <c r="S5815" s="56" t="n">
        <f aca="false">SUM(P5815:R5815)</f>
        <v>1068057.14285714</v>
      </c>
    </row>
    <row r="5816" customFormat="false" ht="15" hidden="false" customHeight="false" outlineLevel="0" collapsed="false">
      <c r="A5816" s="4" t="s">
        <v>555</v>
      </c>
      <c r="B5816" s="36" t="s">
        <v>125</v>
      </c>
      <c r="C5816" s="54" t="n">
        <f aca="false">C5810*$C$5745/4</f>
        <v>0</v>
      </c>
      <c r="D5816" s="54" t="n">
        <f aca="false">D5810*$C$5745/4</f>
        <v>0</v>
      </c>
      <c r="E5816" s="54" t="n">
        <f aca="false">E5810*$C$5745/4</f>
        <v>0</v>
      </c>
      <c r="F5816" s="54" t="n">
        <f aca="false">F5810*$C$5745/4</f>
        <v>0</v>
      </c>
      <c r="G5816" s="54" t="n">
        <f aca="false">G5810*$C$5745/4</f>
        <v>0</v>
      </c>
      <c r="H5816" s="54" t="n">
        <f aca="false">H5810*$C$5745/4</f>
        <v>0</v>
      </c>
      <c r="I5816" s="54" t="n">
        <f aca="false">I5810*$C$5745/4</f>
        <v>0</v>
      </c>
      <c r="J5816" s="54" t="n">
        <f aca="false">J5810*$C$5745/4</f>
        <v>0</v>
      </c>
      <c r="K5816" s="54" t="n">
        <f aca="false">K5810*$C$5745/4</f>
        <v>0</v>
      </c>
      <c r="L5816" s="54" t="n">
        <f aca="false">L5810*$C$5745/4</f>
        <v>0</v>
      </c>
      <c r="M5816" s="54" t="n">
        <f aca="false">M5810*$C$5745/4</f>
        <v>0</v>
      </c>
      <c r="N5816" s="54" t="n">
        <f aca="false">N5810*$C$5745/4</f>
        <v>0</v>
      </c>
      <c r="P5816" s="55" t="n">
        <f aca="false">SUM(C5816:F5816)</f>
        <v>0</v>
      </c>
      <c r="Q5816" s="55" t="n">
        <f aca="false">SUM(G5816:J5816)</f>
        <v>0</v>
      </c>
      <c r="R5816" s="55" t="n">
        <f aca="false">SUM(K5816:N5816)</f>
        <v>0</v>
      </c>
      <c r="S5816" s="56" t="n">
        <f aca="false">SUM(P5816:R5816)</f>
        <v>0</v>
      </c>
    </row>
    <row r="5817" customFormat="false" ht="15" hidden="false" customHeight="false" outlineLevel="0" collapsed="false">
      <c r="A5817" s="4" t="s">
        <v>556</v>
      </c>
      <c r="B5817" s="36" t="s">
        <v>125</v>
      </c>
      <c r="C5817" s="54" t="n">
        <f aca="false">MAX(0,(C5805-C5786*$C$5741)-C5765*$C$5746)*$C$5747*Assumptions!$D$105</f>
        <v>0</v>
      </c>
      <c r="D5817" s="54" t="n">
        <f aca="false">MAX(0,(D5805-D5786*$C$5741)-D5765*$C$5746)*$C$5747*Assumptions!$D$105</f>
        <v>4480.54689114043</v>
      </c>
      <c r="E5817" s="54" t="n">
        <f aca="false">MAX(0,(E5805-E5786*$C$5741)-E5765*$C$5746)*$C$5747*Assumptions!$D$105</f>
        <v>10761.0254649351</v>
      </c>
      <c r="F5817" s="54" t="n">
        <f aca="false">MAX(0,(F5805-F5786*$C$5741)-F5765*$C$5746)*$C$5747*Assumptions!$D$105</f>
        <v>13755.3165373509</v>
      </c>
      <c r="G5817" s="54" t="n">
        <f aca="false">MAX(0,(G5805-G5786*$C$5741)-G5765*$C$5746)*$C$5747*Assumptions!$D$105</f>
        <v>15111.935014767</v>
      </c>
      <c r="H5817" s="54" t="n">
        <f aca="false">MAX(0,(H5805-H5786*$C$5741)-H5765*$C$5746)*$C$5747*Assumptions!$D$105</f>
        <v>18175.9130823404</v>
      </c>
      <c r="I5817" s="54" t="n">
        <f aca="false">MAX(0,(I5805-I5786*$C$5741)-I5765*$C$5746)*$C$5747*Assumptions!$D$105</f>
        <v>21669.4635446263</v>
      </c>
      <c r="J5817" s="54" t="n">
        <f aca="false">MAX(0,(J5805-J5786*$C$5741)-J5765*$C$5746)*$C$5747*Assumptions!$D$105</f>
        <v>28730.4608985307</v>
      </c>
      <c r="K5817" s="54" t="n">
        <f aca="false">MAX(0,(K5805-K5786*$C$5741)-K5765*$C$5746)*$C$5747*Assumptions!$D$105</f>
        <v>37044.0839971768</v>
      </c>
      <c r="L5817" s="54" t="n">
        <f aca="false">MAX(0,(L5805-L5786*$C$5741)-L5765*$C$5746)*$C$5747*Assumptions!$D$105</f>
        <v>39901.3708989919</v>
      </c>
      <c r="M5817" s="54" t="n">
        <f aca="false">MAX(0,(M5805-M5786*$C$5741)-M5765*$C$5746)*$C$5747*Assumptions!$D$105</f>
        <v>39239.2903476281</v>
      </c>
      <c r="N5817" s="54" t="n">
        <f aca="false">MAX(0,(N5805-N5786*$C$5741)-N5765*$C$5746)*$C$5747*Assumptions!$D$105</f>
        <v>38107.7854201196</v>
      </c>
      <c r="P5817" s="55" t="n">
        <f aca="false">SUM(C5817:F5817)</f>
        <v>28996.8888934265</v>
      </c>
      <c r="Q5817" s="55" t="n">
        <f aca="false">SUM(G5817:J5817)</f>
        <v>83687.7725402643</v>
      </c>
      <c r="R5817" s="55" t="n">
        <f aca="false">SUM(K5817:N5817)</f>
        <v>154292.530663916</v>
      </c>
      <c r="S5817" s="56" t="n">
        <f aca="false">SUM(P5817:R5817)</f>
        <v>266977.192097607</v>
      </c>
    </row>
    <row r="5818" customFormat="false" ht="15" hidden="false" customHeight="false" outlineLevel="0" collapsed="false">
      <c r="A5818" s="4" t="s">
        <v>557</v>
      </c>
      <c r="B5818" s="36" t="s">
        <v>125</v>
      </c>
      <c r="C5818" s="54" t="n">
        <f aca="false">C5813*Assumptions!$E$71/Assumptions!$E$69/4</f>
        <v>18475.8928571429</v>
      </c>
      <c r="D5818" s="54" t="n">
        <f aca="false">D5813*Assumptions!$E$71/Assumptions!$E$69/4</f>
        <v>18475.8928571429</v>
      </c>
      <c r="E5818" s="54" t="n">
        <f aca="false">E5813*Assumptions!$E$71/Assumptions!$E$69/4</f>
        <v>18475.8928571429</v>
      </c>
      <c r="F5818" s="54" t="n">
        <f aca="false">F5813*Assumptions!$E$71/Assumptions!$E$69/4</f>
        <v>18475.8928571429</v>
      </c>
      <c r="G5818" s="54" t="n">
        <f aca="false">G5813*Assumptions!$E$71/Assumptions!$E$69/4</f>
        <v>18475.8928571429</v>
      </c>
      <c r="H5818" s="54" t="n">
        <f aca="false">H5813*Assumptions!$E$71/Assumptions!$E$69/4</f>
        <v>18475.8928571429</v>
      </c>
      <c r="I5818" s="54" t="n">
        <f aca="false">I5813*Assumptions!$E$71/Assumptions!$E$69/4</f>
        <v>18475.8928571429</v>
      </c>
      <c r="J5818" s="54" t="n">
        <f aca="false">J5813*Assumptions!$E$71/Assumptions!$E$69/4</f>
        <v>18475.8928571429</v>
      </c>
      <c r="K5818" s="54" t="n">
        <f aca="false">K5813*Assumptions!$E$71/Assumptions!$E$69/4</f>
        <v>18475.8928571429</v>
      </c>
      <c r="L5818" s="54" t="n">
        <f aca="false">L5813*Assumptions!$E$71/Assumptions!$E$69/4</f>
        <v>18475.8928571429</v>
      </c>
      <c r="M5818" s="54" t="n">
        <f aca="false">M5813*Assumptions!$E$71/Assumptions!$E$69/4</f>
        <v>18475.8928571429</v>
      </c>
      <c r="N5818" s="54" t="n">
        <f aca="false">N5813*Assumptions!$E$71/Assumptions!$E$69/4</f>
        <v>18475.8928571429</v>
      </c>
      <c r="P5818" s="55" t="n">
        <f aca="false">SUM(C5818:F5818)</f>
        <v>73903.5714285714</v>
      </c>
      <c r="Q5818" s="55" t="n">
        <f aca="false">SUM(G5818:J5818)</f>
        <v>73903.5714285714</v>
      </c>
      <c r="R5818" s="55" t="n">
        <f aca="false">SUM(K5818:N5818)</f>
        <v>73903.5714285714</v>
      </c>
      <c r="S5818" s="56" t="n">
        <f aca="false">SUM(P5818:R5818)</f>
        <v>221710.714285714</v>
      </c>
    </row>
    <row r="5819" customFormat="false" ht="15" hidden="false" customHeight="false" outlineLevel="0" collapsed="false">
      <c r="A5819" s="4" t="s">
        <v>558</v>
      </c>
      <c r="B5819" s="36" t="s">
        <v>125</v>
      </c>
      <c r="C5819" s="54" t="n">
        <f aca="false">(Assumptions!$D$103+Assumptions!$E$77*((C5750=Assumptions!$E$13)+(C5750=Assumptions!$E$14)+(C5750=Assumptions!$E$15)))*C5751</f>
        <v>65000</v>
      </c>
      <c r="D5819" s="54" t="n">
        <f aca="false">(Assumptions!$D$103+Assumptions!$E$77*((D5750=Assumptions!$E$13)+(D5750=Assumptions!$E$14)+(D5750=Assumptions!$E$15)))*D5751</f>
        <v>25000</v>
      </c>
      <c r="E5819" s="54" t="n">
        <f aca="false">(Assumptions!$D$103+Assumptions!$E$77*((E5750=Assumptions!$E$13)+(E5750=Assumptions!$E$14)+(E5750=Assumptions!$E$15)))*E5751</f>
        <v>25000</v>
      </c>
      <c r="F5819" s="54" t="n">
        <f aca="false">(Assumptions!$D$103+Assumptions!$E$77*((F5750=Assumptions!$E$13)+(F5750=Assumptions!$E$14)+(F5750=Assumptions!$E$15)))*F5751</f>
        <v>25000</v>
      </c>
      <c r="G5819" s="54" t="n">
        <f aca="false">(Assumptions!$D$103+Assumptions!$E$77*((G5750=Assumptions!$E$13)+(G5750=Assumptions!$E$14)+(G5750=Assumptions!$E$15)))*G5751</f>
        <v>65000</v>
      </c>
      <c r="H5819" s="54" t="n">
        <f aca="false">(Assumptions!$D$103+Assumptions!$E$77*((H5750=Assumptions!$E$13)+(H5750=Assumptions!$E$14)+(H5750=Assumptions!$E$15)))*H5751</f>
        <v>25000</v>
      </c>
      <c r="I5819" s="54" t="n">
        <f aca="false">(Assumptions!$D$103+Assumptions!$E$77*((I5750=Assumptions!$E$13)+(I5750=Assumptions!$E$14)+(I5750=Assumptions!$E$15)))*I5751</f>
        <v>65000</v>
      </c>
      <c r="J5819" s="54" t="n">
        <f aca="false">(Assumptions!$D$103+Assumptions!$E$77*((J5750=Assumptions!$E$13)+(J5750=Assumptions!$E$14)+(J5750=Assumptions!$E$15)))*J5751</f>
        <v>25000</v>
      </c>
      <c r="K5819" s="54" t="n">
        <f aca="false">(Assumptions!$D$103+Assumptions!$E$77*((K5750=Assumptions!$E$13)+(K5750=Assumptions!$E$14)+(K5750=Assumptions!$E$15)))*K5751</f>
        <v>25000</v>
      </c>
      <c r="L5819" s="54" t="n">
        <f aca="false">(Assumptions!$D$103+Assumptions!$E$77*((L5750=Assumptions!$E$13)+(L5750=Assumptions!$E$14)+(L5750=Assumptions!$E$15)))*L5751</f>
        <v>25000</v>
      </c>
      <c r="M5819" s="54" t="n">
        <f aca="false">(Assumptions!$D$103+Assumptions!$E$77*((M5750=Assumptions!$E$13)+(M5750=Assumptions!$E$14)+(M5750=Assumptions!$E$15)))*M5751</f>
        <v>25000</v>
      </c>
      <c r="N5819" s="54" t="n">
        <f aca="false">(Assumptions!$D$103+Assumptions!$E$77*((N5750=Assumptions!$E$13)+(N5750=Assumptions!$E$14)+(N5750=Assumptions!$E$15)))*N5751</f>
        <v>25000</v>
      </c>
      <c r="P5819" s="55" t="n">
        <f aca="false">SUM(C5819:F5819)</f>
        <v>140000</v>
      </c>
      <c r="Q5819" s="55" t="n">
        <f aca="false">SUM(G5819:J5819)</f>
        <v>180000</v>
      </c>
      <c r="R5819" s="55" t="n">
        <f aca="false">SUM(K5819:N5819)</f>
        <v>100000</v>
      </c>
      <c r="S5819" s="56" t="n">
        <f aca="false">SUM(P5819:R5819)</f>
        <v>420000</v>
      </c>
    </row>
    <row r="5820" customFormat="false" ht="15" hidden="false" customHeight="false" outlineLevel="0" collapsed="false">
      <c r="A5820" s="4" t="s">
        <v>559</v>
      </c>
      <c r="B5820" s="36" t="s">
        <v>125</v>
      </c>
      <c r="C5820" s="54" t="n">
        <f aca="false">C5805*C5785*Assumptions!$E$79</f>
        <v>0</v>
      </c>
      <c r="D5820" s="54" t="n">
        <f aca="false">D5805*D5785*Assumptions!$E$79</f>
        <v>1010.0510719488</v>
      </c>
      <c r="E5820" s="54" t="n">
        <f aca="false">E5805*E5785*Assumptions!$E$79</f>
        <v>2045.99594858874</v>
      </c>
      <c r="F5820" s="54" t="n">
        <f aca="false">F5805*F5785*Assumptions!$E$79</f>
        <v>3119.76690929004</v>
      </c>
      <c r="G5820" s="54" t="n">
        <f aca="false">G5805*G5785*Assumptions!$E$79</f>
        <v>3909.45665003494</v>
      </c>
      <c r="H5820" s="54" t="n">
        <f aca="false">H5805*H5785*Assumptions!$E$79</f>
        <v>4457.09377666871</v>
      </c>
      <c r="I5820" s="54" t="n">
        <f aca="false">I5805*I5785*Assumptions!$E$79</f>
        <v>5169.16905406502</v>
      </c>
      <c r="J5820" s="54" t="n">
        <f aca="false">J5805*J5785*Assumptions!$E$79</f>
        <v>5473.43989907057</v>
      </c>
      <c r="K5820" s="54" t="n">
        <f aca="false">K5805*K5785*Assumptions!$E$79</f>
        <v>6200.62362970847</v>
      </c>
      <c r="L5820" s="54" t="n">
        <f aca="false">L5805*L5785*Assumptions!$E$79</f>
        <v>7321.9255816921</v>
      </c>
      <c r="M5820" s="54" t="n">
        <f aca="false">M5805*M5785*Assumptions!$E$79</f>
        <v>7411.12802615477</v>
      </c>
      <c r="N5820" s="54" t="n">
        <f aca="false">N5805*N5785*Assumptions!$E$79</f>
        <v>7408.07077519182</v>
      </c>
      <c r="P5820" s="55" t="n">
        <f aca="false">SUM(C5820:F5820)</f>
        <v>6175.81392982759</v>
      </c>
      <c r="Q5820" s="55" t="n">
        <f aca="false">SUM(G5820:J5820)</f>
        <v>19009.1593798392</v>
      </c>
      <c r="R5820" s="55" t="n">
        <f aca="false">SUM(K5820:N5820)</f>
        <v>28341.7480127472</v>
      </c>
      <c r="S5820" s="56" t="n">
        <f aca="false">SUM(P5820:R5820)</f>
        <v>53526.721322414</v>
      </c>
    </row>
    <row r="5821" customFormat="false" ht="15" hidden="false" customHeight="false" outlineLevel="0" collapsed="false">
      <c r="A5821" s="4" t="s">
        <v>560</v>
      </c>
      <c r="B5821" s="36" t="s">
        <v>125</v>
      </c>
      <c r="C5821" s="54" t="n">
        <f aca="false">C5770*Assumptions!$E$80</f>
        <v>4000</v>
      </c>
      <c r="D5821" s="54" t="n">
        <f aca="false">D5770*Assumptions!$E$80</f>
        <v>6000</v>
      </c>
      <c r="E5821" s="54" t="n">
        <f aca="false">E5770*Assumptions!$E$80</f>
        <v>8000</v>
      </c>
      <c r="F5821" s="54" t="n">
        <f aca="false">F5770*Assumptions!$E$80</f>
        <v>10000</v>
      </c>
      <c r="G5821" s="54" t="n">
        <f aca="false">G5770*Assumptions!$E$80</f>
        <v>12000</v>
      </c>
      <c r="H5821" s="54" t="n">
        <f aca="false">H5770*Assumptions!$E$80</f>
        <v>14000</v>
      </c>
      <c r="I5821" s="54" t="n">
        <f aca="false">I5770*Assumptions!$E$80</f>
        <v>16000</v>
      </c>
      <c r="J5821" s="54" t="n">
        <f aca="false">J5770*Assumptions!$E$80</f>
        <v>18000</v>
      </c>
      <c r="K5821" s="54" t="n">
        <f aca="false">K5770*Assumptions!$E$80</f>
        <v>20000</v>
      </c>
      <c r="L5821" s="54" t="n">
        <f aca="false">L5770*Assumptions!$E$80</f>
        <v>20000</v>
      </c>
      <c r="M5821" s="54" t="n">
        <f aca="false">M5770*Assumptions!$E$80</f>
        <v>20000</v>
      </c>
      <c r="N5821" s="54" t="n">
        <f aca="false">N5770*Assumptions!$E$80</f>
        <v>20000</v>
      </c>
      <c r="P5821" s="55" t="n">
        <f aca="false">SUM(C5821:F5821)</f>
        <v>28000</v>
      </c>
      <c r="Q5821" s="55" t="n">
        <f aca="false">SUM(G5821:J5821)</f>
        <v>60000</v>
      </c>
      <c r="R5821" s="55" t="n">
        <f aca="false">SUM(K5821:N5821)</f>
        <v>80000</v>
      </c>
      <c r="S5821" s="56" t="n">
        <f aca="false">SUM(P5821:R5821)</f>
        <v>168000</v>
      </c>
    </row>
    <row r="5822" customFormat="false" ht="15" hidden="false" customHeight="false" outlineLevel="0" collapsed="false">
      <c r="A5822" s="4" t="s">
        <v>561</v>
      </c>
      <c r="B5822" s="36" t="s">
        <v>125</v>
      </c>
      <c r="C5822" s="54" t="n">
        <f aca="false">(C5793*$C$5742+C5794*$C$5743)*Assumptions!$E$81</f>
        <v>0</v>
      </c>
      <c r="D5822" s="54" t="n">
        <f aca="false">(D5793*$C$5742+D5794*$C$5743)*Assumptions!$E$81</f>
        <v>953.906952546845</v>
      </c>
      <c r="E5822" s="54" t="n">
        <f aca="false">(E5793*$C$5742+E5794*$C$5743)*Assumptions!$E$81</f>
        <v>2625.81083027689</v>
      </c>
      <c r="F5822" s="54" t="n">
        <f aca="false">(F5793*$C$5742+F5794*$C$5743)*Assumptions!$E$81</f>
        <v>3502.36215316192</v>
      </c>
      <c r="G5822" s="54" t="n">
        <f aca="false">(G5793*$C$5742+G5794*$C$5743)*Assumptions!$E$81</f>
        <v>3850.52965693146</v>
      </c>
      <c r="H5822" s="54" t="n">
        <f aca="false">(H5793*$C$5742+H5794*$C$5743)*Assumptions!$E$81</f>
        <v>4546.45386707913</v>
      </c>
      <c r="I5822" s="54" t="n">
        <f aca="false">(I5793*$C$5742+I5794*$C$5743)*Assumptions!$E$81</f>
        <v>5399.59432172128</v>
      </c>
      <c r="J5822" s="54" t="n">
        <f aca="false">(J5793*$C$5742+J5794*$C$5743)*Assumptions!$E$81</f>
        <v>6917.35454520765</v>
      </c>
      <c r="K5822" s="54" t="n">
        <f aca="false">(K5793*$C$5742+K5794*$C$5743)*Assumptions!$E$81</f>
        <v>8909.34683463097</v>
      </c>
      <c r="L5822" s="54" t="n">
        <f aca="false">(L5793*$C$5742+L5794*$C$5743)*Assumptions!$E$81</f>
        <v>9806.80778735526</v>
      </c>
      <c r="M5822" s="54" t="n">
        <f aca="false">(M5793*$C$5742+M5794*$C$5743)*Assumptions!$E$81</f>
        <v>9683.44515855574</v>
      </c>
      <c r="N5822" s="54" t="n">
        <f aca="false">(N5793*$C$5742+N5794*$C$5743)*Assumptions!$E$81</f>
        <v>9402.91977606898</v>
      </c>
      <c r="P5822" s="55" t="n">
        <f aca="false">SUM(C5822:F5822)</f>
        <v>7082.07993598566</v>
      </c>
      <c r="Q5822" s="55" t="n">
        <f aca="false">SUM(G5822:J5822)</f>
        <v>20713.9323909395</v>
      </c>
      <c r="R5822" s="55" t="n">
        <f aca="false">SUM(K5822:N5822)</f>
        <v>37802.5195566109</v>
      </c>
      <c r="S5822" s="56" t="n">
        <f aca="false">SUM(P5822:R5822)</f>
        <v>65598.5318835361</v>
      </c>
    </row>
    <row r="5823" customFormat="false" ht="15" hidden="false" customHeight="false" outlineLevel="0" collapsed="false">
      <c r="A5823" s="9" t="s">
        <v>562</v>
      </c>
      <c r="B5823" s="36" t="s">
        <v>125</v>
      </c>
      <c r="C5823" s="55" t="n">
        <f aca="false">C5815+C5816+C5817+C5818+C5819+C5820+C5821+C5822</f>
        <v>154229.464285714</v>
      </c>
      <c r="D5823" s="55" t="n">
        <f aca="false">D5815+D5816+D5817+D5818+D5819+D5820+D5821+D5822</f>
        <v>122673.96920135</v>
      </c>
      <c r="E5823" s="55" t="n">
        <f aca="false">E5815+E5816+E5817+E5818+E5819+E5820+E5821+E5822</f>
        <v>133662.296529515</v>
      </c>
      <c r="F5823" s="55" t="n">
        <f aca="false">F5815+F5816+F5817+F5818+F5819+F5820+F5821+F5822</f>
        <v>140606.909885517</v>
      </c>
      <c r="G5823" s="55" t="n">
        <f aca="false">G5815+G5816+G5817+G5818+G5819+G5820+G5821+G5822</f>
        <v>218478.171321733</v>
      </c>
      <c r="H5823" s="55" t="n">
        <f aca="false">H5815+H5816+H5817+H5818+H5819+H5820+H5821+H5822</f>
        <v>184785.710726088</v>
      </c>
      <c r="I5823" s="55" t="n">
        <f aca="false">I5815+I5816+I5817+I5818+I5819+I5820+I5821+I5822</f>
        <v>231844.476920413</v>
      </c>
      <c r="J5823" s="55" t="n">
        <f aca="false">J5815+J5816+J5817+J5818+J5819+J5820+J5821+J5822</f>
        <v>202727.505342809</v>
      </c>
      <c r="K5823" s="55" t="n">
        <f aca="false">K5815+K5816+K5817+K5818+K5819+K5820+K5821+K5822</f>
        <v>215760.304461516</v>
      </c>
      <c r="L5823" s="55" t="n">
        <f aca="false">L5815+L5816+L5817+L5818+L5819+L5820+L5821+L5822</f>
        <v>220636.354268039</v>
      </c>
      <c r="M5823" s="55" t="n">
        <f aca="false">M5815+M5816+M5817+M5818+M5819+M5820+M5821+M5822</f>
        <v>219940.113532339</v>
      </c>
      <c r="N5823" s="55" t="n">
        <f aca="false">N5815+N5816+N5817+N5818+N5819+N5820+N5821+N5822</f>
        <v>218525.02597138</v>
      </c>
      <c r="P5823" s="55" t="n">
        <f aca="false">SUM(C5823:F5823)</f>
        <v>551172.639902097</v>
      </c>
      <c r="Q5823" s="55" t="n">
        <f aca="false">SUM(G5823:J5823)</f>
        <v>837835.864311043</v>
      </c>
      <c r="R5823" s="55" t="n">
        <f aca="false">SUM(K5823:N5823)</f>
        <v>874861.798233275</v>
      </c>
      <c r="S5823" s="56" t="n">
        <f aca="false">SUM(P5823:R5823)</f>
        <v>2263870.30244641</v>
      </c>
    </row>
    <row r="5824" customFormat="false" ht="15" hidden="false" customHeight="false" outlineLevel="0" collapsed="false">
      <c r="A5824" s="4" t="s">
        <v>563</v>
      </c>
      <c r="B5824" s="36" t="s">
        <v>125</v>
      </c>
      <c r="C5824" s="54" t="n">
        <f aca="false">C5812*Assumptions!$E$72/Assumptions!$E$69/4</f>
        <v>56535.7142857143</v>
      </c>
      <c r="D5824" s="54" t="n">
        <f aca="false">D5812*Assumptions!$E$72/Assumptions!$E$69/4</f>
        <v>56535.7142857143</v>
      </c>
      <c r="E5824" s="54" t="n">
        <f aca="false">E5812*Assumptions!$E$72/Assumptions!$E$69/4</f>
        <v>56535.7142857143</v>
      </c>
      <c r="F5824" s="54" t="n">
        <f aca="false">F5812*Assumptions!$E$72/Assumptions!$E$69/4</f>
        <v>56535.7142857143</v>
      </c>
      <c r="G5824" s="54" t="n">
        <f aca="false">G5812*Assumptions!$E$72/Assumptions!$E$69/4</f>
        <v>28267.8571428571</v>
      </c>
      <c r="H5824" s="54" t="n">
        <f aca="false">H5812*Assumptions!$E$72/Assumptions!$E$69/4</f>
        <v>28267.8571428571</v>
      </c>
      <c r="I5824" s="54" t="n">
        <f aca="false">I5812*Assumptions!$E$72/Assumptions!$E$69/4</f>
        <v>28267.8571428571</v>
      </c>
      <c r="J5824" s="54" t="n">
        <f aca="false">J5812*Assumptions!$E$72/Assumptions!$E$69/4</f>
        <v>28267.8571428571</v>
      </c>
      <c r="K5824" s="54" t="n">
        <f aca="false">K5812*Assumptions!$E$72/Assumptions!$E$69/4</f>
        <v>28267.8571428571</v>
      </c>
      <c r="L5824" s="54" t="n">
        <f aca="false">L5812*Assumptions!$E$72/Assumptions!$E$69/4</f>
        <v>28267.8571428571</v>
      </c>
      <c r="M5824" s="54" t="n">
        <f aca="false">M5812*Assumptions!$E$72/Assumptions!$E$69/4</f>
        <v>28267.8571428571</v>
      </c>
      <c r="N5824" s="54" t="n">
        <f aca="false">N5812*Assumptions!$E$72/Assumptions!$E$69/4</f>
        <v>28267.8571428571</v>
      </c>
      <c r="P5824" s="55" t="n">
        <f aca="false">SUM(C5824:F5824)</f>
        <v>226142.857142857</v>
      </c>
      <c r="Q5824" s="55" t="n">
        <f aca="false">SUM(G5824:J5824)</f>
        <v>113071.428571429</v>
      </c>
      <c r="R5824" s="55" t="n">
        <f aca="false">SUM(K5824:N5824)</f>
        <v>113071.428571429</v>
      </c>
      <c r="S5824" s="56" t="n">
        <f aca="false">SUM(P5824:R5824)</f>
        <v>452285.714285714</v>
      </c>
    </row>
    <row r="5825" customFormat="false" ht="15" hidden="false" customHeight="false" outlineLevel="0" collapsed="false">
      <c r="A5825" s="4" t="s">
        <v>564</v>
      </c>
      <c r="B5825" s="36" t="s">
        <v>125</v>
      </c>
      <c r="C5825" s="54" t="n">
        <f aca="false">IF(C5750&lt;=Assumptions!$E$83,Assumptions!$E$82*Assumptions!$D$108/Assumptions!$E$83,0)</f>
        <v>62500</v>
      </c>
      <c r="D5825" s="54" t="n">
        <f aca="false">IF(D5750&lt;=Assumptions!$E$83,Assumptions!$E$82*Assumptions!$D$108/Assumptions!$E$83,0)</f>
        <v>62500</v>
      </c>
      <c r="E5825" s="54" t="n">
        <f aca="false">IF(E5750&lt;=Assumptions!$E$83,Assumptions!$E$82*Assumptions!$D$108/Assumptions!$E$83,0)</f>
        <v>62500</v>
      </c>
      <c r="F5825" s="54" t="n">
        <f aca="false">IF(F5750&lt;=Assumptions!$E$83,Assumptions!$E$82*Assumptions!$D$108/Assumptions!$E$83,0)</f>
        <v>62500</v>
      </c>
      <c r="G5825" s="54" t="n">
        <f aca="false">IF(G5750&lt;=Assumptions!$E$83,Assumptions!$E$82*Assumptions!$D$108/Assumptions!$E$83,0)</f>
        <v>0</v>
      </c>
      <c r="H5825" s="54" t="n">
        <f aca="false">IF(H5750&lt;=Assumptions!$E$83,Assumptions!$E$82*Assumptions!$D$108/Assumptions!$E$83,0)</f>
        <v>0</v>
      </c>
      <c r="I5825" s="54" t="n">
        <f aca="false">IF(I5750&lt;=Assumptions!$E$83,Assumptions!$E$82*Assumptions!$D$108/Assumptions!$E$83,0)</f>
        <v>0</v>
      </c>
      <c r="J5825" s="54" t="n">
        <f aca="false">IF(J5750&lt;=Assumptions!$E$83,Assumptions!$E$82*Assumptions!$D$108/Assumptions!$E$83,0)</f>
        <v>0</v>
      </c>
      <c r="K5825" s="54" t="n">
        <f aca="false">IF(K5750&lt;=Assumptions!$E$83,Assumptions!$E$82*Assumptions!$D$108/Assumptions!$E$83,0)</f>
        <v>0</v>
      </c>
      <c r="L5825" s="54" t="n">
        <f aca="false">IF(L5750&lt;=Assumptions!$E$83,Assumptions!$E$82*Assumptions!$D$108/Assumptions!$E$83,0)</f>
        <v>0</v>
      </c>
      <c r="M5825" s="54" t="n">
        <f aca="false">IF(M5750&lt;=Assumptions!$E$83,Assumptions!$E$82*Assumptions!$D$108/Assumptions!$E$83,0)</f>
        <v>0</v>
      </c>
      <c r="N5825" s="54" t="n">
        <f aca="false">IF(N5750&lt;=Assumptions!$E$83,Assumptions!$E$82*Assumptions!$D$108/Assumptions!$E$83,0)</f>
        <v>0</v>
      </c>
      <c r="P5825" s="55" t="n">
        <f aca="false">SUM(C5825:F5825)</f>
        <v>250000</v>
      </c>
      <c r="Q5825" s="55" t="n">
        <f aca="false">SUM(G5825:J5825)</f>
        <v>0</v>
      </c>
      <c r="R5825" s="55" t="n">
        <f aca="false">SUM(K5825:N5825)</f>
        <v>0</v>
      </c>
      <c r="S5825" s="56" t="n">
        <f aca="false">SUM(P5825:R5825)</f>
        <v>250000</v>
      </c>
    </row>
    <row r="5826" customFormat="false" ht="15" hidden="false" customHeight="false" outlineLevel="0" collapsed="false">
      <c r="A5826" s="4" t="s">
        <v>565</v>
      </c>
      <c r="B5826" s="36" t="s">
        <v>125</v>
      </c>
      <c r="C5826" s="54" t="n">
        <f aca="false">C5814*Assumptions!$E$73/Assumptions!$E$69/4</f>
        <v>0</v>
      </c>
      <c r="D5826" s="54" t="n">
        <f aca="false">D5814*Assumptions!$E$73/Assumptions!$E$69/4</f>
        <v>575.3130595573</v>
      </c>
      <c r="E5826" s="54" t="n">
        <f aca="false">E5814*Assumptions!$E$73/Assumptions!$E$69/4</f>
        <v>1617.32906717661</v>
      </c>
      <c r="F5826" s="54" t="n">
        <f aca="false">F5814*Assumptions!$E$73/Assumptions!$E$69/4</f>
        <v>2784.46806400723</v>
      </c>
      <c r="G5826" s="54" t="n">
        <f aca="false">G5814*Assumptions!$E$73/Assumptions!$E$69/4</f>
        <v>4037.30390559473</v>
      </c>
      <c r="H5826" s="54" t="n">
        <f aca="false">H5814*Assumptions!$E$73/Assumptions!$E$69/4</f>
        <v>5588.71900339185</v>
      </c>
      <c r="I5826" s="54" t="n">
        <f aca="false">I5814*Assumptions!$E$73/Assumptions!$E$69/4</f>
        <v>7423.89520049251</v>
      </c>
      <c r="J5826" s="54" t="n">
        <f aca="false">J5814*Assumptions!$E$73/Assumptions!$E$69/4</f>
        <v>9984.21295072483</v>
      </c>
      <c r="K5826" s="54" t="n">
        <f aca="false">K5814*Assumptions!$E$73/Assumptions!$E$69/4</f>
        <v>13228.7197241336</v>
      </c>
      <c r="L5826" s="54" t="n">
        <f aca="false">L5814*Assumptions!$E$73/Assumptions!$E$69/4</f>
        <v>16471.1613499398</v>
      </c>
      <c r="M5826" s="54" t="n">
        <f aca="false">M5814*Assumptions!$E$73/Assumptions!$E$69/4</f>
        <v>19532.3193424529</v>
      </c>
      <c r="N5826" s="54" t="n">
        <f aca="false">N5814*Assumptions!$E$73/Assumptions!$E$69/4</f>
        <v>22411.7337529877</v>
      </c>
      <c r="P5826" s="55" t="n">
        <f aca="false">SUM(C5826:F5826)</f>
        <v>4977.11019074114</v>
      </c>
      <c r="Q5826" s="55" t="n">
        <f aca="false">SUM(G5826:J5826)</f>
        <v>27034.1310602039</v>
      </c>
      <c r="R5826" s="55" t="n">
        <f aca="false">SUM(K5826:N5826)</f>
        <v>71643.934169514</v>
      </c>
      <c r="S5826" s="56" t="n">
        <f aca="false">SUM(P5826:R5826)</f>
        <v>103655.175420459</v>
      </c>
    </row>
    <row r="5827" customFormat="false" ht="15" hidden="false" customHeight="false" outlineLevel="0" collapsed="false">
      <c r="A5827" s="9" t="s">
        <v>566</v>
      </c>
      <c r="B5827" s="36" t="s">
        <v>125</v>
      </c>
      <c r="C5827" s="55" t="n">
        <f aca="false">C5823+C5824+C5825+C5826</f>
        <v>273265.178571429</v>
      </c>
      <c r="D5827" s="55" t="n">
        <f aca="false">D5823+D5824+D5825+D5826</f>
        <v>242284.996546622</v>
      </c>
      <c r="E5827" s="55" t="n">
        <f aca="false">E5823+E5824+E5825+E5826</f>
        <v>254315.339882406</v>
      </c>
      <c r="F5827" s="55" t="n">
        <f aca="false">F5823+F5824+F5825+F5826</f>
        <v>262427.092235239</v>
      </c>
      <c r="G5827" s="55" t="n">
        <f aca="false">G5823+G5824+G5825+G5826</f>
        <v>250783.332370185</v>
      </c>
      <c r="H5827" s="55" t="n">
        <f aca="false">H5823+H5824+H5825+H5826</f>
        <v>218642.286872337</v>
      </c>
      <c r="I5827" s="55" t="n">
        <f aca="false">I5823+I5824+I5825+I5826</f>
        <v>267536.229263762</v>
      </c>
      <c r="J5827" s="55" t="n">
        <f aca="false">J5823+J5824+J5825+J5826</f>
        <v>240979.575436391</v>
      </c>
      <c r="K5827" s="55" t="n">
        <f aca="false">K5823+K5824+K5825+K5826</f>
        <v>257256.881328507</v>
      </c>
      <c r="L5827" s="55" t="n">
        <f aca="false">L5823+L5824+L5825+L5826</f>
        <v>265375.372760836</v>
      </c>
      <c r="M5827" s="55" t="n">
        <f aca="false">M5823+M5824+M5825+M5826</f>
        <v>267740.290017649</v>
      </c>
      <c r="N5827" s="55" t="n">
        <f aca="false">N5823+N5824+N5825+N5826</f>
        <v>269204.616867225</v>
      </c>
      <c r="P5827" s="55" t="n">
        <f aca="false">SUM(C5827:F5827)</f>
        <v>1032292.6072357</v>
      </c>
      <c r="Q5827" s="55" t="n">
        <f aca="false">SUM(G5827:J5827)</f>
        <v>977941.423942676</v>
      </c>
      <c r="R5827" s="55" t="n">
        <f aca="false">SUM(K5827:N5827)</f>
        <v>1059577.16097422</v>
      </c>
      <c r="S5827" s="56" t="n">
        <f aca="false">SUM(P5827:R5827)</f>
        <v>3069811.19215259</v>
      </c>
    </row>
    <row r="5828" customFormat="false" ht="15" hidden="false" customHeight="false" outlineLevel="0" collapsed="false">
      <c r="A5828" s="35" t="s">
        <v>567</v>
      </c>
      <c r="B5828" s="35" t="s">
        <v>444</v>
      </c>
      <c r="C5828" s="6" t="s">
        <v>354</v>
      </c>
      <c r="D5828" s="6" t="s">
        <v>355</v>
      </c>
      <c r="E5828" s="6" t="s">
        <v>356</v>
      </c>
      <c r="F5828" s="6" t="s">
        <v>357</v>
      </c>
      <c r="G5828" s="6" t="s">
        <v>358</v>
      </c>
      <c r="H5828" s="6" t="s">
        <v>359</v>
      </c>
      <c r="I5828" s="6" t="s">
        <v>360</v>
      </c>
      <c r="J5828" s="6" t="s">
        <v>361</v>
      </c>
      <c r="K5828" s="6" t="s">
        <v>362</v>
      </c>
      <c r="L5828" s="6" t="s">
        <v>363</v>
      </c>
      <c r="M5828" s="6" t="s">
        <v>364</v>
      </c>
      <c r="N5828" s="6" t="s">
        <v>365</v>
      </c>
      <c r="P5828" s="6" t="s">
        <v>445</v>
      </c>
      <c r="Q5828" s="6" t="s">
        <v>446</v>
      </c>
      <c r="R5828" s="6" t="s">
        <v>447</v>
      </c>
      <c r="S5828" s="6" t="s">
        <v>448</v>
      </c>
    </row>
    <row r="5829" customFormat="false" ht="15" hidden="false" customHeight="false" outlineLevel="0" collapsed="false">
      <c r="A5829" s="9" t="s">
        <v>568</v>
      </c>
      <c r="B5829" s="36" t="s">
        <v>125</v>
      </c>
      <c r="C5829" s="55" t="n">
        <f aca="false">C5807-C5827</f>
        <v>-273265.178571429</v>
      </c>
      <c r="D5829" s="55" t="n">
        <f aca="false">D5807-D5827</f>
        <v>-241391.553150138</v>
      </c>
      <c r="E5829" s="55" t="n">
        <f aca="false">E5807-E5827</f>
        <v>-250452.788557942</v>
      </c>
      <c r="F5829" s="55" t="n">
        <f aca="false">F5807-F5827</f>
        <v>-253839.443531187</v>
      </c>
      <c r="G5829" s="55" t="n">
        <f aca="false">G5807-G5827</f>
        <v>-236592.047081506</v>
      </c>
      <c r="H5829" s="55" t="n">
        <f aca="false">H5807-H5827</f>
        <v>-197887.557361826</v>
      </c>
      <c r="I5829" s="55" t="n">
        <f aca="false">I5807-I5827</f>
        <v>-238828.442368323</v>
      </c>
      <c r="J5829" s="55" t="n">
        <f aca="false">J5807-J5827</f>
        <v>-202103.404117874</v>
      </c>
      <c r="K5829" s="55" t="n">
        <f aca="false">K5807-K5827</f>
        <v>-205031.005662457</v>
      </c>
      <c r="L5829" s="55" t="n">
        <f aca="false">L5807-L5827</f>
        <v>-197473.428668394</v>
      </c>
      <c r="M5829" s="55" t="n">
        <f aca="false">M5807-M5827</f>
        <v>-183529.0901375</v>
      </c>
      <c r="N5829" s="55" t="n">
        <f aca="false">N5807-N5827</f>
        <v>-168746.13646796</v>
      </c>
      <c r="P5829" s="55" t="n">
        <f aca="false">SUM(C5829:F5829)</f>
        <v>-1018948.96381069</v>
      </c>
      <c r="Q5829" s="55" t="n">
        <f aca="false">SUM(G5829:J5829)</f>
        <v>-875411.450929529</v>
      </c>
      <c r="R5829" s="55" t="n">
        <f aca="false">SUM(K5829:N5829)</f>
        <v>-754779.660936311</v>
      </c>
      <c r="S5829" s="56" t="n">
        <f aca="false">SUM(P5829:R5829)</f>
        <v>-2649140.07567653</v>
      </c>
    </row>
    <row r="5830" customFormat="false" ht="15" hidden="false" customHeight="false" outlineLevel="0" collapsed="false">
      <c r="A5830" s="9" t="s">
        <v>569</v>
      </c>
      <c r="B5830" s="36" t="s">
        <v>125</v>
      </c>
      <c r="C5830" s="55" t="n">
        <f aca="false">0+C5829</f>
        <v>-273265.178571429</v>
      </c>
      <c r="D5830" s="55" t="n">
        <f aca="false">C5830+D5829</f>
        <v>-514656.731721566</v>
      </c>
      <c r="E5830" s="55" t="n">
        <f aca="false">D5830+E5829</f>
        <v>-765109.520279508</v>
      </c>
      <c r="F5830" s="55" t="n">
        <f aca="false">E5830+F5829</f>
        <v>-1018948.96381069</v>
      </c>
      <c r="G5830" s="55" t="n">
        <f aca="false">F5830+G5829</f>
        <v>-1255541.0108922</v>
      </c>
      <c r="H5830" s="55" t="n">
        <f aca="false">G5830+H5829</f>
        <v>-1453428.56825403</v>
      </c>
      <c r="I5830" s="55" t="n">
        <f aca="false">H5830+I5829</f>
        <v>-1692257.01062235</v>
      </c>
      <c r="J5830" s="55" t="n">
        <f aca="false">I5830+J5829</f>
        <v>-1894360.41474022</v>
      </c>
      <c r="K5830" s="55" t="n">
        <f aca="false">J5830+K5829</f>
        <v>-2099391.42040268</v>
      </c>
      <c r="L5830" s="55" t="n">
        <f aca="false">K5830+L5829</f>
        <v>-2296864.84907107</v>
      </c>
      <c r="M5830" s="55" t="n">
        <f aca="false">L5830+M5829</f>
        <v>-2480393.93920857</v>
      </c>
      <c r="N5830" s="55" t="n">
        <f aca="false">M5830+N5829</f>
        <v>-2649140.07567653</v>
      </c>
      <c r="P5830" s="55" t="n">
        <f aca="false">F5830</f>
        <v>-1018948.96381069</v>
      </c>
      <c r="Q5830" s="55" t="n">
        <f aca="false">J5830</f>
        <v>-1894360.41474022</v>
      </c>
      <c r="R5830" s="55" t="n">
        <f aca="false">N5830</f>
        <v>-2649140.07567653</v>
      </c>
      <c r="S5830" s="56" t="n">
        <f aca="false">R5830</f>
        <v>-2649140.07567653</v>
      </c>
    </row>
    <row r="5831" customFormat="false" ht="15" hidden="false" customHeight="false" outlineLevel="0" collapsed="false">
      <c r="A5831" s="4" t="s">
        <v>570</v>
      </c>
      <c r="B5831" s="36" t="s">
        <v>107</v>
      </c>
      <c r="C5831" s="57" t="n">
        <f aca="false">1/(1+Assumptions!$E$87)^(C5750/4)</f>
        <v>0.972065420906982</v>
      </c>
      <c r="D5831" s="57" t="n">
        <f aca="false">1/(1+Assumptions!$E$87)^(D5750/4)</f>
        <v>0.944911182523068</v>
      </c>
      <c r="E5831" s="57" t="n">
        <f aca="false">1/(1+Assumptions!$E$87)^(E5750/4)</f>
        <v>0.918515486359</v>
      </c>
      <c r="F5831" s="57" t="n">
        <f aca="false">1/(1+Assumptions!$E$87)^(F5750/4)</f>
        <v>0.892857142857143</v>
      </c>
      <c r="G5831" s="57" t="n">
        <f aca="false">1/(1+Assumptions!$E$87)^(G5750/4)</f>
        <v>0.867915554381234</v>
      </c>
      <c r="H5831" s="57" t="n">
        <f aca="false">1/(1+Assumptions!$E$87)^(H5750/4)</f>
        <v>0.843670698681311</v>
      </c>
      <c r="I5831" s="57" t="n">
        <f aca="false">1/(1+Assumptions!$E$87)^(I5750/4)</f>
        <v>0.820103112820536</v>
      </c>
      <c r="J5831" s="57" t="n">
        <f aca="false">1/(1+Assumptions!$E$87)^(J5750/4)</f>
        <v>0.79719387755102</v>
      </c>
      <c r="K5831" s="57" t="n">
        <f aca="false">1/(1+Assumptions!$E$87)^(K5750/4)</f>
        <v>0.774924602126102</v>
      </c>
      <c r="L5831" s="57" t="n">
        <f aca="false">1/(1+Assumptions!$E$87)^(L5750/4)</f>
        <v>0.753277409536885</v>
      </c>
      <c r="M5831" s="57" t="n">
        <f aca="false">1/(1+Assumptions!$E$87)^(M5750/4)</f>
        <v>0.732234922161193</v>
      </c>
      <c r="N5831" s="57" t="n">
        <f aca="false">1/(1+Assumptions!$E$87)^(N5750/4)</f>
        <v>0.711780247813411</v>
      </c>
      <c r="P5831" s="58"/>
      <c r="Q5831" s="58"/>
      <c r="R5831" s="58"/>
      <c r="S5831" s="59"/>
    </row>
    <row r="5832" customFormat="false" ht="15" hidden="false" customHeight="false" outlineLevel="0" collapsed="false">
      <c r="A5832" s="4" t="s">
        <v>571</v>
      </c>
      <c r="B5832" s="36" t="s">
        <v>125</v>
      </c>
      <c r="C5832" s="54" t="n">
        <f aca="false">(C5807*(1-Assumptions!$E$88)-C5827)*C5831</f>
        <v>-265631.630827257</v>
      </c>
      <c r="D5832" s="54" t="n">
        <f aca="false">(D5807*(1-Assumptions!$E$88)-D5827)*D5831</f>
        <v>-228262.422869434</v>
      </c>
      <c r="E5832" s="54" t="n">
        <f aca="false">(E5807*(1-Assumptions!$E$88)-E5827)*E5831</f>
        <v>-230754.327533941</v>
      </c>
      <c r="F5832" s="54" t="n">
        <f aca="false">(F5807*(1-Assumptions!$E$88)-F5827)*F5831</f>
        <v>-228175.868992855</v>
      </c>
      <c r="G5832" s="54" t="n">
        <f aca="false">(G5807*(1-Assumptions!$E$88)-G5827)*G5831</f>
        <v>-207805.285152677</v>
      </c>
      <c r="H5832" s="54" t="n">
        <f aca="false">(H5807*(1-Assumptions!$E$88)-H5827)*H5831</f>
        <v>-170453.965209205</v>
      </c>
      <c r="I5832" s="54" t="n">
        <f aca="false">(I5807*(1-Assumptions!$E$88)-I5827)*I5831</f>
        <v>-200572.618095369</v>
      </c>
      <c r="J5832" s="54" t="n">
        <f aca="false">(J5807*(1-Assumptions!$E$88)-J5827)*J5831</f>
        <v>-167313.965546538</v>
      </c>
      <c r="K5832" s="54" t="n">
        <f aca="false">(K5807*(1-Assumptions!$E$88)-K5827)*K5831</f>
        <v>-166977.793670734</v>
      </c>
      <c r="L5832" s="54" t="n">
        <f aca="false">(L5807*(1-Assumptions!$E$88)-L5827)*L5831</f>
        <v>-158982.072909389</v>
      </c>
      <c r="M5832" s="54" t="n">
        <f aca="false">(M5807*(1-Assumptions!$E$88)-M5827)*M5831</f>
        <v>-146718.885309015</v>
      </c>
      <c r="N5832" s="54" t="n">
        <f aca="false">(N5807*(1-Assumptions!$E$88)-N5827)*N5831</f>
        <v>-134411.03924743</v>
      </c>
      <c r="P5832" s="55" t="n">
        <f aca="false">SUM(C5832:F5832)</f>
        <v>-952824.250223487</v>
      </c>
      <c r="Q5832" s="55" t="n">
        <f aca="false">SUM(G5832:J5832)</f>
        <v>-746145.834003789</v>
      </c>
      <c r="R5832" s="55" t="n">
        <f aca="false">SUM(K5832:N5832)</f>
        <v>-607089.791136568</v>
      </c>
      <c r="S5832" s="56" t="n">
        <f aca="false">SUM(P5832:R5832)</f>
        <v>-2306059.87536384</v>
      </c>
    </row>
    <row r="5833" customFormat="false" ht="15" hidden="false" customHeight="false" outlineLevel="0" collapsed="false">
      <c r="A5833" s="4" t="s">
        <v>572</v>
      </c>
      <c r="B5833" s="36" t="s">
        <v>125</v>
      </c>
      <c r="C5833" s="54" t="n">
        <f aca="false">(C5827-C5826)*12/(Assumptions!$E$89*Assumptions!$E$76)*Assumptions!$E$90</f>
        <v>189183.585164835</v>
      </c>
      <c r="D5833" s="54" t="n">
        <f aca="false">(D5827-D5826)*12/(Assumptions!$E$89*Assumptions!$E$76)*Assumptions!$E$90</f>
        <v>167337.473183352</v>
      </c>
      <c r="E5833" s="54" t="n">
        <f aca="false">(E5827-E5826)*12/(Assumptions!$E$89*Assumptions!$E$76)*Assumptions!$E$90</f>
        <v>174944.776718236</v>
      </c>
      <c r="F5833" s="54" t="n">
        <f aca="false">(F5827-F5826)*12/(Assumptions!$E$89*Assumptions!$E$76)*Assumptions!$E$90</f>
        <v>179752.585964699</v>
      </c>
      <c r="G5833" s="54" t="n">
        <f aca="false">(G5827-G5826)*12/(Assumptions!$E$89*Assumptions!$E$76)*Assumptions!$E$90</f>
        <v>170824.173552409</v>
      </c>
      <c r="H5833" s="54" t="n">
        <f aca="false">(H5827-H5826)*12/(Assumptions!$E$89*Assumptions!$E$76)*Assumptions!$E$90</f>
        <v>147498.62390927</v>
      </c>
      <c r="I5833" s="54" t="n">
        <f aca="false">(I5827-I5826)*12/(Assumptions!$E$89*Assumptions!$E$76)*Assumptions!$E$90</f>
        <v>180077.76973611</v>
      </c>
      <c r="J5833" s="54" t="n">
        <f aca="false">(J5827-J5826)*12/(Assumptions!$E$89*Assumptions!$E$76)*Assumptions!$E$90</f>
        <v>159919.86633623</v>
      </c>
      <c r="K5833" s="54" t="n">
        <f aca="false">(K5827-K5826)*12/(Assumptions!$E$89*Assumptions!$E$76)*Assumptions!$E$90</f>
        <v>168942.573418412</v>
      </c>
      <c r="L5833" s="54" t="n">
        <f aca="false">(L5827-L5826)*12/(Assumptions!$E$89*Assumptions!$E$76)*Assumptions!$E$90</f>
        <v>172318.300207544</v>
      </c>
      <c r="M5833" s="54" t="n">
        <f aca="false">(M5827-M5826)*12/(Assumptions!$E$89*Assumptions!$E$76)*Assumptions!$E$90</f>
        <v>171836.28739052</v>
      </c>
      <c r="N5833" s="54" t="n">
        <f aca="false">(N5827-N5826)*12/(Assumptions!$E$89*Assumptions!$E$76)*Assumptions!$E$90</f>
        <v>170856.61138678</v>
      </c>
      <c r="P5833" s="55" t="n">
        <f aca="false">SUM(C5833:F5833)</f>
        <v>711218.421031122</v>
      </c>
      <c r="Q5833" s="55" t="n">
        <f aca="false">SUM(G5833:J5833)</f>
        <v>658320.433534019</v>
      </c>
      <c r="R5833" s="55" t="n">
        <f aca="false">SUM(K5833:N5833)</f>
        <v>683953.772403256</v>
      </c>
      <c r="S5833" s="56" t="n">
        <f aca="false">SUM(P5833:R5833)</f>
        <v>2053492.6269684</v>
      </c>
    </row>
    <row r="5834" customFormat="false" ht="15" hidden="false" customHeight="false" outlineLevel="0" collapsed="false">
      <c r="A5834" s="4" t="s">
        <v>573</v>
      </c>
      <c r="B5834" s="36" t="s">
        <v>125</v>
      </c>
      <c r="C5834" s="54" t="n">
        <f aca="false">0*Assumptions!$E$92^(1/4)+C5833</f>
        <v>189183.585164835</v>
      </c>
      <c r="D5834" s="54" t="n">
        <f aca="false">C5834*Assumptions!$E$92^(1/4)+D5833</f>
        <v>356992.253990367</v>
      </c>
      <c r="E5834" s="54" t="n">
        <f aca="false">D5834*Assumptions!$E$92^(1/4)+E5833</f>
        <v>532826.183930989</v>
      </c>
      <c r="F5834" s="54" t="n">
        <f aca="false">E5834*Assumptions!$E$92^(1/4)+F5833</f>
        <v>713905.869050133</v>
      </c>
      <c r="G5834" s="54" t="n">
        <f aca="false">F5834*Assumptions!$E$92^(1/4)+G5833</f>
        <v>886508.153182958</v>
      </c>
      <c r="H5834" s="54" t="n">
        <f aca="false">G5834*Assumptions!$E$92^(1/4)+H5833</f>
        <v>1036214.78461134</v>
      </c>
      <c r="I5834" s="54" t="n">
        <f aca="false">H5834*Assumptions!$E$92^(1/4)+I5833</f>
        <v>1218873.43307667</v>
      </c>
      <c r="J5834" s="54" t="n">
        <f aca="false">I5834*Assumptions!$E$92^(1/4)+J5833</f>
        <v>1381829.12225944</v>
      </c>
      <c r="K5834" s="54" t="n">
        <f aca="false">J5834*Assumptions!$E$92^(1/4)+K5833</f>
        <v>1554213.38888859</v>
      </c>
      <c r="L5834" s="54" t="n">
        <f aca="false">K5834*Assumptions!$E$92^(1/4)+L5833</f>
        <v>1730402.73623388</v>
      </c>
      <c r="M5834" s="54" t="n">
        <f aca="false">L5834*Assumptions!$E$92^(1/4)+M5833</f>
        <v>1906548.90192498</v>
      </c>
      <c r="N5834" s="54" t="n">
        <f aca="false">M5834*Assumptions!$E$92^(1/4)+N5833</f>
        <v>2082154.11522353</v>
      </c>
      <c r="P5834" s="55" t="n">
        <f aca="false">F5834</f>
        <v>713905.869050133</v>
      </c>
      <c r="Q5834" s="55" t="n">
        <f aca="false">J5834</f>
        <v>1381829.12225944</v>
      </c>
      <c r="R5834" s="55" t="n">
        <f aca="false">N5834</f>
        <v>2082154.11522353</v>
      </c>
      <c r="S5834" s="56" t="n">
        <f aca="false">R5834</f>
        <v>2082154.11522353</v>
      </c>
    </row>
    <row r="5835" customFormat="false" ht="15" hidden="false" customHeight="false" outlineLevel="0" collapsed="false">
      <c r="A5835" s="4" t="s">
        <v>574</v>
      </c>
      <c r="B5835" s="36" t="s">
        <v>125</v>
      </c>
      <c r="C5835" s="54" t="n">
        <f aca="false">(0+C5834)/8*Assumptions!$E$76-(C5827-C5826)-C5834*Assumptions!$E$93/4</f>
        <v>-260258.807091346</v>
      </c>
      <c r="D5835" s="54" t="n">
        <f aca="false">(C5834+D5834)/8*Assumptions!$E$76-(D5827-D5826)-D5834*Assumptions!$E$93/4</f>
        <v>-201795.299730584</v>
      </c>
      <c r="E5835" s="54" t="n">
        <f aca="false">(D5834+E5834)/8*Assumptions!$E$76-(E5827-E5826)-E5834*Assumptions!$E$93/4</f>
        <v>-187060.590033257</v>
      </c>
      <c r="F5835" s="54" t="n">
        <f aca="false">(E5834+F5834)/8*Assumptions!$E$76-(F5827-F5826)-F5834*Assumptions!$E$93/4</f>
        <v>-167269.468229642</v>
      </c>
      <c r="G5835" s="54" t="n">
        <f aca="false">(F5834+G5834)/8*Assumptions!$E$76-(G5827-G5826)-G5834*Assumptions!$E$93/4</f>
        <v>-127793.741072939</v>
      </c>
      <c r="H5835" s="54" t="n">
        <f aca="false">(G5834+H5834)/8*Assumptions!$E$76-(H5827-H5826)-H5834*Assumptions!$E$93/4</f>
        <v>-69785.0139808007</v>
      </c>
      <c r="I5835" s="54" t="n">
        <f aca="false">(H5834+I5834)/8*Assumptions!$E$76-(I5827-I5826)-I5834*Assumptions!$E$93/4</f>
        <v>-92122.3342895773</v>
      </c>
      <c r="J5835" s="54" t="n">
        <f aca="false">(I5834+J5834)/8*Assumptions!$E$76-(J5827-J5826)-J5834*Assumptions!$E$93/4</f>
        <v>-36961.1438928497</v>
      </c>
      <c r="K5835" s="54" t="n">
        <f aca="false">(J5834+K5834)/8*Assumptions!$E$76-(K5827-K5826)-K5834*Assumptions!$E$93/4</f>
        <v>-24902.374934703</v>
      </c>
      <c r="L5835" s="54" t="n">
        <f aca="false">(K5834+L5834)/8*Assumptions!$E$76-(L5827-L5826)-L5834*Assumptions!$E$93/4</f>
        <v>-3659.18544761886</v>
      </c>
      <c r="M5835" s="54" t="n">
        <f aca="false">(L5834+M5834)/8*Assumptions!$E$76-(M5827-M5826)-M5834*Assumptions!$E$93/4</f>
        <v>23462.4886511499</v>
      </c>
      <c r="N5835" s="54" t="n">
        <f aca="false">(M5834+N5834)/8*Assumptions!$E$76-(N5827-N5826)-N5834*Assumptions!$E$93/4</f>
        <v>51262.3105887852</v>
      </c>
      <c r="P5835" s="55" t="n">
        <f aca="false">SUM(C5835:F5835)</f>
        <v>-816384.165084829</v>
      </c>
      <c r="Q5835" s="55" t="n">
        <f aca="false">SUM(G5835:J5835)</f>
        <v>-326662.233236167</v>
      </c>
      <c r="R5835" s="55" t="n">
        <f aca="false">SUM(K5835:N5835)</f>
        <v>46163.2388576133</v>
      </c>
      <c r="S5835" s="56" t="n">
        <f aca="false">SUM(P5835:R5835)</f>
        <v>-1096883.15946338</v>
      </c>
    </row>
    <row r="5836" customFormat="false" ht="15" hidden="false" customHeight="false" outlineLevel="0" collapsed="false">
      <c r="A5836" s="4" t="s">
        <v>575</v>
      </c>
      <c r="B5836" s="36" t="s">
        <v>125</v>
      </c>
      <c r="C5836" s="54" t="n">
        <f aca="false">C5835*C5831</f>
        <v>-252988.586859998</v>
      </c>
      <c r="D5836" s="54" t="n">
        <f aca="false">D5835*D5831</f>
        <v>-190678.635296023</v>
      </c>
      <c r="E5836" s="54" t="n">
        <f aca="false">E5835*E5831</f>
        <v>-171818.048832998</v>
      </c>
      <c r="F5836" s="54" t="n">
        <f aca="false">F5835*F5831</f>
        <v>-149347.739490752</v>
      </c>
      <c r="G5836" s="54" t="n">
        <f aca="false">G5835*G5831</f>
        <v>-110914.175629772</v>
      </c>
      <c r="H5836" s="54" t="n">
        <f aca="false">H5835*H5831</f>
        <v>-58875.5715026671</v>
      </c>
      <c r="I5836" s="54" t="n">
        <f aca="false">I5835*I5831</f>
        <v>-75549.8131111763</v>
      </c>
      <c r="J5836" s="54" t="n">
        <f aca="false">J5835*J5831</f>
        <v>-29465.1976186621</v>
      </c>
      <c r="K5836" s="54" t="n">
        <f aca="false">K5835*K5831</f>
        <v>-19297.4629882697</v>
      </c>
      <c r="L5836" s="54" t="n">
        <f aca="false">L5835*L5831</f>
        <v>-2756.3817349974</v>
      </c>
      <c r="M5836" s="54" t="n">
        <f aca="false">M5835*M5831</f>
        <v>17180.0535511826</v>
      </c>
      <c r="N5836" s="54" t="n">
        <f aca="false">N5835*N5831</f>
        <v>36487.5001343736</v>
      </c>
      <c r="P5836" s="55" t="n">
        <f aca="false">SUM(C5836:F5836)</f>
        <v>-764833.010479771</v>
      </c>
      <c r="Q5836" s="55" t="n">
        <f aca="false">SUM(G5836:J5836)</f>
        <v>-274804.757862277</v>
      </c>
      <c r="R5836" s="55" t="n">
        <f aca="false">SUM(K5836:N5836)</f>
        <v>31613.7089622891</v>
      </c>
      <c r="S5836" s="56" t="n">
        <f aca="false">SUM(P5836:R5836)</f>
        <v>-1008024.05937976</v>
      </c>
    </row>
    <row r="5837" customFormat="false" ht="15" hidden="false" customHeight="false" outlineLevel="0" collapsed="false">
      <c r="A5837" s="4" t="s">
        <v>576</v>
      </c>
      <c r="B5837" s="36"/>
      <c r="C5837" s="37" t="n">
        <f aca="false">IFERROR((S5792*$C$5741*Assumptions!$E$59+S5793*$C$5742*Assumptions!$E$60+S5794*$C$5743*Assumptions!$E$61)/(S5792*$C$5741+S5793*$C$5742+S5794*$C$5743),0.9)</f>
        <v>0.900030546477045</v>
      </c>
    </row>
    <row r="5838" customFormat="false" ht="15" hidden="false" customHeight="false" outlineLevel="0" collapsed="false">
      <c r="A5838" s="4" t="s">
        <v>577</v>
      </c>
      <c r="B5838" s="36"/>
      <c r="C5838" s="37" t="n">
        <f aca="false">IFERROR(N5826*4/N5804,0)</f>
        <v>0.134205167601311</v>
      </c>
    </row>
    <row r="5839" customFormat="false" ht="15" hidden="false" customHeight="false" outlineLevel="0" collapsed="false">
      <c r="A5839" s="4" t="s">
        <v>578</v>
      </c>
      <c r="B5839" s="36"/>
      <c r="C5839" s="60" t="n">
        <f aca="false">$C$5837/(1+Assumptions!$E$87)</f>
        <v>0.803598702211647</v>
      </c>
    </row>
    <row r="5840" customFormat="false" ht="15" hidden="false" customHeight="false" outlineLevel="0" collapsed="false">
      <c r="A5840" s="4" t="s">
        <v>579</v>
      </c>
      <c r="B5840" s="36"/>
      <c r="C5840" s="60" t="n">
        <f aca="false">Assumptions!$E$91/(1+Assumptions!$E$87)</f>
        <v>0.803571428571429</v>
      </c>
    </row>
    <row r="5841" customFormat="false" ht="15" hidden="false" customHeight="false" outlineLevel="0" collapsed="false">
      <c r="A5841" s="35" t="s">
        <v>580</v>
      </c>
      <c r="B5841" s="35" t="s">
        <v>444</v>
      </c>
      <c r="C5841" s="6" t="s">
        <v>354</v>
      </c>
      <c r="D5841" s="6" t="s">
        <v>355</v>
      </c>
      <c r="E5841" s="6" t="s">
        <v>356</v>
      </c>
      <c r="F5841" s="6" t="s">
        <v>357</v>
      </c>
      <c r="G5841" s="6" t="s">
        <v>358</v>
      </c>
      <c r="H5841" s="6" t="s">
        <v>359</v>
      </c>
      <c r="I5841" s="6" t="s">
        <v>360</v>
      </c>
      <c r="J5841" s="6" t="s">
        <v>361</v>
      </c>
      <c r="K5841" s="6" t="s">
        <v>362</v>
      </c>
      <c r="L5841" s="6" t="s">
        <v>363</v>
      </c>
      <c r="M5841" s="6" t="s">
        <v>364</v>
      </c>
      <c r="N5841" s="6" t="s">
        <v>365</v>
      </c>
      <c r="P5841" s="6" t="s">
        <v>445</v>
      </c>
      <c r="Q5841" s="6" t="s">
        <v>446</v>
      </c>
      <c r="R5841" s="6" t="s">
        <v>447</v>
      </c>
      <c r="S5841" s="6" t="s">
        <v>448</v>
      </c>
    </row>
    <row r="5842" customFormat="false" ht="15" hidden="false" customHeight="false" outlineLevel="0" collapsed="false">
      <c r="A5842" s="9" t="s">
        <v>581</v>
      </c>
      <c r="C5842" s="61" t="n">
        <f aca="false">N5804</f>
        <v>667984.226049093</v>
      </c>
      <c r="D5842" s="61"/>
    </row>
    <row r="5843" customFormat="false" ht="15" hidden="false" customHeight="false" outlineLevel="0" collapsed="false">
      <c r="A5843" s="9" t="s">
        <v>582</v>
      </c>
      <c r="C5843" s="62" t="n">
        <f aca="false">N5800</f>
        <v>49.5280990541991</v>
      </c>
      <c r="D5843" s="62"/>
    </row>
    <row r="5844" customFormat="false" ht="15" hidden="false" customHeight="false" outlineLevel="0" collapsed="false">
      <c r="A5844" s="9" t="s">
        <v>583</v>
      </c>
      <c r="C5844" s="63" t="n">
        <f aca="false">S5795</f>
        <v>54.7491194625937</v>
      </c>
      <c r="D5844" s="63"/>
    </row>
    <row r="5845" customFormat="false" ht="15" hidden="false" customHeight="false" outlineLevel="0" collapsed="false">
      <c r="A5845" s="9" t="s">
        <v>584</v>
      </c>
      <c r="C5845" s="61" t="n">
        <f aca="false">S5806</f>
        <v>647186.333040083</v>
      </c>
      <c r="D5845" s="61"/>
    </row>
    <row r="5846" customFormat="false" ht="15" hidden="false" customHeight="false" outlineLevel="0" collapsed="false">
      <c r="A5846" s="9" t="s">
        <v>22</v>
      </c>
      <c r="C5846" s="61" t="n">
        <f aca="false">IFERROR(S5805/S5795,0)</f>
        <v>11510.5645565567</v>
      </c>
      <c r="D5846" s="61"/>
    </row>
    <row r="5847" customFormat="false" ht="15" hidden="false" customHeight="false" outlineLevel="0" collapsed="false">
      <c r="A5847" s="9" t="s">
        <v>585</v>
      </c>
      <c r="C5847" s="61" t="n">
        <f aca="false">IFERROR(S5823/S5795,0)</f>
        <v>41349.8942936089</v>
      </c>
      <c r="D5847" s="61"/>
    </row>
    <row r="5848" customFormat="false" ht="23.85" hidden="false" customHeight="false" outlineLevel="0" collapsed="false">
      <c r="A5848" s="9" t="s">
        <v>586</v>
      </c>
      <c r="C5848" s="61" t="n">
        <f aca="false">IFERROR((S5817+S5819+S5820+S5821+S5822)/S5795,0)</f>
        <v>17792.1116333039</v>
      </c>
      <c r="D5848" s="61"/>
    </row>
    <row r="5849" customFormat="false" ht="15" hidden="false" customHeight="false" outlineLevel="0" collapsed="false">
      <c r="A5849" s="9" t="s">
        <v>587</v>
      </c>
      <c r="C5849" s="64" t="n">
        <f aca="false">IFERROR('Engine Runs'!$C$5847/('Engine Runs'!$C$5846*Assumptions!$E$76/12),0)</f>
        <v>66.3201757073827</v>
      </c>
      <c r="D5849" s="64"/>
    </row>
    <row r="5850" customFormat="false" ht="15" hidden="false" customHeight="false" outlineLevel="0" collapsed="false">
      <c r="A5850" s="9" t="s">
        <v>588</v>
      </c>
      <c r="C5850" s="64" t="n">
        <f aca="false">IFERROR((R5823/R5795)/((R5805/R5795)*Assumptions!$E$76/12),0)</f>
        <v>44.3091597961878</v>
      </c>
      <c r="D5850" s="64"/>
    </row>
    <row r="5851" customFormat="false" ht="15" hidden="false" customHeight="false" outlineLevel="0" collapsed="false">
      <c r="A5851" s="9" t="s">
        <v>589</v>
      </c>
      <c r="C5851" s="61" t="n">
        <f aca="false">S5827</f>
        <v>3069811.19215259</v>
      </c>
      <c r="D5851" s="61"/>
    </row>
    <row r="5852" customFormat="false" ht="15" hidden="false" customHeight="false" outlineLevel="0" collapsed="false">
      <c r="A5852" s="9" t="s">
        <v>590</v>
      </c>
      <c r="C5852" s="61" t="n">
        <f aca="false">N5830</f>
        <v>-2649140.07567653</v>
      </c>
      <c r="D5852" s="61"/>
    </row>
    <row r="5853" customFormat="false" ht="15" hidden="false" customHeight="false" outlineLevel="0" collapsed="false">
      <c r="A5853" s="9" t="s">
        <v>591</v>
      </c>
      <c r="C5853" s="61" t="n">
        <f aca="false">MIN($C$5830:$N$5830)</f>
        <v>-2649140.07567653</v>
      </c>
      <c r="D5853" s="61"/>
    </row>
    <row r="5854" customFormat="false" ht="15" hidden="false" customHeight="false" outlineLevel="0" collapsed="false">
      <c r="A5854" s="9" t="s">
        <v>592</v>
      </c>
      <c r="C5854" s="61" t="n">
        <f aca="false">N5804*(Assumptions!$E$76-$C$5838)*$C$5837*(1-$C$5837^Assumptions!$E$85)/(1-$C$5837)</f>
        <v>1269963.80626857</v>
      </c>
      <c r="D5854" s="61"/>
    </row>
    <row r="5855" customFormat="false" ht="15" hidden="false" customHeight="false" outlineLevel="0" collapsed="false">
      <c r="A5855" s="9" t="s">
        <v>593</v>
      </c>
      <c r="C5855" s="61" t="n">
        <f aca="false">N5804*(Assumptions!$E$76-$C$5838)*(1-Assumptions!$E$88)/(1+Assumptions!$E$87)^2.5*$C$5839*(1-$C$5839^Assumptions!$E$85)/(1-$C$5839)</f>
        <v>564843.832146061</v>
      </c>
      <c r="D5855" s="61"/>
    </row>
    <row r="5856" customFormat="false" ht="15" hidden="false" customHeight="false" outlineLevel="0" collapsed="false">
      <c r="A5856" s="9" t="s">
        <v>594</v>
      </c>
      <c r="C5856" s="61" t="n">
        <f aca="false">SUM($C$5832:$N$5832)+'Engine Runs'!$C$5855</f>
        <v>-1741216.04321778</v>
      </c>
      <c r="D5856" s="61"/>
    </row>
    <row r="5857" customFormat="false" ht="15" hidden="false" customHeight="false" outlineLevel="0" collapsed="false">
      <c r="A5857" s="9" t="s">
        <v>595</v>
      </c>
      <c r="C5857" s="61" t="n">
        <f aca="false">SUM($C$5836:$N$5836)+N5834*(Assumptions!$E$76-Assumptions!$E$93)/(1+Assumptions!$E$87)^2.5*$C$5840*(1-$C$5840^Assumptions!$E$85)/(1-$C$5840)</f>
        <v>1551866.67709101</v>
      </c>
      <c r="D5857" s="61"/>
    </row>
    <row r="5858" customFormat="false" ht="15" hidden="false" customHeight="false" outlineLevel="0" collapsed="false">
      <c r="A5858" s="9" t="s">
        <v>596</v>
      </c>
      <c r="C5858" s="61" t="n">
        <f aca="false">'Engine Runs'!$C$5856-'Engine Runs'!$C$5857</f>
        <v>-3293082.72030879</v>
      </c>
      <c r="D5858" s="61"/>
    </row>
    <row r="5859" customFormat="false" ht="15" hidden="false" customHeight="false" outlineLevel="0" collapsed="false">
      <c r="A5859" s="9" t="s">
        <v>597</v>
      </c>
      <c r="C5859" s="61" t="n">
        <f aca="false">S5791</f>
        <v>0</v>
      </c>
      <c r="D5859" s="61"/>
    </row>
    <row r="5860" customFormat="false" ht="15" hidden="false" customHeight="false" outlineLevel="0" collapsed="false">
      <c r="A5860" s="9" t="s">
        <v>598</v>
      </c>
      <c r="C5860" s="63" t="n">
        <f aca="false">P5775</f>
        <v>43.6188722246667</v>
      </c>
      <c r="D5860" s="63"/>
    </row>
    <row r="5861" customFormat="false" ht="15" hidden="false" customHeight="false" outlineLevel="0" collapsed="false">
      <c r="A5861" s="9" t="s">
        <v>599</v>
      </c>
      <c r="C5861" s="63" t="n">
        <f aca="false">P5795</f>
        <v>6.18260904948639</v>
      </c>
      <c r="D5861" s="63"/>
    </row>
    <row r="5862" customFormat="false" ht="15" hidden="false" customHeight="false" outlineLevel="0" collapsed="false">
      <c r="A5862" s="9" t="s">
        <v>600</v>
      </c>
      <c r="C5862" s="63" t="n">
        <f aca="false">P5771</f>
        <v>42</v>
      </c>
      <c r="D5862" s="63"/>
    </row>
    <row r="5863" customFormat="false" ht="15" hidden="false" customHeight="false" outlineLevel="0" collapsed="false">
      <c r="A5863" s="9" t="s">
        <v>601</v>
      </c>
      <c r="C5863" s="61" t="n">
        <f aca="false">IFERROR(P5805/P5795,0)</f>
        <v>11090.5376006265</v>
      </c>
      <c r="D5863" s="61"/>
    </row>
    <row r="5866" customFormat="false" ht="15" hidden="false" customHeight="true" outlineLevel="0" collapsed="false">
      <c r="A5866" s="78" t="s">
        <v>867</v>
      </c>
      <c r="B5866" s="78"/>
      <c r="C5866" s="78"/>
      <c r="D5866" s="78"/>
      <c r="E5866" s="78"/>
      <c r="F5866" s="78"/>
      <c r="G5866" s="78"/>
      <c r="H5866" s="78"/>
      <c r="I5866" s="78"/>
      <c r="J5866" s="78"/>
      <c r="K5866" s="78"/>
      <c r="L5866" s="78"/>
      <c r="M5866" s="78"/>
      <c r="N5866" s="78"/>
    </row>
    <row r="5867" customFormat="false" ht="15" hidden="false" customHeight="true" outlineLevel="0" collapsed="false">
      <c r="A5867" s="79" t="s">
        <v>868</v>
      </c>
      <c r="B5867" s="79"/>
      <c r="C5867" s="79"/>
      <c r="D5867" s="79"/>
      <c r="E5867" s="79"/>
      <c r="F5867" s="79"/>
      <c r="G5867" s="79"/>
      <c r="H5867" s="79"/>
      <c r="I5867" s="79"/>
      <c r="J5867" s="79"/>
      <c r="K5867" s="79"/>
      <c r="L5867" s="79"/>
      <c r="M5867" s="79"/>
      <c r="N5867" s="79"/>
    </row>
    <row r="5868" customFormat="false" ht="23.85" hidden="false" customHeight="false" outlineLevel="0" collapsed="false">
      <c r="A5868" s="35" t="s">
        <v>869</v>
      </c>
      <c r="B5868" s="35" t="s">
        <v>444</v>
      </c>
      <c r="C5868" s="6" t="s">
        <v>354</v>
      </c>
      <c r="D5868" s="6" t="s">
        <v>355</v>
      </c>
      <c r="E5868" s="6" t="s">
        <v>356</v>
      </c>
      <c r="F5868" s="6" t="s">
        <v>357</v>
      </c>
      <c r="G5868" s="6" t="s">
        <v>358</v>
      </c>
      <c r="H5868" s="6" t="s">
        <v>359</v>
      </c>
      <c r="I5868" s="6" t="s">
        <v>360</v>
      </c>
      <c r="J5868" s="6" t="s">
        <v>361</v>
      </c>
      <c r="K5868" s="6" t="s">
        <v>362</v>
      </c>
      <c r="L5868" s="6" t="s">
        <v>363</v>
      </c>
      <c r="M5868" s="6" t="s">
        <v>364</v>
      </c>
      <c r="N5868" s="6" t="s">
        <v>365</v>
      </c>
      <c r="P5868" s="6" t="s">
        <v>445</v>
      </c>
      <c r="Q5868" s="6" t="s">
        <v>446</v>
      </c>
      <c r="R5868" s="6" t="s">
        <v>447</v>
      </c>
      <c r="S5868" s="6" t="s">
        <v>448</v>
      </c>
    </row>
    <row r="5869" customFormat="false" ht="15" hidden="false" customHeight="false" outlineLevel="0" collapsed="false">
      <c r="A5869" s="4" t="s">
        <v>449</v>
      </c>
      <c r="B5869" s="36" t="s">
        <v>450</v>
      </c>
      <c r="C5869" s="34" t="n">
        <f aca="false">'Market Sizing'!$C$17*Assumptions!$E$10*Assumptions!$E$11*(1-Assumptions!$E$12)</f>
        <v>843.03944704</v>
      </c>
    </row>
    <row r="5870" customFormat="false" ht="15" hidden="false" customHeight="false" outlineLevel="0" collapsed="false">
      <c r="A5870" s="4" t="s">
        <v>451</v>
      </c>
      <c r="B5870" s="36" t="s">
        <v>450</v>
      </c>
      <c r="C5870" s="34" t="n">
        <f aca="false">'Market Sizing'!$D$17*Assumptions!$E$10*Assumptions!$E$11*(1-Assumptions!$E$12)</f>
        <v>211.19616</v>
      </c>
    </row>
    <row r="5871" customFormat="false" ht="15" hidden="false" customHeight="false" outlineLevel="0" collapsed="false">
      <c r="A5871" s="4" t="s">
        <v>452</v>
      </c>
      <c r="B5871" s="36" t="s">
        <v>450</v>
      </c>
      <c r="C5871" s="34" t="n">
        <f aca="false">'Market Sizing'!$E$17*Assumptions!$E$10*Assumptions!$E$11*(1-Assumptions!$E$12)</f>
        <v>49.53984</v>
      </c>
    </row>
    <row r="5872" customFormat="false" ht="15" hidden="false" customHeight="false" outlineLevel="0" collapsed="false">
      <c r="A5872" s="4" t="s">
        <v>453</v>
      </c>
      <c r="B5872" s="36"/>
      <c r="C5872" s="34" t="n">
        <f aca="false">$C$5869+$C$5870+$C$5871</f>
        <v>1103.77544704</v>
      </c>
    </row>
    <row r="5873" customFormat="false" ht="15" hidden="false" customHeight="false" outlineLevel="0" collapsed="false">
      <c r="A5873" s="4" t="s">
        <v>454</v>
      </c>
      <c r="B5873" s="36" t="s">
        <v>450</v>
      </c>
      <c r="C5873" s="34" t="n">
        <f aca="false">'Market Sizing'!$C$18*Assumptions!$E$10*Assumptions!$E$11*(1-Assumptions!$E$12)</f>
        <v>612.57706944</v>
      </c>
    </row>
    <row r="5874" customFormat="false" ht="15" hidden="false" customHeight="false" outlineLevel="0" collapsed="false">
      <c r="A5874" s="4" t="s">
        <v>455</v>
      </c>
      <c r="B5874" s="36" t="s">
        <v>450</v>
      </c>
      <c r="C5874" s="34" t="n">
        <f aca="false">'Market Sizing'!$D$18*Assumptions!$E$10*Assumptions!$E$11*(1-Assumptions!$E$12)</f>
        <v>142.10112</v>
      </c>
    </row>
    <row r="5875" customFormat="false" ht="15" hidden="false" customHeight="false" outlineLevel="0" collapsed="false">
      <c r="A5875" s="4" t="s">
        <v>456</v>
      </c>
      <c r="B5875" s="36" t="s">
        <v>450</v>
      </c>
      <c r="C5875" s="34" t="n">
        <f aca="false">'Market Sizing'!$E$18*Assumptions!$E$10*Assumptions!$E$11*(1-Assumptions!$E$12)</f>
        <v>24.76992</v>
      </c>
    </row>
    <row r="5876" customFormat="false" ht="15" hidden="false" customHeight="false" outlineLevel="0" collapsed="false">
      <c r="A5876" s="4" t="s">
        <v>457</v>
      </c>
      <c r="B5876" s="36"/>
      <c r="C5876" s="34" t="n">
        <f aca="false">$C$5873+$C$5874+$C$5875</f>
        <v>779.44810944</v>
      </c>
    </row>
    <row r="5877" customFormat="false" ht="15" hidden="false" customHeight="false" outlineLevel="0" collapsed="false">
      <c r="A5877" s="4" t="s">
        <v>458</v>
      </c>
      <c r="B5877" s="36" t="s">
        <v>450</v>
      </c>
      <c r="C5877" s="34" t="n">
        <f aca="false">'Market Sizing'!$C$19*Assumptions!$E$10*Assumptions!$E$11*(1-Assumptions!$E$12)</f>
        <v>2060.77303936</v>
      </c>
    </row>
    <row r="5878" customFormat="false" ht="15" hidden="false" customHeight="false" outlineLevel="0" collapsed="false">
      <c r="A5878" s="4" t="s">
        <v>459</v>
      </c>
      <c r="B5878" s="36" t="s">
        <v>450</v>
      </c>
      <c r="C5878" s="34" t="n">
        <f aca="false">'Market Sizing'!$D$19*Assumptions!$E$10*Assumptions!$E$11*(1-Assumptions!$E$12)</f>
        <v>428.47616</v>
      </c>
    </row>
    <row r="5879" customFormat="false" ht="15" hidden="false" customHeight="false" outlineLevel="0" collapsed="false">
      <c r="A5879" s="4" t="s">
        <v>460</v>
      </c>
      <c r="B5879" s="36" t="s">
        <v>450</v>
      </c>
      <c r="C5879" s="34" t="n">
        <f aca="false">'Market Sizing'!$E$19*Assumptions!$E$10*Assumptions!$E$11*(1-Assumptions!$E$12)</f>
        <v>79.52448</v>
      </c>
    </row>
    <row r="5880" customFormat="false" ht="15" hidden="false" customHeight="false" outlineLevel="0" collapsed="false">
      <c r="A5880" s="4" t="s">
        <v>461</v>
      </c>
      <c r="B5880" s="36"/>
      <c r="C5880" s="34" t="n">
        <f aca="false">$C$5877+$C$5878+$C$5879</f>
        <v>2568.77367936</v>
      </c>
    </row>
    <row r="5881" customFormat="false" ht="15" hidden="false" customHeight="false" outlineLevel="0" collapsed="false">
      <c r="A5881" s="4" t="s">
        <v>462</v>
      </c>
      <c r="B5881" s="36" t="s">
        <v>463</v>
      </c>
      <c r="C5881" s="33" t="n">
        <f aca="false">MAX((Assumptions!$E$51+Assumptions!$E$53)*12,(((('Market Sizing'!$E$25*Assumptions!$E$41*Assumptions!$E$42*Assumptions!$E$43)*Assumptions!$E$44)*Assumptions!$E$45*Assumptions!$E$46+('Market Sizing'!$E$25*Assumptions!$E$41*Assumptions!$E$42*Assumptions!$E$43)*Assumptions!$E$47+('Market Sizing'!$E$25*Assumptions!$E$41*Assumptions!$E$42*Assumptions!$E$43)*Assumptions!$E$48*Assumptions!$E$49)*(Assumptions!$E$51*12/Assumptions!$E$52)+((('Market Sizing'!$E$25*Assumptions!$E$41*Assumptions!$E$42*Assumptions!$E$43)*Assumptions!$E$44)*Assumptions!$E$45+('Market Sizing'!$E$25*Assumptions!$E$41*Assumptions!$E$42*Assumptions!$E$43)+('Market Sizing'!$E$25*Assumptions!$E$41*Assumptions!$E$42*Assumptions!$E$43)*Assumptions!$E$48)*Assumptions!$E$50*(Assumptions!$E$53*12/Assumptions!$E$54)))</f>
        <v>5352</v>
      </c>
    </row>
    <row r="5882" customFormat="false" ht="15" hidden="false" customHeight="false" outlineLevel="0" collapsed="false">
      <c r="A5882" s="4" t="s">
        <v>464</v>
      </c>
      <c r="B5882" s="36" t="s">
        <v>463</v>
      </c>
      <c r="C5882" s="33" t="n">
        <f aca="false">MAX((Assumptions!$E$51+Assumptions!$E$53)*12,(((('Market Sizing'!$E$26*Assumptions!$E$41*Assumptions!$E$42*Assumptions!$E$43)*Assumptions!$E$44)*Assumptions!$E$45*Assumptions!$E$46+('Market Sizing'!$E$26*Assumptions!$E$41*Assumptions!$E$42*Assumptions!$E$43)*Assumptions!$E$47+('Market Sizing'!$E$26*Assumptions!$E$41*Assumptions!$E$42*Assumptions!$E$43)*Assumptions!$E$48*Assumptions!$E$49)*(Assumptions!$E$51*12/Assumptions!$E$52)+((('Market Sizing'!$E$26*Assumptions!$E$41*Assumptions!$E$42*Assumptions!$E$43)*Assumptions!$E$44)*Assumptions!$E$45+('Market Sizing'!$E$26*Assumptions!$E$41*Assumptions!$E$42*Assumptions!$E$43)+('Market Sizing'!$E$26*Assumptions!$E$41*Assumptions!$E$42*Assumptions!$E$43)*Assumptions!$E$48)*Assumptions!$E$50*(Assumptions!$E$53*12/Assumptions!$E$54)))</f>
        <v>9766.72012875208</v>
      </c>
    </row>
    <row r="5883" customFormat="false" ht="15" hidden="false" customHeight="false" outlineLevel="0" collapsed="false">
      <c r="A5883" s="4" t="s">
        <v>465</v>
      </c>
      <c r="B5883" s="36" t="s">
        <v>463</v>
      </c>
      <c r="C5883" s="33" t="n">
        <f aca="false">MAX(Assumptions!$E$55*(Assumptions!$E$51*12/Assumptions!$E$52)+Assumptions!$E$56*(Assumptions!$E$53*12/Assumptions!$E$54),(((('Market Sizing'!$E$27*Assumptions!$E$41*Assumptions!$E$42*Assumptions!$E$43)*Assumptions!$E$44)*Assumptions!$E$45*Assumptions!$E$46+('Market Sizing'!$E$27*Assumptions!$E$41*Assumptions!$E$42*Assumptions!$E$43)*Assumptions!$E$47+('Market Sizing'!$E$27*Assumptions!$E$41*Assumptions!$E$42*Assumptions!$E$43)*Assumptions!$E$48*Assumptions!$E$49)*(Assumptions!$E$51*12/Assumptions!$E$52)+((('Market Sizing'!$E$27*Assumptions!$E$41*Assumptions!$E$42*Assumptions!$E$43)*Assumptions!$E$44)*Assumptions!$E$45+('Market Sizing'!$E$27*Assumptions!$E$41*Assumptions!$E$42*Assumptions!$E$43)+('Market Sizing'!$E$27*Assumptions!$E$41*Assumptions!$E$42*Assumptions!$E$43)*Assumptions!$E$48)*Assumptions!$E$50*(Assumptions!$E$53*12/Assumptions!$E$54)))*(1-Assumptions!$E$57)</f>
        <v>61778.2562194386</v>
      </c>
    </row>
    <row r="5884" customFormat="false" ht="23.85" hidden="false" customHeight="false" outlineLevel="0" collapsed="false">
      <c r="A5884" s="4" t="s">
        <v>466</v>
      </c>
      <c r="B5884" s="36" t="s">
        <v>467</v>
      </c>
      <c r="C5884" s="37" t="n">
        <f aca="false">Assumptions!$E$17*Assumptions!$D$106</f>
        <v>0.4</v>
      </c>
    </row>
    <row r="5885" customFormat="false" ht="23.85" hidden="false" customHeight="false" outlineLevel="0" collapsed="false">
      <c r="A5885" s="4" t="s">
        <v>468</v>
      </c>
      <c r="B5885" s="36" t="s">
        <v>469</v>
      </c>
      <c r="C5885" s="33" t="n">
        <f aca="false">Assumptions!$E$68/Assumptions!$E$69</f>
        <v>285714.285714286</v>
      </c>
    </row>
    <row r="5886" customFormat="false" ht="23.85" hidden="false" customHeight="false" outlineLevel="0" collapsed="false">
      <c r="A5886" s="4" t="s">
        <v>470</v>
      </c>
      <c r="B5886" s="36" t="s">
        <v>471</v>
      </c>
      <c r="C5886" s="33" t="n">
        <f aca="false">Assumptions!$E$66*Assumptions!$E$67/4</f>
        <v>153125</v>
      </c>
    </row>
    <row r="5887" customFormat="false" ht="15" hidden="false" customHeight="false" outlineLevel="0" collapsed="false">
      <c r="A5887" s="4" t="s">
        <v>472</v>
      </c>
      <c r="B5887" s="36"/>
      <c r="C5887" s="38" t="n">
        <f aca="false">$C$5885/Assumptions!$E$66/Assumptions!$E$67</f>
        <v>0.466472303206997</v>
      </c>
    </row>
    <row r="5888" customFormat="false" ht="15" hidden="false" customHeight="false" outlineLevel="0" collapsed="false">
      <c r="A5888" s="4" t="s">
        <v>473</v>
      </c>
      <c r="B5888" s="36"/>
      <c r="C5888" s="33" t="n">
        <f aca="false">MAX(0,Assumptions!$D$103-Assumptions!$E$78)</f>
        <v>0</v>
      </c>
    </row>
    <row r="5889" customFormat="false" ht="15" hidden="false" customHeight="false" outlineLevel="0" collapsed="false">
      <c r="A5889" s="35" t="s">
        <v>474</v>
      </c>
      <c r="B5889" s="35" t="s">
        <v>444</v>
      </c>
      <c r="C5889" s="6" t="s">
        <v>354</v>
      </c>
      <c r="D5889" s="6" t="s">
        <v>355</v>
      </c>
      <c r="E5889" s="6" t="s">
        <v>356</v>
      </c>
      <c r="F5889" s="6" t="s">
        <v>357</v>
      </c>
      <c r="G5889" s="6" t="s">
        <v>358</v>
      </c>
      <c r="H5889" s="6" t="s">
        <v>359</v>
      </c>
      <c r="I5889" s="6" t="s">
        <v>360</v>
      </c>
      <c r="J5889" s="6" t="s">
        <v>361</v>
      </c>
      <c r="K5889" s="6" t="s">
        <v>362</v>
      </c>
      <c r="L5889" s="6" t="s">
        <v>363</v>
      </c>
      <c r="M5889" s="6" t="s">
        <v>364</v>
      </c>
      <c r="N5889" s="6" t="s">
        <v>365</v>
      </c>
      <c r="P5889" s="6" t="s">
        <v>445</v>
      </c>
      <c r="Q5889" s="6" t="s">
        <v>446</v>
      </c>
      <c r="R5889" s="6" t="s">
        <v>447</v>
      </c>
      <c r="S5889" s="6" t="s">
        <v>448</v>
      </c>
    </row>
    <row r="5890" customFormat="false" ht="15" hidden="false" customHeight="false" outlineLevel="0" collapsed="false">
      <c r="A5890" s="4" t="s">
        <v>475</v>
      </c>
      <c r="B5890" s="36" t="s">
        <v>133</v>
      </c>
      <c r="C5890" s="39" t="n">
        <v>1</v>
      </c>
      <c r="D5890" s="39" t="n">
        <v>2</v>
      </c>
      <c r="E5890" s="39" t="n">
        <v>3</v>
      </c>
      <c r="F5890" s="39" t="n">
        <v>4</v>
      </c>
      <c r="G5890" s="39" t="n">
        <v>5</v>
      </c>
      <c r="H5890" s="39" t="n">
        <v>6</v>
      </c>
      <c r="I5890" s="39" t="n">
        <v>7</v>
      </c>
      <c r="J5890" s="39" t="n">
        <v>8</v>
      </c>
      <c r="K5890" s="39" t="n">
        <v>9</v>
      </c>
      <c r="L5890" s="39" t="n">
        <v>10</v>
      </c>
      <c r="M5890" s="39" t="n">
        <v>11</v>
      </c>
      <c r="N5890" s="39" t="n">
        <v>12</v>
      </c>
      <c r="P5890" s="40"/>
      <c r="Q5890" s="40"/>
      <c r="R5890" s="40"/>
      <c r="S5890" s="41"/>
    </row>
    <row r="5891" customFormat="false" ht="15" hidden="false" customHeight="false" outlineLevel="0" collapsed="false">
      <c r="A5891" s="4" t="s">
        <v>476</v>
      </c>
      <c r="B5891" s="36" t="s">
        <v>343</v>
      </c>
      <c r="C5891" s="39" t="n">
        <f aca="false">IF(C5890&lt;=Assumptions!$E$84,1,0)</f>
        <v>1</v>
      </c>
      <c r="D5891" s="39" t="n">
        <f aca="false">IF(D5890&lt;=Assumptions!$E$84,1,0)</f>
        <v>1</v>
      </c>
      <c r="E5891" s="39" t="n">
        <f aca="false">IF(E5890&lt;=Assumptions!$E$84,1,0)</f>
        <v>1</v>
      </c>
      <c r="F5891" s="39" t="n">
        <f aca="false">IF(F5890&lt;=Assumptions!$E$84,1,0)</f>
        <v>1</v>
      </c>
      <c r="G5891" s="39" t="n">
        <f aca="false">IF(G5890&lt;=Assumptions!$E$84,1,0)</f>
        <v>1</v>
      </c>
      <c r="H5891" s="39" t="n">
        <f aca="false">IF(H5890&lt;=Assumptions!$E$84,1,0)</f>
        <v>1</v>
      </c>
      <c r="I5891" s="39" t="n">
        <f aca="false">IF(I5890&lt;=Assumptions!$E$84,1,0)</f>
        <v>1</v>
      </c>
      <c r="J5891" s="39" t="n">
        <f aca="false">IF(J5890&lt;=Assumptions!$E$84,1,0)</f>
        <v>1</v>
      </c>
      <c r="K5891" s="39" t="n">
        <f aca="false">IF(K5890&lt;=Assumptions!$E$84,1,0)</f>
        <v>1</v>
      </c>
      <c r="L5891" s="39" t="n">
        <f aca="false">IF(L5890&lt;=Assumptions!$E$84,1,0)</f>
        <v>1</v>
      </c>
      <c r="M5891" s="39" t="n">
        <f aca="false">IF(M5890&lt;=Assumptions!$E$84,1,0)</f>
        <v>1</v>
      </c>
      <c r="N5891" s="39" t="n">
        <f aca="false">IF(N5890&lt;=Assumptions!$E$84,1,0)</f>
        <v>1</v>
      </c>
      <c r="P5891" s="40"/>
      <c r="Q5891" s="40"/>
      <c r="R5891" s="40"/>
      <c r="S5891" s="41"/>
    </row>
    <row r="5892" customFormat="false" ht="15" hidden="false" customHeight="false" outlineLevel="0" collapsed="false">
      <c r="A5892" s="4" t="s">
        <v>477</v>
      </c>
      <c r="B5892" s="36" t="s">
        <v>478</v>
      </c>
      <c r="C5892" s="42" t="n">
        <f aca="false">IF(C5890=Assumptions!$E$13,0.5,IF(C5890&gt;Assumptions!$E$13,1,0))</f>
        <v>0.5</v>
      </c>
      <c r="D5892" s="42" t="n">
        <f aca="false">IF(D5890=Assumptions!$E$13,0.5,IF(D5890&gt;Assumptions!$E$13,1,0))</f>
        <v>1</v>
      </c>
      <c r="E5892" s="42" t="n">
        <f aca="false">IF(E5890=Assumptions!$E$13,0.5,IF(E5890&gt;Assumptions!$E$13,1,0))</f>
        <v>1</v>
      </c>
      <c r="F5892" s="42" t="n">
        <f aca="false">IF(F5890=Assumptions!$E$13,0.5,IF(F5890&gt;Assumptions!$E$13,1,0))</f>
        <v>1</v>
      </c>
      <c r="G5892" s="42" t="n">
        <f aca="false">IF(G5890=Assumptions!$E$13,0.5,IF(G5890&gt;Assumptions!$E$13,1,0))</f>
        <v>1</v>
      </c>
      <c r="H5892" s="42" t="n">
        <f aca="false">IF(H5890=Assumptions!$E$13,0.5,IF(H5890&gt;Assumptions!$E$13,1,0))</f>
        <v>1</v>
      </c>
      <c r="I5892" s="42" t="n">
        <f aca="false">IF(I5890=Assumptions!$E$13,0.5,IF(I5890&gt;Assumptions!$E$13,1,0))</f>
        <v>1</v>
      </c>
      <c r="J5892" s="42" t="n">
        <f aca="false">IF(J5890=Assumptions!$E$13,0.5,IF(J5890&gt;Assumptions!$E$13,1,0))</f>
        <v>1</v>
      </c>
      <c r="K5892" s="42" t="n">
        <f aca="false">IF(K5890=Assumptions!$E$13,0.5,IF(K5890&gt;Assumptions!$E$13,1,0))</f>
        <v>1</v>
      </c>
      <c r="L5892" s="42" t="n">
        <f aca="false">IF(L5890=Assumptions!$E$13,0.5,IF(L5890&gt;Assumptions!$E$13,1,0))</f>
        <v>1</v>
      </c>
      <c r="M5892" s="42" t="n">
        <f aca="false">IF(M5890=Assumptions!$E$13,0.5,IF(M5890&gt;Assumptions!$E$13,1,0))</f>
        <v>1</v>
      </c>
      <c r="N5892" s="42" t="n">
        <f aca="false">IF(N5890=Assumptions!$E$13,0.5,IF(N5890&gt;Assumptions!$E$13,1,0))</f>
        <v>1</v>
      </c>
      <c r="P5892" s="43"/>
      <c r="Q5892" s="43"/>
      <c r="R5892" s="43"/>
      <c r="S5892" s="44"/>
    </row>
    <row r="5893" customFormat="false" ht="15" hidden="false" customHeight="false" outlineLevel="0" collapsed="false">
      <c r="A5893" s="4" t="s">
        <v>479</v>
      </c>
      <c r="B5893" s="36" t="s">
        <v>478</v>
      </c>
      <c r="C5893" s="42" t="n">
        <f aca="false">IF(C5890=Assumptions!$E$14,0.5,IF(C5890&gt;Assumptions!$E$14,1,0))</f>
        <v>0</v>
      </c>
      <c r="D5893" s="42" t="n">
        <f aca="false">IF(D5890=Assumptions!$E$14,0.5,IF(D5890&gt;Assumptions!$E$14,1,0))</f>
        <v>0</v>
      </c>
      <c r="E5893" s="42" t="n">
        <f aca="false">IF(E5890=Assumptions!$E$14,0.5,IF(E5890&gt;Assumptions!$E$14,1,0))</f>
        <v>0</v>
      </c>
      <c r="F5893" s="42" t="n">
        <f aca="false">IF(F5890=Assumptions!$E$14,0.5,IF(F5890&gt;Assumptions!$E$14,1,0))</f>
        <v>0</v>
      </c>
      <c r="G5893" s="42" t="n">
        <f aca="false">IF(G5890=Assumptions!$E$14,0.5,IF(G5890&gt;Assumptions!$E$14,1,0))</f>
        <v>0.5</v>
      </c>
      <c r="H5893" s="42" t="n">
        <f aca="false">IF(H5890=Assumptions!$E$14,0.5,IF(H5890&gt;Assumptions!$E$14,1,0))</f>
        <v>1</v>
      </c>
      <c r="I5893" s="42" t="n">
        <f aca="false">IF(I5890=Assumptions!$E$14,0.5,IF(I5890&gt;Assumptions!$E$14,1,0))</f>
        <v>1</v>
      </c>
      <c r="J5893" s="42" t="n">
        <f aca="false">IF(J5890=Assumptions!$E$14,0.5,IF(J5890&gt;Assumptions!$E$14,1,0))</f>
        <v>1</v>
      </c>
      <c r="K5893" s="42" t="n">
        <f aca="false">IF(K5890=Assumptions!$E$14,0.5,IF(K5890&gt;Assumptions!$E$14,1,0))</f>
        <v>1</v>
      </c>
      <c r="L5893" s="42" t="n">
        <f aca="false">IF(L5890=Assumptions!$E$14,0.5,IF(L5890&gt;Assumptions!$E$14,1,0))</f>
        <v>1</v>
      </c>
      <c r="M5893" s="42" t="n">
        <f aca="false">IF(M5890=Assumptions!$E$14,0.5,IF(M5890&gt;Assumptions!$E$14,1,0))</f>
        <v>1</v>
      </c>
      <c r="N5893" s="42" t="n">
        <f aca="false">IF(N5890=Assumptions!$E$14,0.5,IF(N5890&gt;Assumptions!$E$14,1,0))</f>
        <v>1</v>
      </c>
      <c r="P5893" s="43"/>
      <c r="Q5893" s="43"/>
      <c r="R5893" s="43"/>
      <c r="S5893" s="44"/>
    </row>
    <row r="5894" customFormat="false" ht="15" hidden="false" customHeight="false" outlineLevel="0" collapsed="false">
      <c r="A5894" s="4" t="s">
        <v>480</v>
      </c>
      <c r="B5894" s="36" t="s">
        <v>478</v>
      </c>
      <c r="C5894" s="42" t="n">
        <f aca="false">IF(C5890=Assumptions!$E$15,0.5,IF(C5890&gt;Assumptions!$E$15,1,0))</f>
        <v>0</v>
      </c>
      <c r="D5894" s="42" t="n">
        <f aca="false">IF(D5890=Assumptions!$E$15,0.5,IF(D5890&gt;Assumptions!$E$15,1,0))</f>
        <v>0</v>
      </c>
      <c r="E5894" s="42" t="n">
        <f aca="false">IF(E5890=Assumptions!$E$15,0.5,IF(E5890&gt;Assumptions!$E$15,1,0))</f>
        <v>0</v>
      </c>
      <c r="F5894" s="42" t="n">
        <f aca="false">IF(F5890=Assumptions!$E$15,0.5,IF(F5890&gt;Assumptions!$E$15,1,0))</f>
        <v>0</v>
      </c>
      <c r="G5894" s="42" t="n">
        <f aca="false">IF(G5890=Assumptions!$E$15,0.5,IF(G5890&gt;Assumptions!$E$15,1,0))</f>
        <v>0</v>
      </c>
      <c r="H5894" s="42" t="n">
        <f aca="false">IF(H5890=Assumptions!$E$15,0.5,IF(H5890&gt;Assumptions!$E$15,1,0))</f>
        <v>0</v>
      </c>
      <c r="I5894" s="42" t="n">
        <f aca="false">IF(I5890=Assumptions!$E$15,0.5,IF(I5890&gt;Assumptions!$E$15,1,0))</f>
        <v>0.5</v>
      </c>
      <c r="J5894" s="42" t="n">
        <f aca="false">IF(J5890=Assumptions!$E$15,0.5,IF(J5890&gt;Assumptions!$E$15,1,0))</f>
        <v>1</v>
      </c>
      <c r="K5894" s="42" t="n">
        <f aca="false">IF(K5890=Assumptions!$E$15,0.5,IF(K5890&gt;Assumptions!$E$15,1,0))</f>
        <v>1</v>
      </c>
      <c r="L5894" s="42" t="n">
        <f aca="false">IF(L5890=Assumptions!$E$15,0.5,IF(L5890&gt;Assumptions!$E$15,1,0))</f>
        <v>1</v>
      </c>
      <c r="M5894" s="42" t="n">
        <f aca="false">IF(M5890=Assumptions!$E$15,0.5,IF(M5890&gt;Assumptions!$E$15,1,0))</f>
        <v>1</v>
      </c>
      <c r="N5894" s="42" t="n">
        <f aca="false">IF(N5890=Assumptions!$E$15,0.5,IF(N5890&gt;Assumptions!$E$15,1,0))</f>
        <v>1</v>
      </c>
      <c r="P5894" s="43"/>
      <c r="Q5894" s="43"/>
      <c r="R5894" s="43"/>
      <c r="S5894" s="44"/>
    </row>
    <row r="5895" customFormat="false" ht="15" hidden="false" customHeight="false" outlineLevel="0" collapsed="false">
      <c r="A5895" s="4" t="s">
        <v>481</v>
      </c>
      <c r="B5895" s="36" t="s">
        <v>478</v>
      </c>
      <c r="C5895" s="45" t="n">
        <f aca="false">Assumptions!$E$21^(MAX(0,C5890-Assumptions!$E$13)/4)</f>
        <v>1</v>
      </c>
      <c r="D5895" s="45" t="n">
        <f aca="false">Assumptions!$E$21^(MAX(0,D5890-Assumptions!$E$13)/4)</f>
        <v>0.9306048591021</v>
      </c>
      <c r="E5895" s="45" t="n">
        <f aca="false">Assumptions!$E$21^(MAX(0,E5890-Assumptions!$E$13)/4)</f>
        <v>0.866025403784439</v>
      </c>
      <c r="F5895" s="45" t="n">
        <f aca="false">Assumptions!$E$21^(MAX(0,F5890-Assumptions!$E$13)/4)</f>
        <v>0.805927448867656</v>
      </c>
      <c r="G5895" s="45" t="n">
        <f aca="false">Assumptions!$E$21^(MAX(0,G5890-Assumptions!$E$13)/4)</f>
        <v>0.75</v>
      </c>
      <c r="H5895" s="45" t="n">
        <f aca="false">Assumptions!$E$21^(MAX(0,H5890-Assumptions!$E$13)/4)</f>
        <v>0.697953644326575</v>
      </c>
      <c r="I5895" s="45" t="n">
        <f aca="false">Assumptions!$E$21^(MAX(0,I5890-Assumptions!$E$13)/4)</f>
        <v>0.649519052838329</v>
      </c>
      <c r="J5895" s="45" t="n">
        <f aca="false">Assumptions!$E$21^(MAX(0,J5890-Assumptions!$E$13)/4)</f>
        <v>0.604445586650742</v>
      </c>
      <c r="K5895" s="45" t="n">
        <f aca="false">Assumptions!$E$21^(MAX(0,K5890-Assumptions!$E$13)/4)</f>
        <v>0.5625</v>
      </c>
      <c r="L5895" s="45" t="n">
        <f aca="false">Assumptions!$E$21^(MAX(0,L5890-Assumptions!$E$13)/4)</f>
        <v>0.523465233244931</v>
      </c>
      <c r="M5895" s="45" t="n">
        <f aca="false">Assumptions!$E$21^(MAX(0,M5890-Assumptions!$E$13)/4)</f>
        <v>0.487139289628747</v>
      </c>
      <c r="N5895" s="45" t="n">
        <f aca="false">Assumptions!$E$21^(MAX(0,N5890-Assumptions!$E$13)/4)</f>
        <v>0.453334189988057</v>
      </c>
      <c r="P5895" s="46"/>
      <c r="Q5895" s="46"/>
      <c r="R5895" s="46"/>
      <c r="S5895" s="47"/>
    </row>
    <row r="5896" customFormat="false" ht="15" hidden="false" customHeight="false" outlineLevel="0" collapsed="false">
      <c r="A5896" s="4" t="s">
        <v>482</v>
      </c>
      <c r="B5896" s="36" t="s">
        <v>478</v>
      </c>
      <c r="C5896" s="45" t="n">
        <f aca="false">Assumptions!$E$21^(MAX(0,C5890-Assumptions!$E$14)/4)</f>
        <v>1</v>
      </c>
      <c r="D5896" s="45" t="n">
        <f aca="false">Assumptions!$E$21^(MAX(0,D5890-Assumptions!$E$14)/4)</f>
        <v>1</v>
      </c>
      <c r="E5896" s="45" t="n">
        <f aca="false">Assumptions!$E$21^(MAX(0,E5890-Assumptions!$E$14)/4)</f>
        <v>1</v>
      </c>
      <c r="F5896" s="45" t="n">
        <f aca="false">Assumptions!$E$21^(MAX(0,F5890-Assumptions!$E$14)/4)</f>
        <v>1</v>
      </c>
      <c r="G5896" s="45" t="n">
        <f aca="false">Assumptions!$E$21^(MAX(0,G5890-Assumptions!$E$14)/4)</f>
        <v>1</v>
      </c>
      <c r="H5896" s="45" t="n">
        <f aca="false">Assumptions!$E$21^(MAX(0,H5890-Assumptions!$E$14)/4)</f>
        <v>0.9306048591021</v>
      </c>
      <c r="I5896" s="45" t="n">
        <f aca="false">Assumptions!$E$21^(MAX(0,I5890-Assumptions!$E$14)/4)</f>
        <v>0.866025403784439</v>
      </c>
      <c r="J5896" s="45" t="n">
        <f aca="false">Assumptions!$E$21^(MAX(0,J5890-Assumptions!$E$14)/4)</f>
        <v>0.805927448867656</v>
      </c>
      <c r="K5896" s="45" t="n">
        <f aca="false">Assumptions!$E$21^(MAX(0,K5890-Assumptions!$E$14)/4)</f>
        <v>0.75</v>
      </c>
      <c r="L5896" s="45" t="n">
        <f aca="false">Assumptions!$E$21^(MAX(0,L5890-Assumptions!$E$14)/4)</f>
        <v>0.697953644326575</v>
      </c>
      <c r="M5896" s="45" t="n">
        <f aca="false">Assumptions!$E$21^(MAX(0,M5890-Assumptions!$E$14)/4)</f>
        <v>0.649519052838329</v>
      </c>
      <c r="N5896" s="45" t="n">
        <f aca="false">Assumptions!$E$21^(MAX(0,N5890-Assumptions!$E$14)/4)</f>
        <v>0.604445586650742</v>
      </c>
      <c r="P5896" s="46"/>
      <c r="Q5896" s="46"/>
      <c r="R5896" s="46"/>
      <c r="S5896" s="47"/>
    </row>
    <row r="5897" customFormat="false" ht="15" hidden="false" customHeight="false" outlineLevel="0" collapsed="false">
      <c r="A5897" s="4" t="s">
        <v>483</v>
      </c>
      <c r="B5897" s="36" t="s">
        <v>478</v>
      </c>
      <c r="C5897" s="45" t="n">
        <f aca="false">Assumptions!$E$21^(MAX(0,C5890-Assumptions!$E$15)/4)</f>
        <v>1</v>
      </c>
      <c r="D5897" s="45" t="n">
        <f aca="false">Assumptions!$E$21^(MAX(0,D5890-Assumptions!$E$15)/4)</f>
        <v>1</v>
      </c>
      <c r="E5897" s="45" t="n">
        <f aca="false">Assumptions!$E$21^(MAX(0,E5890-Assumptions!$E$15)/4)</f>
        <v>1</v>
      </c>
      <c r="F5897" s="45" t="n">
        <f aca="false">Assumptions!$E$21^(MAX(0,F5890-Assumptions!$E$15)/4)</f>
        <v>1</v>
      </c>
      <c r="G5897" s="45" t="n">
        <f aca="false">Assumptions!$E$21^(MAX(0,G5890-Assumptions!$E$15)/4)</f>
        <v>1</v>
      </c>
      <c r="H5897" s="45" t="n">
        <f aca="false">Assumptions!$E$21^(MAX(0,H5890-Assumptions!$E$15)/4)</f>
        <v>1</v>
      </c>
      <c r="I5897" s="45" t="n">
        <f aca="false">Assumptions!$E$21^(MAX(0,I5890-Assumptions!$E$15)/4)</f>
        <v>1</v>
      </c>
      <c r="J5897" s="45" t="n">
        <f aca="false">Assumptions!$E$21^(MAX(0,J5890-Assumptions!$E$15)/4)</f>
        <v>0.9306048591021</v>
      </c>
      <c r="K5897" s="45" t="n">
        <f aca="false">Assumptions!$E$21^(MAX(0,K5890-Assumptions!$E$15)/4)</f>
        <v>0.866025403784439</v>
      </c>
      <c r="L5897" s="45" t="n">
        <f aca="false">Assumptions!$E$21^(MAX(0,L5890-Assumptions!$E$15)/4)</f>
        <v>0.805927448867656</v>
      </c>
      <c r="M5897" s="45" t="n">
        <f aca="false">Assumptions!$E$21^(MAX(0,M5890-Assumptions!$E$15)/4)</f>
        <v>0.75</v>
      </c>
      <c r="N5897" s="45" t="n">
        <f aca="false">Assumptions!$E$21^(MAX(0,N5890-Assumptions!$E$15)/4)</f>
        <v>0.697953644326575</v>
      </c>
      <c r="P5897" s="46"/>
      <c r="Q5897" s="46"/>
      <c r="R5897" s="46"/>
      <c r="S5897" s="47"/>
    </row>
    <row r="5898" customFormat="false" ht="15" hidden="false" customHeight="false" outlineLevel="0" collapsed="false">
      <c r="A5898" s="4" t="s">
        <v>484</v>
      </c>
      <c r="B5898" s="36" t="s">
        <v>485</v>
      </c>
      <c r="C5898" s="39" t="n">
        <f aca="false">$C$5869*C5892+$C$5873*C5893+$C$5877*C5894</f>
        <v>421.51972352</v>
      </c>
      <c r="D5898" s="39" t="n">
        <f aca="false">$C$5869*D5892+$C$5873*D5893+$C$5877*D5894</f>
        <v>843.03944704</v>
      </c>
      <c r="E5898" s="39" t="n">
        <f aca="false">$C$5869*E5892+$C$5873*E5893+$C$5877*E5894</f>
        <v>843.03944704</v>
      </c>
      <c r="F5898" s="39" t="n">
        <f aca="false">$C$5869*F5892+$C$5873*F5893+$C$5877*F5894</f>
        <v>843.03944704</v>
      </c>
      <c r="G5898" s="39" t="n">
        <f aca="false">$C$5869*G5892+$C$5873*G5893+$C$5877*G5894</f>
        <v>1149.32798176</v>
      </c>
      <c r="H5898" s="39" t="n">
        <f aca="false">$C$5869*H5892+$C$5873*H5893+$C$5877*H5894</f>
        <v>1455.61651648</v>
      </c>
      <c r="I5898" s="39" t="n">
        <f aca="false">$C$5869*I5892+$C$5873*I5893+$C$5877*I5894</f>
        <v>2486.00303616</v>
      </c>
      <c r="J5898" s="39" t="n">
        <f aca="false">$C$5869*J5892+$C$5873*J5893+$C$5877*J5894</f>
        <v>3516.38955584</v>
      </c>
      <c r="K5898" s="39" t="n">
        <f aca="false">$C$5869*K5892+$C$5873*K5893+$C$5877*K5894</f>
        <v>3516.38955584</v>
      </c>
      <c r="L5898" s="39" t="n">
        <f aca="false">$C$5869*L5892+$C$5873*L5893+$C$5877*L5894</f>
        <v>3516.38955584</v>
      </c>
      <c r="M5898" s="39" t="n">
        <f aca="false">$C$5869*M5892+$C$5873*M5893+$C$5877*M5894</f>
        <v>3516.38955584</v>
      </c>
      <c r="N5898" s="39" t="n">
        <f aca="false">$C$5869*N5892+$C$5873*N5893+$C$5877*N5894</f>
        <v>3516.38955584</v>
      </c>
      <c r="P5898" s="40" t="n">
        <f aca="false">F5898</f>
        <v>843.03944704</v>
      </c>
      <c r="Q5898" s="40" t="n">
        <f aca="false">J5898</f>
        <v>3516.38955584</v>
      </c>
      <c r="R5898" s="40" t="n">
        <f aca="false">N5898</f>
        <v>3516.38955584</v>
      </c>
      <c r="S5898" s="41" t="n">
        <f aca="false">R5898</f>
        <v>3516.38955584</v>
      </c>
    </row>
    <row r="5899" customFormat="false" ht="15" hidden="false" customHeight="false" outlineLevel="0" collapsed="false">
      <c r="A5899" s="4" t="s">
        <v>486</v>
      </c>
      <c r="B5899" s="36" t="s">
        <v>485</v>
      </c>
      <c r="C5899" s="39" t="n">
        <f aca="false">$C$5870*C5892+$C$5874*C5893+$C$5878*C5894</f>
        <v>105.59808</v>
      </c>
      <c r="D5899" s="39" t="n">
        <f aca="false">$C$5870*D5892+$C$5874*D5893+$C$5878*D5894</f>
        <v>211.19616</v>
      </c>
      <c r="E5899" s="39" t="n">
        <f aca="false">$C$5870*E5892+$C$5874*E5893+$C$5878*E5894</f>
        <v>211.19616</v>
      </c>
      <c r="F5899" s="39" t="n">
        <f aca="false">$C$5870*F5892+$C$5874*F5893+$C$5878*F5894</f>
        <v>211.19616</v>
      </c>
      <c r="G5899" s="39" t="n">
        <f aca="false">$C$5870*G5892+$C$5874*G5893+$C$5878*G5894</f>
        <v>282.24672</v>
      </c>
      <c r="H5899" s="39" t="n">
        <f aca="false">$C$5870*H5892+$C$5874*H5893+$C$5878*H5894</f>
        <v>353.29728</v>
      </c>
      <c r="I5899" s="39" t="n">
        <f aca="false">$C$5870*I5892+$C$5874*I5893+$C$5878*I5894</f>
        <v>567.53536</v>
      </c>
      <c r="J5899" s="39" t="n">
        <f aca="false">$C$5870*J5892+$C$5874*J5893+$C$5878*J5894</f>
        <v>781.77344</v>
      </c>
      <c r="K5899" s="39" t="n">
        <f aca="false">$C$5870*K5892+$C$5874*K5893+$C$5878*K5894</f>
        <v>781.77344</v>
      </c>
      <c r="L5899" s="39" t="n">
        <f aca="false">$C$5870*L5892+$C$5874*L5893+$C$5878*L5894</f>
        <v>781.77344</v>
      </c>
      <c r="M5899" s="39" t="n">
        <f aca="false">$C$5870*M5892+$C$5874*M5893+$C$5878*M5894</f>
        <v>781.77344</v>
      </c>
      <c r="N5899" s="39" t="n">
        <f aca="false">$C$5870*N5892+$C$5874*N5893+$C$5878*N5894</f>
        <v>781.77344</v>
      </c>
      <c r="P5899" s="40" t="n">
        <f aca="false">F5899</f>
        <v>211.19616</v>
      </c>
      <c r="Q5899" s="40" t="n">
        <f aca="false">J5899</f>
        <v>781.77344</v>
      </c>
      <c r="R5899" s="40" t="n">
        <f aca="false">N5899</f>
        <v>781.77344</v>
      </c>
      <c r="S5899" s="41" t="n">
        <f aca="false">R5899</f>
        <v>781.77344</v>
      </c>
    </row>
    <row r="5900" customFormat="false" ht="15" hidden="false" customHeight="false" outlineLevel="0" collapsed="false">
      <c r="A5900" s="4" t="s">
        <v>487</v>
      </c>
      <c r="B5900" s="36" t="s">
        <v>485</v>
      </c>
      <c r="C5900" s="39" t="n">
        <f aca="false">$C$5871*C5892+$C$5875*C5893+$C$5879*C5894</f>
        <v>24.76992</v>
      </c>
      <c r="D5900" s="39" t="n">
        <f aca="false">$C$5871*D5892+$C$5875*D5893+$C$5879*D5894</f>
        <v>49.53984</v>
      </c>
      <c r="E5900" s="39" t="n">
        <f aca="false">$C$5871*E5892+$C$5875*E5893+$C$5879*E5894</f>
        <v>49.53984</v>
      </c>
      <c r="F5900" s="39" t="n">
        <f aca="false">$C$5871*F5892+$C$5875*F5893+$C$5879*F5894</f>
        <v>49.53984</v>
      </c>
      <c r="G5900" s="39" t="n">
        <f aca="false">$C$5871*G5892+$C$5875*G5893+$C$5879*G5894</f>
        <v>61.9248</v>
      </c>
      <c r="H5900" s="39" t="n">
        <f aca="false">$C$5871*H5892+$C$5875*H5893+$C$5879*H5894</f>
        <v>74.30976</v>
      </c>
      <c r="I5900" s="39" t="n">
        <f aca="false">$C$5871*I5892+$C$5875*I5893+$C$5879*I5894</f>
        <v>114.072</v>
      </c>
      <c r="J5900" s="39" t="n">
        <f aca="false">$C$5871*J5892+$C$5875*J5893+$C$5879*J5894</f>
        <v>153.83424</v>
      </c>
      <c r="K5900" s="39" t="n">
        <f aca="false">$C$5871*K5892+$C$5875*K5893+$C$5879*K5894</f>
        <v>153.83424</v>
      </c>
      <c r="L5900" s="39" t="n">
        <f aca="false">$C$5871*L5892+$C$5875*L5893+$C$5879*L5894</f>
        <v>153.83424</v>
      </c>
      <c r="M5900" s="39" t="n">
        <f aca="false">$C$5871*M5892+$C$5875*M5893+$C$5879*M5894</f>
        <v>153.83424</v>
      </c>
      <c r="N5900" s="39" t="n">
        <f aca="false">$C$5871*N5892+$C$5875*N5893+$C$5879*N5894</f>
        <v>153.83424</v>
      </c>
      <c r="P5900" s="40" t="n">
        <f aca="false">F5900</f>
        <v>49.53984</v>
      </c>
      <c r="Q5900" s="40" t="n">
        <f aca="false">J5900</f>
        <v>153.83424</v>
      </c>
      <c r="R5900" s="40" t="n">
        <f aca="false">N5900</f>
        <v>153.83424</v>
      </c>
      <c r="S5900" s="41" t="n">
        <f aca="false">R5900</f>
        <v>153.83424</v>
      </c>
    </row>
    <row r="5901" customFormat="false" ht="15" hidden="false" customHeight="false" outlineLevel="0" collapsed="false">
      <c r="A5901" s="4" t="s">
        <v>488</v>
      </c>
      <c r="B5901" s="36" t="s">
        <v>485</v>
      </c>
      <c r="C5901" s="39" t="n">
        <f aca="false">C5898+C5899+C5900</f>
        <v>551.88772352</v>
      </c>
      <c r="D5901" s="39" t="n">
        <f aca="false">D5898+D5899+D5900</f>
        <v>1103.77544704</v>
      </c>
      <c r="E5901" s="39" t="n">
        <f aca="false">E5898+E5899+E5900</f>
        <v>1103.77544704</v>
      </c>
      <c r="F5901" s="39" t="n">
        <f aca="false">F5898+F5899+F5900</f>
        <v>1103.77544704</v>
      </c>
      <c r="G5901" s="39" t="n">
        <f aca="false">G5898+G5899+G5900</f>
        <v>1493.49950176</v>
      </c>
      <c r="H5901" s="39" t="n">
        <f aca="false">H5898+H5899+H5900</f>
        <v>1883.22355648</v>
      </c>
      <c r="I5901" s="39" t="n">
        <f aca="false">I5898+I5899+I5900</f>
        <v>3167.61039616</v>
      </c>
      <c r="J5901" s="39" t="n">
        <f aca="false">J5898+J5899+J5900</f>
        <v>4451.99723584</v>
      </c>
      <c r="K5901" s="39" t="n">
        <f aca="false">K5898+K5899+K5900</f>
        <v>4451.99723584</v>
      </c>
      <c r="L5901" s="39" t="n">
        <f aca="false">L5898+L5899+L5900</f>
        <v>4451.99723584</v>
      </c>
      <c r="M5901" s="39" t="n">
        <f aca="false">M5898+M5899+M5900</f>
        <v>4451.99723584</v>
      </c>
      <c r="N5901" s="39" t="n">
        <f aca="false">N5898+N5899+N5900</f>
        <v>4451.99723584</v>
      </c>
      <c r="P5901" s="40" t="n">
        <f aca="false">F5901</f>
        <v>1103.77544704</v>
      </c>
      <c r="Q5901" s="40" t="n">
        <f aca="false">J5901</f>
        <v>4451.99723584</v>
      </c>
      <c r="R5901" s="40" t="n">
        <f aca="false">N5901</f>
        <v>4451.99723584</v>
      </c>
      <c r="S5901" s="41" t="n">
        <f aca="false">R5901</f>
        <v>4451.99723584</v>
      </c>
    </row>
    <row r="5902" customFormat="false" ht="15" hidden="false" customHeight="false" outlineLevel="0" collapsed="false">
      <c r="A5902" s="4" t="s">
        <v>489</v>
      </c>
      <c r="B5902" s="36" t="s">
        <v>485</v>
      </c>
      <c r="C5902" s="39" t="n">
        <f aca="false">$C$5872*C5892*C5895+$C$5876*C5893*C5896+$C$5880*C5894*C5897</f>
        <v>551.88772352</v>
      </c>
      <c r="D5902" s="39" t="n">
        <f aca="false">$C$5872*D5892*D5895+$C$5876*D5893*D5896+$C$5880*D5894*D5897</f>
        <v>1027.17879437302</v>
      </c>
      <c r="E5902" s="39" t="n">
        <f aca="false">$C$5872*E5892*E5895+$C$5876*E5893*E5896+$C$5880*E5894*E5897</f>
        <v>955.897577210165</v>
      </c>
      <c r="F5902" s="39" t="n">
        <f aca="false">$C$5872*F5892*F5895+$C$5876*F5893*F5896+$C$5880*F5894*F5897</f>
        <v>889.562930155704</v>
      </c>
      <c r="G5902" s="39" t="n">
        <f aca="false">$C$5872*G5892*G5895+$C$5876*G5893*G5896+$C$5880*G5894*G5897</f>
        <v>1217.55564</v>
      </c>
      <c r="H5902" s="39" t="n">
        <f aca="false">$C$5872*H5892*H5895+$C$5876*H5893*H5896+$C$5880*H5894*H5897</f>
        <v>1495.74229384257</v>
      </c>
      <c r="I5902" s="39" t="n">
        <f aca="false">$C$5872*I5892*I5895+$C$5876*I5893*I5896+$C$5880*I5894*I5897</f>
        <v>2676.33188629442</v>
      </c>
      <c r="J5902" s="39" t="n">
        <f aca="false">$C$5872*J5892*J5895+$C$5876*J5893*J5896+$C$5880*J5894*J5897</f>
        <v>3685.86409192847</v>
      </c>
      <c r="K5902" s="39" t="n">
        <f aca="false">$C$5872*K5892*K5895+$C$5876*K5893*K5896+$C$5880*K5894*K5897</f>
        <v>3430.08303393858</v>
      </c>
      <c r="L5902" s="39" t="n">
        <f aca="false">$C$5872*L5892*L5895+$C$5876*L5893*L5896+$C$5880*L5894*L5897</f>
        <v>3192.05193850692</v>
      </c>
      <c r="M5902" s="39" t="n">
        <f aca="false">$C$5872*M5892*M5895+$C$5876*M5893*M5896+$C$5880*M5894*M5897</f>
        <v>2970.53904448081</v>
      </c>
      <c r="N5902" s="39" t="n">
        <f aca="false">$C$5872*N5892*N5895+$C$5876*N5893*N5896+$C$5880*N5894*N5897</f>
        <v>2764.39806894635</v>
      </c>
      <c r="P5902" s="40"/>
      <c r="Q5902" s="40"/>
      <c r="R5902" s="40"/>
      <c r="S5902" s="41"/>
    </row>
    <row r="5903" customFormat="false" ht="15" hidden="false" customHeight="false" outlineLevel="0" collapsed="false">
      <c r="A5903" s="4" t="s">
        <v>490</v>
      </c>
      <c r="B5903" s="36" t="s">
        <v>491</v>
      </c>
      <c r="C5903" s="48" t="n">
        <f aca="false">$C$5884*Assumptions!$E$20*C5891*C5902</f>
        <v>6.62265268224</v>
      </c>
      <c r="D5903" s="48" t="n">
        <f aca="false">$C$5884*Assumptions!$E$20*D5891*D5902</f>
        <v>12.3261455324762</v>
      </c>
      <c r="E5903" s="48" t="n">
        <f aca="false">$C$5884*Assumptions!$E$20*E5891*E5902</f>
        <v>11.470770926522</v>
      </c>
      <c r="F5903" s="48" t="n">
        <f aca="false">$C$5884*Assumptions!$E$20*F5891*F5902</f>
        <v>10.6747551618685</v>
      </c>
      <c r="G5903" s="48" t="n">
        <f aca="false">$C$5884*Assumptions!$E$20*G5891*G5902</f>
        <v>14.61066768</v>
      </c>
      <c r="H5903" s="48" t="n">
        <f aca="false">$C$5884*Assumptions!$E$20*H5891*H5902</f>
        <v>17.9489075261109</v>
      </c>
      <c r="I5903" s="48" t="n">
        <f aca="false">$C$5884*Assumptions!$E$20*I5891*I5902</f>
        <v>32.115982635533</v>
      </c>
      <c r="J5903" s="48" t="n">
        <f aca="false">$C$5884*Assumptions!$E$20*J5891*J5902</f>
        <v>44.2303691031417</v>
      </c>
      <c r="K5903" s="48" t="n">
        <f aca="false">$C$5884*Assumptions!$E$20*K5891*K5902</f>
        <v>41.160996407263</v>
      </c>
      <c r="L5903" s="48" t="n">
        <f aca="false">$C$5884*Assumptions!$E$20*L5891*L5902</f>
        <v>38.304623262083</v>
      </c>
      <c r="M5903" s="48" t="n">
        <f aca="false">$C$5884*Assumptions!$E$20*M5891*M5902</f>
        <v>35.6464685337698</v>
      </c>
      <c r="N5903" s="48" t="n">
        <f aca="false">$C$5884*Assumptions!$E$20*N5891*N5902</f>
        <v>33.1727768273562</v>
      </c>
      <c r="P5903" s="49" t="n">
        <f aca="false">SUM(C5903:F5903)</f>
        <v>41.0943243031066</v>
      </c>
      <c r="Q5903" s="49" t="n">
        <f aca="false">SUM(G5903:J5903)</f>
        <v>108.905926944786</v>
      </c>
      <c r="R5903" s="49" t="n">
        <f aca="false">SUM(K5903:N5903)</f>
        <v>148.284865030472</v>
      </c>
      <c r="S5903" s="50" t="n">
        <f aca="false">SUM(P5903:R5903)</f>
        <v>298.285116278364</v>
      </c>
    </row>
    <row r="5904" customFormat="false" ht="15" hidden="false" customHeight="false" outlineLevel="0" collapsed="false">
      <c r="A5904" s="4" t="s">
        <v>492</v>
      </c>
      <c r="B5904" s="36" t="s">
        <v>321</v>
      </c>
      <c r="C5904" s="48" t="n">
        <f aca="false">Assumptions!$D$111</f>
        <v>0</v>
      </c>
      <c r="D5904" s="48" t="n">
        <f aca="false">Assumptions!$E$111</f>
        <v>0</v>
      </c>
      <c r="E5904" s="48" t="n">
        <f aca="false">Assumptions!$F$111</f>
        <v>0</v>
      </c>
      <c r="F5904" s="48" t="n">
        <f aca="false">Assumptions!$G$111</f>
        <v>0</v>
      </c>
      <c r="G5904" s="48" t="n">
        <f aca="false">Assumptions!$H$111</f>
        <v>0</v>
      </c>
      <c r="H5904" s="48" t="n">
        <f aca="false">Assumptions!$I$111</f>
        <v>0</v>
      </c>
      <c r="I5904" s="48" t="n">
        <f aca="false">Assumptions!$J$111</f>
        <v>0</v>
      </c>
      <c r="J5904" s="48" t="n">
        <f aca="false">Assumptions!$K$111</f>
        <v>0</v>
      </c>
      <c r="K5904" s="48" t="n">
        <f aca="false">Assumptions!$L$111</f>
        <v>0</v>
      </c>
      <c r="L5904" s="48" t="n">
        <f aca="false">Assumptions!$M$111</f>
        <v>0</v>
      </c>
      <c r="M5904" s="48" t="n">
        <f aca="false">Assumptions!$N$111</f>
        <v>0</v>
      </c>
      <c r="N5904" s="48" t="n">
        <f aca="false">Assumptions!$O$111</f>
        <v>0</v>
      </c>
      <c r="P5904" s="49" t="n">
        <f aca="false">F5904</f>
        <v>0</v>
      </c>
      <c r="Q5904" s="49" t="n">
        <f aca="false">J5904</f>
        <v>0</v>
      </c>
      <c r="R5904" s="49" t="n">
        <f aca="false">N5904</f>
        <v>0</v>
      </c>
      <c r="S5904" s="50" t="n">
        <f aca="false">R5904</f>
        <v>0</v>
      </c>
    </row>
    <row r="5905" customFormat="false" ht="15" hidden="false" customHeight="false" outlineLevel="0" collapsed="false">
      <c r="A5905" s="4" t="s">
        <v>493</v>
      </c>
      <c r="B5905" s="36" t="s">
        <v>321</v>
      </c>
      <c r="C5905" s="48" t="n">
        <f aca="false">0</f>
        <v>0</v>
      </c>
      <c r="D5905" s="48" t="n">
        <f aca="false">0.5*C5904</f>
        <v>0</v>
      </c>
      <c r="E5905" s="48" t="n">
        <f aca="false">C5904+0.5*(D5904-C5904)</f>
        <v>0</v>
      </c>
      <c r="F5905" s="48" t="n">
        <f aca="false">D5904+0.5*(E5904-D5904)</f>
        <v>0</v>
      </c>
      <c r="G5905" s="48" t="n">
        <f aca="false">E5904+0.5*(F5904-E5904)</f>
        <v>0</v>
      </c>
      <c r="H5905" s="48" t="n">
        <f aca="false">F5904+0.5*(G5904-F5904)</f>
        <v>0</v>
      </c>
      <c r="I5905" s="48" t="n">
        <f aca="false">G5904+0.5*(H5904-G5904)</f>
        <v>0</v>
      </c>
      <c r="J5905" s="48" t="n">
        <f aca="false">H5904+0.5*(I5904-H5904)</f>
        <v>0</v>
      </c>
      <c r="K5905" s="48" t="n">
        <f aca="false">I5904+0.5*(J5904-I5904)</f>
        <v>0</v>
      </c>
      <c r="L5905" s="48" t="n">
        <f aca="false">J5904+0.5*(K5904-J5904)</f>
        <v>0</v>
      </c>
      <c r="M5905" s="48" t="n">
        <f aca="false">K5904+0.5*(L5904-K5904)</f>
        <v>0</v>
      </c>
      <c r="N5905" s="48" t="n">
        <f aca="false">L5904+0.5*(M5904-L5904)</f>
        <v>0</v>
      </c>
      <c r="P5905" s="49" t="n">
        <f aca="false">F5905</f>
        <v>0</v>
      </c>
      <c r="Q5905" s="49" t="n">
        <f aca="false">J5905</f>
        <v>0</v>
      </c>
      <c r="R5905" s="49" t="n">
        <f aca="false">N5905</f>
        <v>0</v>
      </c>
      <c r="S5905" s="50" t="n">
        <f aca="false">R5905</f>
        <v>0</v>
      </c>
    </row>
    <row r="5906" customFormat="false" ht="15" hidden="false" customHeight="false" outlineLevel="0" collapsed="false">
      <c r="A5906" s="4" t="s">
        <v>494</v>
      </c>
      <c r="B5906" s="36" t="s">
        <v>485</v>
      </c>
      <c r="C5906" s="39" t="n">
        <f aca="false">MIN(C5905*Assumptions!$E$38,C5901*(1-$C$5884))</f>
        <v>0</v>
      </c>
      <c r="D5906" s="39" t="n">
        <f aca="false">MIN(D5905*Assumptions!$E$38,D5901*(1-$C$5884))</f>
        <v>0</v>
      </c>
      <c r="E5906" s="39" t="n">
        <f aca="false">MIN(E5905*Assumptions!$E$38,E5901*(1-$C$5884))</f>
        <v>0</v>
      </c>
      <c r="F5906" s="39" t="n">
        <f aca="false">MIN(F5905*Assumptions!$E$38,F5901*(1-$C$5884))</f>
        <v>0</v>
      </c>
      <c r="G5906" s="39" t="n">
        <f aca="false">MIN(G5905*Assumptions!$E$38,G5901*(1-$C$5884))</f>
        <v>0</v>
      </c>
      <c r="H5906" s="39" t="n">
        <f aca="false">MIN(H5905*Assumptions!$E$38,H5901*(1-$C$5884))</f>
        <v>0</v>
      </c>
      <c r="I5906" s="39" t="n">
        <f aca="false">MIN(I5905*Assumptions!$E$38,I5901*(1-$C$5884))</f>
        <v>0</v>
      </c>
      <c r="J5906" s="39" t="n">
        <f aca="false">MIN(J5905*Assumptions!$E$38,J5901*(1-$C$5884))</f>
        <v>0</v>
      </c>
      <c r="K5906" s="39" t="n">
        <f aca="false">MIN(K5905*Assumptions!$E$38,K5901*(1-$C$5884))</f>
        <v>0</v>
      </c>
      <c r="L5906" s="39" t="n">
        <f aca="false">MIN(L5905*Assumptions!$E$38,L5901*(1-$C$5884))</f>
        <v>0</v>
      </c>
      <c r="M5906" s="39" t="n">
        <f aca="false">MIN(M5905*Assumptions!$E$38,M5901*(1-$C$5884))</f>
        <v>0</v>
      </c>
      <c r="N5906" s="39" t="n">
        <f aca="false">MIN(N5905*Assumptions!$E$38,N5901*(1-$C$5884))</f>
        <v>0</v>
      </c>
      <c r="P5906" s="40" t="n">
        <f aca="false">SUM(C5906:F5906)</f>
        <v>0</v>
      </c>
      <c r="Q5906" s="40" t="n">
        <f aca="false">SUM(G5906:J5906)</f>
        <v>0</v>
      </c>
      <c r="R5906" s="40" t="n">
        <f aca="false">SUM(K5906:N5906)</f>
        <v>0</v>
      </c>
      <c r="S5906" s="41" t="n">
        <f aca="false">SUM(P5906:R5906)</f>
        <v>0</v>
      </c>
    </row>
    <row r="5907" customFormat="false" ht="15" hidden="false" customHeight="false" outlineLevel="0" collapsed="false">
      <c r="A5907" s="4" t="s">
        <v>495</v>
      </c>
      <c r="B5907" s="36" t="s">
        <v>491</v>
      </c>
      <c r="C5907" s="48" t="n">
        <f aca="false">C5906*Assumptions!$E$20*Assumptions!$E$39*IF(C5901&gt;0,C5902/C5901,0)*C5891</f>
        <v>0</v>
      </c>
      <c r="D5907" s="48" t="n">
        <f aca="false">D5906*Assumptions!$E$20*Assumptions!$E$39*IF(D5901&gt;0,D5902/D5901,0)*D5891</f>
        <v>0</v>
      </c>
      <c r="E5907" s="48" t="n">
        <f aca="false">E5906*Assumptions!$E$20*Assumptions!$E$39*IF(E5901&gt;0,E5902/E5901,0)*E5891</f>
        <v>0</v>
      </c>
      <c r="F5907" s="48" t="n">
        <f aca="false">F5906*Assumptions!$E$20*Assumptions!$E$39*IF(F5901&gt;0,F5902/F5901,0)*F5891</f>
        <v>0</v>
      </c>
      <c r="G5907" s="48" t="n">
        <f aca="false">G5906*Assumptions!$E$20*Assumptions!$E$39*IF(G5901&gt;0,G5902/G5901,0)*G5891</f>
        <v>0</v>
      </c>
      <c r="H5907" s="48" t="n">
        <f aca="false">H5906*Assumptions!$E$20*Assumptions!$E$39*IF(H5901&gt;0,H5902/H5901,0)*H5891</f>
        <v>0</v>
      </c>
      <c r="I5907" s="48" t="n">
        <f aca="false">I5906*Assumptions!$E$20*Assumptions!$E$39*IF(I5901&gt;0,I5902/I5901,0)*I5891</f>
        <v>0</v>
      </c>
      <c r="J5907" s="48" t="n">
        <f aca="false">J5906*Assumptions!$E$20*Assumptions!$E$39*IF(J5901&gt;0,J5902/J5901,0)*J5891</f>
        <v>0</v>
      </c>
      <c r="K5907" s="48" t="n">
        <f aca="false">K5906*Assumptions!$E$20*Assumptions!$E$39*IF(K5901&gt;0,K5902/K5901,0)*K5891</f>
        <v>0</v>
      </c>
      <c r="L5907" s="48" t="n">
        <f aca="false">L5906*Assumptions!$E$20*Assumptions!$E$39*IF(L5901&gt;0,L5902/L5901,0)*L5891</f>
        <v>0</v>
      </c>
      <c r="M5907" s="48" t="n">
        <f aca="false">M5906*Assumptions!$E$20*Assumptions!$E$39*IF(M5901&gt;0,M5902/M5901,0)*M5891</f>
        <v>0</v>
      </c>
      <c r="N5907" s="48" t="n">
        <f aca="false">N5906*Assumptions!$E$20*Assumptions!$E$39*IF(N5901&gt;0,N5902/N5901,0)*N5891</f>
        <v>0</v>
      </c>
      <c r="P5907" s="49" t="n">
        <f aca="false">SUM(C5907:F5907)</f>
        <v>0</v>
      </c>
      <c r="Q5907" s="49" t="n">
        <f aca="false">SUM(G5907:J5907)</f>
        <v>0</v>
      </c>
      <c r="R5907" s="49" t="n">
        <f aca="false">SUM(K5907:N5907)</f>
        <v>0</v>
      </c>
      <c r="S5907" s="50" t="n">
        <f aca="false">SUM(P5907:R5907)</f>
        <v>0</v>
      </c>
    </row>
    <row r="5908" customFormat="false" ht="15" hidden="false" customHeight="false" outlineLevel="0" collapsed="false">
      <c r="A5908" s="4" t="s">
        <v>496</v>
      </c>
      <c r="B5908" s="36" t="s">
        <v>497</v>
      </c>
      <c r="C5908" s="48" t="n">
        <f aca="false">IF(AND(C5901&gt;0,$C$5888&gt;0),C5901*Assumptions!$E$24*(1-EXP(-$C$5888/(Assumptions!$E$23*C5901*Assumptions!$E$24))),0)</f>
        <v>0</v>
      </c>
      <c r="D5908" s="48" t="n">
        <f aca="false">IF(AND(D5901&gt;0,$C$5888&gt;0),D5901*Assumptions!$E$24*(1-EXP(-$C$5888/(Assumptions!$E$23*D5901*Assumptions!$E$24))),0)</f>
        <v>0</v>
      </c>
      <c r="E5908" s="48" t="n">
        <f aca="false">IF(AND(E5901&gt;0,$C$5888&gt;0),E5901*Assumptions!$E$24*(1-EXP(-$C$5888/(Assumptions!$E$23*E5901*Assumptions!$E$24))),0)</f>
        <v>0</v>
      </c>
      <c r="F5908" s="48" t="n">
        <f aca="false">IF(AND(F5901&gt;0,$C$5888&gt;0),F5901*Assumptions!$E$24*(1-EXP(-$C$5888/(Assumptions!$E$23*F5901*Assumptions!$E$24))),0)</f>
        <v>0</v>
      </c>
      <c r="G5908" s="48" t="n">
        <f aca="false">IF(AND(G5901&gt;0,$C$5888&gt;0),G5901*Assumptions!$E$24*(1-EXP(-$C$5888/(Assumptions!$E$23*G5901*Assumptions!$E$24))),0)</f>
        <v>0</v>
      </c>
      <c r="H5908" s="48" t="n">
        <f aca="false">IF(AND(H5901&gt;0,$C$5888&gt;0),H5901*Assumptions!$E$24*(1-EXP(-$C$5888/(Assumptions!$E$23*H5901*Assumptions!$E$24))),0)</f>
        <v>0</v>
      </c>
      <c r="I5908" s="48" t="n">
        <f aca="false">IF(AND(I5901&gt;0,$C$5888&gt;0),I5901*Assumptions!$E$24*(1-EXP(-$C$5888/(Assumptions!$E$23*I5901*Assumptions!$E$24))),0)</f>
        <v>0</v>
      </c>
      <c r="J5908" s="48" t="n">
        <f aca="false">IF(AND(J5901&gt;0,$C$5888&gt;0),J5901*Assumptions!$E$24*(1-EXP(-$C$5888/(Assumptions!$E$23*J5901*Assumptions!$E$24))),0)</f>
        <v>0</v>
      </c>
      <c r="K5908" s="48" t="n">
        <f aca="false">IF(AND(K5901&gt;0,$C$5888&gt;0),K5901*Assumptions!$E$24*(1-EXP(-$C$5888/(Assumptions!$E$23*K5901*Assumptions!$E$24))),0)</f>
        <v>0</v>
      </c>
      <c r="L5908" s="48" t="n">
        <f aca="false">IF(AND(L5901&gt;0,$C$5888&gt;0),L5901*Assumptions!$E$24*(1-EXP(-$C$5888/(Assumptions!$E$23*L5901*Assumptions!$E$24))),0)</f>
        <v>0</v>
      </c>
      <c r="M5908" s="48" t="n">
        <f aca="false">IF(AND(M5901&gt;0,$C$5888&gt;0),M5901*Assumptions!$E$24*(1-EXP(-$C$5888/(Assumptions!$E$23*M5901*Assumptions!$E$24))),0)</f>
        <v>0</v>
      </c>
      <c r="N5908" s="48" t="n">
        <f aca="false">IF(AND(N5901&gt;0,$C$5888&gt;0),N5901*Assumptions!$E$24*(1-EXP(-$C$5888/(Assumptions!$E$23*N5901*Assumptions!$E$24))),0)</f>
        <v>0</v>
      </c>
      <c r="P5908" s="49" t="n">
        <f aca="false">SUM(C5908:F5908)</f>
        <v>0</v>
      </c>
      <c r="Q5908" s="49" t="n">
        <f aca="false">SUM(G5908:J5908)</f>
        <v>0</v>
      </c>
      <c r="R5908" s="49" t="n">
        <f aca="false">SUM(K5908:N5908)</f>
        <v>0</v>
      </c>
      <c r="S5908" s="50" t="n">
        <f aca="false">SUM(P5908:R5908)</f>
        <v>0</v>
      </c>
    </row>
    <row r="5909" customFormat="false" ht="15" hidden="false" customHeight="false" outlineLevel="0" collapsed="false">
      <c r="A5909" s="4" t="s">
        <v>498</v>
      </c>
      <c r="B5909" s="36" t="s">
        <v>497</v>
      </c>
      <c r="C5909" s="48" t="n">
        <f aca="false">(C5901*Assumptions!$E$22*MIN(1,Assumptions!$D$103/Assumptions!$E$78)+C5908)*C5891</f>
        <v>5.5188772352</v>
      </c>
      <c r="D5909" s="48" t="n">
        <f aca="false">(D5901*Assumptions!$E$22*MIN(1,Assumptions!$D$103/Assumptions!$E$78)+D5908)*D5891</f>
        <v>11.0377544704</v>
      </c>
      <c r="E5909" s="48" t="n">
        <f aca="false">(E5901*Assumptions!$E$22*MIN(1,Assumptions!$D$103/Assumptions!$E$78)+E5908)*E5891</f>
        <v>11.0377544704</v>
      </c>
      <c r="F5909" s="48" t="n">
        <f aca="false">(F5901*Assumptions!$E$22*MIN(1,Assumptions!$D$103/Assumptions!$E$78)+F5908)*F5891</f>
        <v>11.0377544704</v>
      </c>
      <c r="G5909" s="48" t="n">
        <f aca="false">(G5901*Assumptions!$E$22*MIN(1,Assumptions!$D$103/Assumptions!$E$78)+G5908)*G5891</f>
        <v>14.9349950176</v>
      </c>
      <c r="H5909" s="48" t="n">
        <f aca="false">(H5901*Assumptions!$E$22*MIN(1,Assumptions!$D$103/Assumptions!$E$78)+H5908)*H5891</f>
        <v>18.8322355648</v>
      </c>
      <c r="I5909" s="48" t="n">
        <f aca="false">(I5901*Assumptions!$E$22*MIN(1,Assumptions!$D$103/Assumptions!$E$78)+I5908)*I5891</f>
        <v>31.6761039616</v>
      </c>
      <c r="J5909" s="48" t="n">
        <f aca="false">(J5901*Assumptions!$E$22*MIN(1,Assumptions!$D$103/Assumptions!$E$78)+J5908)*J5891</f>
        <v>44.5199723584</v>
      </c>
      <c r="K5909" s="48" t="n">
        <f aca="false">(K5901*Assumptions!$E$22*MIN(1,Assumptions!$D$103/Assumptions!$E$78)+K5908)*K5891</f>
        <v>44.5199723584</v>
      </c>
      <c r="L5909" s="48" t="n">
        <f aca="false">(L5901*Assumptions!$E$22*MIN(1,Assumptions!$D$103/Assumptions!$E$78)+L5908)*L5891</f>
        <v>44.5199723584</v>
      </c>
      <c r="M5909" s="48" t="n">
        <f aca="false">(M5901*Assumptions!$E$22*MIN(1,Assumptions!$D$103/Assumptions!$E$78)+M5908)*M5891</f>
        <v>44.5199723584</v>
      </c>
      <c r="N5909" s="48" t="n">
        <f aca="false">(N5901*Assumptions!$E$22*MIN(1,Assumptions!$D$103/Assumptions!$E$78)+N5908)*N5891</f>
        <v>44.5199723584</v>
      </c>
      <c r="P5909" s="49" t="n">
        <f aca="false">SUM(C5909:F5909)</f>
        <v>38.6321406464</v>
      </c>
      <c r="Q5909" s="49" t="n">
        <f aca="false">SUM(G5909:J5909)</f>
        <v>109.9633069024</v>
      </c>
      <c r="R5909" s="49" t="n">
        <f aca="false">SUM(K5909:N5909)</f>
        <v>178.0798894336</v>
      </c>
      <c r="S5909" s="50" t="n">
        <f aca="false">SUM(P5909:R5909)</f>
        <v>326.6753369824</v>
      </c>
    </row>
    <row r="5910" customFormat="false" ht="15" hidden="false" customHeight="false" outlineLevel="0" collapsed="false">
      <c r="A5910" s="4" t="s">
        <v>499</v>
      </c>
      <c r="B5910" s="36" t="s">
        <v>500</v>
      </c>
      <c r="C5910" s="48" t="n">
        <f aca="false">C5891*MIN(Assumptions!$E$27,Assumptions!$E$25+Assumptions!$E$26*(C5890-1))*Assumptions!$D$107</f>
        <v>2</v>
      </c>
      <c r="D5910" s="48" t="n">
        <f aca="false">D5891*MIN(Assumptions!$E$27,Assumptions!$E$25+Assumptions!$E$26*(D5890-1))*Assumptions!$D$107</f>
        <v>3</v>
      </c>
      <c r="E5910" s="48" t="n">
        <f aca="false">E5891*MIN(Assumptions!$E$27,Assumptions!$E$25+Assumptions!$E$26*(E5890-1))*Assumptions!$D$107</f>
        <v>4</v>
      </c>
      <c r="F5910" s="48" t="n">
        <f aca="false">F5891*MIN(Assumptions!$E$27,Assumptions!$E$25+Assumptions!$E$26*(F5890-1))*Assumptions!$D$107</f>
        <v>5</v>
      </c>
      <c r="G5910" s="48" t="n">
        <f aca="false">G5891*MIN(Assumptions!$E$27,Assumptions!$E$25+Assumptions!$E$26*(G5890-1))*Assumptions!$D$107</f>
        <v>6</v>
      </c>
      <c r="H5910" s="48" t="n">
        <f aca="false">H5891*MIN(Assumptions!$E$27,Assumptions!$E$25+Assumptions!$E$26*(H5890-1))*Assumptions!$D$107</f>
        <v>7</v>
      </c>
      <c r="I5910" s="48" t="n">
        <f aca="false">I5891*MIN(Assumptions!$E$27,Assumptions!$E$25+Assumptions!$E$26*(I5890-1))*Assumptions!$D$107</f>
        <v>8</v>
      </c>
      <c r="J5910" s="48" t="n">
        <f aca="false">J5891*MIN(Assumptions!$E$27,Assumptions!$E$25+Assumptions!$E$26*(J5890-1))*Assumptions!$D$107</f>
        <v>9</v>
      </c>
      <c r="K5910" s="48" t="n">
        <f aca="false">K5891*MIN(Assumptions!$E$27,Assumptions!$E$25+Assumptions!$E$26*(K5890-1))*Assumptions!$D$107</f>
        <v>10</v>
      </c>
      <c r="L5910" s="48" t="n">
        <f aca="false">L5891*MIN(Assumptions!$E$27,Assumptions!$E$25+Assumptions!$E$26*(L5890-1))*Assumptions!$D$107</f>
        <v>10</v>
      </c>
      <c r="M5910" s="48" t="n">
        <f aca="false">M5891*MIN(Assumptions!$E$27,Assumptions!$E$25+Assumptions!$E$26*(M5890-1))*Assumptions!$D$107</f>
        <v>10</v>
      </c>
      <c r="N5910" s="48" t="n">
        <f aca="false">N5891*MIN(Assumptions!$E$27,Assumptions!$E$25+Assumptions!$E$26*(N5890-1))*Assumptions!$D$107</f>
        <v>10</v>
      </c>
      <c r="P5910" s="49" t="n">
        <f aca="false">F5910</f>
        <v>5</v>
      </c>
      <c r="Q5910" s="49" t="n">
        <f aca="false">J5910</f>
        <v>9</v>
      </c>
      <c r="R5910" s="49" t="n">
        <f aca="false">N5910</f>
        <v>10</v>
      </c>
      <c r="S5910" s="50" t="n">
        <f aca="false">R5910</f>
        <v>10</v>
      </c>
    </row>
    <row r="5911" customFormat="false" ht="15" hidden="false" customHeight="false" outlineLevel="0" collapsed="false">
      <c r="A5911" s="4" t="s">
        <v>501</v>
      </c>
      <c r="B5911" s="36" t="s">
        <v>502</v>
      </c>
      <c r="C5911" s="48" t="n">
        <f aca="false">C5910*Assumptions!$E$28</f>
        <v>6</v>
      </c>
      <c r="D5911" s="48" t="n">
        <f aca="false">D5910*Assumptions!$E$28</f>
        <v>9</v>
      </c>
      <c r="E5911" s="48" t="n">
        <f aca="false">E5910*Assumptions!$E$28</f>
        <v>12</v>
      </c>
      <c r="F5911" s="48" t="n">
        <f aca="false">F5910*Assumptions!$E$28</f>
        <v>15</v>
      </c>
      <c r="G5911" s="48" t="n">
        <f aca="false">G5910*Assumptions!$E$28</f>
        <v>18</v>
      </c>
      <c r="H5911" s="48" t="n">
        <f aca="false">H5910*Assumptions!$E$28</f>
        <v>21</v>
      </c>
      <c r="I5911" s="48" t="n">
        <f aca="false">I5910*Assumptions!$E$28</f>
        <v>24</v>
      </c>
      <c r="J5911" s="48" t="n">
        <f aca="false">J5910*Assumptions!$E$28</f>
        <v>27</v>
      </c>
      <c r="K5911" s="48" t="n">
        <f aca="false">K5910*Assumptions!$E$28</f>
        <v>30</v>
      </c>
      <c r="L5911" s="48" t="n">
        <f aca="false">L5910*Assumptions!$E$28</f>
        <v>30</v>
      </c>
      <c r="M5911" s="48" t="n">
        <f aca="false">M5910*Assumptions!$E$28</f>
        <v>30</v>
      </c>
      <c r="N5911" s="48" t="n">
        <f aca="false">N5910*Assumptions!$E$28</f>
        <v>30</v>
      </c>
      <c r="P5911" s="49" t="n">
        <f aca="false">SUM(C5911:F5911)</f>
        <v>42</v>
      </c>
      <c r="Q5911" s="49" t="n">
        <f aca="false">SUM(G5911:J5911)</f>
        <v>90</v>
      </c>
      <c r="R5911" s="49" t="n">
        <f aca="false">SUM(K5911:N5911)</f>
        <v>120</v>
      </c>
      <c r="S5911" s="50" t="n">
        <f aca="false">SUM(P5911:R5911)</f>
        <v>252</v>
      </c>
    </row>
    <row r="5912" customFormat="false" ht="15" hidden="false" customHeight="false" outlineLevel="0" collapsed="false">
      <c r="A5912" s="4" t="s">
        <v>503</v>
      </c>
      <c r="B5912" s="36" t="s">
        <v>504</v>
      </c>
      <c r="C5912" s="48" t="n">
        <f aca="false">(C5903+C5907)*Assumptions!$E$29</f>
        <v>2.649061072896</v>
      </c>
      <c r="D5912" s="48" t="n">
        <f aca="false">(D5903+D5907)*Assumptions!$E$29</f>
        <v>4.93045821299048</v>
      </c>
      <c r="E5912" s="48" t="n">
        <f aca="false">(E5903+E5907)*Assumptions!$E$29</f>
        <v>4.58830837060879</v>
      </c>
      <c r="F5912" s="48" t="n">
        <f aca="false">(F5903+F5907)*Assumptions!$E$29</f>
        <v>4.26990206474738</v>
      </c>
      <c r="G5912" s="48" t="n">
        <f aca="false">(G5903+G5907)*Assumptions!$E$29</f>
        <v>5.844267072</v>
      </c>
      <c r="H5912" s="48" t="n">
        <f aca="false">(H5903+H5907)*Assumptions!$E$29</f>
        <v>7.17956301044434</v>
      </c>
      <c r="I5912" s="48" t="n">
        <f aca="false">(I5903+I5907)*Assumptions!$E$29</f>
        <v>12.8463930542132</v>
      </c>
      <c r="J5912" s="48" t="n">
        <f aca="false">(J5903+J5907)*Assumptions!$E$29</f>
        <v>17.6921476412567</v>
      </c>
      <c r="K5912" s="48" t="n">
        <f aca="false">(K5903+K5907)*Assumptions!$E$29</f>
        <v>16.4643985629052</v>
      </c>
      <c r="L5912" s="48" t="n">
        <f aca="false">(L5903+L5907)*Assumptions!$E$29</f>
        <v>15.3218493048332</v>
      </c>
      <c r="M5912" s="48" t="n">
        <f aca="false">(M5903+M5907)*Assumptions!$E$29</f>
        <v>14.2585874135079</v>
      </c>
      <c r="N5912" s="48" t="n">
        <f aca="false">(N5903+N5907)*Assumptions!$E$29</f>
        <v>13.2691107309425</v>
      </c>
      <c r="P5912" s="49" t="n">
        <f aca="false">SUM(C5912:F5912)</f>
        <v>16.4377297212427</v>
      </c>
      <c r="Q5912" s="49" t="n">
        <f aca="false">SUM(G5912:J5912)</f>
        <v>43.5623707779142</v>
      </c>
      <c r="R5912" s="49" t="n">
        <f aca="false">SUM(K5912:N5912)</f>
        <v>59.3139460121888</v>
      </c>
      <c r="S5912" s="50" t="n">
        <f aca="false">SUM(P5912:R5912)</f>
        <v>119.314046511346</v>
      </c>
    </row>
    <row r="5913" customFormat="false" ht="15" hidden="false" customHeight="false" outlineLevel="0" collapsed="false">
      <c r="A5913" s="4" t="s">
        <v>505</v>
      </c>
      <c r="B5913" s="36" t="s">
        <v>504</v>
      </c>
      <c r="C5913" s="48" t="n">
        <f aca="false">C5909*Assumptions!$E$31</f>
        <v>0.883020357632</v>
      </c>
      <c r="D5913" s="48" t="n">
        <f aca="false">D5909*Assumptions!$E$31</f>
        <v>1.766040715264</v>
      </c>
      <c r="E5913" s="48" t="n">
        <f aca="false">E5909*Assumptions!$E$31</f>
        <v>1.766040715264</v>
      </c>
      <c r="F5913" s="48" t="n">
        <f aca="false">F5909*Assumptions!$E$31</f>
        <v>1.766040715264</v>
      </c>
      <c r="G5913" s="48" t="n">
        <f aca="false">G5909*Assumptions!$E$31</f>
        <v>2.389599202816</v>
      </c>
      <c r="H5913" s="48" t="n">
        <f aca="false">H5909*Assumptions!$E$31</f>
        <v>3.013157690368</v>
      </c>
      <c r="I5913" s="48" t="n">
        <f aca="false">I5909*Assumptions!$E$31</f>
        <v>5.068176633856</v>
      </c>
      <c r="J5913" s="48" t="n">
        <f aca="false">J5909*Assumptions!$E$31</f>
        <v>7.123195577344</v>
      </c>
      <c r="K5913" s="48" t="n">
        <f aca="false">K5909*Assumptions!$E$31</f>
        <v>7.123195577344</v>
      </c>
      <c r="L5913" s="48" t="n">
        <f aca="false">L5909*Assumptions!$E$31</f>
        <v>7.123195577344</v>
      </c>
      <c r="M5913" s="48" t="n">
        <f aca="false">M5909*Assumptions!$E$31</f>
        <v>7.123195577344</v>
      </c>
      <c r="N5913" s="48" t="n">
        <f aca="false">N5909*Assumptions!$E$31</f>
        <v>7.123195577344</v>
      </c>
      <c r="P5913" s="49" t="n">
        <f aca="false">SUM(C5913:F5913)</f>
        <v>6.181142503424</v>
      </c>
      <c r="Q5913" s="49" t="n">
        <f aca="false">SUM(G5913:J5913)</f>
        <v>17.594129104384</v>
      </c>
      <c r="R5913" s="49" t="n">
        <f aca="false">SUM(K5913:N5913)</f>
        <v>28.492782309376</v>
      </c>
      <c r="S5913" s="50" t="n">
        <f aca="false">SUM(P5913:R5913)</f>
        <v>52.268053917184</v>
      </c>
    </row>
    <row r="5914" customFormat="false" ht="15" hidden="false" customHeight="false" outlineLevel="0" collapsed="false">
      <c r="A5914" s="4" t="s">
        <v>506</v>
      </c>
      <c r="B5914" s="36" t="s">
        <v>504</v>
      </c>
      <c r="C5914" s="48" t="n">
        <f aca="false">C5911*Assumptions!$E$30</f>
        <v>3</v>
      </c>
      <c r="D5914" s="48" t="n">
        <f aca="false">D5911*Assumptions!$E$30</f>
        <v>4.5</v>
      </c>
      <c r="E5914" s="48" t="n">
        <f aca="false">E5911*Assumptions!$E$30</f>
        <v>6</v>
      </c>
      <c r="F5914" s="48" t="n">
        <f aca="false">F5911*Assumptions!$E$30</f>
        <v>7.5</v>
      </c>
      <c r="G5914" s="48" t="n">
        <f aca="false">G5911*Assumptions!$E$30</f>
        <v>9</v>
      </c>
      <c r="H5914" s="48" t="n">
        <f aca="false">H5911*Assumptions!$E$30</f>
        <v>10.5</v>
      </c>
      <c r="I5914" s="48" t="n">
        <f aca="false">I5911*Assumptions!$E$30</f>
        <v>12</v>
      </c>
      <c r="J5914" s="48" t="n">
        <f aca="false">J5911*Assumptions!$E$30</f>
        <v>13.5</v>
      </c>
      <c r="K5914" s="48" t="n">
        <f aca="false">K5911*Assumptions!$E$30</f>
        <v>15</v>
      </c>
      <c r="L5914" s="48" t="n">
        <f aca="false">L5911*Assumptions!$E$30</f>
        <v>15</v>
      </c>
      <c r="M5914" s="48" t="n">
        <f aca="false">M5911*Assumptions!$E$30</f>
        <v>15</v>
      </c>
      <c r="N5914" s="48" t="n">
        <f aca="false">N5911*Assumptions!$E$30</f>
        <v>15</v>
      </c>
      <c r="P5914" s="49" t="n">
        <f aca="false">SUM(C5914:F5914)</f>
        <v>21</v>
      </c>
      <c r="Q5914" s="49" t="n">
        <f aca="false">SUM(G5914:J5914)</f>
        <v>45</v>
      </c>
      <c r="R5914" s="49" t="n">
        <f aca="false">SUM(K5914:N5914)</f>
        <v>60</v>
      </c>
      <c r="S5914" s="50" t="n">
        <f aca="false">SUM(P5914:R5914)</f>
        <v>126</v>
      </c>
    </row>
    <row r="5915" customFormat="false" ht="15" hidden="false" customHeight="false" outlineLevel="0" collapsed="false">
      <c r="A5915" s="9" t="s">
        <v>507</v>
      </c>
      <c r="B5915" s="36" t="s">
        <v>504</v>
      </c>
      <c r="C5915" s="49" t="n">
        <f aca="false">C5912+C5913+C5914</f>
        <v>6.532081430528</v>
      </c>
      <c r="D5915" s="49" t="n">
        <f aca="false">D5912+D5913+D5914</f>
        <v>11.1964989282545</v>
      </c>
      <c r="E5915" s="49" t="n">
        <f aca="false">E5912+E5913+E5914</f>
        <v>12.3543490858728</v>
      </c>
      <c r="F5915" s="49" t="n">
        <f aca="false">F5912+F5913+F5914</f>
        <v>13.5359427800114</v>
      </c>
      <c r="G5915" s="49" t="n">
        <f aca="false">G5912+G5913+G5914</f>
        <v>17.233866274816</v>
      </c>
      <c r="H5915" s="49" t="n">
        <f aca="false">H5912+H5913+H5914</f>
        <v>20.6927207008123</v>
      </c>
      <c r="I5915" s="49" t="n">
        <f aca="false">I5912+I5913+I5914</f>
        <v>29.9145696880692</v>
      </c>
      <c r="J5915" s="49" t="n">
        <f aca="false">J5912+J5913+J5914</f>
        <v>38.3153432186007</v>
      </c>
      <c r="K5915" s="49" t="n">
        <f aca="false">K5912+K5913+K5914</f>
        <v>38.5875941402492</v>
      </c>
      <c r="L5915" s="49" t="n">
        <f aca="false">L5912+L5913+L5914</f>
        <v>37.4450448821772</v>
      </c>
      <c r="M5915" s="49" t="n">
        <f aca="false">M5912+M5913+M5914</f>
        <v>36.3817829908519</v>
      </c>
      <c r="N5915" s="49" t="n">
        <f aca="false">N5912+N5913+N5914</f>
        <v>35.3923063082865</v>
      </c>
      <c r="P5915" s="49" t="n">
        <f aca="false">SUM(C5915:F5915)</f>
        <v>43.6188722246667</v>
      </c>
      <c r="Q5915" s="49" t="n">
        <f aca="false">SUM(G5915:J5915)</f>
        <v>106.156499882298</v>
      </c>
      <c r="R5915" s="49" t="n">
        <f aca="false">SUM(K5915:N5915)</f>
        <v>147.806728321565</v>
      </c>
      <c r="S5915" s="50" t="n">
        <f aca="false">SUM(P5915:R5915)</f>
        <v>297.58210042853</v>
      </c>
    </row>
    <row r="5916" customFormat="false" ht="15" hidden="false" customHeight="false" outlineLevel="0" collapsed="false">
      <c r="A5916" s="4" t="s">
        <v>508</v>
      </c>
      <c r="B5916" s="36" t="s">
        <v>509</v>
      </c>
      <c r="C5916" s="48" t="n">
        <f aca="false">C5898</f>
        <v>421.51972352</v>
      </c>
      <c r="D5916" s="48" t="n">
        <f aca="false">D5898</f>
        <v>843.03944704</v>
      </c>
      <c r="E5916" s="48" t="n">
        <f aca="false">E5898</f>
        <v>843.03944704</v>
      </c>
      <c r="F5916" s="48" t="n">
        <f aca="false">F5898</f>
        <v>843.03944704</v>
      </c>
      <c r="G5916" s="48" t="n">
        <f aca="false">G5898</f>
        <v>1149.32798176</v>
      </c>
      <c r="H5916" s="48" t="n">
        <f aca="false">H5898</f>
        <v>1455.61651648</v>
      </c>
      <c r="I5916" s="48" t="n">
        <f aca="false">I5898</f>
        <v>2486.00303616</v>
      </c>
      <c r="J5916" s="48" t="n">
        <f aca="false">J5898</f>
        <v>3516.38955584</v>
      </c>
      <c r="K5916" s="48" t="n">
        <f aca="false">K5898</f>
        <v>3516.38955584</v>
      </c>
      <c r="L5916" s="48" t="n">
        <f aca="false">L5898</f>
        <v>3516.38955584</v>
      </c>
      <c r="M5916" s="48" t="n">
        <f aca="false">M5898</f>
        <v>3516.38955584</v>
      </c>
      <c r="N5916" s="48" t="n">
        <f aca="false">N5898</f>
        <v>3516.38955584</v>
      </c>
      <c r="P5916" s="49"/>
      <c r="Q5916" s="49"/>
      <c r="R5916" s="49"/>
      <c r="S5916" s="50"/>
    </row>
    <row r="5917" customFormat="false" ht="15" hidden="false" customHeight="false" outlineLevel="0" collapsed="false">
      <c r="A5917" s="4" t="s">
        <v>510</v>
      </c>
      <c r="B5917" s="36" t="s">
        <v>509</v>
      </c>
      <c r="C5917" s="48" t="n">
        <f aca="false">C5899*Assumptions!$E$18*Assumptions!$E$33</f>
        <v>211.19616</v>
      </c>
      <c r="D5917" s="48" t="n">
        <f aca="false">D5899*Assumptions!$E$18*Assumptions!$E$33</f>
        <v>422.39232</v>
      </c>
      <c r="E5917" s="48" t="n">
        <f aca="false">E5899*Assumptions!$E$18*Assumptions!$E$33</f>
        <v>422.39232</v>
      </c>
      <c r="F5917" s="48" t="n">
        <f aca="false">F5899*Assumptions!$E$18*Assumptions!$E$33</f>
        <v>422.39232</v>
      </c>
      <c r="G5917" s="48" t="n">
        <f aca="false">G5899*Assumptions!$E$18*Assumptions!$E$33</f>
        <v>564.49344</v>
      </c>
      <c r="H5917" s="48" t="n">
        <f aca="false">H5899*Assumptions!$E$18*Assumptions!$E$33</f>
        <v>706.59456</v>
      </c>
      <c r="I5917" s="48" t="n">
        <f aca="false">I5899*Assumptions!$E$18*Assumptions!$E$33</f>
        <v>1135.07072</v>
      </c>
      <c r="J5917" s="48" t="n">
        <f aca="false">J5899*Assumptions!$E$18*Assumptions!$E$33</f>
        <v>1563.54688</v>
      </c>
      <c r="K5917" s="48" t="n">
        <f aca="false">K5899*Assumptions!$E$18*Assumptions!$E$33</f>
        <v>1563.54688</v>
      </c>
      <c r="L5917" s="48" t="n">
        <f aca="false">L5899*Assumptions!$E$18*Assumptions!$E$33</f>
        <v>1563.54688</v>
      </c>
      <c r="M5917" s="48" t="n">
        <f aca="false">M5899*Assumptions!$E$18*Assumptions!$E$33</f>
        <v>1563.54688</v>
      </c>
      <c r="N5917" s="48" t="n">
        <f aca="false">N5899*Assumptions!$E$18*Assumptions!$E$33</f>
        <v>1563.54688</v>
      </c>
      <c r="P5917" s="49"/>
      <c r="Q5917" s="49"/>
      <c r="R5917" s="49"/>
      <c r="S5917" s="50"/>
    </row>
    <row r="5918" customFormat="false" ht="15" hidden="false" customHeight="false" outlineLevel="0" collapsed="false">
      <c r="A5918" s="4" t="s">
        <v>511</v>
      </c>
      <c r="B5918" s="36" t="s">
        <v>509</v>
      </c>
      <c r="C5918" s="48" t="n">
        <f aca="false">C5900*Assumptions!$E$19*Assumptions!$E$34</f>
        <v>34.677888</v>
      </c>
      <c r="D5918" s="48" t="n">
        <f aca="false">D5900*Assumptions!$E$19*Assumptions!$E$34</f>
        <v>69.355776</v>
      </c>
      <c r="E5918" s="48" t="n">
        <f aca="false">E5900*Assumptions!$E$19*Assumptions!$E$34</f>
        <v>69.355776</v>
      </c>
      <c r="F5918" s="48" t="n">
        <f aca="false">F5900*Assumptions!$E$19*Assumptions!$E$34</f>
        <v>69.355776</v>
      </c>
      <c r="G5918" s="48" t="n">
        <f aca="false">G5900*Assumptions!$E$19*Assumptions!$E$34</f>
        <v>86.69472</v>
      </c>
      <c r="H5918" s="48" t="n">
        <f aca="false">H5900*Assumptions!$E$19*Assumptions!$E$34</f>
        <v>104.033664</v>
      </c>
      <c r="I5918" s="48" t="n">
        <f aca="false">I5900*Assumptions!$E$19*Assumptions!$E$34</f>
        <v>159.7008</v>
      </c>
      <c r="J5918" s="48" t="n">
        <f aca="false">J5900*Assumptions!$E$19*Assumptions!$E$34</f>
        <v>215.367936</v>
      </c>
      <c r="K5918" s="48" t="n">
        <f aca="false">K5900*Assumptions!$E$19*Assumptions!$E$34</f>
        <v>215.367936</v>
      </c>
      <c r="L5918" s="48" t="n">
        <f aca="false">L5900*Assumptions!$E$19*Assumptions!$E$34</f>
        <v>215.367936</v>
      </c>
      <c r="M5918" s="48" t="n">
        <f aca="false">M5900*Assumptions!$E$19*Assumptions!$E$34</f>
        <v>215.367936</v>
      </c>
      <c r="N5918" s="48" t="n">
        <f aca="false">N5900*Assumptions!$E$19*Assumptions!$E$34</f>
        <v>215.367936</v>
      </c>
      <c r="P5918" s="49"/>
      <c r="Q5918" s="49"/>
      <c r="R5918" s="49"/>
      <c r="S5918" s="50"/>
    </row>
    <row r="5919" customFormat="false" ht="15" hidden="false" customHeight="false" outlineLevel="0" collapsed="false">
      <c r="A5919" s="4" t="s">
        <v>512</v>
      </c>
      <c r="B5919" s="36" t="s">
        <v>77</v>
      </c>
      <c r="C5919" s="51" t="n">
        <f aca="false">IFERROR(C5916/(C5916+C5917+C5918),0)</f>
        <v>0.631590736245533</v>
      </c>
      <c r="D5919" s="51" t="n">
        <f aca="false">IFERROR(D5916/(D5916+D5917+D5918),0)</f>
        <v>0.631590736245533</v>
      </c>
      <c r="E5919" s="51" t="n">
        <f aca="false">IFERROR(E5916/(E5916+E5917+E5918),0)</f>
        <v>0.631590736245533</v>
      </c>
      <c r="F5919" s="51" t="n">
        <f aca="false">IFERROR(F5916/(F5916+F5917+F5918),0)</f>
        <v>0.631590736245533</v>
      </c>
      <c r="G5919" s="51" t="n">
        <f aca="false">IFERROR(G5916/(G5916+G5917+G5918),0)</f>
        <v>0.638332506498128</v>
      </c>
      <c r="H5919" s="51" t="n">
        <f aca="false">IFERROR(H5916/(H5916+H5917+H5918),0)</f>
        <v>0.642303318118984</v>
      </c>
      <c r="I5919" s="51" t="n">
        <f aca="false">IFERROR(I5916/(I5916+I5917+I5918),0)</f>
        <v>0.657538025405288</v>
      </c>
      <c r="J5919" s="51" t="n">
        <f aca="false">IFERROR(J5916/(J5916+J5917+J5918),0)</f>
        <v>0.664058061428891</v>
      </c>
      <c r="K5919" s="51" t="n">
        <f aca="false">IFERROR(K5916/(K5916+K5917+K5918),0)</f>
        <v>0.664058061428891</v>
      </c>
      <c r="L5919" s="51" t="n">
        <f aca="false">IFERROR(L5916/(L5916+L5917+L5918),0)</f>
        <v>0.664058061428891</v>
      </c>
      <c r="M5919" s="51" t="n">
        <f aca="false">IFERROR(M5916/(M5916+M5917+M5918),0)</f>
        <v>0.664058061428891</v>
      </c>
      <c r="N5919" s="51" t="n">
        <f aca="false">IFERROR(N5916/(N5916+N5917+N5918),0)</f>
        <v>0.664058061428891</v>
      </c>
      <c r="P5919" s="52"/>
      <c r="Q5919" s="52"/>
      <c r="R5919" s="52"/>
      <c r="S5919" s="53"/>
    </row>
    <row r="5920" customFormat="false" ht="15" hidden="false" customHeight="false" outlineLevel="0" collapsed="false">
      <c r="A5920" s="4" t="s">
        <v>513</v>
      </c>
      <c r="B5920" s="36" t="s">
        <v>77</v>
      </c>
      <c r="C5920" s="51" t="n">
        <f aca="false">IFERROR(C5917/(C5916+C5917+C5918),0)</f>
        <v>0.316449102482628</v>
      </c>
      <c r="D5920" s="51" t="n">
        <f aca="false">IFERROR(D5917/(D5916+D5917+D5918),0)</f>
        <v>0.316449102482628</v>
      </c>
      <c r="E5920" s="51" t="n">
        <f aca="false">IFERROR(E5917/(E5916+E5917+E5918),0)</f>
        <v>0.316449102482628</v>
      </c>
      <c r="F5920" s="51" t="n">
        <f aca="false">IFERROR(F5917/(F5916+F5917+F5918),0)</f>
        <v>0.316449102482628</v>
      </c>
      <c r="G5920" s="51" t="n">
        <f aca="false">IFERROR(G5917/(G5916+G5917+G5918),0)</f>
        <v>0.313517566939561</v>
      </c>
      <c r="H5920" s="51" t="n">
        <f aca="false">IFERROR(H5917/(H5916+H5917+H5918),0)</f>
        <v>0.311790932099567</v>
      </c>
      <c r="I5920" s="51" t="n">
        <f aca="false">IFERROR(I5917/(I5916+I5917+I5918),0)</f>
        <v>0.300221741111391</v>
      </c>
      <c r="J5920" s="51" t="n">
        <f aca="false">IFERROR(J5917/(J5916+J5917+J5918),0)</f>
        <v>0.295270445324128</v>
      </c>
      <c r="K5920" s="51" t="n">
        <f aca="false">IFERROR(K5917/(K5916+K5917+K5918),0)</f>
        <v>0.295270445324128</v>
      </c>
      <c r="L5920" s="51" t="n">
        <f aca="false">IFERROR(L5917/(L5916+L5917+L5918),0)</f>
        <v>0.295270445324128</v>
      </c>
      <c r="M5920" s="51" t="n">
        <f aca="false">IFERROR(M5917/(M5916+M5917+M5918),0)</f>
        <v>0.295270445324128</v>
      </c>
      <c r="N5920" s="51" t="n">
        <f aca="false">IFERROR(N5917/(N5916+N5917+N5918),0)</f>
        <v>0.295270445324128</v>
      </c>
      <c r="P5920" s="52"/>
      <c r="Q5920" s="52"/>
      <c r="R5920" s="52"/>
      <c r="S5920" s="53"/>
    </row>
    <row r="5921" customFormat="false" ht="15" hidden="false" customHeight="false" outlineLevel="0" collapsed="false">
      <c r="A5921" s="4" t="s">
        <v>514</v>
      </c>
      <c r="B5921" s="36" t="s">
        <v>77</v>
      </c>
      <c r="C5921" s="51" t="n">
        <f aca="false">IFERROR(C5918/(C5916+C5917+C5918),0)</f>
        <v>0.0519601612718389</v>
      </c>
      <c r="D5921" s="51" t="n">
        <f aca="false">IFERROR(D5918/(D5916+D5917+D5918),0)</f>
        <v>0.0519601612718389</v>
      </c>
      <c r="E5921" s="51" t="n">
        <f aca="false">IFERROR(E5918/(E5916+E5917+E5918),0)</f>
        <v>0.0519601612718389</v>
      </c>
      <c r="F5921" s="51" t="n">
        <f aca="false">IFERROR(F5918/(F5916+F5917+F5918),0)</f>
        <v>0.0519601612718389</v>
      </c>
      <c r="G5921" s="51" t="n">
        <f aca="false">IFERROR(G5918/(G5916+G5917+G5918),0)</f>
        <v>0.0481499265623113</v>
      </c>
      <c r="H5921" s="51" t="n">
        <f aca="false">IFERROR(H5918/(H5916+H5917+H5918),0)</f>
        <v>0.0459057497814491</v>
      </c>
      <c r="I5921" s="51" t="n">
        <f aca="false">IFERROR(I5918/(I5916+I5917+I5918),0)</f>
        <v>0.0422402334833216</v>
      </c>
      <c r="J5921" s="51" t="n">
        <f aca="false">IFERROR(J5918/(J5916+J5917+J5918),0)</f>
        <v>0.0406714932469811</v>
      </c>
      <c r="K5921" s="51" t="n">
        <f aca="false">IFERROR(K5918/(K5916+K5917+K5918),0)</f>
        <v>0.0406714932469811</v>
      </c>
      <c r="L5921" s="51" t="n">
        <f aca="false">IFERROR(L5918/(L5916+L5917+L5918),0)</f>
        <v>0.0406714932469811</v>
      </c>
      <c r="M5921" s="51" t="n">
        <f aca="false">IFERROR(M5918/(M5916+M5917+M5918),0)</f>
        <v>0.0406714932469811</v>
      </c>
      <c r="N5921" s="51" t="n">
        <f aca="false">IFERROR(N5918/(N5916+N5917+N5918),0)</f>
        <v>0.0406714932469811</v>
      </c>
      <c r="P5921" s="52"/>
      <c r="Q5921" s="52"/>
      <c r="R5921" s="52"/>
      <c r="S5921" s="53"/>
    </row>
    <row r="5922" customFormat="false" ht="15" hidden="false" customHeight="false" outlineLevel="0" collapsed="false">
      <c r="A5922" s="4" t="s">
        <v>515</v>
      </c>
      <c r="B5922" s="36" t="s">
        <v>516</v>
      </c>
      <c r="C5922" s="48" t="n">
        <f aca="false">IF(C5890-Assumptions!$E$35&lt;1,0,INDEX($C$5915:$N$5915,1,C5890-Assumptions!$E$35)*INDEX($C$5919:$N$5919,1,C5890-Assumptions!$E$35)*Assumptions!$E$32)</f>
        <v>0</v>
      </c>
      <c r="D5922" s="48" t="n">
        <f aca="false">IF(D5890-Assumptions!$E$35&lt;1,0,INDEX($C$5915:$N$5915,1,D5890-Assumptions!$E$35)*INDEX($C$5919:$N$5919,1,D5890-Assumptions!$E$35)*Assumptions!$E$32)</f>
        <v>0.866376445183821</v>
      </c>
      <c r="E5922" s="48" t="n">
        <f aca="false">IF(E5890-Assumptions!$E$35&lt;1,0,INDEX($C$5915:$N$5915,1,E5890-Assumptions!$E$35)*INDEX($C$5919:$N$5919,1,E5890-Assumptions!$E$35)*Assumptions!$E$32)</f>
        <v>1.4850370503084</v>
      </c>
      <c r="F5922" s="48" t="n">
        <f aca="false">IF(F5890-Assumptions!$E$35&lt;1,0,INDEX($C$5915:$N$5915,1,F5890-Assumptions!$E$35)*INDEX($C$5919:$N$5919,1,F5890-Assumptions!$E$35)*Assumptions!$E$32)</f>
        <v>1.63860741134595</v>
      </c>
      <c r="G5922" s="48" t="n">
        <f aca="false">IF(G5890-Assumptions!$E$35&lt;1,0,INDEX($C$5915:$N$5915,1,G5890-Assumptions!$E$35)*INDEX($C$5919:$N$5919,1,G5890-Assumptions!$E$35)*Assumptions!$E$32)</f>
        <v>1.79532697390301</v>
      </c>
      <c r="H5922" s="48" t="n">
        <f aca="false">IF(H5890-Assumptions!$E$35&lt;1,0,INDEX($C$5915:$N$5915,1,H5890-Assumptions!$E$35)*INDEX($C$5919:$N$5919,1,H5890-Assumptions!$E$35)*Assumptions!$E$32)</f>
        <v>2.31019678172994</v>
      </c>
      <c r="I5922" s="48" t="n">
        <f aca="false">IF(I5890-Assumptions!$E$35&lt;1,0,INDEX($C$5915:$N$5915,1,I5890-Assumptions!$E$35)*INDEX($C$5919:$N$5919,1,I5890-Assumptions!$E$35)*Assumptions!$E$32)</f>
        <v>2.79111066507864</v>
      </c>
      <c r="J5922" s="48" t="n">
        <f aca="false">IF(J5890-Assumptions!$E$35&lt;1,0,INDEX($C$5915:$N$5915,1,J5890-Assumptions!$E$35)*INDEX($C$5919:$N$5919,1,J5890-Assumptions!$E$35)*Assumptions!$E$32)</f>
        <v>4.1306930875438</v>
      </c>
      <c r="K5922" s="48" t="n">
        <f aca="false">IF(K5890-Assumptions!$E$35&lt;1,0,INDEX($C$5915:$N$5915,1,K5890-Assumptions!$E$35)*INDEX($C$5919:$N$5919,1,K5890-Assumptions!$E$35)*Assumptions!$E$32)</f>
        <v>5.34315863355258</v>
      </c>
      <c r="L5922" s="48" t="n">
        <f aca="false">IF(L5890-Assumptions!$E$35&lt;1,0,INDEX($C$5915:$N$5915,1,L5890-Assumptions!$E$35)*INDEX($C$5919:$N$5919,1,L5890-Assumptions!$E$35)*Assumptions!$E$32)</f>
        <v>5.38112462159553</v>
      </c>
      <c r="M5922" s="48" t="n">
        <f aca="false">IF(M5890-Assumptions!$E$35&lt;1,0,INDEX($C$5915:$N$5915,1,M5890-Assumptions!$E$35)*INDEX($C$5919:$N$5919,1,M5890-Assumptions!$E$35)*Assumptions!$E$32)</f>
        <v>5.22179362206104</v>
      </c>
      <c r="N5922" s="48" t="n">
        <f aca="false">IF(N5890-Assumptions!$E$35&lt;1,0,INDEX($C$5915:$N$5915,1,N5890-Assumptions!$E$35)*INDEX($C$5919:$N$5919,1,N5890-Assumptions!$E$35)*Assumptions!$E$32)</f>
        <v>5.07351941968866</v>
      </c>
      <c r="P5922" s="49" t="n">
        <f aca="false">SUM(C5922:F5922)</f>
        <v>3.99002090683817</v>
      </c>
      <c r="Q5922" s="49" t="n">
        <f aca="false">SUM(G5922:J5922)</f>
        <v>11.0273275082554</v>
      </c>
      <c r="R5922" s="49" t="n">
        <f aca="false">SUM(K5922:N5922)</f>
        <v>21.0195962968978</v>
      </c>
      <c r="S5922" s="50" t="n">
        <f aca="false">SUM(P5922:R5922)</f>
        <v>36.0369447119914</v>
      </c>
    </row>
    <row r="5923" customFormat="false" ht="15" hidden="false" customHeight="false" outlineLevel="0" collapsed="false">
      <c r="A5923" s="4" t="s">
        <v>517</v>
      </c>
      <c r="B5923" s="36" t="s">
        <v>516</v>
      </c>
      <c r="C5923" s="48" t="n">
        <f aca="false">IF(C5890-Assumptions!$E$35&lt;1,0,INDEX($C$5915:$N$5915,1,C5890-Assumptions!$E$35)*INDEX($C$5920:$N$5920,1,C5890-Assumptions!$E$35)*Assumptions!$E$32)</f>
        <v>0</v>
      </c>
      <c r="D5923" s="48" t="n">
        <f aca="false">IF(D5890-Assumptions!$E$35&lt;1,0,INDEX($C$5915:$N$5915,1,D5890-Assumptions!$E$35)*INDEX($C$5920:$N$5920,1,D5890-Assumptions!$E$35)*Assumptions!$E$32)</f>
        <v>0.434084974267145</v>
      </c>
      <c r="E5923" s="48" t="n">
        <f aca="false">IF(E5890-Assumptions!$E$35&lt;1,0,INDEX($C$5915:$N$5915,1,E5890-Assumptions!$E$35)*INDEX($C$5920:$N$5920,1,E5890-Assumptions!$E$35)*Assumptions!$E$32)</f>
        <v>0.744055627726705</v>
      </c>
      <c r="F5923" s="48" t="n">
        <f aca="false">IF(F5890-Assumptions!$E$35&lt;1,0,INDEX($C$5915:$N$5915,1,F5890-Assumptions!$E$35)*INDEX($C$5920:$N$5920,1,F5890-Assumptions!$E$35)*Assumptions!$E$32)</f>
        <v>0.820999762796119</v>
      </c>
      <c r="G5923" s="48" t="n">
        <f aca="false">IF(G5890-Assumptions!$E$35&lt;1,0,INDEX($C$5915:$N$5915,1,G5890-Assumptions!$E$35)*INDEX($C$5920:$N$5920,1,G5890-Assumptions!$E$35)*Assumptions!$E$32)</f>
        <v>0.89952175823807</v>
      </c>
      <c r="H5923" s="48" t="n">
        <f aca="false">IF(H5890-Assumptions!$E$35&lt;1,0,INDEX($C$5915:$N$5915,1,H5890-Assumptions!$E$35)*INDEX($C$5920:$N$5920,1,H5890-Assumptions!$E$35)*Assumptions!$E$32)</f>
        <v>1.13465516292283</v>
      </c>
      <c r="I5923" s="48" t="n">
        <f aca="false">IF(I5890-Assumptions!$E$35&lt;1,0,INDEX($C$5915:$N$5915,1,I5890-Assumptions!$E$35)*INDEX($C$5920:$N$5920,1,I5890-Assumptions!$E$35)*Assumptions!$E$32)</f>
        <v>1.35487856174628</v>
      </c>
      <c r="J5923" s="48" t="n">
        <f aca="false">IF(J5890-Assumptions!$E$35&lt;1,0,INDEX($C$5915:$N$5915,1,J5890-Assumptions!$E$35)*INDEX($C$5920:$N$5920,1,J5890-Assumptions!$E$35)*Assumptions!$E$32)</f>
        <v>1.88601088123353</v>
      </c>
      <c r="K5923" s="48" t="n">
        <f aca="false">IF(K5890-Assumptions!$E$35&lt;1,0,INDEX($C$5915:$N$5915,1,K5890-Assumptions!$E$35)*INDEX($C$5920:$N$5920,1,K5890-Assumptions!$E$35)*Assumptions!$E$32)</f>
        <v>2.37581157552964</v>
      </c>
      <c r="L5923" s="48" t="n">
        <f aca="false">IF(L5890-Assumptions!$E$35&lt;1,0,INDEX($C$5915:$N$5915,1,L5890-Assumptions!$E$35)*INDEX($C$5920:$N$5920,1,L5890-Assumptions!$E$35)*Assumptions!$E$32)</f>
        <v>2.3926929822134</v>
      </c>
      <c r="M5923" s="48" t="n">
        <f aca="false">IF(M5890-Assumptions!$E$35&lt;1,0,INDEX($C$5915:$N$5915,1,M5890-Assumptions!$E$35)*INDEX($C$5920:$N$5920,1,M5890-Assumptions!$E$35)*Assumptions!$E$32)</f>
        <v>2.32184716628391</v>
      </c>
      <c r="N5923" s="48" t="n">
        <f aca="false">IF(N5890-Assumptions!$E$35&lt;1,0,INDEX($C$5915:$N$5915,1,N5890-Assumptions!$E$35)*INDEX($C$5920:$N$5920,1,N5890-Assumptions!$E$35)*Assumptions!$E$32)</f>
        <v>2.25591770573287</v>
      </c>
      <c r="P5923" s="49" t="n">
        <f aca="false">SUM(C5923:F5923)</f>
        <v>1.99914036478997</v>
      </c>
      <c r="Q5923" s="49" t="n">
        <f aca="false">SUM(G5923:J5923)</f>
        <v>5.27506636414072</v>
      </c>
      <c r="R5923" s="49" t="n">
        <f aca="false">SUM(K5923:N5923)</f>
        <v>9.34626942975982</v>
      </c>
      <c r="S5923" s="50" t="n">
        <f aca="false">SUM(P5923:R5923)</f>
        <v>16.6204761586905</v>
      </c>
    </row>
    <row r="5924" customFormat="false" ht="15" hidden="false" customHeight="false" outlineLevel="0" collapsed="false">
      <c r="A5924" s="4" t="s">
        <v>518</v>
      </c>
      <c r="B5924" s="36" t="s">
        <v>516</v>
      </c>
      <c r="C5924" s="48" t="n">
        <f aca="false">IF(C5890-Assumptions!$E$36&lt;1,0,INDEX($C$5915:$N$5915,1,C5890-Assumptions!$E$36)*INDEX($C$5921:$N$5921,1,C5890-Assumptions!$E$36)*Assumptions!$E$32)</f>
        <v>0</v>
      </c>
      <c r="D5924" s="48" t="n">
        <f aca="false">IF(D5890-Assumptions!$E$36&lt;1,0,INDEX($C$5915:$N$5915,1,D5890-Assumptions!$E$36)*INDEX($C$5921:$N$5921,1,D5890-Assumptions!$E$36)*Assumptions!$E$32)</f>
        <v>0</v>
      </c>
      <c r="E5924" s="48" t="n">
        <f aca="false">IF(E5890-Assumptions!$E$36&lt;1,0,INDEX($C$5915:$N$5915,1,E5890-Assumptions!$E$36)*INDEX($C$5921:$N$5921,1,E5890-Assumptions!$E$36)*Assumptions!$E$32)</f>
        <v>0.071275680959914</v>
      </c>
      <c r="F5924" s="48" t="n">
        <f aca="false">IF(F5890-Assumptions!$E$36&lt;1,0,INDEX($C$5915:$N$5915,1,F5890-Assumptions!$E$36)*INDEX($C$5921:$N$5921,1,F5890-Assumptions!$E$36)*Assumptions!$E$32)</f>
        <v>0.122172096898336</v>
      </c>
      <c r="G5924" s="48" t="n">
        <f aca="false">IF(G5890-Assumptions!$E$36&lt;1,0,INDEX($C$5915:$N$5915,1,G5890-Assumptions!$E$36)*INDEX($C$5921:$N$5921,1,G5890-Assumptions!$E$36)*Assumptions!$E$32)</f>
        <v>0.134806133891215</v>
      </c>
      <c r="H5924" s="48" t="n">
        <f aca="false">IF(H5890-Assumptions!$E$36&lt;1,0,INDEX($C$5915:$N$5915,1,H5890-Assumptions!$E$36)*INDEX($C$5921:$N$5921,1,H5890-Assumptions!$E$36)*Assumptions!$E$32)</f>
        <v>0.147699251661313</v>
      </c>
      <c r="I5924" s="48" t="n">
        <f aca="false">IF(I5890-Assumptions!$E$36&lt;1,0,INDEX($C$5915:$N$5915,1,I5890-Assumptions!$E$36)*INDEX($C$5921:$N$5921,1,I5890-Assumptions!$E$36)*Assumptions!$E$32)</f>
        <v>0.174259973058587</v>
      </c>
      <c r="J5924" s="48" t="n">
        <f aca="false">IF(J5890-Assumptions!$E$36&lt;1,0,INDEX($C$5915:$N$5915,1,J5890-Assumptions!$E$36)*INDEX($C$5921:$N$5921,1,J5890-Assumptions!$E$36)*Assumptions!$E$32)</f>
        <v>0.19948212034567</v>
      </c>
      <c r="K5924" s="48" t="n">
        <f aca="false">IF(K5890-Assumptions!$E$36&lt;1,0,INDEX($C$5915:$N$5915,1,K5890-Assumptions!$E$36)*INDEX($C$5921:$N$5921,1,K5890-Assumptions!$E$36)*Assumptions!$E$32)</f>
        <v>0.265355665717199</v>
      </c>
      <c r="L5924" s="48" t="n">
        <f aca="false">IF(L5890-Assumptions!$E$36&lt;1,0,INDEX($C$5915:$N$5915,1,L5890-Assumptions!$E$36)*INDEX($C$5921:$N$5921,1,L5890-Assumptions!$E$36)*Assumptions!$E$32)</f>
        <v>0.327251866823927</v>
      </c>
      <c r="M5924" s="48" t="n">
        <f aca="false">IF(M5890-Assumptions!$E$36&lt;1,0,INDEX($C$5915:$N$5915,1,M5890-Assumptions!$E$36)*INDEX($C$5921:$N$5921,1,M5890-Assumptions!$E$36)*Assumptions!$E$32)</f>
        <v>0.329577165643402</v>
      </c>
      <c r="N5924" s="48" t="n">
        <f aca="false">IF(N5890-Assumptions!$E$36&lt;1,0,INDEX($C$5915:$N$5915,1,N5890-Assumptions!$E$36)*INDEX($C$5921:$N$5921,1,N5890-Assumptions!$E$36)*Assumptions!$E$32)</f>
        <v>0.319818636912259</v>
      </c>
      <c r="P5924" s="49" t="n">
        <f aca="false">SUM(C5924:F5924)</f>
        <v>0.19344777785825</v>
      </c>
      <c r="Q5924" s="49" t="n">
        <f aca="false">SUM(G5924:J5924)</f>
        <v>0.656247478956785</v>
      </c>
      <c r="R5924" s="49" t="n">
        <f aca="false">SUM(K5924:N5924)</f>
        <v>1.24200333509679</v>
      </c>
      <c r="S5924" s="50" t="n">
        <f aca="false">SUM(P5924:R5924)</f>
        <v>2.09169859191182</v>
      </c>
    </row>
    <row r="5925" customFormat="false" ht="15" hidden="false" customHeight="false" outlineLevel="0" collapsed="false">
      <c r="A5925" s="4" t="s">
        <v>519</v>
      </c>
      <c r="B5925" s="36" t="s">
        <v>77</v>
      </c>
      <c r="C5925" s="51" t="n">
        <f aca="false">IF(C5890-Assumptions!$E$35&lt;1,0,IFERROR(INDEX($C$5914:$N$5914,1,C5890-Assumptions!$E$35)/INDEX($C$5915:$N$5915,1,C5890-Assumptions!$E$35),0))</f>
        <v>0</v>
      </c>
      <c r="D5925" s="51" t="n">
        <f aca="false">IF(D5890-Assumptions!$E$35&lt;1,0,IFERROR(INDEX($C$5914:$N$5914,1,D5890-Assumptions!$E$35)/INDEX($C$5915:$N$5915,1,D5890-Assumptions!$E$35),0))</f>
        <v>0.459271678087073</v>
      </c>
      <c r="E5925" s="51" t="n">
        <f aca="false">IF(E5890-Assumptions!$E$35&lt;1,0,IFERROR(INDEX($C$5914:$N$5914,1,E5890-Assumptions!$E$35)/INDEX($C$5915:$N$5915,1,E5890-Assumptions!$E$35),0))</f>
        <v>0.401911350042128</v>
      </c>
      <c r="F5925" s="51" t="n">
        <f aca="false">IF(F5890-Assumptions!$E$35&lt;1,0,IFERROR(INDEX($C$5914:$N$5914,1,F5890-Assumptions!$E$35)/INDEX($C$5915:$N$5915,1,F5890-Assumptions!$E$35),0))</f>
        <v>0.485658933408398</v>
      </c>
      <c r="G5925" s="51" t="n">
        <f aca="false">IF(G5890-Assumptions!$E$35&lt;1,0,IFERROR(INDEX($C$5914:$N$5914,1,G5890-Assumptions!$E$35)/INDEX($C$5915:$N$5915,1,G5890-Assumptions!$E$35),0))</f>
        <v>0.554080356417826</v>
      </c>
      <c r="H5925" s="51" t="n">
        <f aca="false">IF(H5890-Assumptions!$E$35&lt;1,0,IFERROR(INDEX($C$5914:$N$5914,1,H5890-Assumptions!$E$35)/INDEX($C$5915:$N$5915,1,H5890-Assumptions!$E$35),0))</f>
        <v>0.522227563825987</v>
      </c>
      <c r="I5925" s="51" t="n">
        <f aca="false">IF(I5890-Assumptions!$E$35&lt;1,0,IFERROR(INDEX($C$5914:$N$5914,1,I5890-Assumptions!$E$35)/INDEX($C$5915:$N$5915,1,I5890-Assumptions!$E$35),0))</f>
        <v>0.507424816282752</v>
      </c>
      <c r="J5925" s="51" t="n">
        <f aca="false">IF(J5890-Assumptions!$E$35&lt;1,0,IFERROR(INDEX($C$5914:$N$5914,1,J5890-Assumptions!$E$35)/INDEX($C$5915:$N$5915,1,J5890-Assumptions!$E$35),0))</f>
        <v>0.401142323795015</v>
      </c>
      <c r="K5925" s="51" t="n">
        <f aca="false">IF(K5890-Assumptions!$E$35&lt;1,0,IFERROR(INDEX($C$5914:$N$5914,1,K5890-Assumptions!$E$35)/INDEX($C$5915:$N$5915,1,K5890-Assumptions!$E$35),0))</f>
        <v>0.352339268448632</v>
      </c>
      <c r="L5925" s="51" t="n">
        <f aca="false">IF(L5890-Assumptions!$E$35&lt;1,0,IFERROR(INDEX($C$5914:$N$5914,1,L5890-Assumptions!$E$35)/INDEX($C$5915:$N$5915,1,L5890-Assumptions!$E$35),0))</f>
        <v>0.388725970981282</v>
      </c>
      <c r="M5925" s="51" t="n">
        <f aca="false">IF(M5890-Assumptions!$E$35&lt;1,0,IFERROR(INDEX($C$5914:$N$5914,1,M5890-Assumptions!$E$35)/INDEX($C$5915:$N$5915,1,M5890-Assumptions!$E$35),0))</f>
        <v>0.400587048224893</v>
      </c>
      <c r="N5925" s="51" t="n">
        <f aca="false">IF(N5890-Assumptions!$E$35&lt;1,0,IFERROR(INDEX($C$5914:$N$5914,1,N5890-Assumptions!$E$35)/INDEX($C$5915:$N$5915,1,N5890-Assumptions!$E$35),0))</f>
        <v>0.412294251872474</v>
      </c>
      <c r="P5925" s="52"/>
      <c r="Q5925" s="52"/>
      <c r="R5925" s="52"/>
      <c r="S5925" s="53"/>
    </row>
    <row r="5926" customFormat="false" ht="15" hidden="false" customHeight="false" outlineLevel="0" collapsed="false">
      <c r="A5926" s="4" t="s">
        <v>520</v>
      </c>
      <c r="B5926" s="36" t="s">
        <v>516</v>
      </c>
      <c r="C5926" s="48" t="n">
        <f aca="false">C5922*Assumptions!$E$37</f>
        <v>0</v>
      </c>
      <c r="D5926" s="48" t="n">
        <f aca="false">D5922*Assumptions!$E$37</f>
        <v>0.259912933555146</v>
      </c>
      <c r="E5926" s="48" t="n">
        <f aca="false">E5922*Assumptions!$E$37</f>
        <v>0.44551111509252</v>
      </c>
      <c r="F5926" s="48" t="n">
        <f aca="false">F5922*Assumptions!$E$37</f>
        <v>0.491582223403786</v>
      </c>
      <c r="G5926" s="48" t="n">
        <f aca="false">G5922*Assumptions!$E$37</f>
        <v>0.538598092170902</v>
      </c>
      <c r="H5926" s="48" t="n">
        <f aca="false">H5922*Assumptions!$E$37</f>
        <v>0.693059034518982</v>
      </c>
      <c r="I5926" s="48" t="n">
        <f aca="false">I5922*Assumptions!$E$37</f>
        <v>0.837333199523593</v>
      </c>
      <c r="J5926" s="48" t="n">
        <f aca="false">J5922*Assumptions!$E$37</f>
        <v>1.23920792626314</v>
      </c>
      <c r="K5926" s="48" t="n">
        <f aca="false">K5922*Assumptions!$E$37</f>
        <v>1.60294759006577</v>
      </c>
      <c r="L5926" s="48" t="n">
        <f aca="false">L5922*Assumptions!$E$37</f>
        <v>1.61433738647866</v>
      </c>
      <c r="M5926" s="48" t="n">
        <f aca="false">M5922*Assumptions!$E$37</f>
        <v>1.56653808661831</v>
      </c>
      <c r="N5926" s="48" t="n">
        <f aca="false">N5922*Assumptions!$E$37</f>
        <v>1.5220558259066</v>
      </c>
      <c r="P5926" s="49" t="n">
        <f aca="false">SUM(C5926:F5926)</f>
        <v>1.19700627205145</v>
      </c>
      <c r="Q5926" s="49" t="n">
        <f aca="false">SUM(G5926:J5926)</f>
        <v>3.30819825247662</v>
      </c>
      <c r="R5926" s="49" t="n">
        <f aca="false">SUM(K5926:N5926)</f>
        <v>6.30587888906934</v>
      </c>
      <c r="S5926" s="50" t="n">
        <f aca="false">SUM(P5926:R5926)</f>
        <v>10.8110834135974</v>
      </c>
    </row>
    <row r="5927" customFormat="false" ht="15" hidden="false" customHeight="false" outlineLevel="0" collapsed="false">
      <c r="A5927" s="4" t="s">
        <v>521</v>
      </c>
      <c r="B5927" s="36" t="s">
        <v>516</v>
      </c>
      <c r="C5927" s="48" t="n">
        <f aca="false">C5922*(1-Assumptions!$E$37)</f>
        <v>0</v>
      </c>
      <c r="D5927" s="48" t="n">
        <f aca="false">D5922*(1-Assumptions!$E$37)</f>
        <v>0.606463511628675</v>
      </c>
      <c r="E5927" s="48" t="n">
        <f aca="false">E5922*(1-Assumptions!$E$37)</f>
        <v>1.03952593521588</v>
      </c>
      <c r="F5927" s="48" t="n">
        <f aca="false">F5922*(1-Assumptions!$E$37)</f>
        <v>1.14702518794217</v>
      </c>
      <c r="G5927" s="48" t="n">
        <f aca="false">G5922*(1-Assumptions!$E$37)</f>
        <v>1.25672888173211</v>
      </c>
      <c r="H5927" s="48" t="n">
        <f aca="false">H5922*(1-Assumptions!$E$37)</f>
        <v>1.61713774721096</v>
      </c>
      <c r="I5927" s="48" t="n">
        <f aca="false">I5922*(1-Assumptions!$E$37)</f>
        <v>1.95377746555505</v>
      </c>
      <c r="J5927" s="48" t="n">
        <f aca="false">J5922*(1-Assumptions!$E$37)</f>
        <v>2.89148516128066</v>
      </c>
      <c r="K5927" s="48" t="n">
        <f aca="false">K5922*(1-Assumptions!$E$37)</f>
        <v>3.7402110434868</v>
      </c>
      <c r="L5927" s="48" t="n">
        <f aca="false">L5922*(1-Assumptions!$E$37)</f>
        <v>3.76678723511687</v>
      </c>
      <c r="M5927" s="48" t="n">
        <f aca="false">M5922*(1-Assumptions!$E$37)</f>
        <v>3.65525553544273</v>
      </c>
      <c r="N5927" s="48" t="n">
        <f aca="false">N5922*(1-Assumptions!$E$37)</f>
        <v>3.55146359378206</v>
      </c>
      <c r="P5927" s="49" t="n">
        <f aca="false">SUM(C5927:F5927)</f>
        <v>2.79301463478672</v>
      </c>
      <c r="Q5927" s="49" t="n">
        <f aca="false">SUM(G5927:J5927)</f>
        <v>7.71912925577877</v>
      </c>
      <c r="R5927" s="49" t="n">
        <f aca="false">SUM(K5927:N5927)</f>
        <v>14.7137174078285</v>
      </c>
      <c r="S5927" s="50" t="n">
        <f aca="false">SUM(P5927:R5927)</f>
        <v>25.225861298394</v>
      </c>
    </row>
    <row r="5928" customFormat="false" ht="15" hidden="false" customHeight="false" outlineLevel="0" collapsed="false">
      <c r="A5928" s="4" t="s">
        <v>522</v>
      </c>
      <c r="B5928" s="36" t="s">
        <v>125</v>
      </c>
      <c r="C5928" s="54" t="n">
        <f aca="false">C5927*$C$5881+C5923*$C$5882+C5924*$C$5883</f>
        <v>0</v>
      </c>
      <c r="D5928" s="54" t="n">
        <f aca="false">D5927*$C$5881+D5923*$C$5882+D5924*$C$5883</f>
        <v>7485.37917000042</v>
      </c>
      <c r="E5928" s="54" t="n">
        <f aca="false">E5927*$C$5881+E5923*$C$5882+E5924*$C$5883</f>
        <v>17233.8131620616</v>
      </c>
      <c r="F5928" s="54" t="n">
        <f aca="false">F5927*$C$5881+F5923*$C$5882+F5924*$C$5883</f>
        <v>21704.9328199195</v>
      </c>
      <c r="G5928" s="54" t="n">
        <f aca="false">G5927*$C$5881+G5923*$C$5882+G5924*$C$5883</f>
        <v>23839.4781169478</v>
      </c>
      <c r="H5928" s="54" t="n">
        <f aca="false">H5927*$C$5881+H5923*$C$5882+H5924*$C$5883</f>
        <v>28861.3828545359</v>
      </c>
      <c r="I5928" s="54" t="n">
        <f aca="false">I5927*$C$5881+I5923*$C$5882+I5924*$C$5883</f>
        <v>34454.8139810786</v>
      </c>
      <c r="J5928" s="54" t="n">
        <f aca="false">J5927*$C$5881+J5923*$C$5882+J5924*$C$5883</f>
        <v>46219.0265618748</v>
      </c>
      <c r="K5928" s="54" t="n">
        <f aca="false">K5927*$C$5881+K5923*$C$5882+K5924*$C$5883</f>
        <v>59614.7065475457</v>
      </c>
      <c r="L5928" s="54" t="n">
        <f aca="false">L5927*$C$5881+L5923*$C$5882+L5924*$C$5883</f>
        <v>63745.6576705911</v>
      </c>
      <c r="M5928" s="54" t="n">
        <f aca="false">M5927*$C$5881+M5923*$C$5882+M5924*$C$5883</f>
        <v>62600.461663715</v>
      </c>
      <c r="N5928" s="54" t="n">
        <f aca="false">N5927*$C$5881+N5923*$C$5882+N5924*$C$5883</f>
        <v>60798.1877142281</v>
      </c>
      <c r="P5928" s="55" t="n">
        <f aca="false">SUM(C5928:F5928)</f>
        <v>46424.1251519815</v>
      </c>
      <c r="Q5928" s="55" t="n">
        <f aca="false">SUM(G5928:J5928)</f>
        <v>133374.701514437</v>
      </c>
      <c r="R5928" s="55" t="n">
        <f aca="false">SUM(K5928:N5928)</f>
        <v>246759.01359608</v>
      </c>
      <c r="S5928" s="56" t="n">
        <f aca="false">SUM(P5928:R5928)</f>
        <v>426557.840262498</v>
      </c>
    </row>
    <row r="5929" customFormat="false" ht="15" hidden="false" customHeight="false" outlineLevel="0" collapsed="false">
      <c r="A5929" s="4" t="s">
        <v>523</v>
      </c>
      <c r="B5929" s="36" t="s">
        <v>125</v>
      </c>
      <c r="C5929" s="54" t="n">
        <f aca="false">(C5905+Assumptions!$D$104*C5891)*$C$5886</f>
        <v>306250</v>
      </c>
      <c r="D5929" s="54" t="n">
        <f aca="false">(D5905+Assumptions!$D$104*D5891)*$C$5886</f>
        <v>306250</v>
      </c>
      <c r="E5929" s="54" t="n">
        <f aca="false">(E5905+Assumptions!$D$104*E5891)*$C$5886</f>
        <v>306250</v>
      </c>
      <c r="F5929" s="54" t="n">
        <f aca="false">(F5905+Assumptions!$D$104*F5891)*$C$5886</f>
        <v>306250</v>
      </c>
      <c r="G5929" s="54" t="n">
        <f aca="false">(G5905+Assumptions!$D$104*G5891)*$C$5886</f>
        <v>306250</v>
      </c>
      <c r="H5929" s="54" t="n">
        <f aca="false">(H5905+Assumptions!$D$104*H5891)*$C$5886</f>
        <v>306250</v>
      </c>
      <c r="I5929" s="54" t="n">
        <f aca="false">(I5905+Assumptions!$D$104*I5891)*$C$5886</f>
        <v>306250</v>
      </c>
      <c r="J5929" s="54" t="n">
        <f aca="false">(J5905+Assumptions!$D$104*J5891)*$C$5886</f>
        <v>306250</v>
      </c>
      <c r="K5929" s="54" t="n">
        <f aca="false">(K5905+Assumptions!$D$104*K5891)*$C$5886</f>
        <v>306250</v>
      </c>
      <c r="L5929" s="54" t="n">
        <f aca="false">(L5905+Assumptions!$D$104*L5891)*$C$5886</f>
        <v>306250</v>
      </c>
      <c r="M5929" s="54" t="n">
        <f aca="false">(M5905+Assumptions!$D$104*M5891)*$C$5886</f>
        <v>306250</v>
      </c>
      <c r="N5929" s="54" t="n">
        <f aca="false">(N5905+Assumptions!$D$104*N5891)*$C$5886</f>
        <v>306250</v>
      </c>
      <c r="P5929" s="55" t="n">
        <f aca="false">SUM(C5929:F5929)</f>
        <v>1225000</v>
      </c>
      <c r="Q5929" s="55" t="n">
        <f aca="false">SUM(G5929:J5929)</f>
        <v>1225000</v>
      </c>
      <c r="R5929" s="55" t="n">
        <f aca="false">SUM(K5929:N5929)</f>
        <v>1225000</v>
      </c>
      <c r="S5929" s="56" t="n">
        <f aca="false">SUM(P5929:R5929)</f>
        <v>3675000</v>
      </c>
    </row>
    <row r="5930" customFormat="false" ht="15" hidden="false" customHeight="false" outlineLevel="0" collapsed="false">
      <c r="A5930" s="4" t="s">
        <v>524</v>
      </c>
      <c r="B5930" s="36" t="s">
        <v>77</v>
      </c>
      <c r="C5930" s="51" t="n">
        <f aca="false">IF(C5928&gt;0,MIN(1,C5929/C5928),1)</f>
        <v>1</v>
      </c>
      <c r="D5930" s="51" t="n">
        <f aca="false">IF(D5928&gt;0,MIN(1,D5929/D5928),1)</f>
        <v>1</v>
      </c>
      <c r="E5930" s="51" t="n">
        <f aca="false">IF(E5928&gt;0,MIN(1,E5929/E5928),1)</f>
        <v>1</v>
      </c>
      <c r="F5930" s="51" t="n">
        <f aca="false">IF(F5928&gt;0,MIN(1,F5929/F5928),1)</f>
        <v>1</v>
      </c>
      <c r="G5930" s="51" t="n">
        <f aca="false">IF(G5928&gt;0,MIN(1,G5929/G5928),1)</f>
        <v>1</v>
      </c>
      <c r="H5930" s="51" t="n">
        <f aca="false">IF(H5928&gt;0,MIN(1,H5929/H5928),1)</f>
        <v>1</v>
      </c>
      <c r="I5930" s="51" t="n">
        <f aca="false">IF(I5928&gt;0,MIN(1,I5929/I5928),1)</f>
        <v>1</v>
      </c>
      <c r="J5930" s="51" t="n">
        <f aca="false">IF(J5928&gt;0,MIN(1,J5929/J5928),1)</f>
        <v>1</v>
      </c>
      <c r="K5930" s="51" t="n">
        <f aca="false">IF(K5928&gt;0,MIN(1,K5929/K5928),1)</f>
        <v>1</v>
      </c>
      <c r="L5930" s="51" t="n">
        <f aca="false">IF(L5928&gt;0,MIN(1,L5929/L5928),1)</f>
        <v>1</v>
      </c>
      <c r="M5930" s="51" t="n">
        <f aca="false">IF(M5928&gt;0,MIN(1,M5929/M5928),1)</f>
        <v>1</v>
      </c>
      <c r="N5930" s="51" t="n">
        <f aca="false">IF(N5928&gt;0,MIN(1,N5929/N5928),1)</f>
        <v>1</v>
      </c>
      <c r="P5930" s="52"/>
      <c r="Q5930" s="52"/>
      <c r="R5930" s="52"/>
      <c r="S5930" s="53"/>
    </row>
    <row r="5931" customFormat="false" ht="15" hidden="false" customHeight="false" outlineLevel="0" collapsed="false">
      <c r="A5931" s="4" t="s">
        <v>525</v>
      </c>
      <c r="B5931" s="36" t="s">
        <v>125</v>
      </c>
      <c r="C5931" s="54" t="n">
        <f aca="false">C5928*(1-C5930)</f>
        <v>0</v>
      </c>
      <c r="D5931" s="54" t="n">
        <f aca="false">D5928*(1-D5930)</f>
        <v>0</v>
      </c>
      <c r="E5931" s="54" t="n">
        <f aca="false">E5928*(1-E5930)</f>
        <v>0</v>
      </c>
      <c r="F5931" s="54" t="n">
        <f aca="false">F5928*(1-F5930)</f>
        <v>0</v>
      </c>
      <c r="G5931" s="54" t="n">
        <f aca="false">G5928*(1-G5930)</f>
        <v>0</v>
      </c>
      <c r="H5931" s="54" t="n">
        <f aca="false">H5928*(1-H5930)</f>
        <v>0</v>
      </c>
      <c r="I5931" s="54" t="n">
        <f aca="false">I5928*(1-I5930)</f>
        <v>0</v>
      </c>
      <c r="J5931" s="54" t="n">
        <f aca="false">J5928*(1-J5930)</f>
        <v>0</v>
      </c>
      <c r="K5931" s="54" t="n">
        <f aca="false">K5928*(1-K5930)</f>
        <v>0</v>
      </c>
      <c r="L5931" s="54" t="n">
        <f aca="false">L5928*(1-L5930)</f>
        <v>0</v>
      </c>
      <c r="M5931" s="54" t="n">
        <f aca="false">M5928*(1-M5930)</f>
        <v>0</v>
      </c>
      <c r="N5931" s="54" t="n">
        <f aca="false">N5928*(1-N5930)</f>
        <v>0</v>
      </c>
      <c r="P5931" s="55" t="n">
        <f aca="false">SUM(C5931:F5931)</f>
        <v>0</v>
      </c>
      <c r="Q5931" s="55" t="n">
        <f aca="false">SUM(G5931:J5931)</f>
        <v>0</v>
      </c>
      <c r="R5931" s="55" t="n">
        <f aca="false">SUM(K5931:N5931)</f>
        <v>0</v>
      </c>
      <c r="S5931" s="56" t="n">
        <f aca="false">SUM(P5931:R5931)</f>
        <v>0</v>
      </c>
    </row>
    <row r="5932" customFormat="false" ht="15" hidden="false" customHeight="false" outlineLevel="0" collapsed="false">
      <c r="A5932" s="4" t="s">
        <v>526</v>
      </c>
      <c r="B5932" s="36" t="s">
        <v>527</v>
      </c>
      <c r="C5932" s="48" t="n">
        <f aca="false">C5926+C5927*C5930</f>
        <v>0</v>
      </c>
      <c r="D5932" s="48" t="n">
        <f aca="false">D5926+D5927*D5930</f>
        <v>0.866376445183821</v>
      </c>
      <c r="E5932" s="48" t="n">
        <f aca="false">E5926+E5927*E5930</f>
        <v>1.4850370503084</v>
      </c>
      <c r="F5932" s="48" t="n">
        <f aca="false">F5926+F5927*F5930</f>
        <v>1.63860741134595</v>
      </c>
      <c r="G5932" s="48" t="n">
        <f aca="false">G5926+G5927*G5930</f>
        <v>1.79532697390301</v>
      </c>
      <c r="H5932" s="48" t="n">
        <f aca="false">H5926+H5927*H5930</f>
        <v>2.31019678172994</v>
      </c>
      <c r="I5932" s="48" t="n">
        <f aca="false">I5926+I5927*I5930</f>
        <v>2.79111066507864</v>
      </c>
      <c r="J5932" s="48" t="n">
        <f aca="false">J5926+J5927*J5930</f>
        <v>4.1306930875438</v>
      </c>
      <c r="K5932" s="48" t="n">
        <f aca="false">K5926+K5927*K5930</f>
        <v>5.34315863355258</v>
      </c>
      <c r="L5932" s="48" t="n">
        <f aca="false">L5926+L5927*L5930</f>
        <v>5.38112462159553</v>
      </c>
      <c r="M5932" s="48" t="n">
        <f aca="false">M5926+M5927*M5930</f>
        <v>5.22179362206104</v>
      </c>
      <c r="N5932" s="48" t="n">
        <f aca="false">N5926+N5927*N5930</f>
        <v>5.07351941968866</v>
      </c>
      <c r="P5932" s="49" t="n">
        <f aca="false">SUM(C5932:F5932)</f>
        <v>3.99002090683817</v>
      </c>
      <c r="Q5932" s="49" t="n">
        <f aca="false">SUM(G5932:J5932)</f>
        <v>11.0273275082554</v>
      </c>
      <c r="R5932" s="49" t="n">
        <f aca="false">SUM(K5932:N5932)</f>
        <v>21.0195962968978</v>
      </c>
      <c r="S5932" s="50" t="n">
        <f aca="false">SUM(P5932:R5932)</f>
        <v>36.0369447119914</v>
      </c>
    </row>
    <row r="5933" customFormat="false" ht="15" hidden="false" customHeight="false" outlineLevel="0" collapsed="false">
      <c r="A5933" s="4" t="s">
        <v>528</v>
      </c>
      <c r="B5933" s="36" t="s">
        <v>527</v>
      </c>
      <c r="C5933" s="48" t="n">
        <f aca="false">C5923*C5930</f>
        <v>0</v>
      </c>
      <c r="D5933" s="48" t="n">
        <f aca="false">D5923*D5930</f>
        <v>0.434084974267145</v>
      </c>
      <c r="E5933" s="48" t="n">
        <f aca="false">E5923*E5930</f>
        <v>0.744055627726705</v>
      </c>
      <c r="F5933" s="48" t="n">
        <f aca="false">F5923*F5930</f>
        <v>0.820999762796119</v>
      </c>
      <c r="G5933" s="48" t="n">
        <f aca="false">G5923*G5930</f>
        <v>0.89952175823807</v>
      </c>
      <c r="H5933" s="48" t="n">
        <f aca="false">H5923*H5930</f>
        <v>1.13465516292283</v>
      </c>
      <c r="I5933" s="48" t="n">
        <f aca="false">I5923*I5930</f>
        <v>1.35487856174628</v>
      </c>
      <c r="J5933" s="48" t="n">
        <f aca="false">J5923*J5930</f>
        <v>1.88601088123353</v>
      </c>
      <c r="K5933" s="48" t="n">
        <f aca="false">K5923*K5930</f>
        <v>2.37581157552964</v>
      </c>
      <c r="L5933" s="48" t="n">
        <f aca="false">L5923*L5930</f>
        <v>2.3926929822134</v>
      </c>
      <c r="M5933" s="48" t="n">
        <f aca="false">M5923*M5930</f>
        <v>2.32184716628391</v>
      </c>
      <c r="N5933" s="48" t="n">
        <f aca="false">N5923*N5930</f>
        <v>2.25591770573287</v>
      </c>
      <c r="P5933" s="49" t="n">
        <f aca="false">SUM(C5933:F5933)</f>
        <v>1.99914036478997</v>
      </c>
      <c r="Q5933" s="49" t="n">
        <f aca="false">SUM(G5933:J5933)</f>
        <v>5.27506636414072</v>
      </c>
      <c r="R5933" s="49" t="n">
        <f aca="false">SUM(K5933:N5933)</f>
        <v>9.34626942975982</v>
      </c>
      <c r="S5933" s="50" t="n">
        <f aca="false">SUM(P5933:R5933)</f>
        <v>16.6204761586905</v>
      </c>
    </row>
    <row r="5934" customFormat="false" ht="15" hidden="false" customHeight="false" outlineLevel="0" collapsed="false">
      <c r="A5934" s="4" t="s">
        <v>529</v>
      </c>
      <c r="B5934" s="36" t="s">
        <v>527</v>
      </c>
      <c r="C5934" s="48" t="n">
        <f aca="false">C5924*C5930</f>
        <v>0</v>
      </c>
      <c r="D5934" s="48" t="n">
        <f aca="false">D5924*D5930</f>
        <v>0</v>
      </c>
      <c r="E5934" s="48" t="n">
        <f aca="false">E5924*E5930</f>
        <v>0.071275680959914</v>
      </c>
      <c r="F5934" s="48" t="n">
        <f aca="false">F5924*F5930</f>
        <v>0.122172096898336</v>
      </c>
      <c r="G5934" s="48" t="n">
        <f aca="false">G5924*G5930</f>
        <v>0.134806133891215</v>
      </c>
      <c r="H5934" s="48" t="n">
        <f aca="false">H5924*H5930</f>
        <v>0.147699251661313</v>
      </c>
      <c r="I5934" s="48" t="n">
        <f aca="false">I5924*I5930</f>
        <v>0.174259973058587</v>
      </c>
      <c r="J5934" s="48" t="n">
        <f aca="false">J5924*J5930</f>
        <v>0.19948212034567</v>
      </c>
      <c r="K5934" s="48" t="n">
        <f aca="false">K5924*K5930</f>
        <v>0.265355665717199</v>
      </c>
      <c r="L5934" s="48" t="n">
        <f aca="false">L5924*L5930</f>
        <v>0.327251866823927</v>
      </c>
      <c r="M5934" s="48" t="n">
        <f aca="false">M5924*M5930</f>
        <v>0.329577165643402</v>
      </c>
      <c r="N5934" s="48" t="n">
        <f aca="false">N5924*N5930</f>
        <v>0.319818636912259</v>
      </c>
      <c r="P5934" s="49" t="n">
        <f aca="false">SUM(C5934:F5934)</f>
        <v>0.19344777785825</v>
      </c>
      <c r="Q5934" s="49" t="n">
        <f aca="false">SUM(G5934:J5934)</f>
        <v>0.656247478956785</v>
      </c>
      <c r="R5934" s="49" t="n">
        <f aca="false">SUM(K5934:N5934)</f>
        <v>1.24200333509679</v>
      </c>
      <c r="S5934" s="50" t="n">
        <f aca="false">SUM(P5934:R5934)</f>
        <v>2.09169859191182</v>
      </c>
    </row>
    <row r="5935" customFormat="false" ht="15" hidden="false" customHeight="false" outlineLevel="0" collapsed="false">
      <c r="A5935" s="9" t="s">
        <v>530</v>
      </c>
      <c r="B5935" s="36" t="s">
        <v>527</v>
      </c>
      <c r="C5935" s="49" t="n">
        <f aca="false">C5932+C5933+C5934</f>
        <v>0</v>
      </c>
      <c r="D5935" s="49" t="n">
        <f aca="false">D5932+D5933+D5934</f>
        <v>1.30046141945097</v>
      </c>
      <c r="E5935" s="49" t="n">
        <f aca="false">E5932+E5933+E5934</f>
        <v>2.30036835899502</v>
      </c>
      <c r="F5935" s="49" t="n">
        <f aca="false">F5932+F5933+F5934</f>
        <v>2.58177927104041</v>
      </c>
      <c r="G5935" s="49" t="n">
        <f aca="false">G5932+G5933+G5934</f>
        <v>2.82965486603229</v>
      </c>
      <c r="H5935" s="49" t="n">
        <f aca="false">H5932+H5933+H5934</f>
        <v>3.59255119631409</v>
      </c>
      <c r="I5935" s="49" t="n">
        <f aca="false">I5932+I5933+I5934</f>
        <v>4.32024919988351</v>
      </c>
      <c r="J5935" s="49" t="n">
        <f aca="false">J5932+J5933+J5934</f>
        <v>6.216186089123</v>
      </c>
      <c r="K5935" s="49" t="n">
        <f aca="false">K5932+K5933+K5934</f>
        <v>7.98432587479941</v>
      </c>
      <c r="L5935" s="49" t="n">
        <f aca="false">L5932+L5933+L5934</f>
        <v>8.10106947063285</v>
      </c>
      <c r="M5935" s="49" t="n">
        <f aca="false">M5932+M5933+M5934</f>
        <v>7.87321795398836</v>
      </c>
      <c r="N5935" s="49" t="n">
        <f aca="false">N5932+N5933+N5934</f>
        <v>7.64925576233379</v>
      </c>
      <c r="P5935" s="49" t="n">
        <f aca="false">SUM(C5935:F5935)</f>
        <v>6.18260904948639</v>
      </c>
      <c r="Q5935" s="49" t="n">
        <f aca="false">SUM(G5935:J5935)</f>
        <v>16.9586413513529</v>
      </c>
      <c r="R5935" s="49" t="n">
        <f aca="false">SUM(K5935:N5935)</f>
        <v>31.6078690617544</v>
      </c>
      <c r="S5935" s="50" t="n">
        <f aca="false">SUM(P5935:R5935)</f>
        <v>54.7491194625937</v>
      </c>
    </row>
    <row r="5936" customFormat="false" ht="15" hidden="false" customHeight="false" outlineLevel="0" collapsed="false">
      <c r="A5936" s="35" t="s">
        <v>533</v>
      </c>
      <c r="B5936" s="35" t="s">
        <v>444</v>
      </c>
      <c r="C5936" s="6" t="s">
        <v>354</v>
      </c>
      <c r="D5936" s="6" t="s">
        <v>355</v>
      </c>
      <c r="E5936" s="6" t="s">
        <v>356</v>
      </c>
      <c r="F5936" s="6" t="s">
        <v>357</v>
      </c>
      <c r="G5936" s="6" t="s">
        <v>358</v>
      </c>
      <c r="H5936" s="6" t="s">
        <v>359</v>
      </c>
      <c r="I5936" s="6" t="s">
        <v>360</v>
      </c>
      <c r="J5936" s="6" t="s">
        <v>361</v>
      </c>
      <c r="K5936" s="6" t="s">
        <v>362</v>
      </c>
      <c r="L5936" s="6" t="s">
        <v>363</v>
      </c>
      <c r="M5936" s="6" t="s">
        <v>364</v>
      </c>
      <c r="N5936" s="6" t="s">
        <v>365</v>
      </c>
      <c r="P5936" s="6" t="s">
        <v>445</v>
      </c>
      <c r="Q5936" s="6" t="s">
        <v>446</v>
      </c>
      <c r="R5936" s="6" t="s">
        <v>447</v>
      </c>
      <c r="S5936" s="6" t="s">
        <v>448</v>
      </c>
    </row>
    <row r="5937" customFormat="false" ht="15" hidden="false" customHeight="false" outlineLevel="0" collapsed="false">
      <c r="A5937" s="4" t="s">
        <v>534</v>
      </c>
      <c r="B5937" s="36" t="s">
        <v>527</v>
      </c>
      <c r="C5937" s="48" t="n">
        <f aca="false">0*Assumptions!$D$59^(1/4)+C5932</f>
        <v>0</v>
      </c>
      <c r="D5937" s="48" t="n">
        <f aca="false">C5937*Assumptions!$D$59^(1/4)+D5932</f>
        <v>0.866376445183821</v>
      </c>
      <c r="E5937" s="48" t="n">
        <f aca="false">D5937*Assumptions!$D$59^(1/4)+E5932</f>
        <v>2.31691836159669</v>
      </c>
      <c r="F5937" s="48" t="n">
        <f aca="false">E5937*Assumptions!$D$59^(1/4)+F5932</f>
        <v>3.86327671705869</v>
      </c>
      <c r="G5937" s="48" t="n">
        <f aca="false">F5937*Assumptions!$D$59^(1/4)+G5932</f>
        <v>5.50478574222677</v>
      </c>
      <c r="H5937" s="48" t="n">
        <f aca="false">G5937*Assumptions!$D$59^(1/4)+H5932</f>
        <v>7.59580721938798</v>
      </c>
      <c r="I5937" s="48" t="n">
        <f aca="false">H5937*Assumptions!$D$59^(1/4)+I5932</f>
        <v>10.0844877012201</v>
      </c>
      <c r="J5937" s="48" t="n">
        <f aca="false">I5937*Assumptions!$D$59^(1/4)+J5932</f>
        <v>13.8136627702914</v>
      </c>
      <c r="K5937" s="48" t="n">
        <f aca="false">J5937*Assumptions!$D$59^(1/4)+K5932</f>
        <v>18.6068247488127</v>
      </c>
      <c r="L5937" s="48" t="n">
        <f aca="false">K5937*Assumptions!$D$59^(1/4)+L5932</f>
        <v>23.2471110031499</v>
      </c>
      <c r="M5937" s="48" t="n">
        <f aca="false">L5937*Assumptions!$D$59^(1/4)+M5932</f>
        <v>27.5433113554541</v>
      </c>
      <c r="N5937" s="48" t="n">
        <f aca="false">M5937*Assumptions!$D$59^(1/4)+N5932</f>
        <v>31.5201825243571</v>
      </c>
      <c r="P5937" s="49" t="n">
        <f aca="false">F5937</f>
        <v>3.86327671705869</v>
      </c>
      <c r="Q5937" s="49" t="n">
        <f aca="false">J5937</f>
        <v>13.8136627702914</v>
      </c>
      <c r="R5937" s="49" t="n">
        <f aca="false">N5937</f>
        <v>31.5201825243571</v>
      </c>
      <c r="S5937" s="50" t="n">
        <f aca="false">R5937</f>
        <v>31.5201825243571</v>
      </c>
    </row>
    <row r="5938" customFormat="false" ht="15" hidden="false" customHeight="false" outlineLevel="0" collapsed="false">
      <c r="A5938" s="4" t="s">
        <v>535</v>
      </c>
      <c r="B5938" s="36" t="s">
        <v>527</v>
      </c>
      <c r="C5938" s="48" t="n">
        <f aca="false">0*Assumptions!$D$60^(1/4)+C5933</f>
        <v>0</v>
      </c>
      <c r="D5938" s="48" t="n">
        <f aca="false">C5938*Assumptions!$D$60^(1/4)+D5933</f>
        <v>0.434084974267145</v>
      </c>
      <c r="E5938" s="48" t="n">
        <f aca="false">D5938*Assumptions!$D$60^(1/4)+E5933</f>
        <v>1.16207784636285</v>
      </c>
      <c r="F5938" s="48" t="n">
        <f aca="false">E5938*Assumptions!$D$60^(1/4)+F5933</f>
        <v>1.94007641451538</v>
      </c>
      <c r="G5938" s="48" t="n">
        <f aca="false">F5938*Assumptions!$D$60^(1/4)+G5933</f>
        <v>2.76780814269209</v>
      </c>
      <c r="H5938" s="48" t="n">
        <f aca="false">G5938*Assumptions!$D$60^(1/4)+H5933</f>
        <v>3.80004412857568</v>
      </c>
      <c r="I5938" s="48" t="n">
        <f aca="false">H5938*Assumptions!$D$60^(1/4)+I5933</f>
        <v>5.01430694952751</v>
      </c>
      <c r="J5938" s="48" t="n">
        <f aca="false">I5938*Assumptions!$D$60^(1/4)+J5933</f>
        <v>6.71476985752136</v>
      </c>
      <c r="K5938" s="48" t="n">
        <f aca="false">J5938*Assumptions!$D$60^(1/4)+K5933</f>
        <v>8.84211001907994</v>
      </c>
      <c r="L5938" s="48" t="n">
        <f aca="false">K5938*Assumptions!$D$60^(1/4)+L5933</f>
        <v>10.9076121033853</v>
      </c>
      <c r="M5938" s="48" t="n">
        <f aca="false">L5938*Assumptions!$D$60^(1/4)+M5933</f>
        <v>12.8258371262624</v>
      </c>
      <c r="N5938" s="48" t="n">
        <f aca="false">M5938*Assumptions!$D$60^(1/4)+N5933</f>
        <v>14.6071512411432</v>
      </c>
      <c r="P5938" s="49" t="n">
        <f aca="false">F5938</f>
        <v>1.94007641451538</v>
      </c>
      <c r="Q5938" s="49" t="n">
        <f aca="false">J5938</f>
        <v>6.71476985752136</v>
      </c>
      <c r="R5938" s="49" t="n">
        <f aca="false">N5938</f>
        <v>14.6071512411432</v>
      </c>
      <c r="S5938" s="50" t="n">
        <f aca="false">R5938</f>
        <v>14.6071512411432</v>
      </c>
    </row>
    <row r="5939" customFormat="false" ht="15" hidden="false" customHeight="false" outlineLevel="0" collapsed="false">
      <c r="A5939" s="4" t="s">
        <v>536</v>
      </c>
      <c r="B5939" s="36" t="s">
        <v>527</v>
      </c>
      <c r="C5939" s="48" t="n">
        <f aca="false">0*Assumptions!$D$61^(1/4)+C5934</f>
        <v>0</v>
      </c>
      <c r="D5939" s="48" t="n">
        <f aca="false">C5939*Assumptions!$D$61^(1/4)+D5934</f>
        <v>0</v>
      </c>
      <c r="E5939" s="48" t="n">
        <f aca="false">D5939*Assumptions!$D$61^(1/4)+E5934</f>
        <v>0.071275680959914</v>
      </c>
      <c r="F5939" s="48" t="n">
        <f aca="false">E5939*Assumptions!$D$61^(1/4)+F5934</f>
        <v>0.191205938741501</v>
      </c>
      <c r="G5939" s="48" t="n">
        <f aca="false">F5939*Assumptions!$D$61^(1/4)+G5934</f>
        <v>0.319998058497003</v>
      </c>
      <c r="H5939" s="48" t="n">
        <f aca="false">G5939*Assumptions!$D$61^(1/4)+H5934</f>
        <v>0.457632388221958</v>
      </c>
      <c r="I5939" s="48" t="n">
        <f aca="false">H5939*Assumptions!$D$61^(1/4)+I5934</f>
        <v>0.617498416877766</v>
      </c>
      <c r="J5939" s="48" t="n">
        <f aca="false">I5939*Assumptions!$D$61^(1/4)+J5934</f>
        <v>0.79755831512968</v>
      </c>
      <c r="K5939" s="48" t="n">
        <f aca="false">J5939*Assumptions!$D$61^(1/4)+K5934</f>
        <v>1.03782832183014</v>
      </c>
      <c r="L5939" s="48" t="n">
        <f aca="false">K5939*Assumptions!$D$61^(1/4)+L5934</f>
        <v>1.33243729984523</v>
      </c>
      <c r="M5939" s="48" t="n">
        <f aca="false">L5939*Assumptions!$D$61^(1/4)+M5934</f>
        <v>1.62010521931688</v>
      </c>
      <c r="N5939" s="48" t="n">
        <f aca="false">M5939*Assumptions!$D$61^(1/4)+N5934</f>
        <v>1.88896657030778</v>
      </c>
      <c r="P5939" s="49" t="n">
        <f aca="false">F5939</f>
        <v>0.191205938741501</v>
      </c>
      <c r="Q5939" s="49" t="n">
        <f aca="false">J5939</f>
        <v>0.79755831512968</v>
      </c>
      <c r="R5939" s="49" t="n">
        <f aca="false">N5939</f>
        <v>1.88896657030778</v>
      </c>
      <c r="S5939" s="50" t="n">
        <f aca="false">R5939</f>
        <v>1.88896657030778</v>
      </c>
    </row>
    <row r="5940" customFormat="false" ht="15" hidden="false" customHeight="false" outlineLevel="0" collapsed="false">
      <c r="A5940" s="9" t="s">
        <v>537</v>
      </c>
      <c r="B5940" s="36" t="s">
        <v>527</v>
      </c>
      <c r="C5940" s="49" t="n">
        <f aca="false">C5937+C5938+C5939</f>
        <v>0</v>
      </c>
      <c r="D5940" s="49" t="n">
        <f aca="false">D5937+D5938+D5939</f>
        <v>1.30046141945097</v>
      </c>
      <c r="E5940" s="49" t="n">
        <f aca="false">E5937+E5938+E5939</f>
        <v>3.55027188891945</v>
      </c>
      <c r="F5940" s="49" t="n">
        <f aca="false">F5937+F5938+F5939</f>
        <v>5.99455907031557</v>
      </c>
      <c r="G5940" s="49" t="n">
        <f aca="false">G5937+G5938+G5939</f>
        <v>8.59259194341586</v>
      </c>
      <c r="H5940" s="49" t="n">
        <f aca="false">H5937+H5938+H5939</f>
        <v>11.8534837361856</v>
      </c>
      <c r="I5940" s="49" t="n">
        <f aca="false">I5937+I5938+I5939</f>
        <v>15.7162930676253</v>
      </c>
      <c r="J5940" s="49" t="n">
        <f aca="false">J5937+J5938+J5939</f>
        <v>21.3259909429424</v>
      </c>
      <c r="K5940" s="49" t="n">
        <f aca="false">K5937+K5938+K5939</f>
        <v>28.4867630897228</v>
      </c>
      <c r="L5940" s="49" t="n">
        <f aca="false">L5937+L5938+L5939</f>
        <v>35.4871604063804</v>
      </c>
      <c r="M5940" s="49" t="n">
        <f aca="false">M5937+M5938+M5939</f>
        <v>41.9892537010334</v>
      </c>
      <c r="N5940" s="49" t="n">
        <f aca="false">N5937+N5938+N5939</f>
        <v>48.0163003358081</v>
      </c>
      <c r="P5940" s="49" t="n">
        <f aca="false">F5940</f>
        <v>5.99455907031557</v>
      </c>
      <c r="Q5940" s="49" t="n">
        <f aca="false">J5940</f>
        <v>21.3259909429424</v>
      </c>
      <c r="R5940" s="49" t="n">
        <f aca="false">N5940</f>
        <v>48.0163003358081</v>
      </c>
      <c r="S5940" s="50" t="n">
        <f aca="false">R5940</f>
        <v>48.0163003358081</v>
      </c>
    </row>
    <row r="5941" customFormat="false" ht="15" hidden="false" customHeight="false" outlineLevel="0" collapsed="false">
      <c r="A5941" s="4" t="s">
        <v>538</v>
      </c>
      <c r="B5941" s="36" t="s">
        <v>125</v>
      </c>
      <c r="C5941" s="54" t="n">
        <f aca="false">0*Assumptions!$E$62^(1/4)+C5932*$C$5881</f>
        <v>0</v>
      </c>
      <c r="D5941" s="54" t="n">
        <f aca="false">C5941*Assumptions!$E$62^(1/4)+D5932*$C$5881</f>
        <v>4636.84673462381</v>
      </c>
      <c r="E5941" s="54" t="n">
        <f aca="false">D5941*Assumptions!$E$62^(1/4)+E5932*$C$5881</f>
        <v>12584.7650278744</v>
      </c>
      <c r="F5941" s="54" t="n">
        <f aca="false">E5941*Assumptions!$E$62^(1/4)+F5932*$C$5881</f>
        <v>21354.5918933979</v>
      </c>
      <c r="G5941" s="54" t="n">
        <f aca="false">F5941*Assumptions!$E$62^(1/4)+G5932*$C$5881</f>
        <v>30963.1818577268</v>
      </c>
      <c r="H5941" s="54" t="n">
        <f aca="false">G5941*Assumptions!$E$62^(1/4)+H5932*$C$5881</f>
        <v>43327.3550335454</v>
      </c>
      <c r="I5941" s="54" t="n">
        <f aca="false">H5941*Assumptions!$E$62^(1/4)+I5932*$C$5881</f>
        <v>58265.3793130463</v>
      </c>
      <c r="J5941" s="54" t="n">
        <f aca="false">I5941*Assumptions!$E$62^(1/4)+J5932*$C$5881</f>
        <v>80372.8487175808</v>
      </c>
      <c r="K5941" s="54" t="n">
        <f aca="false">J5941*Assumptions!$E$62^(1/4)+K5932*$C$5881</f>
        <v>108969.433724354</v>
      </c>
      <c r="L5941" s="54" t="n">
        <f aca="false">K5941*Assumptions!$E$62^(1/4)+L5932*$C$5881</f>
        <v>137769.212699133</v>
      </c>
      <c r="M5941" s="54" t="n">
        <f aca="false">L5941*Assumptions!$E$62^(1/4)+M5932*$C$5881</f>
        <v>165716.252164404</v>
      </c>
      <c r="N5941" s="54" t="n">
        <f aca="false">M5941*Assumptions!$E$62^(1/4)+N5932*$C$5881</f>
        <v>192869.728098578</v>
      </c>
      <c r="P5941" s="55" t="n">
        <f aca="false">F5941</f>
        <v>21354.5918933979</v>
      </c>
      <c r="Q5941" s="55" t="n">
        <f aca="false">J5941</f>
        <v>80372.8487175808</v>
      </c>
      <c r="R5941" s="55" t="n">
        <f aca="false">N5941</f>
        <v>192869.728098578</v>
      </c>
      <c r="S5941" s="56" t="n">
        <f aca="false">R5941</f>
        <v>192869.728098578</v>
      </c>
    </row>
    <row r="5942" customFormat="false" ht="15" hidden="false" customHeight="false" outlineLevel="0" collapsed="false">
      <c r="A5942" s="4" t="s">
        <v>539</v>
      </c>
      <c r="B5942" s="36" t="s">
        <v>125</v>
      </c>
      <c r="C5942" s="54" t="n">
        <f aca="false">0*Assumptions!$E$63^(1/4)+C5933*$C$5882</f>
        <v>0</v>
      </c>
      <c r="D5942" s="54" t="n">
        <f aca="false">C5942*Assumptions!$E$63^(1/4)+D5933*$C$5882</f>
        <v>4239.58645576376</v>
      </c>
      <c r="E5942" s="54" t="n">
        <f aca="false">D5942*Assumptions!$E$63^(1/4)+E5933*$C$5882</f>
        <v>11568.780571464</v>
      </c>
      <c r="F5942" s="54" t="n">
        <f aca="false">E5942*Assumptions!$E$63^(1/4)+F5933*$C$5882</f>
        <v>19757.0139869302</v>
      </c>
      <c r="G5942" s="54" t="n">
        <f aca="false">F5942*Assumptions!$E$63^(1/4)+G5933*$C$5882</f>
        <v>28832.3026333607</v>
      </c>
      <c r="H5942" s="54" t="n">
        <f aca="false">G5942*Assumptions!$E$63^(1/4)+H5933*$C$5882</f>
        <v>40337.2428258018</v>
      </c>
      <c r="I5942" s="54" t="n">
        <f aca="false">H5942*Assumptions!$E$63^(1/4)+I5933*$C$5882</f>
        <v>54161.8650429175</v>
      </c>
      <c r="J5942" s="54" t="n">
        <f aca="false">I5942*Assumptions!$E$63^(1/4)+J5933*$C$5882</f>
        <v>73376.768355554</v>
      </c>
      <c r="K5942" s="54" t="n">
        <f aca="false">J5942*Assumptions!$E$63^(1/4)+K5933*$C$5882</f>
        <v>97657.3745036042</v>
      </c>
      <c r="L5942" s="54" t="n">
        <f aca="false">K5942*Assumptions!$E$63^(1/4)+L5933*$C$5882</f>
        <v>122459.146505613</v>
      </c>
      <c r="M5942" s="54" t="n">
        <f aca="false">L5942*Assumptions!$E$63^(1/4)+M5933*$C$5882</f>
        <v>146932.924638212</v>
      </c>
      <c r="N5942" s="54" t="n">
        <f aca="false">M5942*Assumptions!$E$63^(1/4)+N5933*$C$5882</f>
        <v>171121.912636854</v>
      </c>
      <c r="P5942" s="55" t="n">
        <f aca="false">F5942</f>
        <v>19757.0139869302</v>
      </c>
      <c r="Q5942" s="55" t="n">
        <f aca="false">J5942</f>
        <v>73376.768355554</v>
      </c>
      <c r="R5942" s="55" t="n">
        <f aca="false">N5942</f>
        <v>171121.912636854</v>
      </c>
      <c r="S5942" s="56" t="n">
        <f aca="false">R5942</f>
        <v>171121.912636854</v>
      </c>
    </row>
    <row r="5943" customFormat="false" ht="15" hidden="false" customHeight="false" outlineLevel="0" collapsed="false">
      <c r="A5943" s="4" t="s">
        <v>540</v>
      </c>
      <c r="B5943" s="36" t="s">
        <v>125</v>
      </c>
      <c r="C5943" s="54" t="n">
        <f aca="false">0*Assumptions!$E$64^(1/4)+C5934*$C$5883</f>
        <v>0</v>
      </c>
      <c r="D5943" s="54" t="n">
        <f aca="false">C5943*Assumptions!$E$64^(1/4)+D5934*$C$5883</f>
        <v>0</v>
      </c>
      <c r="E5943" s="54" t="n">
        <f aca="false">D5943*Assumptions!$E$64^(1/4)+E5934*$C$5883</f>
        <v>4403.28728055653</v>
      </c>
      <c r="F5943" s="54" t="n">
        <f aca="false">E5943*Assumptions!$E$64^(1/4)+F5934*$C$5883</f>
        <v>12107.4388108841</v>
      </c>
      <c r="G5943" s="54" t="n">
        <f aca="false">F5943*Assumptions!$E$64^(1/4)+G5934*$C$5883</f>
        <v>20866.0439239064</v>
      </c>
      <c r="H5943" s="54" t="n">
        <f aca="false">G5943*Assumptions!$E$64^(1/4)+H5934*$C$5883</f>
        <v>30732.6025192522</v>
      </c>
      <c r="I5943" s="54" t="n">
        <f aca="false">H5943*Assumptions!$E$64^(1/4)+I5934*$C$5883</f>
        <v>42590.8720102144</v>
      </c>
      <c r="J5943" s="54" t="n">
        <f aca="false">I5943*Assumptions!$E$64^(1/4)+J5934*$C$5883</f>
        <v>56428.9790305215</v>
      </c>
      <c r="K5943" s="54" t="n">
        <f aca="false">J5943*Assumptions!$E$64^(1/4)+K5934*$C$5883</f>
        <v>74828.6952807254</v>
      </c>
      <c r="L5943" s="54" t="n">
        <f aca="false">K5943*Assumptions!$E$64^(1/4)+L5934*$C$5883</f>
        <v>97706.5094169996</v>
      </c>
      <c r="M5943" s="54" t="n">
        <f aca="false">L5943*Assumptions!$E$64^(1/4)+M5934*$C$5883</f>
        <v>121541.467521117</v>
      </c>
      <c r="N5943" s="54" t="n">
        <f aca="false">M5943*Assumptions!$E$64^(1/4)+N5934*$C$5883</f>
        <v>145621.085996823</v>
      </c>
      <c r="P5943" s="55" t="n">
        <f aca="false">F5943</f>
        <v>12107.4388108841</v>
      </c>
      <c r="Q5943" s="55" t="n">
        <f aca="false">J5943</f>
        <v>56428.9790305215</v>
      </c>
      <c r="R5943" s="55" t="n">
        <f aca="false">N5943</f>
        <v>145621.085996823</v>
      </c>
      <c r="S5943" s="56" t="n">
        <f aca="false">R5943</f>
        <v>145621.085996823</v>
      </c>
    </row>
    <row r="5944" customFormat="false" ht="15" hidden="false" customHeight="false" outlineLevel="0" collapsed="false">
      <c r="A5944" s="9" t="s">
        <v>541</v>
      </c>
      <c r="B5944" s="36" t="s">
        <v>125</v>
      </c>
      <c r="C5944" s="55" t="n">
        <f aca="false">C5941+C5942+C5943</f>
        <v>0</v>
      </c>
      <c r="D5944" s="55" t="n">
        <f aca="false">D5941+D5942+D5943</f>
        <v>8876.43319038757</v>
      </c>
      <c r="E5944" s="55" t="n">
        <f aca="false">E5941+E5942+E5943</f>
        <v>28556.8328798949</v>
      </c>
      <c r="F5944" s="55" t="n">
        <f aca="false">F5941+F5942+F5943</f>
        <v>53219.0446912122</v>
      </c>
      <c r="G5944" s="55" t="n">
        <f aca="false">G5941+G5942+G5943</f>
        <v>80661.5284149939</v>
      </c>
      <c r="H5944" s="55" t="n">
        <f aca="false">H5941+H5942+H5943</f>
        <v>114397.200378599</v>
      </c>
      <c r="I5944" s="55" t="n">
        <f aca="false">I5941+I5942+I5943</f>
        <v>155018.116366178</v>
      </c>
      <c r="J5944" s="55" t="n">
        <f aca="false">J5941+J5942+J5943</f>
        <v>210178.596103656</v>
      </c>
      <c r="K5944" s="55" t="n">
        <f aca="false">K5941+K5942+K5943</f>
        <v>281455.503508684</v>
      </c>
      <c r="L5944" s="55" t="n">
        <f aca="false">L5941+L5942+L5943</f>
        <v>357934.868621746</v>
      </c>
      <c r="M5944" s="55" t="n">
        <f aca="false">M5941+M5942+M5943</f>
        <v>434190.644323734</v>
      </c>
      <c r="N5944" s="55" t="n">
        <f aca="false">N5941+N5942+N5943</f>
        <v>509612.726732255</v>
      </c>
      <c r="P5944" s="55" t="n">
        <f aca="false">F5944</f>
        <v>53219.0446912122</v>
      </c>
      <c r="Q5944" s="55" t="n">
        <f aca="false">J5944</f>
        <v>210178.596103656</v>
      </c>
      <c r="R5944" s="55" t="n">
        <f aca="false">N5944</f>
        <v>509612.726732255</v>
      </c>
      <c r="S5944" s="56" t="n">
        <f aca="false">R5944</f>
        <v>509612.726732255</v>
      </c>
    </row>
    <row r="5945" customFormat="false" ht="15" hidden="false" customHeight="false" outlineLevel="0" collapsed="false">
      <c r="A5945" s="4" t="s">
        <v>542</v>
      </c>
      <c r="B5945" s="36" t="s">
        <v>125</v>
      </c>
      <c r="C5945" s="54" t="n">
        <f aca="false">C5932*$C$5881+C5933*$C$5882+C5934*$C$5883</f>
        <v>0</v>
      </c>
      <c r="D5945" s="54" t="n">
        <f aca="false">D5932*$C$5881+D5933*$C$5882+D5934*$C$5883</f>
        <v>8876.43319038757</v>
      </c>
      <c r="E5945" s="54" t="n">
        <f aca="false">E5932*$C$5881+E5933*$C$5882+E5934*$C$5883</f>
        <v>19618.1886500368</v>
      </c>
      <c r="F5945" s="54" t="n">
        <f aca="false">F5932*$C$5881+F5933*$C$5882+F5934*$C$5883</f>
        <v>24335.8808795765</v>
      </c>
      <c r="G5945" s="54" t="n">
        <f aca="false">G5932*$C$5881+G5933*$C$5882+G5934*$C$5883</f>
        <v>26722.0551062465</v>
      </c>
      <c r="H5945" s="54" t="n">
        <f aca="false">H5932*$C$5881+H5933*$C$5882+H5934*$C$5883</f>
        <v>32570.6348072815</v>
      </c>
      <c r="I5945" s="54" t="n">
        <f aca="false">I5932*$C$5881+I5933*$C$5882+I5934*$C$5883</f>
        <v>38936.2212649288</v>
      </c>
      <c r="J5945" s="54" t="n">
        <f aca="false">J5932*$C$5881+J5933*$C$5882+J5934*$C$5883</f>
        <v>52851.2673832351</v>
      </c>
      <c r="K5945" s="54" t="n">
        <f aca="false">K5932*$C$5881+K5933*$C$5882+K5934*$C$5883</f>
        <v>68193.6820495777</v>
      </c>
      <c r="L5945" s="54" t="n">
        <f aca="false">L5932*$C$5881+L5933*$C$5882+L5934*$C$5883</f>
        <v>72385.5913630249</v>
      </c>
      <c r="M5945" s="54" t="n">
        <f aca="false">M5932*$C$5881+M5933*$C$5882+M5934*$C$5883</f>
        <v>70984.5735032962</v>
      </c>
      <c r="N5945" s="54" t="n">
        <f aca="false">N5932*$C$5881+N5933*$C$5882+N5934*$C$5883</f>
        <v>68944.2304944803</v>
      </c>
      <c r="P5945" s="55" t="n">
        <f aca="false">SUM(C5945:F5945)</f>
        <v>52830.5027200009</v>
      </c>
      <c r="Q5945" s="55" t="n">
        <f aca="false">SUM(G5945:J5945)</f>
        <v>151080.178561692</v>
      </c>
      <c r="R5945" s="55" t="n">
        <f aca="false">SUM(K5945:N5945)</f>
        <v>280508.077410379</v>
      </c>
      <c r="S5945" s="56" t="n">
        <f aca="false">SUM(P5945:R5945)</f>
        <v>484418.758692072</v>
      </c>
    </row>
    <row r="5946" customFormat="false" ht="15" hidden="false" customHeight="false" outlineLevel="0" collapsed="false">
      <c r="A5946" s="9" t="s">
        <v>543</v>
      </c>
      <c r="B5946" s="36" t="s">
        <v>125</v>
      </c>
      <c r="C5946" s="55" t="n">
        <f aca="false">(0+C5944)/8</f>
        <v>0</v>
      </c>
      <c r="D5946" s="55" t="n">
        <f aca="false">(C5944+D5944)/8</f>
        <v>1109.55414879845</v>
      </c>
      <c r="E5946" s="55" t="n">
        <f aca="false">(D5944+E5944)/8</f>
        <v>4679.15825878531</v>
      </c>
      <c r="F5946" s="55" t="n">
        <f aca="false">(E5944+F5944)/8</f>
        <v>10221.9846963884</v>
      </c>
      <c r="G5946" s="55" t="n">
        <f aca="false">(F5944+G5944)/8</f>
        <v>16735.0716382758</v>
      </c>
      <c r="H5946" s="55" t="n">
        <f aca="false">(G5944+H5944)/8</f>
        <v>24382.3410991992</v>
      </c>
      <c r="I5946" s="55" t="n">
        <f aca="false">(H5944+I5944)/8</f>
        <v>33676.9145930972</v>
      </c>
      <c r="J5946" s="55" t="n">
        <f aca="false">(I5944+J5944)/8</f>
        <v>45649.5890587293</v>
      </c>
      <c r="K5946" s="55" t="n">
        <f aca="false">(J5944+K5944)/8</f>
        <v>61454.2624515425</v>
      </c>
      <c r="L5946" s="55" t="n">
        <f aca="false">(K5944+L5944)/8</f>
        <v>79923.7965163037</v>
      </c>
      <c r="M5946" s="55" t="n">
        <f aca="false">(L5944+M5944)/8</f>
        <v>99015.6891181849</v>
      </c>
      <c r="N5946" s="55" t="n">
        <f aca="false">(M5944+N5944)/8</f>
        <v>117975.421381999</v>
      </c>
      <c r="P5946" s="55" t="n">
        <f aca="false">SUM(C5946:F5946)</f>
        <v>16010.6971039722</v>
      </c>
      <c r="Q5946" s="55" t="n">
        <f aca="false">SUM(G5946:J5946)</f>
        <v>120443.916389301</v>
      </c>
      <c r="R5946" s="55" t="n">
        <f aca="false">SUM(K5946:N5946)</f>
        <v>358369.16946803</v>
      </c>
      <c r="S5946" s="56" t="n">
        <f aca="false">SUM(P5946:R5946)</f>
        <v>494823.782961303</v>
      </c>
    </row>
    <row r="5947" customFormat="false" ht="15" hidden="false" customHeight="false" outlineLevel="0" collapsed="false">
      <c r="A5947" s="4" t="s">
        <v>544</v>
      </c>
      <c r="B5947" s="36" t="s">
        <v>125</v>
      </c>
      <c r="C5947" s="54" t="n">
        <f aca="false">C5946*Assumptions!$E$76</f>
        <v>0</v>
      </c>
      <c r="D5947" s="54" t="n">
        <f aca="false">D5946*Assumptions!$E$76</f>
        <v>721.21019671899</v>
      </c>
      <c r="E5947" s="54" t="n">
        <f aca="false">E5946*Assumptions!$E$76</f>
        <v>3041.45286821045</v>
      </c>
      <c r="F5947" s="54" t="n">
        <f aca="false">F5946*Assumptions!$E$76</f>
        <v>6644.29005265246</v>
      </c>
      <c r="G5947" s="54" t="n">
        <f aca="false">G5946*Assumptions!$E$76</f>
        <v>10877.7965648792</v>
      </c>
      <c r="H5947" s="54" t="n">
        <f aca="false">H5946*Assumptions!$E$76</f>
        <v>15848.5217144795</v>
      </c>
      <c r="I5947" s="54" t="n">
        <f aca="false">I5946*Assumptions!$E$76</f>
        <v>21889.9944855132</v>
      </c>
      <c r="J5947" s="54" t="n">
        <f aca="false">J5946*Assumptions!$E$76</f>
        <v>29672.2328881741</v>
      </c>
      <c r="K5947" s="54" t="n">
        <f aca="false">K5946*Assumptions!$E$76</f>
        <v>39945.2705935026</v>
      </c>
      <c r="L5947" s="54" t="n">
        <f aca="false">L5946*Assumptions!$E$76</f>
        <v>51950.4677355974</v>
      </c>
      <c r="M5947" s="54" t="n">
        <f aca="false">M5946*Assumptions!$E$76</f>
        <v>64360.1979268202</v>
      </c>
      <c r="N5947" s="54" t="n">
        <f aca="false">N5946*Assumptions!$E$76</f>
        <v>76684.0238982991</v>
      </c>
      <c r="P5947" s="55" t="n">
        <f aca="false">SUM(C5947:F5947)</f>
        <v>10406.9531175819</v>
      </c>
      <c r="Q5947" s="55" t="n">
        <f aca="false">SUM(G5947:J5947)</f>
        <v>78288.545653046</v>
      </c>
      <c r="R5947" s="55" t="n">
        <f aca="false">SUM(K5947:N5947)</f>
        <v>232939.960154219</v>
      </c>
      <c r="S5947" s="56" t="n">
        <f aca="false">SUM(P5947:R5947)</f>
        <v>321635.458924847</v>
      </c>
    </row>
    <row r="5948" customFormat="false" ht="15" hidden="false" customHeight="false" outlineLevel="0" collapsed="false">
      <c r="A5948" s="35" t="s">
        <v>547</v>
      </c>
      <c r="B5948" s="35" t="s">
        <v>444</v>
      </c>
      <c r="C5948" s="6" t="s">
        <v>354</v>
      </c>
      <c r="D5948" s="6" t="s">
        <v>355</v>
      </c>
      <c r="E5948" s="6" t="s">
        <v>356</v>
      </c>
      <c r="F5948" s="6" t="s">
        <v>357</v>
      </c>
      <c r="G5948" s="6" t="s">
        <v>358</v>
      </c>
      <c r="H5948" s="6" t="s">
        <v>359</v>
      </c>
      <c r="I5948" s="6" t="s">
        <v>360</v>
      </c>
      <c r="J5948" s="6" t="s">
        <v>361</v>
      </c>
      <c r="K5948" s="6" t="s">
        <v>362</v>
      </c>
      <c r="L5948" s="6" t="s">
        <v>363</v>
      </c>
      <c r="M5948" s="6" t="s">
        <v>364</v>
      </c>
      <c r="N5948" s="6" t="s">
        <v>365</v>
      </c>
      <c r="P5948" s="6" t="s">
        <v>445</v>
      </c>
      <c r="Q5948" s="6" t="s">
        <v>446</v>
      </c>
      <c r="R5948" s="6" t="s">
        <v>447</v>
      </c>
      <c r="S5948" s="6" t="s">
        <v>448</v>
      </c>
    </row>
    <row r="5949" customFormat="false" ht="15" hidden="false" customHeight="false" outlineLevel="0" collapsed="false">
      <c r="A5949" s="4" t="s">
        <v>548</v>
      </c>
      <c r="B5949" s="36" t="s">
        <v>321</v>
      </c>
      <c r="C5949" s="48" t="n">
        <f aca="false">Assumptions!$D$97*C5891</f>
        <v>1</v>
      </c>
      <c r="D5949" s="48" t="n">
        <f aca="false">Assumptions!$D$97*D5891</f>
        <v>1</v>
      </c>
      <c r="E5949" s="48" t="n">
        <f aca="false">Assumptions!$D$97*E5891</f>
        <v>1</v>
      </c>
      <c r="F5949" s="48" t="n">
        <f aca="false">Assumptions!$D$97*F5891</f>
        <v>1</v>
      </c>
      <c r="G5949" s="48" t="n">
        <f aca="false">Assumptions!$D$97*G5891</f>
        <v>1</v>
      </c>
      <c r="H5949" s="48" t="n">
        <f aca="false">Assumptions!$D$97*H5891</f>
        <v>1</v>
      </c>
      <c r="I5949" s="48" t="n">
        <f aca="false">Assumptions!$D$97*I5891</f>
        <v>1</v>
      </c>
      <c r="J5949" s="48" t="n">
        <f aca="false">Assumptions!$D$97*J5891</f>
        <v>1</v>
      </c>
      <c r="K5949" s="48" t="n">
        <f aca="false">Assumptions!$D$97*K5891</f>
        <v>1</v>
      </c>
      <c r="L5949" s="48" t="n">
        <f aca="false">Assumptions!$D$97*L5891</f>
        <v>1</v>
      </c>
      <c r="M5949" s="48" t="n">
        <f aca="false">Assumptions!$D$97*M5891</f>
        <v>1</v>
      </c>
      <c r="N5949" s="48" t="n">
        <f aca="false">Assumptions!$D$97*N5891</f>
        <v>1</v>
      </c>
      <c r="P5949" s="49" t="n">
        <f aca="false">AVERAGE(C5949:F5949)</f>
        <v>1</v>
      </c>
      <c r="Q5949" s="49" t="n">
        <f aca="false">AVERAGE(G5949:J5949)</f>
        <v>1</v>
      </c>
      <c r="R5949" s="49" t="n">
        <f aca="false">AVERAGE(K5949:N5949)</f>
        <v>1</v>
      </c>
      <c r="S5949" s="50"/>
    </row>
    <row r="5950" customFormat="false" ht="15" hidden="false" customHeight="false" outlineLevel="0" collapsed="false">
      <c r="A5950" s="4" t="s">
        <v>549</v>
      </c>
      <c r="B5950" s="36" t="s">
        <v>321</v>
      </c>
      <c r="C5950" s="48" t="n">
        <f aca="false">C5904*C5891</f>
        <v>0</v>
      </c>
      <c r="D5950" s="48" t="n">
        <f aca="false">D5904*D5891</f>
        <v>0</v>
      </c>
      <c r="E5950" s="48" t="n">
        <f aca="false">E5904*E5891</f>
        <v>0</v>
      </c>
      <c r="F5950" s="48" t="n">
        <f aca="false">F5904*F5891</f>
        <v>0</v>
      </c>
      <c r="G5950" s="48" t="n">
        <f aca="false">G5904*G5891</f>
        <v>0</v>
      </c>
      <c r="H5950" s="48" t="n">
        <f aca="false">H5904*H5891</f>
        <v>0</v>
      </c>
      <c r="I5950" s="48" t="n">
        <f aca="false">I5904*I5891</f>
        <v>0</v>
      </c>
      <c r="J5950" s="48" t="n">
        <f aca="false">J5904*J5891</f>
        <v>0</v>
      </c>
      <c r="K5950" s="48" t="n">
        <f aca="false">K5904*K5891</f>
        <v>0</v>
      </c>
      <c r="L5950" s="48" t="n">
        <f aca="false">L5904*L5891</f>
        <v>0</v>
      </c>
      <c r="M5950" s="48" t="n">
        <f aca="false">M5904*M5891</f>
        <v>0</v>
      </c>
      <c r="N5950" s="48" t="n">
        <f aca="false">N5904*N5891</f>
        <v>0</v>
      </c>
      <c r="P5950" s="49" t="n">
        <f aca="false">AVERAGE(C5950:F5950)</f>
        <v>0</v>
      </c>
      <c r="Q5950" s="49" t="n">
        <f aca="false">AVERAGE(G5950:J5950)</f>
        <v>0</v>
      </c>
      <c r="R5950" s="49" t="n">
        <f aca="false">AVERAGE(K5950:N5950)</f>
        <v>0</v>
      </c>
      <c r="S5950" s="50"/>
    </row>
    <row r="5951" customFormat="false" ht="15" hidden="false" customHeight="false" outlineLevel="0" collapsed="false">
      <c r="A5951" s="4" t="s">
        <v>550</v>
      </c>
      <c r="B5951" s="36" t="s">
        <v>321</v>
      </c>
      <c r="C5951" s="48" t="n">
        <f aca="false">IF(C5890&lt;=4,Assumptions!$D$98,Assumptions!$D$99)*C5891</f>
        <v>0</v>
      </c>
      <c r="D5951" s="48" t="n">
        <f aca="false">IF(D5890&lt;=4,Assumptions!$D$98,Assumptions!$D$99)*D5891</f>
        <v>0</v>
      </c>
      <c r="E5951" s="48" t="n">
        <f aca="false">IF(E5890&lt;=4,Assumptions!$D$98,Assumptions!$D$99)*E5891</f>
        <v>0</v>
      </c>
      <c r="F5951" s="48" t="n">
        <f aca="false">IF(F5890&lt;=4,Assumptions!$D$98,Assumptions!$D$99)*F5891</f>
        <v>0</v>
      </c>
      <c r="G5951" s="48" t="n">
        <f aca="false">IF(G5890&lt;=4,Assumptions!$D$98,Assumptions!$D$99)*G5891</f>
        <v>0.5</v>
      </c>
      <c r="H5951" s="48" t="n">
        <f aca="false">IF(H5890&lt;=4,Assumptions!$D$98,Assumptions!$D$99)*H5891</f>
        <v>0.5</v>
      </c>
      <c r="I5951" s="48" t="n">
        <f aca="false">IF(I5890&lt;=4,Assumptions!$D$98,Assumptions!$D$99)*I5891</f>
        <v>0.5</v>
      </c>
      <c r="J5951" s="48" t="n">
        <f aca="false">IF(J5890&lt;=4,Assumptions!$D$98,Assumptions!$D$99)*J5891</f>
        <v>0.5</v>
      </c>
      <c r="K5951" s="48" t="n">
        <f aca="false">IF(K5890&lt;=4,Assumptions!$D$98,Assumptions!$D$99)*K5891</f>
        <v>0.5</v>
      </c>
      <c r="L5951" s="48" t="n">
        <f aca="false">IF(L5890&lt;=4,Assumptions!$D$98,Assumptions!$D$99)*L5891</f>
        <v>0.5</v>
      </c>
      <c r="M5951" s="48" t="n">
        <f aca="false">IF(M5890&lt;=4,Assumptions!$D$98,Assumptions!$D$99)*M5891</f>
        <v>0.5</v>
      </c>
      <c r="N5951" s="48" t="n">
        <f aca="false">IF(N5890&lt;=4,Assumptions!$D$98,Assumptions!$D$99)*N5891</f>
        <v>0.5</v>
      </c>
      <c r="P5951" s="49" t="n">
        <f aca="false">AVERAGE(C5951:F5951)</f>
        <v>0</v>
      </c>
      <c r="Q5951" s="49" t="n">
        <f aca="false">AVERAGE(G5951:J5951)</f>
        <v>0.5</v>
      </c>
      <c r="R5951" s="49" t="n">
        <f aca="false">AVERAGE(K5951:N5951)</f>
        <v>0.5</v>
      </c>
      <c r="S5951" s="50"/>
    </row>
    <row r="5952" customFormat="false" ht="15" hidden="false" customHeight="false" outlineLevel="0" collapsed="false">
      <c r="A5952" s="4" t="s">
        <v>551</v>
      </c>
      <c r="B5952" s="36" t="s">
        <v>321</v>
      </c>
      <c r="C5952" s="48" t="n">
        <f aca="false">IF(C5890&lt;=4,Assumptions!$D$100,Assumptions!$D$101)*C5891</f>
        <v>1</v>
      </c>
      <c r="D5952" s="48" t="n">
        <f aca="false">IF(D5890&lt;=4,Assumptions!$D$100,Assumptions!$D$101)*D5891</f>
        <v>1</v>
      </c>
      <c r="E5952" s="48" t="n">
        <f aca="false">IF(E5890&lt;=4,Assumptions!$D$100,Assumptions!$D$101)*E5891</f>
        <v>1</v>
      </c>
      <c r="F5952" s="48" t="n">
        <f aca="false">IF(F5890&lt;=4,Assumptions!$D$100,Assumptions!$D$101)*F5891</f>
        <v>1</v>
      </c>
      <c r="G5952" s="48" t="n">
        <f aca="false">IF(G5890&lt;=4,Assumptions!$D$100,Assumptions!$D$101)*G5891</f>
        <v>0.5</v>
      </c>
      <c r="H5952" s="48" t="n">
        <f aca="false">IF(H5890&lt;=4,Assumptions!$D$100,Assumptions!$D$101)*H5891</f>
        <v>0.5</v>
      </c>
      <c r="I5952" s="48" t="n">
        <f aca="false">IF(I5890&lt;=4,Assumptions!$D$100,Assumptions!$D$101)*I5891</f>
        <v>0.5</v>
      </c>
      <c r="J5952" s="48" t="n">
        <f aca="false">IF(J5890&lt;=4,Assumptions!$D$100,Assumptions!$D$101)*J5891</f>
        <v>0.5</v>
      </c>
      <c r="K5952" s="48" t="n">
        <f aca="false">IF(K5890&lt;=4,Assumptions!$D$100,Assumptions!$D$101)*K5891</f>
        <v>0.5</v>
      </c>
      <c r="L5952" s="48" t="n">
        <f aca="false">IF(L5890&lt;=4,Assumptions!$D$100,Assumptions!$D$101)*L5891</f>
        <v>0.5</v>
      </c>
      <c r="M5952" s="48" t="n">
        <f aca="false">IF(M5890&lt;=4,Assumptions!$D$100,Assumptions!$D$101)*M5891</f>
        <v>0.5</v>
      </c>
      <c r="N5952" s="48" t="n">
        <f aca="false">IF(N5890&lt;=4,Assumptions!$D$100,Assumptions!$D$101)*N5891</f>
        <v>0.5</v>
      </c>
      <c r="P5952" s="49" t="n">
        <f aca="false">AVERAGE(C5952:F5952)</f>
        <v>1</v>
      </c>
      <c r="Q5952" s="49" t="n">
        <f aca="false">AVERAGE(G5952:J5952)</f>
        <v>0.5</v>
      </c>
      <c r="R5952" s="49" t="n">
        <f aca="false">AVERAGE(K5952:N5952)</f>
        <v>0.5</v>
      </c>
      <c r="S5952" s="50"/>
    </row>
    <row r="5953" customFormat="false" ht="15" hidden="false" customHeight="false" outlineLevel="0" collapsed="false">
      <c r="A5953" s="4" t="s">
        <v>552</v>
      </c>
      <c r="B5953" s="36" t="s">
        <v>321</v>
      </c>
      <c r="C5953" s="48" t="n">
        <f aca="false">Assumptions!$D$102*C5891</f>
        <v>0.25</v>
      </c>
      <c r="D5953" s="48" t="n">
        <f aca="false">Assumptions!$D$102*D5891</f>
        <v>0.25</v>
      </c>
      <c r="E5953" s="48" t="n">
        <f aca="false">Assumptions!$D$102*E5891</f>
        <v>0.25</v>
      </c>
      <c r="F5953" s="48" t="n">
        <f aca="false">Assumptions!$D$102*F5891</f>
        <v>0.25</v>
      </c>
      <c r="G5953" s="48" t="n">
        <f aca="false">Assumptions!$D$102*G5891</f>
        <v>0.25</v>
      </c>
      <c r="H5953" s="48" t="n">
        <f aca="false">Assumptions!$D$102*H5891</f>
        <v>0.25</v>
      </c>
      <c r="I5953" s="48" t="n">
        <f aca="false">Assumptions!$D$102*I5891</f>
        <v>0.25</v>
      </c>
      <c r="J5953" s="48" t="n">
        <f aca="false">Assumptions!$D$102*J5891</f>
        <v>0.25</v>
      </c>
      <c r="K5953" s="48" t="n">
        <f aca="false">Assumptions!$D$102*K5891</f>
        <v>0.25</v>
      </c>
      <c r="L5953" s="48" t="n">
        <f aca="false">Assumptions!$D$102*L5891</f>
        <v>0.25</v>
      </c>
      <c r="M5953" s="48" t="n">
        <f aca="false">Assumptions!$D$102*M5891</f>
        <v>0.25</v>
      </c>
      <c r="N5953" s="48" t="n">
        <f aca="false">Assumptions!$D$102*N5891</f>
        <v>0.25</v>
      </c>
      <c r="P5953" s="49" t="n">
        <f aca="false">AVERAGE(C5953:F5953)</f>
        <v>0.25</v>
      </c>
      <c r="Q5953" s="49" t="n">
        <f aca="false">AVERAGE(G5953:J5953)</f>
        <v>0.25</v>
      </c>
      <c r="R5953" s="49" t="n">
        <f aca="false">AVERAGE(K5953:N5953)</f>
        <v>0.25</v>
      </c>
      <c r="S5953" s="50"/>
    </row>
    <row r="5954" customFormat="false" ht="15" hidden="false" customHeight="false" outlineLevel="0" collapsed="false">
      <c r="A5954" s="4" t="s">
        <v>553</v>
      </c>
      <c r="B5954" s="36" t="s">
        <v>321</v>
      </c>
      <c r="C5954" s="48" t="n">
        <f aca="false">(C5938+C5939)/Assumptions!$E$74+C5937/Assumptions!$E$75</f>
        <v>0</v>
      </c>
      <c r="D5954" s="48" t="n">
        <f aca="false">(D5938+D5939)/Assumptions!$E$74+D5937/Assumptions!$E$75</f>
        <v>0.0143176301374139</v>
      </c>
      <c r="E5954" s="48" t="n">
        <f aca="false">(E5938+E5939)/Assumptions!$E$74+E5937/Assumptions!$E$75</f>
        <v>0.0401015116294559</v>
      </c>
      <c r="F5954" s="48" t="n">
        <f aca="false">(F5938+F5939)/Assumptions!$E$74+F5937/Assumptions!$E$75</f>
        <v>0.0687351656996568</v>
      </c>
      <c r="G5954" s="48" t="n">
        <f aca="false">(G5938+G5939)/Assumptions!$E$74+G5937/Assumptions!$E$75</f>
        <v>0.0992142979986345</v>
      </c>
      <c r="H5954" s="48" t="n">
        <f aca="false">(H5938+H5939)/Assumptions!$E$74+H5937/Assumptions!$E$75</f>
        <v>0.136825141797493</v>
      </c>
      <c r="I5954" s="48" t="n">
        <f aca="false">(I5938+I5939)/Assumptions!$E$74+I5937/Assumptions!$E$75</f>
        <v>0.181133084965012</v>
      </c>
      <c r="J5954" s="48" t="n">
        <f aca="false">(J5938+J5939)/Assumptions!$E$74+J5937/Assumptions!$E$75</f>
        <v>0.243062855397441</v>
      </c>
      <c r="K5954" s="48" t="n">
        <f aca="false">(K5938+K5939)/Assumptions!$E$74+K5937/Assumptions!$E$75</f>
        <v>0.321425757518003</v>
      </c>
      <c r="L5954" s="48" t="n">
        <f aca="false">(L5938+L5939)/Assumptions!$E$74+L5937/Assumptions!$E$75</f>
        <v>0.398989679093362</v>
      </c>
      <c r="M5954" s="48" t="n">
        <f aca="false">(M5938+M5939)/Assumptions!$E$74+M5937/Assumptions!$E$75</f>
        <v>0.471321804061299</v>
      </c>
      <c r="N5954" s="48" t="n">
        <f aca="false">(N5938+N5939)/Assumptions!$E$74+N5937/Assumptions!$E$75</f>
        <v>0.538483675383703</v>
      </c>
      <c r="P5954" s="49" t="n">
        <f aca="false">AVERAGE(C5954:F5954)</f>
        <v>0.0307885768666317</v>
      </c>
      <c r="Q5954" s="49" t="n">
        <f aca="false">AVERAGE(G5954:J5954)</f>
        <v>0.165058845039645</v>
      </c>
      <c r="R5954" s="49" t="n">
        <f aca="false">AVERAGE(K5954:N5954)</f>
        <v>0.432555229014092</v>
      </c>
      <c r="S5954" s="50"/>
    </row>
    <row r="5955" customFormat="false" ht="15" hidden="false" customHeight="false" outlineLevel="0" collapsed="false">
      <c r="A5955" s="4" t="s">
        <v>554</v>
      </c>
      <c r="B5955" s="36" t="s">
        <v>125</v>
      </c>
      <c r="C5955" s="54" t="n">
        <f aca="false">(C5949+C5951)*Assumptions!$E$70/Assumptions!$E$69/4</f>
        <v>66753.5714285714</v>
      </c>
      <c r="D5955" s="54" t="n">
        <f aca="false">(D5949+D5951)*Assumptions!$E$70/Assumptions!$E$69/4</f>
        <v>66753.5714285714</v>
      </c>
      <c r="E5955" s="54" t="n">
        <f aca="false">(E5949+E5951)*Assumptions!$E$70/Assumptions!$E$69/4</f>
        <v>66753.5714285714</v>
      </c>
      <c r="F5955" s="54" t="n">
        <f aca="false">(F5949+F5951)*Assumptions!$E$70/Assumptions!$E$69/4</f>
        <v>66753.5714285714</v>
      </c>
      <c r="G5955" s="54" t="n">
        <f aca="false">(G5949+G5951)*Assumptions!$E$70/Assumptions!$E$69/4</f>
        <v>100130.357142857</v>
      </c>
      <c r="H5955" s="54" t="n">
        <f aca="false">(H5949+H5951)*Assumptions!$E$70/Assumptions!$E$69/4</f>
        <v>100130.357142857</v>
      </c>
      <c r="I5955" s="54" t="n">
        <f aca="false">(I5949+I5951)*Assumptions!$E$70/Assumptions!$E$69/4</f>
        <v>100130.357142857</v>
      </c>
      <c r="J5955" s="54" t="n">
        <f aca="false">(J5949+J5951)*Assumptions!$E$70/Assumptions!$E$69/4</f>
        <v>100130.357142857</v>
      </c>
      <c r="K5955" s="54" t="n">
        <f aca="false">(K5949+K5951)*Assumptions!$E$70/Assumptions!$E$69/4</f>
        <v>100130.357142857</v>
      </c>
      <c r="L5955" s="54" t="n">
        <f aca="false">(L5949+L5951)*Assumptions!$E$70/Assumptions!$E$69/4</f>
        <v>100130.357142857</v>
      </c>
      <c r="M5955" s="54" t="n">
        <f aca="false">(M5949+M5951)*Assumptions!$E$70/Assumptions!$E$69/4</f>
        <v>100130.357142857</v>
      </c>
      <c r="N5955" s="54" t="n">
        <f aca="false">(N5949+N5951)*Assumptions!$E$70/Assumptions!$E$69/4</f>
        <v>100130.357142857</v>
      </c>
      <c r="P5955" s="55" t="n">
        <f aca="false">SUM(C5955:F5955)</f>
        <v>267014.285714286</v>
      </c>
      <c r="Q5955" s="55" t="n">
        <f aca="false">SUM(G5955:J5955)</f>
        <v>400521.428571429</v>
      </c>
      <c r="R5955" s="55" t="n">
        <f aca="false">SUM(K5955:N5955)</f>
        <v>400521.428571429</v>
      </c>
      <c r="S5955" s="56" t="n">
        <f aca="false">SUM(P5955:R5955)</f>
        <v>1068057.14285714</v>
      </c>
    </row>
    <row r="5956" customFormat="false" ht="15" hidden="false" customHeight="false" outlineLevel="0" collapsed="false">
      <c r="A5956" s="4" t="s">
        <v>555</v>
      </c>
      <c r="B5956" s="36" t="s">
        <v>125</v>
      </c>
      <c r="C5956" s="54" t="n">
        <f aca="false">C5950*$C$5885/4</f>
        <v>0</v>
      </c>
      <c r="D5956" s="54" t="n">
        <f aca="false">D5950*$C$5885/4</f>
        <v>0</v>
      </c>
      <c r="E5956" s="54" t="n">
        <f aca="false">E5950*$C$5885/4</f>
        <v>0</v>
      </c>
      <c r="F5956" s="54" t="n">
        <f aca="false">F5950*$C$5885/4</f>
        <v>0</v>
      </c>
      <c r="G5956" s="54" t="n">
        <f aca="false">G5950*$C$5885/4</f>
        <v>0</v>
      </c>
      <c r="H5956" s="54" t="n">
        <f aca="false">H5950*$C$5885/4</f>
        <v>0</v>
      </c>
      <c r="I5956" s="54" t="n">
        <f aca="false">I5950*$C$5885/4</f>
        <v>0</v>
      </c>
      <c r="J5956" s="54" t="n">
        <f aca="false">J5950*$C$5885/4</f>
        <v>0</v>
      </c>
      <c r="K5956" s="54" t="n">
        <f aca="false">K5950*$C$5885/4</f>
        <v>0</v>
      </c>
      <c r="L5956" s="54" t="n">
        <f aca="false">L5950*$C$5885/4</f>
        <v>0</v>
      </c>
      <c r="M5956" s="54" t="n">
        <f aca="false">M5950*$C$5885/4</f>
        <v>0</v>
      </c>
      <c r="N5956" s="54" t="n">
        <f aca="false">N5950*$C$5885/4</f>
        <v>0</v>
      </c>
      <c r="P5956" s="55" t="n">
        <f aca="false">SUM(C5956:F5956)</f>
        <v>0</v>
      </c>
      <c r="Q5956" s="55" t="n">
        <f aca="false">SUM(G5956:J5956)</f>
        <v>0</v>
      </c>
      <c r="R5956" s="55" t="n">
        <f aca="false">SUM(K5956:N5956)</f>
        <v>0</v>
      </c>
      <c r="S5956" s="56" t="n">
        <f aca="false">SUM(P5956:R5956)</f>
        <v>0</v>
      </c>
    </row>
    <row r="5957" customFormat="false" ht="15" hidden="false" customHeight="false" outlineLevel="0" collapsed="false">
      <c r="A5957" s="4" t="s">
        <v>556</v>
      </c>
      <c r="B5957" s="36" t="s">
        <v>125</v>
      </c>
      <c r="C5957" s="54" t="n">
        <f aca="false">MAX(0,(C5945-C5926*$C$5881)-C5905*$C$5886)*$C$5887*Assumptions!$D$105</f>
        <v>0</v>
      </c>
      <c r="D5957" s="54" t="n">
        <f aca="false">MAX(0,(D5945-D5926*$C$5881)-D5905*$C$5886)*$C$5887*Assumptions!$D$105</f>
        <v>3491.72206180778</v>
      </c>
      <c r="E5957" s="54" t="n">
        <f aca="false">MAX(0,(E5945-E5926*$C$5881)-E5905*$C$5886)*$C$5887*Assumptions!$D$105</f>
        <v>8039.09651874593</v>
      </c>
      <c r="F5957" s="54" t="n">
        <f aca="false">MAX(0,(F5945-F5926*$C$5881)-F5905*$C$5886)*$C$5887*Assumptions!$D$105</f>
        <v>10124.750003461</v>
      </c>
      <c r="G5957" s="54" t="n">
        <f aca="false">MAX(0,(G5945-G5926*$C$5881)-G5905*$C$5886)*$C$5887*Assumptions!$D$105</f>
        <v>11120.4562644655</v>
      </c>
      <c r="H5957" s="54" t="n">
        <f aca="false">MAX(0,(H5945-H5926*$C$5881)-H5905*$C$5886)*$C$5887*Assumptions!$D$105</f>
        <v>13463.0357338943</v>
      </c>
      <c r="I5957" s="54" t="n">
        <f aca="false">MAX(0,(I5945-I5926*$C$5881)-I5905*$C$5886)*$C$5887*Assumptions!$D$105</f>
        <v>16072.2164343224</v>
      </c>
      <c r="J5957" s="54" t="n">
        <f aca="false">MAX(0,(J5945-J5926*$C$5881)-J5905*$C$5886)*$C$5887*Assumptions!$D$105</f>
        <v>21559.8957723031</v>
      </c>
      <c r="K5957" s="54" t="n">
        <f aca="false">MAX(0,(K5945-K5926*$C$5881)-K5905*$C$5886)*$C$5887*Assumptions!$D$105</f>
        <v>27808.6094682429</v>
      </c>
      <c r="L5957" s="54" t="n">
        <f aca="false">MAX(0,(L5945-L5926*$C$5881)-L5905*$C$5886)*$C$5887*Assumptions!$D$105</f>
        <v>29735.5837530454</v>
      </c>
      <c r="M5957" s="54" t="n">
        <f aca="false">MAX(0,(M5945-M5926*$C$5881)-M5905*$C$5886)*$C$5887*Assumptions!$D$105</f>
        <v>29201.3815340945</v>
      </c>
      <c r="N5957" s="54" t="n">
        <f aca="false">MAX(0,(N5945-N5926*$C$5881)-N5905*$C$5886)*$C$5887*Assumptions!$D$105</f>
        <v>28360.6706538674</v>
      </c>
      <c r="P5957" s="55" t="n">
        <f aca="false">SUM(C5957:F5957)</f>
        <v>21655.5685840147</v>
      </c>
      <c r="Q5957" s="55" t="n">
        <f aca="false">SUM(G5957:J5957)</f>
        <v>62215.6042049852</v>
      </c>
      <c r="R5957" s="55" t="n">
        <f aca="false">SUM(K5957:N5957)</f>
        <v>115106.24540925</v>
      </c>
      <c r="S5957" s="56" t="n">
        <f aca="false">SUM(P5957:R5957)</f>
        <v>198977.41819825</v>
      </c>
    </row>
    <row r="5958" customFormat="false" ht="15" hidden="false" customHeight="false" outlineLevel="0" collapsed="false">
      <c r="A5958" s="4" t="s">
        <v>557</v>
      </c>
      <c r="B5958" s="36" t="s">
        <v>125</v>
      </c>
      <c r="C5958" s="54" t="n">
        <f aca="false">C5953*Assumptions!$E$71/Assumptions!$E$69/4</f>
        <v>18475.8928571429</v>
      </c>
      <c r="D5958" s="54" t="n">
        <f aca="false">D5953*Assumptions!$E$71/Assumptions!$E$69/4</f>
        <v>18475.8928571429</v>
      </c>
      <c r="E5958" s="54" t="n">
        <f aca="false">E5953*Assumptions!$E$71/Assumptions!$E$69/4</f>
        <v>18475.8928571429</v>
      </c>
      <c r="F5958" s="54" t="n">
        <f aca="false">F5953*Assumptions!$E$71/Assumptions!$E$69/4</f>
        <v>18475.8928571429</v>
      </c>
      <c r="G5958" s="54" t="n">
        <f aca="false">G5953*Assumptions!$E$71/Assumptions!$E$69/4</f>
        <v>18475.8928571429</v>
      </c>
      <c r="H5958" s="54" t="n">
        <f aca="false">H5953*Assumptions!$E$71/Assumptions!$E$69/4</f>
        <v>18475.8928571429</v>
      </c>
      <c r="I5958" s="54" t="n">
        <f aca="false">I5953*Assumptions!$E$71/Assumptions!$E$69/4</f>
        <v>18475.8928571429</v>
      </c>
      <c r="J5958" s="54" t="n">
        <f aca="false">J5953*Assumptions!$E$71/Assumptions!$E$69/4</f>
        <v>18475.8928571429</v>
      </c>
      <c r="K5958" s="54" t="n">
        <f aca="false">K5953*Assumptions!$E$71/Assumptions!$E$69/4</f>
        <v>18475.8928571429</v>
      </c>
      <c r="L5958" s="54" t="n">
        <f aca="false">L5953*Assumptions!$E$71/Assumptions!$E$69/4</f>
        <v>18475.8928571429</v>
      </c>
      <c r="M5958" s="54" t="n">
        <f aca="false">M5953*Assumptions!$E$71/Assumptions!$E$69/4</f>
        <v>18475.8928571429</v>
      </c>
      <c r="N5958" s="54" t="n">
        <f aca="false">N5953*Assumptions!$E$71/Assumptions!$E$69/4</f>
        <v>18475.8928571429</v>
      </c>
      <c r="P5958" s="55" t="n">
        <f aca="false">SUM(C5958:F5958)</f>
        <v>73903.5714285714</v>
      </c>
      <c r="Q5958" s="55" t="n">
        <f aca="false">SUM(G5958:J5958)</f>
        <v>73903.5714285714</v>
      </c>
      <c r="R5958" s="55" t="n">
        <f aca="false">SUM(K5958:N5958)</f>
        <v>73903.5714285714</v>
      </c>
      <c r="S5958" s="56" t="n">
        <f aca="false">SUM(P5958:R5958)</f>
        <v>221710.714285714</v>
      </c>
    </row>
    <row r="5959" customFormat="false" ht="15" hidden="false" customHeight="false" outlineLevel="0" collapsed="false">
      <c r="A5959" s="4" t="s">
        <v>558</v>
      </c>
      <c r="B5959" s="36" t="s">
        <v>125</v>
      </c>
      <c r="C5959" s="54" t="n">
        <f aca="false">(Assumptions!$D$103+Assumptions!$E$77*((C5890=Assumptions!$E$13)+(C5890=Assumptions!$E$14)+(C5890=Assumptions!$E$15)))*C5891</f>
        <v>65000</v>
      </c>
      <c r="D5959" s="54" t="n">
        <f aca="false">(Assumptions!$D$103+Assumptions!$E$77*((D5890=Assumptions!$E$13)+(D5890=Assumptions!$E$14)+(D5890=Assumptions!$E$15)))*D5891</f>
        <v>25000</v>
      </c>
      <c r="E5959" s="54" t="n">
        <f aca="false">(Assumptions!$D$103+Assumptions!$E$77*((E5890=Assumptions!$E$13)+(E5890=Assumptions!$E$14)+(E5890=Assumptions!$E$15)))*E5891</f>
        <v>25000</v>
      </c>
      <c r="F5959" s="54" t="n">
        <f aca="false">(Assumptions!$D$103+Assumptions!$E$77*((F5890=Assumptions!$E$13)+(F5890=Assumptions!$E$14)+(F5890=Assumptions!$E$15)))*F5891</f>
        <v>25000</v>
      </c>
      <c r="G5959" s="54" t="n">
        <f aca="false">(Assumptions!$D$103+Assumptions!$E$77*((G5890=Assumptions!$E$13)+(G5890=Assumptions!$E$14)+(G5890=Assumptions!$E$15)))*G5891</f>
        <v>65000</v>
      </c>
      <c r="H5959" s="54" t="n">
        <f aca="false">(Assumptions!$D$103+Assumptions!$E$77*((H5890=Assumptions!$E$13)+(H5890=Assumptions!$E$14)+(H5890=Assumptions!$E$15)))*H5891</f>
        <v>25000</v>
      </c>
      <c r="I5959" s="54" t="n">
        <f aca="false">(Assumptions!$D$103+Assumptions!$E$77*((I5890=Assumptions!$E$13)+(I5890=Assumptions!$E$14)+(I5890=Assumptions!$E$15)))*I5891</f>
        <v>65000</v>
      </c>
      <c r="J5959" s="54" t="n">
        <f aca="false">(Assumptions!$D$103+Assumptions!$E$77*((J5890=Assumptions!$E$13)+(J5890=Assumptions!$E$14)+(J5890=Assumptions!$E$15)))*J5891</f>
        <v>25000</v>
      </c>
      <c r="K5959" s="54" t="n">
        <f aca="false">(Assumptions!$D$103+Assumptions!$E$77*((K5890=Assumptions!$E$13)+(K5890=Assumptions!$E$14)+(K5890=Assumptions!$E$15)))*K5891</f>
        <v>25000</v>
      </c>
      <c r="L5959" s="54" t="n">
        <f aca="false">(Assumptions!$D$103+Assumptions!$E$77*((L5890=Assumptions!$E$13)+(L5890=Assumptions!$E$14)+(L5890=Assumptions!$E$15)))*L5891</f>
        <v>25000</v>
      </c>
      <c r="M5959" s="54" t="n">
        <f aca="false">(Assumptions!$D$103+Assumptions!$E$77*((M5890=Assumptions!$E$13)+(M5890=Assumptions!$E$14)+(M5890=Assumptions!$E$15)))*M5891</f>
        <v>25000</v>
      </c>
      <c r="N5959" s="54" t="n">
        <f aca="false">(Assumptions!$D$103+Assumptions!$E$77*((N5890=Assumptions!$E$13)+(N5890=Assumptions!$E$14)+(N5890=Assumptions!$E$15)))*N5891</f>
        <v>25000</v>
      </c>
      <c r="P5959" s="55" t="n">
        <f aca="false">SUM(C5959:F5959)</f>
        <v>140000</v>
      </c>
      <c r="Q5959" s="55" t="n">
        <f aca="false">SUM(G5959:J5959)</f>
        <v>180000</v>
      </c>
      <c r="R5959" s="55" t="n">
        <f aca="false">SUM(K5959:N5959)</f>
        <v>100000</v>
      </c>
      <c r="S5959" s="56" t="n">
        <f aca="false">SUM(P5959:R5959)</f>
        <v>420000</v>
      </c>
    </row>
    <row r="5960" customFormat="false" ht="15" hidden="false" customHeight="false" outlineLevel="0" collapsed="false">
      <c r="A5960" s="4" t="s">
        <v>559</v>
      </c>
      <c r="B5960" s="36" t="s">
        <v>125</v>
      </c>
      <c r="C5960" s="54" t="n">
        <f aca="false">C5945*C5925*Assumptions!$E$79</f>
        <v>0</v>
      </c>
      <c r="D5960" s="54" t="n">
        <f aca="false">D5945*D5925*Assumptions!$E$79</f>
        <v>815.338873355417</v>
      </c>
      <c r="E5960" s="54" t="n">
        <f aca="false">E5945*E5925*Assumptions!$E$79</f>
        <v>1576.95453714349</v>
      </c>
      <c r="F5960" s="54" t="n">
        <f aca="false">F5945*F5925*Assumptions!$E$79</f>
        <v>2363.78759030579</v>
      </c>
      <c r="G5960" s="54" t="n">
        <f aca="false">G5945*G5925*Assumptions!$E$79</f>
        <v>2961.23316349717</v>
      </c>
      <c r="H5960" s="54" t="n">
        <f aca="false">H5945*H5925*Assumptions!$E$79</f>
        <v>3401.8566535345</v>
      </c>
      <c r="I5960" s="54" t="n">
        <f aca="false">I5945*I5925*Assumptions!$E$79</f>
        <v>3951.44098442022</v>
      </c>
      <c r="J5960" s="54" t="n">
        <f aca="false">J5945*J5925*Assumptions!$E$79</f>
        <v>4240.17604272452</v>
      </c>
      <c r="K5960" s="54" t="n">
        <f aca="false">K5945*K5925*Assumptions!$E$79</f>
        <v>4805.46240923336</v>
      </c>
      <c r="L5960" s="54" t="n">
        <f aca="false">L5945*L5925*Assumptions!$E$79</f>
        <v>5627.63185752923</v>
      </c>
      <c r="M5960" s="54" t="n">
        <f aca="false">M5945*M5925*Assumptions!$E$79</f>
        <v>5687.10015383768</v>
      </c>
      <c r="N5960" s="54" t="n">
        <f aca="false">N5945*N5925*Assumptions!$E$79</f>
        <v>5685.06198652904</v>
      </c>
      <c r="P5960" s="55" t="n">
        <f aca="false">SUM(C5960:F5960)</f>
        <v>4756.0810008047</v>
      </c>
      <c r="Q5960" s="55" t="n">
        <f aca="false">SUM(G5960:J5960)</f>
        <v>14554.7068441764</v>
      </c>
      <c r="R5960" s="55" t="n">
        <f aca="false">SUM(K5960:N5960)</f>
        <v>21805.2564071293</v>
      </c>
      <c r="S5960" s="56" t="n">
        <f aca="false">SUM(P5960:R5960)</f>
        <v>41116.0442521104</v>
      </c>
    </row>
    <row r="5961" customFormat="false" ht="15" hidden="false" customHeight="false" outlineLevel="0" collapsed="false">
      <c r="A5961" s="4" t="s">
        <v>560</v>
      </c>
      <c r="B5961" s="36" t="s">
        <v>125</v>
      </c>
      <c r="C5961" s="54" t="n">
        <f aca="false">C5910*Assumptions!$E$80</f>
        <v>4000</v>
      </c>
      <c r="D5961" s="54" t="n">
        <f aca="false">D5910*Assumptions!$E$80</f>
        <v>6000</v>
      </c>
      <c r="E5961" s="54" t="n">
        <f aca="false">E5910*Assumptions!$E$80</f>
        <v>8000</v>
      </c>
      <c r="F5961" s="54" t="n">
        <f aca="false">F5910*Assumptions!$E$80</f>
        <v>10000</v>
      </c>
      <c r="G5961" s="54" t="n">
        <f aca="false">G5910*Assumptions!$E$80</f>
        <v>12000</v>
      </c>
      <c r="H5961" s="54" t="n">
        <f aca="false">H5910*Assumptions!$E$80</f>
        <v>14000</v>
      </c>
      <c r="I5961" s="54" t="n">
        <f aca="false">I5910*Assumptions!$E$80</f>
        <v>16000</v>
      </c>
      <c r="J5961" s="54" t="n">
        <f aca="false">J5910*Assumptions!$E$80</f>
        <v>18000</v>
      </c>
      <c r="K5961" s="54" t="n">
        <f aca="false">K5910*Assumptions!$E$80</f>
        <v>20000</v>
      </c>
      <c r="L5961" s="54" t="n">
        <f aca="false">L5910*Assumptions!$E$80</f>
        <v>20000</v>
      </c>
      <c r="M5961" s="54" t="n">
        <f aca="false">M5910*Assumptions!$E$80</f>
        <v>20000</v>
      </c>
      <c r="N5961" s="54" t="n">
        <f aca="false">N5910*Assumptions!$E$80</f>
        <v>20000</v>
      </c>
      <c r="P5961" s="55" t="n">
        <f aca="false">SUM(C5961:F5961)</f>
        <v>28000</v>
      </c>
      <c r="Q5961" s="55" t="n">
        <f aca="false">SUM(G5961:J5961)</f>
        <v>60000</v>
      </c>
      <c r="R5961" s="55" t="n">
        <f aca="false">SUM(K5961:N5961)</f>
        <v>80000</v>
      </c>
      <c r="S5961" s="56" t="n">
        <f aca="false">SUM(P5961:R5961)</f>
        <v>168000</v>
      </c>
    </row>
    <row r="5962" customFormat="false" ht="15" hidden="false" customHeight="false" outlineLevel="0" collapsed="false">
      <c r="A5962" s="4" t="s">
        <v>561</v>
      </c>
      <c r="B5962" s="36" t="s">
        <v>125</v>
      </c>
      <c r="C5962" s="54" t="n">
        <f aca="false">(C5933*$C$5882+C5934*$C$5883)*Assumptions!$E$81</f>
        <v>0</v>
      </c>
      <c r="D5962" s="54" t="n">
        <f aca="false">(D5933*$C$5882+D5934*$C$5883)*Assumptions!$E$81</f>
        <v>635.937968364564</v>
      </c>
      <c r="E5962" s="54" t="n">
        <f aca="false">(E5933*$C$5882+E5934*$C$5883)*Assumptions!$E$81</f>
        <v>1750.54055351793</v>
      </c>
      <c r="F5962" s="54" t="n">
        <f aca="false">(F5933*$C$5882+F5934*$C$5883)*Assumptions!$E$81</f>
        <v>2334.90810210795</v>
      </c>
      <c r="G5962" s="54" t="n">
        <f aca="false">(G5933*$C$5882+G5934*$C$5883)*Assumptions!$E$81</f>
        <v>2567.01977128764</v>
      </c>
      <c r="H5962" s="54" t="n">
        <f aca="false">(H5933*$C$5882+H5934*$C$5883)*Assumptions!$E$81</f>
        <v>3030.96924471942</v>
      </c>
      <c r="I5962" s="54" t="n">
        <f aca="false">(I5933*$C$5882+I5934*$C$5883)*Assumptions!$E$81</f>
        <v>3599.72954781419</v>
      </c>
      <c r="J5962" s="54" t="n">
        <f aca="false">(J5933*$C$5882+J5934*$C$5883)*Assumptions!$E$81</f>
        <v>4611.5696968051</v>
      </c>
      <c r="K5962" s="54" t="n">
        <f aca="false">(K5933*$C$5882+K5934*$C$5883)*Assumptions!$E$81</f>
        <v>5939.56455642065</v>
      </c>
      <c r="L5962" s="54" t="n">
        <f aca="false">(L5933*$C$5882+L5934*$C$5883)*Assumptions!$E$81</f>
        <v>6537.87185823684</v>
      </c>
      <c r="M5962" s="54" t="n">
        <f aca="false">(M5933*$C$5882+M5934*$C$5883)*Assumptions!$E$81</f>
        <v>6455.63010570383</v>
      </c>
      <c r="N5962" s="54" t="n">
        <f aca="false">(N5933*$C$5882+N5934*$C$5883)*Assumptions!$E$81</f>
        <v>6268.61318404599</v>
      </c>
      <c r="P5962" s="55" t="n">
        <f aca="false">SUM(C5962:F5962)</f>
        <v>4721.38662399044</v>
      </c>
      <c r="Q5962" s="55" t="n">
        <f aca="false">SUM(G5962:J5962)</f>
        <v>13809.2882606264</v>
      </c>
      <c r="R5962" s="55" t="n">
        <f aca="false">SUM(K5962:N5962)</f>
        <v>25201.6797044073</v>
      </c>
      <c r="S5962" s="56" t="n">
        <f aca="false">SUM(P5962:R5962)</f>
        <v>43732.3545890241</v>
      </c>
    </row>
    <row r="5963" customFormat="false" ht="15" hidden="false" customHeight="false" outlineLevel="0" collapsed="false">
      <c r="A5963" s="9" t="s">
        <v>562</v>
      </c>
      <c r="B5963" s="36" t="s">
        <v>125</v>
      </c>
      <c r="C5963" s="55" t="n">
        <f aca="false">C5955+C5956+C5957+C5958+C5959+C5960+C5961+C5962</f>
        <v>154229.464285714</v>
      </c>
      <c r="D5963" s="55" t="n">
        <f aca="false">D5955+D5956+D5957+D5958+D5959+D5960+D5961+D5962</f>
        <v>121172.463189242</v>
      </c>
      <c r="E5963" s="55" t="n">
        <f aca="false">E5955+E5956+E5957+E5958+E5959+E5960+E5961+E5962</f>
        <v>129596.055895122</v>
      </c>
      <c r="F5963" s="55" t="n">
        <f aca="false">F5955+F5956+F5957+F5958+F5959+F5960+F5961+F5962</f>
        <v>135052.909981589</v>
      </c>
      <c r="G5963" s="55" t="n">
        <f aca="false">G5955+G5956+G5957+G5958+G5959+G5960+G5961+G5962</f>
        <v>212254.95919925</v>
      </c>
      <c r="H5963" s="55" t="n">
        <f aca="false">H5955+H5956+H5957+H5958+H5959+H5960+H5961+H5962</f>
        <v>177502.111632148</v>
      </c>
      <c r="I5963" s="55" t="n">
        <f aca="false">I5955+I5956+I5957+I5958+I5959+I5960+I5961+I5962</f>
        <v>223229.636966557</v>
      </c>
      <c r="J5963" s="55" t="n">
        <f aca="false">J5955+J5956+J5957+J5958+J5959+J5960+J5961+J5962</f>
        <v>192017.891511833</v>
      </c>
      <c r="K5963" s="55" t="n">
        <f aca="false">K5955+K5956+K5957+K5958+K5959+K5960+K5961+K5962</f>
        <v>202159.886433897</v>
      </c>
      <c r="L5963" s="55" t="n">
        <f aca="false">L5955+L5956+L5957+L5958+L5959+L5960+L5961+L5962</f>
        <v>205507.337468812</v>
      </c>
      <c r="M5963" s="55" t="n">
        <f aca="false">M5955+M5956+M5957+M5958+M5959+M5960+M5961+M5962</f>
        <v>204950.361793636</v>
      </c>
      <c r="N5963" s="55" t="n">
        <f aca="false">N5955+N5956+N5957+N5958+N5959+N5960+N5961+N5962</f>
        <v>203920.595824442</v>
      </c>
      <c r="P5963" s="55" t="n">
        <f aca="false">SUM(C5963:F5963)</f>
        <v>540050.893351667</v>
      </c>
      <c r="Q5963" s="55" t="n">
        <f aca="false">SUM(G5963:J5963)</f>
        <v>805004.599309788</v>
      </c>
      <c r="R5963" s="55" t="n">
        <f aca="false">SUM(K5963:N5963)</f>
        <v>816538.181520787</v>
      </c>
      <c r="S5963" s="56" t="n">
        <f aca="false">SUM(P5963:R5963)</f>
        <v>2161593.67418224</v>
      </c>
    </row>
    <row r="5964" customFormat="false" ht="15" hidden="false" customHeight="false" outlineLevel="0" collapsed="false">
      <c r="A5964" s="4" t="s">
        <v>563</v>
      </c>
      <c r="B5964" s="36" t="s">
        <v>125</v>
      </c>
      <c r="C5964" s="54" t="n">
        <f aca="false">C5952*Assumptions!$E$72/Assumptions!$E$69/4</f>
        <v>56535.7142857143</v>
      </c>
      <c r="D5964" s="54" t="n">
        <f aca="false">D5952*Assumptions!$E$72/Assumptions!$E$69/4</f>
        <v>56535.7142857143</v>
      </c>
      <c r="E5964" s="54" t="n">
        <f aca="false">E5952*Assumptions!$E$72/Assumptions!$E$69/4</f>
        <v>56535.7142857143</v>
      </c>
      <c r="F5964" s="54" t="n">
        <f aca="false">F5952*Assumptions!$E$72/Assumptions!$E$69/4</f>
        <v>56535.7142857143</v>
      </c>
      <c r="G5964" s="54" t="n">
        <f aca="false">G5952*Assumptions!$E$72/Assumptions!$E$69/4</f>
        <v>28267.8571428571</v>
      </c>
      <c r="H5964" s="54" t="n">
        <f aca="false">H5952*Assumptions!$E$72/Assumptions!$E$69/4</f>
        <v>28267.8571428571</v>
      </c>
      <c r="I5964" s="54" t="n">
        <f aca="false">I5952*Assumptions!$E$72/Assumptions!$E$69/4</f>
        <v>28267.8571428571</v>
      </c>
      <c r="J5964" s="54" t="n">
        <f aca="false">J5952*Assumptions!$E$72/Assumptions!$E$69/4</f>
        <v>28267.8571428571</v>
      </c>
      <c r="K5964" s="54" t="n">
        <f aca="false">K5952*Assumptions!$E$72/Assumptions!$E$69/4</f>
        <v>28267.8571428571</v>
      </c>
      <c r="L5964" s="54" t="n">
        <f aca="false">L5952*Assumptions!$E$72/Assumptions!$E$69/4</f>
        <v>28267.8571428571</v>
      </c>
      <c r="M5964" s="54" t="n">
        <f aca="false">M5952*Assumptions!$E$72/Assumptions!$E$69/4</f>
        <v>28267.8571428571</v>
      </c>
      <c r="N5964" s="54" t="n">
        <f aca="false">N5952*Assumptions!$E$72/Assumptions!$E$69/4</f>
        <v>28267.8571428571</v>
      </c>
      <c r="P5964" s="55" t="n">
        <f aca="false">SUM(C5964:F5964)</f>
        <v>226142.857142857</v>
      </c>
      <c r="Q5964" s="55" t="n">
        <f aca="false">SUM(G5964:J5964)</f>
        <v>113071.428571429</v>
      </c>
      <c r="R5964" s="55" t="n">
        <f aca="false">SUM(K5964:N5964)</f>
        <v>113071.428571429</v>
      </c>
      <c r="S5964" s="56" t="n">
        <f aca="false">SUM(P5964:R5964)</f>
        <v>452285.714285714</v>
      </c>
    </row>
    <row r="5965" customFormat="false" ht="15" hidden="false" customHeight="false" outlineLevel="0" collapsed="false">
      <c r="A5965" s="4" t="s">
        <v>564</v>
      </c>
      <c r="B5965" s="36" t="s">
        <v>125</v>
      </c>
      <c r="C5965" s="54" t="n">
        <f aca="false">IF(C5890&lt;=Assumptions!$E$83,Assumptions!$E$82*Assumptions!$D$108/Assumptions!$E$83,0)</f>
        <v>62500</v>
      </c>
      <c r="D5965" s="54" t="n">
        <f aca="false">IF(D5890&lt;=Assumptions!$E$83,Assumptions!$E$82*Assumptions!$D$108/Assumptions!$E$83,0)</f>
        <v>62500</v>
      </c>
      <c r="E5965" s="54" t="n">
        <f aca="false">IF(E5890&lt;=Assumptions!$E$83,Assumptions!$E$82*Assumptions!$D$108/Assumptions!$E$83,0)</f>
        <v>62500</v>
      </c>
      <c r="F5965" s="54" t="n">
        <f aca="false">IF(F5890&lt;=Assumptions!$E$83,Assumptions!$E$82*Assumptions!$D$108/Assumptions!$E$83,0)</f>
        <v>62500</v>
      </c>
      <c r="G5965" s="54" t="n">
        <f aca="false">IF(G5890&lt;=Assumptions!$E$83,Assumptions!$E$82*Assumptions!$D$108/Assumptions!$E$83,0)</f>
        <v>0</v>
      </c>
      <c r="H5965" s="54" t="n">
        <f aca="false">IF(H5890&lt;=Assumptions!$E$83,Assumptions!$E$82*Assumptions!$D$108/Assumptions!$E$83,0)</f>
        <v>0</v>
      </c>
      <c r="I5965" s="54" t="n">
        <f aca="false">IF(I5890&lt;=Assumptions!$E$83,Assumptions!$E$82*Assumptions!$D$108/Assumptions!$E$83,0)</f>
        <v>0</v>
      </c>
      <c r="J5965" s="54" t="n">
        <f aca="false">IF(J5890&lt;=Assumptions!$E$83,Assumptions!$E$82*Assumptions!$D$108/Assumptions!$E$83,0)</f>
        <v>0</v>
      </c>
      <c r="K5965" s="54" t="n">
        <f aca="false">IF(K5890&lt;=Assumptions!$E$83,Assumptions!$E$82*Assumptions!$D$108/Assumptions!$E$83,0)</f>
        <v>0</v>
      </c>
      <c r="L5965" s="54" t="n">
        <f aca="false">IF(L5890&lt;=Assumptions!$E$83,Assumptions!$E$82*Assumptions!$D$108/Assumptions!$E$83,0)</f>
        <v>0</v>
      </c>
      <c r="M5965" s="54" t="n">
        <f aca="false">IF(M5890&lt;=Assumptions!$E$83,Assumptions!$E$82*Assumptions!$D$108/Assumptions!$E$83,0)</f>
        <v>0</v>
      </c>
      <c r="N5965" s="54" t="n">
        <f aca="false">IF(N5890&lt;=Assumptions!$E$83,Assumptions!$E$82*Assumptions!$D$108/Assumptions!$E$83,0)</f>
        <v>0</v>
      </c>
      <c r="P5965" s="55" t="n">
        <f aca="false">SUM(C5965:F5965)</f>
        <v>250000</v>
      </c>
      <c r="Q5965" s="55" t="n">
        <f aca="false">SUM(G5965:J5965)</f>
        <v>0</v>
      </c>
      <c r="R5965" s="55" t="n">
        <f aca="false">SUM(K5965:N5965)</f>
        <v>0</v>
      </c>
      <c r="S5965" s="56" t="n">
        <f aca="false">SUM(P5965:R5965)</f>
        <v>250000</v>
      </c>
    </row>
    <row r="5966" customFormat="false" ht="15" hidden="false" customHeight="false" outlineLevel="0" collapsed="false">
      <c r="A5966" s="4" t="s">
        <v>565</v>
      </c>
      <c r="B5966" s="36" t="s">
        <v>125</v>
      </c>
      <c r="C5966" s="54" t="n">
        <f aca="false">C5954*Assumptions!$E$73/Assumptions!$E$69/4</f>
        <v>0</v>
      </c>
      <c r="D5966" s="54" t="n">
        <f aca="false">D5954*Assumptions!$E$73/Assumptions!$E$69/4</f>
        <v>575.3130595573</v>
      </c>
      <c r="E5966" s="54" t="n">
        <f aca="false">E5954*Assumptions!$E$73/Assumptions!$E$69/4</f>
        <v>1611.36466908217</v>
      </c>
      <c r="F5966" s="54" t="n">
        <f aca="false">F5954*Assumptions!$E$73/Assumptions!$E$69/4</f>
        <v>2761.92624745299</v>
      </c>
      <c r="G5966" s="54" t="n">
        <f aca="false">G5954*Assumptions!$E$73/Assumptions!$E$69/4</f>
        <v>3986.64309565227</v>
      </c>
      <c r="H5966" s="54" t="n">
        <f aca="false">H5954*Assumptions!$E$73/Assumptions!$E$69/4</f>
        <v>5497.92739415568</v>
      </c>
      <c r="I5966" s="54" t="n">
        <f aca="false">I5954*Assumptions!$E$73/Assumptions!$E$69/4</f>
        <v>7278.31549621911</v>
      </c>
      <c r="J5966" s="54" t="n">
        <f aca="false">J5954*Assumptions!$E$73/Assumptions!$E$69/4</f>
        <v>9766.78637884505</v>
      </c>
      <c r="K5966" s="54" t="n">
        <f aca="false">K5954*Assumptions!$E$73/Assumptions!$E$69/4</f>
        <v>12915.5757065538</v>
      </c>
      <c r="L5966" s="54" t="n">
        <f aca="false">L5954*Assumptions!$E$73/Assumptions!$E$69/4</f>
        <v>16032.2602838551</v>
      </c>
      <c r="M5966" s="54" t="n">
        <f aca="false">M5954*Assumptions!$E$73/Assumptions!$E$69/4</f>
        <v>18938.7200624774</v>
      </c>
      <c r="N5966" s="54" t="n">
        <f aca="false">N5954*Assumptions!$E$73/Assumptions!$E$69/4</f>
        <v>21637.4279705073</v>
      </c>
      <c r="P5966" s="55" t="n">
        <f aca="false">SUM(C5966:F5966)</f>
        <v>4948.60397609247</v>
      </c>
      <c r="Q5966" s="55" t="n">
        <f aca="false">SUM(G5966:J5966)</f>
        <v>26529.6723648721</v>
      </c>
      <c r="R5966" s="55" t="n">
        <f aca="false">SUM(K5966:N5966)</f>
        <v>69523.9840233935</v>
      </c>
      <c r="S5966" s="56" t="n">
        <f aca="false">SUM(P5966:R5966)</f>
        <v>101002.260364358</v>
      </c>
    </row>
    <row r="5967" customFormat="false" ht="15" hidden="false" customHeight="false" outlineLevel="0" collapsed="false">
      <c r="A5967" s="9" t="s">
        <v>566</v>
      </c>
      <c r="B5967" s="36" t="s">
        <v>125</v>
      </c>
      <c r="C5967" s="55" t="n">
        <f aca="false">C5963+C5964+C5965+C5966</f>
        <v>273265.178571429</v>
      </c>
      <c r="D5967" s="55" t="n">
        <f aca="false">D5963+D5964+D5965+D5966</f>
        <v>240783.490534514</v>
      </c>
      <c r="E5967" s="55" t="n">
        <f aca="false">E5963+E5964+E5965+E5966</f>
        <v>250243.134849918</v>
      </c>
      <c r="F5967" s="55" t="n">
        <f aca="false">F5963+F5964+F5965+F5966</f>
        <v>256850.550514756</v>
      </c>
      <c r="G5967" s="55" t="n">
        <f aca="false">G5963+G5964+G5965+G5966</f>
        <v>244509.45943776</v>
      </c>
      <c r="H5967" s="55" t="n">
        <f aca="false">H5963+H5964+H5965+H5966</f>
        <v>211267.896169161</v>
      </c>
      <c r="I5967" s="55" t="n">
        <f aca="false">I5963+I5964+I5965+I5966</f>
        <v>258775.809605633</v>
      </c>
      <c r="J5967" s="55" t="n">
        <f aca="false">J5963+J5964+J5965+J5966</f>
        <v>230052.535033535</v>
      </c>
      <c r="K5967" s="55" t="n">
        <f aca="false">K5963+K5964+K5965+K5966</f>
        <v>243343.319283308</v>
      </c>
      <c r="L5967" s="55" t="n">
        <f aca="false">L5963+L5964+L5965+L5966</f>
        <v>249807.454895524</v>
      </c>
      <c r="M5967" s="55" t="n">
        <f aca="false">M5963+M5964+M5965+M5966</f>
        <v>252156.938998971</v>
      </c>
      <c r="N5967" s="55" t="n">
        <f aca="false">N5963+N5964+N5965+N5966</f>
        <v>253825.880937807</v>
      </c>
      <c r="P5967" s="55" t="n">
        <f aca="false">SUM(C5967:F5967)</f>
        <v>1021142.35447062</v>
      </c>
      <c r="Q5967" s="55" t="n">
        <f aca="false">SUM(G5967:J5967)</f>
        <v>944605.700246089</v>
      </c>
      <c r="R5967" s="55" t="n">
        <f aca="false">SUM(K5967:N5967)</f>
        <v>999133.594115609</v>
      </c>
      <c r="S5967" s="56" t="n">
        <f aca="false">SUM(P5967:R5967)</f>
        <v>2964881.64883231</v>
      </c>
    </row>
    <row r="5968" customFormat="false" ht="15" hidden="false" customHeight="false" outlineLevel="0" collapsed="false">
      <c r="A5968" s="35" t="s">
        <v>567</v>
      </c>
      <c r="B5968" s="35" t="s">
        <v>444</v>
      </c>
      <c r="C5968" s="6" t="s">
        <v>354</v>
      </c>
      <c r="D5968" s="6" t="s">
        <v>355</v>
      </c>
      <c r="E5968" s="6" t="s">
        <v>356</v>
      </c>
      <c r="F5968" s="6" t="s">
        <v>357</v>
      </c>
      <c r="G5968" s="6" t="s">
        <v>358</v>
      </c>
      <c r="H5968" s="6" t="s">
        <v>359</v>
      </c>
      <c r="I5968" s="6" t="s">
        <v>360</v>
      </c>
      <c r="J5968" s="6" t="s">
        <v>361</v>
      </c>
      <c r="K5968" s="6" t="s">
        <v>362</v>
      </c>
      <c r="L5968" s="6" t="s">
        <v>363</v>
      </c>
      <c r="M5968" s="6" t="s">
        <v>364</v>
      </c>
      <c r="N5968" s="6" t="s">
        <v>365</v>
      </c>
      <c r="P5968" s="6" t="s">
        <v>445</v>
      </c>
      <c r="Q5968" s="6" t="s">
        <v>446</v>
      </c>
      <c r="R5968" s="6" t="s">
        <v>447</v>
      </c>
      <c r="S5968" s="6" t="s">
        <v>448</v>
      </c>
    </row>
    <row r="5969" customFormat="false" ht="15" hidden="false" customHeight="false" outlineLevel="0" collapsed="false">
      <c r="A5969" s="9" t="s">
        <v>568</v>
      </c>
      <c r="B5969" s="36" t="s">
        <v>125</v>
      </c>
      <c r="C5969" s="55" t="n">
        <f aca="false">C5947-C5967</f>
        <v>-273265.178571429</v>
      </c>
      <c r="D5969" s="55" t="n">
        <f aca="false">D5947-D5967</f>
        <v>-240062.280337795</v>
      </c>
      <c r="E5969" s="55" t="n">
        <f aca="false">E5947-E5967</f>
        <v>-247201.681981708</v>
      </c>
      <c r="F5969" s="55" t="n">
        <f aca="false">F5947-F5967</f>
        <v>-250206.260462104</v>
      </c>
      <c r="G5969" s="55" t="n">
        <f aca="false">G5947-G5967</f>
        <v>-233631.66287288</v>
      </c>
      <c r="H5969" s="55" t="n">
        <f aca="false">H5947-H5967</f>
        <v>-195419.374454682</v>
      </c>
      <c r="I5969" s="55" t="n">
        <f aca="false">I5947-I5967</f>
        <v>-236885.81512012</v>
      </c>
      <c r="J5969" s="55" t="n">
        <f aca="false">J5947-J5967</f>
        <v>-200380.302145361</v>
      </c>
      <c r="K5969" s="55" t="n">
        <f aca="false">K5947-K5967</f>
        <v>-203398.048689805</v>
      </c>
      <c r="L5969" s="55" t="n">
        <f aca="false">L5947-L5967</f>
        <v>-197856.987159926</v>
      </c>
      <c r="M5969" s="55" t="n">
        <f aca="false">M5947-M5967</f>
        <v>-187796.74107215</v>
      </c>
      <c r="N5969" s="55" t="n">
        <f aca="false">N5947-N5967</f>
        <v>-177141.857039508</v>
      </c>
      <c r="P5969" s="55" t="n">
        <f aca="false">SUM(C5969:F5969)</f>
        <v>-1010735.40135303</v>
      </c>
      <c r="Q5969" s="55" t="n">
        <f aca="false">SUM(G5969:J5969)</f>
        <v>-866317.154593043</v>
      </c>
      <c r="R5969" s="55" t="n">
        <f aca="false">SUM(K5969:N5969)</f>
        <v>-766193.63396139</v>
      </c>
      <c r="S5969" s="56" t="n">
        <f aca="false">SUM(P5969:R5969)</f>
        <v>-2643246.18990747</v>
      </c>
    </row>
    <row r="5970" customFormat="false" ht="15" hidden="false" customHeight="false" outlineLevel="0" collapsed="false">
      <c r="A5970" s="9" t="s">
        <v>569</v>
      </c>
      <c r="B5970" s="36" t="s">
        <v>125</v>
      </c>
      <c r="C5970" s="55" t="n">
        <f aca="false">0+C5969</f>
        <v>-273265.178571429</v>
      </c>
      <c r="D5970" s="55" t="n">
        <f aca="false">C5970+D5969</f>
        <v>-513327.458909223</v>
      </c>
      <c r="E5970" s="55" t="n">
        <f aca="false">D5970+E5969</f>
        <v>-760529.140890931</v>
      </c>
      <c r="F5970" s="55" t="n">
        <f aca="false">E5970+F5969</f>
        <v>-1010735.40135303</v>
      </c>
      <c r="G5970" s="55" t="n">
        <f aca="false">F5970+G5969</f>
        <v>-1244367.06422592</v>
      </c>
      <c r="H5970" s="55" t="n">
        <f aca="false">G5970+H5969</f>
        <v>-1439786.4386806</v>
      </c>
      <c r="I5970" s="55" t="n">
        <f aca="false">H5970+I5969</f>
        <v>-1676672.25380072</v>
      </c>
      <c r="J5970" s="55" t="n">
        <f aca="false">I5970+J5969</f>
        <v>-1877052.55594608</v>
      </c>
      <c r="K5970" s="55" t="n">
        <f aca="false">J5970+K5969</f>
        <v>-2080450.60463588</v>
      </c>
      <c r="L5970" s="55" t="n">
        <f aca="false">K5970+L5969</f>
        <v>-2278307.59179581</v>
      </c>
      <c r="M5970" s="55" t="n">
        <f aca="false">L5970+M5969</f>
        <v>-2466104.33286796</v>
      </c>
      <c r="N5970" s="55" t="n">
        <f aca="false">M5970+N5969</f>
        <v>-2643246.18990747</v>
      </c>
      <c r="P5970" s="55" t="n">
        <f aca="false">F5970</f>
        <v>-1010735.40135303</v>
      </c>
      <c r="Q5970" s="55" t="n">
        <f aca="false">J5970</f>
        <v>-1877052.55594608</v>
      </c>
      <c r="R5970" s="55" t="n">
        <f aca="false">N5970</f>
        <v>-2643246.18990747</v>
      </c>
      <c r="S5970" s="56" t="n">
        <f aca="false">R5970</f>
        <v>-2643246.18990747</v>
      </c>
    </row>
    <row r="5971" customFormat="false" ht="15" hidden="false" customHeight="false" outlineLevel="0" collapsed="false">
      <c r="A5971" s="4" t="s">
        <v>570</v>
      </c>
      <c r="B5971" s="36" t="s">
        <v>107</v>
      </c>
      <c r="C5971" s="57" t="n">
        <f aca="false">1/(1+Assumptions!$E$87)^(C5890/4)</f>
        <v>0.972065420906982</v>
      </c>
      <c r="D5971" s="57" t="n">
        <f aca="false">1/(1+Assumptions!$E$87)^(D5890/4)</f>
        <v>0.944911182523068</v>
      </c>
      <c r="E5971" s="57" t="n">
        <f aca="false">1/(1+Assumptions!$E$87)^(E5890/4)</f>
        <v>0.918515486359</v>
      </c>
      <c r="F5971" s="57" t="n">
        <f aca="false">1/(1+Assumptions!$E$87)^(F5890/4)</f>
        <v>0.892857142857143</v>
      </c>
      <c r="G5971" s="57" t="n">
        <f aca="false">1/(1+Assumptions!$E$87)^(G5890/4)</f>
        <v>0.867915554381234</v>
      </c>
      <c r="H5971" s="57" t="n">
        <f aca="false">1/(1+Assumptions!$E$87)^(H5890/4)</f>
        <v>0.843670698681311</v>
      </c>
      <c r="I5971" s="57" t="n">
        <f aca="false">1/(1+Assumptions!$E$87)^(I5890/4)</f>
        <v>0.820103112820536</v>
      </c>
      <c r="J5971" s="57" t="n">
        <f aca="false">1/(1+Assumptions!$E$87)^(J5890/4)</f>
        <v>0.79719387755102</v>
      </c>
      <c r="K5971" s="57" t="n">
        <f aca="false">1/(1+Assumptions!$E$87)^(K5890/4)</f>
        <v>0.774924602126102</v>
      </c>
      <c r="L5971" s="57" t="n">
        <f aca="false">1/(1+Assumptions!$E$87)^(L5890/4)</f>
        <v>0.753277409536885</v>
      </c>
      <c r="M5971" s="57" t="n">
        <f aca="false">1/(1+Assumptions!$E$87)^(M5890/4)</f>
        <v>0.732234922161193</v>
      </c>
      <c r="N5971" s="57" t="n">
        <f aca="false">1/(1+Assumptions!$E$87)^(N5890/4)</f>
        <v>0.711780247813411</v>
      </c>
      <c r="P5971" s="58"/>
      <c r="Q5971" s="58"/>
      <c r="R5971" s="58"/>
      <c r="S5971" s="59"/>
    </row>
    <row r="5972" customFormat="false" ht="15" hidden="false" customHeight="false" outlineLevel="0" collapsed="false">
      <c r="A5972" s="4" t="s">
        <v>571</v>
      </c>
      <c r="B5972" s="36" t="s">
        <v>125</v>
      </c>
      <c r="C5972" s="54" t="n">
        <f aca="false">(C5947*(1-Assumptions!$E$88)-C5967)*C5971</f>
        <v>-265631.630827257</v>
      </c>
      <c r="D5972" s="54" t="n">
        <f aca="false">(D5947*(1-Assumptions!$E$88)-D5967)*D5971</f>
        <v>-226973.829109136</v>
      </c>
      <c r="E5972" s="54" t="n">
        <f aca="false">(E5947*(1-Assumptions!$E$88)-E5967)*E5971</f>
        <v>-227617.297466288</v>
      </c>
      <c r="F5972" s="54" t="n">
        <f aca="false">(F5947*(1-Assumptions!$E$88)-F5967)*F5971</f>
        <v>-224584.927207709</v>
      </c>
      <c r="G5972" s="54" t="n">
        <f aca="false">(G5947*(1-Assumptions!$E$88)-G5967)*G5971</f>
        <v>-204660.755970536</v>
      </c>
      <c r="H5972" s="54" t="n">
        <f aca="false">(H5947*(1-Assumptions!$E$88)-H5967)*H5971</f>
        <v>-167543.78685963</v>
      </c>
      <c r="I5972" s="54" t="n">
        <f aca="false">(I5947*(1-Assumptions!$E$88)-I5967)*I5971</f>
        <v>-197861.204886479</v>
      </c>
      <c r="J5972" s="54" t="n">
        <f aca="false">(J5947*(1-Assumptions!$E$88)-J5967)*J5971</f>
        <v>-164472.854530449</v>
      </c>
      <c r="K5972" s="54" t="n">
        <f aca="false">(K5947*(1-Assumptions!$E$88)-K5967)*K5971</f>
        <v>-163809.066538471</v>
      </c>
      <c r="L5972" s="54" t="n">
        <f aca="false">(L5947*(1-Assumptions!$E$88)-L5967)*L5971</f>
        <v>-156867.821498622</v>
      </c>
      <c r="M5972" s="54" t="n">
        <f aca="false">(M5947*(1-Assumptions!$E$88)-M5967)*M5971</f>
        <v>-146936.688984936</v>
      </c>
      <c r="N5972" s="54" t="n">
        <f aca="false">(N5947*(1-Assumptions!$E$88)-N5967)*N5971</f>
        <v>-137002.509608441</v>
      </c>
      <c r="P5972" s="55" t="n">
        <f aca="false">SUM(C5972:F5972)</f>
        <v>-944807.68461039</v>
      </c>
      <c r="Q5972" s="55" t="n">
        <f aca="false">SUM(G5972:J5972)</f>
        <v>-734538.602247095</v>
      </c>
      <c r="R5972" s="55" t="n">
        <f aca="false">SUM(K5972:N5972)</f>
        <v>-604616.08663047</v>
      </c>
      <c r="S5972" s="56" t="n">
        <f aca="false">SUM(P5972:R5972)</f>
        <v>-2283962.37348795</v>
      </c>
    </row>
    <row r="5973" customFormat="false" ht="15" hidden="false" customHeight="false" outlineLevel="0" collapsed="false">
      <c r="A5973" s="4" t="s">
        <v>572</v>
      </c>
      <c r="B5973" s="36" t="s">
        <v>125</v>
      </c>
      <c r="C5973" s="54" t="n">
        <f aca="false">(C5967-C5966)*12/(Assumptions!$E$89*Assumptions!$E$76)*Assumptions!$E$90</f>
        <v>189183.585164835</v>
      </c>
      <c r="D5973" s="54" t="n">
        <f aca="false">(D5967-D5966)*12/(Assumptions!$E$89*Assumptions!$E$76)*Assumptions!$E$90</f>
        <v>166297.969021124</v>
      </c>
      <c r="E5973" s="54" t="n">
        <f aca="false">(E5967-E5966)*12/(Assumptions!$E$89*Assumptions!$E$76)*Assumptions!$E$90</f>
        <v>172129.687048271</v>
      </c>
      <c r="F5973" s="54" t="n">
        <f aca="false">(F5967-F5966)*12/(Assumptions!$E$89*Assumptions!$E$76)*Assumptions!$E$90</f>
        <v>175907.509108133</v>
      </c>
      <c r="G5973" s="54" t="n">
        <f aca="false">(G5967-G5966)*12/(Assumptions!$E$89*Assumptions!$E$76)*Assumptions!$E$90</f>
        <v>166515.795929151</v>
      </c>
      <c r="H5973" s="54" t="n">
        <f aca="false">(H5967-H5966)*12/(Assumptions!$E$89*Assumptions!$E$76)*Assumptions!$E$90</f>
        <v>142456.13222885</v>
      </c>
      <c r="I5973" s="54" t="n">
        <f aca="false">(I5967-I5966)*12/(Assumptions!$E$89*Assumptions!$E$76)*Assumptions!$E$90</f>
        <v>174113.649768056</v>
      </c>
      <c r="J5973" s="54" t="n">
        <f aca="false">(J5967-J5966)*12/(Assumptions!$E$89*Assumptions!$E$76)*Assumptions!$E$90</f>
        <v>152505.518299401</v>
      </c>
      <c r="K5973" s="54" t="n">
        <f aca="false">(K5967-K5966)*12/(Assumptions!$E$89*Assumptions!$E$76)*Assumptions!$E$90</f>
        <v>159526.899399291</v>
      </c>
      <c r="L5973" s="54" t="n">
        <f aca="false">(L5967-L5966)*12/(Assumptions!$E$89*Assumptions!$E$76)*Assumptions!$E$90</f>
        <v>161844.365500386</v>
      </c>
      <c r="M5973" s="54" t="n">
        <f aca="false">(M5967-M5966)*12/(Assumptions!$E$89*Assumptions!$E$76)*Assumptions!$E$90</f>
        <v>161458.766956034</v>
      </c>
      <c r="N5973" s="54" t="n">
        <f aca="false">(N5967-N5966)*12/(Assumptions!$E$89*Assumptions!$E$76)*Assumptions!$E$90</f>
        <v>160745.852054284</v>
      </c>
      <c r="P5973" s="55" t="n">
        <f aca="false">SUM(C5973:F5973)</f>
        <v>703518.750342363</v>
      </c>
      <c r="Q5973" s="55" t="n">
        <f aca="false">SUM(G5973:J5973)</f>
        <v>635591.096225458</v>
      </c>
      <c r="R5973" s="55" t="n">
        <f aca="false">SUM(K5973:N5973)</f>
        <v>643575.883909995</v>
      </c>
      <c r="S5973" s="56" t="n">
        <f aca="false">SUM(P5973:R5973)</f>
        <v>1982685.73047782</v>
      </c>
    </row>
    <row r="5974" customFormat="false" ht="15" hidden="false" customHeight="false" outlineLevel="0" collapsed="false">
      <c r="A5974" s="4" t="s">
        <v>573</v>
      </c>
      <c r="B5974" s="36" t="s">
        <v>125</v>
      </c>
      <c r="C5974" s="54" t="n">
        <f aca="false">0*Assumptions!$E$92^(1/4)+C5973</f>
        <v>189183.585164835</v>
      </c>
      <c r="D5974" s="54" t="n">
        <f aca="false">C5974*Assumptions!$E$92^(1/4)+D5973</f>
        <v>355952.749828138</v>
      </c>
      <c r="E5974" s="54" t="n">
        <f aca="false">D5974*Assumptions!$E$92^(1/4)+E5973</f>
        <v>528969.001027282</v>
      </c>
      <c r="F5974" s="54" t="n">
        <f aca="false">E5974*Assumptions!$E$92^(1/4)+F5973</f>
        <v>706194.00228419</v>
      </c>
      <c r="G5974" s="54" t="n">
        <f aca="false">F5974*Assumptions!$E$92^(1/4)+G5973</f>
        <v>874468.701006729</v>
      </c>
      <c r="H5974" s="54" t="n">
        <f aca="false">G5974*Assumptions!$E$92^(1/4)+H5973</f>
        <v>1019102.8543402</v>
      </c>
      <c r="I5974" s="54" t="n">
        <f aca="false">H5974*Assumptions!$E$92^(1/4)+I5973</f>
        <v>1195754.76250672</v>
      </c>
      <c r="J5974" s="54" t="n">
        <f aca="false">I5974*Assumptions!$E$92^(1/4)+J5973</f>
        <v>1351238.5224581</v>
      </c>
      <c r="K5974" s="54" t="n">
        <f aca="false">J5974*Assumptions!$E$92^(1/4)+K5973</f>
        <v>1514130.92369399</v>
      </c>
      <c r="L5974" s="54" t="n">
        <f aca="false">K5974*Assumptions!$E$92^(1/4)+L5973</f>
        <v>1679746.5037652</v>
      </c>
      <c r="M5974" s="54" t="n">
        <f aca="false">L5974*Assumptions!$E$92^(1/4)+M5973</f>
        <v>1845388.98059146</v>
      </c>
      <c r="N5974" s="54" t="n">
        <f aca="false">M5974*Assumptions!$E$92^(1/4)+N5973</f>
        <v>2010731.10480658</v>
      </c>
      <c r="P5974" s="55" t="n">
        <f aca="false">F5974</f>
        <v>706194.00228419</v>
      </c>
      <c r="Q5974" s="55" t="n">
        <f aca="false">J5974</f>
        <v>1351238.5224581</v>
      </c>
      <c r="R5974" s="55" t="n">
        <f aca="false">N5974</f>
        <v>2010731.10480658</v>
      </c>
      <c r="S5974" s="56" t="n">
        <f aca="false">R5974</f>
        <v>2010731.10480658</v>
      </c>
    </row>
    <row r="5975" customFormat="false" ht="15" hidden="false" customHeight="false" outlineLevel="0" collapsed="false">
      <c r="A5975" s="4" t="s">
        <v>574</v>
      </c>
      <c r="B5975" s="36" t="s">
        <v>125</v>
      </c>
      <c r="C5975" s="54" t="n">
        <f aca="false">(0+C5974)/8*Assumptions!$E$76-(C5967-C5966)-C5974*Assumptions!$E$93/4</f>
        <v>-260258.807091346</v>
      </c>
      <c r="D5975" s="54" t="n">
        <f aca="false">(C5974+D5974)/8*Assumptions!$E$76-(D5967-D5966)-D5974*Assumptions!$E$93/4</f>
        <v>-200365.259629629</v>
      </c>
      <c r="E5975" s="54" t="n">
        <f aca="false">(D5974+E5974)/8*Assumptions!$E$76-(E5967-E5966)-E5974*Assumptions!$E$93/4</f>
        <v>-183343.990436674</v>
      </c>
      <c r="F5975" s="54" t="n">
        <f aca="false">(E5974+F5974)/8*Assumptions!$E$76-(F5967-F5966)-F5974*Assumptions!$E$93/4</f>
        <v>-162559.055276799</v>
      </c>
      <c r="G5975" s="54" t="n">
        <f aca="false">(F5974+G5974)/8*Assumptions!$E$76-(G5967-G5966)-G5974*Assumptions!$E$93/4</f>
        <v>-123024.830462304</v>
      </c>
      <c r="H5975" s="54" t="n">
        <f aca="false">(G5974+H5974)/8*Assumptions!$E$76-(H5967-H5966)-H5974*Assumptions!$E$93/4</f>
        <v>-64656.0655823201</v>
      </c>
      <c r="I5975" s="54" t="n">
        <f aca="false">(H5974+I5974)/8*Assumptions!$E$76-(I5967-I5966)-I5974*Assumptions!$E$93/4</f>
        <v>-86487.2472719356</v>
      </c>
      <c r="J5975" s="54" t="n">
        <f aca="false">(I5974+J5974)/8*Assumptions!$E$76-(J5967-J5966)-J5974*Assumptions!$E$93/4</f>
        <v>-30233.0257820242</v>
      </c>
      <c r="K5975" s="54" t="n">
        <f aca="false">(J5974+K5974)/8*Assumptions!$E$76-(K5967-K5966)-K5974*Assumptions!$E$93/4</f>
        <v>-16543.1126230714</v>
      </c>
      <c r="L5975" s="54" t="n">
        <f aca="false">(K5974+L5974)/8*Assumptions!$E$76-(L5967-L5966)-L5974*Assumptions!$E$93/4</f>
        <v>4730.51507232551</v>
      </c>
      <c r="M5975" s="54" t="n">
        <f aca="false">(L5974+M5974)/8*Assumptions!$E$76-(M5967-M5966)-M5974*Assumptions!$E$93/4</f>
        <v>30131.676910092</v>
      </c>
      <c r="N5975" s="54" t="n">
        <f aca="false">(M5974+N5974)/8*Assumptions!$E$76-(N5967-N5966)-N5974*Assumptions!$E$93/4</f>
        <v>55987.1651612092</v>
      </c>
      <c r="P5975" s="55" t="n">
        <f aca="false">SUM(C5975:F5975)</f>
        <v>-806527.112434448</v>
      </c>
      <c r="Q5975" s="55" t="n">
        <f aca="false">SUM(G5975:J5975)</f>
        <v>-304401.169098584</v>
      </c>
      <c r="R5975" s="55" t="n">
        <f aca="false">SUM(K5975:N5975)</f>
        <v>74306.2445205553</v>
      </c>
      <c r="S5975" s="56" t="n">
        <f aca="false">SUM(P5975:R5975)</f>
        <v>-1036622.03701248</v>
      </c>
    </row>
    <row r="5976" customFormat="false" ht="15" hidden="false" customHeight="false" outlineLevel="0" collapsed="false">
      <c r="A5976" s="4" t="s">
        <v>575</v>
      </c>
      <c r="B5976" s="36" t="s">
        <v>125</v>
      </c>
      <c r="C5976" s="54" t="n">
        <f aca="false">C5975*C5971</f>
        <v>-252988.586859998</v>
      </c>
      <c r="D5976" s="54" t="n">
        <f aca="false">D5975*D5971</f>
        <v>-189327.374413174</v>
      </c>
      <c r="E5976" s="54" t="n">
        <f aca="false">E5975*E5971</f>
        <v>-168404.294546942</v>
      </c>
      <c r="F5976" s="54" t="n">
        <f aca="false">F5975*F5971</f>
        <v>-145142.013639999</v>
      </c>
      <c r="G5976" s="54" t="n">
        <f aca="false">G5975*G5971</f>
        <v>-106775.163933348</v>
      </c>
      <c r="H5976" s="54" t="n">
        <f aca="false">H5975*H5971</f>
        <v>-54548.4280238207</v>
      </c>
      <c r="I5976" s="54" t="n">
        <f aca="false">I5975*I5971</f>
        <v>-70928.4607069938</v>
      </c>
      <c r="J5976" s="54" t="n">
        <f aca="false">J5975*J5971</f>
        <v>-24101.5830532718</v>
      </c>
      <c r="K5976" s="54" t="n">
        <f aca="false">K5975*K5971</f>
        <v>-12819.6649673609</v>
      </c>
      <c r="L5976" s="54" t="n">
        <f aca="false">L5975*L5971</f>
        <v>3563.39013945655</v>
      </c>
      <c r="M5976" s="54" t="n">
        <f aca="false">M5975*M5971</f>
        <v>22063.4660968474</v>
      </c>
      <c r="N5976" s="54" t="n">
        <f aca="false">N5975*N5971</f>
        <v>39850.5582928159</v>
      </c>
      <c r="P5976" s="55" t="n">
        <f aca="false">SUM(C5976:F5976)</f>
        <v>-755862.269460113</v>
      </c>
      <c r="Q5976" s="55" t="n">
        <f aca="false">SUM(G5976:J5976)</f>
        <v>-256353.635717434</v>
      </c>
      <c r="R5976" s="55" t="n">
        <f aca="false">SUM(K5976:N5976)</f>
        <v>52657.749561759</v>
      </c>
      <c r="S5976" s="56" t="n">
        <f aca="false">SUM(P5976:R5976)</f>
        <v>-959558.155615789</v>
      </c>
    </row>
    <row r="5977" customFormat="false" ht="15" hidden="false" customHeight="false" outlineLevel="0" collapsed="false">
      <c r="A5977" s="4" t="s">
        <v>576</v>
      </c>
      <c r="B5977" s="36"/>
      <c r="C5977" s="37" t="n">
        <f aca="false">IFERROR((S5932*$C$5881*Assumptions!$D$59+S5933*$C$5882*Assumptions!$D$60+S5934*$C$5883*Assumptions!$D$61)/(S5932*$C$5881+S5933*$C$5882+S5934*$C$5883),0.9)</f>
        <v>0.861353648136344</v>
      </c>
    </row>
    <row r="5978" customFormat="false" ht="15" hidden="false" customHeight="false" outlineLevel="0" collapsed="false">
      <c r="A5978" s="4" t="s">
        <v>577</v>
      </c>
      <c r="B5978" s="36"/>
      <c r="C5978" s="37" t="n">
        <f aca="false">IFERROR(N5966*4/N5944,0)</f>
        <v>0.169834282665985</v>
      </c>
    </row>
    <row r="5979" customFormat="false" ht="15" hidden="false" customHeight="false" outlineLevel="0" collapsed="false">
      <c r="A5979" s="4" t="s">
        <v>578</v>
      </c>
      <c r="B5979" s="36"/>
      <c r="C5979" s="60" t="n">
        <f aca="false">$C$5977/(1+Assumptions!$E$87)</f>
        <v>0.769065757264593</v>
      </c>
    </row>
    <row r="5980" customFormat="false" ht="15" hidden="false" customHeight="false" outlineLevel="0" collapsed="false">
      <c r="A5980" s="4" t="s">
        <v>579</v>
      </c>
      <c r="B5980" s="36"/>
      <c r="C5980" s="60" t="n">
        <f aca="false">Assumptions!$E$91/(1+Assumptions!$E$87)</f>
        <v>0.803571428571429</v>
      </c>
    </row>
    <row r="5981" customFormat="false" ht="15" hidden="false" customHeight="false" outlineLevel="0" collapsed="false">
      <c r="A5981" s="35" t="s">
        <v>580</v>
      </c>
      <c r="B5981" s="35" t="s">
        <v>444</v>
      </c>
      <c r="C5981" s="6" t="s">
        <v>354</v>
      </c>
      <c r="D5981" s="6" t="s">
        <v>355</v>
      </c>
      <c r="E5981" s="6" t="s">
        <v>356</v>
      </c>
      <c r="F5981" s="6" t="s">
        <v>357</v>
      </c>
      <c r="G5981" s="6" t="s">
        <v>358</v>
      </c>
      <c r="H5981" s="6" t="s">
        <v>359</v>
      </c>
      <c r="I5981" s="6" t="s">
        <v>360</v>
      </c>
      <c r="J5981" s="6" t="s">
        <v>361</v>
      </c>
      <c r="K5981" s="6" t="s">
        <v>362</v>
      </c>
      <c r="L5981" s="6" t="s">
        <v>363</v>
      </c>
      <c r="M5981" s="6" t="s">
        <v>364</v>
      </c>
      <c r="N5981" s="6" t="s">
        <v>365</v>
      </c>
      <c r="P5981" s="6" t="s">
        <v>445</v>
      </c>
      <c r="Q5981" s="6" t="s">
        <v>446</v>
      </c>
      <c r="R5981" s="6" t="s">
        <v>447</v>
      </c>
      <c r="S5981" s="6" t="s">
        <v>448</v>
      </c>
    </row>
    <row r="5982" customFormat="false" ht="15" hidden="false" customHeight="false" outlineLevel="0" collapsed="false">
      <c r="A5982" s="9" t="s">
        <v>581</v>
      </c>
      <c r="C5982" s="61" t="n">
        <f aca="false">N5944</f>
        <v>509612.726732255</v>
      </c>
      <c r="D5982" s="61"/>
    </row>
    <row r="5983" customFormat="false" ht="15" hidden="false" customHeight="false" outlineLevel="0" collapsed="false">
      <c r="A5983" s="9" t="s">
        <v>582</v>
      </c>
      <c r="C5983" s="62" t="n">
        <f aca="false">N5940</f>
        <v>48.0163003358081</v>
      </c>
      <c r="D5983" s="62"/>
    </row>
    <row r="5984" customFormat="false" ht="15" hidden="false" customHeight="false" outlineLevel="0" collapsed="false">
      <c r="A5984" s="9" t="s">
        <v>583</v>
      </c>
      <c r="C5984" s="63" t="n">
        <f aca="false">S5935</f>
        <v>54.7491194625937</v>
      </c>
      <c r="D5984" s="63"/>
    </row>
    <row r="5985" customFormat="false" ht="15" hidden="false" customHeight="false" outlineLevel="0" collapsed="false">
      <c r="A5985" s="9" t="s">
        <v>584</v>
      </c>
      <c r="C5985" s="61" t="n">
        <f aca="false">S5946</f>
        <v>494823.782961303</v>
      </c>
      <c r="D5985" s="61"/>
    </row>
    <row r="5986" customFormat="false" ht="15" hidden="false" customHeight="false" outlineLevel="0" collapsed="false">
      <c r="A5986" s="9" t="s">
        <v>22</v>
      </c>
      <c r="C5986" s="61" t="n">
        <f aca="false">IFERROR(S5945/S5935,0)</f>
        <v>8847.97350983958</v>
      </c>
      <c r="D5986" s="61"/>
    </row>
    <row r="5987" customFormat="false" ht="15" hidden="false" customHeight="false" outlineLevel="0" collapsed="false">
      <c r="A5987" s="9" t="s">
        <v>585</v>
      </c>
      <c r="C5987" s="61" t="n">
        <f aca="false">IFERROR(S5963/S5935,0)</f>
        <v>39481.7979795841</v>
      </c>
      <c r="D5987" s="61"/>
    </row>
    <row r="5988" customFormat="false" ht="23.85" hidden="false" customHeight="false" outlineLevel="0" collapsed="false">
      <c r="A5988" s="9" t="s">
        <v>586</v>
      </c>
      <c r="C5988" s="61" t="n">
        <f aca="false">IFERROR((S5957+S5959+S5960+S5961+S5962)/S5935,0)</f>
        <v>15924.0153192791</v>
      </c>
      <c r="D5988" s="61"/>
    </row>
    <row r="5989" customFormat="false" ht="15" hidden="false" customHeight="false" outlineLevel="0" collapsed="false">
      <c r="A5989" s="9" t="s">
        <v>587</v>
      </c>
      <c r="C5989" s="64" t="n">
        <f aca="false">IFERROR('Engine Runs'!$C$5987/('Engine Runs'!$C$5986*Assumptions!$E$76/12),0)</f>
        <v>82.3798501566715</v>
      </c>
      <c r="D5989" s="64"/>
    </row>
    <row r="5990" customFormat="false" ht="15" hidden="false" customHeight="false" outlineLevel="0" collapsed="false">
      <c r="A5990" s="9" t="s">
        <v>588</v>
      </c>
      <c r="C5990" s="64" t="n">
        <f aca="false">IFERROR((R5963/R5935)/((R5945/R5935)*Assumptions!$E$76/12),0)</f>
        <v>53.7401674227257</v>
      </c>
      <c r="D5990" s="64"/>
    </row>
    <row r="5991" customFormat="false" ht="15" hidden="false" customHeight="false" outlineLevel="0" collapsed="false">
      <c r="A5991" s="9" t="s">
        <v>589</v>
      </c>
      <c r="C5991" s="61" t="n">
        <f aca="false">S5967</f>
        <v>2964881.64883231</v>
      </c>
      <c r="D5991" s="61"/>
    </row>
    <row r="5992" customFormat="false" ht="15" hidden="false" customHeight="false" outlineLevel="0" collapsed="false">
      <c r="A5992" s="9" t="s">
        <v>590</v>
      </c>
      <c r="C5992" s="61" t="n">
        <f aca="false">N5970</f>
        <v>-2643246.18990747</v>
      </c>
      <c r="D5992" s="61"/>
    </row>
    <row r="5993" customFormat="false" ht="15" hidden="false" customHeight="false" outlineLevel="0" collapsed="false">
      <c r="A5993" s="9" t="s">
        <v>591</v>
      </c>
      <c r="C5993" s="61" t="n">
        <f aca="false">MIN($C$5970:$N$5970)</f>
        <v>-2643246.18990747</v>
      </c>
      <c r="D5993" s="61"/>
    </row>
    <row r="5994" customFormat="false" ht="15" hidden="false" customHeight="false" outlineLevel="0" collapsed="false">
      <c r="A5994" s="9" t="s">
        <v>592</v>
      </c>
      <c r="C5994" s="61" t="n">
        <f aca="false">N5944*(Assumptions!$E$76-$C$5978)*$C$5977*(1-$C$5977^Assumptions!$E$85)/(1-$C$5977)</f>
        <v>799417.770695141</v>
      </c>
      <c r="D5994" s="61"/>
    </row>
    <row r="5995" customFormat="false" ht="15" hidden="false" customHeight="false" outlineLevel="0" collapsed="false">
      <c r="A5995" s="9" t="s">
        <v>593</v>
      </c>
      <c r="C5995" s="61" t="n">
        <f aca="false">N5944*(Assumptions!$E$76-$C$5978)*(1-Assumptions!$E$88)/(1+Assumptions!$E$87)^2.5*$C$5979*(1-$C$5979^Assumptions!$E$85)/(1-$C$5979)</f>
        <v>358959.048844101</v>
      </c>
      <c r="D5995" s="61"/>
    </row>
    <row r="5996" customFormat="false" ht="15" hidden="false" customHeight="false" outlineLevel="0" collapsed="false">
      <c r="A5996" s="9" t="s">
        <v>594</v>
      </c>
      <c r="C5996" s="61" t="n">
        <f aca="false">SUM($C$5972:$N$5972)+'Engine Runs'!$C$5995</f>
        <v>-1925003.32464385</v>
      </c>
      <c r="D5996" s="61"/>
    </row>
    <row r="5997" customFormat="false" ht="15" hidden="false" customHeight="false" outlineLevel="0" collapsed="false">
      <c r="A5997" s="9" t="s">
        <v>595</v>
      </c>
      <c r="C5997" s="61" t="n">
        <f aca="false">SUM($C$5976:$N$5976)+N5974*(Assumptions!$E$76-Assumptions!$E$93)/(1+Assumptions!$E$87)^2.5*$C$5980*(1-$C$5980^Assumptions!$E$85)/(1-$C$5980)</f>
        <v>1512522.02860027</v>
      </c>
      <c r="D5997" s="61"/>
    </row>
    <row r="5998" customFormat="false" ht="15" hidden="false" customHeight="false" outlineLevel="0" collapsed="false">
      <c r="A5998" s="9" t="s">
        <v>596</v>
      </c>
      <c r="C5998" s="61" t="n">
        <f aca="false">'Engine Runs'!$C$5996-'Engine Runs'!$C$5997</f>
        <v>-3437525.35324412</v>
      </c>
      <c r="D5998" s="61"/>
    </row>
    <row r="5999" customFormat="false" ht="15" hidden="false" customHeight="false" outlineLevel="0" collapsed="false">
      <c r="A5999" s="9" t="s">
        <v>597</v>
      </c>
      <c r="C5999" s="61" t="n">
        <f aca="false">S5931</f>
        <v>0</v>
      </c>
      <c r="D5999" s="61"/>
    </row>
    <row r="6000" customFormat="false" ht="15" hidden="false" customHeight="false" outlineLevel="0" collapsed="false">
      <c r="A6000" s="9" t="s">
        <v>598</v>
      </c>
      <c r="C6000" s="63" t="n">
        <f aca="false">P5915</f>
        <v>43.6188722246667</v>
      </c>
      <c r="D6000" s="63"/>
    </row>
    <row r="6001" customFormat="false" ht="15" hidden="false" customHeight="false" outlineLevel="0" collapsed="false">
      <c r="A6001" s="9" t="s">
        <v>599</v>
      </c>
      <c r="C6001" s="63" t="n">
        <f aca="false">P5935</f>
        <v>6.18260904948639</v>
      </c>
      <c r="D6001" s="63"/>
    </row>
    <row r="6002" customFormat="false" ht="15" hidden="false" customHeight="false" outlineLevel="0" collapsed="false">
      <c r="A6002" s="9" t="s">
        <v>600</v>
      </c>
      <c r="C6002" s="63" t="n">
        <f aca="false">P5911</f>
        <v>42</v>
      </c>
      <c r="D6002" s="63"/>
    </row>
    <row r="6003" customFormat="false" ht="15" hidden="false" customHeight="false" outlineLevel="0" collapsed="false">
      <c r="A6003" s="9" t="s">
        <v>601</v>
      </c>
      <c r="C6003" s="61" t="n">
        <f aca="false">IFERROR(P5945/P5935,0)</f>
        <v>8545.01753177967</v>
      </c>
      <c r="D6003" s="61"/>
    </row>
    <row r="6006" customFormat="false" ht="15" hidden="false" customHeight="true" outlineLevel="0" collapsed="false">
      <c r="A6006" s="78" t="s">
        <v>870</v>
      </c>
      <c r="B6006" s="78"/>
      <c r="C6006" s="78"/>
      <c r="D6006" s="78"/>
      <c r="E6006" s="78"/>
      <c r="F6006" s="78"/>
      <c r="G6006" s="78"/>
      <c r="H6006" s="78"/>
      <c r="I6006" s="78"/>
      <c r="J6006" s="78"/>
      <c r="K6006" s="78"/>
      <c r="L6006" s="78"/>
      <c r="M6006" s="78"/>
      <c r="N6006" s="78"/>
    </row>
    <row r="6007" customFormat="false" ht="15" hidden="false" customHeight="true" outlineLevel="0" collapsed="false">
      <c r="A6007" s="79" t="s">
        <v>871</v>
      </c>
      <c r="B6007" s="79"/>
      <c r="C6007" s="79"/>
      <c r="D6007" s="79"/>
      <c r="E6007" s="79"/>
      <c r="F6007" s="79"/>
      <c r="G6007" s="79"/>
      <c r="H6007" s="79"/>
      <c r="I6007" s="79"/>
      <c r="J6007" s="79"/>
      <c r="K6007" s="79"/>
      <c r="L6007" s="79"/>
      <c r="M6007" s="79"/>
      <c r="N6007" s="79"/>
    </row>
    <row r="6008" customFormat="false" ht="23.85" hidden="false" customHeight="false" outlineLevel="0" collapsed="false">
      <c r="A6008" s="35" t="s">
        <v>872</v>
      </c>
      <c r="B6008" s="35" t="s">
        <v>444</v>
      </c>
      <c r="C6008" s="6" t="s">
        <v>354</v>
      </c>
      <c r="D6008" s="6" t="s">
        <v>355</v>
      </c>
      <c r="E6008" s="6" t="s">
        <v>356</v>
      </c>
      <c r="F6008" s="6" t="s">
        <v>357</v>
      </c>
      <c r="G6008" s="6" t="s">
        <v>358</v>
      </c>
      <c r="H6008" s="6" t="s">
        <v>359</v>
      </c>
      <c r="I6008" s="6" t="s">
        <v>360</v>
      </c>
      <c r="J6008" s="6" t="s">
        <v>361</v>
      </c>
      <c r="K6008" s="6" t="s">
        <v>362</v>
      </c>
      <c r="L6008" s="6" t="s">
        <v>363</v>
      </c>
      <c r="M6008" s="6" t="s">
        <v>364</v>
      </c>
      <c r="N6008" s="6" t="s">
        <v>365</v>
      </c>
      <c r="P6008" s="6" t="s">
        <v>445</v>
      </c>
      <c r="Q6008" s="6" t="s">
        <v>446</v>
      </c>
      <c r="R6008" s="6" t="s">
        <v>447</v>
      </c>
      <c r="S6008" s="6" t="s">
        <v>448</v>
      </c>
    </row>
    <row r="6009" customFormat="false" ht="15" hidden="false" customHeight="false" outlineLevel="0" collapsed="false">
      <c r="A6009" s="4" t="s">
        <v>449</v>
      </c>
      <c r="B6009" s="36" t="s">
        <v>450</v>
      </c>
      <c r="C6009" s="34" t="n">
        <f aca="false">'Market Sizing'!$C$17*Assumptions!$E$10*Assumptions!$E$11*(1-Assumptions!$E$12)</f>
        <v>843.03944704</v>
      </c>
    </row>
    <row r="6010" customFormat="false" ht="15" hidden="false" customHeight="false" outlineLevel="0" collapsed="false">
      <c r="A6010" s="4" t="s">
        <v>451</v>
      </c>
      <c r="B6010" s="36" t="s">
        <v>450</v>
      </c>
      <c r="C6010" s="34" t="n">
        <f aca="false">'Market Sizing'!$D$17*Assumptions!$E$10*Assumptions!$E$11*(1-Assumptions!$E$12)</f>
        <v>211.19616</v>
      </c>
    </row>
    <row r="6011" customFormat="false" ht="15" hidden="false" customHeight="false" outlineLevel="0" collapsed="false">
      <c r="A6011" s="4" t="s">
        <v>452</v>
      </c>
      <c r="B6011" s="36" t="s">
        <v>450</v>
      </c>
      <c r="C6011" s="34" t="n">
        <f aca="false">'Market Sizing'!$E$17*Assumptions!$E$10*Assumptions!$E$11*(1-Assumptions!$E$12)</f>
        <v>49.53984</v>
      </c>
    </row>
    <row r="6012" customFormat="false" ht="15" hidden="false" customHeight="false" outlineLevel="0" collapsed="false">
      <c r="A6012" s="4" t="s">
        <v>453</v>
      </c>
      <c r="B6012" s="36"/>
      <c r="C6012" s="34" t="n">
        <f aca="false">$C$6009+$C$6010+$C$6011</f>
        <v>1103.77544704</v>
      </c>
    </row>
    <row r="6013" customFormat="false" ht="15" hidden="false" customHeight="false" outlineLevel="0" collapsed="false">
      <c r="A6013" s="4" t="s">
        <v>454</v>
      </c>
      <c r="B6013" s="36" t="s">
        <v>450</v>
      </c>
      <c r="C6013" s="34" t="n">
        <f aca="false">'Market Sizing'!$C$18*Assumptions!$E$10*Assumptions!$E$11*(1-Assumptions!$E$12)</f>
        <v>612.57706944</v>
      </c>
    </row>
    <row r="6014" customFormat="false" ht="15" hidden="false" customHeight="false" outlineLevel="0" collapsed="false">
      <c r="A6014" s="4" t="s">
        <v>455</v>
      </c>
      <c r="B6014" s="36" t="s">
        <v>450</v>
      </c>
      <c r="C6014" s="34" t="n">
        <f aca="false">'Market Sizing'!$D$18*Assumptions!$E$10*Assumptions!$E$11*(1-Assumptions!$E$12)</f>
        <v>142.10112</v>
      </c>
    </row>
    <row r="6015" customFormat="false" ht="15" hidden="false" customHeight="false" outlineLevel="0" collapsed="false">
      <c r="A6015" s="4" t="s">
        <v>456</v>
      </c>
      <c r="B6015" s="36" t="s">
        <v>450</v>
      </c>
      <c r="C6015" s="34" t="n">
        <f aca="false">'Market Sizing'!$E$18*Assumptions!$E$10*Assumptions!$E$11*(1-Assumptions!$E$12)</f>
        <v>24.76992</v>
      </c>
    </row>
    <row r="6016" customFormat="false" ht="15" hidden="false" customHeight="false" outlineLevel="0" collapsed="false">
      <c r="A6016" s="4" t="s">
        <v>457</v>
      </c>
      <c r="B6016" s="36"/>
      <c r="C6016" s="34" t="n">
        <f aca="false">$C$6013+$C$6014+$C$6015</f>
        <v>779.44810944</v>
      </c>
    </row>
    <row r="6017" customFormat="false" ht="15" hidden="false" customHeight="false" outlineLevel="0" collapsed="false">
      <c r="A6017" s="4" t="s">
        <v>458</v>
      </c>
      <c r="B6017" s="36" t="s">
        <v>450</v>
      </c>
      <c r="C6017" s="34" t="n">
        <f aca="false">'Market Sizing'!$C$19*Assumptions!$E$10*Assumptions!$E$11*(1-Assumptions!$E$12)</f>
        <v>2060.77303936</v>
      </c>
    </row>
    <row r="6018" customFormat="false" ht="15" hidden="false" customHeight="false" outlineLevel="0" collapsed="false">
      <c r="A6018" s="4" t="s">
        <v>459</v>
      </c>
      <c r="B6018" s="36" t="s">
        <v>450</v>
      </c>
      <c r="C6018" s="34" t="n">
        <f aca="false">'Market Sizing'!$D$19*Assumptions!$E$10*Assumptions!$E$11*(1-Assumptions!$E$12)</f>
        <v>428.47616</v>
      </c>
    </row>
    <row r="6019" customFormat="false" ht="15" hidden="false" customHeight="false" outlineLevel="0" collapsed="false">
      <c r="A6019" s="4" t="s">
        <v>460</v>
      </c>
      <c r="B6019" s="36" t="s">
        <v>450</v>
      </c>
      <c r="C6019" s="34" t="n">
        <f aca="false">'Market Sizing'!$E$19*Assumptions!$E$10*Assumptions!$E$11*(1-Assumptions!$E$12)</f>
        <v>79.52448</v>
      </c>
    </row>
    <row r="6020" customFormat="false" ht="15" hidden="false" customHeight="false" outlineLevel="0" collapsed="false">
      <c r="A6020" s="4" t="s">
        <v>461</v>
      </c>
      <c r="B6020" s="36"/>
      <c r="C6020" s="34" t="n">
        <f aca="false">$C$6017+$C$6018+$C$6019</f>
        <v>2568.77367936</v>
      </c>
    </row>
    <row r="6021" customFormat="false" ht="15" hidden="false" customHeight="false" outlineLevel="0" collapsed="false">
      <c r="A6021" s="4" t="s">
        <v>462</v>
      </c>
      <c r="B6021" s="36" t="s">
        <v>463</v>
      </c>
      <c r="C6021" s="33" t="n">
        <f aca="false">MAX((Assumptions!$E$51+Assumptions!$E$53)*12,(((('Market Sizing'!$E$25*Assumptions!$E$41*Assumptions!$E$42*Assumptions!$E$43)*Assumptions!$E$44)*Assumptions!$E$45*Assumptions!$E$46+('Market Sizing'!$E$25*Assumptions!$E$41*Assumptions!$E$42*Assumptions!$E$43)*Assumptions!$E$47+('Market Sizing'!$E$25*Assumptions!$E$41*Assumptions!$E$42*Assumptions!$E$43)*Assumptions!$E$48*Assumptions!$E$49)*(Assumptions!$E$51*12/Assumptions!$E$52)+((('Market Sizing'!$E$25*Assumptions!$E$41*Assumptions!$E$42*Assumptions!$E$43)*Assumptions!$E$44)*Assumptions!$E$45+('Market Sizing'!$E$25*Assumptions!$E$41*Assumptions!$E$42*Assumptions!$E$43)+('Market Sizing'!$E$25*Assumptions!$E$41*Assumptions!$E$42*Assumptions!$E$43)*Assumptions!$E$48)*Assumptions!$E$50*(Assumptions!$E$53*12/Assumptions!$E$54)))</f>
        <v>5352</v>
      </c>
    </row>
    <row r="6022" customFormat="false" ht="15" hidden="false" customHeight="false" outlineLevel="0" collapsed="false">
      <c r="A6022" s="4" t="s">
        <v>464</v>
      </c>
      <c r="B6022" s="36" t="s">
        <v>463</v>
      </c>
      <c r="C6022" s="33" t="n">
        <f aca="false">MAX((Assumptions!$E$51+Assumptions!$E$53)*12,(((('Market Sizing'!$E$26*Assumptions!$E$41*Assumptions!$E$42*Assumptions!$E$43)*Assumptions!$E$44)*Assumptions!$E$45*Assumptions!$E$46+('Market Sizing'!$E$26*Assumptions!$E$41*Assumptions!$E$42*Assumptions!$E$43)*Assumptions!$E$47+('Market Sizing'!$E$26*Assumptions!$E$41*Assumptions!$E$42*Assumptions!$E$43)*Assumptions!$E$48*Assumptions!$E$49)*(Assumptions!$E$51*12/Assumptions!$E$52)+((('Market Sizing'!$E$26*Assumptions!$E$41*Assumptions!$E$42*Assumptions!$E$43)*Assumptions!$E$44)*Assumptions!$E$45+('Market Sizing'!$E$26*Assumptions!$E$41*Assumptions!$E$42*Assumptions!$E$43)+('Market Sizing'!$E$26*Assumptions!$E$41*Assumptions!$E$42*Assumptions!$E$43)*Assumptions!$E$48)*Assumptions!$E$50*(Assumptions!$E$53*12/Assumptions!$E$54)))</f>
        <v>9766.72012875208</v>
      </c>
    </row>
    <row r="6023" customFormat="false" ht="15" hidden="false" customHeight="false" outlineLevel="0" collapsed="false">
      <c r="A6023" s="4" t="s">
        <v>465</v>
      </c>
      <c r="B6023" s="36" t="s">
        <v>463</v>
      </c>
      <c r="C6023" s="33" t="n">
        <f aca="false">MAX(Assumptions!$E$55*(Assumptions!$E$51*12/Assumptions!$E$52)+Assumptions!$E$56*(Assumptions!$E$53*12/Assumptions!$E$54),(((('Market Sizing'!$E$27*Assumptions!$E$41*Assumptions!$E$42*Assumptions!$E$43)*Assumptions!$E$44)*Assumptions!$E$45*Assumptions!$E$46+('Market Sizing'!$E$27*Assumptions!$E$41*Assumptions!$E$42*Assumptions!$E$43)*Assumptions!$E$47+('Market Sizing'!$E$27*Assumptions!$E$41*Assumptions!$E$42*Assumptions!$E$43)*Assumptions!$E$48*Assumptions!$E$49)*(Assumptions!$E$51*12/Assumptions!$E$52)+((('Market Sizing'!$E$27*Assumptions!$E$41*Assumptions!$E$42*Assumptions!$E$43)*Assumptions!$E$44)*Assumptions!$E$45+('Market Sizing'!$E$27*Assumptions!$E$41*Assumptions!$E$42*Assumptions!$E$43)+('Market Sizing'!$E$27*Assumptions!$E$41*Assumptions!$E$42*Assumptions!$E$43)*Assumptions!$E$48)*Assumptions!$E$50*(Assumptions!$E$53*12/Assumptions!$E$54)))*(1-Assumptions!$E$57)</f>
        <v>61778.2562194386</v>
      </c>
    </row>
    <row r="6024" customFormat="false" ht="23.85" hidden="false" customHeight="false" outlineLevel="0" collapsed="false">
      <c r="A6024" s="4" t="s">
        <v>466</v>
      </c>
      <c r="B6024" s="36" t="s">
        <v>467</v>
      </c>
      <c r="C6024" s="37" t="n">
        <f aca="false">Assumptions!$E$17*Assumptions!$D$106</f>
        <v>0.4</v>
      </c>
    </row>
    <row r="6025" customFormat="false" ht="23.85" hidden="false" customHeight="false" outlineLevel="0" collapsed="false">
      <c r="A6025" s="4" t="s">
        <v>468</v>
      </c>
      <c r="B6025" s="36" t="s">
        <v>469</v>
      </c>
      <c r="C6025" s="33" t="n">
        <f aca="false">Assumptions!$E$68/Assumptions!$E$69</f>
        <v>285714.285714286</v>
      </c>
    </row>
    <row r="6026" customFormat="false" ht="23.85" hidden="false" customHeight="false" outlineLevel="0" collapsed="false">
      <c r="A6026" s="4" t="s">
        <v>470</v>
      </c>
      <c r="B6026" s="36" t="s">
        <v>471</v>
      </c>
      <c r="C6026" s="33" t="n">
        <f aca="false">Assumptions!$E$66*Assumptions!$E$67/4</f>
        <v>153125</v>
      </c>
    </row>
    <row r="6027" customFormat="false" ht="15" hidden="false" customHeight="false" outlineLevel="0" collapsed="false">
      <c r="A6027" s="4" t="s">
        <v>472</v>
      </c>
      <c r="B6027" s="36"/>
      <c r="C6027" s="38" t="n">
        <f aca="false">$C$6025/Assumptions!$E$66/Assumptions!$E$67</f>
        <v>0.466472303206997</v>
      </c>
    </row>
    <row r="6028" customFormat="false" ht="15" hidden="false" customHeight="false" outlineLevel="0" collapsed="false">
      <c r="A6028" s="4" t="s">
        <v>473</v>
      </c>
      <c r="B6028" s="36"/>
      <c r="C6028" s="33" t="n">
        <f aca="false">MAX(0,Assumptions!$D$103-Assumptions!$E$78)</f>
        <v>0</v>
      </c>
    </row>
    <row r="6029" customFormat="false" ht="15" hidden="false" customHeight="false" outlineLevel="0" collapsed="false">
      <c r="A6029" s="35" t="s">
        <v>474</v>
      </c>
      <c r="B6029" s="35" t="s">
        <v>444</v>
      </c>
      <c r="C6029" s="6" t="s">
        <v>354</v>
      </c>
      <c r="D6029" s="6" t="s">
        <v>355</v>
      </c>
      <c r="E6029" s="6" t="s">
        <v>356</v>
      </c>
      <c r="F6029" s="6" t="s">
        <v>357</v>
      </c>
      <c r="G6029" s="6" t="s">
        <v>358</v>
      </c>
      <c r="H6029" s="6" t="s">
        <v>359</v>
      </c>
      <c r="I6029" s="6" t="s">
        <v>360</v>
      </c>
      <c r="J6029" s="6" t="s">
        <v>361</v>
      </c>
      <c r="K6029" s="6" t="s">
        <v>362</v>
      </c>
      <c r="L6029" s="6" t="s">
        <v>363</v>
      </c>
      <c r="M6029" s="6" t="s">
        <v>364</v>
      </c>
      <c r="N6029" s="6" t="s">
        <v>365</v>
      </c>
      <c r="P6029" s="6" t="s">
        <v>445</v>
      </c>
      <c r="Q6029" s="6" t="s">
        <v>446</v>
      </c>
      <c r="R6029" s="6" t="s">
        <v>447</v>
      </c>
      <c r="S6029" s="6" t="s">
        <v>448</v>
      </c>
    </row>
    <row r="6030" customFormat="false" ht="15" hidden="false" customHeight="false" outlineLevel="0" collapsed="false">
      <c r="A6030" s="4" t="s">
        <v>475</v>
      </c>
      <c r="B6030" s="36" t="s">
        <v>133</v>
      </c>
      <c r="C6030" s="39" t="n">
        <v>1</v>
      </c>
      <c r="D6030" s="39" t="n">
        <v>2</v>
      </c>
      <c r="E6030" s="39" t="n">
        <v>3</v>
      </c>
      <c r="F6030" s="39" t="n">
        <v>4</v>
      </c>
      <c r="G6030" s="39" t="n">
        <v>5</v>
      </c>
      <c r="H6030" s="39" t="n">
        <v>6</v>
      </c>
      <c r="I6030" s="39" t="n">
        <v>7</v>
      </c>
      <c r="J6030" s="39" t="n">
        <v>8</v>
      </c>
      <c r="K6030" s="39" t="n">
        <v>9</v>
      </c>
      <c r="L6030" s="39" t="n">
        <v>10</v>
      </c>
      <c r="M6030" s="39" t="n">
        <v>11</v>
      </c>
      <c r="N6030" s="39" t="n">
        <v>12</v>
      </c>
      <c r="P6030" s="40"/>
      <c r="Q6030" s="40"/>
      <c r="R6030" s="40"/>
      <c r="S6030" s="41"/>
    </row>
    <row r="6031" customFormat="false" ht="15" hidden="false" customHeight="false" outlineLevel="0" collapsed="false">
      <c r="A6031" s="4" t="s">
        <v>476</v>
      </c>
      <c r="B6031" s="36" t="s">
        <v>343</v>
      </c>
      <c r="C6031" s="39" t="n">
        <f aca="false">IF(C6030&lt;=Assumptions!$E$84,1,0)</f>
        <v>1</v>
      </c>
      <c r="D6031" s="39" t="n">
        <f aca="false">IF(D6030&lt;=Assumptions!$E$84,1,0)</f>
        <v>1</v>
      </c>
      <c r="E6031" s="39" t="n">
        <f aca="false">IF(E6030&lt;=Assumptions!$E$84,1,0)</f>
        <v>1</v>
      </c>
      <c r="F6031" s="39" t="n">
        <f aca="false">IF(F6030&lt;=Assumptions!$E$84,1,0)</f>
        <v>1</v>
      </c>
      <c r="G6031" s="39" t="n">
        <f aca="false">IF(G6030&lt;=Assumptions!$E$84,1,0)</f>
        <v>1</v>
      </c>
      <c r="H6031" s="39" t="n">
        <f aca="false">IF(H6030&lt;=Assumptions!$E$84,1,0)</f>
        <v>1</v>
      </c>
      <c r="I6031" s="39" t="n">
        <f aca="false">IF(I6030&lt;=Assumptions!$E$84,1,0)</f>
        <v>1</v>
      </c>
      <c r="J6031" s="39" t="n">
        <f aca="false">IF(J6030&lt;=Assumptions!$E$84,1,0)</f>
        <v>1</v>
      </c>
      <c r="K6031" s="39" t="n">
        <f aca="false">IF(K6030&lt;=Assumptions!$E$84,1,0)</f>
        <v>1</v>
      </c>
      <c r="L6031" s="39" t="n">
        <f aca="false">IF(L6030&lt;=Assumptions!$E$84,1,0)</f>
        <v>1</v>
      </c>
      <c r="M6031" s="39" t="n">
        <f aca="false">IF(M6030&lt;=Assumptions!$E$84,1,0)</f>
        <v>1</v>
      </c>
      <c r="N6031" s="39" t="n">
        <f aca="false">IF(N6030&lt;=Assumptions!$E$84,1,0)</f>
        <v>1</v>
      </c>
      <c r="P6031" s="40"/>
      <c r="Q6031" s="40"/>
      <c r="R6031" s="40"/>
      <c r="S6031" s="41"/>
    </row>
    <row r="6032" customFormat="false" ht="15" hidden="false" customHeight="false" outlineLevel="0" collapsed="false">
      <c r="A6032" s="4" t="s">
        <v>477</v>
      </c>
      <c r="B6032" s="36" t="s">
        <v>478</v>
      </c>
      <c r="C6032" s="42" t="n">
        <f aca="false">IF(C6030=Assumptions!$E$13,0.5,IF(C6030&gt;Assumptions!$E$13,1,0))</f>
        <v>0.5</v>
      </c>
      <c r="D6032" s="42" t="n">
        <f aca="false">IF(D6030=Assumptions!$E$13,0.5,IF(D6030&gt;Assumptions!$E$13,1,0))</f>
        <v>1</v>
      </c>
      <c r="E6032" s="42" t="n">
        <f aca="false">IF(E6030=Assumptions!$E$13,0.5,IF(E6030&gt;Assumptions!$E$13,1,0))</f>
        <v>1</v>
      </c>
      <c r="F6032" s="42" t="n">
        <f aca="false">IF(F6030=Assumptions!$E$13,0.5,IF(F6030&gt;Assumptions!$E$13,1,0))</f>
        <v>1</v>
      </c>
      <c r="G6032" s="42" t="n">
        <f aca="false">IF(G6030=Assumptions!$E$13,0.5,IF(G6030&gt;Assumptions!$E$13,1,0))</f>
        <v>1</v>
      </c>
      <c r="H6032" s="42" t="n">
        <f aca="false">IF(H6030=Assumptions!$E$13,0.5,IF(H6030&gt;Assumptions!$E$13,1,0))</f>
        <v>1</v>
      </c>
      <c r="I6032" s="42" t="n">
        <f aca="false">IF(I6030=Assumptions!$E$13,0.5,IF(I6030&gt;Assumptions!$E$13,1,0))</f>
        <v>1</v>
      </c>
      <c r="J6032" s="42" t="n">
        <f aca="false">IF(J6030=Assumptions!$E$13,0.5,IF(J6030&gt;Assumptions!$E$13,1,0))</f>
        <v>1</v>
      </c>
      <c r="K6032" s="42" t="n">
        <f aca="false">IF(K6030=Assumptions!$E$13,0.5,IF(K6030&gt;Assumptions!$E$13,1,0))</f>
        <v>1</v>
      </c>
      <c r="L6032" s="42" t="n">
        <f aca="false">IF(L6030=Assumptions!$E$13,0.5,IF(L6030&gt;Assumptions!$E$13,1,0))</f>
        <v>1</v>
      </c>
      <c r="M6032" s="42" t="n">
        <f aca="false">IF(M6030=Assumptions!$E$13,0.5,IF(M6030&gt;Assumptions!$E$13,1,0))</f>
        <v>1</v>
      </c>
      <c r="N6032" s="42" t="n">
        <f aca="false">IF(N6030=Assumptions!$E$13,0.5,IF(N6030&gt;Assumptions!$E$13,1,0))</f>
        <v>1</v>
      </c>
      <c r="P6032" s="43"/>
      <c r="Q6032" s="43"/>
      <c r="R6032" s="43"/>
      <c r="S6032" s="44"/>
    </row>
    <row r="6033" customFormat="false" ht="15" hidden="false" customHeight="false" outlineLevel="0" collapsed="false">
      <c r="A6033" s="4" t="s">
        <v>479</v>
      </c>
      <c r="B6033" s="36" t="s">
        <v>478</v>
      </c>
      <c r="C6033" s="42" t="n">
        <f aca="false">IF(C6030=Assumptions!$E$14,0.5,IF(C6030&gt;Assumptions!$E$14,1,0))</f>
        <v>0</v>
      </c>
      <c r="D6033" s="42" t="n">
        <f aca="false">IF(D6030=Assumptions!$E$14,0.5,IF(D6030&gt;Assumptions!$E$14,1,0))</f>
        <v>0</v>
      </c>
      <c r="E6033" s="42" t="n">
        <f aca="false">IF(E6030=Assumptions!$E$14,0.5,IF(E6030&gt;Assumptions!$E$14,1,0))</f>
        <v>0</v>
      </c>
      <c r="F6033" s="42" t="n">
        <f aca="false">IF(F6030=Assumptions!$E$14,0.5,IF(F6030&gt;Assumptions!$E$14,1,0))</f>
        <v>0</v>
      </c>
      <c r="G6033" s="42" t="n">
        <f aca="false">IF(G6030=Assumptions!$E$14,0.5,IF(G6030&gt;Assumptions!$E$14,1,0))</f>
        <v>0.5</v>
      </c>
      <c r="H6033" s="42" t="n">
        <f aca="false">IF(H6030=Assumptions!$E$14,0.5,IF(H6030&gt;Assumptions!$E$14,1,0))</f>
        <v>1</v>
      </c>
      <c r="I6033" s="42" t="n">
        <f aca="false">IF(I6030=Assumptions!$E$14,0.5,IF(I6030&gt;Assumptions!$E$14,1,0))</f>
        <v>1</v>
      </c>
      <c r="J6033" s="42" t="n">
        <f aca="false">IF(J6030=Assumptions!$E$14,0.5,IF(J6030&gt;Assumptions!$E$14,1,0))</f>
        <v>1</v>
      </c>
      <c r="K6033" s="42" t="n">
        <f aca="false">IF(K6030=Assumptions!$E$14,0.5,IF(K6030&gt;Assumptions!$E$14,1,0))</f>
        <v>1</v>
      </c>
      <c r="L6033" s="42" t="n">
        <f aca="false">IF(L6030=Assumptions!$E$14,0.5,IF(L6030&gt;Assumptions!$E$14,1,0))</f>
        <v>1</v>
      </c>
      <c r="M6033" s="42" t="n">
        <f aca="false">IF(M6030=Assumptions!$E$14,0.5,IF(M6030&gt;Assumptions!$E$14,1,0))</f>
        <v>1</v>
      </c>
      <c r="N6033" s="42" t="n">
        <f aca="false">IF(N6030=Assumptions!$E$14,0.5,IF(N6030&gt;Assumptions!$E$14,1,0))</f>
        <v>1</v>
      </c>
      <c r="P6033" s="43"/>
      <c r="Q6033" s="43"/>
      <c r="R6033" s="43"/>
      <c r="S6033" s="44"/>
    </row>
    <row r="6034" customFormat="false" ht="15" hidden="false" customHeight="false" outlineLevel="0" collapsed="false">
      <c r="A6034" s="4" t="s">
        <v>480</v>
      </c>
      <c r="B6034" s="36" t="s">
        <v>478</v>
      </c>
      <c r="C6034" s="42" t="n">
        <f aca="false">IF(C6030=Assumptions!$E$15,0.5,IF(C6030&gt;Assumptions!$E$15,1,0))</f>
        <v>0</v>
      </c>
      <c r="D6034" s="42" t="n">
        <f aca="false">IF(D6030=Assumptions!$E$15,0.5,IF(D6030&gt;Assumptions!$E$15,1,0))</f>
        <v>0</v>
      </c>
      <c r="E6034" s="42" t="n">
        <f aca="false">IF(E6030=Assumptions!$E$15,0.5,IF(E6030&gt;Assumptions!$E$15,1,0))</f>
        <v>0</v>
      </c>
      <c r="F6034" s="42" t="n">
        <f aca="false">IF(F6030=Assumptions!$E$15,0.5,IF(F6030&gt;Assumptions!$E$15,1,0))</f>
        <v>0</v>
      </c>
      <c r="G6034" s="42" t="n">
        <f aca="false">IF(G6030=Assumptions!$E$15,0.5,IF(G6030&gt;Assumptions!$E$15,1,0))</f>
        <v>0</v>
      </c>
      <c r="H6034" s="42" t="n">
        <f aca="false">IF(H6030=Assumptions!$E$15,0.5,IF(H6030&gt;Assumptions!$E$15,1,0))</f>
        <v>0</v>
      </c>
      <c r="I6034" s="42" t="n">
        <f aca="false">IF(I6030=Assumptions!$E$15,0.5,IF(I6030&gt;Assumptions!$E$15,1,0))</f>
        <v>0.5</v>
      </c>
      <c r="J6034" s="42" t="n">
        <f aca="false">IF(J6030=Assumptions!$E$15,0.5,IF(J6030&gt;Assumptions!$E$15,1,0))</f>
        <v>1</v>
      </c>
      <c r="K6034" s="42" t="n">
        <f aca="false">IF(K6030=Assumptions!$E$15,0.5,IF(K6030&gt;Assumptions!$E$15,1,0))</f>
        <v>1</v>
      </c>
      <c r="L6034" s="42" t="n">
        <f aca="false">IF(L6030=Assumptions!$E$15,0.5,IF(L6030&gt;Assumptions!$E$15,1,0))</f>
        <v>1</v>
      </c>
      <c r="M6034" s="42" t="n">
        <f aca="false">IF(M6030=Assumptions!$E$15,0.5,IF(M6030&gt;Assumptions!$E$15,1,0))</f>
        <v>1</v>
      </c>
      <c r="N6034" s="42" t="n">
        <f aca="false">IF(N6030=Assumptions!$E$15,0.5,IF(N6030&gt;Assumptions!$E$15,1,0))</f>
        <v>1</v>
      </c>
      <c r="P6034" s="43"/>
      <c r="Q6034" s="43"/>
      <c r="R6034" s="43"/>
      <c r="S6034" s="44"/>
    </row>
    <row r="6035" customFormat="false" ht="15" hidden="false" customHeight="false" outlineLevel="0" collapsed="false">
      <c r="A6035" s="4" t="s">
        <v>481</v>
      </c>
      <c r="B6035" s="36" t="s">
        <v>478</v>
      </c>
      <c r="C6035" s="45" t="n">
        <f aca="false">Assumptions!$E$21^(MAX(0,C6030-Assumptions!$E$13)/4)</f>
        <v>1</v>
      </c>
      <c r="D6035" s="45" t="n">
        <f aca="false">Assumptions!$E$21^(MAX(0,D6030-Assumptions!$E$13)/4)</f>
        <v>0.9306048591021</v>
      </c>
      <c r="E6035" s="45" t="n">
        <f aca="false">Assumptions!$E$21^(MAX(0,E6030-Assumptions!$E$13)/4)</f>
        <v>0.866025403784439</v>
      </c>
      <c r="F6035" s="45" t="n">
        <f aca="false">Assumptions!$E$21^(MAX(0,F6030-Assumptions!$E$13)/4)</f>
        <v>0.805927448867656</v>
      </c>
      <c r="G6035" s="45" t="n">
        <f aca="false">Assumptions!$E$21^(MAX(0,G6030-Assumptions!$E$13)/4)</f>
        <v>0.75</v>
      </c>
      <c r="H6035" s="45" t="n">
        <f aca="false">Assumptions!$E$21^(MAX(0,H6030-Assumptions!$E$13)/4)</f>
        <v>0.697953644326575</v>
      </c>
      <c r="I6035" s="45" t="n">
        <f aca="false">Assumptions!$E$21^(MAX(0,I6030-Assumptions!$E$13)/4)</f>
        <v>0.649519052838329</v>
      </c>
      <c r="J6035" s="45" t="n">
        <f aca="false">Assumptions!$E$21^(MAX(0,J6030-Assumptions!$E$13)/4)</f>
        <v>0.604445586650742</v>
      </c>
      <c r="K6035" s="45" t="n">
        <f aca="false">Assumptions!$E$21^(MAX(0,K6030-Assumptions!$E$13)/4)</f>
        <v>0.5625</v>
      </c>
      <c r="L6035" s="45" t="n">
        <f aca="false">Assumptions!$E$21^(MAX(0,L6030-Assumptions!$E$13)/4)</f>
        <v>0.523465233244931</v>
      </c>
      <c r="M6035" s="45" t="n">
        <f aca="false">Assumptions!$E$21^(MAX(0,M6030-Assumptions!$E$13)/4)</f>
        <v>0.487139289628747</v>
      </c>
      <c r="N6035" s="45" t="n">
        <f aca="false">Assumptions!$E$21^(MAX(0,N6030-Assumptions!$E$13)/4)</f>
        <v>0.453334189988057</v>
      </c>
      <c r="P6035" s="46"/>
      <c r="Q6035" s="46"/>
      <c r="R6035" s="46"/>
      <c r="S6035" s="47"/>
    </row>
    <row r="6036" customFormat="false" ht="15" hidden="false" customHeight="false" outlineLevel="0" collapsed="false">
      <c r="A6036" s="4" t="s">
        <v>482</v>
      </c>
      <c r="B6036" s="36" t="s">
        <v>478</v>
      </c>
      <c r="C6036" s="45" t="n">
        <f aca="false">Assumptions!$E$21^(MAX(0,C6030-Assumptions!$E$14)/4)</f>
        <v>1</v>
      </c>
      <c r="D6036" s="45" t="n">
        <f aca="false">Assumptions!$E$21^(MAX(0,D6030-Assumptions!$E$14)/4)</f>
        <v>1</v>
      </c>
      <c r="E6036" s="45" t="n">
        <f aca="false">Assumptions!$E$21^(MAX(0,E6030-Assumptions!$E$14)/4)</f>
        <v>1</v>
      </c>
      <c r="F6036" s="45" t="n">
        <f aca="false">Assumptions!$E$21^(MAX(0,F6030-Assumptions!$E$14)/4)</f>
        <v>1</v>
      </c>
      <c r="G6036" s="45" t="n">
        <f aca="false">Assumptions!$E$21^(MAX(0,G6030-Assumptions!$E$14)/4)</f>
        <v>1</v>
      </c>
      <c r="H6036" s="45" t="n">
        <f aca="false">Assumptions!$E$21^(MAX(0,H6030-Assumptions!$E$14)/4)</f>
        <v>0.9306048591021</v>
      </c>
      <c r="I6036" s="45" t="n">
        <f aca="false">Assumptions!$E$21^(MAX(0,I6030-Assumptions!$E$14)/4)</f>
        <v>0.866025403784439</v>
      </c>
      <c r="J6036" s="45" t="n">
        <f aca="false">Assumptions!$E$21^(MAX(0,J6030-Assumptions!$E$14)/4)</f>
        <v>0.805927448867656</v>
      </c>
      <c r="K6036" s="45" t="n">
        <f aca="false">Assumptions!$E$21^(MAX(0,K6030-Assumptions!$E$14)/4)</f>
        <v>0.75</v>
      </c>
      <c r="L6036" s="45" t="n">
        <f aca="false">Assumptions!$E$21^(MAX(0,L6030-Assumptions!$E$14)/4)</f>
        <v>0.697953644326575</v>
      </c>
      <c r="M6036" s="45" t="n">
        <f aca="false">Assumptions!$E$21^(MAX(0,M6030-Assumptions!$E$14)/4)</f>
        <v>0.649519052838329</v>
      </c>
      <c r="N6036" s="45" t="n">
        <f aca="false">Assumptions!$E$21^(MAX(0,N6030-Assumptions!$E$14)/4)</f>
        <v>0.604445586650742</v>
      </c>
      <c r="P6036" s="46"/>
      <c r="Q6036" s="46"/>
      <c r="R6036" s="46"/>
      <c r="S6036" s="47"/>
    </row>
    <row r="6037" customFormat="false" ht="15" hidden="false" customHeight="false" outlineLevel="0" collapsed="false">
      <c r="A6037" s="4" t="s">
        <v>483</v>
      </c>
      <c r="B6037" s="36" t="s">
        <v>478</v>
      </c>
      <c r="C6037" s="45" t="n">
        <f aca="false">Assumptions!$E$21^(MAX(0,C6030-Assumptions!$E$15)/4)</f>
        <v>1</v>
      </c>
      <c r="D6037" s="45" t="n">
        <f aca="false">Assumptions!$E$21^(MAX(0,D6030-Assumptions!$E$15)/4)</f>
        <v>1</v>
      </c>
      <c r="E6037" s="45" t="n">
        <f aca="false">Assumptions!$E$21^(MAX(0,E6030-Assumptions!$E$15)/4)</f>
        <v>1</v>
      </c>
      <c r="F6037" s="45" t="n">
        <f aca="false">Assumptions!$E$21^(MAX(0,F6030-Assumptions!$E$15)/4)</f>
        <v>1</v>
      </c>
      <c r="G6037" s="45" t="n">
        <f aca="false">Assumptions!$E$21^(MAX(0,G6030-Assumptions!$E$15)/4)</f>
        <v>1</v>
      </c>
      <c r="H6037" s="45" t="n">
        <f aca="false">Assumptions!$E$21^(MAX(0,H6030-Assumptions!$E$15)/4)</f>
        <v>1</v>
      </c>
      <c r="I6037" s="45" t="n">
        <f aca="false">Assumptions!$E$21^(MAX(0,I6030-Assumptions!$E$15)/4)</f>
        <v>1</v>
      </c>
      <c r="J6037" s="45" t="n">
        <f aca="false">Assumptions!$E$21^(MAX(0,J6030-Assumptions!$E$15)/4)</f>
        <v>0.9306048591021</v>
      </c>
      <c r="K6037" s="45" t="n">
        <f aca="false">Assumptions!$E$21^(MAX(0,K6030-Assumptions!$E$15)/4)</f>
        <v>0.866025403784439</v>
      </c>
      <c r="L6037" s="45" t="n">
        <f aca="false">Assumptions!$E$21^(MAX(0,L6030-Assumptions!$E$15)/4)</f>
        <v>0.805927448867656</v>
      </c>
      <c r="M6037" s="45" t="n">
        <f aca="false">Assumptions!$E$21^(MAX(0,M6030-Assumptions!$E$15)/4)</f>
        <v>0.75</v>
      </c>
      <c r="N6037" s="45" t="n">
        <f aca="false">Assumptions!$E$21^(MAX(0,N6030-Assumptions!$E$15)/4)</f>
        <v>0.697953644326575</v>
      </c>
      <c r="P6037" s="46"/>
      <c r="Q6037" s="46"/>
      <c r="R6037" s="46"/>
      <c r="S6037" s="47"/>
    </row>
    <row r="6038" customFormat="false" ht="15" hidden="false" customHeight="false" outlineLevel="0" collapsed="false">
      <c r="A6038" s="4" t="s">
        <v>484</v>
      </c>
      <c r="B6038" s="36" t="s">
        <v>485</v>
      </c>
      <c r="C6038" s="39" t="n">
        <f aca="false">$C$6009*C6032+$C$6013*C6033+$C$6017*C6034</f>
        <v>421.51972352</v>
      </c>
      <c r="D6038" s="39" t="n">
        <f aca="false">$C$6009*D6032+$C$6013*D6033+$C$6017*D6034</f>
        <v>843.03944704</v>
      </c>
      <c r="E6038" s="39" t="n">
        <f aca="false">$C$6009*E6032+$C$6013*E6033+$C$6017*E6034</f>
        <v>843.03944704</v>
      </c>
      <c r="F6038" s="39" t="n">
        <f aca="false">$C$6009*F6032+$C$6013*F6033+$C$6017*F6034</f>
        <v>843.03944704</v>
      </c>
      <c r="G6038" s="39" t="n">
        <f aca="false">$C$6009*G6032+$C$6013*G6033+$C$6017*G6034</f>
        <v>1149.32798176</v>
      </c>
      <c r="H6038" s="39" t="n">
        <f aca="false">$C$6009*H6032+$C$6013*H6033+$C$6017*H6034</f>
        <v>1455.61651648</v>
      </c>
      <c r="I6038" s="39" t="n">
        <f aca="false">$C$6009*I6032+$C$6013*I6033+$C$6017*I6034</f>
        <v>2486.00303616</v>
      </c>
      <c r="J6038" s="39" t="n">
        <f aca="false">$C$6009*J6032+$C$6013*J6033+$C$6017*J6034</f>
        <v>3516.38955584</v>
      </c>
      <c r="K6038" s="39" t="n">
        <f aca="false">$C$6009*K6032+$C$6013*K6033+$C$6017*K6034</f>
        <v>3516.38955584</v>
      </c>
      <c r="L6038" s="39" t="n">
        <f aca="false">$C$6009*L6032+$C$6013*L6033+$C$6017*L6034</f>
        <v>3516.38955584</v>
      </c>
      <c r="M6038" s="39" t="n">
        <f aca="false">$C$6009*M6032+$C$6013*M6033+$C$6017*M6034</f>
        <v>3516.38955584</v>
      </c>
      <c r="N6038" s="39" t="n">
        <f aca="false">$C$6009*N6032+$C$6013*N6033+$C$6017*N6034</f>
        <v>3516.38955584</v>
      </c>
      <c r="P6038" s="40" t="n">
        <f aca="false">F6038</f>
        <v>843.03944704</v>
      </c>
      <c r="Q6038" s="40" t="n">
        <f aca="false">J6038</f>
        <v>3516.38955584</v>
      </c>
      <c r="R6038" s="40" t="n">
        <f aca="false">N6038</f>
        <v>3516.38955584</v>
      </c>
      <c r="S6038" s="41" t="n">
        <f aca="false">R6038</f>
        <v>3516.38955584</v>
      </c>
    </row>
    <row r="6039" customFormat="false" ht="15" hidden="false" customHeight="false" outlineLevel="0" collapsed="false">
      <c r="A6039" s="4" t="s">
        <v>486</v>
      </c>
      <c r="B6039" s="36" t="s">
        <v>485</v>
      </c>
      <c r="C6039" s="39" t="n">
        <f aca="false">$C$6010*C6032+$C$6014*C6033+$C$6018*C6034</f>
        <v>105.59808</v>
      </c>
      <c r="D6039" s="39" t="n">
        <f aca="false">$C$6010*D6032+$C$6014*D6033+$C$6018*D6034</f>
        <v>211.19616</v>
      </c>
      <c r="E6039" s="39" t="n">
        <f aca="false">$C$6010*E6032+$C$6014*E6033+$C$6018*E6034</f>
        <v>211.19616</v>
      </c>
      <c r="F6039" s="39" t="n">
        <f aca="false">$C$6010*F6032+$C$6014*F6033+$C$6018*F6034</f>
        <v>211.19616</v>
      </c>
      <c r="G6039" s="39" t="n">
        <f aca="false">$C$6010*G6032+$C$6014*G6033+$C$6018*G6034</f>
        <v>282.24672</v>
      </c>
      <c r="H6039" s="39" t="n">
        <f aca="false">$C$6010*H6032+$C$6014*H6033+$C$6018*H6034</f>
        <v>353.29728</v>
      </c>
      <c r="I6039" s="39" t="n">
        <f aca="false">$C$6010*I6032+$C$6014*I6033+$C$6018*I6034</f>
        <v>567.53536</v>
      </c>
      <c r="J6039" s="39" t="n">
        <f aca="false">$C$6010*J6032+$C$6014*J6033+$C$6018*J6034</f>
        <v>781.77344</v>
      </c>
      <c r="K6039" s="39" t="n">
        <f aca="false">$C$6010*K6032+$C$6014*K6033+$C$6018*K6034</f>
        <v>781.77344</v>
      </c>
      <c r="L6039" s="39" t="n">
        <f aca="false">$C$6010*L6032+$C$6014*L6033+$C$6018*L6034</f>
        <v>781.77344</v>
      </c>
      <c r="M6039" s="39" t="n">
        <f aca="false">$C$6010*M6032+$C$6014*M6033+$C$6018*M6034</f>
        <v>781.77344</v>
      </c>
      <c r="N6039" s="39" t="n">
        <f aca="false">$C$6010*N6032+$C$6014*N6033+$C$6018*N6034</f>
        <v>781.77344</v>
      </c>
      <c r="P6039" s="40" t="n">
        <f aca="false">F6039</f>
        <v>211.19616</v>
      </c>
      <c r="Q6039" s="40" t="n">
        <f aca="false">J6039</f>
        <v>781.77344</v>
      </c>
      <c r="R6039" s="40" t="n">
        <f aca="false">N6039</f>
        <v>781.77344</v>
      </c>
      <c r="S6039" s="41" t="n">
        <f aca="false">R6039</f>
        <v>781.77344</v>
      </c>
    </row>
    <row r="6040" customFormat="false" ht="15" hidden="false" customHeight="false" outlineLevel="0" collapsed="false">
      <c r="A6040" s="4" t="s">
        <v>487</v>
      </c>
      <c r="B6040" s="36" t="s">
        <v>485</v>
      </c>
      <c r="C6040" s="39" t="n">
        <f aca="false">$C$6011*C6032+$C$6015*C6033+$C$6019*C6034</f>
        <v>24.76992</v>
      </c>
      <c r="D6040" s="39" t="n">
        <f aca="false">$C$6011*D6032+$C$6015*D6033+$C$6019*D6034</f>
        <v>49.53984</v>
      </c>
      <c r="E6040" s="39" t="n">
        <f aca="false">$C$6011*E6032+$C$6015*E6033+$C$6019*E6034</f>
        <v>49.53984</v>
      </c>
      <c r="F6040" s="39" t="n">
        <f aca="false">$C$6011*F6032+$C$6015*F6033+$C$6019*F6034</f>
        <v>49.53984</v>
      </c>
      <c r="G6040" s="39" t="n">
        <f aca="false">$C$6011*G6032+$C$6015*G6033+$C$6019*G6034</f>
        <v>61.9248</v>
      </c>
      <c r="H6040" s="39" t="n">
        <f aca="false">$C$6011*H6032+$C$6015*H6033+$C$6019*H6034</f>
        <v>74.30976</v>
      </c>
      <c r="I6040" s="39" t="n">
        <f aca="false">$C$6011*I6032+$C$6015*I6033+$C$6019*I6034</f>
        <v>114.072</v>
      </c>
      <c r="J6040" s="39" t="n">
        <f aca="false">$C$6011*J6032+$C$6015*J6033+$C$6019*J6034</f>
        <v>153.83424</v>
      </c>
      <c r="K6040" s="39" t="n">
        <f aca="false">$C$6011*K6032+$C$6015*K6033+$C$6019*K6034</f>
        <v>153.83424</v>
      </c>
      <c r="L6040" s="39" t="n">
        <f aca="false">$C$6011*L6032+$C$6015*L6033+$C$6019*L6034</f>
        <v>153.83424</v>
      </c>
      <c r="M6040" s="39" t="n">
        <f aca="false">$C$6011*M6032+$C$6015*M6033+$C$6019*M6034</f>
        <v>153.83424</v>
      </c>
      <c r="N6040" s="39" t="n">
        <f aca="false">$C$6011*N6032+$C$6015*N6033+$C$6019*N6034</f>
        <v>153.83424</v>
      </c>
      <c r="P6040" s="40" t="n">
        <f aca="false">F6040</f>
        <v>49.53984</v>
      </c>
      <c r="Q6040" s="40" t="n">
        <f aca="false">J6040</f>
        <v>153.83424</v>
      </c>
      <c r="R6040" s="40" t="n">
        <f aca="false">N6040</f>
        <v>153.83424</v>
      </c>
      <c r="S6040" s="41" t="n">
        <f aca="false">R6040</f>
        <v>153.83424</v>
      </c>
    </row>
    <row r="6041" customFormat="false" ht="15" hidden="false" customHeight="false" outlineLevel="0" collapsed="false">
      <c r="A6041" s="4" t="s">
        <v>488</v>
      </c>
      <c r="B6041" s="36" t="s">
        <v>485</v>
      </c>
      <c r="C6041" s="39" t="n">
        <f aca="false">C6038+C6039+C6040</f>
        <v>551.88772352</v>
      </c>
      <c r="D6041" s="39" t="n">
        <f aca="false">D6038+D6039+D6040</f>
        <v>1103.77544704</v>
      </c>
      <c r="E6041" s="39" t="n">
        <f aca="false">E6038+E6039+E6040</f>
        <v>1103.77544704</v>
      </c>
      <c r="F6041" s="39" t="n">
        <f aca="false">F6038+F6039+F6040</f>
        <v>1103.77544704</v>
      </c>
      <c r="G6041" s="39" t="n">
        <f aca="false">G6038+G6039+G6040</f>
        <v>1493.49950176</v>
      </c>
      <c r="H6041" s="39" t="n">
        <f aca="false">H6038+H6039+H6040</f>
        <v>1883.22355648</v>
      </c>
      <c r="I6041" s="39" t="n">
        <f aca="false">I6038+I6039+I6040</f>
        <v>3167.61039616</v>
      </c>
      <c r="J6041" s="39" t="n">
        <f aca="false">J6038+J6039+J6040</f>
        <v>4451.99723584</v>
      </c>
      <c r="K6041" s="39" t="n">
        <f aca="false">K6038+K6039+K6040</f>
        <v>4451.99723584</v>
      </c>
      <c r="L6041" s="39" t="n">
        <f aca="false">L6038+L6039+L6040</f>
        <v>4451.99723584</v>
      </c>
      <c r="M6041" s="39" t="n">
        <f aca="false">M6038+M6039+M6040</f>
        <v>4451.99723584</v>
      </c>
      <c r="N6041" s="39" t="n">
        <f aca="false">N6038+N6039+N6040</f>
        <v>4451.99723584</v>
      </c>
      <c r="P6041" s="40" t="n">
        <f aca="false">F6041</f>
        <v>1103.77544704</v>
      </c>
      <c r="Q6041" s="40" t="n">
        <f aca="false">J6041</f>
        <v>4451.99723584</v>
      </c>
      <c r="R6041" s="40" t="n">
        <f aca="false">N6041</f>
        <v>4451.99723584</v>
      </c>
      <c r="S6041" s="41" t="n">
        <f aca="false">R6041</f>
        <v>4451.99723584</v>
      </c>
    </row>
    <row r="6042" customFormat="false" ht="15" hidden="false" customHeight="false" outlineLevel="0" collapsed="false">
      <c r="A6042" s="4" t="s">
        <v>489</v>
      </c>
      <c r="B6042" s="36" t="s">
        <v>485</v>
      </c>
      <c r="C6042" s="39" t="n">
        <f aca="false">$C$6012*C6032*C6035+$C$6016*C6033*C6036+$C$6020*C6034*C6037</f>
        <v>551.88772352</v>
      </c>
      <c r="D6042" s="39" t="n">
        <f aca="false">$C$6012*D6032*D6035+$C$6016*D6033*D6036+$C$6020*D6034*D6037</f>
        <v>1027.17879437302</v>
      </c>
      <c r="E6042" s="39" t="n">
        <f aca="false">$C$6012*E6032*E6035+$C$6016*E6033*E6036+$C$6020*E6034*E6037</f>
        <v>955.897577210165</v>
      </c>
      <c r="F6042" s="39" t="n">
        <f aca="false">$C$6012*F6032*F6035+$C$6016*F6033*F6036+$C$6020*F6034*F6037</f>
        <v>889.562930155704</v>
      </c>
      <c r="G6042" s="39" t="n">
        <f aca="false">$C$6012*G6032*G6035+$C$6016*G6033*G6036+$C$6020*G6034*G6037</f>
        <v>1217.55564</v>
      </c>
      <c r="H6042" s="39" t="n">
        <f aca="false">$C$6012*H6032*H6035+$C$6016*H6033*H6036+$C$6020*H6034*H6037</f>
        <v>1495.74229384257</v>
      </c>
      <c r="I6042" s="39" t="n">
        <f aca="false">$C$6012*I6032*I6035+$C$6016*I6033*I6036+$C$6020*I6034*I6037</f>
        <v>2676.33188629442</v>
      </c>
      <c r="J6042" s="39" t="n">
        <f aca="false">$C$6012*J6032*J6035+$C$6016*J6033*J6036+$C$6020*J6034*J6037</f>
        <v>3685.86409192847</v>
      </c>
      <c r="K6042" s="39" t="n">
        <f aca="false">$C$6012*K6032*K6035+$C$6016*K6033*K6036+$C$6020*K6034*K6037</f>
        <v>3430.08303393858</v>
      </c>
      <c r="L6042" s="39" t="n">
        <f aca="false">$C$6012*L6032*L6035+$C$6016*L6033*L6036+$C$6020*L6034*L6037</f>
        <v>3192.05193850692</v>
      </c>
      <c r="M6042" s="39" t="n">
        <f aca="false">$C$6012*M6032*M6035+$C$6016*M6033*M6036+$C$6020*M6034*M6037</f>
        <v>2970.53904448081</v>
      </c>
      <c r="N6042" s="39" t="n">
        <f aca="false">$C$6012*N6032*N6035+$C$6016*N6033*N6036+$C$6020*N6034*N6037</f>
        <v>2764.39806894635</v>
      </c>
      <c r="P6042" s="40"/>
      <c r="Q6042" s="40"/>
      <c r="R6042" s="40"/>
      <c r="S6042" s="41"/>
    </row>
    <row r="6043" customFormat="false" ht="15" hidden="false" customHeight="false" outlineLevel="0" collapsed="false">
      <c r="A6043" s="4" t="s">
        <v>490</v>
      </c>
      <c r="B6043" s="36" t="s">
        <v>491</v>
      </c>
      <c r="C6043" s="48" t="n">
        <f aca="false">$C$6024*Assumptions!$E$20*C6031*C6042</f>
        <v>6.62265268224</v>
      </c>
      <c r="D6043" s="48" t="n">
        <f aca="false">$C$6024*Assumptions!$E$20*D6031*D6042</f>
        <v>12.3261455324762</v>
      </c>
      <c r="E6043" s="48" t="n">
        <f aca="false">$C$6024*Assumptions!$E$20*E6031*E6042</f>
        <v>11.470770926522</v>
      </c>
      <c r="F6043" s="48" t="n">
        <f aca="false">$C$6024*Assumptions!$E$20*F6031*F6042</f>
        <v>10.6747551618685</v>
      </c>
      <c r="G6043" s="48" t="n">
        <f aca="false">$C$6024*Assumptions!$E$20*G6031*G6042</f>
        <v>14.61066768</v>
      </c>
      <c r="H6043" s="48" t="n">
        <f aca="false">$C$6024*Assumptions!$E$20*H6031*H6042</f>
        <v>17.9489075261109</v>
      </c>
      <c r="I6043" s="48" t="n">
        <f aca="false">$C$6024*Assumptions!$E$20*I6031*I6042</f>
        <v>32.115982635533</v>
      </c>
      <c r="J6043" s="48" t="n">
        <f aca="false">$C$6024*Assumptions!$E$20*J6031*J6042</f>
        <v>44.2303691031417</v>
      </c>
      <c r="K6043" s="48" t="n">
        <f aca="false">$C$6024*Assumptions!$E$20*K6031*K6042</f>
        <v>41.160996407263</v>
      </c>
      <c r="L6043" s="48" t="n">
        <f aca="false">$C$6024*Assumptions!$E$20*L6031*L6042</f>
        <v>38.304623262083</v>
      </c>
      <c r="M6043" s="48" t="n">
        <f aca="false">$C$6024*Assumptions!$E$20*M6031*M6042</f>
        <v>35.6464685337698</v>
      </c>
      <c r="N6043" s="48" t="n">
        <f aca="false">$C$6024*Assumptions!$E$20*N6031*N6042</f>
        <v>33.1727768273562</v>
      </c>
      <c r="P6043" s="49" t="n">
        <f aca="false">SUM(C6043:F6043)</f>
        <v>41.0943243031066</v>
      </c>
      <c r="Q6043" s="49" t="n">
        <f aca="false">SUM(G6043:J6043)</f>
        <v>108.905926944786</v>
      </c>
      <c r="R6043" s="49" t="n">
        <f aca="false">SUM(K6043:N6043)</f>
        <v>148.284865030472</v>
      </c>
      <c r="S6043" s="50" t="n">
        <f aca="false">SUM(P6043:R6043)</f>
        <v>298.285116278364</v>
      </c>
    </row>
    <row r="6044" customFormat="false" ht="15" hidden="false" customHeight="false" outlineLevel="0" collapsed="false">
      <c r="A6044" s="4" t="s">
        <v>492</v>
      </c>
      <c r="B6044" s="36" t="s">
        <v>321</v>
      </c>
      <c r="C6044" s="48" t="n">
        <f aca="false">Assumptions!$D$111</f>
        <v>0</v>
      </c>
      <c r="D6044" s="48" t="n">
        <f aca="false">Assumptions!$E$111</f>
        <v>0</v>
      </c>
      <c r="E6044" s="48" t="n">
        <f aca="false">Assumptions!$F$111</f>
        <v>0</v>
      </c>
      <c r="F6044" s="48" t="n">
        <f aca="false">Assumptions!$G$111</f>
        <v>0</v>
      </c>
      <c r="G6044" s="48" t="n">
        <f aca="false">Assumptions!$H$111</f>
        <v>0</v>
      </c>
      <c r="H6044" s="48" t="n">
        <f aca="false">Assumptions!$I$111</f>
        <v>0</v>
      </c>
      <c r="I6044" s="48" t="n">
        <f aca="false">Assumptions!$J$111</f>
        <v>0</v>
      </c>
      <c r="J6044" s="48" t="n">
        <f aca="false">Assumptions!$K$111</f>
        <v>0</v>
      </c>
      <c r="K6044" s="48" t="n">
        <f aca="false">Assumptions!$L$111</f>
        <v>0</v>
      </c>
      <c r="L6044" s="48" t="n">
        <f aca="false">Assumptions!$M$111</f>
        <v>0</v>
      </c>
      <c r="M6044" s="48" t="n">
        <f aca="false">Assumptions!$N$111</f>
        <v>0</v>
      </c>
      <c r="N6044" s="48" t="n">
        <f aca="false">Assumptions!$O$111</f>
        <v>0</v>
      </c>
      <c r="P6044" s="49" t="n">
        <f aca="false">F6044</f>
        <v>0</v>
      </c>
      <c r="Q6044" s="49" t="n">
        <f aca="false">J6044</f>
        <v>0</v>
      </c>
      <c r="R6044" s="49" t="n">
        <f aca="false">N6044</f>
        <v>0</v>
      </c>
      <c r="S6044" s="50" t="n">
        <f aca="false">R6044</f>
        <v>0</v>
      </c>
    </row>
    <row r="6045" customFormat="false" ht="15" hidden="false" customHeight="false" outlineLevel="0" collapsed="false">
      <c r="A6045" s="4" t="s">
        <v>493</v>
      </c>
      <c r="B6045" s="36" t="s">
        <v>321</v>
      </c>
      <c r="C6045" s="48" t="n">
        <f aca="false">0</f>
        <v>0</v>
      </c>
      <c r="D6045" s="48" t="n">
        <f aca="false">0.5*C6044</f>
        <v>0</v>
      </c>
      <c r="E6045" s="48" t="n">
        <f aca="false">C6044+0.5*(D6044-C6044)</f>
        <v>0</v>
      </c>
      <c r="F6045" s="48" t="n">
        <f aca="false">D6044+0.5*(E6044-D6044)</f>
        <v>0</v>
      </c>
      <c r="G6045" s="48" t="n">
        <f aca="false">E6044+0.5*(F6044-E6044)</f>
        <v>0</v>
      </c>
      <c r="H6045" s="48" t="n">
        <f aca="false">F6044+0.5*(G6044-F6044)</f>
        <v>0</v>
      </c>
      <c r="I6045" s="48" t="n">
        <f aca="false">G6044+0.5*(H6044-G6044)</f>
        <v>0</v>
      </c>
      <c r="J6045" s="48" t="n">
        <f aca="false">H6044+0.5*(I6044-H6044)</f>
        <v>0</v>
      </c>
      <c r="K6045" s="48" t="n">
        <f aca="false">I6044+0.5*(J6044-I6044)</f>
        <v>0</v>
      </c>
      <c r="L6045" s="48" t="n">
        <f aca="false">J6044+0.5*(K6044-J6044)</f>
        <v>0</v>
      </c>
      <c r="M6045" s="48" t="n">
        <f aca="false">K6044+0.5*(L6044-K6044)</f>
        <v>0</v>
      </c>
      <c r="N6045" s="48" t="n">
        <f aca="false">L6044+0.5*(M6044-L6044)</f>
        <v>0</v>
      </c>
      <c r="P6045" s="49" t="n">
        <f aca="false">F6045</f>
        <v>0</v>
      </c>
      <c r="Q6045" s="49" t="n">
        <f aca="false">J6045</f>
        <v>0</v>
      </c>
      <c r="R6045" s="49" t="n">
        <f aca="false">N6045</f>
        <v>0</v>
      </c>
      <c r="S6045" s="50" t="n">
        <f aca="false">R6045</f>
        <v>0</v>
      </c>
    </row>
    <row r="6046" customFormat="false" ht="15" hidden="false" customHeight="false" outlineLevel="0" collapsed="false">
      <c r="A6046" s="4" t="s">
        <v>494</v>
      </c>
      <c r="B6046" s="36" t="s">
        <v>485</v>
      </c>
      <c r="C6046" s="39" t="n">
        <f aca="false">MIN(C6045*Assumptions!$E$38,C6041*(1-$C$6024))</f>
        <v>0</v>
      </c>
      <c r="D6046" s="39" t="n">
        <f aca="false">MIN(D6045*Assumptions!$E$38,D6041*(1-$C$6024))</f>
        <v>0</v>
      </c>
      <c r="E6046" s="39" t="n">
        <f aca="false">MIN(E6045*Assumptions!$E$38,E6041*(1-$C$6024))</f>
        <v>0</v>
      </c>
      <c r="F6046" s="39" t="n">
        <f aca="false">MIN(F6045*Assumptions!$E$38,F6041*(1-$C$6024))</f>
        <v>0</v>
      </c>
      <c r="G6046" s="39" t="n">
        <f aca="false">MIN(G6045*Assumptions!$E$38,G6041*(1-$C$6024))</f>
        <v>0</v>
      </c>
      <c r="H6046" s="39" t="n">
        <f aca="false">MIN(H6045*Assumptions!$E$38,H6041*(1-$C$6024))</f>
        <v>0</v>
      </c>
      <c r="I6046" s="39" t="n">
        <f aca="false">MIN(I6045*Assumptions!$E$38,I6041*(1-$C$6024))</f>
        <v>0</v>
      </c>
      <c r="J6046" s="39" t="n">
        <f aca="false">MIN(J6045*Assumptions!$E$38,J6041*(1-$C$6024))</f>
        <v>0</v>
      </c>
      <c r="K6046" s="39" t="n">
        <f aca="false">MIN(K6045*Assumptions!$E$38,K6041*(1-$C$6024))</f>
        <v>0</v>
      </c>
      <c r="L6046" s="39" t="n">
        <f aca="false">MIN(L6045*Assumptions!$E$38,L6041*(1-$C$6024))</f>
        <v>0</v>
      </c>
      <c r="M6046" s="39" t="n">
        <f aca="false">MIN(M6045*Assumptions!$E$38,M6041*(1-$C$6024))</f>
        <v>0</v>
      </c>
      <c r="N6046" s="39" t="n">
        <f aca="false">MIN(N6045*Assumptions!$E$38,N6041*(1-$C$6024))</f>
        <v>0</v>
      </c>
      <c r="P6046" s="40" t="n">
        <f aca="false">SUM(C6046:F6046)</f>
        <v>0</v>
      </c>
      <c r="Q6046" s="40" t="n">
        <f aca="false">SUM(G6046:J6046)</f>
        <v>0</v>
      </c>
      <c r="R6046" s="40" t="n">
        <f aca="false">SUM(K6046:N6046)</f>
        <v>0</v>
      </c>
      <c r="S6046" s="41" t="n">
        <f aca="false">SUM(P6046:R6046)</f>
        <v>0</v>
      </c>
    </row>
    <row r="6047" customFormat="false" ht="15" hidden="false" customHeight="false" outlineLevel="0" collapsed="false">
      <c r="A6047" s="4" t="s">
        <v>495</v>
      </c>
      <c r="B6047" s="36" t="s">
        <v>491</v>
      </c>
      <c r="C6047" s="48" t="n">
        <f aca="false">C6046*Assumptions!$E$20*Assumptions!$E$39*IF(C6041&gt;0,C6042/C6041,0)*C6031</f>
        <v>0</v>
      </c>
      <c r="D6047" s="48" t="n">
        <f aca="false">D6046*Assumptions!$E$20*Assumptions!$E$39*IF(D6041&gt;0,D6042/D6041,0)*D6031</f>
        <v>0</v>
      </c>
      <c r="E6047" s="48" t="n">
        <f aca="false">E6046*Assumptions!$E$20*Assumptions!$E$39*IF(E6041&gt;0,E6042/E6041,0)*E6031</f>
        <v>0</v>
      </c>
      <c r="F6047" s="48" t="n">
        <f aca="false">F6046*Assumptions!$E$20*Assumptions!$E$39*IF(F6041&gt;0,F6042/F6041,0)*F6031</f>
        <v>0</v>
      </c>
      <c r="G6047" s="48" t="n">
        <f aca="false">G6046*Assumptions!$E$20*Assumptions!$E$39*IF(G6041&gt;0,G6042/G6041,0)*G6031</f>
        <v>0</v>
      </c>
      <c r="H6047" s="48" t="n">
        <f aca="false">H6046*Assumptions!$E$20*Assumptions!$E$39*IF(H6041&gt;0,H6042/H6041,0)*H6031</f>
        <v>0</v>
      </c>
      <c r="I6047" s="48" t="n">
        <f aca="false">I6046*Assumptions!$E$20*Assumptions!$E$39*IF(I6041&gt;0,I6042/I6041,0)*I6031</f>
        <v>0</v>
      </c>
      <c r="J6047" s="48" t="n">
        <f aca="false">J6046*Assumptions!$E$20*Assumptions!$E$39*IF(J6041&gt;0,J6042/J6041,0)*J6031</f>
        <v>0</v>
      </c>
      <c r="K6047" s="48" t="n">
        <f aca="false">K6046*Assumptions!$E$20*Assumptions!$E$39*IF(K6041&gt;0,K6042/K6041,0)*K6031</f>
        <v>0</v>
      </c>
      <c r="L6047" s="48" t="n">
        <f aca="false">L6046*Assumptions!$E$20*Assumptions!$E$39*IF(L6041&gt;0,L6042/L6041,0)*L6031</f>
        <v>0</v>
      </c>
      <c r="M6047" s="48" t="n">
        <f aca="false">M6046*Assumptions!$E$20*Assumptions!$E$39*IF(M6041&gt;0,M6042/M6041,0)*M6031</f>
        <v>0</v>
      </c>
      <c r="N6047" s="48" t="n">
        <f aca="false">N6046*Assumptions!$E$20*Assumptions!$E$39*IF(N6041&gt;0,N6042/N6041,0)*N6031</f>
        <v>0</v>
      </c>
      <c r="P6047" s="49" t="n">
        <f aca="false">SUM(C6047:F6047)</f>
        <v>0</v>
      </c>
      <c r="Q6047" s="49" t="n">
        <f aca="false">SUM(G6047:J6047)</f>
        <v>0</v>
      </c>
      <c r="R6047" s="49" t="n">
        <f aca="false">SUM(K6047:N6047)</f>
        <v>0</v>
      </c>
      <c r="S6047" s="50" t="n">
        <f aca="false">SUM(P6047:R6047)</f>
        <v>0</v>
      </c>
    </row>
    <row r="6048" customFormat="false" ht="15" hidden="false" customHeight="false" outlineLevel="0" collapsed="false">
      <c r="A6048" s="4" t="s">
        <v>496</v>
      </c>
      <c r="B6048" s="36" t="s">
        <v>497</v>
      </c>
      <c r="C6048" s="48" t="n">
        <f aca="false">IF(AND(C6041&gt;0,$C$6028&gt;0),C6041*Assumptions!$E$24*(1-EXP(-$C$6028/(Assumptions!$E$23*C6041*Assumptions!$E$24))),0)</f>
        <v>0</v>
      </c>
      <c r="D6048" s="48" t="n">
        <f aca="false">IF(AND(D6041&gt;0,$C$6028&gt;0),D6041*Assumptions!$E$24*(1-EXP(-$C$6028/(Assumptions!$E$23*D6041*Assumptions!$E$24))),0)</f>
        <v>0</v>
      </c>
      <c r="E6048" s="48" t="n">
        <f aca="false">IF(AND(E6041&gt;0,$C$6028&gt;0),E6041*Assumptions!$E$24*(1-EXP(-$C$6028/(Assumptions!$E$23*E6041*Assumptions!$E$24))),0)</f>
        <v>0</v>
      </c>
      <c r="F6048" s="48" t="n">
        <f aca="false">IF(AND(F6041&gt;0,$C$6028&gt;0),F6041*Assumptions!$E$24*(1-EXP(-$C$6028/(Assumptions!$E$23*F6041*Assumptions!$E$24))),0)</f>
        <v>0</v>
      </c>
      <c r="G6048" s="48" t="n">
        <f aca="false">IF(AND(G6041&gt;0,$C$6028&gt;0),G6041*Assumptions!$E$24*(1-EXP(-$C$6028/(Assumptions!$E$23*G6041*Assumptions!$E$24))),0)</f>
        <v>0</v>
      </c>
      <c r="H6048" s="48" t="n">
        <f aca="false">IF(AND(H6041&gt;0,$C$6028&gt;0),H6041*Assumptions!$E$24*(1-EXP(-$C$6028/(Assumptions!$E$23*H6041*Assumptions!$E$24))),0)</f>
        <v>0</v>
      </c>
      <c r="I6048" s="48" t="n">
        <f aca="false">IF(AND(I6041&gt;0,$C$6028&gt;0),I6041*Assumptions!$E$24*(1-EXP(-$C$6028/(Assumptions!$E$23*I6041*Assumptions!$E$24))),0)</f>
        <v>0</v>
      </c>
      <c r="J6048" s="48" t="n">
        <f aca="false">IF(AND(J6041&gt;0,$C$6028&gt;0),J6041*Assumptions!$E$24*(1-EXP(-$C$6028/(Assumptions!$E$23*J6041*Assumptions!$E$24))),0)</f>
        <v>0</v>
      </c>
      <c r="K6048" s="48" t="n">
        <f aca="false">IF(AND(K6041&gt;0,$C$6028&gt;0),K6041*Assumptions!$E$24*(1-EXP(-$C$6028/(Assumptions!$E$23*K6041*Assumptions!$E$24))),0)</f>
        <v>0</v>
      </c>
      <c r="L6048" s="48" t="n">
        <f aca="false">IF(AND(L6041&gt;0,$C$6028&gt;0),L6041*Assumptions!$E$24*(1-EXP(-$C$6028/(Assumptions!$E$23*L6041*Assumptions!$E$24))),0)</f>
        <v>0</v>
      </c>
      <c r="M6048" s="48" t="n">
        <f aca="false">IF(AND(M6041&gt;0,$C$6028&gt;0),M6041*Assumptions!$E$24*(1-EXP(-$C$6028/(Assumptions!$E$23*M6041*Assumptions!$E$24))),0)</f>
        <v>0</v>
      </c>
      <c r="N6048" s="48" t="n">
        <f aca="false">IF(AND(N6041&gt;0,$C$6028&gt;0),N6041*Assumptions!$E$24*(1-EXP(-$C$6028/(Assumptions!$E$23*N6041*Assumptions!$E$24))),0)</f>
        <v>0</v>
      </c>
      <c r="P6048" s="49" t="n">
        <f aca="false">SUM(C6048:F6048)</f>
        <v>0</v>
      </c>
      <c r="Q6048" s="49" t="n">
        <f aca="false">SUM(G6048:J6048)</f>
        <v>0</v>
      </c>
      <c r="R6048" s="49" t="n">
        <f aca="false">SUM(K6048:N6048)</f>
        <v>0</v>
      </c>
      <c r="S6048" s="50" t="n">
        <f aca="false">SUM(P6048:R6048)</f>
        <v>0</v>
      </c>
    </row>
    <row r="6049" customFormat="false" ht="15" hidden="false" customHeight="false" outlineLevel="0" collapsed="false">
      <c r="A6049" s="4" t="s">
        <v>498</v>
      </c>
      <c r="B6049" s="36" t="s">
        <v>497</v>
      </c>
      <c r="C6049" s="48" t="n">
        <f aca="false">(C6041*Assumptions!$E$22*MIN(1,Assumptions!$D$103/Assumptions!$E$78)+C6048)*C6031</f>
        <v>5.5188772352</v>
      </c>
      <c r="D6049" s="48" t="n">
        <f aca="false">(D6041*Assumptions!$E$22*MIN(1,Assumptions!$D$103/Assumptions!$E$78)+D6048)*D6031</f>
        <v>11.0377544704</v>
      </c>
      <c r="E6049" s="48" t="n">
        <f aca="false">(E6041*Assumptions!$E$22*MIN(1,Assumptions!$D$103/Assumptions!$E$78)+E6048)*E6031</f>
        <v>11.0377544704</v>
      </c>
      <c r="F6049" s="48" t="n">
        <f aca="false">(F6041*Assumptions!$E$22*MIN(1,Assumptions!$D$103/Assumptions!$E$78)+F6048)*F6031</f>
        <v>11.0377544704</v>
      </c>
      <c r="G6049" s="48" t="n">
        <f aca="false">(G6041*Assumptions!$E$22*MIN(1,Assumptions!$D$103/Assumptions!$E$78)+G6048)*G6031</f>
        <v>14.9349950176</v>
      </c>
      <c r="H6049" s="48" t="n">
        <f aca="false">(H6041*Assumptions!$E$22*MIN(1,Assumptions!$D$103/Assumptions!$E$78)+H6048)*H6031</f>
        <v>18.8322355648</v>
      </c>
      <c r="I6049" s="48" t="n">
        <f aca="false">(I6041*Assumptions!$E$22*MIN(1,Assumptions!$D$103/Assumptions!$E$78)+I6048)*I6031</f>
        <v>31.6761039616</v>
      </c>
      <c r="J6049" s="48" t="n">
        <f aca="false">(J6041*Assumptions!$E$22*MIN(1,Assumptions!$D$103/Assumptions!$E$78)+J6048)*J6031</f>
        <v>44.5199723584</v>
      </c>
      <c r="K6049" s="48" t="n">
        <f aca="false">(K6041*Assumptions!$E$22*MIN(1,Assumptions!$D$103/Assumptions!$E$78)+K6048)*K6031</f>
        <v>44.5199723584</v>
      </c>
      <c r="L6049" s="48" t="n">
        <f aca="false">(L6041*Assumptions!$E$22*MIN(1,Assumptions!$D$103/Assumptions!$E$78)+L6048)*L6031</f>
        <v>44.5199723584</v>
      </c>
      <c r="M6049" s="48" t="n">
        <f aca="false">(M6041*Assumptions!$E$22*MIN(1,Assumptions!$D$103/Assumptions!$E$78)+M6048)*M6031</f>
        <v>44.5199723584</v>
      </c>
      <c r="N6049" s="48" t="n">
        <f aca="false">(N6041*Assumptions!$E$22*MIN(1,Assumptions!$D$103/Assumptions!$E$78)+N6048)*N6031</f>
        <v>44.5199723584</v>
      </c>
      <c r="P6049" s="49" t="n">
        <f aca="false">SUM(C6049:F6049)</f>
        <v>38.6321406464</v>
      </c>
      <c r="Q6049" s="49" t="n">
        <f aca="false">SUM(G6049:J6049)</f>
        <v>109.9633069024</v>
      </c>
      <c r="R6049" s="49" t="n">
        <f aca="false">SUM(K6049:N6049)</f>
        <v>178.0798894336</v>
      </c>
      <c r="S6049" s="50" t="n">
        <f aca="false">SUM(P6049:R6049)</f>
        <v>326.6753369824</v>
      </c>
    </row>
    <row r="6050" customFormat="false" ht="15" hidden="false" customHeight="false" outlineLevel="0" collapsed="false">
      <c r="A6050" s="4" t="s">
        <v>499</v>
      </c>
      <c r="B6050" s="36" t="s">
        <v>500</v>
      </c>
      <c r="C6050" s="48" t="n">
        <f aca="false">C6031*MIN(Assumptions!$E$27,Assumptions!$E$25+Assumptions!$E$26*(C6030-1))*Assumptions!$D$107</f>
        <v>2</v>
      </c>
      <c r="D6050" s="48" t="n">
        <f aca="false">D6031*MIN(Assumptions!$E$27,Assumptions!$E$25+Assumptions!$E$26*(D6030-1))*Assumptions!$D$107</f>
        <v>3</v>
      </c>
      <c r="E6050" s="48" t="n">
        <f aca="false">E6031*MIN(Assumptions!$E$27,Assumptions!$E$25+Assumptions!$E$26*(E6030-1))*Assumptions!$D$107</f>
        <v>4</v>
      </c>
      <c r="F6050" s="48" t="n">
        <f aca="false">F6031*MIN(Assumptions!$E$27,Assumptions!$E$25+Assumptions!$E$26*(F6030-1))*Assumptions!$D$107</f>
        <v>5</v>
      </c>
      <c r="G6050" s="48" t="n">
        <f aca="false">G6031*MIN(Assumptions!$E$27,Assumptions!$E$25+Assumptions!$E$26*(G6030-1))*Assumptions!$D$107</f>
        <v>6</v>
      </c>
      <c r="H6050" s="48" t="n">
        <f aca="false">H6031*MIN(Assumptions!$E$27,Assumptions!$E$25+Assumptions!$E$26*(H6030-1))*Assumptions!$D$107</f>
        <v>7</v>
      </c>
      <c r="I6050" s="48" t="n">
        <f aca="false">I6031*MIN(Assumptions!$E$27,Assumptions!$E$25+Assumptions!$E$26*(I6030-1))*Assumptions!$D$107</f>
        <v>8</v>
      </c>
      <c r="J6050" s="48" t="n">
        <f aca="false">J6031*MIN(Assumptions!$E$27,Assumptions!$E$25+Assumptions!$E$26*(J6030-1))*Assumptions!$D$107</f>
        <v>9</v>
      </c>
      <c r="K6050" s="48" t="n">
        <f aca="false">K6031*MIN(Assumptions!$E$27,Assumptions!$E$25+Assumptions!$E$26*(K6030-1))*Assumptions!$D$107</f>
        <v>10</v>
      </c>
      <c r="L6050" s="48" t="n">
        <f aca="false">L6031*MIN(Assumptions!$E$27,Assumptions!$E$25+Assumptions!$E$26*(L6030-1))*Assumptions!$D$107</f>
        <v>10</v>
      </c>
      <c r="M6050" s="48" t="n">
        <f aca="false">M6031*MIN(Assumptions!$E$27,Assumptions!$E$25+Assumptions!$E$26*(M6030-1))*Assumptions!$D$107</f>
        <v>10</v>
      </c>
      <c r="N6050" s="48" t="n">
        <f aca="false">N6031*MIN(Assumptions!$E$27,Assumptions!$E$25+Assumptions!$E$26*(N6030-1))*Assumptions!$D$107</f>
        <v>10</v>
      </c>
      <c r="P6050" s="49" t="n">
        <f aca="false">F6050</f>
        <v>5</v>
      </c>
      <c r="Q6050" s="49" t="n">
        <f aca="false">J6050</f>
        <v>9</v>
      </c>
      <c r="R6050" s="49" t="n">
        <f aca="false">N6050</f>
        <v>10</v>
      </c>
      <c r="S6050" s="50" t="n">
        <f aca="false">R6050</f>
        <v>10</v>
      </c>
    </row>
    <row r="6051" customFormat="false" ht="15" hidden="false" customHeight="false" outlineLevel="0" collapsed="false">
      <c r="A6051" s="4" t="s">
        <v>501</v>
      </c>
      <c r="B6051" s="36" t="s">
        <v>502</v>
      </c>
      <c r="C6051" s="48" t="n">
        <f aca="false">C6050*Assumptions!$E$28</f>
        <v>6</v>
      </c>
      <c r="D6051" s="48" t="n">
        <f aca="false">D6050*Assumptions!$E$28</f>
        <v>9</v>
      </c>
      <c r="E6051" s="48" t="n">
        <f aca="false">E6050*Assumptions!$E$28</f>
        <v>12</v>
      </c>
      <c r="F6051" s="48" t="n">
        <f aca="false">F6050*Assumptions!$E$28</f>
        <v>15</v>
      </c>
      <c r="G6051" s="48" t="n">
        <f aca="false">G6050*Assumptions!$E$28</f>
        <v>18</v>
      </c>
      <c r="H6051" s="48" t="n">
        <f aca="false">H6050*Assumptions!$E$28</f>
        <v>21</v>
      </c>
      <c r="I6051" s="48" t="n">
        <f aca="false">I6050*Assumptions!$E$28</f>
        <v>24</v>
      </c>
      <c r="J6051" s="48" t="n">
        <f aca="false">J6050*Assumptions!$E$28</f>
        <v>27</v>
      </c>
      <c r="K6051" s="48" t="n">
        <f aca="false">K6050*Assumptions!$E$28</f>
        <v>30</v>
      </c>
      <c r="L6051" s="48" t="n">
        <f aca="false">L6050*Assumptions!$E$28</f>
        <v>30</v>
      </c>
      <c r="M6051" s="48" t="n">
        <f aca="false">M6050*Assumptions!$E$28</f>
        <v>30</v>
      </c>
      <c r="N6051" s="48" t="n">
        <f aca="false">N6050*Assumptions!$E$28</f>
        <v>30</v>
      </c>
      <c r="P6051" s="49" t="n">
        <f aca="false">SUM(C6051:F6051)</f>
        <v>42</v>
      </c>
      <c r="Q6051" s="49" t="n">
        <f aca="false">SUM(G6051:J6051)</f>
        <v>90</v>
      </c>
      <c r="R6051" s="49" t="n">
        <f aca="false">SUM(K6051:N6051)</f>
        <v>120</v>
      </c>
      <c r="S6051" s="50" t="n">
        <f aca="false">SUM(P6051:R6051)</f>
        <v>252</v>
      </c>
    </row>
    <row r="6052" customFormat="false" ht="15" hidden="false" customHeight="false" outlineLevel="0" collapsed="false">
      <c r="A6052" s="4" t="s">
        <v>503</v>
      </c>
      <c r="B6052" s="36" t="s">
        <v>504</v>
      </c>
      <c r="C6052" s="48" t="n">
        <f aca="false">(C6043+C6047)*Assumptions!$E$29</f>
        <v>2.649061072896</v>
      </c>
      <c r="D6052" s="48" t="n">
        <f aca="false">(D6043+D6047)*Assumptions!$E$29</f>
        <v>4.93045821299048</v>
      </c>
      <c r="E6052" s="48" t="n">
        <f aca="false">(E6043+E6047)*Assumptions!$E$29</f>
        <v>4.58830837060879</v>
      </c>
      <c r="F6052" s="48" t="n">
        <f aca="false">(F6043+F6047)*Assumptions!$E$29</f>
        <v>4.26990206474738</v>
      </c>
      <c r="G6052" s="48" t="n">
        <f aca="false">(G6043+G6047)*Assumptions!$E$29</f>
        <v>5.844267072</v>
      </c>
      <c r="H6052" s="48" t="n">
        <f aca="false">(H6043+H6047)*Assumptions!$E$29</f>
        <v>7.17956301044434</v>
      </c>
      <c r="I6052" s="48" t="n">
        <f aca="false">(I6043+I6047)*Assumptions!$E$29</f>
        <v>12.8463930542132</v>
      </c>
      <c r="J6052" s="48" t="n">
        <f aca="false">(J6043+J6047)*Assumptions!$E$29</f>
        <v>17.6921476412567</v>
      </c>
      <c r="K6052" s="48" t="n">
        <f aca="false">(K6043+K6047)*Assumptions!$E$29</f>
        <v>16.4643985629052</v>
      </c>
      <c r="L6052" s="48" t="n">
        <f aca="false">(L6043+L6047)*Assumptions!$E$29</f>
        <v>15.3218493048332</v>
      </c>
      <c r="M6052" s="48" t="n">
        <f aca="false">(M6043+M6047)*Assumptions!$E$29</f>
        <v>14.2585874135079</v>
      </c>
      <c r="N6052" s="48" t="n">
        <f aca="false">(N6043+N6047)*Assumptions!$E$29</f>
        <v>13.2691107309425</v>
      </c>
      <c r="P6052" s="49" t="n">
        <f aca="false">SUM(C6052:F6052)</f>
        <v>16.4377297212427</v>
      </c>
      <c r="Q6052" s="49" t="n">
        <f aca="false">SUM(G6052:J6052)</f>
        <v>43.5623707779142</v>
      </c>
      <c r="R6052" s="49" t="n">
        <f aca="false">SUM(K6052:N6052)</f>
        <v>59.3139460121888</v>
      </c>
      <c r="S6052" s="50" t="n">
        <f aca="false">SUM(P6052:R6052)</f>
        <v>119.314046511346</v>
      </c>
    </row>
    <row r="6053" customFormat="false" ht="15" hidden="false" customHeight="false" outlineLevel="0" collapsed="false">
      <c r="A6053" s="4" t="s">
        <v>505</v>
      </c>
      <c r="B6053" s="36" t="s">
        <v>504</v>
      </c>
      <c r="C6053" s="48" t="n">
        <f aca="false">C6049*Assumptions!$E$31</f>
        <v>0.883020357632</v>
      </c>
      <c r="D6053" s="48" t="n">
        <f aca="false">D6049*Assumptions!$E$31</f>
        <v>1.766040715264</v>
      </c>
      <c r="E6053" s="48" t="n">
        <f aca="false">E6049*Assumptions!$E$31</f>
        <v>1.766040715264</v>
      </c>
      <c r="F6053" s="48" t="n">
        <f aca="false">F6049*Assumptions!$E$31</f>
        <v>1.766040715264</v>
      </c>
      <c r="G6053" s="48" t="n">
        <f aca="false">G6049*Assumptions!$E$31</f>
        <v>2.389599202816</v>
      </c>
      <c r="H6053" s="48" t="n">
        <f aca="false">H6049*Assumptions!$E$31</f>
        <v>3.013157690368</v>
      </c>
      <c r="I6053" s="48" t="n">
        <f aca="false">I6049*Assumptions!$E$31</f>
        <v>5.068176633856</v>
      </c>
      <c r="J6053" s="48" t="n">
        <f aca="false">J6049*Assumptions!$E$31</f>
        <v>7.123195577344</v>
      </c>
      <c r="K6053" s="48" t="n">
        <f aca="false">K6049*Assumptions!$E$31</f>
        <v>7.123195577344</v>
      </c>
      <c r="L6053" s="48" t="n">
        <f aca="false">L6049*Assumptions!$E$31</f>
        <v>7.123195577344</v>
      </c>
      <c r="M6053" s="48" t="n">
        <f aca="false">M6049*Assumptions!$E$31</f>
        <v>7.123195577344</v>
      </c>
      <c r="N6053" s="48" t="n">
        <f aca="false">N6049*Assumptions!$E$31</f>
        <v>7.123195577344</v>
      </c>
      <c r="P6053" s="49" t="n">
        <f aca="false">SUM(C6053:F6053)</f>
        <v>6.181142503424</v>
      </c>
      <c r="Q6053" s="49" t="n">
        <f aca="false">SUM(G6053:J6053)</f>
        <v>17.594129104384</v>
      </c>
      <c r="R6053" s="49" t="n">
        <f aca="false">SUM(K6053:N6053)</f>
        <v>28.492782309376</v>
      </c>
      <c r="S6053" s="50" t="n">
        <f aca="false">SUM(P6053:R6053)</f>
        <v>52.268053917184</v>
      </c>
    </row>
    <row r="6054" customFormat="false" ht="15" hidden="false" customHeight="false" outlineLevel="0" collapsed="false">
      <c r="A6054" s="4" t="s">
        <v>506</v>
      </c>
      <c r="B6054" s="36" t="s">
        <v>504</v>
      </c>
      <c r="C6054" s="48" t="n">
        <f aca="false">C6051*Assumptions!$E$30</f>
        <v>3</v>
      </c>
      <c r="D6054" s="48" t="n">
        <f aca="false">D6051*Assumptions!$E$30</f>
        <v>4.5</v>
      </c>
      <c r="E6054" s="48" t="n">
        <f aca="false">E6051*Assumptions!$E$30</f>
        <v>6</v>
      </c>
      <c r="F6054" s="48" t="n">
        <f aca="false">F6051*Assumptions!$E$30</f>
        <v>7.5</v>
      </c>
      <c r="G6054" s="48" t="n">
        <f aca="false">G6051*Assumptions!$E$30</f>
        <v>9</v>
      </c>
      <c r="H6054" s="48" t="n">
        <f aca="false">H6051*Assumptions!$E$30</f>
        <v>10.5</v>
      </c>
      <c r="I6054" s="48" t="n">
        <f aca="false">I6051*Assumptions!$E$30</f>
        <v>12</v>
      </c>
      <c r="J6054" s="48" t="n">
        <f aca="false">J6051*Assumptions!$E$30</f>
        <v>13.5</v>
      </c>
      <c r="K6054" s="48" t="n">
        <f aca="false">K6051*Assumptions!$E$30</f>
        <v>15</v>
      </c>
      <c r="L6054" s="48" t="n">
        <f aca="false">L6051*Assumptions!$E$30</f>
        <v>15</v>
      </c>
      <c r="M6054" s="48" t="n">
        <f aca="false">M6051*Assumptions!$E$30</f>
        <v>15</v>
      </c>
      <c r="N6054" s="48" t="n">
        <f aca="false">N6051*Assumptions!$E$30</f>
        <v>15</v>
      </c>
      <c r="P6054" s="49" t="n">
        <f aca="false">SUM(C6054:F6054)</f>
        <v>21</v>
      </c>
      <c r="Q6054" s="49" t="n">
        <f aca="false">SUM(G6054:J6054)</f>
        <v>45</v>
      </c>
      <c r="R6054" s="49" t="n">
        <f aca="false">SUM(K6054:N6054)</f>
        <v>60</v>
      </c>
      <c r="S6054" s="50" t="n">
        <f aca="false">SUM(P6054:R6054)</f>
        <v>126</v>
      </c>
    </row>
    <row r="6055" customFormat="false" ht="15" hidden="false" customHeight="false" outlineLevel="0" collapsed="false">
      <c r="A6055" s="9" t="s">
        <v>507</v>
      </c>
      <c r="B6055" s="36" t="s">
        <v>504</v>
      </c>
      <c r="C6055" s="49" t="n">
        <f aca="false">C6052+C6053+C6054</f>
        <v>6.532081430528</v>
      </c>
      <c r="D6055" s="49" t="n">
        <f aca="false">D6052+D6053+D6054</f>
        <v>11.1964989282545</v>
      </c>
      <c r="E6055" s="49" t="n">
        <f aca="false">E6052+E6053+E6054</f>
        <v>12.3543490858728</v>
      </c>
      <c r="F6055" s="49" t="n">
        <f aca="false">F6052+F6053+F6054</f>
        <v>13.5359427800114</v>
      </c>
      <c r="G6055" s="49" t="n">
        <f aca="false">G6052+G6053+G6054</f>
        <v>17.233866274816</v>
      </c>
      <c r="H6055" s="49" t="n">
        <f aca="false">H6052+H6053+H6054</f>
        <v>20.6927207008123</v>
      </c>
      <c r="I6055" s="49" t="n">
        <f aca="false">I6052+I6053+I6054</f>
        <v>29.9145696880692</v>
      </c>
      <c r="J6055" s="49" t="n">
        <f aca="false">J6052+J6053+J6054</f>
        <v>38.3153432186007</v>
      </c>
      <c r="K6055" s="49" t="n">
        <f aca="false">K6052+K6053+K6054</f>
        <v>38.5875941402492</v>
      </c>
      <c r="L6055" s="49" t="n">
        <f aca="false">L6052+L6053+L6054</f>
        <v>37.4450448821772</v>
      </c>
      <c r="M6055" s="49" t="n">
        <f aca="false">M6052+M6053+M6054</f>
        <v>36.3817829908519</v>
      </c>
      <c r="N6055" s="49" t="n">
        <f aca="false">N6052+N6053+N6054</f>
        <v>35.3923063082865</v>
      </c>
      <c r="P6055" s="49" t="n">
        <f aca="false">SUM(C6055:F6055)</f>
        <v>43.6188722246667</v>
      </c>
      <c r="Q6055" s="49" t="n">
        <f aca="false">SUM(G6055:J6055)</f>
        <v>106.156499882298</v>
      </c>
      <c r="R6055" s="49" t="n">
        <f aca="false">SUM(K6055:N6055)</f>
        <v>147.806728321565</v>
      </c>
      <c r="S6055" s="50" t="n">
        <f aca="false">SUM(P6055:R6055)</f>
        <v>297.58210042853</v>
      </c>
    </row>
    <row r="6056" customFormat="false" ht="15" hidden="false" customHeight="false" outlineLevel="0" collapsed="false">
      <c r="A6056" s="4" t="s">
        <v>508</v>
      </c>
      <c r="B6056" s="36" t="s">
        <v>509</v>
      </c>
      <c r="C6056" s="48" t="n">
        <f aca="false">C6038</f>
        <v>421.51972352</v>
      </c>
      <c r="D6056" s="48" t="n">
        <f aca="false">D6038</f>
        <v>843.03944704</v>
      </c>
      <c r="E6056" s="48" t="n">
        <f aca="false">E6038</f>
        <v>843.03944704</v>
      </c>
      <c r="F6056" s="48" t="n">
        <f aca="false">F6038</f>
        <v>843.03944704</v>
      </c>
      <c r="G6056" s="48" t="n">
        <f aca="false">G6038</f>
        <v>1149.32798176</v>
      </c>
      <c r="H6056" s="48" t="n">
        <f aca="false">H6038</f>
        <v>1455.61651648</v>
      </c>
      <c r="I6056" s="48" t="n">
        <f aca="false">I6038</f>
        <v>2486.00303616</v>
      </c>
      <c r="J6056" s="48" t="n">
        <f aca="false">J6038</f>
        <v>3516.38955584</v>
      </c>
      <c r="K6056" s="48" t="n">
        <f aca="false">K6038</f>
        <v>3516.38955584</v>
      </c>
      <c r="L6056" s="48" t="n">
        <f aca="false">L6038</f>
        <v>3516.38955584</v>
      </c>
      <c r="M6056" s="48" t="n">
        <f aca="false">M6038</f>
        <v>3516.38955584</v>
      </c>
      <c r="N6056" s="48" t="n">
        <f aca="false">N6038</f>
        <v>3516.38955584</v>
      </c>
      <c r="P6056" s="49"/>
      <c r="Q6056" s="49"/>
      <c r="R6056" s="49"/>
      <c r="S6056" s="50"/>
    </row>
    <row r="6057" customFormat="false" ht="15" hidden="false" customHeight="false" outlineLevel="0" collapsed="false">
      <c r="A6057" s="4" t="s">
        <v>510</v>
      </c>
      <c r="B6057" s="36" t="s">
        <v>509</v>
      </c>
      <c r="C6057" s="48" t="n">
        <f aca="false">C6039*Assumptions!$E$18*Assumptions!$E$33</f>
        <v>211.19616</v>
      </c>
      <c r="D6057" s="48" t="n">
        <f aca="false">D6039*Assumptions!$E$18*Assumptions!$E$33</f>
        <v>422.39232</v>
      </c>
      <c r="E6057" s="48" t="n">
        <f aca="false">E6039*Assumptions!$E$18*Assumptions!$E$33</f>
        <v>422.39232</v>
      </c>
      <c r="F6057" s="48" t="n">
        <f aca="false">F6039*Assumptions!$E$18*Assumptions!$E$33</f>
        <v>422.39232</v>
      </c>
      <c r="G6057" s="48" t="n">
        <f aca="false">G6039*Assumptions!$E$18*Assumptions!$E$33</f>
        <v>564.49344</v>
      </c>
      <c r="H6057" s="48" t="n">
        <f aca="false">H6039*Assumptions!$E$18*Assumptions!$E$33</f>
        <v>706.59456</v>
      </c>
      <c r="I6057" s="48" t="n">
        <f aca="false">I6039*Assumptions!$E$18*Assumptions!$E$33</f>
        <v>1135.07072</v>
      </c>
      <c r="J6057" s="48" t="n">
        <f aca="false">J6039*Assumptions!$E$18*Assumptions!$E$33</f>
        <v>1563.54688</v>
      </c>
      <c r="K6057" s="48" t="n">
        <f aca="false">K6039*Assumptions!$E$18*Assumptions!$E$33</f>
        <v>1563.54688</v>
      </c>
      <c r="L6057" s="48" t="n">
        <f aca="false">L6039*Assumptions!$E$18*Assumptions!$E$33</f>
        <v>1563.54688</v>
      </c>
      <c r="M6057" s="48" t="n">
        <f aca="false">M6039*Assumptions!$E$18*Assumptions!$E$33</f>
        <v>1563.54688</v>
      </c>
      <c r="N6057" s="48" t="n">
        <f aca="false">N6039*Assumptions!$E$18*Assumptions!$E$33</f>
        <v>1563.54688</v>
      </c>
      <c r="P6057" s="49"/>
      <c r="Q6057" s="49"/>
      <c r="R6057" s="49"/>
      <c r="S6057" s="50"/>
    </row>
    <row r="6058" customFormat="false" ht="15" hidden="false" customHeight="false" outlineLevel="0" collapsed="false">
      <c r="A6058" s="4" t="s">
        <v>511</v>
      </c>
      <c r="B6058" s="36" t="s">
        <v>509</v>
      </c>
      <c r="C6058" s="48" t="n">
        <f aca="false">C6040*Assumptions!$E$19*Assumptions!$E$34</f>
        <v>34.677888</v>
      </c>
      <c r="D6058" s="48" t="n">
        <f aca="false">D6040*Assumptions!$E$19*Assumptions!$E$34</f>
        <v>69.355776</v>
      </c>
      <c r="E6058" s="48" t="n">
        <f aca="false">E6040*Assumptions!$E$19*Assumptions!$E$34</f>
        <v>69.355776</v>
      </c>
      <c r="F6058" s="48" t="n">
        <f aca="false">F6040*Assumptions!$E$19*Assumptions!$E$34</f>
        <v>69.355776</v>
      </c>
      <c r="G6058" s="48" t="n">
        <f aca="false">G6040*Assumptions!$E$19*Assumptions!$E$34</f>
        <v>86.69472</v>
      </c>
      <c r="H6058" s="48" t="n">
        <f aca="false">H6040*Assumptions!$E$19*Assumptions!$E$34</f>
        <v>104.033664</v>
      </c>
      <c r="I6058" s="48" t="n">
        <f aca="false">I6040*Assumptions!$E$19*Assumptions!$E$34</f>
        <v>159.7008</v>
      </c>
      <c r="J6058" s="48" t="n">
        <f aca="false">J6040*Assumptions!$E$19*Assumptions!$E$34</f>
        <v>215.367936</v>
      </c>
      <c r="K6058" s="48" t="n">
        <f aca="false">K6040*Assumptions!$E$19*Assumptions!$E$34</f>
        <v>215.367936</v>
      </c>
      <c r="L6058" s="48" t="n">
        <f aca="false">L6040*Assumptions!$E$19*Assumptions!$E$34</f>
        <v>215.367936</v>
      </c>
      <c r="M6058" s="48" t="n">
        <f aca="false">M6040*Assumptions!$E$19*Assumptions!$E$34</f>
        <v>215.367936</v>
      </c>
      <c r="N6058" s="48" t="n">
        <f aca="false">N6040*Assumptions!$E$19*Assumptions!$E$34</f>
        <v>215.367936</v>
      </c>
      <c r="P6058" s="49"/>
      <c r="Q6058" s="49"/>
      <c r="R6058" s="49"/>
      <c r="S6058" s="50"/>
    </row>
    <row r="6059" customFormat="false" ht="15" hidden="false" customHeight="false" outlineLevel="0" collapsed="false">
      <c r="A6059" s="4" t="s">
        <v>512</v>
      </c>
      <c r="B6059" s="36" t="s">
        <v>77</v>
      </c>
      <c r="C6059" s="51" t="n">
        <f aca="false">IFERROR(C6056/(C6056+C6057+C6058),0)</f>
        <v>0.631590736245533</v>
      </c>
      <c r="D6059" s="51" t="n">
        <f aca="false">IFERROR(D6056/(D6056+D6057+D6058),0)</f>
        <v>0.631590736245533</v>
      </c>
      <c r="E6059" s="51" t="n">
        <f aca="false">IFERROR(E6056/(E6056+E6057+E6058),0)</f>
        <v>0.631590736245533</v>
      </c>
      <c r="F6059" s="51" t="n">
        <f aca="false">IFERROR(F6056/(F6056+F6057+F6058),0)</f>
        <v>0.631590736245533</v>
      </c>
      <c r="G6059" s="51" t="n">
        <f aca="false">IFERROR(G6056/(G6056+G6057+G6058),0)</f>
        <v>0.638332506498128</v>
      </c>
      <c r="H6059" s="51" t="n">
        <f aca="false">IFERROR(H6056/(H6056+H6057+H6058),0)</f>
        <v>0.642303318118984</v>
      </c>
      <c r="I6059" s="51" t="n">
        <f aca="false">IFERROR(I6056/(I6056+I6057+I6058),0)</f>
        <v>0.657538025405288</v>
      </c>
      <c r="J6059" s="51" t="n">
        <f aca="false">IFERROR(J6056/(J6056+J6057+J6058),0)</f>
        <v>0.664058061428891</v>
      </c>
      <c r="K6059" s="51" t="n">
        <f aca="false">IFERROR(K6056/(K6056+K6057+K6058),0)</f>
        <v>0.664058061428891</v>
      </c>
      <c r="L6059" s="51" t="n">
        <f aca="false">IFERROR(L6056/(L6056+L6057+L6058),0)</f>
        <v>0.664058061428891</v>
      </c>
      <c r="M6059" s="51" t="n">
        <f aca="false">IFERROR(M6056/(M6056+M6057+M6058),0)</f>
        <v>0.664058061428891</v>
      </c>
      <c r="N6059" s="51" t="n">
        <f aca="false">IFERROR(N6056/(N6056+N6057+N6058),0)</f>
        <v>0.664058061428891</v>
      </c>
      <c r="P6059" s="52"/>
      <c r="Q6059" s="52"/>
      <c r="R6059" s="52"/>
      <c r="S6059" s="53"/>
    </row>
    <row r="6060" customFormat="false" ht="15" hidden="false" customHeight="false" outlineLevel="0" collapsed="false">
      <c r="A6060" s="4" t="s">
        <v>513</v>
      </c>
      <c r="B6060" s="36" t="s">
        <v>77</v>
      </c>
      <c r="C6060" s="51" t="n">
        <f aca="false">IFERROR(C6057/(C6056+C6057+C6058),0)</f>
        <v>0.316449102482628</v>
      </c>
      <c r="D6060" s="51" t="n">
        <f aca="false">IFERROR(D6057/(D6056+D6057+D6058),0)</f>
        <v>0.316449102482628</v>
      </c>
      <c r="E6060" s="51" t="n">
        <f aca="false">IFERROR(E6057/(E6056+E6057+E6058),0)</f>
        <v>0.316449102482628</v>
      </c>
      <c r="F6060" s="51" t="n">
        <f aca="false">IFERROR(F6057/(F6056+F6057+F6058),0)</f>
        <v>0.316449102482628</v>
      </c>
      <c r="G6060" s="51" t="n">
        <f aca="false">IFERROR(G6057/(G6056+G6057+G6058),0)</f>
        <v>0.313517566939561</v>
      </c>
      <c r="H6060" s="51" t="n">
        <f aca="false">IFERROR(H6057/(H6056+H6057+H6058),0)</f>
        <v>0.311790932099567</v>
      </c>
      <c r="I6060" s="51" t="n">
        <f aca="false">IFERROR(I6057/(I6056+I6057+I6058),0)</f>
        <v>0.300221741111391</v>
      </c>
      <c r="J6060" s="51" t="n">
        <f aca="false">IFERROR(J6057/(J6056+J6057+J6058),0)</f>
        <v>0.295270445324128</v>
      </c>
      <c r="K6060" s="51" t="n">
        <f aca="false">IFERROR(K6057/(K6056+K6057+K6058),0)</f>
        <v>0.295270445324128</v>
      </c>
      <c r="L6060" s="51" t="n">
        <f aca="false">IFERROR(L6057/(L6056+L6057+L6058),0)</f>
        <v>0.295270445324128</v>
      </c>
      <c r="M6060" s="51" t="n">
        <f aca="false">IFERROR(M6057/(M6056+M6057+M6058),0)</f>
        <v>0.295270445324128</v>
      </c>
      <c r="N6060" s="51" t="n">
        <f aca="false">IFERROR(N6057/(N6056+N6057+N6058),0)</f>
        <v>0.295270445324128</v>
      </c>
      <c r="P6060" s="52"/>
      <c r="Q6060" s="52"/>
      <c r="R6060" s="52"/>
      <c r="S6060" s="53"/>
    </row>
    <row r="6061" customFormat="false" ht="15" hidden="false" customHeight="false" outlineLevel="0" collapsed="false">
      <c r="A6061" s="4" t="s">
        <v>514</v>
      </c>
      <c r="B6061" s="36" t="s">
        <v>77</v>
      </c>
      <c r="C6061" s="51" t="n">
        <f aca="false">IFERROR(C6058/(C6056+C6057+C6058),0)</f>
        <v>0.0519601612718389</v>
      </c>
      <c r="D6061" s="51" t="n">
        <f aca="false">IFERROR(D6058/(D6056+D6057+D6058),0)</f>
        <v>0.0519601612718389</v>
      </c>
      <c r="E6061" s="51" t="n">
        <f aca="false">IFERROR(E6058/(E6056+E6057+E6058),0)</f>
        <v>0.0519601612718389</v>
      </c>
      <c r="F6061" s="51" t="n">
        <f aca="false">IFERROR(F6058/(F6056+F6057+F6058),0)</f>
        <v>0.0519601612718389</v>
      </c>
      <c r="G6061" s="51" t="n">
        <f aca="false">IFERROR(G6058/(G6056+G6057+G6058),0)</f>
        <v>0.0481499265623113</v>
      </c>
      <c r="H6061" s="51" t="n">
        <f aca="false">IFERROR(H6058/(H6056+H6057+H6058),0)</f>
        <v>0.0459057497814491</v>
      </c>
      <c r="I6061" s="51" t="n">
        <f aca="false">IFERROR(I6058/(I6056+I6057+I6058),0)</f>
        <v>0.0422402334833216</v>
      </c>
      <c r="J6061" s="51" t="n">
        <f aca="false">IFERROR(J6058/(J6056+J6057+J6058),0)</f>
        <v>0.0406714932469811</v>
      </c>
      <c r="K6061" s="51" t="n">
        <f aca="false">IFERROR(K6058/(K6056+K6057+K6058),0)</f>
        <v>0.0406714932469811</v>
      </c>
      <c r="L6061" s="51" t="n">
        <f aca="false">IFERROR(L6058/(L6056+L6057+L6058),0)</f>
        <v>0.0406714932469811</v>
      </c>
      <c r="M6061" s="51" t="n">
        <f aca="false">IFERROR(M6058/(M6056+M6057+M6058),0)</f>
        <v>0.0406714932469811</v>
      </c>
      <c r="N6061" s="51" t="n">
        <f aca="false">IFERROR(N6058/(N6056+N6057+N6058),0)</f>
        <v>0.0406714932469811</v>
      </c>
      <c r="P6061" s="52"/>
      <c r="Q6061" s="52"/>
      <c r="R6061" s="52"/>
      <c r="S6061" s="53"/>
    </row>
    <row r="6062" customFormat="false" ht="15" hidden="false" customHeight="false" outlineLevel="0" collapsed="false">
      <c r="A6062" s="4" t="s">
        <v>515</v>
      </c>
      <c r="B6062" s="36" t="s">
        <v>516</v>
      </c>
      <c r="C6062" s="48" t="n">
        <f aca="false">IF(C6030-Assumptions!$E$35&lt;1,0,INDEX($C$6055:$N$6055,1,C6030-Assumptions!$E$35)*INDEX($C$6059:$N$6059,1,C6030-Assumptions!$E$35)*Assumptions!$E$32)</f>
        <v>0</v>
      </c>
      <c r="D6062" s="48" t="n">
        <f aca="false">IF(D6030-Assumptions!$E$35&lt;1,0,INDEX($C$6055:$N$6055,1,D6030-Assumptions!$E$35)*INDEX($C$6059:$N$6059,1,D6030-Assumptions!$E$35)*Assumptions!$E$32)</f>
        <v>0.866376445183821</v>
      </c>
      <c r="E6062" s="48" t="n">
        <f aca="false">IF(E6030-Assumptions!$E$35&lt;1,0,INDEX($C$6055:$N$6055,1,E6030-Assumptions!$E$35)*INDEX($C$6059:$N$6059,1,E6030-Assumptions!$E$35)*Assumptions!$E$32)</f>
        <v>1.4850370503084</v>
      </c>
      <c r="F6062" s="48" t="n">
        <f aca="false">IF(F6030-Assumptions!$E$35&lt;1,0,INDEX($C$6055:$N$6055,1,F6030-Assumptions!$E$35)*INDEX($C$6059:$N$6059,1,F6030-Assumptions!$E$35)*Assumptions!$E$32)</f>
        <v>1.63860741134595</v>
      </c>
      <c r="G6062" s="48" t="n">
        <f aca="false">IF(G6030-Assumptions!$E$35&lt;1,0,INDEX($C$6055:$N$6055,1,G6030-Assumptions!$E$35)*INDEX($C$6059:$N$6059,1,G6030-Assumptions!$E$35)*Assumptions!$E$32)</f>
        <v>1.79532697390301</v>
      </c>
      <c r="H6062" s="48" t="n">
        <f aca="false">IF(H6030-Assumptions!$E$35&lt;1,0,INDEX($C$6055:$N$6055,1,H6030-Assumptions!$E$35)*INDEX($C$6059:$N$6059,1,H6030-Assumptions!$E$35)*Assumptions!$E$32)</f>
        <v>2.31019678172994</v>
      </c>
      <c r="I6062" s="48" t="n">
        <f aca="false">IF(I6030-Assumptions!$E$35&lt;1,0,INDEX($C$6055:$N$6055,1,I6030-Assumptions!$E$35)*INDEX($C$6059:$N$6059,1,I6030-Assumptions!$E$35)*Assumptions!$E$32)</f>
        <v>2.79111066507864</v>
      </c>
      <c r="J6062" s="48" t="n">
        <f aca="false">IF(J6030-Assumptions!$E$35&lt;1,0,INDEX($C$6055:$N$6055,1,J6030-Assumptions!$E$35)*INDEX($C$6059:$N$6059,1,J6030-Assumptions!$E$35)*Assumptions!$E$32)</f>
        <v>4.1306930875438</v>
      </c>
      <c r="K6062" s="48" t="n">
        <f aca="false">IF(K6030-Assumptions!$E$35&lt;1,0,INDEX($C$6055:$N$6055,1,K6030-Assumptions!$E$35)*INDEX($C$6059:$N$6059,1,K6030-Assumptions!$E$35)*Assumptions!$E$32)</f>
        <v>5.34315863355258</v>
      </c>
      <c r="L6062" s="48" t="n">
        <f aca="false">IF(L6030-Assumptions!$E$35&lt;1,0,INDEX($C$6055:$N$6055,1,L6030-Assumptions!$E$35)*INDEX($C$6059:$N$6059,1,L6030-Assumptions!$E$35)*Assumptions!$E$32)</f>
        <v>5.38112462159553</v>
      </c>
      <c r="M6062" s="48" t="n">
        <f aca="false">IF(M6030-Assumptions!$E$35&lt;1,0,INDEX($C$6055:$N$6055,1,M6030-Assumptions!$E$35)*INDEX($C$6059:$N$6059,1,M6030-Assumptions!$E$35)*Assumptions!$E$32)</f>
        <v>5.22179362206104</v>
      </c>
      <c r="N6062" s="48" t="n">
        <f aca="false">IF(N6030-Assumptions!$E$35&lt;1,0,INDEX($C$6055:$N$6055,1,N6030-Assumptions!$E$35)*INDEX($C$6059:$N$6059,1,N6030-Assumptions!$E$35)*Assumptions!$E$32)</f>
        <v>5.07351941968866</v>
      </c>
      <c r="P6062" s="49" t="n">
        <f aca="false">SUM(C6062:F6062)</f>
        <v>3.99002090683817</v>
      </c>
      <c r="Q6062" s="49" t="n">
        <f aca="false">SUM(G6062:J6062)</f>
        <v>11.0273275082554</v>
      </c>
      <c r="R6062" s="49" t="n">
        <f aca="false">SUM(K6062:N6062)</f>
        <v>21.0195962968978</v>
      </c>
      <c r="S6062" s="50" t="n">
        <f aca="false">SUM(P6062:R6062)</f>
        <v>36.0369447119914</v>
      </c>
    </row>
    <row r="6063" customFormat="false" ht="15" hidden="false" customHeight="false" outlineLevel="0" collapsed="false">
      <c r="A6063" s="4" t="s">
        <v>517</v>
      </c>
      <c r="B6063" s="36" t="s">
        <v>516</v>
      </c>
      <c r="C6063" s="48" t="n">
        <f aca="false">IF(C6030-Assumptions!$E$35&lt;1,0,INDEX($C$6055:$N$6055,1,C6030-Assumptions!$E$35)*INDEX($C$6060:$N$6060,1,C6030-Assumptions!$E$35)*Assumptions!$E$32)</f>
        <v>0</v>
      </c>
      <c r="D6063" s="48" t="n">
        <f aca="false">IF(D6030-Assumptions!$E$35&lt;1,0,INDEX($C$6055:$N$6055,1,D6030-Assumptions!$E$35)*INDEX($C$6060:$N$6060,1,D6030-Assumptions!$E$35)*Assumptions!$E$32)</f>
        <v>0.434084974267145</v>
      </c>
      <c r="E6063" s="48" t="n">
        <f aca="false">IF(E6030-Assumptions!$E$35&lt;1,0,INDEX($C$6055:$N$6055,1,E6030-Assumptions!$E$35)*INDEX($C$6060:$N$6060,1,E6030-Assumptions!$E$35)*Assumptions!$E$32)</f>
        <v>0.744055627726705</v>
      </c>
      <c r="F6063" s="48" t="n">
        <f aca="false">IF(F6030-Assumptions!$E$35&lt;1,0,INDEX($C$6055:$N$6055,1,F6030-Assumptions!$E$35)*INDEX($C$6060:$N$6060,1,F6030-Assumptions!$E$35)*Assumptions!$E$32)</f>
        <v>0.820999762796119</v>
      </c>
      <c r="G6063" s="48" t="n">
        <f aca="false">IF(G6030-Assumptions!$E$35&lt;1,0,INDEX($C$6055:$N$6055,1,G6030-Assumptions!$E$35)*INDEX($C$6060:$N$6060,1,G6030-Assumptions!$E$35)*Assumptions!$E$32)</f>
        <v>0.89952175823807</v>
      </c>
      <c r="H6063" s="48" t="n">
        <f aca="false">IF(H6030-Assumptions!$E$35&lt;1,0,INDEX($C$6055:$N$6055,1,H6030-Assumptions!$E$35)*INDEX($C$6060:$N$6060,1,H6030-Assumptions!$E$35)*Assumptions!$E$32)</f>
        <v>1.13465516292283</v>
      </c>
      <c r="I6063" s="48" t="n">
        <f aca="false">IF(I6030-Assumptions!$E$35&lt;1,0,INDEX($C$6055:$N$6055,1,I6030-Assumptions!$E$35)*INDEX($C$6060:$N$6060,1,I6030-Assumptions!$E$35)*Assumptions!$E$32)</f>
        <v>1.35487856174628</v>
      </c>
      <c r="J6063" s="48" t="n">
        <f aca="false">IF(J6030-Assumptions!$E$35&lt;1,0,INDEX($C$6055:$N$6055,1,J6030-Assumptions!$E$35)*INDEX($C$6060:$N$6060,1,J6030-Assumptions!$E$35)*Assumptions!$E$32)</f>
        <v>1.88601088123353</v>
      </c>
      <c r="K6063" s="48" t="n">
        <f aca="false">IF(K6030-Assumptions!$E$35&lt;1,0,INDEX($C$6055:$N$6055,1,K6030-Assumptions!$E$35)*INDEX($C$6060:$N$6060,1,K6030-Assumptions!$E$35)*Assumptions!$E$32)</f>
        <v>2.37581157552964</v>
      </c>
      <c r="L6063" s="48" t="n">
        <f aca="false">IF(L6030-Assumptions!$E$35&lt;1,0,INDEX($C$6055:$N$6055,1,L6030-Assumptions!$E$35)*INDEX($C$6060:$N$6060,1,L6030-Assumptions!$E$35)*Assumptions!$E$32)</f>
        <v>2.3926929822134</v>
      </c>
      <c r="M6063" s="48" t="n">
        <f aca="false">IF(M6030-Assumptions!$E$35&lt;1,0,INDEX($C$6055:$N$6055,1,M6030-Assumptions!$E$35)*INDEX($C$6060:$N$6060,1,M6030-Assumptions!$E$35)*Assumptions!$E$32)</f>
        <v>2.32184716628391</v>
      </c>
      <c r="N6063" s="48" t="n">
        <f aca="false">IF(N6030-Assumptions!$E$35&lt;1,0,INDEX($C$6055:$N$6055,1,N6030-Assumptions!$E$35)*INDEX($C$6060:$N$6060,1,N6030-Assumptions!$E$35)*Assumptions!$E$32)</f>
        <v>2.25591770573287</v>
      </c>
      <c r="P6063" s="49" t="n">
        <f aca="false">SUM(C6063:F6063)</f>
        <v>1.99914036478997</v>
      </c>
      <c r="Q6063" s="49" t="n">
        <f aca="false">SUM(G6063:J6063)</f>
        <v>5.27506636414072</v>
      </c>
      <c r="R6063" s="49" t="n">
        <f aca="false">SUM(K6063:N6063)</f>
        <v>9.34626942975982</v>
      </c>
      <c r="S6063" s="50" t="n">
        <f aca="false">SUM(P6063:R6063)</f>
        <v>16.6204761586905</v>
      </c>
    </row>
    <row r="6064" customFormat="false" ht="15" hidden="false" customHeight="false" outlineLevel="0" collapsed="false">
      <c r="A6064" s="4" t="s">
        <v>518</v>
      </c>
      <c r="B6064" s="36" t="s">
        <v>516</v>
      </c>
      <c r="C6064" s="48" t="n">
        <f aca="false">IF(C6030-Assumptions!$E$36&lt;1,0,INDEX($C$6055:$N$6055,1,C6030-Assumptions!$E$36)*INDEX($C$6061:$N$6061,1,C6030-Assumptions!$E$36)*Assumptions!$E$32)</f>
        <v>0</v>
      </c>
      <c r="D6064" s="48" t="n">
        <f aca="false">IF(D6030-Assumptions!$E$36&lt;1,0,INDEX($C$6055:$N$6055,1,D6030-Assumptions!$E$36)*INDEX($C$6061:$N$6061,1,D6030-Assumptions!$E$36)*Assumptions!$E$32)</f>
        <v>0</v>
      </c>
      <c r="E6064" s="48" t="n">
        <f aca="false">IF(E6030-Assumptions!$E$36&lt;1,0,INDEX($C$6055:$N$6055,1,E6030-Assumptions!$E$36)*INDEX($C$6061:$N$6061,1,E6030-Assumptions!$E$36)*Assumptions!$E$32)</f>
        <v>0.071275680959914</v>
      </c>
      <c r="F6064" s="48" t="n">
        <f aca="false">IF(F6030-Assumptions!$E$36&lt;1,0,INDEX($C$6055:$N$6055,1,F6030-Assumptions!$E$36)*INDEX($C$6061:$N$6061,1,F6030-Assumptions!$E$36)*Assumptions!$E$32)</f>
        <v>0.122172096898336</v>
      </c>
      <c r="G6064" s="48" t="n">
        <f aca="false">IF(G6030-Assumptions!$E$36&lt;1,0,INDEX($C$6055:$N$6055,1,G6030-Assumptions!$E$36)*INDEX($C$6061:$N$6061,1,G6030-Assumptions!$E$36)*Assumptions!$E$32)</f>
        <v>0.134806133891215</v>
      </c>
      <c r="H6064" s="48" t="n">
        <f aca="false">IF(H6030-Assumptions!$E$36&lt;1,0,INDEX($C$6055:$N$6055,1,H6030-Assumptions!$E$36)*INDEX($C$6061:$N$6061,1,H6030-Assumptions!$E$36)*Assumptions!$E$32)</f>
        <v>0.147699251661313</v>
      </c>
      <c r="I6064" s="48" t="n">
        <f aca="false">IF(I6030-Assumptions!$E$36&lt;1,0,INDEX($C$6055:$N$6055,1,I6030-Assumptions!$E$36)*INDEX($C$6061:$N$6061,1,I6030-Assumptions!$E$36)*Assumptions!$E$32)</f>
        <v>0.174259973058587</v>
      </c>
      <c r="J6064" s="48" t="n">
        <f aca="false">IF(J6030-Assumptions!$E$36&lt;1,0,INDEX($C$6055:$N$6055,1,J6030-Assumptions!$E$36)*INDEX($C$6061:$N$6061,1,J6030-Assumptions!$E$36)*Assumptions!$E$32)</f>
        <v>0.19948212034567</v>
      </c>
      <c r="K6064" s="48" t="n">
        <f aca="false">IF(K6030-Assumptions!$E$36&lt;1,0,INDEX($C$6055:$N$6055,1,K6030-Assumptions!$E$36)*INDEX($C$6061:$N$6061,1,K6030-Assumptions!$E$36)*Assumptions!$E$32)</f>
        <v>0.265355665717199</v>
      </c>
      <c r="L6064" s="48" t="n">
        <f aca="false">IF(L6030-Assumptions!$E$36&lt;1,0,INDEX($C$6055:$N$6055,1,L6030-Assumptions!$E$36)*INDEX($C$6061:$N$6061,1,L6030-Assumptions!$E$36)*Assumptions!$E$32)</f>
        <v>0.327251866823927</v>
      </c>
      <c r="M6064" s="48" t="n">
        <f aca="false">IF(M6030-Assumptions!$E$36&lt;1,0,INDEX($C$6055:$N$6055,1,M6030-Assumptions!$E$36)*INDEX($C$6061:$N$6061,1,M6030-Assumptions!$E$36)*Assumptions!$E$32)</f>
        <v>0.329577165643402</v>
      </c>
      <c r="N6064" s="48" t="n">
        <f aca="false">IF(N6030-Assumptions!$E$36&lt;1,0,INDEX($C$6055:$N$6055,1,N6030-Assumptions!$E$36)*INDEX($C$6061:$N$6061,1,N6030-Assumptions!$E$36)*Assumptions!$E$32)</f>
        <v>0.319818636912259</v>
      </c>
      <c r="P6064" s="49" t="n">
        <f aca="false">SUM(C6064:F6064)</f>
        <v>0.19344777785825</v>
      </c>
      <c r="Q6064" s="49" t="n">
        <f aca="false">SUM(G6064:J6064)</f>
        <v>0.656247478956785</v>
      </c>
      <c r="R6064" s="49" t="n">
        <f aca="false">SUM(K6064:N6064)</f>
        <v>1.24200333509679</v>
      </c>
      <c r="S6064" s="50" t="n">
        <f aca="false">SUM(P6064:R6064)</f>
        <v>2.09169859191182</v>
      </c>
    </row>
    <row r="6065" customFormat="false" ht="15" hidden="false" customHeight="false" outlineLevel="0" collapsed="false">
      <c r="A6065" s="4" t="s">
        <v>519</v>
      </c>
      <c r="B6065" s="36" t="s">
        <v>77</v>
      </c>
      <c r="C6065" s="51" t="n">
        <f aca="false">IF(C6030-Assumptions!$E$35&lt;1,0,IFERROR(INDEX($C$6054:$N$6054,1,C6030-Assumptions!$E$35)/INDEX($C$6055:$N$6055,1,C6030-Assumptions!$E$35),0))</f>
        <v>0</v>
      </c>
      <c r="D6065" s="51" t="n">
        <f aca="false">IF(D6030-Assumptions!$E$35&lt;1,0,IFERROR(INDEX($C$6054:$N$6054,1,D6030-Assumptions!$E$35)/INDEX($C$6055:$N$6055,1,D6030-Assumptions!$E$35),0))</f>
        <v>0.459271678087073</v>
      </c>
      <c r="E6065" s="51" t="n">
        <f aca="false">IF(E6030-Assumptions!$E$35&lt;1,0,IFERROR(INDEX($C$6054:$N$6054,1,E6030-Assumptions!$E$35)/INDEX($C$6055:$N$6055,1,E6030-Assumptions!$E$35),0))</f>
        <v>0.401911350042128</v>
      </c>
      <c r="F6065" s="51" t="n">
        <f aca="false">IF(F6030-Assumptions!$E$35&lt;1,0,IFERROR(INDEX($C$6054:$N$6054,1,F6030-Assumptions!$E$35)/INDEX($C$6055:$N$6055,1,F6030-Assumptions!$E$35),0))</f>
        <v>0.485658933408398</v>
      </c>
      <c r="G6065" s="51" t="n">
        <f aca="false">IF(G6030-Assumptions!$E$35&lt;1,0,IFERROR(INDEX($C$6054:$N$6054,1,G6030-Assumptions!$E$35)/INDEX($C$6055:$N$6055,1,G6030-Assumptions!$E$35),0))</f>
        <v>0.554080356417826</v>
      </c>
      <c r="H6065" s="51" t="n">
        <f aca="false">IF(H6030-Assumptions!$E$35&lt;1,0,IFERROR(INDEX($C$6054:$N$6054,1,H6030-Assumptions!$E$35)/INDEX($C$6055:$N$6055,1,H6030-Assumptions!$E$35),0))</f>
        <v>0.522227563825987</v>
      </c>
      <c r="I6065" s="51" t="n">
        <f aca="false">IF(I6030-Assumptions!$E$35&lt;1,0,IFERROR(INDEX($C$6054:$N$6054,1,I6030-Assumptions!$E$35)/INDEX($C$6055:$N$6055,1,I6030-Assumptions!$E$35),0))</f>
        <v>0.507424816282752</v>
      </c>
      <c r="J6065" s="51" t="n">
        <f aca="false">IF(J6030-Assumptions!$E$35&lt;1,0,IFERROR(INDEX($C$6054:$N$6054,1,J6030-Assumptions!$E$35)/INDEX($C$6055:$N$6055,1,J6030-Assumptions!$E$35),0))</f>
        <v>0.401142323795015</v>
      </c>
      <c r="K6065" s="51" t="n">
        <f aca="false">IF(K6030-Assumptions!$E$35&lt;1,0,IFERROR(INDEX($C$6054:$N$6054,1,K6030-Assumptions!$E$35)/INDEX($C$6055:$N$6055,1,K6030-Assumptions!$E$35),0))</f>
        <v>0.352339268448632</v>
      </c>
      <c r="L6065" s="51" t="n">
        <f aca="false">IF(L6030-Assumptions!$E$35&lt;1,0,IFERROR(INDEX($C$6054:$N$6054,1,L6030-Assumptions!$E$35)/INDEX($C$6055:$N$6055,1,L6030-Assumptions!$E$35),0))</f>
        <v>0.388725970981282</v>
      </c>
      <c r="M6065" s="51" t="n">
        <f aca="false">IF(M6030-Assumptions!$E$35&lt;1,0,IFERROR(INDEX($C$6054:$N$6054,1,M6030-Assumptions!$E$35)/INDEX($C$6055:$N$6055,1,M6030-Assumptions!$E$35),0))</f>
        <v>0.400587048224893</v>
      </c>
      <c r="N6065" s="51" t="n">
        <f aca="false">IF(N6030-Assumptions!$E$35&lt;1,0,IFERROR(INDEX($C$6054:$N$6054,1,N6030-Assumptions!$E$35)/INDEX($C$6055:$N$6055,1,N6030-Assumptions!$E$35),0))</f>
        <v>0.412294251872474</v>
      </c>
      <c r="P6065" s="52"/>
      <c r="Q6065" s="52"/>
      <c r="R6065" s="52"/>
      <c r="S6065" s="53"/>
    </row>
    <row r="6066" customFormat="false" ht="15" hidden="false" customHeight="false" outlineLevel="0" collapsed="false">
      <c r="A6066" s="4" t="s">
        <v>520</v>
      </c>
      <c r="B6066" s="36" t="s">
        <v>516</v>
      </c>
      <c r="C6066" s="48" t="n">
        <f aca="false">C6062*Assumptions!$E$37</f>
        <v>0</v>
      </c>
      <c r="D6066" s="48" t="n">
        <f aca="false">D6062*Assumptions!$E$37</f>
        <v>0.259912933555146</v>
      </c>
      <c r="E6066" s="48" t="n">
        <f aca="false">E6062*Assumptions!$E$37</f>
        <v>0.44551111509252</v>
      </c>
      <c r="F6066" s="48" t="n">
        <f aca="false">F6062*Assumptions!$E$37</f>
        <v>0.491582223403786</v>
      </c>
      <c r="G6066" s="48" t="n">
        <f aca="false">G6062*Assumptions!$E$37</f>
        <v>0.538598092170902</v>
      </c>
      <c r="H6066" s="48" t="n">
        <f aca="false">H6062*Assumptions!$E$37</f>
        <v>0.693059034518982</v>
      </c>
      <c r="I6066" s="48" t="n">
        <f aca="false">I6062*Assumptions!$E$37</f>
        <v>0.837333199523593</v>
      </c>
      <c r="J6066" s="48" t="n">
        <f aca="false">J6062*Assumptions!$E$37</f>
        <v>1.23920792626314</v>
      </c>
      <c r="K6066" s="48" t="n">
        <f aca="false">K6062*Assumptions!$E$37</f>
        <v>1.60294759006577</v>
      </c>
      <c r="L6066" s="48" t="n">
        <f aca="false">L6062*Assumptions!$E$37</f>
        <v>1.61433738647866</v>
      </c>
      <c r="M6066" s="48" t="n">
        <f aca="false">M6062*Assumptions!$E$37</f>
        <v>1.56653808661831</v>
      </c>
      <c r="N6066" s="48" t="n">
        <f aca="false">N6062*Assumptions!$E$37</f>
        <v>1.5220558259066</v>
      </c>
      <c r="P6066" s="49" t="n">
        <f aca="false">SUM(C6066:F6066)</f>
        <v>1.19700627205145</v>
      </c>
      <c r="Q6066" s="49" t="n">
        <f aca="false">SUM(G6066:J6066)</f>
        <v>3.30819825247662</v>
      </c>
      <c r="R6066" s="49" t="n">
        <f aca="false">SUM(K6066:N6066)</f>
        <v>6.30587888906934</v>
      </c>
      <c r="S6066" s="50" t="n">
        <f aca="false">SUM(P6066:R6066)</f>
        <v>10.8110834135974</v>
      </c>
    </row>
    <row r="6067" customFormat="false" ht="15" hidden="false" customHeight="false" outlineLevel="0" collapsed="false">
      <c r="A6067" s="4" t="s">
        <v>521</v>
      </c>
      <c r="B6067" s="36" t="s">
        <v>516</v>
      </c>
      <c r="C6067" s="48" t="n">
        <f aca="false">C6062*(1-Assumptions!$E$37)</f>
        <v>0</v>
      </c>
      <c r="D6067" s="48" t="n">
        <f aca="false">D6062*(1-Assumptions!$E$37)</f>
        <v>0.606463511628675</v>
      </c>
      <c r="E6067" s="48" t="n">
        <f aca="false">E6062*(1-Assumptions!$E$37)</f>
        <v>1.03952593521588</v>
      </c>
      <c r="F6067" s="48" t="n">
        <f aca="false">F6062*(1-Assumptions!$E$37)</f>
        <v>1.14702518794217</v>
      </c>
      <c r="G6067" s="48" t="n">
        <f aca="false">G6062*(1-Assumptions!$E$37)</f>
        <v>1.25672888173211</v>
      </c>
      <c r="H6067" s="48" t="n">
        <f aca="false">H6062*(1-Assumptions!$E$37)</f>
        <v>1.61713774721096</v>
      </c>
      <c r="I6067" s="48" t="n">
        <f aca="false">I6062*(1-Assumptions!$E$37)</f>
        <v>1.95377746555505</v>
      </c>
      <c r="J6067" s="48" t="n">
        <f aca="false">J6062*(1-Assumptions!$E$37)</f>
        <v>2.89148516128066</v>
      </c>
      <c r="K6067" s="48" t="n">
        <f aca="false">K6062*(1-Assumptions!$E$37)</f>
        <v>3.7402110434868</v>
      </c>
      <c r="L6067" s="48" t="n">
        <f aca="false">L6062*(1-Assumptions!$E$37)</f>
        <v>3.76678723511687</v>
      </c>
      <c r="M6067" s="48" t="n">
        <f aca="false">M6062*(1-Assumptions!$E$37)</f>
        <v>3.65525553544273</v>
      </c>
      <c r="N6067" s="48" t="n">
        <f aca="false">N6062*(1-Assumptions!$E$37)</f>
        <v>3.55146359378206</v>
      </c>
      <c r="P6067" s="49" t="n">
        <f aca="false">SUM(C6067:F6067)</f>
        <v>2.79301463478672</v>
      </c>
      <c r="Q6067" s="49" t="n">
        <f aca="false">SUM(G6067:J6067)</f>
        <v>7.71912925577877</v>
      </c>
      <c r="R6067" s="49" t="n">
        <f aca="false">SUM(K6067:N6067)</f>
        <v>14.7137174078285</v>
      </c>
      <c r="S6067" s="50" t="n">
        <f aca="false">SUM(P6067:R6067)</f>
        <v>25.225861298394</v>
      </c>
    </row>
    <row r="6068" customFormat="false" ht="15" hidden="false" customHeight="false" outlineLevel="0" collapsed="false">
      <c r="A6068" s="4" t="s">
        <v>522</v>
      </c>
      <c r="B6068" s="36" t="s">
        <v>125</v>
      </c>
      <c r="C6068" s="54" t="n">
        <f aca="false">C6067*$C$6021+C6063*$C$6022+C6064*$C$6023</f>
        <v>0</v>
      </c>
      <c r="D6068" s="54" t="n">
        <f aca="false">D6067*$C$6021+D6063*$C$6022+D6064*$C$6023</f>
        <v>7485.37917000042</v>
      </c>
      <c r="E6068" s="54" t="n">
        <f aca="false">E6067*$C$6021+E6063*$C$6022+E6064*$C$6023</f>
        <v>17233.8131620616</v>
      </c>
      <c r="F6068" s="54" t="n">
        <f aca="false">F6067*$C$6021+F6063*$C$6022+F6064*$C$6023</f>
        <v>21704.9328199195</v>
      </c>
      <c r="G6068" s="54" t="n">
        <f aca="false">G6067*$C$6021+G6063*$C$6022+G6064*$C$6023</f>
        <v>23839.4781169478</v>
      </c>
      <c r="H6068" s="54" t="n">
        <f aca="false">H6067*$C$6021+H6063*$C$6022+H6064*$C$6023</f>
        <v>28861.3828545359</v>
      </c>
      <c r="I6068" s="54" t="n">
        <f aca="false">I6067*$C$6021+I6063*$C$6022+I6064*$C$6023</f>
        <v>34454.8139810786</v>
      </c>
      <c r="J6068" s="54" t="n">
        <f aca="false">J6067*$C$6021+J6063*$C$6022+J6064*$C$6023</f>
        <v>46219.0265618748</v>
      </c>
      <c r="K6068" s="54" t="n">
        <f aca="false">K6067*$C$6021+K6063*$C$6022+K6064*$C$6023</f>
        <v>59614.7065475457</v>
      </c>
      <c r="L6068" s="54" t="n">
        <f aca="false">L6067*$C$6021+L6063*$C$6022+L6064*$C$6023</f>
        <v>63745.6576705911</v>
      </c>
      <c r="M6068" s="54" t="n">
        <f aca="false">M6067*$C$6021+M6063*$C$6022+M6064*$C$6023</f>
        <v>62600.461663715</v>
      </c>
      <c r="N6068" s="54" t="n">
        <f aca="false">N6067*$C$6021+N6063*$C$6022+N6064*$C$6023</f>
        <v>60798.1877142281</v>
      </c>
      <c r="P6068" s="55" t="n">
        <f aca="false">SUM(C6068:F6068)</f>
        <v>46424.1251519815</v>
      </c>
      <c r="Q6068" s="55" t="n">
        <f aca="false">SUM(G6068:J6068)</f>
        <v>133374.701514437</v>
      </c>
      <c r="R6068" s="55" t="n">
        <f aca="false">SUM(K6068:N6068)</f>
        <v>246759.01359608</v>
      </c>
      <c r="S6068" s="56" t="n">
        <f aca="false">SUM(P6068:R6068)</f>
        <v>426557.840262498</v>
      </c>
    </row>
    <row r="6069" customFormat="false" ht="15" hidden="false" customHeight="false" outlineLevel="0" collapsed="false">
      <c r="A6069" s="4" t="s">
        <v>523</v>
      </c>
      <c r="B6069" s="36" t="s">
        <v>125</v>
      </c>
      <c r="C6069" s="54" t="n">
        <f aca="false">(C6045+Assumptions!$D$104*C6031)*$C$6026</f>
        <v>306250</v>
      </c>
      <c r="D6069" s="54" t="n">
        <f aca="false">(D6045+Assumptions!$D$104*D6031)*$C$6026</f>
        <v>306250</v>
      </c>
      <c r="E6069" s="54" t="n">
        <f aca="false">(E6045+Assumptions!$D$104*E6031)*$C$6026</f>
        <v>306250</v>
      </c>
      <c r="F6069" s="54" t="n">
        <f aca="false">(F6045+Assumptions!$D$104*F6031)*$C$6026</f>
        <v>306250</v>
      </c>
      <c r="G6069" s="54" t="n">
        <f aca="false">(G6045+Assumptions!$D$104*G6031)*$C$6026</f>
        <v>306250</v>
      </c>
      <c r="H6069" s="54" t="n">
        <f aca="false">(H6045+Assumptions!$D$104*H6031)*$C$6026</f>
        <v>306250</v>
      </c>
      <c r="I6069" s="54" t="n">
        <f aca="false">(I6045+Assumptions!$D$104*I6031)*$C$6026</f>
        <v>306250</v>
      </c>
      <c r="J6069" s="54" t="n">
        <f aca="false">(J6045+Assumptions!$D$104*J6031)*$C$6026</f>
        <v>306250</v>
      </c>
      <c r="K6069" s="54" t="n">
        <f aca="false">(K6045+Assumptions!$D$104*K6031)*$C$6026</f>
        <v>306250</v>
      </c>
      <c r="L6069" s="54" t="n">
        <f aca="false">(L6045+Assumptions!$D$104*L6031)*$C$6026</f>
        <v>306250</v>
      </c>
      <c r="M6069" s="54" t="n">
        <f aca="false">(M6045+Assumptions!$D$104*M6031)*$C$6026</f>
        <v>306250</v>
      </c>
      <c r="N6069" s="54" t="n">
        <f aca="false">(N6045+Assumptions!$D$104*N6031)*$C$6026</f>
        <v>306250</v>
      </c>
      <c r="P6069" s="55" t="n">
        <f aca="false">SUM(C6069:F6069)</f>
        <v>1225000</v>
      </c>
      <c r="Q6069" s="55" t="n">
        <f aca="false">SUM(G6069:J6069)</f>
        <v>1225000</v>
      </c>
      <c r="R6069" s="55" t="n">
        <f aca="false">SUM(K6069:N6069)</f>
        <v>1225000</v>
      </c>
      <c r="S6069" s="56" t="n">
        <f aca="false">SUM(P6069:R6069)</f>
        <v>3675000</v>
      </c>
    </row>
    <row r="6070" customFormat="false" ht="15" hidden="false" customHeight="false" outlineLevel="0" collapsed="false">
      <c r="A6070" s="4" t="s">
        <v>524</v>
      </c>
      <c r="B6070" s="36" t="s">
        <v>77</v>
      </c>
      <c r="C6070" s="51" t="n">
        <f aca="false">IF(C6068&gt;0,MIN(1,C6069/C6068),1)</f>
        <v>1</v>
      </c>
      <c r="D6070" s="51" t="n">
        <f aca="false">IF(D6068&gt;0,MIN(1,D6069/D6068),1)</f>
        <v>1</v>
      </c>
      <c r="E6070" s="51" t="n">
        <f aca="false">IF(E6068&gt;0,MIN(1,E6069/E6068),1)</f>
        <v>1</v>
      </c>
      <c r="F6070" s="51" t="n">
        <f aca="false">IF(F6068&gt;0,MIN(1,F6069/F6068),1)</f>
        <v>1</v>
      </c>
      <c r="G6070" s="51" t="n">
        <f aca="false">IF(G6068&gt;0,MIN(1,G6069/G6068),1)</f>
        <v>1</v>
      </c>
      <c r="H6070" s="51" t="n">
        <f aca="false">IF(H6068&gt;0,MIN(1,H6069/H6068),1)</f>
        <v>1</v>
      </c>
      <c r="I6070" s="51" t="n">
        <f aca="false">IF(I6068&gt;0,MIN(1,I6069/I6068),1)</f>
        <v>1</v>
      </c>
      <c r="J6070" s="51" t="n">
        <f aca="false">IF(J6068&gt;0,MIN(1,J6069/J6068),1)</f>
        <v>1</v>
      </c>
      <c r="K6070" s="51" t="n">
        <f aca="false">IF(K6068&gt;0,MIN(1,K6069/K6068),1)</f>
        <v>1</v>
      </c>
      <c r="L6070" s="51" t="n">
        <f aca="false">IF(L6068&gt;0,MIN(1,L6069/L6068),1)</f>
        <v>1</v>
      </c>
      <c r="M6070" s="51" t="n">
        <f aca="false">IF(M6068&gt;0,MIN(1,M6069/M6068),1)</f>
        <v>1</v>
      </c>
      <c r="N6070" s="51" t="n">
        <f aca="false">IF(N6068&gt;0,MIN(1,N6069/N6068),1)</f>
        <v>1</v>
      </c>
      <c r="P6070" s="52"/>
      <c r="Q6070" s="52"/>
      <c r="R6070" s="52"/>
      <c r="S6070" s="53"/>
    </row>
    <row r="6071" customFormat="false" ht="15" hidden="false" customHeight="false" outlineLevel="0" collapsed="false">
      <c r="A6071" s="4" t="s">
        <v>525</v>
      </c>
      <c r="B6071" s="36" t="s">
        <v>125</v>
      </c>
      <c r="C6071" s="54" t="n">
        <f aca="false">C6068*(1-C6070)</f>
        <v>0</v>
      </c>
      <c r="D6071" s="54" t="n">
        <f aca="false">D6068*(1-D6070)</f>
        <v>0</v>
      </c>
      <c r="E6071" s="54" t="n">
        <f aca="false">E6068*(1-E6070)</f>
        <v>0</v>
      </c>
      <c r="F6071" s="54" t="n">
        <f aca="false">F6068*(1-F6070)</f>
        <v>0</v>
      </c>
      <c r="G6071" s="54" t="n">
        <f aca="false">G6068*(1-G6070)</f>
        <v>0</v>
      </c>
      <c r="H6071" s="54" t="n">
        <f aca="false">H6068*(1-H6070)</f>
        <v>0</v>
      </c>
      <c r="I6071" s="54" t="n">
        <f aca="false">I6068*(1-I6070)</f>
        <v>0</v>
      </c>
      <c r="J6071" s="54" t="n">
        <f aca="false">J6068*(1-J6070)</f>
        <v>0</v>
      </c>
      <c r="K6071" s="54" t="n">
        <f aca="false">K6068*(1-K6070)</f>
        <v>0</v>
      </c>
      <c r="L6071" s="54" t="n">
        <f aca="false">L6068*(1-L6070)</f>
        <v>0</v>
      </c>
      <c r="M6071" s="54" t="n">
        <f aca="false">M6068*(1-M6070)</f>
        <v>0</v>
      </c>
      <c r="N6071" s="54" t="n">
        <f aca="false">N6068*(1-N6070)</f>
        <v>0</v>
      </c>
      <c r="P6071" s="55" t="n">
        <f aca="false">SUM(C6071:F6071)</f>
        <v>0</v>
      </c>
      <c r="Q6071" s="55" t="n">
        <f aca="false">SUM(G6071:J6071)</f>
        <v>0</v>
      </c>
      <c r="R6071" s="55" t="n">
        <f aca="false">SUM(K6071:N6071)</f>
        <v>0</v>
      </c>
      <c r="S6071" s="56" t="n">
        <f aca="false">SUM(P6071:R6071)</f>
        <v>0</v>
      </c>
    </row>
    <row r="6072" customFormat="false" ht="15" hidden="false" customHeight="false" outlineLevel="0" collapsed="false">
      <c r="A6072" s="4" t="s">
        <v>526</v>
      </c>
      <c r="B6072" s="36" t="s">
        <v>527</v>
      </c>
      <c r="C6072" s="48" t="n">
        <f aca="false">C6066+C6067*C6070</f>
        <v>0</v>
      </c>
      <c r="D6072" s="48" t="n">
        <f aca="false">D6066+D6067*D6070</f>
        <v>0.866376445183821</v>
      </c>
      <c r="E6072" s="48" t="n">
        <f aca="false">E6066+E6067*E6070</f>
        <v>1.4850370503084</v>
      </c>
      <c r="F6072" s="48" t="n">
        <f aca="false">F6066+F6067*F6070</f>
        <v>1.63860741134595</v>
      </c>
      <c r="G6072" s="48" t="n">
        <f aca="false">G6066+G6067*G6070</f>
        <v>1.79532697390301</v>
      </c>
      <c r="H6072" s="48" t="n">
        <f aca="false">H6066+H6067*H6070</f>
        <v>2.31019678172994</v>
      </c>
      <c r="I6072" s="48" t="n">
        <f aca="false">I6066+I6067*I6070</f>
        <v>2.79111066507864</v>
      </c>
      <c r="J6072" s="48" t="n">
        <f aca="false">J6066+J6067*J6070</f>
        <v>4.1306930875438</v>
      </c>
      <c r="K6072" s="48" t="n">
        <f aca="false">K6066+K6067*K6070</f>
        <v>5.34315863355258</v>
      </c>
      <c r="L6072" s="48" t="n">
        <f aca="false">L6066+L6067*L6070</f>
        <v>5.38112462159553</v>
      </c>
      <c r="M6072" s="48" t="n">
        <f aca="false">M6066+M6067*M6070</f>
        <v>5.22179362206104</v>
      </c>
      <c r="N6072" s="48" t="n">
        <f aca="false">N6066+N6067*N6070</f>
        <v>5.07351941968866</v>
      </c>
      <c r="P6072" s="49" t="n">
        <f aca="false">SUM(C6072:F6072)</f>
        <v>3.99002090683817</v>
      </c>
      <c r="Q6072" s="49" t="n">
        <f aca="false">SUM(G6072:J6072)</f>
        <v>11.0273275082554</v>
      </c>
      <c r="R6072" s="49" t="n">
        <f aca="false">SUM(K6072:N6072)</f>
        <v>21.0195962968978</v>
      </c>
      <c r="S6072" s="50" t="n">
        <f aca="false">SUM(P6072:R6072)</f>
        <v>36.0369447119914</v>
      </c>
    </row>
    <row r="6073" customFormat="false" ht="15" hidden="false" customHeight="false" outlineLevel="0" collapsed="false">
      <c r="A6073" s="4" t="s">
        <v>528</v>
      </c>
      <c r="B6073" s="36" t="s">
        <v>527</v>
      </c>
      <c r="C6073" s="48" t="n">
        <f aca="false">C6063*C6070</f>
        <v>0</v>
      </c>
      <c r="D6073" s="48" t="n">
        <f aca="false">D6063*D6070</f>
        <v>0.434084974267145</v>
      </c>
      <c r="E6073" s="48" t="n">
        <f aca="false">E6063*E6070</f>
        <v>0.744055627726705</v>
      </c>
      <c r="F6073" s="48" t="n">
        <f aca="false">F6063*F6070</f>
        <v>0.820999762796119</v>
      </c>
      <c r="G6073" s="48" t="n">
        <f aca="false">G6063*G6070</f>
        <v>0.89952175823807</v>
      </c>
      <c r="H6073" s="48" t="n">
        <f aca="false">H6063*H6070</f>
        <v>1.13465516292283</v>
      </c>
      <c r="I6073" s="48" t="n">
        <f aca="false">I6063*I6070</f>
        <v>1.35487856174628</v>
      </c>
      <c r="J6073" s="48" t="n">
        <f aca="false">J6063*J6070</f>
        <v>1.88601088123353</v>
      </c>
      <c r="K6073" s="48" t="n">
        <f aca="false">K6063*K6070</f>
        <v>2.37581157552964</v>
      </c>
      <c r="L6073" s="48" t="n">
        <f aca="false">L6063*L6070</f>
        <v>2.3926929822134</v>
      </c>
      <c r="M6073" s="48" t="n">
        <f aca="false">M6063*M6070</f>
        <v>2.32184716628391</v>
      </c>
      <c r="N6073" s="48" t="n">
        <f aca="false">N6063*N6070</f>
        <v>2.25591770573287</v>
      </c>
      <c r="P6073" s="49" t="n">
        <f aca="false">SUM(C6073:F6073)</f>
        <v>1.99914036478997</v>
      </c>
      <c r="Q6073" s="49" t="n">
        <f aca="false">SUM(G6073:J6073)</f>
        <v>5.27506636414072</v>
      </c>
      <c r="R6073" s="49" t="n">
        <f aca="false">SUM(K6073:N6073)</f>
        <v>9.34626942975982</v>
      </c>
      <c r="S6073" s="50" t="n">
        <f aca="false">SUM(P6073:R6073)</f>
        <v>16.6204761586905</v>
      </c>
    </row>
    <row r="6074" customFormat="false" ht="15" hidden="false" customHeight="false" outlineLevel="0" collapsed="false">
      <c r="A6074" s="4" t="s">
        <v>529</v>
      </c>
      <c r="B6074" s="36" t="s">
        <v>527</v>
      </c>
      <c r="C6074" s="48" t="n">
        <f aca="false">C6064*C6070</f>
        <v>0</v>
      </c>
      <c r="D6074" s="48" t="n">
        <f aca="false">D6064*D6070</f>
        <v>0</v>
      </c>
      <c r="E6074" s="48" t="n">
        <f aca="false">E6064*E6070</f>
        <v>0.071275680959914</v>
      </c>
      <c r="F6074" s="48" t="n">
        <f aca="false">F6064*F6070</f>
        <v>0.122172096898336</v>
      </c>
      <c r="G6074" s="48" t="n">
        <f aca="false">G6064*G6070</f>
        <v>0.134806133891215</v>
      </c>
      <c r="H6074" s="48" t="n">
        <f aca="false">H6064*H6070</f>
        <v>0.147699251661313</v>
      </c>
      <c r="I6074" s="48" t="n">
        <f aca="false">I6064*I6070</f>
        <v>0.174259973058587</v>
      </c>
      <c r="J6074" s="48" t="n">
        <f aca="false">J6064*J6070</f>
        <v>0.19948212034567</v>
      </c>
      <c r="K6074" s="48" t="n">
        <f aca="false">K6064*K6070</f>
        <v>0.265355665717199</v>
      </c>
      <c r="L6074" s="48" t="n">
        <f aca="false">L6064*L6070</f>
        <v>0.327251866823927</v>
      </c>
      <c r="M6074" s="48" t="n">
        <f aca="false">M6064*M6070</f>
        <v>0.329577165643402</v>
      </c>
      <c r="N6074" s="48" t="n">
        <f aca="false">N6064*N6070</f>
        <v>0.319818636912259</v>
      </c>
      <c r="P6074" s="49" t="n">
        <f aca="false">SUM(C6074:F6074)</f>
        <v>0.19344777785825</v>
      </c>
      <c r="Q6074" s="49" t="n">
        <f aca="false">SUM(G6074:J6074)</f>
        <v>0.656247478956785</v>
      </c>
      <c r="R6074" s="49" t="n">
        <f aca="false">SUM(K6074:N6074)</f>
        <v>1.24200333509679</v>
      </c>
      <c r="S6074" s="50" t="n">
        <f aca="false">SUM(P6074:R6074)</f>
        <v>2.09169859191182</v>
      </c>
    </row>
    <row r="6075" customFormat="false" ht="15" hidden="false" customHeight="false" outlineLevel="0" collapsed="false">
      <c r="A6075" s="9" t="s">
        <v>530</v>
      </c>
      <c r="B6075" s="36" t="s">
        <v>527</v>
      </c>
      <c r="C6075" s="49" t="n">
        <f aca="false">C6072+C6073+C6074</f>
        <v>0</v>
      </c>
      <c r="D6075" s="49" t="n">
        <f aca="false">D6072+D6073+D6074</f>
        <v>1.30046141945097</v>
      </c>
      <c r="E6075" s="49" t="n">
        <f aca="false">E6072+E6073+E6074</f>
        <v>2.30036835899502</v>
      </c>
      <c r="F6075" s="49" t="n">
        <f aca="false">F6072+F6073+F6074</f>
        <v>2.58177927104041</v>
      </c>
      <c r="G6075" s="49" t="n">
        <f aca="false">G6072+G6073+G6074</f>
        <v>2.82965486603229</v>
      </c>
      <c r="H6075" s="49" t="n">
        <f aca="false">H6072+H6073+H6074</f>
        <v>3.59255119631409</v>
      </c>
      <c r="I6075" s="49" t="n">
        <f aca="false">I6072+I6073+I6074</f>
        <v>4.32024919988351</v>
      </c>
      <c r="J6075" s="49" t="n">
        <f aca="false">J6072+J6073+J6074</f>
        <v>6.216186089123</v>
      </c>
      <c r="K6075" s="49" t="n">
        <f aca="false">K6072+K6073+K6074</f>
        <v>7.98432587479941</v>
      </c>
      <c r="L6075" s="49" t="n">
        <f aca="false">L6072+L6073+L6074</f>
        <v>8.10106947063285</v>
      </c>
      <c r="M6075" s="49" t="n">
        <f aca="false">M6072+M6073+M6074</f>
        <v>7.87321795398836</v>
      </c>
      <c r="N6075" s="49" t="n">
        <f aca="false">N6072+N6073+N6074</f>
        <v>7.64925576233379</v>
      </c>
      <c r="P6075" s="49" t="n">
        <f aca="false">SUM(C6075:F6075)</f>
        <v>6.18260904948639</v>
      </c>
      <c r="Q6075" s="49" t="n">
        <f aca="false">SUM(G6075:J6075)</f>
        <v>16.9586413513529</v>
      </c>
      <c r="R6075" s="49" t="n">
        <f aca="false">SUM(K6075:N6075)</f>
        <v>31.6078690617544</v>
      </c>
      <c r="S6075" s="50" t="n">
        <f aca="false">SUM(P6075:R6075)</f>
        <v>54.7491194625937</v>
      </c>
    </row>
    <row r="6076" customFormat="false" ht="15" hidden="false" customHeight="false" outlineLevel="0" collapsed="false">
      <c r="A6076" s="35" t="s">
        <v>533</v>
      </c>
      <c r="B6076" s="35" t="s">
        <v>444</v>
      </c>
      <c r="C6076" s="6" t="s">
        <v>354</v>
      </c>
      <c r="D6076" s="6" t="s">
        <v>355</v>
      </c>
      <c r="E6076" s="6" t="s">
        <v>356</v>
      </c>
      <c r="F6076" s="6" t="s">
        <v>357</v>
      </c>
      <c r="G6076" s="6" t="s">
        <v>358</v>
      </c>
      <c r="H6076" s="6" t="s">
        <v>359</v>
      </c>
      <c r="I6076" s="6" t="s">
        <v>360</v>
      </c>
      <c r="J6076" s="6" t="s">
        <v>361</v>
      </c>
      <c r="K6076" s="6" t="s">
        <v>362</v>
      </c>
      <c r="L6076" s="6" t="s">
        <v>363</v>
      </c>
      <c r="M6076" s="6" t="s">
        <v>364</v>
      </c>
      <c r="N6076" s="6" t="s">
        <v>365</v>
      </c>
      <c r="P6076" s="6" t="s">
        <v>445</v>
      </c>
      <c r="Q6076" s="6" t="s">
        <v>446</v>
      </c>
      <c r="R6076" s="6" t="s">
        <v>447</v>
      </c>
      <c r="S6076" s="6" t="s">
        <v>448</v>
      </c>
    </row>
    <row r="6077" customFormat="false" ht="15" hidden="false" customHeight="false" outlineLevel="0" collapsed="false">
      <c r="A6077" s="4" t="s">
        <v>534</v>
      </c>
      <c r="B6077" s="36" t="s">
        <v>527</v>
      </c>
      <c r="C6077" s="48" t="n">
        <f aca="false">0*Assumptions!$F$59^(1/4)+C6072</f>
        <v>0</v>
      </c>
      <c r="D6077" s="48" t="n">
        <f aca="false">C6077*Assumptions!$F$59^(1/4)+D6072</f>
        <v>0.866376445183821</v>
      </c>
      <c r="E6077" s="48" t="n">
        <f aca="false">D6077*Assumptions!$F$59^(1/4)+E6072</f>
        <v>2.33122528834905</v>
      </c>
      <c r="F6077" s="48" t="n">
        <f aca="false">E6077*Assumptions!$F$59^(1/4)+F6072</f>
        <v>3.91551074844595</v>
      </c>
      <c r="G6077" s="48" t="n">
        <f aca="false">F6077*Assumptions!$F$59^(1/4)+G6072</f>
        <v>5.61959892828851</v>
      </c>
      <c r="H6077" s="48" t="n">
        <f aca="false">G6077*Assumptions!$F$59^(1/4)+H6072</f>
        <v>7.79884844355418</v>
      </c>
      <c r="I6077" s="48" t="n">
        <f aca="false">H6077*Assumptions!$F$59^(1/4)+I6072</f>
        <v>10.4082312134068</v>
      </c>
      <c r="J6077" s="48" t="n">
        <f aca="false">I6077*Assumptions!$F$59^(1/4)+J6072</f>
        <v>14.2963928599143</v>
      </c>
      <c r="K6077" s="48" t="n">
        <f aca="false">J6077*Assumptions!$F$59^(1/4)+K6072</f>
        <v>19.3064185440883</v>
      </c>
      <c r="L6077" s="48" t="n">
        <f aca="false">K6077*Assumptions!$F$59^(1/4)+L6072</f>
        <v>24.2376671574803</v>
      </c>
      <c r="M6077" s="48" t="n">
        <f aca="false">L6077*Assumptions!$F$59^(1/4)+M6072</f>
        <v>28.894677367016</v>
      </c>
      <c r="N6077" s="48" t="n">
        <f aca="false">M6077*Assumptions!$F$59^(1/4)+N6072</f>
        <v>33.294896242509</v>
      </c>
      <c r="P6077" s="49" t="n">
        <f aca="false">F6077</f>
        <v>3.91551074844595</v>
      </c>
      <c r="Q6077" s="49" t="n">
        <f aca="false">J6077</f>
        <v>14.2963928599143</v>
      </c>
      <c r="R6077" s="49" t="n">
        <f aca="false">N6077</f>
        <v>33.294896242509</v>
      </c>
      <c r="S6077" s="50" t="n">
        <f aca="false">R6077</f>
        <v>33.294896242509</v>
      </c>
    </row>
    <row r="6078" customFormat="false" ht="15" hidden="false" customHeight="false" outlineLevel="0" collapsed="false">
      <c r="A6078" s="4" t="s">
        <v>535</v>
      </c>
      <c r="B6078" s="36" t="s">
        <v>527</v>
      </c>
      <c r="C6078" s="48" t="n">
        <f aca="false">0*Assumptions!$F$60^(1/4)+C6073</f>
        <v>0</v>
      </c>
      <c r="D6078" s="48" t="n">
        <f aca="false">C6078*Assumptions!$F$60^(1/4)+D6073</f>
        <v>0.434084974267145</v>
      </c>
      <c r="E6078" s="48" t="n">
        <f aca="false">D6078*Assumptions!$F$60^(1/4)+E6073</f>
        <v>1.17033615103527</v>
      </c>
      <c r="F6078" s="48" t="n">
        <f aca="false">E6078*Assumptions!$F$60^(1/4)+F6073</f>
        <v>1.97029433986022</v>
      </c>
      <c r="G6078" s="48" t="n">
        <f aca="false">F6078*Assumptions!$F$60^(1/4)+G6073</f>
        <v>2.83439200728433</v>
      </c>
      <c r="H6078" s="48" t="n">
        <f aca="false">G6078*Assumptions!$F$60^(1/4)+H6073</f>
        <v>3.91808739336716</v>
      </c>
      <c r="I6078" s="48" t="n">
        <f aca="false">H6078*Assumptions!$F$60^(1/4)+I6073</f>
        <v>5.2025223260415</v>
      </c>
      <c r="J6078" s="48" t="n">
        <f aca="false">I6078*Assumptions!$F$60^(1/4)+J6073</f>
        <v>6.99499661245722</v>
      </c>
      <c r="K6078" s="48" t="n">
        <f aca="false">J6078*Assumptions!$F$60^(1/4)+K6073</f>
        <v>9.24504454433725</v>
      </c>
      <c r="L6078" s="48" t="n">
        <f aca="false">K6078*Assumptions!$F$60^(1/4)+L6073</f>
        <v>11.471520078278</v>
      </c>
      <c r="M6078" s="48" t="n">
        <f aca="false">L6078*Assumptions!$F$60^(1/4)+M6073</f>
        <v>13.5871198018291</v>
      </c>
      <c r="N6078" s="48" t="n">
        <f aca="false">M6078*Assumptions!$F$60^(1/4)+N6073</f>
        <v>15.5987535160674</v>
      </c>
      <c r="P6078" s="49" t="n">
        <f aca="false">F6078</f>
        <v>1.97029433986022</v>
      </c>
      <c r="Q6078" s="49" t="n">
        <f aca="false">J6078</f>
        <v>6.99499661245722</v>
      </c>
      <c r="R6078" s="49" t="n">
        <f aca="false">N6078</f>
        <v>15.5987535160674</v>
      </c>
      <c r="S6078" s="50" t="n">
        <f aca="false">R6078</f>
        <v>15.5987535160674</v>
      </c>
    </row>
    <row r="6079" customFormat="false" ht="15" hidden="false" customHeight="false" outlineLevel="0" collapsed="false">
      <c r="A6079" s="4" t="s">
        <v>536</v>
      </c>
      <c r="B6079" s="36" t="s">
        <v>527</v>
      </c>
      <c r="C6079" s="48" t="n">
        <f aca="false">0*Assumptions!$F$61^(1/4)+C6074</f>
        <v>0</v>
      </c>
      <c r="D6079" s="48" t="n">
        <f aca="false">C6079*Assumptions!$F$61^(1/4)+D6074</f>
        <v>0</v>
      </c>
      <c r="E6079" s="48" t="n">
        <f aca="false">D6079*Assumptions!$F$61^(1/4)+E6074</f>
        <v>0.071275680959914</v>
      </c>
      <c r="F6079" s="48" t="n">
        <f aca="false">E6079*Assumptions!$F$61^(1/4)+F6074</f>
        <v>0.192539621969679</v>
      </c>
      <c r="G6079" s="48" t="n">
        <f aca="false">F6079*Assumptions!$F$61^(1/4)+G6074</f>
        <v>0.324892520912872</v>
      </c>
      <c r="H6079" s="48" t="n">
        <f aca="false">G6079*Assumptions!$F$61^(1/4)+H6074</f>
        <v>0.468452169107113</v>
      </c>
      <c r="I6079" s="48" t="n">
        <f aca="false">H6079*Assumptions!$F$61^(1/4)+I6074</f>
        <v>0.636743379887197</v>
      </c>
      <c r="J6079" s="48" t="n">
        <f aca="false">I6079*Assumptions!$F$61^(1/4)+J6074</f>
        <v>0.828112463048724</v>
      </c>
      <c r="K6079" s="48" t="n">
        <f aca="false">J6079*Assumptions!$F$61^(1/4)+K6074</f>
        <v>1.08291677100143</v>
      </c>
      <c r="L6079" s="48" t="n">
        <f aca="false">K6079*Assumptions!$F$61^(1/4)+L6074</f>
        <v>1.39637070241215</v>
      </c>
      <c r="M6079" s="48" t="n">
        <f aca="false">L6079*Assumptions!$F$61^(1/4)+M6074</f>
        <v>1.70815607344982</v>
      </c>
      <c r="N6079" s="48" t="n">
        <f aca="false">M6079*Assumptions!$F$61^(1/4)+N6074</f>
        <v>2.00621031645087</v>
      </c>
      <c r="P6079" s="49" t="n">
        <f aca="false">F6079</f>
        <v>0.192539621969679</v>
      </c>
      <c r="Q6079" s="49" t="n">
        <f aca="false">J6079</f>
        <v>0.828112463048724</v>
      </c>
      <c r="R6079" s="49" t="n">
        <f aca="false">N6079</f>
        <v>2.00621031645087</v>
      </c>
      <c r="S6079" s="50" t="n">
        <f aca="false">R6079</f>
        <v>2.00621031645087</v>
      </c>
    </row>
    <row r="6080" customFormat="false" ht="15" hidden="false" customHeight="false" outlineLevel="0" collapsed="false">
      <c r="A6080" s="9" t="s">
        <v>537</v>
      </c>
      <c r="B6080" s="36" t="s">
        <v>527</v>
      </c>
      <c r="C6080" s="49" t="n">
        <f aca="false">C6077+C6078+C6079</f>
        <v>0</v>
      </c>
      <c r="D6080" s="49" t="n">
        <f aca="false">D6077+D6078+D6079</f>
        <v>1.30046141945097</v>
      </c>
      <c r="E6080" s="49" t="n">
        <f aca="false">E6077+E6078+E6079</f>
        <v>3.57283712034423</v>
      </c>
      <c r="F6080" s="49" t="n">
        <f aca="false">F6077+F6078+F6079</f>
        <v>6.07834471027585</v>
      </c>
      <c r="G6080" s="49" t="n">
        <f aca="false">G6077+G6078+G6079</f>
        <v>8.77888345648571</v>
      </c>
      <c r="H6080" s="49" t="n">
        <f aca="false">H6077+H6078+H6079</f>
        <v>12.1853880060285</v>
      </c>
      <c r="I6080" s="49" t="n">
        <f aca="false">I6077+I6078+I6079</f>
        <v>16.2474969193354</v>
      </c>
      <c r="J6080" s="49" t="n">
        <f aca="false">J6077+J6078+J6079</f>
        <v>22.1195019354202</v>
      </c>
      <c r="K6080" s="49" t="n">
        <f aca="false">K6077+K6078+K6079</f>
        <v>29.634379859427</v>
      </c>
      <c r="L6080" s="49" t="n">
        <f aca="false">L6077+L6078+L6079</f>
        <v>37.1055579381704</v>
      </c>
      <c r="M6080" s="49" t="n">
        <f aca="false">M6077+M6078+M6079</f>
        <v>44.1899532422949</v>
      </c>
      <c r="N6080" s="49" t="n">
        <f aca="false">N6077+N6078+N6079</f>
        <v>50.8998600750273</v>
      </c>
      <c r="P6080" s="49" t="n">
        <f aca="false">F6080</f>
        <v>6.07834471027585</v>
      </c>
      <c r="Q6080" s="49" t="n">
        <f aca="false">J6080</f>
        <v>22.1195019354202</v>
      </c>
      <c r="R6080" s="49" t="n">
        <f aca="false">N6080</f>
        <v>50.8998600750273</v>
      </c>
      <c r="S6080" s="50" t="n">
        <f aca="false">R6080</f>
        <v>50.8998600750273</v>
      </c>
    </row>
    <row r="6081" customFormat="false" ht="15" hidden="false" customHeight="false" outlineLevel="0" collapsed="false">
      <c r="A6081" s="4" t="s">
        <v>538</v>
      </c>
      <c r="B6081" s="36" t="s">
        <v>125</v>
      </c>
      <c r="C6081" s="54" t="n">
        <f aca="false">0*Assumptions!$E$62^(1/4)+C6072*$C$6021</f>
        <v>0</v>
      </c>
      <c r="D6081" s="54" t="n">
        <f aca="false">C6081*Assumptions!$E$62^(1/4)+D6072*$C$6021</f>
        <v>4636.84673462381</v>
      </c>
      <c r="E6081" s="54" t="n">
        <f aca="false">D6081*Assumptions!$E$62^(1/4)+E6072*$C$6021</f>
        <v>12584.7650278744</v>
      </c>
      <c r="F6081" s="54" t="n">
        <f aca="false">E6081*Assumptions!$E$62^(1/4)+F6072*$C$6021</f>
        <v>21354.5918933979</v>
      </c>
      <c r="G6081" s="54" t="n">
        <f aca="false">F6081*Assumptions!$E$62^(1/4)+G6072*$C$6021</f>
        <v>30963.1818577268</v>
      </c>
      <c r="H6081" s="54" t="n">
        <f aca="false">G6081*Assumptions!$E$62^(1/4)+H6072*$C$6021</f>
        <v>43327.3550335454</v>
      </c>
      <c r="I6081" s="54" t="n">
        <f aca="false">H6081*Assumptions!$E$62^(1/4)+I6072*$C$6021</f>
        <v>58265.3793130463</v>
      </c>
      <c r="J6081" s="54" t="n">
        <f aca="false">I6081*Assumptions!$E$62^(1/4)+J6072*$C$6021</f>
        <v>80372.8487175808</v>
      </c>
      <c r="K6081" s="54" t="n">
        <f aca="false">J6081*Assumptions!$E$62^(1/4)+K6072*$C$6021</f>
        <v>108969.433724354</v>
      </c>
      <c r="L6081" s="54" t="n">
        <f aca="false">K6081*Assumptions!$E$62^(1/4)+L6072*$C$6021</f>
        <v>137769.212699133</v>
      </c>
      <c r="M6081" s="54" t="n">
        <f aca="false">L6081*Assumptions!$E$62^(1/4)+M6072*$C$6021</f>
        <v>165716.252164404</v>
      </c>
      <c r="N6081" s="54" t="n">
        <f aca="false">M6081*Assumptions!$E$62^(1/4)+N6072*$C$6021</f>
        <v>192869.728098578</v>
      </c>
      <c r="P6081" s="55" t="n">
        <f aca="false">F6081</f>
        <v>21354.5918933979</v>
      </c>
      <c r="Q6081" s="55" t="n">
        <f aca="false">J6081</f>
        <v>80372.8487175808</v>
      </c>
      <c r="R6081" s="55" t="n">
        <f aca="false">N6081</f>
        <v>192869.728098578</v>
      </c>
      <c r="S6081" s="56" t="n">
        <f aca="false">R6081</f>
        <v>192869.728098578</v>
      </c>
    </row>
    <row r="6082" customFormat="false" ht="15" hidden="false" customHeight="false" outlineLevel="0" collapsed="false">
      <c r="A6082" s="4" t="s">
        <v>539</v>
      </c>
      <c r="B6082" s="36" t="s">
        <v>125</v>
      </c>
      <c r="C6082" s="54" t="n">
        <f aca="false">0*Assumptions!$E$63^(1/4)+C6073*$C$6022</f>
        <v>0</v>
      </c>
      <c r="D6082" s="54" t="n">
        <f aca="false">C6082*Assumptions!$E$63^(1/4)+D6073*$C$6022</f>
        <v>4239.58645576376</v>
      </c>
      <c r="E6082" s="54" t="n">
        <f aca="false">D6082*Assumptions!$E$63^(1/4)+E6073*$C$6022</f>
        <v>11568.780571464</v>
      </c>
      <c r="F6082" s="54" t="n">
        <f aca="false">E6082*Assumptions!$E$63^(1/4)+F6073*$C$6022</f>
        <v>19757.0139869302</v>
      </c>
      <c r="G6082" s="54" t="n">
        <f aca="false">F6082*Assumptions!$E$63^(1/4)+G6073*$C$6022</f>
        <v>28832.3026333607</v>
      </c>
      <c r="H6082" s="54" t="n">
        <f aca="false">G6082*Assumptions!$E$63^(1/4)+H6073*$C$6022</f>
        <v>40337.2428258018</v>
      </c>
      <c r="I6082" s="54" t="n">
        <f aca="false">H6082*Assumptions!$E$63^(1/4)+I6073*$C$6022</f>
        <v>54161.8650429175</v>
      </c>
      <c r="J6082" s="54" t="n">
        <f aca="false">I6082*Assumptions!$E$63^(1/4)+J6073*$C$6022</f>
        <v>73376.768355554</v>
      </c>
      <c r="K6082" s="54" t="n">
        <f aca="false">J6082*Assumptions!$E$63^(1/4)+K6073*$C$6022</f>
        <v>97657.3745036042</v>
      </c>
      <c r="L6082" s="54" t="n">
        <f aca="false">K6082*Assumptions!$E$63^(1/4)+L6073*$C$6022</f>
        <v>122459.146505613</v>
      </c>
      <c r="M6082" s="54" t="n">
        <f aca="false">L6082*Assumptions!$E$63^(1/4)+M6073*$C$6022</f>
        <v>146932.924638212</v>
      </c>
      <c r="N6082" s="54" t="n">
        <f aca="false">M6082*Assumptions!$E$63^(1/4)+N6073*$C$6022</f>
        <v>171121.912636854</v>
      </c>
      <c r="P6082" s="55" t="n">
        <f aca="false">F6082</f>
        <v>19757.0139869302</v>
      </c>
      <c r="Q6082" s="55" t="n">
        <f aca="false">J6082</f>
        <v>73376.768355554</v>
      </c>
      <c r="R6082" s="55" t="n">
        <f aca="false">N6082</f>
        <v>171121.912636854</v>
      </c>
      <c r="S6082" s="56" t="n">
        <f aca="false">R6082</f>
        <v>171121.912636854</v>
      </c>
    </row>
    <row r="6083" customFormat="false" ht="15" hidden="false" customHeight="false" outlineLevel="0" collapsed="false">
      <c r="A6083" s="4" t="s">
        <v>540</v>
      </c>
      <c r="B6083" s="36" t="s">
        <v>125</v>
      </c>
      <c r="C6083" s="54" t="n">
        <f aca="false">0*Assumptions!$E$64^(1/4)+C6074*$C$6023</f>
        <v>0</v>
      </c>
      <c r="D6083" s="54" t="n">
        <f aca="false">C6083*Assumptions!$E$64^(1/4)+D6074*$C$6023</f>
        <v>0</v>
      </c>
      <c r="E6083" s="54" t="n">
        <f aca="false">D6083*Assumptions!$E$64^(1/4)+E6074*$C$6023</f>
        <v>4403.28728055653</v>
      </c>
      <c r="F6083" s="54" t="n">
        <f aca="false">E6083*Assumptions!$E$64^(1/4)+F6074*$C$6023</f>
        <v>12107.4388108841</v>
      </c>
      <c r="G6083" s="54" t="n">
        <f aca="false">F6083*Assumptions!$E$64^(1/4)+G6074*$C$6023</f>
        <v>20866.0439239064</v>
      </c>
      <c r="H6083" s="54" t="n">
        <f aca="false">G6083*Assumptions!$E$64^(1/4)+H6074*$C$6023</f>
        <v>30732.6025192522</v>
      </c>
      <c r="I6083" s="54" t="n">
        <f aca="false">H6083*Assumptions!$E$64^(1/4)+I6074*$C$6023</f>
        <v>42590.8720102144</v>
      </c>
      <c r="J6083" s="54" t="n">
        <f aca="false">I6083*Assumptions!$E$64^(1/4)+J6074*$C$6023</f>
        <v>56428.9790305215</v>
      </c>
      <c r="K6083" s="54" t="n">
        <f aca="false">J6083*Assumptions!$E$64^(1/4)+K6074*$C$6023</f>
        <v>74828.6952807254</v>
      </c>
      <c r="L6083" s="54" t="n">
        <f aca="false">K6083*Assumptions!$E$64^(1/4)+L6074*$C$6023</f>
        <v>97706.5094169996</v>
      </c>
      <c r="M6083" s="54" t="n">
        <f aca="false">L6083*Assumptions!$E$64^(1/4)+M6074*$C$6023</f>
        <v>121541.467521117</v>
      </c>
      <c r="N6083" s="54" t="n">
        <f aca="false">M6083*Assumptions!$E$64^(1/4)+N6074*$C$6023</f>
        <v>145621.085996823</v>
      </c>
      <c r="P6083" s="55" t="n">
        <f aca="false">F6083</f>
        <v>12107.4388108841</v>
      </c>
      <c r="Q6083" s="55" t="n">
        <f aca="false">J6083</f>
        <v>56428.9790305215</v>
      </c>
      <c r="R6083" s="55" t="n">
        <f aca="false">N6083</f>
        <v>145621.085996823</v>
      </c>
      <c r="S6083" s="56" t="n">
        <f aca="false">R6083</f>
        <v>145621.085996823</v>
      </c>
    </row>
    <row r="6084" customFormat="false" ht="15" hidden="false" customHeight="false" outlineLevel="0" collapsed="false">
      <c r="A6084" s="9" t="s">
        <v>541</v>
      </c>
      <c r="B6084" s="36" t="s">
        <v>125</v>
      </c>
      <c r="C6084" s="55" t="n">
        <f aca="false">C6081+C6082+C6083</f>
        <v>0</v>
      </c>
      <c r="D6084" s="55" t="n">
        <f aca="false">D6081+D6082+D6083</f>
        <v>8876.43319038757</v>
      </c>
      <c r="E6084" s="55" t="n">
        <f aca="false">E6081+E6082+E6083</f>
        <v>28556.8328798949</v>
      </c>
      <c r="F6084" s="55" t="n">
        <f aca="false">F6081+F6082+F6083</f>
        <v>53219.0446912122</v>
      </c>
      <c r="G6084" s="55" t="n">
        <f aca="false">G6081+G6082+G6083</f>
        <v>80661.5284149939</v>
      </c>
      <c r="H6084" s="55" t="n">
        <f aca="false">H6081+H6082+H6083</f>
        <v>114397.200378599</v>
      </c>
      <c r="I6084" s="55" t="n">
        <f aca="false">I6081+I6082+I6083</f>
        <v>155018.116366178</v>
      </c>
      <c r="J6084" s="55" t="n">
        <f aca="false">J6081+J6082+J6083</f>
        <v>210178.596103656</v>
      </c>
      <c r="K6084" s="55" t="n">
        <f aca="false">K6081+K6082+K6083</f>
        <v>281455.503508684</v>
      </c>
      <c r="L6084" s="55" t="n">
        <f aca="false">L6081+L6082+L6083</f>
        <v>357934.868621746</v>
      </c>
      <c r="M6084" s="55" t="n">
        <f aca="false">M6081+M6082+M6083</f>
        <v>434190.644323734</v>
      </c>
      <c r="N6084" s="55" t="n">
        <f aca="false">N6081+N6082+N6083</f>
        <v>509612.726732255</v>
      </c>
      <c r="P6084" s="55" t="n">
        <f aca="false">F6084</f>
        <v>53219.0446912122</v>
      </c>
      <c r="Q6084" s="55" t="n">
        <f aca="false">J6084</f>
        <v>210178.596103656</v>
      </c>
      <c r="R6084" s="55" t="n">
        <f aca="false">N6084</f>
        <v>509612.726732255</v>
      </c>
      <c r="S6084" s="56" t="n">
        <f aca="false">R6084</f>
        <v>509612.726732255</v>
      </c>
    </row>
    <row r="6085" customFormat="false" ht="15" hidden="false" customHeight="false" outlineLevel="0" collapsed="false">
      <c r="A6085" s="4" t="s">
        <v>542</v>
      </c>
      <c r="B6085" s="36" t="s">
        <v>125</v>
      </c>
      <c r="C6085" s="54" t="n">
        <f aca="false">C6072*$C$6021+C6073*$C$6022+C6074*$C$6023</f>
        <v>0</v>
      </c>
      <c r="D6085" s="54" t="n">
        <f aca="false">D6072*$C$6021+D6073*$C$6022+D6074*$C$6023</f>
        <v>8876.43319038757</v>
      </c>
      <c r="E6085" s="54" t="n">
        <f aca="false">E6072*$C$6021+E6073*$C$6022+E6074*$C$6023</f>
        <v>19618.1886500368</v>
      </c>
      <c r="F6085" s="54" t="n">
        <f aca="false">F6072*$C$6021+F6073*$C$6022+F6074*$C$6023</f>
        <v>24335.8808795765</v>
      </c>
      <c r="G6085" s="54" t="n">
        <f aca="false">G6072*$C$6021+G6073*$C$6022+G6074*$C$6023</f>
        <v>26722.0551062465</v>
      </c>
      <c r="H6085" s="54" t="n">
        <f aca="false">H6072*$C$6021+H6073*$C$6022+H6074*$C$6023</f>
        <v>32570.6348072815</v>
      </c>
      <c r="I6085" s="54" t="n">
        <f aca="false">I6072*$C$6021+I6073*$C$6022+I6074*$C$6023</f>
        <v>38936.2212649288</v>
      </c>
      <c r="J6085" s="54" t="n">
        <f aca="false">J6072*$C$6021+J6073*$C$6022+J6074*$C$6023</f>
        <v>52851.2673832351</v>
      </c>
      <c r="K6085" s="54" t="n">
        <f aca="false">K6072*$C$6021+K6073*$C$6022+K6074*$C$6023</f>
        <v>68193.6820495777</v>
      </c>
      <c r="L6085" s="54" t="n">
        <f aca="false">L6072*$C$6021+L6073*$C$6022+L6074*$C$6023</f>
        <v>72385.5913630249</v>
      </c>
      <c r="M6085" s="54" t="n">
        <f aca="false">M6072*$C$6021+M6073*$C$6022+M6074*$C$6023</f>
        <v>70984.5735032962</v>
      </c>
      <c r="N6085" s="54" t="n">
        <f aca="false">N6072*$C$6021+N6073*$C$6022+N6074*$C$6023</f>
        <v>68944.2304944803</v>
      </c>
      <c r="P6085" s="55" t="n">
        <f aca="false">SUM(C6085:F6085)</f>
        <v>52830.5027200009</v>
      </c>
      <c r="Q6085" s="55" t="n">
        <f aca="false">SUM(G6085:J6085)</f>
        <v>151080.178561692</v>
      </c>
      <c r="R6085" s="55" t="n">
        <f aca="false">SUM(K6085:N6085)</f>
        <v>280508.077410379</v>
      </c>
      <c r="S6085" s="56" t="n">
        <f aca="false">SUM(P6085:R6085)</f>
        <v>484418.758692072</v>
      </c>
    </row>
    <row r="6086" customFormat="false" ht="15" hidden="false" customHeight="false" outlineLevel="0" collapsed="false">
      <c r="A6086" s="9" t="s">
        <v>543</v>
      </c>
      <c r="B6086" s="36" t="s">
        <v>125</v>
      </c>
      <c r="C6086" s="55" t="n">
        <f aca="false">(0+C6084)/8</f>
        <v>0</v>
      </c>
      <c r="D6086" s="55" t="n">
        <f aca="false">(C6084+D6084)/8</f>
        <v>1109.55414879845</v>
      </c>
      <c r="E6086" s="55" t="n">
        <f aca="false">(D6084+E6084)/8</f>
        <v>4679.15825878531</v>
      </c>
      <c r="F6086" s="55" t="n">
        <f aca="false">(E6084+F6084)/8</f>
        <v>10221.9846963884</v>
      </c>
      <c r="G6086" s="55" t="n">
        <f aca="false">(F6084+G6084)/8</f>
        <v>16735.0716382758</v>
      </c>
      <c r="H6086" s="55" t="n">
        <f aca="false">(G6084+H6084)/8</f>
        <v>24382.3410991992</v>
      </c>
      <c r="I6086" s="55" t="n">
        <f aca="false">(H6084+I6084)/8</f>
        <v>33676.9145930972</v>
      </c>
      <c r="J6086" s="55" t="n">
        <f aca="false">(I6084+J6084)/8</f>
        <v>45649.5890587293</v>
      </c>
      <c r="K6086" s="55" t="n">
        <f aca="false">(J6084+K6084)/8</f>
        <v>61454.2624515425</v>
      </c>
      <c r="L6086" s="55" t="n">
        <f aca="false">(K6084+L6084)/8</f>
        <v>79923.7965163037</v>
      </c>
      <c r="M6086" s="55" t="n">
        <f aca="false">(L6084+M6084)/8</f>
        <v>99015.6891181849</v>
      </c>
      <c r="N6086" s="55" t="n">
        <f aca="false">(M6084+N6084)/8</f>
        <v>117975.421381999</v>
      </c>
      <c r="P6086" s="55" t="n">
        <f aca="false">SUM(C6086:F6086)</f>
        <v>16010.6971039722</v>
      </c>
      <c r="Q6086" s="55" t="n">
        <f aca="false">SUM(G6086:J6086)</f>
        <v>120443.916389301</v>
      </c>
      <c r="R6086" s="55" t="n">
        <f aca="false">SUM(K6086:N6086)</f>
        <v>358369.16946803</v>
      </c>
      <c r="S6086" s="56" t="n">
        <f aca="false">SUM(P6086:R6086)</f>
        <v>494823.782961303</v>
      </c>
    </row>
    <row r="6087" customFormat="false" ht="15" hidden="false" customHeight="false" outlineLevel="0" collapsed="false">
      <c r="A6087" s="4" t="s">
        <v>544</v>
      </c>
      <c r="B6087" s="36" t="s">
        <v>125</v>
      </c>
      <c r="C6087" s="54" t="n">
        <f aca="false">C6086*Assumptions!$E$76</f>
        <v>0</v>
      </c>
      <c r="D6087" s="54" t="n">
        <f aca="false">D6086*Assumptions!$E$76</f>
        <v>721.21019671899</v>
      </c>
      <c r="E6087" s="54" t="n">
        <f aca="false">E6086*Assumptions!$E$76</f>
        <v>3041.45286821045</v>
      </c>
      <c r="F6087" s="54" t="n">
        <f aca="false">F6086*Assumptions!$E$76</f>
        <v>6644.29005265246</v>
      </c>
      <c r="G6087" s="54" t="n">
        <f aca="false">G6086*Assumptions!$E$76</f>
        <v>10877.7965648792</v>
      </c>
      <c r="H6087" s="54" t="n">
        <f aca="false">H6086*Assumptions!$E$76</f>
        <v>15848.5217144795</v>
      </c>
      <c r="I6087" s="54" t="n">
        <f aca="false">I6086*Assumptions!$E$76</f>
        <v>21889.9944855132</v>
      </c>
      <c r="J6087" s="54" t="n">
        <f aca="false">J6086*Assumptions!$E$76</f>
        <v>29672.2328881741</v>
      </c>
      <c r="K6087" s="54" t="n">
        <f aca="false">K6086*Assumptions!$E$76</f>
        <v>39945.2705935026</v>
      </c>
      <c r="L6087" s="54" t="n">
        <f aca="false">L6086*Assumptions!$E$76</f>
        <v>51950.4677355974</v>
      </c>
      <c r="M6087" s="54" t="n">
        <f aca="false">M6086*Assumptions!$E$76</f>
        <v>64360.1979268202</v>
      </c>
      <c r="N6087" s="54" t="n">
        <f aca="false">N6086*Assumptions!$E$76</f>
        <v>76684.0238982991</v>
      </c>
      <c r="P6087" s="55" t="n">
        <f aca="false">SUM(C6087:F6087)</f>
        <v>10406.9531175819</v>
      </c>
      <c r="Q6087" s="55" t="n">
        <f aca="false">SUM(G6087:J6087)</f>
        <v>78288.545653046</v>
      </c>
      <c r="R6087" s="55" t="n">
        <f aca="false">SUM(K6087:N6087)</f>
        <v>232939.960154219</v>
      </c>
      <c r="S6087" s="56" t="n">
        <f aca="false">SUM(P6087:R6087)</f>
        <v>321635.458924847</v>
      </c>
    </row>
    <row r="6088" customFormat="false" ht="15" hidden="false" customHeight="false" outlineLevel="0" collapsed="false">
      <c r="A6088" s="35" t="s">
        <v>547</v>
      </c>
      <c r="B6088" s="35" t="s">
        <v>444</v>
      </c>
      <c r="C6088" s="6" t="s">
        <v>354</v>
      </c>
      <c r="D6088" s="6" t="s">
        <v>355</v>
      </c>
      <c r="E6088" s="6" t="s">
        <v>356</v>
      </c>
      <c r="F6088" s="6" t="s">
        <v>357</v>
      </c>
      <c r="G6088" s="6" t="s">
        <v>358</v>
      </c>
      <c r="H6088" s="6" t="s">
        <v>359</v>
      </c>
      <c r="I6088" s="6" t="s">
        <v>360</v>
      </c>
      <c r="J6088" s="6" t="s">
        <v>361</v>
      </c>
      <c r="K6088" s="6" t="s">
        <v>362</v>
      </c>
      <c r="L6088" s="6" t="s">
        <v>363</v>
      </c>
      <c r="M6088" s="6" t="s">
        <v>364</v>
      </c>
      <c r="N6088" s="6" t="s">
        <v>365</v>
      </c>
      <c r="P6088" s="6" t="s">
        <v>445</v>
      </c>
      <c r="Q6088" s="6" t="s">
        <v>446</v>
      </c>
      <c r="R6088" s="6" t="s">
        <v>447</v>
      </c>
      <c r="S6088" s="6" t="s">
        <v>448</v>
      </c>
    </row>
    <row r="6089" customFormat="false" ht="15" hidden="false" customHeight="false" outlineLevel="0" collapsed="false">
      <c r="A6089" s="4" t="s">
        <v>548</v>
      </c>
      <c r="B6089" s="36" t="s">
        <v>321</v>
      </c>
      <c r="C6089" s="48" t="n">
        <f aca="false">Assumptions!$D$97*C6031</f>
        <v>1</v>
      </c>
      <c r="D6089" s="48" t="n">
        <f aca="false">Assumptions!$D$97*D6031</f>
        <v>1</v>
      </c>
      <c r="E6089" s="48" t="n">
        <f aca="false">Assumptions!$D$97*E6031</f>
        <v>1</v>
      </c>
      <c r="F6089" s="48" t="n">
        <f aca="false">Assumptions!$D$97*F6031</f>
        <v>1</v>
      </c>
      <c r="G6089" s="48" t="n">
        <f aca="false">Assumptions!$D$97*G6031</f>
        <v>1</v>
      </c>
      <c r="H6089" s="48" t="n">
        <f aca="false">Assumptions!$D$97*H6031</f>
        <v>1</v>
      </c>
      <c r="I6089" s="48" t="n">
        <f aca="false">Assumptions!$D$97*I6031</f>
        <v>1</v>
      </c>
      <c r="J6089" s="48" t="n">
        <f aca="false">Assumptions!$D$97*J6031</f>
        <v>1</v>
      </c>
      <c r="K6089" s="48" t="n">
        <f aca="false">Assumptions!$D$97*K6031</f>
        <v>1</v>
      </c>
      <c r="L6089" s="48" t="n">
        <f aca="false">Assumptions!$D$97*L6031</f>
        <v>1</v>
      </c>
      <c r="M6089" s="48" t="n">
        <f aca="false">Assumptions!$D$97*M6031</f>
        <v>1</v>
      </c>
      <c r="N6089" s="48" t="n">
        <f aca="false">Assumptions!$D$97*N6031</f>
        <v>1</v>
      </c>
      <c r="P6089" s="49" t="n">
        <f aca="false">AVERAGE(C6089:F6089)</f>
        <v>1</v>
      </c>
      <c r="Q6089" s="49" t="n">
        <f aca="false">AVERAGE(G6089:J6089)</f>
        <v>1</v>
      </c>
      <c r="R6089" s="49" t="n">
        <f aca="false">AVERAGE(K6089:N6089)</f>
        <v>1</v>
      </c>
      <c r="S6089" s="50"/>
    </row>
    <row r="6090" customFormat="false" ht="15" hidden="false" customHeight="false" outlineLevel="0" collapsed="false">
      <c r="A6090" s="4" t="s">
        <v>549</v>
      </c>
      <c r="B6090" s="36" t="s">
        <v>321</v>
      </c>
      <c r="C6090" s="48" t="n">
        <f aca="false">C6044*C6031</f>
        <v>0</v>
      </c>
      <c r="D6090" s="48" t="n">
        <f aca="false">D6044*D6031</f>
        <v>0</v>
      </c>
      <c r="E6090" s="48" t="n">
        <f aca="false">E6044*E6031</f>
        <v>0</v>
      </c>
      <c r="F6090" s="48" t="n">
        <f aca="false">F6044*F6031</f>
        <v>0</v>
      </c>
      <c r="G6090" s="48" t="n">
        <f aca="false">G6044*G6031</f>
        <v>0</v>
      </c>
      <c r="H6090" s="48" t="n">
        <f aca="false">H6044*H6031</f>
        <v>0</v>
      </c>
      <c r="I6090" s="48" t="n">
        <f aca="false">I6044*I6031</f>
        <v>0</v>
      </c>
      <c r="J6090" s="48" t="n">
        <f aca="false">J6044*J6031</f>
        <v>0</v>
      </c>
      <c r="K6090" s="48" t="n">
        <f aca="false">K6044*K6031</f>
        <v>0</v>
      </c>
      <c r="L6090" s="48" t="n">
        <f aca="false">L6044*L6031</f>
        <v>0</v>
      </c>
      <c r="M6090" s="48" t="n">
        <f aca="false">M6044*M6031</f>
        <v>0</v>
      </c>
      <c r="N6090" s="48" t="n">
        <f aca="false">N6044*N6031</f>
        <v>0</v>
      </c>
      <c r="P6090" s="49" t="n">
        <f aca="false">AVERAGE(C6090:F6090)</f>
        <v>0</v>
      </c>
      <c r="Q6090" s="49" t="n">
        <f aca="false">AVERAGE(G6090:J6090)</f>
        <v>0</v>
      </c>
      <c r="R6090" s="49" t="n">
        <f aca="false">AVERAGE(K6090:N6090)</f>
        <v>0</v>
      </c>
      <c r="S6090" s="50"/>
    </row>
    <row r="6091" customFormat="false" ht="15" hidden="false" customHeight="false" outlineLevel="0" collapsed="false">
      <c r="A6091" s="4" t="s">
        <v>550</v>
      </c>
      <c r="B6091" s="36" t="s">
        <v>321</v>
      </c>
      <c r="C6091" s="48" t="n">
        <f aca="false">IF(C6030&lt;=4,Assumptions!$D$98,Assumptions!$D$99)*C6031</f>
        <v>0</v>
      </c>
      <c r="D6091" s="48" t="n">
        <f aca="false">IF(D6030&lt;=4,Assumptions!$D$98,Assumptions!$D$99)*D6031</f>
        <v>0</v>
      </c>
      <c r="E6091" s="48" t="n">
        <f aca="false">IF(E6030&lt;=4,Assumptions!$D$98,Assumptions!$D$99)*E6031</f>
        <v>0</v>
      </c>
      <c r="F6091" s="48" t="n">
        <f aca="false">IF(F6030&lt;=4,Assumptions!$D$98,Assumptions!$D$99)*F6031</f>
        <v>0</v>
      </c>
      <c r="G6091" s="48" t="n">
        <f aca="false">IF(G6030&lt;=4,Assumptions!$D$98,Assumptions!$D$99)*G6031</f>
        <v>0.5</v>
      </c>
      <c r="H6091" s="48" t="n">
        <f aca="false">IF(H6030&lt;=4,Assumptions!$D$98,Assumptions!$D$99)*H6031</f>
        <v>0.5</v>
      </c>
      <c r="I6091" s="48" t="n">
        <f aca="false">IF(I6030&lt;=4,Assumptions!$D$98,Assumptions!$D$99)*I6031</f>
        <v>0.5</v>
      </c>
      <c r="J6091" s="48" t="n">
        <f aca="false">IF(J6030&lt;=4,Assumptions!$D$98,Assumptions!$D$99)*J6031</f>
        <v>0.5</v>
      </c>
      <c r="K6091" s="48" t="n">
        <f aca="false">IF(K6030&lt;=4,Assumptions!$D$98,Assumptions!$D$99)*K6031</f>
        <v>0.5</v>
      </c>
      <c r="L6091" s="48" t="n">
        <f aca="false">IF(L6030&lt;=4,Assumptions!$D$98,Assumptions!$D$99)*L6031</f>
        <v>0.5</v>
      </c>
      <c r="M6091" s="48" t="n">
        <f aca="false">IF(M6030&lt;=4,Assumptions!$D$98,Assumptions!$D$99)*M6031</f>
        <v>0.5</v>
      </c>
      <c r="N6091" s="48" t="n">
        <f aca="false">IF(N6030&lt;=4,Assumptions!$D$98,Assumptions!$D$99)*N6031</f>
        <v>0.5</v>
      </c>
      <c r="P6091" s="49" t="n">
        <f aca="false">AVERAGE(C6091:F6091)</f>
        <v>0</v>
      </c>
      <c r="Q6091" s="49" t="n">
        <f aca="false">AVERAGE(G6091:J6091)</f>
        <v>0.5</v>
      </c>
      <c r="R6091" s="49" t="n">
        <f aca="false">AVERAGE(K6091:N6091)</f>
        <v>0.5</v>
      </c>
      <c r="S6091" s="50"/>
    </row>
    <row r="6092" customFormat="false" ht="15" hidden="false" customHeight="false" outlineLevel="0" collapsed="false">
      <c r="A6092" s="4" t="s">
        <v>551</v>
      </c>
      <c r="B6092" s="36" t="s">
        <v>321</v>
      </c>
      <c r="C6092" s="48" t="n">
        <f aca="false">IF(C6030&lt;=4,Assumptions!$D$100,Assumptions!$D$101)*C6031</f>
        <v>1</v>
      </c>
      <c r="D6092" s="48" t="n">
        <f aca="false">IF(D6030&lt;=4,Assumptions!$D$100,Assumptions!$D$101)*D6031</f>
        <v>1</v>
      </c>
      <c r="E6092" s="48" t="n">
        <f aca="false">IF(E6030&lt;=4,Assumptions!$D$100,Assumptions!$D$101)*E6031</f>
        <v>1</v>
      </c>
      <c r="F6092" s="48" t="n">
        <f aca="false">IF(F6030&lt;=4,Assumptions!$D$100,Assumptions!$D$101)*F6031</f>
        <v>1</v>
      </c>
      <c r="G6092" s="48" t="n">
        <f aca="false">IF(G6030&lt;=4,Assumptions!$D$100,Assumptions!$D$101)*G6031</f>
        <v>0.5</v>
      </c>
      <c r="H6092" s="48" t="n">
        <f aca="false">IF(H6030&lt;=4,Assumptions!$D$100,Assumptions!$D$101)*H6031</f>
        <v>0.5</v>
      </c>
      <c r="I6092" s="48" t="n">
        <f aca="false">IF(I6030&lt;=4,Assumptions!$D$100,Assumptions!$D$101)*I6031</f>
        <v>0.5</v>
      </c>
      <c r="J6092" s="48" t="n">
        <f aca="false">IF(J6030&lt;=4,Assumptions!$D$100,Assumptions!$D$101)*J6031</f>
        <v>0.5</v>
      </c>
      <c r="K6092" s="48" t="n">
        <f aca="false">IF(K6030&lt;=4,Assumptions!$D$100,Assumptions!$D$101)*K6031</f>
        <v>0.5</v>
      </c>
      <c r="L6092" s="48" t="n">
        <f aca="false">IF(L6030&lt;=4,Assumptions!$D$100,Assumptions!$D$101)*L6031</f>
        <v>0.5</v>
      </c>
      <c r="M6092" s="48" t="n">
        <f aca="false">IF(M6030&lt;=4,Assumptions!$D$100,Assumptions!$D$101)*M6031</f>
        <v>0.5</v>
      </c>
      <c r="N6092" s="48" t="n">
        <f aca="false">IF(N6030&lt;=4,Assumptions!$D$100,Assumptions!$D$101)*N6031</f>
        <v>0.5</v>
      </c>
      <c r="P6092" s="49" t="n">
        <f aca="false">AVERAGE(C6092:F6092)</f>
        <v>1</v>
      </c>
      <c r="Q6092" s="49" t="n">
        <f aca="false">AVERAGE(G6092:J6092)</f>
        <v>0.5</v>
      </c>
      <c r="R6092" s="49" t="n">
        <f aca="false">AVERAGE(K6092:N6092)</f>
        <v>0.5</v>
      </c>
      <c r="S6092" s="50"/>
    </row>
    <row r="6093" customFormat="false" ht="15" hidden="false" customHeight="false" outlineLevel="0" collapsed="false">
      <c r="A6093" s="4" t="s">
        <v>552</v>
      </c>
      <c r="B6093" s="36" t="s">
        <v>321</v>
      </c>
      <c r="C6093" s="48" t="n">
        <f aca="false">Assumptions!$D$102*C6031</f>
        <v>0.25</v>
      </c>
      <c r="D6093" s="48" t="n">
        <f aca="false">Assumptions!$D$102*D6031</f>
        <v>0.25</v>
      </c>
      <c r="E6093" s="48" t="n">
        <f aca="false">Assumptions!$D$102*E6031</f>
        <v>0.25</v>
      </c>
      <c r="F6093" s="48" t="n">
        <f aca="false">Assumptions!$D$102*F6031</f>
        <v>0.25</v>
      </c>
      <c r="G6093" s="48" t="n">
        <f aca="false">Assumptions!$D$102*G6031</f>
        <v>0.25</v>
      </c>
      <c r="H6093" s="48" t="n">
        <f aca="false">Assumptions!$D$102*H6031</f>
        <v>0.25</v>
      </c>
      <c r="I6093" s="48" t="n">
        <f aca="false">Assumptions!$D$102*I6031</f>
        <v>0.25</v>
      </c>
      <c r="J6093" s="48" t="n">
        <f aca="false">Assumptions!$D$102*J6031</f>
        <v>0.25</v>
      </c>
      <c r="K6093" s="48" t="n">
        <f aca="false">Assumptions!$D$102*K6031</f>
        <v>0.25</v>
      </c>
      <c r="L6093" s="48" t="n">
        <f aca="false">Assumptions!$D$102*L6031</f>
        <v>0.25</v>
      </c>
      <c r="M6093" s="48" t="n">
        <f aca="false">Assumptions!$D$102*M6031</f>
        <v>0.25</v>
      </c>
      <c r="N6093" s="48" t="n">
        <f aca="false">Assumptions!$D$102*N6031</f>
        <v>0.25</v>
      </c>
      <c r="P6093" s="49" t="n">
        <f aca="false">AVERAGE(C6093:F6093)</f>
        <v>0.25</v>
      </c>
      <c r="Q6093" s="49" t="n">
        <f aca="false">AVERAGE(G6093:J6093)</f>
        <v>0.25</v>
      </c>
      <c r="R6093" s="49" t="n">
        <f aca="false">AVERAGE(K6093:N6093)</f>
        <v>0.25</v>
      </c>
      <c r="S6093" s="50"/>
    </row>
    <row r="6094" customFormat="false" ht="15" hidden="false" customHeight="false" outlineLevel="0" collapsed="false">
      <c r="A6094" s="4" t="s">
        <v>553</v>
      </c>
      <c r="B6094" s="36" t="s">
        <v>321</v>
      </c>
      <c r="C6094" s="48" t="n">
        <f aca="false">(C6078+C6079)/Assumptions!$E$74+C6077/Assumptions!$E$75</f>
        <v>0</v>
      </c>
      <c r="D6094" s="48" t="n">
        <f aca="false">(D6078+D6079)/Assumptions!$E$74+D6077/Assumptions!$E$75</f>
        <v>0.0143176301374139</v>
      </c>
      <c r="E6094" s="48" t="n">
        <f aca="false">(E6078+E6079)/Assumptions!$E$74+E6077/Assumptions!$E$75</f>
        <v>0.0403651969532757</v>
      </c>
      <c r="F6094" s="48" t="n">
        <f aca="false">(F6078+F6079)/Assumptions!$E$74+F6077/Assumptions!$E$75</f>
        <v>0.0697328920395314</v>
      </c>
      <c r="G6094" s="48" t="n">
        <f aca="false">(G6078+G6079)/Assumptions!$E$74+G6077/Assumptions!$E$75</f>
        <v>0.101460508918084</v>
      </c>
      <c r="H6094" s="48" t="n">
        <f aca="false">(H6078+H6079)/Assumptions!$E$74+H6077/Assumptions!$E$75</f>
        <v>0.140858882836074</v>
      </c>
      <c r="I6094" s="48" t="n">
        <f aca="false">(I6078+I6079)/Assumptions!$E$74+I6077/Assumptions!$E$75</f>
        <v>0.187614567501844</v>
      </c>
      <c r="J6094" s="48" t="n">
        <f aca="false">(J6078+J6079)/Assumptions!$E$74+J6077/Assumptions!$E$75</f>
        <v>0.252763298327306</v>
      </c>
      <c r="K6094" s="48" t="n">
        <f aca="false">(K6078+K6079)/Assumptions!$E$74+K6077/Assumptions!$E$75</f>
        <v>0.33542470705982</v>
      </c>
      <c r="L6094" s="48" t="n">
        <f aca="false">(L6078+L6079)/Assumptions!$E$74+L6077/Assumptions!$E$75</f>
        <v>0.418647938147174</v>
      </c>
      <c r="M6094" s="48" t="n">
        <f aca="false">(M6078+M6079)/Assumptions!$E$74+M6077/Assumptions!$E$75</f>
        <v>0.497960606350036</v>
      </c>
      <c r="N6094" s="48" t="n">
        <f aca="false">(N6078+N6079)/Assumptions!$E$74+N6077/Assumptions!$E$75</f>
        <v>0.573303680782993</v>
      </c>
      <c r="P6094" s="49" t="n">
        <f aca="false">AVERAGE(C6094:F6094)</f>
        <v>0.0311039297825552</v>
      </c>
      <c r="Q6094" s="49" t="n">
        <f aca="false">AVERAGE(G6094:J6094)</f>
        <v>0.170674314395827</v>
      </c>
      <c r="R6094" s="49" t="n">
        <f aca="false">AVERAGE(K6094:N6094)</f>
        <v>0.456334233085006</v>
      </c>
      <c r="S6094" s="50"/>
    </row>
    <row r="6095" customFormat="false" ht="15" hidden="false" customHeight="false" outlineLevel="0" collapsed="false">
      <c r="A6095" s="4" t="s">
        <v>554</v>
      </c>
      <c r="B6095" s="36" t="s">
        <v>125</v>
      </c>
      <c r="C6095" s="54" t="n">
        <f aca="false">(C6089+C6091)*Assumptions!$E$70/Assumptions!$E$69/4</f>
        <v>66753.5714285714</v>
      </c>
      <c r="D6095" s="54" t="n">
        <f aca="false">(D6089+D6091)*Assumptions!$E$70/Assumptions!$E$69/4</f>
        <v>66753.5714285714</v>
      </c>
      <c r="E6095" s="54" t="n">
        <f aca="false">(E6089+E6091)*Assumptions!$E$70/Assumptions!$E$69/4</f>
        <v>66753.5714285714</v>
      </c>
      <c r="F6095" s="54" t="n">
        <f aca="false">(F6089+F6091)*Assumptions!$E$70/Assumptions!$E$69/4</f>
        <v>66753.5714285714</v>
      </c>
      <c r="G6095" s="54" t="n">
        <f aca="false">(G6089+G6091)*Assumptions!$E$70/Assumptions!$E$69/4</f>
        <v>100130.357142857</v>
      </c>
      <c r="H6095" s="54" t="n">
        <f aca="false">(H6089+H6091)*Assumptions!$E$70/Assumptions!$E$69/4</f>
        <v>100130.357142857</v>
      </c>
      <c r="I6095" s="54" t="n">
        <f aca="false">(I6089+I6091)*Assumptions!$E$70/Assumptions!$E$69/4</f>
        <v>100130.357142857</v>
      </c>
      <c r="J6095" s="54" t="n">
        <f aca="false">(J6089+J6091)*Assumptions!$E$70/Assumptions!$E$69/4</f>
        <v>100130.357142857</v>
      </c>
      <c r="K6095" s="54" t="n">
        <f aca="false">(K6089+K6091)*Assumptions!$E$70/Assumptions!$E$69/4</f>
        <v>100130.357142857</v>
      </c>
      <c r="L6095" s="54" t="n">
        <f aca="false">(L6089+L6091)*Assumptions!$E$70/Assumptions!$E$69/4</f>
        <v>100130.357142857</v>
      </c>
      <c r="M6095" s="54" t="n">
        <f aca="false">(M6089+M6091)*Assumptions!$E$70/Assumptions!$E$69/4</f>
        <v>100130.357142857</v>
      </c>
      <c r="N6095" s="54" t="n">
        <f aca="false">(N6089+N6091)*Assumptions!$E$70/Assumptions!$E$69/4</f>
        <v>100130.357142857</v>
      </c>
      <c r="P6095" s="55" t="n">
        <f aca="false">SUM(C6095:F6095)</f>
        <v>267014.285714286</v>
      </c>
      <c r="Q6095" s="55" t="n">
        <f aca="false">SUM(G6095:J6095)</f>
        <v>400521.428571429</v>
      </c>
      <c r="R6095" s="55" t="n">
        <f aca="false">SUM(K6095:N6095)</f>
        <v>400521.428571429</v>
      </c>
      <c r="S6095" s="56" t="n">
        <f aca="false">SUM(P6095:R6095)</f>
        <v>1068057.14285714</v>
      </c>
    </row>
    <row r="6096" customFormat="false" ht="15" hidden="false" customHeight="false" outlineLevel="0" collapsed="false">
      <c r="A6096" s="4" t="s">
        <v>555</v>
      </c>
      <c r="B6096" s="36" t="s">
        <v>125</v>
      </c>
      <c r="C6096" s="54" t="n">
        <f aca="false">C6090*$C$6025/4</f>
        <v>0</v>
      </c>
      <c r="D6096" s="54" t="n">
        <f aca="false">D6090*$C$6025/4</f>
        <v>0</v>
      </c>
      <c r="E6096" s="54" t="n">
        <f aca="false">E6090*$C$6025/4</f>
        <v>0</v>
      </c>
      <c r="F6096" s="54" t="n">
        <f aca="false">F6090*$C$6025/4</f>
        <v>0</v>
      </c>
      <c r="G6096" s="54" t="n">
        <f aca="false">G6090*$C$6025/4</f>
        <v>0</v>
      </c>
      <c r="H6096" s="54" t="n">
        <f aca="false">H6090*$C$6025/4</f>
        <v>0</v>
      </c>
      <c r="I6096" s="54" t="n">
        <f aca="false">I6090*$C$6025/4</f>
        <v>0</v>
      </c>
      <c r="J6096" s="54" t="n">
        <f aca="false">J6090*$C$6025/4</f>
        <v>0</v>
      </c>
      <c r="K6096" s="54" t="n">
        <f aca="false">K6090*$C$6025/4</f>
        <v>0</v>
      </c>
      <c r="L6096" s="54" t="n">
        <f aca="false">L6090*$C$6025/4</f>
        <v>0</v>
      </c>
      <c r="M6096" s="54" t="n">
        <f aca="false">M6090*$C$6025/4</f>
        <v>0</v>
      </c>
      <c r="N6096" s="54" t="n">
        <f aca="false">N6090*$C$6025/4</f>
        <v>0</v>
      </c>
      <c r="P6096" s="55" t="n">
        <f aca="false">SUM(C6096:F6096)</f>
        <v>0</v>
      </c>
      <c r="Q6096" s="55" t="n">
        <f aca="false">SUM(G6096:J6096)</f>
        <v>0</v>
      </c>
      <c r="R6096" s="55" t="n">
        <f aca="false">SUM(K6096:N6096)</f>
        <v>0</v>
      </c>
      <c r="S6096" s="56" t="n">
        <f aca="false">SUM(P6096:R6096)</f>
        <v>0</v>
      </c>
    </row>
    <row r="6097" customFormat="false" ht="15" hidden="false" customHeight="false" outlineLevel="0" collapsed="false">
      <c r="A6097" s="4" t="s">
        <v>556</v>
      </c>
      <c r="B6097" s="36" t="s">
        <v>125</v>
      </c>
      <c r="C6097" s="54" t="n">
        <f aca="false">MAX(0,(C6085-C6066*$C$6021)-C6045*$C$6026)*$C$6027*Assumptions!$D$105</f>
        <v>0</v>
      </c>
      <c r="D6097" s="54" t="n">
        <f aca="false">MAX(0,(D6085-D6066*$C$6021)-D6045*$C$6026)*$C$6027*Assumptions!$D$105</f>
        <v>3491.72206180778</v>
      </c>
      <c r="E6097" s="54" t="n">
        <f aca="false">MAX(0,(E6085-E6066*$C$6021)-E6045*$C$6026)*$C$6027*Assumptions!$D$105</f>
        <v>8039.09651874593</v>
      </c>
      <c r="F6097" s="54" t="n">
        <f aca="false">MAX(0,(F6085-F6066*$C$6021)-F6045*$C$6026)*$C$6027*Assumptions!$D$105</f>
        <v>10124.750003461</v>
      </c>
      <c r="G6097" s="54" t="n">
        <f aca="false">MAX(0,(G6085-G6066*$C$6021)-G6045*$C$6026)*$C$6027*Assumptions!$D$105</f>
        <v>11120.4562644655</v>
      </c>
      <c r="H6097" s="54" t="n">
        <f aca="false">MAX(0,(H6085-H6066*$C$6021)-H6045*$C$6026)*$C$6027*Assumptions!$D$105</f>
        <v>13463.0357338943</v>
      </c>
      <c r="I6097" s="54" t="n">
        <f aca="false">MAX(0,(I6085-I6066*$C$6021)-I6045*$C$6026)*$C$6027*Assumptions!$D$105</f>
        <v>16072.2164343224</v>
      </c>
      <c r="J6097" s="54" t="n">
        <f aca="false">MAX(0,(J6085-J6066*$C$6021)-J6045*$C$6026)*$C$6027*Assumptions!$D$105</f>
        <v>21559.8957723031</v>
      </c>
      <c r="K6097" s="54" t="n">
        <f aca="false">MAX(0,(K6085-K6066*$C$6021)-K6045*$C$6026)*$C$6027*Assumptions!$D$105</f>
        <v>27808.6094682429</v>
      </c>
      <c r="L6097" s="54" t="n">
        <f aca="false">MAX(0,(L6085-L6066*$C$6021)-L6045*$C$6026)*$C$6027*Assumptions!$D$105</f>
        <v>29735.5837530454</v>
      </c>
      <c r="M6097" s="54" t="n">
        <f aca="false">MAX(0,(M6085-M6066*$C$6021)-M6045*$C$6026)*$C$6027*Assumptions!$D$105</f>
        <v>29201.3815340945</v>
      </c>
      <c r="N6097" s="54" t="n">
        <f aca="false">MAX(0,(N6085-N6066*$C$6021)-N6045*$C$6026)*$C$6027*Assumptions!$D$105</f>
        <v>28360.6706538674</v>
      </c>
      <c r="P6097" s="55" t="n">
        <f aca="false">SUM(C6097:F6097)</f>
        <v>21655.5685840147</v>
      </c>
      <c r="Q6097" s="55" t="n">
        <f aca="false">SUM(G6097:J6097)</f>
        <v>62215.6042049852</v>
      </c>
      <c r="R6097" s="55" t="n">
        <f aca="false">SUM(K6097:N6097)</f>
        <v>115106.24540925</v>
      </c>
      <c r="S6097" s="56" t="n">
        <f aca="false">SUM(P6097:R6097)</f>
        <v>198977.41819825</v>
      </c>
    </row>
    <row r="6098" customFormat="false" ht="15" hidden="false" customHeight="false" outlineLevel="0" collapsed="false">
      <c r="A6098" s="4" t="s">
        <v>557</v>
      </c>
      <c r="B6098" s="36" t="s">
        <v>125</v>
      </c>
      <c r="C6098" s="54" t="n">
        <f aca="false">C6093*Assumptions!$E$71/Assumptions!$E$69/4</f>
        <v>18475.8928571429</v>
      </c>
      <c r="D6098" s="54" t="n">
        <f aca="false">D6093*Assumptions!$E$71/Assumptions!$E$69/4</f>
        <v>18475.8928571429</v>
      </c>
      <c r="E6098" s="54" t="n">
        <f aca="false">E6093*Assumptions!$E$71/Assumptions!$E$69/4</f>
        <v>18475.8928571429</v>
      </c>
      <c r="F6098" s="54" t="n">
        <f aca="false">F6093*Assumptions!$E$71/Assumptions!$E$69/4</f>
        <v>18475.8928571429</v>
      </c>
      <c r="G6098" s="54" t="n">
        <f aca="false">G6093*Assumptions!$E$71/Assumptions!$E$69/4</f>
        <v>18475.8928571429</v>
      </c>
      <c r="H6098" s="54" t="n">
        <f aca="false">H6093*Assumptions!$E$71/Assumptions!$E$69/4</f>
        <v>18475.8928571429</v>
      </c>
      <c r="I6098" s="54" t="n">
        <f aca="false">I6093*Assumptions!$E$71/Assumptions!$E$69/4</f>
        <v>18475.8928571429</v>
      </c>
      <c r="J6098" s="54" t="n">
        <f aca="false">J6093*Assumptions!$E$71/Assumptions!$E$69/4</f>
        <v>18475.8928571429</v>
      </c>
      <c r="K6098" s="54" t="n">
        <f aca="false">K6093*Assumptions!$E$71/Assumptions!$E$69/4</f>
        <v>18475.8928571429</v>
      </c>
      <c r="L6098" s="54" t="n">
        <f aca="false">L6093*Assumptions!$E$71/Assumptions!$E$69/4</f>
        <v>18475.8928571429</v>
      </c>
      <c r="M6098" s="54" t="n">
        <f aca="false">M6093*Assumptions!$E$71/Assumptions!$E$69/4</f>
        <v>18475.8928571429</v>
      </c>
      <c r="N6098" s="54" t="n">
        <f aca="false">N6093*Assumptions!$E$71/Assumptions!$E$69/4</f>
        <v>18475.8928571429</v>
      </c>
      <c r="P6098" s="55" t="n">
        <f aca="false">SUM(C6098:F6098)</f>
        <v>73903.5714285714</v>
      </c>
      <c r="Q6098" s="55" t="n">
        <f aca="false">SUM(G6098:J6098)</f>
        <v>73903.5714285714</v>
      </c>
      <c r="R6098" s="55" t="n">
        <f aca="false">SUM(K6098:N6098)</f>
        <v>73903.5714285714</v>
      </c>
      <c r="S6098" s="56" t="n">
        <f aca="false">SUM(P6098:R6098)</f>
        <v>221710.714285714</v>
      </c>
    </row>
    <row r="6099" customFormat="false" ht="15" hidden="false" customHeight="false" outlineLevel="0" collapsed="false">
      <c r="A6099" s="4" t="s">
        <v>558</v>
      </c>
      <c r="B6099" s="36" t="s">
        <v>125</v>
      </c>
      <c r="C6099" s="54" t="n">
        <f aca="false">(Assumptions!$D$103+Assumptions!$E$77*((C6030=Assumptions!$E$13)+(C6030=Assumptions!$E$14)+(C6030=Assumptions!$E$15)))*C6031</f>
        <v>65000</v>
      </c>
      <c r="D6099" s="54" t="n">
        <f aca="false">(Assumptions!$D$103+Assumptions!$E$77*((D6030=Assumptions!$E$13)+(D6030=Assumptions!$E$14)+(D6030=Assumptions!$E$15)))*D6031</f>
        <v>25000</v>
      </c>
      <c r="E6099" s="54" t="n">
        <f aca="false">(Assumptions!$D$103+Assumptions!$E$77*((E6030=Assumptions!$E$13)+(E6030=Assumptions!$E$14)+(E6030=Assumptions!$E$15)))*E6031</f>
        <v>25000</v>
      </c>
      <c r="F6099" s="54" t="n">
        <f aca="false">(Assumptions!$D$103+Assumptions!$E$77*((F6030=Assumptions!$E$13)+(F6030=Assumptions!$E$14)+(F6030=Assumptions!$E$15)))*F6031</f>
        <v>25000</v>
      </c>
      <c r="G6099" s="54" t="n">
        <f aca="false">(Assumptions!$D$103+Assumptions!$E$77*((G6030=Assumptions!$E$13)+(G6030=Assumptions!$E$14)+(G6030=Assumptions!$E$15)))*G6031</f>
        <v>65000</v>
      </c>
      <c r="H6099" s="54" t="n">
        <f aca="false">(Assumptions!$D$103+Assumptions!$E$77*((H6030=Assumptions!$E$13)+(H6030=Assumptions!$E$14)+(H6030=Assumptions!$E$15)))*H6031</f>
        <v>25000</v>
      </c>
      <c r="I6099" s="54" t="n">
        <f aca="false">(Assumptions!$D$103+Assumptions!$E$77*((I6030=Assumptions!$E$13)+(I6030=Assumptions!$E$14)+(I6030=Assumptions!$E$15)))*I6031</f>
        <v>65000</v>
      </c>
      <c r="J6099" s="54" t="n">
        <f aca="false">(Assumptions!$D$103+Assumptions!$E$77*((J6030=Assumptions!$E$13)+(J6030=Assumptions!$E$14)+(J6030=Assumptions!$E$15)))*J6031</f>
        <v>25000</v>
      </c>
      <c r="K6099" s="54" t="n">
        <f aca="false">(Assumptions!$D$103+Assumptions!$E$77*((K6030=Assumptions!$E$13)+(K6030=Assumptions!$E$14)+(K6030=Assumptions!$E$15)))*K6031</f>
        <v>25000</v>
      </c>
      <c r="L6099" s="54" t="n">
        <f aca="false">(Assumptions!$D$103+Assumptions!$E$77*((L6030=Assumptions!$E$13)+(L6030=Assumptions!$E$14)+(L6030=Assumptions!$E$15)))*L6031</f>
        <v>25000</v>
      </c>
      <c r="M6099" s="54" t="n">
        <f aca="false">(Assumptions!$D$103+Assumptions!$E$77*((M6030=Assumptions!$E$13)+(M6030=Assumptions!$E$14)+(M6030=Assumptions!$E$15)))*M6031</f>
        <v>25000</v>
      </c>
      <c r="N6099" s="54" t="n">
        <f aca="false">(Assumptions!$D$103+Assumptions!$E$77*((N6030=Assumptions!$E$13)+(N6030=Assumptions!$E$14)+(N6030=Assumptions!$E$15)))*N6031</f>
        <v>25000</v>
      </c>
      <c r="P6099" s="55" t="n">
        <f aca="false">SUM(C6099:F6099)</f>
        <v>140000</v>
      </c>
      <c r="Q6099" s="55" t="n">
        <f aca="false">SUM(G6099:J6099)</f>
        <v>180000</v>
      </c>
      <c r="R6099" s="55" t="n">
        <f aca="false">SUM(K6099:N6099)</f>
        <v>100000</v>
      </c>
      <c r="S6099" s="56" t="n">
        <f aca="false">SUM(P6099:R6099)</f>
        <v>420000</v>
      </c>
    </row>
    <row r="6100" customFormat="false" ht="15" hidden="false" customHeight="false" outlineLevel="0" collapsed="false">
      <c r="A6100" s="4" t="s">
        <v>559</v>
      </c>
      <c r="B6100" s="36" t="s">
        <v>125</v>
      </c>
      <c r="C6100" s="54" t="n">
        <f aca="false">C6085*C6065*Assumptions!$E$79</f>
        <v>0</v>
      </c>
      <c r="D6100" s="54" t="n">
        <f aca="false">D6085*D6065*Assumptions!$E$79</f>
        <v>815.338873355417</v>
      </c>
      <c r="E6100" s="54" t="n">
        <f aca="false">E6085*E6065*Assumptions!$E$79</f>
        <v>1576.95453714349</v>
      </c>
      <c r="F6100" s="54" t="n">
        <f aca="false">F6085*F6065*Assumptions!$E$79</f>
        <v>2363.78759030579</v>
      </c>
      <c r="G6100" s="54" t="n">
        <f aca="false">G6085*G6065*Assumptions!$E$79</f>
        <v>2961.23316349717</v>
      </c>
      <c r="H6100" s="54" t="n">
        <f aca="false">H6085*H6065*Assumptions!$E$79</f>
        <v>3401.8566535345</v>
      </c>
      <c r="I6100" s="54" t="n">
        <f aca="false">I6085*I6065*Assumptions!$E$79</f>
        <v>3951.44098442022</v>
      </c>
      <c r="J6100" s="54" t="n">
        <f aca="false">J6085*J6065*Assumptions!$E$79</f>
        <v>4240.17604272452</v>
      </c>
      <c r="K6100" s="54" t="n">
        <f aca="false">K6085*K6065*Assumptions!$E$79</f>
        <v>4805.46240923336</v>
      </c>
      <c r="L6100" s="54" t="n">
        <f aca="false">L6085*L6065*Assumptions!$E$79</f>
        <v>5627.63185752923</v>
      </c>
      <c r="M6100" s="54" t="n">
        <f aca="false">M6085*M6065*Assumptions!$E$79</f>
        <v>5687.10015383768</v>
      </c>
      <c r="N6100" s="54" t="n">
        <f aca="false">N6085*N6065*Assumptions!$E$79</f>
        <v>5685.06198652904</v>
      </c>
      <c r="P6100" s="55" t="n">
        <f aca="false">SUM(C6100:F6100)</f>
        <v>4756.0810008047</v>
      </c>
      <c r="Q6100" s="55" t="n">
        <f aca="false">SUM(G6100:J6100)</f>
        <v>14554.7068441764</v>
      </c>
      <c r="R6100" s="55" t="n">
        <f aca="false">SUM(K6100:N6100)</f>
        <v>21805.2564071293</v>
      </c>
      <c r="S6100" s="56" t="n">
        <f aca="false">SUM(P6100:R6100)</f>
        <v>41116.0442521104</v>
      </c>
    </row>
    <row r="6101" customFormat="false" ht="15" hidden="false" customHeight="false" outlineLevel="0" collapsed="false">
      <c r="A6101" s="4" t="s">
        <v>560</v>
      </c>
      <c r="B6101" s="36" t="s">
        <v>125</v>
      </c>
      <c r="C6101" s="54" t="n">
        <f aca="false">C6050*Assumptions!$E$80</f>
        <v>4000</v>
      </c>
      <c r="D6101" s="54" t="n">
        <f aca="false">D6050*Assumptions!$E$80</f>
        <v>6000</v>
      </c>
      <c r="E6101" s="54" t="n">
        <f aca="false">E6050*Assumptions!$E$80</f>
        <v>8000</v>
      </c>
      <c r="F6101" s="54" t="n">
        <f aca="false">F6050*Assumptions!$E$80</f>
        <v>10000</v>
      </c>
      <c r="G6101" s="54" t="n">
        <f aca="false">G6050*Assumptions!$E$80</f>
        <v>12000</v>
      </c>
      <c r="H6101" s="54" t="n">
        <f aca="false">H6050*Assumptions!$E$80</f>
        <v>14000</v>
      </c>
      <c r="I6101" s="54" t="n">
        <f aca="false">I6050*Assumptions!$E$80</f>
        <v>16000</v>
      </c>
      <c r="J6101" s="54" t="n">
        <f aca="false">J6050*Assumptions!$E$80</f>
        <v>18000</v>
      </c>
      <c r="K6101" s="54" t="n">
        <f aca="false">K6050*Assumptions!$E$80</f>
        <v>20000</v>
      </c>
      <c r="L6101" s="54" t="n">
        <f aca="false">L6050*Assumptions!$E$80</f>
        <v>20000</v>
      </c>
      <c r="M6101" s="54" t="n">
        <f aca="false">M6050*Assumptions!$E$80</f>
        <v>20000</v>
      </c>
      <c r="N6101" s="54" t="n">
        <f aca="false">N6050*Assumptions!$E$80</f>
        <v>20000</v>
      </c>
      <c r="P6101" s="55" t="n">
        <f aca="false">SUM(C6101:F6101)</f>
        <v>28000</v>
      </c>
      <c r="Q6101" s="55" t="n">
        <f aca="false">SUM(G6101:J6101)</f>
        <v>60000</v>
      </c>
      <c r="R6101" s="55" t="n">
        <f aca="false">SUM(K6101:N6101)</f>
        <v>80000</v>
      </c>
      <c r="S6101" s="56" t="n">
        <f aca="false">SUM(P6101:R6101)</f>
        <v>168000</v>
      </c>
    </row>
    <row r="6102" customFormat="false" ht="15" hidden="false" customHeight="false" outlineLevel="0" collapsed="false">
      <c r="A6102" s="4" t="s">
        <v>561</v>
      </c>
      <c r="B6102" s="36" t="s">
        <v>125</v>
      </c>
      <c r="C6102" s="54" t="n">
        <f aca="false">(C6073*$C$6022+C6074*$C$6023)*Assumptions!$E$81</f>
        <v>0</v>
      </c>
      <c r="D6102" s="54" t="n">
        <f aca="false">(D6073*$C$6022+D6074*$C$6023)*Assumptions!$E$81</f>
        <v>635.937968364564</v>
      </c>
      <c r="E6102" s="54" t="n">
        <f aca="false">(E6073*$C$6022+E6074*$C$6023)*Assumptions!$E$81</f>
        <v>1750.54055351793</v>
      </c>
      <c r="F6102" s="54" t="n">
        <f aca="false">(F6073*$C$6022+F6074*$C$6023)*Assumptions!$E$81</f>
        <v>2334.90810210795</v>
      </c>
      <c r="G6102" s="54" t="n">
        <f aca="false">(G6073*$C$6022+G6074*$C$6023)*Assumptions!$E$81</f>
        <v>2567.01977128764</v>
      </c>
      <c r="H6102" s="54" t="n">
        <f aca="false">(H6073*$C$6022+H6074*$C$6023)*Assumptions!$E$81</f>
        <v>3030.96924471942</v>
      </c>
      <c r="I6102" s="54" t="n">
        <f aca="false">(I6073*$C$6022+I6074*$C$6023)*Assumptions!$E$81</f>
        <v>3599.72954781419</v>
      </c>
      <c r="J6102" s="54" t="n">
        <f aca="false">(J6073*$C$6022+J6074*$C$6023)*Assumptions!$E$81</f>
        <v>4611.5696968051</v>
      </c>
      <c r="K6102" s="54" t="n">
        <f aca="false">(K6073*$C$6022+K6074*$C$6023)*Assumptions!$E$81</f>
        <v>5939.56455642065</v>
      </c>
      <c r="L6102" s="54" t="n">
        <f aca="false">(L6073*$C$6022+L6074*$C$6023)*Assumptions!$E$81</f>
        <v>6537.87185823684</v>
      </c>
      <c r="M6102" s="54" t="n">
        <f aca="false">(M6073*$C$6022+M6074*$C$6023)*Assumptions!$E$81</f>
        <v>6455.63010570383</v>
      </c>
      <c r="N6102" s="54" t="n">
        <f aca="false">(N6073*$C$6022+N6074*$C$6023)*Assumptions!$E$81</f>
        <v>6268.61318404599</v>
      </c>
      <c r="P6102" s="55" t="n">
        <f aca="false">SUM(C6102:F6102)</f>
        <v>4721.38662399044</v>
      </c>
      <c r="Q6102" s="55" t="n">
        <f aca="false">SUM(G6102:J6102)</f>
        <v>13809.2882606264</v>
      </c>
      <c r="R6102" s="55" t="n">
        <f aca="false">SUM(K6102:N6102)</f>
        <v>25201.6797044073</v>
      </c>
      <c r="S6102" s="56" t="n">
        <f aca="false">SUM(P6102:R6102)</f>
        <v>43732.3545890241</v>
      </c>
    </row>
    <row r="6103" customFormat="false" ht="15" hidden="false" customHeight="false" outlineLevel="0" collapsed="false">
      <c r="A6103" s="9" t="s">
        <v>562</v>
      </c>
      <c r="B6103" s="36" t="s">
        <v>125</v>
      </c>
      <c r="C6103" s="55" t="n">
        <f aca="false">C6095+C6096+C6097+C6098+C6099+C6100+C6101+C6102</f>
        <v>154229.464285714</v>
      </c>
      <c r="D6103" s="55" t="n">
        <f aca="false">D6095+D6096+D6097+D6098+D6099+D6100+D6101+D6102</f>
        <v>121172.463189242</v>
      </c>
      <c r="E6103" s="55" t="n">
        <f aca="false">E6095+E6096+E6097+E6098+E6099+E6100+E6101+E6102</f>
        <v>129596.055895122</v>
      </c>
      <c r="F6103" s="55" t="n">
        <f aca="false">F6095+F6096+F6097+F6098+F6099+F6100+F6101+F6102</f>
        <v>135052.909981589</v>
      </c>
      <c r="G6103" s="55" t="n">
        <f aca="false">G6095+G6096+G6097+G6098+G6099+G6100+G6101+G6102</f>
        <v>212254.95919925</v>
      </c>
      <c r="H6103" s="55" t="n">
        <f aca="false">H6095+H6096+H6097+H6098+H6099+H6100+H6101+H6102</f>
        <v>177502.111632148</v>
      </c>
      <c r="I6103" s="55" t="n">
        <f aca="false">I6095+I6096+I6097+I6098+I6099+I6100+I6101+I6102</f>
        <v>223229.636966557</v>
      </c>
      <c r="J6103" s="55" t="n">
        <f aca="false">J6095+J6096+J6097+J6098+J6099+J6100+J6101+J6102</f>
        <v>192017.891511833</v>
      </c>
      <c r="K6103" s="55" t="n">
        <f aca="false">K6095+K6096+K6097+K6098+K6099+K6100+K6101+K6102</f>
        <v>202159.886433897</v>
      </c>
      <c r="L6103" s="55" t="n">
        <f aca="false">L6095+L6096+L6097+L6098+L6099+L6100+L6101+L6102</f>
        <v>205507.337468812</v>
      </c>
      <c r="M6103" s="55" t="n">
        <f aca="false">M6095+M6096+M6097+M6098+M6099+M6100+M6101+M6102</f>
        <v>204950.361793636</v>
      </c>
      <c r="N6103" s="55" t="n">
        <f aca="false">N6095+N6096+N6097+N6098+N6099+N6100+N6101+N6102</f>
        <v>203920.595824442</v>
      </c>
      <c r="P6103" s="55" t="n">
        <f aca="false">SUM(C6103:F6103)</f>
        <v>540050.893351667</v>
      </c>
      <c r="Q6103" s="55" t="n">
        <f aca="false">SUM(G6103:J6103)</f>
        <v>805004.599309788</v>
      </c>
      <c r="R6103" s="55" t="n">
        <f aca="false">SUM(K6103:N6103)</f>
        <v>816538.181520787</v>
      </c>
      <c r="S6103" s="56" t="n">
        <f aca="false">SUM(P6103:R6103)</f>
        <v>2161593.67418224</v>
      </c>
    </row>
    <row r="6104" customFormat="false" ht="15" hidden="false" customHeight="false" outlineLevel="0" collapsed="false">
      <c r="A6104" s="4" t="s">
        <v>563</v>
      </c>
      <c r="B6104" s="36" t="s">
        <v>125</v>
      </c>
      <c r="C6104" s="54" t="n">
        <f aca="false">C6092*Assumptions!$E$72/Assumptions!$E$69/4</f>
        <v>56535.7142857143</v>
      </c>
      <c r="D6104" s="54" t="n">
        <f aca="false">D6092*Assumptions!$E$72/Assumptions!$E$69/4</f>
        <v>56535.7142857143</v>
      </c>
      <c r="E6104" s="54" t="n">
        <f aca="false">E6092*Assumptions!$E$72/Assumptions!$E$69/4</f>
        <v>56535.7142857143</v>
      </c>
      <c r="F6104" s="54" t="n">
        <f aca="false">F6092*Assumptions!$E$72/Assumptions!$E$69/4</f>
        <v>56535.7142857143</v>
      </c>
      <c r="G6104" s="54" t="n">
        <f aca="false">G6092*Assumptions!$E$72/Assumptions!$E$69/4</f>
        <v>28267.8571428571</v>
      </c>
      <c r="H6104" s="54" t="n">
        <f aca="false">H6092*Assumptions!$E$72/Assumptions!$E$69/4</f>
        <v>28267.8571428571</v>
      </c>
      <c r="I6104" s="54" t="n">
        <f aca="false">I6092*Assumptions!$E$72/Assumptions!$E$69/4</f>
        <v>28267.8571428571</v>
      </c>
      <c r="J6104" s="54" t="n">
        <f aca="false">J6092*Assumptions!$E$72/Assumptions!$E$69/4</f>
        <v>28267.8571428571</v>
      </c>
      <c r="K6104" s="54" t="n">
        <f aca="false">K6092*Assumptions!$E$72/Assumptions!$E$69/4</f>
        <v>28267.8571428571</v>
      </c>
      <c r="L6104" s="54" t="n">
        <f aca="false">L6092*Assumptions!$E$72/Assumptions!$E$69/4</f>
        <v>28267.8571428571</v>
      </c>
      <c r="M6104" s="54" t="n">
        <f aca="false">M6092*Assumptions!$E$72/Assumptions!$E$69/4</f>
        <v>28267.8571428571</v>
      </c>
      <c r="N6104" s="54" t="n">
        <f aca="false">N6092*Assumptions!$E$72/Assumptions!$E$69/4</f>
        <v>28267.8571428571</v>
      </c>
      <c r="P6104" s="55" t="n">
        <f aca="false">SUM(C6104:F6104)</f>
        <v>226142.857142857</v>
      </c>
      <c r="Q6104" s="55" t="n">
        <f aca="false">SUM(G6104:J6104)</f>
        <v>113071.428571429</v>
      </c>
      <c r="R6104" s="55" t="n">
        <f aca="false">SUM(K6104:N6104)</f>
        <v>113071.428571429</v>
      </c>
      <c r="S6104" s="56" t="n">
        <f aca="false">SUM(P6104:R6104)</f>
        <v>452285.714285714</v>
      </c>
    </row>
    <row r="6105" customFormat="false" ht="15" hidden="false" customHeight="false" outlineLevel="0" collapsed="false">
      <c r="A6105" s="4" t="s">
        <v>564</v>
      </c>
      <c r="B6105" s="36" t="s">
        <v>125</v>
      </c>
      <c r="C6105" s="54" t="n">
        <f aca="false">IF(C6030&lt;=Assumptions!$E$83,Assumptions!$E$82*Assumptions!$D$108/Assumptions!$E$83,0)</f>
        <v>62500</v>
      </c>
      <c r="D6105" s="54" t="n">
        <f aca="false">IF(D6030&lt;=Assumptions!$E$83,Assumptions!$E$82*Assumptions!$D$108/Assumptions!$E$83,0)</f>
        <v>62500</v>
      </c>
      <c r="E6105" s="54" t="n">
        <f aca="false">IF(E6030&lt;=Assumptions!$E$83,Assumptions!$E$82*Assumptions!$D$108/Assumptions!$E$83,0)</f>
        <v>62500</v>
      </c>
      <c r="F6105" s="54" t="n">
        <f aca="false">IF(F6030&lt;=Assumptions!$E$83,Assumptions!$E$82*Assumptions!$D$108/Assumptions!$E$83,0)</f>
        <v>62500</v>
      </c>
      <c r="G6105" s="54" t="n">
        <f aca="false">IF(G6030&lt;=Assumptions!$E$83,Assumptions!$E$82*Assumptions!$D$108/Assumptions!$E$83,0)</f>
        <v>0</v>
      </c>
      <c r="H6105" s="54" t="n">
        <f aca="false">IF(H6030&lt;=Assumptions!$E$83,Assumptions!$E$82*Assumptions!$D$108/Assumptions!$E$83,0)</f>
        <v>0</v>
      </c>
      <c r="I6105" s="54" t="n">
        <f aca="false">IF(I6030&lt;=Assumptions!$E$83,Assumptions!$E$82*Assumptions!$D$108/Assumptions!$E$83,0)</f>
        <v>0</v>
      </c>
      <c r="J6105" s="54" t="n">
        <f aca="false">IF(J6030&lt;=Assumptions!$E$83,Assumptions!$E$82*Assumptions!$D$108/Assumptions!$E$83,0)</f>
        <v>0</v>
      </c>
      <c r="K6105" s="54" t="n">
        <f aca="false">IF(K6030&lt;=Assumptions!$E$83,Assumptions!$E$82*Assumptions!$D$108/Assumptions!$E$83,0)</f>
        <v>0</v>
      </c>
      <c r="L6105" s="54" t="n">
        <f aca="false">IF(L6030&lt;=Assumptions!$E$83,Assumptions!$E$82*Assumptions!$D$108/Assumptions!$E$83,0)</f>
        <v>0</v>
      </c>
      <c r="M6105" s="54" t="n">
        <f aca="false">IF(M6030&lt;=Assumptions!$E$83,Assumptions!$E$82*Assumptions!$D$108/Assumptions!$E$83,0)</f>
        <v>0</v>
      </c>
      <c r="N6105" s="54" t="n">
        <f aca="false">IF(N6030&lt;=Assumptions!$E$83,Assumptions!$E$82*Assumptions!$D$108/Assumptions!$E$83,0)</f>
        <v>0</v>
      </c>
      <c r="P6105" s="55" t="n">
        <f aca="false">SUM(C6105:F6105)</f>
        <v>250000</v>
      </c>
      <c r="Q6105" s="55" t="n">
        <f aca="false">SUM(G6105:J6105)</f>
        <v>0</v>
      </c>
      <c r="R6105" s="55" t="n">
        <f aca="false">SUM(K6105:N6105)</f>
        <v>0</v>
      </c>
      <c r="S6105" s="56" t="n">
        <f aca="false">SUM(P6105:R6105)</f>
        <v>250000</v>
      </c>
    </row>
    <row r="6106" customFormat="false" ht="15" hidden="false" customHeight="false" outlineLevel="0" collapsed="false">
      <c r="A6106" s="4" t="s">
        <v>565</v>
      </c>
      <c r="B6106" s="36" t="s">
        <v>125</v>
      </c>
      <c r="C6106" s="54" t="n">
        <f aca="false">C6094*Assumptions!$E$73/Assumptions!$E$69/4</f>
        <v>0</v>
      </c>
      <c r="D6106" s="54" t="n">
        <f aca="false">D6094*Assumptions!$E$73/Assumptions!$E$69/4</f>
        <v>575.3130595573</v>
      </c>
      <c r="E6106" s="54" t="n">
        <f aca="false">E6094*Assumptions!$E$73/Assumptions!$E$69/4</f>
        <v>1621.96011043323</v>
      </c>
      <c r="F6106" s="54" t="n">
        <f aca="false">F6094*Assumptions!$E$73/Assumptions!$E$69/4</f>
        <v>2802.01702977417</v>
      </c>
      <c r="G6106" s="54" t="n">
        <f aca="false">G6094*Assumptions!$E$73/Assumptions!$E$69/4</f>
        <v>4076.90066370488</v>
      </c>
      <c r="H6106" s="54" t="n">
        <f aca="false">H6094*Assumptions!$E$73/Assumptions!$E$69/4</f>
        <v>5660.01175281666</v>
      </c>
      <c r="I6106" s="54" t="n">
        <f aca="false">I6094*Assumptions!$E$73/Assumptions!$E$69/4</f>
        <v>7538.75535344018</v>
      </c>
      <c r="J6106" s="54" t="n">
        <f aca="false">J6094*Assumptions!$E$73/Assumptions!$E$69/4</f>
        <v>10156.5709624304</v>
      </c>
      <c r="K6106" s="54" t="n">
        <f aca="false">K6094*Assumptions!$E$73/Assumptions!$E$69/4</f>
        <v>13478.083496893</v>
      </c>
      <c r="L6106" s="54" t="n">
        <f aca="false">L6094*Assumptions!$E$73/Assumptions!$E$69/4</f>
        <v>16822.1712574781</v>
      </c>
      <c r="M6106" s="54" t="n">
        <f aca="false">M6094*Assumptions!$E$73/Assumptions!$E$69/4</f>
        <v>20009.1242215866</v>
      </c>
      <c r="N6106" s="54" t="n">
        <f aca="false">N6094*Assumptions!$E$73/Assumptions!$E$69/4</f>
        <v>23036.5704017481</v>
      </c>
      <c r="P6106" s="55" t="n">
        <f aca="false">SUM(C6106:F6106)</f>
        <v>4999.2901997647</v>
      </c>
      <c r="Q6106" s="55" t="n">
        <f aca="false">SUM(G6106:J6106)</f>
        <v>27432.2387323921</v>
      </c>
      <c r="R6106" s="55" t="n">
        <f aca="false">SUM(K6106:N6106)</f>
        <v>73345.9493777058</v>
      </c>
      <c r="S6106" s="56" t="n">
        <f aca="false">SUM(P6106:R6106)</f>
        <v>105777.478309863</v>
      </c>
    </row>
    <row r="6107" customFormat="false" ht="15" hidden="false" customHeight="false" outlineLevel="0" collapsed="false">
      <c r="A6107" s="9" t="s">
        <v>566</v>
      </c>
      <c r="B6107" s="36" t="s">
        <v>125</v>
      </c>
      <c r="C6107" s="55" t="n">
        <f aca="false">C6103+C6104+C6105+C6106</f>
        <v>273265.178571429</v>
      </c>
      <c r="D6107" s="55" t="n">
        <f aca="false">D6103+D6104+D6105+D6106</f>
        <v>240783.490534514</v>
      </c>
      <c r="E6107" s="55" t="n">
        <f aca="false">E6103+E6104+E6105+E6106</f>
        <v>250253.730291269</v>
      </c>
      <c r="F6107" s="55" t="n">
        <f aca="false">F6103+F6104+F6105+F6106</f>
        <v>256890.641297078</v>
      </c>
      <c r="G6107" s="55" t="n">
        <f aca="false">G6103+G6104+G6105+G6106</f>
        <v>244599.717005812</v>
      </c>
      <c r="H6107" s="55" t="n">
        <f aca="false">H6103+H6104+H6105+H6106</f>
        <v>211429.980527822</v>
      </c>
      <c r="I6107" s="55" t="n">
        <f aca="false">I6103+I6104+I6105+I6106</f>
        <v>259036.249462854</v>
      </c>
      <c r="J6107" s="55" t="n">
        <f aca="false">J6103+J6104+J6105+J6106</f>
        <v>230442.31961712</v>
      </c>
      <c r="K6107" s="55" t="n">
        <f aca="false">K6103+K6104+K6105+K6106</f>
        <v>243905.827073647</v>
      </c>
      <c r="L6107" s="55" t="n">
        <f aca="false">L6103+L6104+L6105+L6106</f>
        <v>250597.365869147</v>
      </c>
      <c r="M6107" s="55" t="n">
        <f aca="false">M6103+M6104+M6105+M6106</f>
        <v>253227.34315808</v>
      </c>
      <c r="N6107" s="55" t="n">
        <f aca="false">N6103+N6104+N6105+N6106</f>
        <v>255225.023369048</v>
      </c>
      <c r="P6107" s="55" t="n">
        <f aca="false">SUM(C6107:F6107)</f>
        <v>1021193.04069429</v>
      </c>
      <c r="Q6107" s="55" t="n">
        <f aca="false">SUM(G6107:J6107)</f>
        <v>945508.266613609</v>
      </c>
      <c r="R6107" s="55" t="n">
        <f aca="false">SUM(K6107:N6107)</f>
        <v>1002955.55946992</v>
      </c>
      <c r="S6107" s="56" t="n">
        <f aca="false">SUM(P6107:R6107)</f>
        <v>2969656.86677782</v>
      </c>
    </row>
    <row r="6108" customFormat="false" ht="15" hidden="false" customHeight="false" outlineLevel="0" collapsed="false">
      <c r="A6108" s="35" t="s">
        <v>567</v>
      </c>
      <c r="B6108" s="35" t="s">
        <v>444</v>
      </c>
      <c r="C6108" s="6" t="s">
        <v>354</v>
      </c>
      <c r="D6108" s="6" t="s">
        <v>355</v>
      </c>
      <c r="E6108" s="6" t="s">
        <v>356</v>
      </c>
      <c r="F6108" s="6" t="s">
        <v>357</v>
      </c>
      <c r="G6108" s="6" t="s">
        <v>358</v>
      </c>
      <c r="H6108" s="6" t="s">
        <v>359</v>
      </c>
      <c r="I6108" s="6" t="s">
        <v>360</v>
      </c>
      <c r="J6108" s="6" t="s">
        <v>361</v>
      </c>
      <c r="K6108" s="6" t="s">
        <v>362</v>
      </c>
      <c r="L6108" s="6" t="s">
        <v>363</v>
      </c>
      <c r="M6108" s="6" t="s">
        <v>364</v>
      </c>
      <c r="N6108" s="6" t="s">
        <v>365</v>
      </c>
      <c r="P6108" s="6" t="s">
        <v>445</v>
      </c>
      <c r="Q6108" s="6" t="s">
        <v>446</v>
      </c>
      <c r="R6108" s="6" t="s">
        <v>447</v>
      </c>
      <c r="S6108" s="6" t="s">
        <v>448</v>
      </c>
    </row>
    <row r="6109" customFormat="false" ht="15" hidden="false" customHeight="false" outlineLevel="0" collapsed="false">
      <c r="A6109" s="9" t="s">
        <v>568</v>
      </c>
      <c r="B6109" s="36" t="s">
        <v>125</v>
      </c>
      <c r="C6109" s="55" t="n">
        <f aca="false">C6087-C6107</f>
        <v>-273265.178571429</v>
      </c>
      <c r="D6109" s="55" t="n">
        <f aca="false">D6087-D6107</f>
        <v>-240062.280337795</v>
      </c>
      <c r="E6109" s="55" t="n">
        <f aca="false">E6087-E6107</f>
        <v>-247212.277423059</v>
      </c>
      <c r="F6109" s="55" t="n">
        <f aca="false">F6087-F6107</f>
        <v>-250246.351244425</v>
      </c>
      <c r="G6109" s="55" t="n">
        <f aca="false">G6087-G6107</f>
        <v>-233721.920440933</v>
      </c>
      <c r="H6109" s="55" t="n">
        <f aca="false">H6087-H6107</f>
        <v>-195581.458813343</v>
      </c>
      <c r="I6109" s="55" t="n">
        <f aca="false">I6087-I6107</f>
        <v>-237146.254977341</v>
      </c>
      <c r="J6109" s="55" t="n">
        <f aca="false">J6087-J6107</f>
        <v>-200770.086728946</v>
      </c>
      <c r="K6109" s="55" t="n">
        <f aca="false">K6087-K6107</f>
        <v>-203960.556480144</v>
      </c>
      <c r="L6109" s="55" t="n">
        <f aca="false">L6087-L6107</f>
        <v>-198646.898133549</v>
      </c>
      <c r="M6109" s="55" t="n">
        <f aca="false">M6087-M6107</f>
        <v>-188867.14523126</v>
      </c>
      <c r="N6109" s="55" t="n">
        <f aca="false">N6087-N6107</f>
        <v>-178540.999470748</v>
      </c>
      <c r="P6109" s="55" t="n">
        <f aca="false">SUM(C6109:F6109)</f>
        <v>-1010786.08757671</v>
      </c>
      <c r="Q6109" s="55" t="n">
        <f aca="false">SUM(G6109:J6109)</f>
        <v>-867219.720960563</v>
      </c>
      <c r="R6109" s="55" t="n">
        <f aca="false">SUM(K6109:N6109)</f>
        <v>-770015.599315702</v>
      </c>
      <c r="S6109" s="56" t="n">
        <f aca="false">SUM(P6109:R6109)</f>
        <v>-2648021.40785297</v>
      </c>
    </row>
    <row r="6110" customFormat="false" ht="15" hidden="false" customHeight="false" outlineLevel="0" collapsed="false">
      <c r="A6110" s="9" t="s">
        <v>569</v>
      </c>
      <c r="B6110" s="36" t="s">
        <v>125</v>
      </c>
      <c r="C6110" s="55" t="n">
        <f aca="false">0+C6109</f>
        <v>-273265.178571429</v>
      </c>
      <c r="D6110" s="55" t="n">
        <f aca="false">C6110+D6109</f>
        <v>-513327.458909223</v>
      </c>
      <c r="E6110" s="55" t="n">
        <f aca="false">D6110+E6109</f>
        <v>-760539.736332282</v>
      </c>
      <c r="F6110" s="55" t="n">
        <f aca="false">E6110+F6109</f>
        <v>-1010786.08757671</v>
      </c>
      <c r="G6110" s="55" t="n">
        <f aca="false">F6110+G6109</f>
        <v>-1244508.00801764</v>
      </c>
      <c r="H6110" s="55" t="n">
        <f aca="false">G6110+H6109</f>
        <v>-1440089.46683098</v>
      </c>
      <c r="I6110" s="55" t="n">
        <f aca="false">H6110+I6109</f>
        <v>-1677235.72180832</v>
      </c>
      <c r="J6110" s="55" t="n">
        <f aca="false">I6110+J6109</f>
        <v>-1878005.80853727</v>
      </c>
      <c r="K6110" s="55" t="n">
        <f aca="false">J6110+K6109</f>
        <v>-2081966.36501741</v>
      </c>
      <c r="L6110" s="55" t="n">
        <f aca="false">K6110+L6109</f>
        <v>-2280613.26315096</v>
      </c>
      <c r="M6110" s="55" t="n">
        <f aca="false">L6110+M6109</f>
        <v>-2469480.40838222</v>
      </c>
      <c r="N6110" s="55" t="n">
        <f aca="false">M6110+N6109</f>
        <v>-2648021.40785297</v>
      </c>
      <c r="P6110" s="55" t="n">
        <f aca="false">F6110</f>
        <v>-1010786.08757671</v>
      </c>
      <c r="Q6110" s="55" t="n">
        <f aca="false">J6110</f>
        <v>-1878005.80853727</v>
      </c>
      <c r="R6110" s="55" t="n">
        <f aca="false">N6110</f>
        <v>-2648021.40785297</v>
      </c>
      <c r="S6110" s="56" t="n">
        <f aca="false">R6110</f>
        <v>-2648021.40785297</v>
      </c>
    </row>
    <row r="6111" customFormat="false" ht="15" hidden="false" customHeight="false" outlineLevel="0" collapsed="false">
      <c r="A6111" s="4" t="s">
        <v>570</v>
      </c>
      <c r="B6111" s="36" t="s">
        <v>107</v>
      </c>
      <c r="C6111" s="57" t="n">
        <f aca="false">1/(1+Assumptions!$E$87)^(C6030/4)</f>
        <v>0.972065420906982</v>
      </c>
      <c r="D6111" s="57" t="n">
        <f aca="false">1/(1+Assumptions!$E$87)^(D6030/4)</f>
        <v>0.944911182523068</v>
      </c>
      <c r="E6111" s="57" t="n">
        <f aca="false">1/(1+Assumptions!$E$87)^(E6030/4)</f>
        <v>0.918515486359</v>
      </c>
      <c r="F6111" s="57" t="n">
        <f aca="false">1/(1+Assumptions!$E$87)^(F6030/4)</f>
        <v>0.892857142857143</v>
      </c>
      <c r="G6111" s="57" t="n">
        <f aca="false">1/(1+Assumptions!$E$87)^(G6030/4)</f>
        <v>0.867915554381234</v>
      </c>
      <c r="H6111" s="57" t="n">
        <f aca="false">1/(1+Assumptions!$E$87)^(H6030/4)</f>
        <v>0.843670698681311</v>
      </c>
      <c r="I6111" s="57" t="n">
        <f aca="false">1/(1+Assumptions!$E$87)^(I6030/4)</f>
        <v>0.820103112820536</v>
      </c>
      <c r="J6111" s="57" t="n">
        <f aca="false">1/(1+Assumptions!$E$87)^(J6030/4)</f>
        <v>0.79719387755102</v>
      </c>
      <c r="K6111" s="57" t="n">
        <f aca="false">1/(1+Assumptions!$E$87)^(K6030/4)</f>
        <v>0.774924602126102</v>
      </c>
      <c r="L6111" s="57" t="n">
        <f aca="false">1/(1+Assumptions!$E$87)^(L6030/4)</f>
        <v>0.753277409536885</v>
      </c>
      <c r="M6111" s="57" t="n">
        <f aca="false">1/(1+Assumptions!$E$87)^(M6030/4)</f>
        <v>0.732234922161193</v>
      </c>
      <c r="N6111" s="57" t="n">
        <f aca="false">1/(1+Assumptions!$E$87)^(N6030/4)</f>
        <v>0.711780247813411</v>
      </c>
      <c r="P6111" s="58"/>
      <c r="Q6111" s="58"/>
      <c r="R6111" s="58"/>
      <c r="S6111" s="59"/>
    </row>
    <row r="6112" customFormat="false" ht="15" hidden="false" customHeight="false" outlineLevel="0" collapsed="false">
      <c r="A6112" s="4" t="s">
        <v>571</v>
      </c>
      <c r="B6112" s="36" t="s">
        <v>125</v>
      </c>
      <c r="C6112" s="54" t="n">
        <f aca="false">(C6087*(1-Assumptions!$E$88)-C6107)*C6111</f>
        <v>-265631.630827257</v>
      </c>
      <c r="D6112" s="54" t="n">
        <f aca="false">(D6087*(1-Assumptions!$E$88)-D6107)*D6111</f>
        <v>-226973.829109136</v>
      </c>
      <c r="E6112" s="54" t="n">
        <f aca="false">(E6087*(1-Assumptions!$E$88)-E6107)*E6111</f>
        <v>-227627.029543253</v>
      </c>
      <c r="F6112" s="54" t="n">
        <f aca="false">(F6087*(1-Assumptions!$E$88)-F6107)*F6111</f>
        <v>-224620.722549067</v>
      </c>
      <c r="G6112" s="54" t="n">
        <f aca="false">(G6087*(1-Assumptions!$E$88)-G6107)*G6111</f>
        <v>-204739.09191775</v>
      </c>
      <c r="H6112" s="54" t="n">
        <f aca="false">(H6087*(1-Assumptions!$E$88)-H6107)*H6111</f>
        <v>-167680.532683747</v>
      </c>
      <c r="I6112" s="54" t="n">
        <f aca="false">(I6087*(1-Assumptions!$E$88)-I6107)*I6111</f>
        <v>-198074.792424089</v>
      </c>
      <c r="J6112" s="54" t="n">
        <f aca="false">(J6087*(1-Assumptions!$E$88)-J6107)*J6111</f>
        <v>-164783.588414047</v>
      </c>
      <c r="K6112" s="54" t="n">
        <f aca="false">(K6087*(1-Assumptions!$E$88)-K6107)*K6111</f>
        <v>-164244.967664092</v>
      </c>
      <c r="L6112" s="54" t="n">
        <f aca="false">(L6087*(1-Assumptions!$E$88)-L6107)*L6111</f>
        <v>-157462.843590597</v>
      </c>
      <c r="M6112" s="54" t="n">
        <f aca="false">(M6087*(1-Assumptions!$E$88)-M6107)*M6111</f>
        <v>-147720.476291063</v>
      </c>
      <c r="N6112" s="54" t="n">
        <f aca="false">(N6087*(1-Assumptions!$E$88)-N6107)*N6111</f>
        <v>-137998.391554876</v>
      </c>
      <c r="P6112" s="55" t="n">
        <f aca="false">SUM(C6112:F6112)</f>
        <v>-944853.212028714</v>
      </c>
      <c r="Q6112" s="55" t="n">
        <f aca="false">SUM(G6112:J6112)</f>
        <v>-735278.005439633</v>
      </c>
      <c r="R6112" s="55" t="n">
        <f aca="false">SUM(K6112:N6112)</f>
        <v>-607426.679100628</v>
      </c>
      <c r="S6112" s="56" t="n">
        <f aca="false">SUM(P6112:R6112)</f>
        <v>-2287557.89656897</v>
      </c>
    </row>
    <row r="6113" customFormat="false" ht="15" hidden="false" customHeight="false" outlineLevel="0" collapsed="false">
      <c r="A6113" s="4" t="s">
        <v>572</v>
      </c>
      <c r="B6113" s="36" t="s">
        <v>125</v>
      </c>
      <c r="C6113" s="54" t="n">
        <f aca="false">(C6107-C6106)*12/(Assumptions!$E$89*Assumptions!$E$76)*Assumptions!$E$90</f>
        <v>189183.585164835</v>
      </c>
      <c r="D6113" s="54" t="n">
        <f aca="false">(D6107-D6106)*12/(Assumptions!$E$89*Assumptions!$E$76)*Assumptions!$E$90</f>
        <v>166297.969021124</v>
      </c>
      <c r="E6113" s="54" t="n">
        <f aca="false">(E6107-E6106)*12/(Assumptions!$E$89*Assumptions!$E$76)*Assumptions!$E$90</f>
        <v>172129.687048271</v>
      </c>
      <c r="F6113" s="54" t="n">
        <f aca="false">(F6107-F6106)*12/(Assumptions!$E$89*Assumptions!$E$76)*Assumptions!$E$90</f>
        <v>175907.509108133</v>
      </c>
      <c r="G6113" s="54" t="n">
        <f aca="false">(G6107-G6106)*12/(Assumptions!$E$89*Assumptions!$E$76)*Assumptions!$E$90</f>
        <v>166515.795929151</v>
      </c>
      <c r="H6113" s="54" t="n">
        <f aca="false">(H6107-H6106)*12/(Assumptions!$E$89*Assumptions!$E$76)*Assumptions!$E$90</f>
        <v>142456.13222885</v>
      </c>
      <c r="I6113" s="54" t="n">
        <f aca="false">(I6107-I6106)*12/(Assumptions!$E$89*Assumptions!$E$76)*Assumptions!$E$90</f>
        <v>174113.649768056</v>
      </c>
      <c r="J6113" s="54" t="n">
        <f aca="false">(J6107-J6106)*12/(Assumptions!$E$89*Assumptions!$E$76)*Assumptions!$E$90</f>
        <v>152505.518299401</v>
      </c>
      <c r="K6113" s="54" t="n">
        <f aca="false">(K6107-K6106)*12/(Assumptions!$E$89*Assumptions!$E$76)*Assumptions!$E$90</f>
        <v>159526.899399291</v>
      </c>
      <c r="L6113" s="54" t="n">
        <f aca="false">(L6107-L6106)*12/(Assumptions!$E$89*Assumptions!$E$76)*Assumptions!$E$90</f>
        <v>161844.365500386</v>
      </c>
      <c r="M6113" s="54" t="n">
        <f aca="false">(M6107-M6106)*12/(Assumptions!$E$89*Assumptions!$E$76)*Assumptions!$E$90</f>
        <v>161458.766956034</v>
      </c>
      <c r="N6113" s="54" t="n">
        <f aca="false">(N6107-N6106)*12/(Assumptions!$E$89*Assumptions!$E$76)*Assumptions!$E$90</f>
        <v>160745.852054284</v>
      </c>
      <c r="P6113" s="55" t="n">
        <f aca="false">SUM(C6113:F6113)</f>
        <v>703518.750342363</v>
      </c>
      <c r="Q6113" s="55" t="n">
        <f aca="false">SUM(G6113:J6113)</f>
        <v>635591.096225458</v>
      </c>
      <c r="R6113" s="55" t="n">
        <f aca="false">SUM(K6113:N6113)</f>
        <v>643575.883909995</v>
      </c>
      <c r="S6113" s="56" t="n">
        <f aca="false">SUM(P6113:R6113)</f>
        <v>1982685.73047782</v>
      </c>
    </row>
    <row r="6114" customFormat="false" ht="15" hidden="false" customHeight="false" outlineLevel="0" collapsed="false">
      <c r="A6114" s="4" t="s">
        <v>573</v>
      </c>
      <c r="B6114" s="36" t="s">
        <v>125</v>
      </c>
      <c r="C6114" s="54" t="n">
        <f aca="false">0*Assumptions!$E$92^(1/4)+C6113</f>
        <v>189183.585164835</v>
      </c>
      <c r="D6114" s="54" t="n">
        <f aca="false">C6114*Assumptions!$E$92^(1/4)+D6113</f>
        <v>355952.749828138</v>
      </c>
      <c r="E6114" s="54" t="n">
        <f aca="false">D6114*Assumptions!$E$92^(1/4)+E6113</f>
        <v>528969.001027282</v>
      </c>
      <c r="F6114" s="54" t="n">
        <f aca="false">E6114*Assumptions!$E$92^(1/4)+F6113</f>
        <v>706194.00228419</v>
      </c>
      <c r="G6114" s="54" t="n">
        <f aca="false">F6114*Assumptions!$E$92^(1/4)+G6113</f>
        <v>874468.701006729</v>
      </c>
      <c r="H6114" s="54" t="n">
        <f aca="false">G6114*Assumptions!$E$92^(1/4)+H6113</f>
        <v>1019102.8543402</v>
      </c>
      <c r="I6114" s="54" t="n">
        <f aca="false">H6114*Assumptions!$E$92^(1/4)+I6113</f>
        <v>1195754.76250672</v>
      </c>
      <c r="J6114" s="54" t="n">
        <f aca="false">I6114*Assumptions!$E$92^(1/4)+J6113</f>
        <v>1351238.5224581</v>
      </c>
      <c r="K6114" s="54" t="n">
        <f aca="false">J6114*Assumptions!$E$92^(1/4)+K6113</f>
        <v>1514130.92369399</v>
      </c>
      <c r="L6114" s="54" t="n">
        <f aca="false">K6114*Assumptions!$E$92^(1/4)+L6113</f>
        <v>1679746.5037652</v>
      </c>
      <c r="M6114" s="54" t="n">
        <f aca="false">L6114*Assumptions!$E$92^(1/4)+M6113</f>
        <v>1845388.98059146</v>
      </c>
      <c r="N6114" s="54" t="n">
        <f aca="false">M6114*Assumptions!$E$92^(1/4)+N6113</f>
        <v>2010731.10480658</v>
      </c>
      <c r="P6114" s="55" t="n">
        <f aca="false">F6114</f>
        <v>706194.00228419</v>
      </c>
      <c r="Q6114" s="55" t="n">
        <f aca="false">J6114</f>
        <v>1351238.5224581</v>
      </c>
      <c r="R6114" s="55" t="n">
        <f aca="false">N6114</f>
        <v>2010731.10480658</v>
      </c>
      <c r="S6114" s="56" t="n">
        <f aca="false">R6114</f>
        <v>2010731.10480658</v>
      </c>
    </row>
    <row r="6115" customFormat="false" ht="15" hidden="false" customHeight="false" outlineLevel="0" collapsed="false">
      <c r="A6115" s="4" t="s">
        <v>574</v>
      </c>
      <c r="B6115" s="36" t="s">
        <v>125</v>
      </c>
      <c r="C6115" s="54" t="n">
        <f aca="false">(0+C6114)/8*Assumptions!$E$76-(C6107-C6106)-C6114*Assumptions!$E$93/4</f>
        <v>-260258.807091346</v>
      </c>
      <c r="D6115" s="54" t="n">
        <f aca="false">(C6114+D6114)/8*Assumptions!$E$76-(D6107-D6106)-D6114*Assumptions!$E$93/4</f>
        <v>-200365.259629629</v>
      </c>
      <c r="E6115" s="54" t="n">
        <f aca="false">(D6114+E6114)/8*Assumptions!$E$76-(E6107-E6106)-E6114*Assumptions!$E$93/4</f>
        <v>-183343.990436674</v>
      </c>
      <c r="F6115" s="54" t="n">
        <f aca="false">(E6114+F6114)/8*Assumptions!$E$76-(F6107-F6106)-F6114*Assumptions!$E$93/4</f>
        <v>-162559.055276799</v>
      </c>
      <c r="G6115" s="54" t="n">
        <f aca="false">(F6114+G6114)/8*Assumptions!$E$76-(G6107-G6106)-G6114*Assumptions!$E$93/4</f>
        <v>-123024.830462304</v>
      </c>
      <c r="H6115" s="54" t="n">
        <f aca="false">(G6114+H6114)/8*Assumptions!$E$76-(H6107-H6106)-H6114*Assumptions!$E$93/4</f>
        <v>-64656.0655823201</v>
      </c>
      <c r="I6115" s="54" t="n">
        <f aca="false">(H6114+I6114)/8*Assumptions!$E$76-(I6107-I6106)-I6114*Assumptions!$E$93/4</f>
        <v>-86487.2472719356</v>
      </c>
      <c r="J6115" s="54" t="n">
        <f aca="false">(I6114+J6114)/8*Assumptions!$E$76-(J6107-J6106)-J6114*Assumptions!$E$93/4</f>
        <v>-30233.0257820242</v>
      </c>
      <c r="K6115" s="54" t="n">
        <f aca="false">(J6114+K6114)/8*Assumptions!$E$76-(K6107-K6106)-K6114*Assumptions!$E$93/4</f>
        <v>-16543.1126230714</v>
      </c>
      <c r="L6115" s="54" t="n">
        <f aca="false">(K6114+L6114)/8*Assumptions!$E$76-(L6107-L6106)-L6114*Assumptions!$E$93/4</f>
        <v>4730.51507232551</v>
      </c>
      <c r="M6115" s="54" t="n">
        <f aca="false">(L6114+M6114)/8*Assumptions!$E$76-(M6107-M6106)-M6114*Assumptions!$E$93/4</f>
        <v>30131.676910092</v>
      </c>
      <c r="N6115" s="54" t="n">
        <f aca="false">(M6114+N6114)/8*Assumptions!$E$76-(N6107-N6106)-N6114*Assumptions!$E$93/4</f>
        <v>55987.1651612092</v>
      </c>
      <c r="P6115" s="55" t="n">
        <f aca="false">SUM(C6115:F6115)</f>
        <v>-806527.112434448</v>
      </c>
      <c r="Q6115" s="55" t="n">
        <f aca="false">SUM(G6115:J6115)</f>
        <v>-304401.169098584</v>
      </c>
      <c r="R6115" s="55" t="n">
        <f aca="false">SUM(K6115:N6115)</f>
        <v>74306.2445205553</v>
      </c>
      <c r="S6115" s="56" t="n">
        <f aca="false">SUM(P6115:R6115)</f>
        <v>-1036622.03701248</v>
      </c>
    </row>
    <row r="6116" customFormat="false" ht="15" hidden="false" customHeight="false" outlineLevel="0" collapsed="false">
      <c r="A6116" s="4" t="s">
        <v>575</v>
      </c>
      <c r="B6116" s="36" t="s">
        <v>125</v>
      </c>
      <c r="C6116" s="54" t="n">
        <f aca="false">C6115*C6111</f>
        <v>-252988.586859998</v>
      </c>
      <c r="D6116" s="54" t="n">
        <f aca="false">D6115*D6111</f>
        <v>-189327.374413174</v>
      </c>
      <c r="E6116" s="54" t="n">
        <f aca="false">E6115*E6111</f>
        <v>-168404.294546942</v>
      </c>
      <c r="F6116" s="54" t="n">
        <f aca="false">F6115*F6111</f>
        <v>-145142.013639999</v>
      </c>
      <c r="G6116" s="54" t="n">
        <f aca="false">G6115*G6111</f>
        <v>-106775.163933348</v>
      </c>
      <c r="H6116" s="54" t="n">
        <f aca="false">H6115*H6111</f>
        <v>-54548.4280238207</v>
      </c>
      <c r="I6116" s="54" t="n">
        <f aca="false">I6115*I6111</f>
        <v>-70928.4607069938</v>
      </c>
      <c r="J6116" s="54" t="n">
        <f aca="false">J6115*J6111</f>
        <v>-24101.5830532718</v>
      </c>
      <c r="K6116" s="54" t="n">
        <f aca="false">K6115*K6111</f>
        <v>-12819.6649673609</v>
      </c>
      <c r="L6116" s="54" t="n">
        <f aca="false">L6115*L6111</f>
        <v>3563.39013945655</v>
      </c>
      <c r="M6116" s="54" t="n">
        <f aca="false">M6115*M6111</f>
        <v>22063.4660968474</v>
      </c>
      <c r="N6116" s="54" t="n">
        <f aca="false">N6115*N6111</f>
        <v>39850.5582928159</v>
      </c>
      <c r="P6116" s="55" t="n">
        <f aca="false">SUM(C6116:F6116)</f>
        <v>-755862.269460113</v>
      </c>
      <c r="Q6116" s="55" t="n">
        <f aca="false">SUM(G6116:J6116)</f>
        <v>-256353.635717434</v>
      </c>
      <c r="R6116" s="55" t="n">
        <f aca="false">SUM(K6116:N6116)</f>
        <v>52657.749561759</v>
      </c>
      <c r="S6116" s="56" t="n">
        <f aca="false">SUM(P6116:R6116)</f>
        <v>-959558.155615789</v>
      </c>
    </row>
    <row r="6117" customFormat="false" ht="15" hidden="false" customHeight="false" outlineLevel="0" collapsed="false">
      <c r="A6117" s="4" t="s">
        <v>576</v>
      </c>
      <c r="B6117" s="36"/>
      <c r="C6117" s="37" t="n">
        <f aca="false">IFERROR((S6072*$C$6021*Assumptions!$F$59+S6073*$C$6022*Assumptions!$F$60+S6074*$C$6023*Assumptions!$F$61)/(S6072*$C$6021+S6073*$C$6022+S6074*$C$6023),0.9)</f>
        <v>0.927372181179546</v>
      </c>
    </row>
    <row r="6118" customFormat="false" ht="15" hidden="false" customHeight="false" outlineLevel="0" collapsed="false">
      <c r="A6118" s="4" t="s">
        <v>577</v>
      </c>
      <c r="B6118" s="36"/>
      <c r="C6118" s="37" t="n">
        <f aca="false">IFERROR(N6106*4/N6084,0)</f>
        <v>0.180816288081842</v>
      </c>
    </row>
    <row r="6119" customFormat="false" ht="15" hidden="false" customHeight="false" outlineLevel="0" collapsed="false">
      <c r="A6119" s="4" t="s">
        <v>578</v>
      </c>
      <c r="B6119" s="36"/>
      <c r="C6119" s="60" t="n">
        <f aca="false">$C$6117/(1+Assumptions!$E$87)</f>
        <v>0.828010876053166</v>
      </c>
    </row>
    <row r="6120" customFormat="false" ht="15" hidden="false" customHeight="false" outlineLevel="0" collapsed="false">
      <c r="A6120" s="4" t="s">
        <v>579</v>
      </c>
      <c r="B6120" s="36"/>
      <c r="C6120" s="60" t="n">
        <f aca="false">Assumptions!$E$91/(1+Assumptions!$E$87)</f>
        <v>0.803571428571429</v>
      </c>
    </row>
    <row r="6121" customFormat="false" ht="15" hidden="false" customHeight="false" outlineLevel="0" collapsed="false">
      <c r="A6121" s="35" t="s">
        <v>580</v>
      </c>
      <c r="B6121" s="35" t="s">
        <v>444</v>
      </c>
      <c r="C6121" s="6" t="s">
        <v>354</v>
      </c>
      <c r="D6121" s="6" t="s">
        <v>355</v>
      </c>
      <c r="E6121" s="6" t="s">
        <v>356</v>
      </c>
      <c r="F6121" s="6" t="s">
        <v>357</v>
      </c>
      <c r="G6121" s="6" t="s">
        <v>358</v>
      </c>
      <c r="H6121" s="6" t="s">
        <v>359</v>
      </c>
      <c r="I6121" s="6" t="s">
        <v>360</v>
      </c>
      <c r="J6121" s="6" t="s">
        <v>361</v>
      </c>
      <c r="K6121" s="6" t="s">
        <v>362</v>
      </c>
      <c r="L6121" s="6" t="s">
        <v>363</v>
      </c>
      <c r="M6121" s="6" t="s">
        <v>364</v>
      </c>
      <c r="N6121" s="6" t="s">
        <v>365</v>
      </c>
      <c r="P6121" s="6" t="s">
        <v>445</v>
      </c>
      <c r="Q6121" s="6" t="s">
        <v>446</v>
      </c>
      <c r="R6121" s="6" t="s">
        <v>447</v>
      </c>
      <c r="S6121" s="6" t="s">
        <v>448</v>
      </c>
    </row>
    <row r="6122" customFormat="false" ht="15" hidden="false" customHeight="false" outlineLevel="0" collapsed="false">
      <c r="A6122" s="9" t="s">
        <v>581</v>
      </c>
      <c r="C6122" s="61" t="n">
        <f aca="false">N6084</f>
        <v>509612.726732255</v>
      </c>
      <c r="D6122" s="61"/>
    </row>
    <row r="6123" customFormat="false" ht="15" hidden="false" customHeight="false" outlineLevel="0" collapsed="false">
      <c r="A6123" s="9" t="s">
        <v>582</v>
      </c>
      <c r="C6123" s="62" t="n">
        <f aca="false">N6080</f>
        <v>50.8998600750273</v>
      </c>
      <c r="D6123" s="62"/>
    </row>
    <row r="6124" customFormat="false" ht="15" hidden="false" customHeight="false" outlineLevel="0" collapsed="false">
      <c r="A6124" s="9" t="s">
        <v>583</v>
      </c>
      <c r="C6124" s="63" t="n">
        <f aca="false">S6075</f>
        <v>54.7491194625937</v>
      </c>
      <c r="D6124" s="63"/>
    </row>
    <row r="6125" customFormat="false" ht="15" hidden="false" customHeight="false" outlineLevel="0" collapsed="false">
      <c r="A6125" s="9" t="s">
        <v>584</v>
      </c>
      <c r="C6125" s="61" t="n">
        <f aca="false">S6086</f>
        <v>494823.782961303</v>
      </c>
      <c r="D6125" s="61"/>
    </row>
    <row r="6126" customFormat="false" ht="15" hidden="false" customHeight="false" outlineLevel="0" collapsed="false">
      <c r="A6126" s="9" t="s">
        <v>22</v>
      </c>
      <c r="C6126" s="61" t="n">
        <f aca="false">IFERROR(S6085/S6075,0)</f>
        <v>8847.97350983958</v>
      </c>
      <c r="D6126" s="61"/>
    </row>
    <row r="6127" customFormat="false" ht="15" hidden="false" customHeight="false" outlineLevel="0" collapsed="false">
      <c r="A6127" s="9" t="s">
        <v>585</v>
      </c>
      <c r="C6127" s="61" t="n">
        <f aca="false">IFERROR(S6103/S6075,0)</f>
        <v>39481.7979795841</v>
      </c>
      <c r="D6127" s="61"/>
    </row>
    <row r="6128" customFormat="false" ht="23.85" hidden="false" customHeight="false" outlineLevel="0" collapsed="false">
      <c r="A6128" s="9" t="s">
        <v>586</v>
      </c>
      <c r="C6128" s="61" t="n">
        <f aca="false">IFERROR((S6097+S6099+S6100+S6101+S6102)/S6075,0)</f>
        <v>15924.0153192791</v>
      </c>
      <c r="D6128" s="61"/>
    </row>
    <row r="6129" customFormat="false" ht="15" hidden="false" customHeight="false" outlineLevel="0" collapsed="false">
      <c r="A6129" s="9" t="s">
        <v>587</v>
      </c>
      <c r="C6129" s="64" t="n">
        <f aca="false">IFERROR('Engine Runs'!$C$6127/('Engine Runs'!$C$6126*Assumptions!$E$76/12),0)</f>
        <v>82.3798501566715</v>
      </c>
      <c r="D6129" s="64"/>
    </row>
    <row r="6130" customFormat="false" ht="15" hidden="false" customHeight="false" outlineLevel="0" collapsed="false">
      <c r="A6130" s="9" t="s">
        <v>588</v>
      </c>
      <c r="C6130" s="64" t="n">
        <f aca="false">IFERROR((R6103/R6075)/((R6085/R6075)*Assumptions!$E$76/12),0)</f>
        <v>53.7401674227257</v>
      </c>
      <c r="D6130" s="64"/>
    </row>
    <row r="6131" customFormat="false" ht="15" hidden="false" customHeight="false" outlineLevel="0" collapsed="false">
      <c r="A6131" s="9" t="s">
        <v>589</v>
      </c>
      <c r="C6131" s="61" t="n">
        <f aca="false">S6107</f>
        <v>2969656.86677782</v>
      </c>
      <c r="D6131" s="61"/>
    </row>
    <row r="6132" customFormat="false" ht="15" hidden="false" customHeight="false" outlineLevel="0" collapsed="false">
      <c r="A6132" s="9" t="s">
        <v>590</v>
      </c>
      <c r="C6132" s="61" t="n">
        <f aca="false">N6110</f>
        <v>-2648021.40785297</v>
      </c>
      <c r="D6132" s="61"/>
    </row>
    <row r="6133" customFormat="false" ht="15" hidden="false" customHeight="false" outlineLevel="0" collapsed="false">
      <c r="A6133" s="9" t="s">
        <v>591</v>
      </c>
      <c r="C6133" s="61" t="n">
        <f aca="false">MIN($C$6110:$N$6110)</f>
        <v>-2648021.40785297</v>
      </c>
      <c r="D6133" s="61"/>
    </row>
    <row r="6134" customFormat="false" ht="15" hidden="false" customHeight="false" outlineLevel="0" collapsed="false">
      <c r="A6134" s="9" t="s">
        <v>592</v>
      </c>
      <c r="C6134" s="61" t="n">
        <f aca="false">N6084*(Assumptions!$E$76-$C$6118)*$C$6117*(1-$C$6117^Assumptions!$E$85)/(1-$C$6117)</f>
        <v>958917.859951754</v>
      </c>
      <c r="D6134" s="61"/>
    </row>
    <row r="6135" customFormat="false" ht="15" hidden="false" customHeight="false" outlineLevel="0" collapsed="false">
      <c r="A6135" s="9" t="s">
        <v>593</v>
      </c>
      <c r="C6135" s="61" t="n">
        <f aca="false">N6084*(Assumptions!$E$76-$C$6118)*(1-Assumptions!$E$88)/(1+Assumptions!$E$87)^2.5*$C$6119*(1-$C$6119^Assumptions!$E$85)/(1-$C$6119)</f>
        <v>423699.067599382</v>
      </c>
      <c r="D6135" s="61"/>
    </row>
    <row r="6136" customFormat="false" ht="15" hidden="false" customHeight="false" outlineLevel="0" collapsed="false">
      <c r="A6136" s="9" t="s">
        <v>594</v>
      </c>
      <c r="C6136" s="61" t="n">
        <f aca="false">SUM($C$6112:$N$6112)+'Engine Runs'!$C$6135</f>
        <v>-1863858.82896959</v>
      </c>
      <c r="D6136" s="61"/>
    </row>
    <row r="6137" customFormat="false" ht="15" hidden="false" customHeight="false" outlineLevel="0" collapsed="false">
      <c r="A6137" s="9" t="s">
        <v>595</v>
      </c>
      <c r="C6137" s="61" t="n">
        <f aca="false">SUM($C$6116:$N$6116)+N6114*(Assumptions!$E$76-Assumptions!$E$93)/(1+Assumptions!$E$87)^2.5*$C$6120*(1-$C$6120^Assumptions!$E$85)/(1-$C$6120)</f>
        <v>1512522.02860027</v>
      </c>
      <c r="D6137" s="61"/>
    </row>
    <row r="6138" customFormat="false" ht="15" hidden="false" customHeight="false" outlineLevel="0" collapsed="false">
      <c r="A6138" s="9" t="s">
        <v>596</v>
      </c>
      <c r="C6138" s="61" t="n">
        <f aca="false">'Engine Runs'!$C$6136-'Engine Runs'!$C$6137</f>
        <v>-3376380.85756986</v>
      </c>
      <c r="D6138" s="61"/>
    </row>
    <row r="6139" customFormat="false" ht="15" hidden="false" customHeight="false" outlineLevel="0" collapsed="false">
      <c r="A6139" s="9" t="s">
        <v>597</v>
      </c>
      <c r="C6139" s="61" t="n">
        <f aca="false">S6071</f>
        <v>0</v>
      </c>
      <c r="D6139" s="61"/>
    </row>
    <row r="6140" customFormat="false" ht="15" hidden="false" customHeight="false" outlineLevel="0" collapsed="false">
      <c r="A6140" s="9" t="s">
        <v>598</v>
      </c>
      <c r="C6140" s="63" t="n">
        <f aca="false">P6055</f>
        <v>43.6188722246667</v>
      </c>
      <c r="D6140" s="63"/>
    </row>
    <row r="6141" customFormat="false" ht="15" hidden="false" customHeight="false" outlineLevel="0" collapsed="false">
      <c r="A6141" s="9" t="s">
        <v>599</v>
      </c>
      <c r="C6141" s="63" t="n">
        <f aca="false">P6075</f>
        <v>6.18260904948639</v>
      </c>
      <c r="D6141" s="63"/>
    </row>
    <row r="6142" customFormat="false" ht="15" hidden="false" customHeight="false" outlineLevel="0" collapsed="false">
      <c r="A6142" s="9" t="s">
        <v>600</v>
      </c>
      <c r="C6142" s="63" t="n">
        <f aca="false">P6051</f>
        <v>42</v>
      </c>
      <c r="D6142" s="63"/>
    </row>
    <row r="6143" customFormat="false" ht="15" hidden="false" customHeight="false" outlineLevel="0" collapsed="false">
      <c r="A6143" s="9" t="s">
        <v>601</v>
      </c>
      <c r="C6143" s="61" t="n">
        <f aca="false">IFERROR(P6085/P6075,0)</f>
        <v>8545.01753177967</v>
      </c>
      <c r="D6143" s="61"/>
    </row>
    <row r="6146" customFormat="false" ht="15" hidden="false" customHeight="true" outlineLevel="0" collapsed="false">
      <c r="A6146" s="78" t="s">
        <v>873</v>
      </c>
      <c r="B6146" s="78"/>
      <c r="C6146" s="78"/>
      <c r="D6146" s="78"/>
      <c r="E6146" s="78"/>
      <c r="F6146" s="78"/>
      <c r="G6146" s="78"/>
      <c r="H6146" s="78"/>
      <c r="I6146" s="78"/>
      <c r="J6146" s="78"/>
      <c r="K6146" s="78"/>
      <c r="L6146" s="78"/>
      <c r="M6146" s="78"/>
      <c r="N6146" s="78"/>
    </row>
    <row r="6147" customFormat="false" ht="15" hidden="false" customHeight="true" outlineLevel="0" collapsed="false">
      <c r="A6147" s="79" t="s">
        <v>874</v>
      </c>
      <c r="B6147" s="79"/>
      <c r="C6147" s="79"/>
      <c r="D6147" s="79"/>
      <c r="E6147" s="79"/>
      <c r="F6147" s="79"/>
      <c r="G6147" s="79"/>
      <c r="H6147" s="79"/>
      <c r="I6147" s="79"/>
      <c r="J6147" s="79"/>
      <c r="K6147" s="79"/>
      <c r="L6147" s="79"/>
      <c r="M6147" s="79"/>
      <c r="N6147" s="79"/>
    </row>
    <row r="6148" customFormat="false" ht="23.85" hidden="false" customHeight="false" outlineLevel="0" collapsed="false">
      <c r="A6148" s="35" t="s">
        <v>875</v>
      </c>
      <c r="B6148" s="35" t="s">
        <v>444</v>
      </c>
      <c r="C6148" s="6" t="s">
        <v>354</v>
      </c>
      <c r="D6148" s="6" t="s">
        <v>355</v>
      </c>
      <c r="E6148" s="6" t="s">
        <v>356</v>
      </c>
      <c r="F6148" s="6" t="s">
        <v>357</v>
      </c>
      <c r="G6148" s="6" t="s">
        <v>358</v>
      </c>
      <c r="H6148" s="6" t="s">
        <v>359</v>
      </c>
      <c r="I6148" s="6" t="s">
        <v>360</v>
      </c>
      <c r="J6148" s="6" t="s">
        <v>361</v>
      </c>
      <c r="K6148" s="6" t="s">
        <v>362</v>
      </c>
      <c r="L6148" s="6" t="s">
        <v>363</v>
      </c>
      <c r="M6148" s="6" t="s">
        <v>364</v>
      </c>
      <c r="N6148" s="6" t="s">
        <v>365</v>
      </c>
      <c r="P6148" s="6" t="s">
        <v>445</v>
      </c>
      <c r="Q6148" s="6" t="s">
        <v>446</v>
      </c>
      <c r="R6148" s="6" t="s">
        <v>447</v>
      </c>
      <c r="S6148" s="6" t="s">
        <v>448</v>
      </c>
    </row>
    <row r="6149" customFormat="false" ht="15" hidden="false" customHeight="false" outlineLevel="0" collapsed="false">
      <c r="A6149" s="4" t="s">
        <v>449</v>
      </c>
      <c r="B6149" s="36" t="s">
        <v>450</v>
      </c>
      <c r="C6149" s="34" t="n">
        <f aca="false">'Market Sizing'!$C$17*Assumptions!$E$10*Assumptions!$E$11*(1-Assumptions!$E$12)</f>
        <v>843.03944704</v>
      </c>
    </row>
    <row r="6150" customFormat="false" ht="15" hidden="false" customHeight="false" outlineLevel="0" collapsed="false">
      <c r="A6150" s="4" t="s">
        <v>451</v>
      </c>
      <c r="B6150" s="36" t="s">
        <v>450</v>
      </c>
      <c r="C6150" s="34" t="n">
        <f aca="false">'Market Sizing'!$D$17*Assumptions!$E$10*Assumptions!$E$11*(1-Assumptions!$E$12)</f>
        <v>211.19616</v>
      </c>
    </row>
    <row r="6151" customFormat="false" ht="15" hidden="false" customHeight="false" outlineLevel="0" collapsed="false">
      <c r="A6151" s="4" t="s">
        <v>452</v>
      </c>
      <c r="B6151" s="36" t="s">
        <v>450</v>
      </c>
      <c r="C6151" s="34" t="n">
        <f aca="false">'Market Sizing'!$E$17*Assumptions!$E$10*Assumptions!$E$11*(1-Assumptions!$E$12)</f>
        <v>49.53984</v>
      </c>
    </row>
    <row r="6152" customFormat="false" ht="15" hidden="false" customHeight="false" outlineLevel="0" collapsed="false">
      <c r="A6152" s="4" t="s">
        <v>453</v>
      </c>
      <c r="B6152" s="36"/>
      <c r="C6152" s="34" t="n">
        <f aca="false">$C$6149+$C$6150+$C$6151</f>
        <v>1103.77544704</v>
      </c>
    </row>
    <row r="6153" customFormat="false" ht="15" hidden="false" customHeight="false" outlineLevel="0" collapsed="false">
      <c r="A6153" s="4" t="s">
        <v>454</v>
      </c>
      <c r="B6153" s="36" t="s">
        <v>450</v>
      </c>
      <c r="C6153" s="34" t="n">
        <f aca="false">'Market Sizing'!$C$18*Assumptions!$E$10*Assumptions!$E$11*(1-Assumptions!$E$12)</f>
        <v>612.57706944</v>
      </c>
    </row>
    <row r="6154" customFormat="false" ht="15" hidden="false" customHeight="false" outlineLevel="0" collapsed="false">
      <c r="A6154" s="4" t="s">
        <v>455</v>
      </c>
      <c r="B6154" s="36" t="s">
        <v>450</v>
      </c>
      <c r="C6154" s="34" t="n">
        <f aca="false">'Market Sizing'!$D$18*Assumptions!$E$10*Assumptions!$E$11*(1-Assumptions!$E$12)</f>
        <v>142.10112</v>
      </c>
    </row>
    <row r="6155" customFormat="false" ht="15" hidden="false" customHeight="false" outlineLevel="0" collapsed="false">
      <c r="A6155" s="4" t="s">
        <v>456</v>
      </c>
      <c r="B6155" s="36" t="s">
        <v>450</v>
      </c>
      <c r="C6155" s="34" t="n">
        <f aca="false">'Market Sizing'!$E$18*Assumptions!$E$10*Assumptions!$E$11*(1-Assumptions!$E$12)</f>
        <v>24.76992</v>
      </c>
    </row>
    <row r="6156" customFormat="false" ht="15" hidden="false" customHeight="false" outlineLevel="0" collapsed="false">
      <c r="A6156" s="4" t="s">
        <v>457</v>
      </c>
      <c r="B6156" s="36"/>
      <c r="C6156" s="34" t="n">
        <f aca="false">$C$6153+$C$6154+$C$6155</f>
        <v>779.44810944</v>
      </c>
    </row>
    <row r="6157" customFormat="false" ht="15" hidden="false" customHeight="false" outlineLevel="0" collapsed="false">
      <c r="A6157" s="4" t="s">
        <v>458</v>
      </c>
      <c r="B6157" s="36" t="s">
        <v>450</v>
      </c>
      <c r="C6157" s="34" t="n">
        <f aca="false">'Market Sizing'!$C$19*Assumptions!$E$10*Assumptions!$E$11*(1-Assumptions!$E$12)</f>
        <v>2060.77303936</v>
      </c>
    </row>
    <row r="6158" customFormat="false" ht="15" hidden="false" customHeight="false" outlineLevel="0" collapsed="false">
      <c r="A6158" s="4" t="s">
        <v>459</v>
      </c>
      <c r="B6158" s="36" t="s">
        <v>450</v>
      </c>
      <c r="C6158" s="34" t="n">
        <f aca="false">'Market Sizing'!$D$19*Assumptions!$E$10*Assumptions!$E$11*(1-Assumptions!$E$12)</f>
        <v>428.47616</v>
      </c>
    </row>
    <row r="6159" customFormat="false" ht="15" hidden="false" customHeight="false" outlineLevel="0" collapsed="false">
      <c r="A6159" s="4" t="s">
        <v>460</v>
      </c>
      <c r="B6159" s="36" t="s">
        <v>450</v>
      </c>
      <c r="C6159" s="34" t="n">
        <f aca="false">'Market Sizing'!$E$19*Assumptions!$E$10*Assumptions!$E$11*(1-Assumptions!$E$12)</f>
        <v>79.52448</v>
      </c>
    </row>
    <row r="6160" customFormat="false" ht="15" hidden="false" customHeight="false" outlineLevel="0" collapsed="false">
      <c r="A6160" s="4" t="s">
        <v>461</v>
      </c>
      <c r="B6160" s="36"/>
      <c r="C6160" s="34" t="n">
        <f aca="false">$C$6157+$C$6158+$C$6159</f>
        <v>2568.77367936</v>
      </c>
    </row>
    <row r="6161" customFormat="false" ht="15" hidden="false" customHeight="false" outlineLevel="0" collapsed="false">
      <c r="A6161" s="4" t="s">
        <v>462</v>
      </c>
      <c r="B6161" s="36" t="s">
        <v>463</v>
      </c>
      <c r="C6161" s="33" t="n">
        <f aca="false">MAX((Assumptions!$E$51+Assumptions!$E$53)*12,(((('Market Sizing'!$E$25*Assumptions!$E$41*Assumptions!$E$42*Assumptions!$E$43)*Assumptions!$E$44)*Assumptions!$E$45*Assumptions!$E$46+('Market Sizing'!$E$25*Assumptions!$E$41*Assumptions!$E$42*Assumptions!$E$43)*Assumptions!$E$47+('Market Sizing'!$E$25*Assumptions!$E$41*Assumptions!$E$42*Assumptions!$E$43)*Assumptions!$E$48*Assumptions!$E$49)*(Assumptions!$E$51*12/Assumptions!$E$52)+((('Market Sizing'!$E$25*Assumptions!$E$41*Assumptions!$E$42*Assumptions!$E$43)*Assumptions!$E$44)*Assumptions!$E$45+('Market Sizing'!$E$25*Assumptions!$E$41*Assumptions!$E$42*Assumptions!$E$43)+('Market Sizing'!$E$25*Assumptions!$E$41*Assumptions!$E$42*Assumptions!$E$43)*Assumptions!$E$48)*Assumptions!$E$50*(Assumptions!$E$53*12/Assumptions!$E$54)))</f>
        <v>5352</v>
      </c>
    </row>
    <row r="6162" customFormat="false" ht="15" hidden="false" customHeight="false" outlineLevel="0" collapsed="false">
      <c r="A6162" s="4" t="s">
        <v>464</v>
      </c>
      <c r="B6162" s="36" t="s">
        <v>463</v>
      </c>
      <c r="C6162" s="33" t="n">
        <f aca="false">MAX((Assumptions!$E$51+Assumptions!$E$53)*12,(((('Market Sizing'!$E$26*Assumptions!$E$41*Assumptions!$E$42*Assumptions!$E$43)*Assumptions!$E$44)*Assumptions!$E$45*Assumptions!$E$46+('Market Sizing'!$E$26*Assumptions!$E$41*Assumptions!$E$42*Assumptions!$E$43)*Assumptions!$E$47+('Market Sizing'!$E$26*Assumptions!$E$41*Assumptions!$E$42*Assumptions!$E$43)*Assumptions!$E$48*Assumptions!$E$49)*(Assumptions!$E$51*12/Assumptions!$E$52)+((('Market Sizing'!$E$26*Assumptions!$E$41*Assumptions!$E$42*Assumptions!$E$43)*Assumptions!$E$44)*Assumptions!$E$45+('Market Sizing'!$E$26*Assumptions!$E$41*Assumptions!$E$42*Assumptions!$E$43)+('Market Sizing'!$E$26*Assumptions!$E$41*Assumptions!$E$42*Assumptions!$E$43)*Assumptions!$E$48)*Assumptions!$E$50*(Assumptions!$E$53*12/Assumptions!$E$54)))</f>
        <v>9766.72012875208</v>
      </c>
    </row>
    <row r="6163" customFormat="false" ht="15" hidden="false" customHeight="false" outlineLevel="0" collapsed="false">
      <c r="A6163" s="4" t="s">
        <v>465</v>
      </c>
      <c r="B6163" s="36" t="s">
        <v>463</v>
      </c>
      <c r="C6163" s="33" t="n">
        <f aca="false">MAX(Assumptions!$E$55*(Assumptions!$E$51*12/Assumptions!$E$52)+Assumptions!$E$56*(Assumptions!$E$53*12/Assumptions!$E$54),(((('Market Sizing'!$E$27*Assumptions!$E$41*Assumptions!$E$42*Assumptions!$E$43)*Assumptions!$E$44)*Assumptions!$E$45*Assumptions!$E$46+('Market Sizing'!$E$27*Assumptions!$E$41*Assumptions!$E$42*Assumptions!$E$43)*Assumptions!$E$47+('Market Sizing'!$E$27*Assumptions!$E$41*Assumptions!$E$42*Assumptions!$E$43)*Assumptions!$E$48*Assumptions!$E$49)*(Assumptions!$E$51*12/Assumptions!$E$52)+((('Market Sizing'!$E$27*Assumptions!$E$41*Assumptions!$E$42*Assumptions!$E$43)*Assumptions!$E$44)*Assumptions!$E$45+('Market Sizing'!$E$27*Assumptions!$E$41*Assumptions!$E$42*Assumptions!$E$43)+('Market Sizing'!$E$27*Assumptions!$E$41*Assumptions!$E$42*Assumptions!$E$43)*Assumptions!$E$48)*Assumptions!$E$50*(Assumptions!$E$53*12/Assumptions!$E$54)))*(1-Assumptions!$E$57)</f>
        <v>61778.2562194386</v>
      </c>
    </row>
    <row r="6164" customFormat="false" ht="23.85" hidden="false" customHeight="false" outlineLevel="0" collapsed="false">
      <c r="A6164" s="4" t="s">
        <v>466</v>
      </c>
      <c r="B6164" s="36" t="s">
        <v>467</v>
      </c>
      <c r="C6164" s="37" t="n">
        <f aca="false">Assumptions!$E$17*Assumptions!$D$106</f>
        <v>0.4</v>
      </c>
    </row>
    <row r="6165" customFormat="false" ht="23.85" hidden="false" customHeight="false" outlineLevel="0" collapsed="false">
      <c r="A6165" s="4" t="s">
        <v>468</v>
      </c>
      <c r="B6165" s="36" t="s">
        <v>469</v>
      </c>
      <c r="C6165" s="33" t="n">
        <f aca="false">Assumptions!$E$68/Assumptions!$E$69</f>
        <v>285714.285714286</v>
      </c>
    </row>
    <row r="6166" customFormat="false" ht="23.85" hidden="false" customHeight="false" outlineLevel="0" collapsed="false">
      <c r="A6166" s="4" t="s">
        <v>470</v>
      </c>
      <c r="B6166" s="36" t="s">
        <v>471</v>
      </c>
      <c r="C6166" s="33" t="n">
        <f aca="false">Assumptions!$E$66*Assumptions!$E$67/4</f>
        <v>153125</v>
      </c>
    </row>
    <row r="6167" customFormat="false" ht="15" hidden="false" customHeight="false" outlineLevel="0" collapsed="false">
      <c r="A6167" s="4" t="s">
        <v>472</v>
      </c>
      <c r="B6167" s="36"/>
      <c r="C6167" s="38" t="n">
        <f aca="false">$C$6165/Assumptions!$E$66/Assumptions!$E$67</f>
        <v>0.466472303206997</v>
      </c>
    </row>
    <row r="6168" customFormat="false" ht="15" hidden="false" customHeight="false" outlineLevel="0" collapsed="false">
      <c r="A6168" s="4" t="s">
        <v>473</v>
      </c>
      <c r="B6168" s="36"/>
      <c r="C6168" s="33" t="n">
        <f aca="false">MAX(0,Assumptions!$D$103-Assumptions!$E$78)</f>
        <v>0</v>
      </c>
    </row>
    <row r="6169" customFormat="false" ht="15" hidden="false" customHeight="false" outlineLevel="0" collapsed="false">
      <c r="A6169" s="35" t="s">
        <v>474</v>
      </c>
      <c r="B6169" s="35" t="s">
        <v>444</v>
      </c>
      <c r="C6169" s="6" t="s">
        <v>354</v>
      </c>
      <c r="D6169" s="6" t="s">
        <v>355</v>
      </c>
      <c r="E6169" s="6" t="s">
        <v>356</v>
      </c>
      <c r="F6169" s="6" t="s">
        <v>357</v>
      </c>
      <c r="G6169" s="6" t="s">
        <v>358</v>
      </c>
      <c r="H6169" s="6" t="s">
        <v>359</v>
      </c>
      <c r="I6169" s="6" t="s">
        <v>360</v>
      </c>
      <c r="J6169" s="6" t="s">
        <v>361</v>
      </c>
      <c r="K6169" s="6" t="s">
        <v>362</v>
      </c>
      <c r="L6169" s="6" t="s">
        <v>363</v>
      </c>
      <c r="M6169" s="6" t="s">
        <v>364</v>
      </c>
      <c r="N6169" s="6" t="s">
        <v>365</v>
      </c>
      <c r="P6169" s="6" t="s">
        <v>445</v>
      </c>
      <c r="Q6169" s="6" t="s">
        <v>446</v>
      </c>
      <c r="R6169" s="6" t="s">
        <v>447</v>
      </c>
      <c r="S6169" s="6" t="s">
        <v>448</v>
      </c>
    </row>
    <row r="6170" customFormat="false" ht="15" hidden="false" customHeight="false" outlineLevel="0" collapsed="false">
      <c r="A6170" s="4" t="s">
        <v>475</v>
      </c>
      <c r="B6170" s="36" t="s">
        <v>133</v>
      </c>
      <c r="C6170" s="39" t="n">
        <v>1</v>
      </c>
      <c r="D6170" s="39" t="n">
        <v>2</v>
      </c>
      <c r="E6170" s="39" t="n">
        <v>3</v>
      </c>
      <c r="F6170" s="39" t="n">
        <v>4</v>
      </c>
      <c r="G6170" s="39" t="n">
        <v>5</v>
      </c>
      <c r="H6170" s="39" t="n">
        <v>6</v>
      </c>
      <c r="I6170" s="39" t="n">
        <v>7</v>
      </c>
      <c r="J6170" s="39" t="n">
        <v>8</v>
      </c>
      <c r="K6170" s="39" t="n">
        <v>9</v>
      </c>
      <c r="L6170" s="39" t="n">
        <v>10</v>
      </c>
      <c r="M6170" s="39" t="n">
        <v>11</v>
      </c>
      <c r="N6170" s="39" t="n">
        <v>12</v>
      </c>
      <c r="P6170" s="40"/>
      <c r="Q6170" s="40"/>
      <c r="R6170" s="40"/>
      <c r="S6170" s="41"/>
    </row>
    <row r="6171" customFormat="false" ht="15" hidden="false" customHeight="false" outlineLevel="0" collapsed="false">
      <c r="A6171" s="4" t="s">
        <v>476</v>
      </c>
      <c r="B6171" s="36" t="s">
        <v>343</v>
      </c>
      <c r="C6171" s="39" t="n">
        <f aca="false">IF(C6170&lt;=Assumptions!$E$84,1,0)</f>
        <v>1</v>
      </c>
      <c r="D6171" s="39" t="n">
        <f aca="false">IF(D6170&lt;=Assumptions!$E$84,1,0)</f>
        <v>1</v>
      </c>
      <c r="E6171" s="39" t="n">
        <f aca="false">IF(E6170&lt;=Assumptions!$E$84,1,0)</f>
        <v>1</v>
      </c>
      <c r="F6171" s="39" t="n">
        <f aca="false">IF(F6170&lt;=Assumptions!$E$84,1,0)</f>
        <v>1</v>
      </c>
      <c r="G6171" s="39" t="n">
        <f aca="false">IF(G6170&lt;=Assumptions!$E$84,1,0)</f>
        <v>1</v>
      </c>
      <c r="H6171" s="39" t="n">
        <f aca="false">IF(H6170&lt;=Assumptions!$E$84,1,0)</f>
        <v>1</v>
      </c>
      <c r="I6171" s="39" t="n">
        <f aca="false">IF(I6170&lt;=Assumptions!$E$84,1,0)</f>
        <v>1</v>
      </c>
      <c r="J6171" s="39" t="n">
        <f aca="false">IF(J6170&lt;=Assumptions!$E$84,1,0)</f>
        <v>1</v>
      </c>
      <c r="K6171" s="39" t="n">
        <f aca="false">IF(K6170&lt;=Assumptions!$E$84,1,0)</f>
        <v>1</v>
      </c>
      <c r="L6171" s="39" t="n">
        <f aca="false">IF(L6170&lt;=Assumptions!$E$84,1,0)</f>
        <v>1</v>
      </c>
      <c r="M6171" s="39" t="n">
        <f aca="false">IF(M6170&lt;=Assumptions!$E$84,1,0)</f>
        <v>1</v>
      </c>
      <c r="N6171" s="39" t="n">
        <f aca="false">IF(N6170&lt;=Assumptions!$E$84,1,0)</f>
        <v>1</v>
      </c>
      <c r="P6171" s="40"/>
      <c r="Q6171" s="40"/>
      <c r="R6171" s="40"/>
      <c r="S6171" s="41"/>
    </row>
    <row r="6172" customFormat="false" ht="15" hidden="false" customHeight="false" outlineLevel="0" collapsed="false">
      <c r="A6172" s="4" t="s">
        <v>477</v>
      </c>
      <c r="B6172" s="36" t="s">
        <v>478</v>
      </c>
      <c r="C6172" s="42" t="n">
        <f aca="false">IF(C6170=Assumptions!$E$13,0.5,IF(C6170&gt;Assumptions!$E$13,1,0))</f>
        <v>0.5</v>
      </c>
      <c r="D6172" s="42" t="n">
        <f aca="false">IF(D6170=Assumptions!$E$13,0.5,IF(D6170&gt;Assumptions!$E$13,1,0))</f>
        <v>1</v>
      </c>
      <c r="E6172" s="42" t="n">
        <f aca="false">IF(E6170=Assumptions!$E$13,0.5,IF(E6170&gt;Assumptions!$E$13,1,0))</f>
        <v>1</v>
      </c>
      <c r="F6172" s="42" t="n">
        <f aca="false">IF(F6170=Assumptions!$E$13,0.5,IF(F6170&gt;Assumptions!$E$13,1,0))</f>
        <v>1</v>
      </c>
      <c r="G6172" s="42" t="n">
        <f aca="false">IF(G6170=Assumptions!$E$13,0.5,IF(G6170&gt;Assumptions!$E$13,1,0))</f>
        <v>1</v>
      </c>
      <c r="H6172" s="42" t="n">
        <f aca="false">IF(H6170=Assumptions!$E$13,0.5,IF(H6170&gt;Assumptions!$E$13,1,0))</f>
        <v>1</v>
      </c>
      <c r="I6172" s="42" t="n">
        <f aca="false">IF(I6170=Assumptions!$E$13,0.5,IF(I6170&gt;Assumptions!$E$13,1,0))</f>
        <v>1</v>
      </c>
      <c r="J6172" s="42" t="n">
        <f aca="false">IF(J6170=Assumptions!$E$13,0.5,IF(J6170&gt;Assumptions!$E$13,1,0))</f>
        <v>1</v>
      </c>
      <c r="K6172" s="42" t="n">
        <f aca="false">IF(K6170=Assumptions!$E$13,0.5,IF(K6170&gt;Assumptions!$E$13,1,0))</f>
        <v>1</v>
      </c>
      <c r="L6172" s="42" t="n">
        <f aca="false">IF(L6170=Assumptions!$E$13,0.5,IF(L6170&gt;Assumptions!$E$13,1,0))</f>
        <v>1</v>
      </c>
      <c r="M6172" s="42" t="n">
        <f aca="false">IF(M6170=Assumptions!$E$13,0.5,IF(M6170&gt;Assumptions!$E$13,1,0))</f>
        <v>1</v>
      </c>
      <c r="N6172" s="42" t="n">
        <f aca="false">IF(N6170=Assumptions!$E$13,0.5,IF(N6170&gt;Assumptions!$E$13,1,0))</f>
        <v>1</v>
      </c>
      <c r="P6172" s="43"/>
      <c r="Q6172" s="43"/>
      <c r="R6172" s="43"/>
      <c r="S6172" s="44"/>
    </row>
    <row r="6173" customFormat="false" ht="15" hidden="false" customHeight="false" outlineLevel="0" collapsed="false">
      <c r="A6173" s="4" t="s">
        <v>479</v>
      </c>
      <c r="B6173" s="36" t="s">
        <v>478</v>
      </c>
      <c r="C6173" s="42" t="n">
        <f aca="false">IF(C6170=Assumptions!$E$14,0.5,IF(C6170&gt;Assumptions!$E$14,1,0))</f>
        <v>0</v>
      </c>
      <c r="D6173" s="42" t="n">
        <f aca="false">IF(D6170=Assumptions!$E$14,0.5,IF(D6170&gt;Assumptions!$E$14,1,0))</f>
        <v>0</v>
      </c>
      <c r="E6173" s="42" t="n">
        <f aca="false">IF(E6170=Assumptions!$E$14,0.5,IF(E6170&gt;Assumptions!$E$14,1,0))</f>
        <v>0</v>
      </c>
      <c r="F6173" s="42" t="n">
        <f aca="false">IF(F6170=Assumptions!$E$14,0.5,IF(F6170&gt;Assumptions!$E$14,1,0))</f>
        <v>0</v>
      </c>
      <c r="G6173" s="42" t="n">
        <f aca="false">IF(G6170=Assumptions!$E$14,0.5,IF(G6170&gt;Assumptions!$E$14,1,0))</f>
        <v>0.5</v>
      </c>
      <c r="H6173" s="42" t="n">
        <f aca="false">IF(H6170=Assumptions!$E$14,0.5,IF(H6170&gt;Assumptions!$E$14,1,0))</f>
        <v>1</v>
      </c>
      <c r="I6173" s="42" t="n">
        <f aca="false">IF(I6170=Assumptions!$E$14,0.5,IF(I6170&gt;Assumptions!$E$14,1,0))</f>
        <v>1</v>
      </c>
      <c r="J6173" s="42" t="n">
        <f aca="false">IF(J6170=Assumptions!$E$14,0.5,IF(J6170&gt;Assumptions!$E$14,1,0))</f>
        <v>1</v>
      </c>
      <c r="K6173" s="42" t="n">
        <f aca="false">IF(K6170=Assumptions!$E$14,0.5,IF(K6170&gt;Assumptions!$E$14,1,0))</f>
        <v>1</v>
      </c>
      <c r="L6173" s="42" t="n">
        <f aca="false">IF(L6170=Assumptions!$E$14,0.5,IF(L6170&gt;Assumptions!$E$14,1,0))</f>
        <v>1</v>
      </c>
      <c r="M6173" s="42" t="n">
        <f aca="false">IF(M6170=Assumptions!$E$14,0.5,IF(M6170&gt;Assumptions!$E$14,1,0))</f>
        <v>1</v>
      </c>
      <c r="N6173" s="42" t="n">
        <f aca="false">IF(N6170=Assumptions!$E$14,0.5,IF(N6170&gt;Assumptions!$E$14,1,0))</f>
        <v>1</v>
      </c>
      <c r="P6173" s="43"/>
      <c r="Q6173" s="43"/>
      <c r="R6173" s="43"/>
      <c r="S6173" s="44"/>
    </row>
    <row r="6174" customFormat="false" ht="15" hidden="false" customHeight="false" outlineLevel="0" collapsed="false">
      <c r="A6174" s="4" t="s">
        <v>480</v>
      </c>
      <c r="B6174" s="36" t="s">
        <v>478</v>
      </c>
      <c r="C6174" s="42" t="n">
        <f aca="false">IF(C6170=Assumptions!$E$15,0.5,IF(C6170&gt;Assumptions!$E$15,1,0))</f>
        <v>0</v>
      </c>
      <c r="D6174" s="42" t="n">
        <f aca="false">IF(D6170=Assumptions!$E$15,0.5,IF(D6170&gt;Assumptions!$E$15,1,0))</f>
        <v>0</v>
      </c>
      <c r="E6174" s="42" t="n">
        <f aca="false">IF(E6170=Assumptions!$E$15,0.5,IF(E6170&gt;Assumptions!$E$15,1,0))</f>
        <v>0</v>
      </c>
      <c r="F6174" s="42" t="n">
        <f aca="false">IF(F6170=Assumptions!$E$15,0.5,IF(F6170&gt;Assumptions!$E$15,1,0))</f>
        <v>0</v>
      </c>
      <c r="G6174" s="42" t="n">
        <f aca="false">IF(G6170=Assumptions!$E$15,0.5,IF(G6170&gt;Assumptions!$E$15,1,0))</f>
        <v>0</v>
      </c>
      <c r="H6174" s="42" t="n">
        <f aca="false">IF(H6170=Assumptions!$E$15,0.5,IF(H6170&gt;Assumptions!$E$15,1,0))</f>
        <v>0</v>
      </c>
      <c r="I6174" s="42" t="n">
        <f aca="false">IF(I6170=Assumptions!$E$15,0.5,IF(I6170&gt;Assumptions!$E$15,1,0))</f>
        <v>0.5</v>
      </c>
      <c r="J6174" s="42" t="n">
        <f aca="false">IF(J6170=Assumptions!$E$15,0.5,IF(J6170&gt;Assumptions!$E$15,1,0))</f>
        <v>1</v>
      </c>
      <c r="K6174" s="42" t="n">
        <f aca="false">IF(K6170=Assumptions!$E$15,0.5,IF(K6170&gt;Assumptions!$E$15,1,0))</f>
        <v>1</v>
      </c>
      <c r="L6174" s="42" t="n">
        <f aca="false">IF(L6170=Assumptions!$E$15,0.5,IF(L6170&gt;Assumptions!$E$15,1,0))</f>
        <v>1</v>
      </c>
      <c r="M6174" s="42" t="n">
        <f aca="false">IF(M6170=Assumptions!$E$15,0.5,IF(M6170&gt;Assumptions!$E$15,1,0))</f>
        <v>1</v>
      </c>
      <c r="N6174" s="42" t="n">
        <f aca="false">IF(N6170=Assumptions!$E$15,0.5,IF(N6170&gt;Assumptions!$E$15,1,0))</f>
        <v>1</v>
      </c>
      <c r="P6174" s="43"/>
      <c r="Q6174" s="43"/>
      <c r="R6174" s="43"/>
      <c r="S6174" s="44"/>
    </row>
    <row r="6175" customFormat="false" ht="15" hidden="false" customHeight="false" outlineLevel="0" collapsed="false">
      <c r="A6175" s="4" t="s">
        <v>481</v>
      </c>
      <c r="B6175" s="36" t="s">
        <v>478</v>
      </c>
      <c r="C6175" s="45" t="n">
        <f aca="false">Assumptions!$E$21^(MAX(0,C6170-Assumptions!$E$13)/4)</f>
        <v>1</v>
      </c>
      <c r="D6175" s="45" t="n">
        <f aca="false">Assumptions!$E$21^(MAX(0,D6170-Assumptions!$E$13)/4)</f>
        <v>0.9306048591021</v>
      </c>
      <c r="E6175" s="45" t="n">
        <f aca="false">Assumptions!$E$21^(MAX(0,E6170-Assumptions!$E$13)/4)</f>
        <v>0.866025403784439</v>
      </c>
      <c r="F6175" s="45" t="n">
        <f aca="false">Assumptions!$E$21^(MAX(0,F6170-Assumptions!$E$13)/4)</f>
        <v>0.805927448867656</v>
      </c>
      <c r="G6175" s="45" t="n">
        <f aca="false">Assumptions!$E$21^(MAX(0,G6170-Assumptions!$E$13)/4)</f>
        <v>0.75</v>
      </c>
      <c r="H6175" s="45" t="n">
        <f aca="false">Assumptions!$E$21^(MAX(0,H6170-Assumptions!$E$13)/4)</f>
        <v>0.697953644326575</v>
      </c>
      <c r="I6175" s="45" t="n">
        <f aca="false">Assumptions!$E$21^(MAX(0,I6170-Assumptions!$E$13)/4)</f>
        <v>0.649519052838329</v>
      </c>
      <c r="J6175" s="45" t="n">
        <f aca="false">Assumptions!$E$21^(MAX(0,J6170-Assumptions!$E$13)/4)</f>
        <v>0.604445586650742</v>
      </c>
      <c r="K6175" s="45" t="n">
        <f aca="false">Assumptions!$E$21^(MAX(0,K6170-Assumptions!$E$13)/4)</f>
        <v>0.5625</v>
      </c>
      <c r="L6175" s="45" t="n">
        <f aca="false">Assumptions!$E$21^(MAX(0,L6170-Assumptions!$E$13)/4)</f>
        <v>0.523465233244931</v>
      </c>
      <c r="M6175" s="45" t="n">
        <f aca="false">Assumptions!$E$21^(MAX(0,M6170-Assumptions!$E$13)/4)</f>
        <v>0.487139289628747</v>
      </c>
      <c r="N6175" s="45" t="n">
        <f aca="false">Assumptions!$E$21^(MAX(0,N6170-Assumptions!$E$13)/4)</f>
        <v>0.453334189988057</v>
      </c>
      <c r="P6175" s="46"/>
      <c r="Q6175" s="46"/>
      <c r="R6175" s="46"/>
      <c r="S6175" s="47"/>
    </row>
    <row r="6176" customFormat="false" ht="15" hidden="false" customHeight="false" outlineLevel="0" collapsed="false">
      <c r="A6176" s="4" t="s">
        <v>482</v>
      </c>
      <c r="B6176" s="36" t="s">
        <v>478</v>
      </c>
      <c r="C6176" s="45" t="n">
        <f aca="false">Assumptions!$E$21^(MAX(0,C6170-Assumptions!$E$14)/4)</f>
        <v>1</v>
      </c>
      <c r="D6176" s="45" t="n">
        <f aca="false">Assumptions!$E$21^(MAX(0,D6170-Assumptions!$E$14)/4)</f>
        <v>1</v>
      </c>
      <c r="E6176" s="45" t="n">
        <f aca="false">Assumptions!$E$21^(MAX(0,E6170-Assumptions!$E$14)/4)</f>
        <v>1</v>
      </c>
      <c r="F6176" s="45" t="n">
        <f aca="false">Assumptions!$E$21^(MAX(0,F6170-Assumptions!$E$14)/4)</f>
        <v>1</v>
      </c>
      <c r="G6176" s="45" t="n">
        <f aca="false">Assumptions!$E$21^(MAX(0,G6170-Assumptions!$E$14)/4)</f>
        <v>1</v>
      </c>
      <c r="H6176" s="45" t="n">
        <f aca="false">Assumptions!$E$21^(MAX(0,H6170-Assumptions!$E$14)/4)</f>
        <v>0.9306048591021</v>
      </c>
      <c r="I6176" s="45" t="n">
        <f aca="false">Assumptions!$E$21^(MAX(0,I6170-Assumptions!$E$14)/4)</f>
        <v>0.866025403784439</v>
      </c>
      <c r="J6176" s="45" t="n">
        <f aca="false">Assumptions!$E$21^(MAX(0,J6170-Assumptions!$E$14)/4)</f>
        <v>0.805927448867656</v>
      </c>
      <c r="K6176" s="45" t="n">
        <f aca="false">Assumptions!$E$21^(MAX(0,K6170-Assumptions!$E$14)/4)</f>
        <v>0.75</v>
      </c>
      <c r="L6176" s="45" t="n">
        <f aca="false">Assumptions!$E$21^(MAX(0,L6170-Assumptions!$E$14)/4)</f>
        <v>0.697953644326575</v>
      </c>
      <c r="M6176" s="45" t="n">
        <f aca="false">Assumptions!$E$21^(MAX(0,M6170-Assumptions!$E$14)/4)</f>
        <v>0.649519052838329</v>
      </c>
      <c r="N6176" s="45" t="n">
        <f aca="false">Assumptions!$E$21^(MAX(0,N6170-Assumptions!$E$14)/4)</f>
        <v>0.604445586650742</v>
      </c>
      <c r="P6176" s="46"/>
      <c r="Q6176" s="46"/>
      <c r="R6176" s="46"/>
      <c r="S6176" s="47"/>
    </row>
    <row r="6177" customFormat="false" ht="15" hidden="false" customHeight="false" outlineLevel="0" collapsed="false">
      <c r="A6177" s="4" t="s">
        <v>483</v>
      </c>
      <c r="B6177" s="36" t="s">
        <v>478</v>
      </c>
      <c r="C6177" s="45" t="n">
        <f aca="false">Assumptions!$E$21^(MAX(0,C6170-Assumptions!$E$15)/4)</f>
        <v>1</v>
      </c>
      <c r="D6177" s="45" t="n">
        <f aca="false">Assumptions!$E$21^(MAX(0,D6170-Assumptions!$E$15)/4)</f>
        <v>1</v>
      </c>
      <c r="E6177" s="45" t="n">
        <f aca="false">Assumptions!$E$21^(MAX(0,E6170-Assumptions!$E$15)/4)</f>
        <v>1</v>
      </c>
      <c r="F6177" s="45" t="n">
        <f aca="false">Assumptions!$E$21^(MAX(0,F6170-Assumptions!$E$15)/4)</f>
        <v>1</v>
      </c>
      <c r="G6177" s="45" t="n">
        <f aca="false">Assumptions!$E$21^(MAX(0,G6170-Assumptions!$E$15)/4)</f>
        <v>1</v>
      </c>
      <c r="H6177" s="45" t="n">
        <f aca="false">Assumptions!$E$21^(MAX(0,H6170-Assumptions!$E$15)/4)</f>
        <v>1</v>
      </c>
      <c r="I6177" s="45" t="n">
        <f aca="false">Assumptions!$E$21^(MAX(0,I6170-Assumptions!$E$15)/4)</f>
        <v>1</v>
      </c>
      <c r="J6177" s="45" t="n">
        <f aca="false">Assumptions!$E$21^(MAX(0,J6170-Assumptions!$E$15)/4)</f>
        <v>0.9306048591021</v>
      </c>
      <c r="K6177" s="45" t="n">
        <f aca="false">Assumptions!$E$21^(MAX(0,K6170-Assumptions!$E$15)/4)</f>
        <v>0.866025403784439</v>
      </c>
      <c r="L6177" s="45" t="n">
        <f aca="false">Assumptions!$E$21^(MAX(0,L6170-Assumptions!$E$15)/4)</f>
        <v>0.805927448867656</v>
      </c>
      <c r="M6177" s="45" t="n">
        <f aca="false">Assumptions!$E$21^(MAX(0,M6170-Assumptions!$E$15)/4)</f>
        <v>0.75</v>
      </c>
      <c r="N6177" s="45" t="n">
        <f aca="false">Assumptions!$E$21^(MAX(0,N6170-Assumptions!$E$15)/4)</f>
        <v>0.697953644326575</v>
      </c>
      <c r="P6177" s="46"/>
      <c r="Q6177" s="46"/>
      <c r="R6177" s="46"/>
      <c r="S6177" s="47"/>
    </row>
    <row r="6178" customFormat="false" ht="15" hidden="false" customHeight="false" outlineLevel="0" collapsed="false">
      <c r="A6178" s="4" t="s">
        <v>484</v>
      </c>
      <c r="B6178" s="36" t="s">
        <v>485</v>
      </c>
      <c r="C6178" s="39" t="n">
        <f aca="false">$C$6149*C6172+$C$6153*C6173+$C$6157*C6174</f>
        <v>421.51972352</v>
      </c>
      <c r="D6178" s="39" t="n">
        <f aca="false">$C$6149*D6172+$C$6153*D6173+$C$6157*D6174</f>
        <v>843.03944704</v>
      </c>
      <c r="E6178" s="39" t="n">
        <f aca="false">$C$6149*E6172+$C$6153*E6173+$C$6157*E6174</f>
        <v>843.03944704</v>
      </c>
      <c r="F6178" s="39" t="n">
        <f aca="false">$C$6149*F6172+$C$6153*F6173+$C$6157*F6174</f>
        <v>843.03944704</v>
      </c>
      <c r="G6178" s="39" t="n">
        <f aca="false">$C$6149*G6172+$C$6153*G6173+$C$6157*G6174</f>
        <v>1149.32798176</v>
      </c>
      <c r="H6178" s="39" t="n">
        <f aca="false">$C$6149*H6172+$C$6153*H6173+$C$6157*H6174</f>
        <v>1455.61651648</v>
      </c>
      <c r="I6178" s="39" t="n">
        <f aca="false">$C$6149*I6172+$C$6153*I6173+$C$6157*I6174</f>
        <v>2486.00303616</v>
      </c>
      <c r="J6178" s="39" t="n">
        <f aca="false">$C$6149*J6172+$C$6153*J6173+$C$6157*J6174</f>
        <v>3516.38955584</v>
      </c>
      <c r="K6178" s="39" t="n">
        <f aca="false">$C$6149*K6172+$C$6153*K6173+$C$6157*K6174</f>
        <v>3516.38955584</v>
      </c>
      <c r="L6178" s="39" t="n">
        <f aca="false">$C$6149*L6172+$C$6153*L6173+$C$6157*L6174</f>
        <v>3516.38955584</v>
      </c>
      <c r="M6178" s="39" t="n">
        <f aca="false">$C$6149*M6172+$C$6153*M6173+$C$6157*M6174</f>
        <v>3516.38955584</v>
      </c>
      <c r="N6178" s="39" t="n">
        <f aca="false">$C$6149*N6172+$C$6153*N6173+$C$6157*N6174</f>
        <v>3516.38955584</v>
      </c>
      <c r="P6178" s="40" t="n">
        <f aca="false">F6178</f>
        <v>843.03944704</v>
      </c>
      <c r="Q6178" s="40" t="n">
        <f aca="false">J6178</f>
        <v>3516.38955584</v>
      </c>
      <c r="R6178" s="40" t="n">
        <f aca="false">N6178</f>
        <v>3516.38955584</v>
      </c>
      <c r="S6178" s="41" t="n">
        <f aca="false">R6178</f>
        <v>3516.38955584</v>
      </c>
    </row>
    <row r="6179" customFormat="false" ht="15" hidden="false" customHeight="false" outlineLevel="0" collapsed="false">
      <c r="A6179" s="4" t="s">
        <v>486</v>
      </c>
      <c r="B6179" s="36" t="s">
        <v>485</v>
      </c>
      <c r="C6179" s="39" t="n">
        <f aca="false">$C$6150*C6172+$C$6154*C6173+$C$6158*C6174</f>
        <v>105.59808</v>
      </c>
      <c r="D6179" s="39" t="n">
        <f aca="false">$C$6150*D6172+$C$6154*D6173+$C$6158*D6174</f>
        <v>211.19616</v>
      </c>
      <c r="E6179" s="39" t="n">
        <f aca="false">$C$6150*E6172+$C$6154*E6173+$C$6158*E6174</f>
        <v>211.19616</v>
      </c>
      <c r="F6179" s="39" t="n">
        <f aca="false">$C$6150*F6172+$C$6154*F6173+$C$6158*F6174</f>
        <v>211.19616</v>
      </c>
      <c r="G6179" s="39" t="n">
        <f aca="false">$C$6150*G6172+$C$6154*G6173+$C$6158*G6174</f>
        <v>282.24672</v>
      </c>
      <c r="H6179" s="39" t="n">
        <f aca="false">$C$6150*H6172+$C$6154*H6173+$C$6158*H6174</f>
        <v>353.29728</v>
      </c>
      <c r="I6179" s="39" t="n">
        <f aca="false">$C$6150*I6172+$C$6154*I6173+$C$6158*I6174</f>
        <v>567.53536</v>
      </c>
      <c r="J6179" s="39" t="n">
        <f aca="false">$C$6150*J6172+$C$6154*J6173+$C$6158*J6174</f>
        <v>781.77344</v>
      </c>
      <c r="K6179" s="39" t="n">
        <f aca="false">$C$6150*K6172+$C$6154*K6173+$C$6158*K6174</f>
        <v>781.77344</v>
      </c>
      <c r="L6179" s="39" t="n">
        <f aca="false">$C$6150*L6172+$C$6154*L6173+$C$6158*L6174</f>
        <v>781.77344</v>
      </c>
      <c r="M6179" s="39" t="n">
        <f aca="false">$C$6150*M6172+$C$6154*M6173+$C$6158*M6174</f>
        <v>781.77344</v>
      </c>
      <c r="N6179" s="39" t="n">
        <f aca="false">$C$6150*N6172+$C$6154*N6173+$C$6158*N6174</f>
        <v>781.77344</v>
      </c>
      <c r="P6179" s="40" t="n">
        <f aca="false">F6179</f>
        <v>211.19616</v>
      </c>
      <c r="Q6179" s="40" t="n">
        <f aca="false">J6179</f>
        <v>781.77344</v>
      </c>
      <c r="R6179" s="40" t="n">
        <f aca="false">N6179</f>
        <v>781.77344</v>
      </c>
      <c r="S6179" s="41" t="n">
        <f aca="false">R6179</f>
        <v>781.77344</v>
      </c>
    </row>
    <row r="6180" customFormat="false" ht="15" hidden="false" customHeight="false" outlineLevel="0" collapsed="false">
      <c r="A6180" s="4" t="s">
        <v>487</v>
      </c>
      <c r="B6180" s="36" t="s">
        <v>485</v>
      </c>
      <c r="C6180" s="39" t="n">
        <f aca="false">$C$6151*C6172+$C$6155*C6173+$C$6159*C6174</f>
        <v>24.76992</v>
      </c>
      <c r="D6180" s="39" t="n">
        <f aca="false">$C$6151*D6172+$C$6155*D6173+$C$6159*D6174</f>
        <v>49.53984</v>
      </c>
      <c r="E6180" s="39" t="n">
        <f aca="false">$C$6151*E6172+$C$6155*E6173+$C$6159*E6174</f>
        <v>49.53984</v>
      </c>
      <c r="F6180" s="39" t="n">
        <f aca="false">$C$6151*F6172+$C$6155*F6173+$C$6159*F6174</f>
        <v>49.53984</v>
      </c>
      <c r="G6180" s="39" t="n">
        <f aca="false">$C$6151*G6172+$C$6155*G6173+$C$6159*G6174</f>
        <v>61.9248</v>
      </c>
      <c r="H6180" s="39" t="n">
        <f aca="false">$C$6151*H6172+$C$6155*H6173+$C$6159*H6174</f>
        <v>74.30976</v>
      </c>
      <c r="I6180" s="39" t="n">
        <f aca="false">$C$6151*I6172+$C$6155*I6173+$C$6159*I6174</f>
        <v>114.072</v>
      </c>
      <c r="J6180" s="39" t="n">
        <f aca="false">$C$6151*J6172+$C$6155*J6173+$C$6159*J6174</f>
        <v>153.83424</v>
      </c>
      <c r="K6180" s="39" t="n">
        <f aca="false">$C$6151*K6172+$C$6155*K6173+$C$6159*K6174</f>
        <v>153.83424</v>
      </c>
      <c r="L6180" s="39" t="n">
        <f aca="false">$C$6151*L6172+$C$6155*L6173+$C$6159*L6174</f>
        <v>153.83424</v>
      </c>
      <c r="M6180" s="39" t="n">
        <f aca="false">$C$6151*M6172+$C$6155*M6173+$C$6159*M6174</f>
        <v>153.83424</v>
      </c>
      <c r="N6180" s="39" t="n">
        <f aca="false">$C$6151*N6172+$C$6155*N6173+$C$6159*N6174</f>
        <v>153.83424</v>
      </c>
      <c r="P6180" s="40" t="n">
        <f aca="false">F6180</f>
        <v>49.53984</v>
      </c>
      <c r="Q6180" s="40" t="n">
        <f aca="false">J6180</f>
        <v>153.83424</v>
      </c>
      <c r="R6180" s="40" t="n">
        <f aca="false">N6180</f>
        <v>153.83424</v>
      </c>
      <c r="S6180" s="41" t="n">
        <f aca="false">R6180</f>
        <v>153.83424</v>
      </c>
    </row>
    <row r="6181" customFormat="false" ht="15" hidden="false" customHeight="false" outlineLevel="0" collapsed="false">
      <c r="A6181" s="4" t="s">
        <v>488</v>
      </c>
      <c r="B6181" s="36" t="s">
        <v>485</v>
      </c>
      <c r="C6181" s="39" t="n">
        <f aca="false">C6178+C6179+C6180</f>
        <v>551.88772352</v>
      </c>
      <c r="D6181" s="39" t="n">
        <f aca="false">D6178+D6179+D6180</f>
        <v>1103.77544704</v>
      </c>
      <c r="E6181" s="39" t="n">
        <f aca="false">E6178+E6179+E6180</f>
        <v>1103.77544704</v>
      </c>
      <c r="F6181" s="39" t="n">
        <f aca="false">F6178+F6179+F6180</f>
        <v>1103.77544704</v>
      </c>
      <c r="G6181" s="39" t="n">
        <f aca="false">G6178+G6179+G6180</f>
        <v>1493.49950176</v>
      </c>
      <c r="H6181" s="39" t="n">
        <f aca="false">H6178+H6179+H6180</f>
        <v>1883.22355648</v>
      </c>
      <c r="I6181" s="39" t="n">
        <f aca="false">I6178+I6179+I6180</f>
        <v>3167.61039616</v>
      </c>
      <c r="J6181" s="39" t="n">
        <f aca="false">J6178+J6179+J6180</f>
        <v>4451.99723584</v>
      </c>
      <c r="K6181" s="39" t="n">
        <f aca="false">K6178+K6179+K6180</f>
        <v>4451.99723584</v>
      </c>
      <c r="L6181" s="39" t="n">
        <f aca="false">L6178+L6179+L6180</f>
        <v>4451.99723584</v>
      </c>
      <c r="M6181" s="39" t="n">
        <f aca="false">M6178+M6179+M6180</f>
        <v>4451.99723584</v>
      </c>
      <c r="N6181" s="39" t="n">
        <f aca="false">N6178+N6179+N6180</f>
        <v>4451.99723584</v>
      </c>
      <c r="P6181" s="40" t="n">
        <f aca="false">F6181</f>
        <v>1103.77544704</v>
      </c>
      <c r="Q6181" s="40" t="n">
        <f aca="false">J6181</f>
        <v>4451.99723584</v>
      </c>
      <c r="R6181" s="40" t="n">
        <f aca="false">N6181</f>
        <v>4451.99723584</v>
      </c>
      <c r="S6181" s="41" t="n">
        <f aca="false">R6181</f>
        <v>4451.99723584</v>
      </c>
    </row>
    <row r="6182" customFormat="false" ht="15" hidden="false" customHeight="false" outlineLevel="0" collapsed="false">
      <c r="A6182" s="4" t="s">
        <v>489</v>
      </c>
      <c r="B6182" s="36" t="s">
        <v>485</v>
      </c>
      <c r="C6182" s="39" t="n">
        <f aca="false">$C$6152*C6172*C6175+$C$6156*C6173*C6176+$C$6160*C6174*C6177</f>
        <v>551.88772352</v>
      </c>
      <c r="D6182" s="39" t="n">
        <f aca="false">$C$6152*D6172*D6175+$C$6156*D6173*D6176+$C$6160*D6174*D6177</f>
        <v>1027.17879437302</v>
      </c>
      <c r="E6182" s="39" t="n">
        <f aca="false">$C$6152*E6172*E6175+$C$6156*E6173*E6176+$C$6160*E6174*E6177</f>
        <v>955.897577210165</v>
      </c>
      <c r="F6182" s="39" t="n">
        <f aca="false">$C$6152*F6172*F6175+$C$6156*F6173*F6176+$C$6160*F6174*F6177</f>
        <v>889.562930155704</v>
      </c>
      <c r="G6182" s="39" t="n">
        <f aca="false">$C$6152*G6172*G6175+$C$6156*G6173*G6176+$C$6160*G6174*G6177</f>
        <v>1217.55564</v>
      </c>
      <c r="H6182" s="39" t="n">
        <f aca="false">$C$6152*H6172*H6175+$C$6156*H6173*H6176+$C$6160*H6174*H6177</f>
        <v>1495.74229384257</v>
      </c>
      <c r="I6182" s="39" t="n">
        <f aca="false">$C$6152*I6172*I6175+$C$6156*I6173*I6176+$C$6160*I6174*I6177</f>
        <v>2676.33188629442</v>
      </c>
      <c r="J6182" s="39" t="n">
        <f aca="false">$C$6152*J6172*J6175+$C$6156*J6173*J6176+$C$6160*J6174*J6177</f>
        <v>3685.86409192847</v>
      </c>
      <c r="K6182" s="39" t="n">
        <f aca="false">$C$6152*K6172*K6175+$C$6156*K6173*K6176+$C$6160*K6174*K6177</f>
        <v>3430.08303393858</v>
      </c>
      <c r="L6182" s="39" t="n">
        <f aca="false">$C$6152*L6172*L6175+$C$6156*L6173*L6176+$C$6160*L6174*L6177</f>
        <v>3192.05193850692</v>
      </c>
      <c r="M6182" s="39" t="n">
        <f aca="false">$C$6152*M6172*M6175+$C$6156*M6173*M6176+$C$6160*M6174*M6177</f>
        <v>2970.53904448081</v>
      </c>
      <c r="N6182" s="39" t="n">
        <f aca="false">$C$6152*N6172*N6175+$C$6156*N6173*N6176+$C$6160*N6174*N6177</f>
        <v>2764.39806894635</v>
      </c>
      <c r="P6182" s="40"/>
      <c r="Q6182" s="40"/>
      <c r="R6182" s="40"/>
      <c r="S6182" s="41"/>
    </row>
    <row r="6183" customFormat="false" ht="15" hidden="false" customHeight="false" outlineLevel="0" collapsed="false">
      <c r="A6183" s="4" t="s">
        <v>490</v>
      </c>
      <c r="B6183" s="36" t="s">
        <v>491</v>
      </c>
      <c r="C6183" s="48" t="n">
        <f aca="false">$C$6164*Assumptions!$E$20*C6171*C6182</f>
        <v>6.62265268224</v>
      </c>
      <c r="D6183" s="48" t="n">
        <f aca="false">$C$6164*Assumptions!$E$20*D6171*D6182</f>
        <v>12.3261455324762</v>
      </c>
      <c r="E6183" s="48" t="n">
        <f aca="false">$C$6164*Assumptions!$E$20*E6171*E6182</f>
        <v>11.470770926522</v>
      </c>
      <c r="F6183" s="48" t="n">
        <f aca="false">$C$6164*Assumptions!$E$20*F6171*F6182</f>
        <v>10.6747551618685</v>
      </c>
      <c r="G6183" s="48" t="n">
        <f aca="false">$C$6164*Assumptions!$E$20*G6171*G6182</f>
        <v>14.61066768</v>
      </c>
      <c r="H6183" s="48" t="n">
        <f aca="false">$C$6164*Assumptions!$E$20*H6171*H6182</f>
        <v>17.9489075261109</v>
      </c>
      <c r="I6183" s="48" t="n">
        <f aca="false">$C$6164*Assumptions!$E$20*I6171*I6182</f>
        <v>32.115982635533</v>
      </c>
      <c r="J6183" s="48" t="n">
        <f aca="false">$C$6164*Assumptions!$E$20*J6171*J6182</f>
        <v>44.2303691031417</v>
      </c>
      <c r="K6183" s="48" t="n">
        <f aca="false">$C$6164*Assumptions!$E$20*K6171*K6182</f>
        <v>41.160996407263</v>
      </c>
      <c r="L6183" s="48" t="n">
        <f aca="false">$C$6164*Assumptions!$E$20*L6171*L6182</f>
        <v>38.304623262083</v>
      </c>
      <c r="M6183" s="48" t="n">
        <f aca="false">$C$6164*Assumptions!$E$20*M6171*M6182</f>
        <v>35.6464685337698</v>
      </c>
      <c r="N6183" s="48" t="n">
        <f aca="false">$C$6164*Assumptions!$E$20*N6171*N6182</f>
        <v>33.1727768273562</v>
      </c>
      <c r="P6183" s="49" t="n">
        <f aca="false">SUM(C6183:F6183)</f>
        <v>41.0943243031066</v>
      </c>
      <c r="Q6183" s="49" t="n">
        <f aca="false">SUM(G6183:J6183)</f>
        <v>108.905926944786</v>
      </c>
      <c r="R6183" s="49" t="n">
        <f aca="false">SUM(K6183:N6183)</f>
        <v>148.284865030472</v>
      </c>
      <c r="S6183" s="50" t="n">
        <f aca="false">SUM(P6183:R6183)</f>
        <v>298.285116278364</v>
      </c>
    </row>
    <row r="6184" customFormat="false" ht="15" hidden="false" customHeight="false" outlineLevel="0" collapsed="false">
      <c r="A6184" s="4" t="s">
        <v>492</v>
      </c>
      <c r="B6184" s="36" t="s">
        <v>321</v>
      </c>
      <c r="C6184" s="48" t="n">
        <f aca="false">Assumptions!$D$111</f>
        <v>0</v>
      </c>
      <c r="D6184" s="48" t="n">
        <f aca="false">Assumptions!$E$111</f>
        <v>0</v>
      </c>
      <c r="E6184" s="48" t="n">
        <f aca="false">Assumptions!$F$111</f>
        <v>0</v>
      </c>
      <c r="F6184" s="48" t="n">
        <f aca="false">Assumptions!$G$111</f>
        <v>0</v>
      </c>
      <c r="G6184" s="48" t="n">
        <f aca="false">Assumptions!$H$111</f>
        <v>0</v>
      </c>
      <c r="H6184" s="48" t="n">
        <f aca="false">Assumptions!$I$111</f>
        <v>0</v>
      </c>
      <c r="I6184" s="48" t="n">
        <f aca="false">Assumptions!$J$111</f>
        <v>0</v>
      </c>
      <c r="J6184" s="48" t="n">
        <f aca="false">Assumptions!$K$111</f>
        <v>0</v>
      </c>
      <c r="K6184" s="48" t="n">
        <f aca="false">Assumptions!$L$111</f>
        <v>0</v>
      </c>
      <c r="L6184" s="48" t="n">
        <f aca="false">Assumptions!$M$111</f>
        <v>0</v>
      </c>
      <c r="M6184" s="48" t="n">
        <f aca="false">Assumptions!$N$111</f>
        <v>0</v>
      </c>
      <c r="N6184" s="48" t="n">
        <f aca="false">Assumptions!$O$111</f>
        <v>0</v>
      </c>
      <c r="P6184" s="49" t="n">
        <f aca="false">F6184</f>
        <v>0</v>
      </c>
      <c r="Q6184" s="49" t="n">
        <f aca="false">J6184</f>
        <v>0</v>
      </c>
      <c r="R6184" s="49" t="n">
        <f aca="false">N6184</f>
        <v>0</v>
      </c>
      <c r="S6184" s="50" t="n">
        <f aca="false">R6184</f>
        <v>0</v>
      </c>
    </row>
    <row r="6185" customFormat="false" ht="15" hidden="false" customHeight="false" outlineLevel="0" collapsed="false">
      <c r="A6185" s="4" t="s">
        <v>493</v>
      </c>
      <c r="B6185" s="36" t="s">
        <v>321</v>
      </c>
      <c r="C6185" s="48" t="n">
        <f aca="false">0</f>
        <v>0</v>
      </c>
      <c r="D6185" s="48" t="n">
        <f aca="false">0.5*C6184</f>
        <v>0</v>
      </c>
      <c r="E6185" s="48" t="n">
        <f aca="false">C6184+0.5*(D6184-C6184)</f>
        <v>0</v>
      </c>
      <c r="F6185" s="48" t="n">
        <f aca="false">D6184+0.5*(E6184-D6184)</f>
        <v>0</v>
      </c>
      <c r="G6185" s="48" t="n">
        <f aca="false">E6184+0.5*(F6184-E6184)</f>
        <v>0</v>
      </c>
      <c r="H6185" s="48" t="n">
        <f aca="false">F6184+0.5*(G6184-F6184)</f>
        <v>0</v>
      </c>
      <c r="I6185" s="48" t="n">
        <f aca="false">G6184+0.5*(H6184-G6184)</f>
        <v>0</v>
      </c>
      <c r="J6185" s="48" t="n">
        <f aca="false">H6184+0.5*(I6184-H6184)</f>
        <v>0</v>
      </c>
      <c r="K6185" s="48" t="n">
        <f aca="false">I6184+0.5*(J6184-I6184)</f>
        <v>0</v>
      </c>
      <c r="L6185" s="48" t="n">
        <f aca="false">J6184+0.5*(K6184-J6184)</f>
        <v>0</v>
      </c>
      <c r="M6185" s="48" t="n">
        <f aca="false">K6184+0.5*(L6184-K6184)</f>
        <v>0</v>
      </c>
      <c r="N6185" s="48" t="n">
        <f aca="false">L6184+0.5*(M6184-L6184)</f>
        <v>0</v>
      </c>
      <c r="P6185" s="49" t="n">
        <f aca="false">F6185</f>
        <v>0</v>
      </c>
      <c r="Q6185" s="49" t="n">
        <f aca="false">J6185</f>
        <v>0</v>
      </c>
      <c r="R6185" s="49" t="n">
        <f aca="false">N6185</f>
        <v>0</v>
      </c>
      <c r="S6185" s="50" t="n">
        <f aca="false">R6185</f>
        <v>0</v>
      </c>
    </row>
    <row r="6186" customFormat="false" ht="15" hidden="false" customHeight="false" outlineLevel="0" collapsed="false">
      <c r="A6186" s="4" t="s">
        <v>494</v>
      </c>
      <c r="B6186" s="36" t="s">
        <v>485</v>
      </c>
      <c r="C6186" s="39" t="n">
        <f aca="false">MIN(C6185*Assumptions!$E$38,C6181*(1-$C$6164))</f>
        <v>0</v>
      </c>
      <c r="D6186" s="39" t="n">
        <f aca="false">MIN(D6185*Assumptions!$E$38,D6181*(1-$C$6164))</f>
        <v>0</v>
      </c>
      <c r="E6186" s="39" t="n">
        <f aca="false">MIN(E6185*Assumptions!$E$38,E6181*(1-$C$6164))</f>
        <v>0</v>
      </c>
      <c r="F6186" s="39" t="n">
        <f aca="false">MIN(F6185*Assumptions!$E$38,F6181*(1-$C$6164))</f>
        <v>0</v>
      </c>
      <c r="G6186" s="39" t="n">
        <f aca="false">MIN(G6185*Assumptions!$E$38,G6181*(1-$C$6164))</f>
        <v>0</v>
      </c>
      <c r="H6186" s="39" t="n">
        <f aca="false">MIN(H6185*Assumptions!$E$38,H6181*(1-$C$6164))</f>
        <v>0</v>
      </c>
      <c r="I6186" s="39" t="n">
        <f aca="false">MIN(I6185*Assumptions!$E$38,I6181*(1-$C$6164))</f>
        <v>0</v>
      </c>
      <c r="J6186" s="39" t="n">
        <f aca="false">MIN(J6185*Assumptions!$E$38,J6181*(1-$C$6164))</f>
        <v>0</v>
      </c>
      <c r="K6186" s="39" t="n">
        <f aca="false">MIN(K6185*Assumptions!$E$38,K6181*(1-$C$6164))</f>
        <v>0</v>
      </c>
      <c r="L6186" s="39" t="n">
        <f aca="false">MIN(L6185*Assumptions!$E$38,L6181*(1-$C$6164))</f>
        <v>0</v>
      </c>
      <c r="M6186" s="39" t="n">
        <f aca="false">MIN(M6185*Assumptions!$E$38,M6181*(1-$C$6164))</f>
        <v>0</v>
      </c>
      <c r="N6186" s="39" t="n">
        <f aca="false">MIN(N6185*Assumptions!$E$38,N6181*(1-$C$6164))</f>
        <v>0</v>
      </c>
      <c r="P6186" s="40" t="n">
        <f aca="false">SUM(C6186:F6186)</f>
        <v>0</v>
      </c>
      <c r="Q6186" s="40" t="n">
        <f aca="false">SUM(G6186:J6186)</f>
        <v>0</v>
      </c>
      <c r="R6186" s="40" t="n">
        <f aca="false">SUM(K6186:N6186)</f>
        <v>0</v>
      </c>
      <c r="S6186" s="41" t="n">
        <f aca="false">SUM(P6186:R6186)</f>
        <v>0</v>
      </c>
    </row>
    <row r="6187" customFormat="false" ht="15" hidden="false" customHeight="false" outlineLevel="0" collapsed="false">
      <c r="A6187" s="4" t="s">
        <v>495</v>
      </c>
      <c r="B6187" s="36" t="s">
        <v>491</v>
      </c>
      <c r="C6187" s="48" t="n">
        <f aca="false">C6186*Assumptions!$E$20*Assumptions!$E$39*IF(C6181&gt;0,C6182/C6181,0)*C6171</f>
        <v>0</v>
      </c>
      <c r="D6187" s="48" t="n">
        <f aca="false">D6186*Assumptions!$E$20*Assumptions!$E$39*IF(D6181&gt;0,D6182/D6181,0)*D6171</f>
        <v>0</v>
      </c>
      <c r="E6187" s="48" t="n">
        <f aca="false">E6186*Assumptions!$E$20*Assumptions!$E$39*IF(E6181&gt;0,E6182/E6181,0)*E6171</f>
        <v>0</v>
      </c>
      <c r="F6187" s="48" t="n">
        <f aca="false">F6186*Assumptions!$E$20*Assumptions!$E$39*IF(F6181&gt;0,F6182/F6181,0)*F6171</f>
        <v>0</v>
      </c>
      <c r="G6187" s="48" t="n">
        <f aca="false">G6186*Assumptions!$E$20*Assumptions!$E$39*IF(G6181&gt;0,G6182/G6181,0)*G6171</f>
        <v>0</v>
      </c>
      <c r="H6187" s="48" t="n">
        <f aca="false">H6186*Assumptions!$E$20*Assumptions!$E$39*IF(H6181&gt;0,H6182/H6181,0)*H6171</f>
        <v>0</v>
      </c>
      <c r="I6187" s="48" t="n">
        <f aca="false">I6186*Assumptions!$E$20*Assumptions!$E$39*IF(I6181&gt;0,I6182/I6181,0)*I6171</f>
        <v>0</v>
      </c>
      <c r="J6187" s="48" t="n">
        <f aca="false">J6186*Assumptions!$E$20*Assumptions!$E$39*IF(J6181&gt;0,J6182/J6181,0)*J6171</f>
        <v>0</v>
      </c>
      <c r="K6187" s="48" t="n">
        <f aca="false">K6186*Assumptions!$E$20*Assumptions!$E$39*IF(K6181&gt;0,K6182/K6181,0)*K6171</f>
        <v>0</v>
      </c>
      <c r="L6187" s="48" t="n">
        <f aca="false">L6186*Assumptions!$E$20*Assumptions!$E$39*IF(L6181&gt;0,L6182/L6181,0)*L6171</f>
        <v>0</v>
      </c>
      <c r="M6187" s="48" t="n">
        <f aca="false">M6186*Assumptions!$E$20*Assumptions!$E$39*IF(M6181&gt;0,M6182/M6181,0)*M6171</f>
        <v>0</v>
      </c>
      <c r="N6187" s="48" t="n">
        <f aca="false">N6186*Assumptions!$E$20*Assumptions!$E$39*IF(N6181&gt;0,N6182/N6181,0)*N6171</f>
        <v>0</v>
      </c>
      <c r="P6187" s="49" t="n">
        <f aca="false">SUM(C6187:F6187)</f>
        <v>0</v>
      </c>
      <c r="Q6187" s="49" t="n">
        <f aca="false">SUM(G6187:J6187)</f>
        <v>0</v>
      </c>
      <c r="R6187" s="49" t="n">
        <f aca="false">SUM(K6187:N6187)</f>
        <v>0</v>
      </c>
      <c r="S6187" s="50" t="n">
        <f aca="false">SUM(P6187:R6187)</f>
        <v>0</v>
      </c>
    </row>
    <row r="6188" customFormat="false" ht="15" hidden="false" customHeight="false" outlineLevel="0" collapsed="false">
      <c r="A6188" s="4" t="s">
        <v>496</v>
      </c>
      <c r="B6188" s="36" t="s">
        <v>497</v>
      </c>
      <c r="C6188" s="48" t="n">
        <f aca="false">IF(AND(C6181&gt;0,$C$6168&gt;0),C6181*Assumptions!$E$24*(1-EXP(-$C$6168/(Assumptions!$E$23*C6181*Assumptions!$E$24))),0)</f>
        <v>0</v>
      </c>
      <c r="D6188" s="48" t="n">
        <f aca="false">IF(AND(D6181&gt;0,$C$6168&gt;0),D6181*Assumptions!$E$24*(1-EXP(-$C$6168/(Assumptions!$E$23*D6181*Assumptions!$E$24))),0)</f>
        <v>0</v>
      </c>
      <c r="E6188" s="48" t="n">
        <f aca="false">IF(AND(E6181&gt;0,$C$6168&gt;0),E6181*Assumptions!$E$24*(1-EXP(-$C$6168/(Assumptions!$E$23*E6181*Assumptions!$E$24))),0)</f>
        <v>0</v>
      </c>
      <c r="F6188" s="48" t="n">
        <f aca="false">IF(AND(F6181&gt;0,$C$6168&gt;0),F6181*Assumptions!$E$24*(1-EXP(-$C$6168/(Assumptions!$E$23*F6181*Assumptions!$E$24))),0)</f>
        <v>0</v>
      </c>
      <c r="G6188" s="48" t="n">
        <f aca="false">IF(AND(G6181&gt;0,$C$6168&gt;0),G6181*Assumptions!$E$24*(1-EXP(-$C$6168/(Assumptions!$E$23*G6181*Assumptions!$E$24))),0)</f>
        <v>0</v>
      </c>
      <c r="H6188" s="48" t="n">
        <f aca="false">IF(AND(H6181&gt;0,$C$6168&gt;0),H6181*Assumptions!$E$24*(1-EXP(-$C$6168/(Assumptions!$E$23*H6181*Assumptions!$E$24))),0)</f>
        <v>0</v>
      </c>
      <c r="I6188" s="48" t="n">
        <f aca="false">IF(AND(I6181&gt;0,$C$6168&gt;0),I6181*Assumptions!$E$24*(1-EXP(-$C$6168/(Assumptions!$E$23*I6181*Assumptions!$E$24))),0)</f>
        <v>0</v>
      </c>
      <c r="J6188" s="48" t="n">
        <f aca="false">IF(AND(J6181&gt;0,$C$6168&gt;0),J6181*Assumptions!$E$24*(1-EXP(-$C$6168/(Assumptions!$E$23*J6181*Assumptions!$E$24))),0)</f>
        <v>0</v>
      </c>
      <c r="K6188" s="48" t="n">
        <f aca="false">IF(AND(K6181&gt;0,$C$6168&gt;0),K6181*Assumptions!$E$24*(1-EXP(-$C$6168/(Assumptions!$E$23*K6181*Assumptions!$E$24))),0)</f>
        <v>0</v>
      </c>
      <c r="L6188" s="48" t="n">
        <f aca="false">IF(AND(L6181&gt;0,$C$6168&gt;0),L6181*Assumptions!$E$24*(1-EXP(-$C$6168/(Assumptions!$E$23*L6181*Assumptions!$E$24))),0)</f>
        <v>0</v>
      </c>
      <c r="M6188" s="48" t="n">
        <f aca="false">IF(AND(M6181&gt;0,$C$6168&gt;0),M6181*Assumptions!$E$24*(1-EXP(-$C$6168/(Assumptions!$E$23*M6181*Assumptions!$E$24))),0)</f>
        <v>0</v>
      </c>
      <c r="N6188" s="48" t="n">
        <f aca="false">IF(AND(N6181&gt;0,$C$6168&gt;0),N6181*Assumptions!$E$24*(1-EXP(-$C$6168/(Assumptions!$E$23*N6181*Assumptions!$E$24))),0)</f>
        <v>0</v>
      </c>
      <c r="P6188" s="49" t="n">
        <f aca="false">SUM(C6188:F6188)</f>
        <v>0</v>
      </c>
      <c r="Q6188" s="49" t="n">
        <f aca="false">SUM(G6188:J6188)</f>
        <v>0</v>
      </c>
      <c r="R6188" s="49" t="n">
        <f aca="false">SUM(K6188:N6188)</f>
        <v>0</v>
      </c>
      <c r="S6188" s="50" t="n">
        <f aca="false">SUM(P6188:R6188)</f>
        <v>0</v>
      </c>
    </row>
    <row r="6189" customFormat="false" ht="15" hidden="false" customHeight="false" outlineLevel="0" collapsed="false">
      <c r="A6189" s="4" t="s">
        <v>498</v>
      </c>
      <c r="B6189" s="36" t="s">
        <v>497</v>
      </c>
      <c r="C6189" s="48" t="n">
        <f aca="false">(C6181*Assumptions!$E$22*MIN(1,Assumptions!$D$103/Assumptions!$E$78)+C6188)*C6171</f>
        <v>5.5188772352</v>
      </c>
      <c r="D6189" s="48" t="n">
        <f aca="false">(D6181*Assumptions!$E$22*MIN(1,Assumptions!$D$103/Assumptions!$E$78)+D6188)*D6171</f>
        <v>11.0377544704</v>
      </c>
      <c r="E6189" s="48" t="n">
        <f aca="false">(E6181*Assumptions!$E$22*MIN(1,Assumptions!$D$103/Assumptions!$E$78)+E6188)*E6171</f>
        <v>11.0377544704</v>
      </c>
      <c r="F6189" s="48" t="n">
        <f aca="false">(F6181*Assumptions!$E$22*MIN(1,Assumptions!$D$103/Assumptions!$E$78)+F6188)*F6171</f>
        <v>11.0377544704</v>
      </c>
      <c r="G6189" s="48" t="n">
        <f aca="false">(G6181*Assumptions!$E$22*MIN(1,Assumptions!$D$103/Assumptions!$E$78)+G6188)*G6171</f>
        <v>14.9349950176</v>
      </c>
      <c r="H6189" s="48" t="n">
        <f aca="false">(H6181*Assumptions!$E$22*MIN(1,Assumptions!$D$103/Assumptions!$E$78)+H6188)*H6171</f>
        <v>18.8322355648</v>
      </c>
      <c r="I6189" s="48" t="n">
        <f aca="false">(I6181*Assumptions!$E$22*MIN(1,Assumptions!$D$103/Assumptions!$E$78)+I6188)*I6171</f>
        <v>31.6761039616</v>
      </c>
      <c r="J6189" s="48" t="n">
        <f aca="false">(J6181*Assumptions!$E$22*MIN(1,Assumptions!$D$103/Assumptions!$E$78)+J6188)*J6171</f>
        <v>44.5199723584</v>
      </c>
      <c r="K6189" s="48" t="n">
        <f aca="false">(K6181*Assumptions!$E$22*MIN(1,Assumptions!$D$103/Assumptions!$E$78)+K6188)*K6171</f>
        <v>44.5199723584</v>
      </c>
      <c r="L6189" s="48" t="n">
        <f aca="false">(L6181*Assumptions!$E$22*MIN(1,Assumptions!$D$103/Assumptions!$E$78)+L6188)*L6171</f>
        <v>44.5199723584</v>
      </c>
      <c r="M6189" s="48" t="n">
        <f aca="false">(M6181*Assumptions!$E$22*MIN(1,Assumptions!$D$103/Assumptions!$E$78)+M6188)*M6171</f>
        <v>44.5199723584</v>
      </c>
      <c r="N6189" s="48" t="n">
        <f aca="false">(N6181*Assumptions!$E$22*MIN(1,Assumptions!$D$103/Assumptions!$E$78)+N6188)*N6171</f>
        <v>44.5199723584</v>
      </c>
      <c r="P6189" s="49" t="n">
        <f aca="false">SUM(C6189:F6189)</f>
        <v>38.6321406464</v>
      </c>
      <c r="Q6189" s="49" t="n">
        <f aca="false">SUM(G6189:J6189)</f>
        <v>109.9633069024</v>
      </c>
      <c r="R6189" s="49" t="n">
        <f aca="false">SUM(K6189:N6189)</f>
        <v>178.0798894336</v>
      </c>
      <c r="S6189" s="50" t="n">
        <f aca="false">SUM(P6189:R6189)</f>
        <v>326.6753369824</v>
      </c>
    </row>
    <row r="6190" customFormat="false" ht="15" hidden="false" customHeight="false" outlineLevel="0" collapsed="false">
      <c r="A6190" s="4" t="s">
        <v>499</v>
      </c>
      <c r="B6190" s="36" t="s">
        <v>500</v>
      </c>
      <c r="C6190" s="48" t="n">
        <f aca="false">C6171*MIN(Assumptions!$E$27,Assumptions!$E$25+Assumptions!$E$26*(C6170-1))*Assumptions!$D$107</f>
        <v>2</v>
      </c>
      <c r="D6190" s="48" t="n">
        <f aca="false">D6171*MIN(Assumptions!$E$27,Assumptions!$E$25+Assumptions!$E$26*(D6170-1))*Assumptions!$D$107</f>
        <v>3</v>
      </c>
      <c r="E6190" s="48" t="n">
        <f aca="false">E6171*MIN(Assumptions!$E$27,Assumptions!$E$25+Assumptions!$E$26*(E6170-1))*Assumptions!$D$107</f>
        <v>4</v>
      </c>
      <c r="F6190" s="48" t="n">
        <f aca="false">F6171*MIN(Assumptions!$E$27,Assumptions!$E$25+Assumptions!$E$26*(F6170-1))*Assumptions!$D$107</f>
        <v>5</v>
      </c>
      <c r="G6190" s="48" t="n">
        <f aca="false">G6171*MIN(Assumptions!$E$27,Assumptions!$E$25+Assumptions!$E$26*(G6170-1))*Assumptions!$D$107</f>
        <v>6</v>
      </c>
      <c r="H6190" s="48" t="n">
        <f aca="false">H6171*MIN(Assumptions!$E$27,Assumptions!$E$25+Assumptions!$E$26*(H6170-1))*Assumptions!$D$107</f>
        <v>7</v>
      </c>
      <c r="I6190" s="48" t="n">
        <f aca="false">I6171*MIN(Assumptions!$E$27,Assumptions!$E$25+Assumptions!$E$26*(I6170-1))*Assumptions!$D$107</f>
        <v>8</v>
      </c>
      <c r="J6190" s="48" t="n">
        <f aca="false">J6171*MIN(Assumptions!$E$27,Assumptions!$E$25+Assumptions!$E$26*(J6170-1))*Assumptions!$D$107</f>
        <v>9</v>
      </c>
      <c r="K6190" s="48" t="n">
        <f aca="false">K6171*MIN(Assumptions!$E$27,Assumptions!$E$25+Assumptions!$E$26*(K6170-1))*Assumptions!$D$107</f>
        <v>10</v>
      </c>
      <c r="L6190" s="48" t="n">
        <f aca="false">L6171*MIN(Assumptions!$E$27,Assumptions!$E$25+Assumptions!$E$26*(L6170-1))*Assumptions!$D$107</f>
        <v>10</v>
      </c>
      <c r="M6190" s="48" t="n">
        <f aca="false">M6171*MIN(Assumptions!$E$27,Assumptions!$E$25+Assumptions!$E$26*(M6170-1))*Assumptions!$D$107</f>
        <v>10</v>
      </c>
      <c r="N6190" s="48" t="n">
        <f aca="false">N6171*MIN(Assumptions!$E$27,Assumptions!$E$25+Assumptions!$E$26*(N6170-1))*Assumptions!$D$107</f>
        <v>10</v>
      </c>
      <c r="P6190" s="49" t="n">
        <f aca="false">F6190</f>
        <v>5</v>
      </c>
      <c r="Q6190" s="49" t="n">
        <f aca="false">J6190</f>
        <v>9</v>
      </c>
      <c r="R6190" s="49" t="n">
        <f aca="false">N6190</f>
        <v>10</v>
      </c>
      <c r="S6190" s="50" t="n">
        <f aca="false">R6190</f>
        <v>10</v>
      </c>
    </row>
    <row r="6191" customFormat="false" ht="15" hidden="false" customHeight="false" outlineLevel="0" collapsed="false">
      <c r="A6191" s="4" t="s">
        <v>501</v>
      </c>
      <c r="B6191" s="36" t="s">
        <v>502</v>
      </c>
      <c r="C6191" s="48" t="n">
        <f aca="false">C6190*Assumptions!$E$28</f>
        <v>6</v>
      </c>
      <c r="D6191" s="48" t="n">
        <f aca="false">D6190*Assumptions!$E$28</f>
        <v>9</v>
      </c>
      <c r="E6191" s="48" t="n">
        <f aca="false">E6190*Assumptions!$E$28</f>
        <v>12</v>
      </c>
      <c r="F6191" s="48" t="n">
        <f aca="false">F6190*Assumptions!$E$28</f>
        <v>15</v>
      </c>
      <c r="G6191" s="48" t="n">
        <f aca="false">G6190*Assumptions!$E$28</f>
        <v>18</v>
      </c>
      <c r="H6191" s="48" t="n">
        <f aca="false">H6190*Assumptions!$E$28</f>
        <v>21</v>
      </c>
      <c r="I6191" s="48" t="n">
        <f aca="false">I6190*Assumptions!$E$28</f>
        <v>24</v>
      </c>
      <c r="J6191" s="48" t="n">
        <f aca="false">J6190*Assumptions!$E$28</f>
        <v>27</v>
      </c>
      <c r="K6191" s="48" t="n">
        <f aca="false">K6190*Assumptions!$E$28</f>
        <v>30</v>
      </c>
      <c r="L6191" s="48" t="n">
        <f aca="false">L6190*Assumptions!$E$28</f>
        <v>30</v>
      </c>
      <c r="M6191" s="48" t="n">
        <f aca="false">M6190*Assumptions!$E$28</f>
        <v>30</v>
      </c>
      <c r="N6191" s="48" t="n">
        <f aca="false">N6190*Assumptions!$E$28</f>
        <v>30</v>
      </c>
      <c r="P6191" s="49" t="n">
        <f aca="false">SUM(C6191:F6191)</f>
        <v>42</v>
      </c>
      <c r="Q6191" s="49" t="n">
        <f aca="false">SUM(G6191:J6191)</f>
        <v>90</v>
      </c>
      <c r="R6191" s="49" t="n">
        <f aca="false">SUM(K6191:N6191)</f>
        <v>120</v>
      </c>
      <c r="S6191" s="50" t="n">
        <f aca="false">SUM(P6191:R6191)</f>
        <v>252</v>
      </c>
    </row>
    <row r="6192" customFormat="false" ht="15" hidden="false" customHeight="false" outlineLevel="0" collapsed="false">
      <c r="A6192" s="4" t="s">
        <v>503</v>
      </c>
      <c r="B6192" s="36" t="s">
        <v>504</v>
      </c>
      <c r="C6192" s="48" t="n">
        <f aca="false">(C6183+C6187)*Assumptions!$E$29</f>
        <v>2.649061072896</v>
      </c>
      <c r="D6192" s="48" t="n">
        <f aca="false">(D6183+D6187)*Assumptions!$E$29</f>
        <v>4.93045821299048</v>
      </c>
      <c r="E6192" s="48" t="n">
        <f aca="false">(E6183+E6187)*Assumptions!$E$29</f>
        <v>4.58830837060879</v>
      </c>
      <c r="F6192" s="48" t="n">
        <f aca="false">(F6183+F6187)*Assumptions!$E$29</f>
        <v>4.26990206474738</v>
      </c>
      <c r="G6192" s="48" t="n">
        <f aca="false">(G6183+G6187)*Assumptions!$E$29</f>
        <v>5.844267072</v>
      </c>
      <c r="H6192" s="48" t="n">
        <f aca="false">(H6183+H6187)*Assumptions!$E$29</f>
        <v>7.17956301044434</v>
      </c>
      <c r="I6192" s="48" t="n">
        <f aca="false">(I6183+I6187)*Assumptions!$E$29</f>
        <v>12.8463930542132</v>
      </c>
      <c r="J6192" s="48" t="n">
        <f aca="false">(J6183+J6187)*Assumptions!$E$29</f>
        <v>17.6921476412567</v>
      </c>
      <c r="K6192" s="48" t="n">
        <f aca="false">(K6183+K6187)*Assumptions!$E$29</f>
        <v>16.4643985629052</v>
      </c>
      <c r="L6192" s="48" t="n">
        <f aca="false">(L6183+L6187)*Assumptions!$E$29</f>
        <v>15.3218493048332</v>
      </c>
      <c r="M6192" s="48" t="n">
        <f aca="false">(M6183+M6187)*Assumptions!$E$29</f>
        <v>14.2585874135079</v>
      </c>
      <c r="N6192" s="48" t="n">
        <f aca="false">(N6183+N6187)*Assumptions!$E$29</f>
        <v>13.2691107309425</v>
      </c>
      <c r="P6192" s="49" t="n">
        <f aca="false">SUM(C6192:F6192)</f>
        <v>16.4377297212427</v>
      </c>
      <c r="Q6192" s="49" t="n">
        <f aca="false">SUM(G6192:J6192)</f>
        <v>43.5623707779142</v>
      </c>
      <c r="R6192" s="49" t="n">
        <f aca="false">SUM(K6192:N6192)</f>
        <v>59.3139460121888</v>
      </c>
      <c r="S6192" s="50" t="n">
        <f aca="false">SUM(P6192:R6192)</f>
        <v>119.314046511346</v>
      </c>
    </row>
    <row r="6193" customFormat="false" ht="15" hidden="false" customHeight="false" outlineLevel="0" collapsed="false">
      <c r="A6193" s="4" t="s">
        <v>505</v>
      </c>
      <c r="B6193" s="36" t="s">
        <v>504</v>
      </c>
      <c r="C6193" s="48" t="n">
        <f aca="false">C6189*Assumptions!$E$31</f>
        <v>0.883020357632</v>
      </c>
      <c r="D6193" s="48" t="n">
        <f aca="false">D6189*Assumptions!$E$31</f>
        <v>1.766040715264</v>
      </c>
      <c r="E6193" s="48" t="n">
        <f aca="false">E6189*Assumptions!$E$31</f>
        <v>1.766040715264</v>
      </c>
      <c r="F6193" s="48" t="n">
        <f aca="false">F6189*Assumptions!$E$31</f>
        <v>1.766040715264</v>
      </c>
      <c r="G6193" s="48" t="n">
        <f aca="false">G6189*Assumptions!$E$31</f>
        <v>2.389599202816</v>
      </c>
      <c r="H6193" s="48" t="n">
        <f aca="false">H6189*Assumptions!$E$31</f>
        <v>3.013157690368</v>
      </c>
      <c r="I6193" s="48" t="n">
        <f aca="false">I6189*Assumptions!$E$31</f>
        <v>5.068176633856</v>
      </c>
      <c r="J6193" s="48" t="n">
        <f aca="false">J6189*Assumptions!$E$31</f>
        <v>7.123195577344</v>
      </c>
      <c r="K6193" s="48" t="n">
        <f aca="false">K6189*Assumptions!$E$31</f>
        <v>7.123195577344</v>
      </c>
      <c r="L6193" s="48" t="n">
        <f aca="false">L6189*Assumptions!$E$31</f>
        <v>7.123195577344</v>
      </c>
      <c r="M6193" s="48" t="n">
        <f aca="false">M6189*Assumptions!$E$31</f>
        <v>7.123195577344</v>
      </c>
      <c r="N6193" s="48" t="n">
        <f aca="false">N6189*Assumptions!$E$31</f>
        <v>7.123195577344</v>
      </c>
      <c r="P6193" s="49" t="n">
        <f aca="false">SUM(C6193:F6193)</f>
        <v>6.181142503424</v>
      </c>
      <c r="Q6193" s="49" t="n">
        <f aca="false">SUM(G6193:J6193)</f>
        <v>17.594129104384</v>
      </c>
      <c r="R6193" s="49" t="n">
        <f aca="false">SUM(K6193:N6193)</f>
        <v>28.492782309376</v>
      </c>
      <c r="S6193" s="50" t="n">
        <f aca="false">SUM(P6193:R6193)</f>
        <v>52.268053917184</v>
      </c>
    </row>
    <row r="6194" customFormat="false" ht="15" hidden="false" customHeight="false" outlineLevel="0" collapsed="false">
      <c r="A6194" s="4" t="s">
        <v>506</v>
      </c>
      <c r="B6194" s="36" t="s">
        <v>504</v>
      </c>
      <c r="C6194" s="48" t="n">
        <f aca="false">C6191*Assumptions!$E$30</f>
        <v>3</v>
      </c>
      <c r="D6194" s="48" t="n">
        <f aca="false">D6191*Assumptions!$E$30</f>
        <v>4.5</v>
      </c>
      <c r="E6194" s="48" t="n">
        <f aca="false">E6191*Assumptions!$E$30</f>
        <v>6</v>
      </c>
      <c r="F6194" s="48" t="n">
        <f aca="false">F6191*Assumptions!$E$30</f>
        <v>7.5</v>
      </c>
      <c r="G6194" s="48" t="n">
        <f aca="false">G6191*Assumptions!$E$30</f>
        <v>9</v>
      </c>
      <c r="H6194" s="48" t="n">
        <f aca="false">H6191*Assumptions!$E$30</f>
        <v>10.5</v>
      </c>
      <c r="I6194" s="48" t="n">
        <f aca="false">I6191*Assumptions!$E$30</f>
        <v>12</v>
      </c>
      <c r="J6194" s="48" t="n">
        <f aca="false">J6191*Assumptions!$E$30</f>
        <v>13.5</v>
      </c>
      <c r="K6194" s="48" t="n">
        <f aca="false">K6191*Assumptions!$E$30</f>
        <v>15</v>
      </c>
      <c r="L6194" s="48" t="n">
        <f aca="false">L6191*Assumptions!$E$30</f>
        <v>15</v>
      </c>
      <c r="M6194" s="48" t="n">
        <f aca="false">M6191*Assumptions!$E$30</f>
        <v>15</v>
      </c>
      <c r="N6194" s="48" t="n">
        <f aca="false">N6191*Assumptions!$E$30</f>
        <v>15</v>
      </c>
      <c r="P6194" s="49" t="n">
        <f aca="false">SUM(C6194:F6194)</f>
        <v>21</v>
      </c>
      <c r="Q6194" s="49" t="n">
        <f aca="false">SUM(G6194:J6194)</f>
        <v>45</v>
      </c>
      <c r="R6194" s="49" t="n">
        <f aca="false">SUM(K6194:N6194)</f>
        <v>60</v>
      </c>
      <c r="S6194" s="50" t="n">
        <f aca="false">SUM(P6194:R6194)</f>
        <v>126</v>
      </c>
    </row>
    <row r="6195" customFormat="false" ht="15" hidden="false" customHeight="false" outlineLevel="0" collapsed="false">
      <c r="A6195" s="9" t="s">
        <v>507</v>
      </c>
      <c r="B6195" s="36" t="s">
        <v>504</v>
      </c>
      <c r="C6195" s="49" t="n">
        <f aca="false">C6192+C6193+C6194</f>
        <v>6.532081430528</v>
      </c>
      <c r="D6195" s="49" t="n">
        <f aca="false">D6192+D6193+D6194</f>
        <v>11.1964989282545</v>
      </c>
      <c r="E6195" s="49" t="n">
        <f aca="false">E6192+E6193+E6194</f>
        <v>12.3543490858728</v>
      </c>
      <c r="F6195" s="49" t="n">
        <f aca="false">F6192+F6193+F6194</f>
        <v>13.5359427800114</v>
      </c>
      <c r="G6195" s="49" t="n">
        <f aca="false">G6192+G6193+G6194</f>
        <v>17.233866274816</v>
      </c>
      <c r="H6195" s="49" t="n">
        <f aca="false">H6192+H6193+H6194</f>
        <v>20.6927207008123</v>
      </c>
      <c r="I6195" s="49" t="n">
        <f aca="false">I6192+I6193+I6194</f>
        <v>29.9145696880692</v>
      </c>
      <c r="J6195" s="49" t="n">
        <f aca="false">J6192+J6193+J6194</f>
        <v>38.3153432186007</v>
      </c>
      <c r="K6195" s="49" t="n">
        <f aca="false">K6192+K6193+K6194</f>
        <v>38.5875941402492</v>
      </c>
      <c r="L6195" s="49" t="n">
        <f aca="false">L6192+L6193+L6194</f>
        <v>37.4450448821772</v>
      </c>
      <c r="M6195" s="49" t="n">
        <f aca="false">M6192+M6193+M6194</f>
        <v>36.3817829908519</v>
      </c>
      <c r="N6195" s="49" t="n">
        <f aca="false">N6192+N6193+N6194</f>
        <v>35.3923063082865</v>
      </c>
      <c r="P6195" s="49" t="n">
        <f aca="false">SUM(C6195:F6195)</f>
        <v>43.6188722246667</v>
      </c>
      <c r="Q6195" s="49" t="n">
        <f aca="false">SUM(G6195:J6195)</f>
        <v>106.156499882298</v>
      </c>
      <c r="R6195" s="49" t="n">
        <f aca="false">SUM(K6195:N6195)</f>
        <v>147.806728321565</v>
      </c>
      <c r="S6195" s="50" t="n">
        <f aca="false">SUM(P6195:R6195)</f>
        <v>297.58210042853</v>
      </c>
    </row>
    <row r="6196" customFormat="false" ht="15" hidden="false" customHeight="false" outlineLevel="0" collapsed="false">
      <c r="A6196" s="4" t="s">
        <v>508</v>
      </c>
      <c r="B6196" s="36" t="s">
        <v>509</v>
      </c>
      <c r="C6196" s="48" t="n">
        <f aca="false">C6178</f>
        <v>421.51972352</v>
      </c>
      <c r="D6196" s="48" t="n">
        <f aca="false">D6178</f>
        <v>843.03944704</v>
      </c>
      <c r="E6196" s="48" t="n">
        <f aca="false">E6178</f>
        <v>843.03944704</v>
      </c>
      <c r="F6196" s="48" t="n">
        <f aca="false">F6178</f>
        <v>843.03944704</v>
      </c>
      <c r="G6196" s="48" t="n">
        <f aca="false">G6178</f>
        <v>1149.32798176</v>
      </c>
      <c r="H6196" s="48" t="n">
        <f aca="false">H6178</f>
        <v>1455.61651648</v>
      </c>
      <c r="I6196" s="48" t="n">
        <f aca="false">I6178</f>
        <v>2486.00303616</v>
      </c>
      <c r="J6196" s="48" t="n">
        <f aca="false">J6178</f>
        <v>3516.38955584</v>
      </c>
      <c r="K6196" s="48" t="n">
        <f aca="false">K6178</f>
        <v>3516.38955584</v>
      </c>
      <c r="L6196" s="48" t="n">
        <f aca="false">L6178</f>
        <v>3516.38955584</v>
      </c>
      <c r="M6196" s="48" t="n">
        <f aca="false">M6178</f>
        <v>3516.38955584</v>
      </c>
      <c r="N6196" s="48" t="n">
        <f aca="false">N6178</f>
        <v>3516.38955584</v>
      </c>
      <c r="P6196" s="49"/>
      <c r="Q6196" s="49"/>
      <c r="R6196" s="49"/>
      <c r="S6196" s="50"/>
    </row>
    <row r="6197" customFormat="false" ht="15" hidden="false" customHeight="false" outlineLevel="0" collapsed="false">
      <c r="A6197" s="4" t="s">
        <v>510</v>
      </c>
      <c r="B6197" s="36" t="s">
        <v>509</v>
      </c>
      <c r="C6197" s="48" t="n">
        <f aca="false">C6179*Assumptions!$E$18*Assumptions!$E$33</f>
        <v>211.19616</v>
      </c>
      <c r="D6197" s="48" t="n">
        <f aca="false">D6179*Assumptions!$E$18*Assumptions!$E$33</f>
        <v>422.39232</v>
      </c>
      <c r="E6197" s="48" t="n">
        <f aca="false">E6179*Assumptions!$E$18*Assumptions!$E$33</f>
        <v>422.39232</v>
      </c>
      <c r="F6197" s="48" t="n">
        <f aca="false">F6179*Assumptions!$E$18*Assumptions!$E$33</f>
        <v>422.39232</v>
      </c>
      <c r="G6197" s="48" t="n">
        <f aca="false">G6179*Assumptions!$E$18*Assumptions!$E$33</f>
        <v>564.49344</v>
      </c>
      <c r="H6197" s="48" t="n">
        <f aca="false">H6179*Assumptions!$E$18*Assumptions!$E$33</f>
        <v>706.59456</v>
      </c>
      <c r="I6197" s="48" t="n">
        <f aca="false">I6179*Assumptions!$E$18*Assumptions!$E$33</f>
        <v>1135.07072</v>
      </c>
      <c r="J6197" s="48" t="n">
        <f aca="false">J6179*Assumptions!$E$18*Assumptions!$E$33</f>
        <v>1563.54688</v>
      </c>
      <c r="K6197" s="48" t="n">
        <f aca="false">K6179*Assumptions!$E$18*Assumptions!$E$33</f>
        <v>1563.54688</v>
      </c>
      <c r="L6197" s="48" t="n">
        <f aca="false">L6179*Assumptions!$E$18*Assumptions!$E$33</f>
        <v>1563.54688</v>
      </c>
      <c r="M6197" s="48" t="n">
        <f aca="false">M6179*Assumptions!$E$18*Assumptions!$E$33</f>
        <v>1563.54688</v>
      </c>
      <c r="N6197" s="48" t="n">
        <f aca="false">N6179*Assumptions!$E$18*Assumptions!$E$33</f>
        <v>1563.54688</v>
      </c>
      <c r="P6197" s="49"/>
      <c r="Q6197" s="49"/>
      <c r="R6197" s="49"/>
      <c r="S6197" s="50"/>
    </row>
    <row r="6198" customFormat="false" ht="15" hidden="false" customHeight="false" outlineLevel="0" collapsed="false">
      <c r="A6198" s="4" t="s">
        <v>511</v>
      </c>
      <c r="B6198" s="36" t="s">
        <v>509</v>
      </c>
      <c r="C6198" s="48" t="n">
        <f aca="false">C6180*Assumptions!$E$19*Assumptions!$E$34</f>
        <v>34.677888</v>
      </c>
      <c r="D6198" s="48" t="n">
        <f aca="false">D6180*Assumptions!$E$19*Assumptions!$E$34</f>
        <v>69.355776</v>
      </c>
      <c r="E6198" s="48" t="n">
        <f aca="false">E6180*Assumptions!$E$19*Assumptions!$E$34</f>
        <v>69.355776</v>
      </c>
      <c r="F6198" s="48" t="n">
        <f aca="false">F6180*Assumptions!$E$19*Assumptions!$E$34</f>
        <v>69.355776</v>
      </c>
      <c r="G6198" s="48" t="n">
        <f aca="false">G6180*Assumptions!$E$19*Assumptions!$E$34</f>
        <v>86.69472</v>
      </c>
      <c r="H6198" s="48" t="n">
        <f aca="false">H6180*Assumptions!$E$19*Assumptions!$E$34</f>
        <v>104.033664</v>
      </c>
      <c r="I6198" s="48" t="n">
        <f aca="false">I6180*Assumptions!$E$19*Assumptions!$E$34</f>
        <v>159.7008</v>
      </c>
      <c r="J6198" s="48" t="n">
        <f aca="false">J6180*Assumptions!$E$19*Assumptions!$E$34</f>
        <v>215.367936</v>
      </c>
      <c r="K6198" s="48" t="n">
        <f aca="false">K6180*Assumptions!$E$19*Assumptions!$E$34</f>
        <v>215.367936</v>
      </c>
      <c r="L6198" s="48" t="n">
        <f aca="false">L6180*Assumptions!$E$19*Assumptions!$E$34</f>
        <v>215.367936</v>
      </c>
      <c r="M6198" s="48" t="n">
        <f aca="false">M6180*Assumptions!$E$19*Assumptions!$E$34</f>
        <v>215.367936</v>
      </c>
      <c r="N6198" s="48" t="n">
        <f aca="false">N6180*Assumptions!$E$19*Assumptions!$E$34</f>
        <v>215.367936</v>
      </c>
      <c r="P6198" s="49"/>
      <c r="Q6198" s="49"/>
      <c r="R6198" s="49"/>
      <c r="S6198" s="50"/>
    </row>
    <row r="6199" customFormat="false" ht="15" hidden="false" customHeight="false" outlineLevel="0" collapsed="false">
      <c r="A6199" s="4" t="s">
        <v>512</v>
      </c>
      <c r="B6199" s="36" t="s">
        <v>77</v>
      </c>
      <c r="C6199" s="51" t="n">
        <f aca="false">IFERROR(C6196/(C6196+C6197+C6198),0)</f>
        <v>0.631590736245533</v>
      </c>
      <c r="D6199" s="51" t="n">
        <f aca="false">IFERROR(D6196/(D6196+D6197+D6198),0)</f>
        <v>0.631590736245533</v>
      </c>
      <c r="E6199" s="51" t="n">
        <f aca="false">IFERROR(E6196/(E6196+E6197+E6198),0)</f>
        <v>0.631590736245533</v>
      </c>
      <c r="F6199" s="51" t="n">
        <f aca="false">IFERROR(F6196/(F6196+F6197+F6198),0)</f>
        <v>0.631590736245533</v>
      </c>
      <c r="G6199" s="51" t="n">
        <f aca="false">IFERROR(G6196/(G6196+G6197+G6198),0)</f>
        <v>0.638332506498128</v>
      </c>
      <c r="H6199" s="51" t="n">
        <f aca="false">IFERROR(H6196/(H6196+H6197+H6198),0)</f>
        <v>0.642303318118984</v>
      </c>
      <c r="I6199" s="51" t="n">
        <f aca="false">IFERROR(I6196/(I6196+I6197+I6198),0)</f>
        <v>0.657538025405288</v>
      </c>
      <c r="J6199" s="51" t="n">
        <f aca="false">IFERROR(J6196/(J6196+J6197+J6198),0)</f>
        <v>0.664058061428891</v>
      </c>
      <c r="K6199" s="51" t="n">
        <f aca="false">IFERROR(K6196/(K6196+K6197+K6198),0)</f>
        <v>0.664058061428891</v>
      </c>
      <c r="L6199" s="51" t="n">
        <f aca="false">IFERROR(L6196/(L6196+L6197+L6198),0)</f>
        <v>0.664058061428891</v>
      </c>
      <c r="M6199" s="51" t="n">
        <f aca="false">IFERROR(M6196/(M6196+M6197+M6198),0)</f>
        <v>0.664058061428891</v>
      </c>
      <c r="N6199" s="51" t="n">
        <f aca="false">IFERROR(N6196/(N6196+N6197+N6198),0)</f>
        <v>0.664058061428891</v>
      </c>
      <c r="P6199" s="52"/>
      <c r="Q6199" s="52"/>
      <c r="R6199" s="52"/>
      <c r="S6199" s="53"/>
    </row>
    <row r="6200" customFormat="false" ht="15" hidden="false" customHeight="false" outlineLevel="0" collapsed="false">
      <c r="A6200" s="4" t="s">
        <v>513</v>
      </c>
      <c r="B6200" s="36" t="s">
        <v>77</v>
      </c>
      <c r="C6200" s="51" t="n">
        <f aca="false">IFERROR(C6197/(C6196+C6197+C6198),0)</f>
        <v>0.316449102482628</v>
      </c>
      <c r="D6200" s="51" t="n">
        <f aca="false">IFERROR(D6197/(D6196+D6197+D6198),0)</f>
        <v>0.316449102482628</v>
      </c>
      <c r="E6200" s="51" t="n">
        <f aca="false">IFERROR(E6197/(E6196+E6197+E6198),0)</f>
        <v>0.316449102482628</v>
      </c>
      <c r="F6200" s="51" t="n">
        <f aca="false">IFERROR(F6197/(F6196+F6197+F6198),0)</f>
        <v>0.316449102482628</v>
      </c>
      <c r="G6200" s="51" t="n">
        <f aca="false">IFERROR(G6197/(G6196+G6197+G6198),0)</f>
        <v>0.313517566939561</v>
      </c>
      <c r="H6200" s="51" t="n">
        <f aca="false">IFERROR(H6197/(H6196+H6197+H6198),0)</f>
        <v>0.311790932099567</v>
      </c>
      <c r="I6200" s="51" t="n">
        <f aca="false">IFERROR(I6197/(I6196+I6197+I6198),0)</f>
        <v>0.300221741111391</v>
      </c>
      <c r="J6200" s="51" t="n">
        <f aca="false">IFERROR(J6197/(J6196+J6197+J6198),0)</f>
        <v>0.295270445324128</v>
      </c>
      <c r="K6200" s="51" t="n">
        <f aca="false">IFERROR(K6197/(K6196+K6197+K6198),0)</f>
        <v>0.295270445324128</v>
      </c>
      <c r="L6200" s="51" t="n">
        <f aca="false">IFERROR(L6197/(L6196+L6197+L6198),0)</f>
        <v>0.295270445324128</v>
      </c>
      <c r="M6200" s="51" t="n">
        <f aca="false">IFERROR(M6197/(M6196+M6197+M6198),0)</f>
        <v>0.295270445324128</v>
      </c>
      <c r="N6200" s="51" t="n">
        <f aca="false">IFERROR(N6197/(N6196+N6197+N6198),0)</f>
        <v>0.295270445324128</v>
      </c>
      <c r="P6200" s="52"/>
      <c r="Q6200" s="52"/>
      <c r="R6200" s="52"/>
      <c r="S6200" s="53"/>
    </row>
    <row r="6201" customFormat="false" ht="15" hidden="false" customHeight="false" outlineLevel="0" collapsed="false">
      <c r="A6201" s="4" t="s">
        <v>514</v>
      </c>
      <c r="B6201" s="36" t="s">
        <v>77</v>
      </c>
      <c r="C6201" s="51" t="n">
        <f aca="false">IFERROR(C6198/(C6196+C6197+C6198),0)</f>
        <v>0.0519601612718389</v>
      </c>
      <c r="D6201" s="51" t="n">
        <f aca="false">IFERROR(D6198/(D6196+D6197+D6198),0)</f>
        <v>0.0519601612718389</v>
      </c>
      <c r="E6201" s="51" t="n">
        <f aca="false">IFERROR(E6198/(E6196+E6197+E6198),0)</f>
        <v>0.0519601612718389</v>
      </c>
      <c r="F6201" s="51" t="n">
        <f aca="false">IFERROR(F6198/(F6196+F6197+F6198),0)</f>
        <v>0.0519601612718389</v>
      </c>
      <c r="G6201" s="51" t="n">
        <f aca="false">IFERROR(G6198/(G6196+G6197+G6198),0)</f>
        <v>0.0481499265623113</v>
      </c>
      <c r="H6201" s="51" t="n">
        <f aca="false">IFERROR(H6198/(H6196+H6197+H6198),0)</f>
        <v>0.0459057497814491</v>
      </c>
      <c r="I6201" s="51" t="n">
        <f aca="false">IFERROR(I6198/(I6196+I6197+I6198),0)</f>
        <v>0.0422402334833216</v>
      </c>
      <c r="J6201" s="51" t="n">
        <f aca="false">IFERROR(J6198/(J6196+J6197+J6198),0)</f>
        <v>0.0406714932469811</v>
      </c>
      <c r="K6201" s="51" t="n">
        <f aca="false">IFERROR(K6198/(K6196+K6197+K6198),0)</f>
        <v>0.0406714932469811</v>
      </c>
      <c r="L6201" s="51" t="n">
        <f aca="false">IFERROR(L6198/(L6196+L6197+L6198),0)</f>
        <v>0.0406714932469811</v>
      </c>
      <c r="M6201" s="51" t="n">
        <f aca="false">IFERROR(M6198/(M6196+M6197+M6198),0)</f>
        <v>0.0406714932469811</v>
      </c>
      <c r="N6201" s="51" t="n">
        <f aca="false">IFERROR(N6198/(N6196+N6197+N6198),0)</f>
        <v>0.0406714932469811</v>
      </c>
      <c r="P6201" s="52"/>
      <c r="Q6201" s="52"/>
      <c r="R6201" s="52"/>
      <c r="S6201" s="53"/>
    </row>
    <row r="6202" customFormat="false" ht="15" hidden="false" customHeight="false" outlineLevel="0" collapsed="false">
      <c r="A6202" s="4" t="s">
        <v>515</v>
      </c>
      <c r="B6202" s="36" t="s">
        <v>516</v>
      </c>
      <c r="C6202" s="48" t="n">
        <f aca="false">IF(C6170-Assumptions!$E$35&lt;1,0,INDEX($C$6195:$N$6195,1,C6170-Assumptions!$E$35)*INDEX($C$6199:$N$6199,1,C6170-Assumptions!$E$35)*Assumptions!$E$32)</f>
        <v>0</v>
      </c>
      <c r="D6202" s="48" t="n">
        <f aca="false">IF(D6170-Assumptions!$E$35&lt;1,0,INDEX($C$6195:$N$6195,1,D6170-Assumptions!$E$35)*INDEX($C$6199:$N$6199,1,D6170-Assumptions!$E$35)*Assumptions!$E$32)</f>
        <v>0.866376445183821</v>
      </c>
      <c r="E6202" s="48" t="n">
        <f aca="false">IF(E6170-Assumptions!$E$35&lt;1,0,INDEX($C$6195:$N$6195,1,E6170-Assumptions!$E$35)*INDEX($C$6199:$N$6199,1,E6170-Assumptions!$E$35)*Assumptions!$E$32)</f>
        <v>1.4850370503084</v>
      </c>
      <c r="F6202" s="48" t="n">
        <f aca="false">IF(F6170-Assumptions!$E$35&lt;1,0,INDEX($C$6195:$N$6195,1,F6170-Assumptions!$E$35)*INDEX($C$6199:$N$6199,1,F6170-Assumptions!$E$35)*Assumptions!$E$32)</f>
        <v>1.63860741134595</v>
      </c>
      <c r="G6202" s="48" t="n">
        <f aca="false">IF(G6170-Assumptions!$E$35&lt;1,0,INDEX($C$6195:$N$6195,1,G6170-Assumptions!$E$35)*INDEX($C$6199:$N$6199,1,G6170-Assumptions!$E$35)*Assumptions!$E$32)</f>
        <v>1.79532697390301</v>
      </c>
      <c r="H6202" s="48" t="n">
        <f aca="false">IF(H6170-Assumptions!$E$35&lt;1,0,INDEX($C$6195:$N$6195,1,H6170-Assumptions!$E$35)*INDEX($C$6199:$N$6199,1,H6170-Assumptions!$E$35)*Assumptions!$E$32)</f>
        <v>2.31019678172994</v>
      </c>
      <c r="I6202" s="48" t="n">
        <f aca="false">IF(I6170-Assumptions!$E$35&lt;1,0,INDEX($C$6195:$N$6195,1,I6170-Assumptions!$E$35)*INDEX($C$6199:$N$6199,1,I6170-Assumptions!$E$35)*Assumptions!$E$32)</f>
        <v>2.79111066507864</v>
      </c>
      <c r="J6202" s="48" t="n">
        <f aca="false">IF(J6170-Assumptions!$E$35&lt;1,0,INDEX($C$6195:$N$6195,1,J6170-Assumptions!$E$35)*INDEX($C$6199:$N$6199,1,J6170-Assumptions!$E$35)*Assumptions!$E$32)</f>
        <v>4.1306930875438</v>
      </c>
      <c r="K6202" s="48" t="n">
        <f aca="false">IF(K6170-Assumptions!$E$35&lt;1,0,INDEX($C$6195:$N$6195,1,K6170-Assumptions!$E$35)*INDEX($C$6199:$N$6199,1,K6170-Assumptions!$E$35)*Assumptions!$E$32)</f>
        <v>5.34315863355258</v>
      </c>
      <c r="L6202" s="48" t="n">
        <f aca="false">IF(L6170-Assumptions!$E$35&lt;1,0,INDEX($C$6195:$N$6195,1,L6170-Assumptions!$E$35)*INDEX($C$6199:$N$6199,1,L6170-Assumptions!$E$35)*Assumptions!$E$32)</f>
        <v>5.38112462159553</v>
      </c>
      <c r="M6202" s="48" t="n">
        <f aca="false">IF(M6170-Assumptions!$E$35&lt;1,0,INDEX($C$6195:$N$6195,1,M6170-Assumptions!$E$35)*INDEX($C$6199:$N$6199,1,M6170-Assumptions!$E$35)*Assumptions!$E$32)</f>
        <v>5.22179362206104</v>
      </c>
      <c r="N6202" s="48" t="n">
        <f aca="false">IF(N6170-Assumptions!$E$35&lt;1,0,INDEX($C$6195:$N$6195,1,N6170-Assumptions!$E$35)*INDEX($C$6199:$N$6199,1,N6170-Assumptions!$E$35)*Assumptions!$E$32)</f>
        <v>5.07351941968866</v>
      </c>
      <c r="P6202" s="49" t="n">
        <f aca="false">SUM(C6202:F6202)</f>
        <v>3.99002090683817</v>
      </c>
      <c r="Q6202" s="49" t="n">
        <f aca="false">SUM(G6202:J6202)</f>
        <v>11.0273275082554</v>
      </c>
      <c r="R6202" s="49" t="n">
        <f aca="false">SUM(K6202:N6202)</f>
        <v>21.0195962968978</v>
      </c>
      <c r="S6202" s="50" t="n">
        <f aca="false">SUM(P6202:R6202)</f>
        <v>36.0369447119914</v>
      </c>
    </row>
    <row r="6203" customFormat="false" ht="15" hidden="false" customHeight="false" outlineLevel="0" collapsed="false">
      <c r="A6203" s="4" t="s">
        <v>517</v>
      </c>
      <c r="B6203" s="36" t="s">
        <v>516</v>
      </c>
      <c r="C6203" s="48" t="n">
        <f aca="false">IF(C6170-Assumptions!$E$35&lt;1,0,INDEX($C$6195:$N$6195,1,C6170-Assumptions!$E$35)*INDEX($C$6200:$N$6200,1,C6170-Assumptions!$E$35)*Assumptions!$E$32)</f>
        <v>0</v>
      </c>
      <c r="D6203" s="48" t="n">
        <f aca="false">IF(D6170-Assumptions!$E$35&lt;1,0,INDEX($C$6195:$N$6195,1,D6170-Assumptions!$E$35)*INDEX($C$6200:$N$6200,1,D6170-Assumptions!$E$35)*Assumptions!$E$32)</f>
        <v>0.434084974267145</v>
      </c>
      <c r="E6203" s="48" t="n">
        <f aca="false">IF(E6170-Assumptions!$E$35&lt;1,0,INDEX($C$6195:$N$6195,1,E6170-Assumptions!$E$35)*INDEX($C$6200:$N$6200,1,E6170-Assumptions!$E$35)*Assumptions!$E$32)</f>
        <v>0.744055627726705</v>
      </c>
      <c r="F6203" s="48" t="n">
        <f aca="false">IF(F6170-Assumptions!$E$35&lt;1,0,INDEX($C$6195:$N$6195,1,F6170-Assumptions!$E$35)*INDEX($C$6200:$N$6200,1,F6170-Assumptions!$E$35)*Assumptions!$E$32)</f>
        <v>0.820999762796119</v>
      </c>
      <c r="G6203" s="48" t="n">
        <f aca="false">IF(G6170-Assumptions!$E$35&lt;1,0,INDEX($C$6195:$N$6195,1,G6170-Assumptions!$E$35)*INDEX($C$6200:$N$6200,1,G6170-Assumptions!$E$35)*Assumptions!$E$32)</f>
        <v>0.89952175823807</v>
      </c>
      <c r="H6203" s="48" t="n">
        <f aca="false">IF(H6170-Assumptions!$E$35&lt;1,0,INDEX($C$6195:$N$6195,1,H6170-Assumptions!$E$35)*INDEX($C$6200:$N$6200,1,H6170-Assumptions!$E$35)*Assumptions!$E$32)</f>
        <v>1.13465516292283</v>
      </c>
      <c r="I6203" s="48" t="n">
        <f aca="false">IF(I6170-Assumptions!$E$35&lt;1,0,INDEX($C$6195:$N$6195,1,I6170-Assumptions!$E$35)*INDEX($C$6200:$N$6200,1,I6170-Assumptions!$E$35)*Assumptions!$E$32)</f>
        <v>1.35487856174628</v>
      </c>
      <c r="J6203" s="48" t="n">
        <f aca="false">IF(J6170-Assumptions!$E$35&lt;1,0,INDEX($C$6195:$N$6195,1,J6170-Assumptions!$E$35)*INDEX($C$6200:$N$6200,1,J6170-Assumptions!$E$35)*Assumptions!$E$32)</f>
        <v>1.88601088123353</v>
      </c>
      <c r="K6203" s="48" t="n">
        <f aca="false">IF(K6170-Assumptions!$E$35&lt;1,0,INDEX($C$6195:$N$6195,1,K6170-Assumptions!$E$35)*INDEX($C$6200:$N$6200,1,K6170-Assumptions!$E$35)*Assumptions!$E$32)</f>
        <v>2.37581157552964</v>
      </c>
      <c r="L6203" s="48" t="n">
        <f aca="false">IF(L6170-Assumptions!$E$35&lt;1,0,INDEX($C$6195:$N$6195,1,L6170-Assumptions!$E$35)*INDEX($C$6200:$N$6200,1,L6170-Assumptions!$E$35)*Assumptions!$E$32)</f>
        <v>2.3926929822134</v>
      </c>
      <c r="M6203" s="48" t="n">
        <f aca="false">IF(M6170-Assumptions!$E$35&lt;1,0,INDEX($C$6195:$N$6195,1,M6170-Assumptions!$E$35)*INDEX($C$6200:$N$6200,1,M6170-Assumptions!$E$35)*Assumptions!$E$32)</f>
        <v>2.32184716628391</v>
      </c>
      <c r="N6203" s="48" t="n">
        <f aca="false">IF(N6170-Assumptions!$E$35&lt;1,0,INDEX($C$6195:$N$6195,1,N6170-Assumptions!$E$35)*INDEX($C$6200:$N$6200,1,N6170-Assumptions!$E$35)*Assumptions!$E$32)</f>
        <v>2.25591770573287</v>
      </c>
      <c r="P6203" s="49" t="n">
        <f aca="false">SUM(C6203:F6203)</f>
        <v>1.99914036478997</v>
      </c>
      <c r="Q6203" s="49" t="n">
        <f aca="false">SUM(G6203:J6203)</f>
        <v>5.27506636414072</v>
      </c>
      <c r="R6203" s="49" t="n">
        <f aca="false">SUM(K6203:N6203)</f>
        <v>9.34626942975982</v>
      </c>
      <c r="S6203" s="50" t="n">
        <f aca="false">SUM(P6203:R6203)</f>
        <v>16.6204761586905</v>
      </c>
    </row>
    <row r="6204" customFormat="false" ht="15" hidden="false" customHeight="false" outlineLevel="0" collapsed="false">
      <c r="A6204" s="4" t="s">
        <v>518</v>
      </c>
      <c r="B6204" s="36" t="s">
        <v>516</v>
      </c>
      <c r="C6204" s="48" t="n">
        <f aca="false">IF(C6170-Assumptions!$E$36&lt;1,0,INDEX($C$6195:$N$6195,1,C6170-Assumptions!$E$36)*INDEX($C$6201:$N$6201,1,C6170-Assumptions!$E$36)*Assumptions!$E$32)</f>
        <v>0</v>
      </c>
      <c r="D6204" s="48" t="n">
        <f aca="false">IF(D6170-Assumptions!$E$36&lt;1,0,INDEX($C$6195:$N$6195,1,D6170-Assumptions!$E$36)*INDEX($C$6201:$N$6201,1,D6170-Assumptions!$E$36)*Assumptions!$E$32)</f>
        <v>0</v>
      </c>
      <c r="E6204" s="48" t="n">
        <f aca="false">IF(E6170-Assumptions!$E$36&lt;1,0,INDEX($C$6195:$N$6195,1,E6170-Assumptions!$E$36)*INDEX($C$6201:$N$6201,1,E6170-Assumptions!$E$36)*Assumptions!$E$32)</f>
        <v>0.071275680959914</v>
      </c>
      <c r="F6204" s="48" t="n">
        <f aca="false">IF(F6170-Assumptions!$E$36&lt;1,0,INDEX($C$6195:$N$6195,1,F6170-Assumptions!$E$36)*INDEX($C$6201:$N$6201,1,F6170-Assumptions!$E$36)*Assumptions!$E$32)</f>
        <v>0.122172096898336</v>
      </c>
      <c r="G6204" s="48" t="n">
        <f aca="false">IF(G6170-Assumptions!$E$36&lt;1,0,INDEX($C$6195:$N$6195,1,G6170-Assumptions!$E$36)*INDEX($C$6201:$N$6201,1,G6170-Assumptions!$E$36)*Assumptions!$E$32)</f>
        <v>0.134806133891215</v>
      </c>
      <c r="H6204" s="48" t="n">
        <f aca="false">IF(H6170-Assumptions!$E$36&lt;1,0,INDEX($C$6195:$N$6195,1,H6170-Assumptions!$E$36)*INDEX($C$6201:$N$6201,1,H6170-Assumptions!$E$36)*Assumptions!$E$32)</f>
        <v>0.147699251661313</v>
      </c>
      <c r="I6204" s="48" t="n">
        <f aca="false">IF(I6170-Assumptions!$E$36&lt;1,0,INDEX($C$6195:$N$6195,1,I6170-Assumptions!$E$36)*INDEX($C$6201:$N$6201,1,I6170-Assumptions!$E$36)*Assumptions!$E$32)</f>
        <v>0.174259973058587</v>
      </c>
      <c r="J6204" s="48" t="n">
        <f aca="false">IF(J6170-Assumptions!$E$36&lt;1,0,INDEX($C$6195:$N$6195,1,J6170-Assumptions!$E$36)*INDEX($C$6201:$N$6201,1,J6170-Assumptions!$E$36)*Assumptions!$E$32)</f>
        <v>0.19948212034567</v>
      </c>
      <c r="K6204" s="48" t="n">
        <f aca="false">IF(K6170-Assumptions!$E$36&lt;1,0,INDEX($C$6195:$N$6195,1,K6170-Assumptions!$E$36)*INDEX($C$6201:$N$6201,1,K6170-Assumptions!$E$36)*Assumptions!$E$32)</f>
        <v>0.265355665717199</v>
      </c>
      <c r="L6204" s="48" t="n">
        <f aca="false">IF(L6170-Assumptions!$E$36&lt;1,0,INDEX($C$6195:$N$6195,1,L6170-Assumptions!$E$36)*INDEX($C$6201:$N$6201,1,L6170-Assumptions!$E$36)*Assumptions!$E$32)</f>
        <v>0.327251866823927</v>
      </c>
      <c r="M6204" s="48" t="n">
        <f aca="false">IF(M6170-Assumptions!$E$36&lt;1,0,INDEX($C$6195:$N$6195,1,M6170-Assumptions!$E$36)*INDEX($C$6201:$N$6201,1,M6170-Assumptions!$E$36)*Assumptions!$E$32)</f>
        <v>0.329577165643402</v>
      </c>
      <c r="N6204" s="48" t="n">
        <f aca="false">IF(N6170-Assumptions!$E$36&lt;1,0,INDEX($C$6195:$N$6195,1,N6170-Assumptions!$E$36)*INDEX($C$6201:$N$6201,1,N6170-Assumptions!$E$36)*Assumptions!$E$32)</f>
        <v>0.319818636912259</v>
      </c>
      <c r="P6204" s="49" t="n">
        <f aca="false">SUM(C6204:F6204)</f>
        <v>0.19344777785825</v>
      </c>
      <c r="Q6204" s="49" t="n">
        <f aca="false">SUM(G6204:J6204)</f>
        <v>0.656247478956785</v>
      </c>
      <c r="R6204" s="49" t="n">
        <f aca="false">SUM(K6204:N6204)</f>
        <v>1.24200333509679</v>
      </c>
      <c r="S6204" s="50" t="n">
        <f aca="false">SUM(P6204:R6204)</f>
        <v>2.09169859191182</v>
      </c>
    </row>
    <row r="6205" customFormat="false" ht="15" hidden="false" customHeight="false" outlineLevel="0" collapsed="false">
      <c r="A6205" s="4" t="s">
        <v>519</v>
      </c>
      <c r="B6205" s="36" t="s">
        <v>77</v>
      </c>
      <c r="C6205" s="51" t="n">
        <f aca="false">IF(C6170-Assumptions!$E$35&lt;1,0,IFERROR(INDEX($C$6194:$N$6194,1,C6170-Assumptions!$E$35)/INDEX($C$6195:$N$6195,1,C6170-Assumptions!$E$35),0))</f>
        <v>0</v>
      </c>
      <c r="D6205" s="51" t="n">
        <f aca="false">IF(D6170-Assumptions!$E$35&lt;1,0,IFERROR(INDEX($C$6194:$N$6194,1,D6170-Assumptions!$E$35)/INDEX($C$6195:$N$6195,1,D6170-Assumptions!$E$35),0))</f>
        <v>0.459271678087073</v>
      </c>
      <c r="E6205" s="51" t="n">
        <f aca="false">IF(E6170-Assumptions!$E$35&lt;1,0,IFERROR(INDEX($C$6194:$N$6194,1,E6170-Assumptions!$E$35)/INDEX($C$6195:$N$6195,1,E6170-Assumptions!$E$35),0))</f>
        <v>0.401911350042128</v>
      </c>
      <c r="F6205" s="51" t="n">
        <f aca="false">IF(F6170-Assumptions!$E$35&lt;1,0,IFERROR(INDEX($C$6194:$N$6194,1,F6170-Assumptions!$E$35)/INDEX($C$6195:$N$6195,1,F6170-Assumptions!$E$35),0))</f>
        <v>0.485658933408398</v>
      </c>
      <c r="G6205" s="51" t="n">
        <f aca="false">IF(G6170-Assumptions!$E$35&lt;1,0,IFERROR(INDEX($C$6194:$N$6194,1,G6170-Assumptions!$E$35)/INDEX($C$6195:$N$6195,1,G6170-Assumptions!$E$35),0))</f>
        <v>0.554080356417826</v>
      </c>
      <c r="H6205" s="51" t="n">
        <f aca="false">IF(H6170-Assumptions!$E$35&lt;1,0,IFERROR(INDEX($C$6194:$N$6194,1,H6170-Assumptions!$E$35)/INDEX($C$6195:$N$6195,1,H6170-Assumptions!$E$35),0))</f>
        <v>0.522227563825987</v>
      </c>
      <c r="I6205" s="51" t="n">
        <f aca="false">IF(I6170-Assumptions!$E$35&lt;1,0,IFERROR(INDEX($C$6194:$N$6194,1,I6170-Assumptions!$E$35)/INDEX($C$6195:$N$6195,1,I6170-Assumptions!$E$35),0))</f>
        <v>0.507424816282752</v>
      </c>
      <c r="J6205" s="51" t="n">
        <f aca="false">IF(J6170-Assumptions!$E$35&lt;1,0,IFERROR(INDEX($C$6194:$N$6194,1,J6170-Assumptions!$E$35)/INDEX($C$6195:$N$6195,1,J6170-Assumptions!$E$35),0))</f>
        <v>0.401142323795015</v>
      </c>
      <c r="K6205" s="51" t="n">
        <f aca="false">IF(K6170-Assumptions!$E$35&lt;1,0,IFERROR(INDEX($C$6194:$N$6194,1,K6170-Assumptions!$E$35)/INDEX($C$6195:$N$6195,1,K6170-Assumptions!$E$35),0))</f>
        <v>0.352339268448632</v>
      </c>
      <c r="L6205" s="51" t="n">
        <f aca="false">IF(L6170-Assumptions!$E$35&lt;1,0,IFERROR(INDEX($C$6194:$N$6194,1,L6170-Assumptions!$E$35)/INDEX($C$6195:$N$6195,1,L6170-Assumptions!$E$35),0))</f>
        <v>0.388725970981282</v>
      </c>
      <c r="M6205" s="51" t="n">
        <f aca="false">IF(M6170-Assumptions!$E$35&lt;1,0,IFERROR(INDEX($C$6194:$N$6194,1,M6170-Assumptions!$E$35)/INDEX($C$6195:$N$6195,1,M6170-Assumptions!$E$35),0))</f>
        <v>0.400587048224893</v>
      </c>
      <c r="N6205" s="51" t="n">
        <f aca="false">IF(N6170-Assumptions!$E$35&lt;1,0,IFERROR(INDEX($C$6194:$N$6194,1,N6170-Assumptions!$E$35)/INDEX($C$6195:$N$6195,1,N6170-Assumptions!$E$35),0))</f>
        <v>0.412294251872474</v>
      </c>
      <c r="P6205" s="52"/>
      <c r="Q6205" s="52"/>
      <c r="R6205" s="52"/>
      <c r="S6205" s="53"/>
    </row>
    <row r="6206" customFormat="false" ht="15" hidden="false" customHeight="false" outlineLevel="0" collapsed="false">
      <c r="A6206" s="4" t="s">
        <v>520</v>
      </c>
      <c r="B6206" s="36" t="s">
        <v>516</v>
      </c>
      <c r="C6206" s="48" t="n">
        <f aca="false">C6202*Assumptions!$E$37</f>
        <v>0</v>
      </c>
      <c r="D6206" s="48" t="n">
        <f aca="false">D6202*Assumptions!$E$37</f>
        <v>0.259912933555146</v>
      </c>
      <c r="E6206" s="48" t="n">
        <f aca="false">E6202*Assumptions!$E$37</f>
        <v>0.44551111509252</v>
      </c>
      <c r="F6206" s="48" t="n">
        <f aca="false">F6202*Assumptions!$E$37</f>
        <v>0.491582223403786</v>
      </c>
      <c r="G6206" s="48" t="n">
        <f aca="false">G6202*Assumptions!$E$37</f>
        <v>0.538598092170902</v>
      </c>
      <c r="H6206" s="48" t="n">
        <f aca="false">H6202*Assumptions!$E$37</f>
        <v>0.693059034518982</v>
      </c>
      <c r="I6206" s="48" t="n">
        <f aca="false">I6202*Assumptions!$E$37</f>
        <v>0.837333199523593</v>
      </c>
      <c r="J6206" s="48" t="n">
        <f aca="false">J6202*Assumptions!$E$37</f>
        <v>1.23920792626314</v>
      </c>
      <c r="K6206" s="48" t="n">
        <f aca="false">K6202*Assumptions!$E$37</f>
        <v>1.60294759006577</v>
      </c>
      <c r="L6206" s="48" t="n">
        <f aca="false">L6202*Assumptions!$E$37</f>
        <v>1.61433738647866</v>
      </c>
      <c r="M6206" s="48" t="n">
        <f aca="false">M6202*Assumptions!$E$37</f>
        <v>1.56653808661831</v>
      </c>
      <c r="N6206" s="48" t="n">
        <f aca="false">N6202*Assumptions!$E$37</f>
        <v>1.5220558259066</v>
      </c>
      <c r="P6206" s="49" t="n">
        <f aca="false">SUM(C6206:F6206)</f>
        <v>1.19700627205145</v>
      </c>
      <c r="Q6206" s="49" t="n">
        <f aca="false">SUM(G6206:J6206)</f>
        <v>3.30819825247662</v>
      </c>
      <c r="R6206" s="49" t="n">
        <f aca="false">SUM(K6206:N6206)</f>
        <v>6.30587888906934</v>
      </c>
      <c r="S6206" s="50" t="n">
        <f aca="false">SUM(P6206:R6206)</f>
        <v>10.8110834135974</v>
      </c>
    </row>
    <row r="6207" customFormat="false" ht="15" hidden="false" customHeight="false" outlineLevel="0" collapsed="false">
      <c r="A6207" s="4" t="s">
        <v>521</v>
      </c>
      <c r="B6207" s="36" t="s">
        <v>516</v>
      </c>
      <c r="C6207" s="48" t="n">
        <f aca="false">C6202*(1-Assumptions!$E$37)</f>
        <v>0</v>
      </c>
      <c r="D6207" s="48" t="n">
        <f aca="false">D6202*(1-Assumptions!$E$37)</f>
        <v>0.606463511628675</v>
      </c>
      <c r="E6207" s="48" t="n">
        <f aca="false">E6202*(1-Assumptions!$E$37)</f>
        <v>1.03952593521588</v>
      </c>
      <c r="F6207" s="48" t="n">
        <f aca="false">F6202*(1-Assumptions!$E$37)</f>
        <v>1.14702518794217</v>
      </c>
      <c r="G6207" s="48" t="n">
        <f aca="false">G6202*(1-Assumptions!$E$37)</f>
        <v>1.25672888173211</v>
      </c>
      <c r="H6207" s="48" t="n">
        <f aca="false">H6202*(1-Assumptions!$E$37)</f>
        <v>1.61713774721096</v>
      </c>
      <c r="I6207" s="48" t="n">
        <f aca="false">I6202*(1-Assumptions!$E$37)</f>
        <v>1.95377746555505</v>
      </c>
      <c r="J6207" s="48" t="n">
        <f aca="false">J6202*(1-Assumptions!$E$37)</f>
        <v>2.89148516128066</v>
      </c>
      <c r="K6207" s="48" t="n">
        <f aca="false">K6202*(1-Assumptions!$E$37)</f>
        <v>3.7402110434868</v>
      </c>
      <c r="L6207" s="48" t="n">
        <f aca="false">L6202*(1-Assumptions!$E$37)</f>
        <v>3.76678723511687</v>
      </c>
      <c r="M6207" s="48" t="n">
        <f aca="false">M6202*(1-Assumptions!$E$37)</f>
        <v>3.65525553544273</v>
      </c>
      <c r="N6207" s="48" t="n">
        <f aca="false">N6202*(1-Assumptions!$E$37)</f>
        <v>3.55146359378206</v>
      </c>
      <c r="P6207" s="49" t="n">
        <f aca="false">SUM(C6207:F6207)</f>
        <v>2.79301463478672</v>
      </c>
      <c r="Q6207" s="49" t="n">
        <f aca="false">SUM(G6207:J6207)</f>
        <v>7.71912925577877</v>
      </c>
      <c r="R6207" s="49" t="n">
        <f aca="false">SUM(K6207:N6207)</f>
        <v>14.7137174078285</v>
      </c>
      <c r="S6207" s="50" t="n">
        <f aca="false">SUM(P6207:R6207)</f>
        <v>25.225861298394</v>
      </c>
    </row>
    <row r="6208" customFormat="false" ht="15" hidden="false" customHeight="false" outlineLevel="0" collapsed="false">
      <c r="A6208" s="4" t="s">
        <v>522</v>
      </c>
      <c r="B6208" s="36" t="s">
        <v>125</v>
      </c>
      <c r="C6208" s="54" t="n">
        <f aca="false">C6207*$C$6161+C6203*$C$6162+C6204*$C$6163</f>
        <v>0</v>
      </c>
      <c r="D6208" s="54" t="n">
        <f aca="false">D6207*$C$6161+D6203*$C$6162+D6204*$C$6163</f>
        <v>7485.37917000042</v>
      </c>
      <c r="E6208" s="54" t="n">
        <f aca="false">E6207*$C$6161+E6203*$C$6162+E6204*$C$6163</f>
        <v>17233.8131620616</v>
      </c>
      <c r="F6208" s="54" t="n">
        <f aca="false">F6207*$C$6161+F6203*$C$6162+F6204*$C$6163</f>
        <v>21704.9328199195</v>
      </c>
      <c r="G6208" s="54" t="n">
        <f aca="false">G6207*$C$6161+G6203*$C$6162+G6204*$C$6163</f>
        <v>23839.4781169478</v>
      </c>
      <c r="H6208" s="54" t="n">
        <f aca="false">H6207*$C$6161+H6203*$C$6162+H6204*$C$6163</f>
        <v>28861.3828545359</v>
      </c>
      <c r="I6208" s="54" t="n">
        <f aca="false">I6207*$C$6161+I6203*$C$6162+I6204*$C$6163</f>
        <v>34454.8139810786</v>
      </c>
      <c r="J6208" s="54" t="n">
        <f aca="false">J6207*$C$6161+J6203*$C$6162+J6204*$C$6163</f>
        <v>46219.0265618748</v>
      </c>
      <c r="K6208" s="54" t="n">
        <f aca="false">K6207*$C$6161+K6203*$C$6162+K6204*$C$6163</f>
        <v>59614.7065475457</v>
      </c>
      <c r="L6208" s="54" t="n">
        <f aca="false">L6207*$C$6161+L6203*$C$6162+L6204*$C$6163</f>
        <v>63745.6576705911</v>
      </c>
      <c r="M6208" s="54" t="n">
        <f aca="false">M6207*$C$6161+M6203*$C$6162+M6204*$C$6163</f>
        <v>62600.461663715</v>
      </c>
      <c r="N6208" s="54" t="n">
        <f aca="false">N6207*$C$6161+N6203*$C$6162+N6204*$C$6163</f>
        <v>60798.1877142281</v>
      </c>
      <c r="P6208" s="55" t="n">
        <f aca="false">SUM(C6208:F6208)</f>
        <v>46424.1251519815</v>
      </c>
      <c r="Q6208" s="55" t="n">
        <f aca="false">SUM(G6208:J6208)</f>
        <v>133374.701514437</v>
      </c>
      <c r="R6208" s="55" t="n">
        <f aca="false">SUM(K6208:N6208)</f>
        <v>246759.01359608</v>
      </c>
      <c r="S6208" s="56" t="n">
        <f aca="false">SUM(P6208:R6208)</f>
        <v>426557.840262498</v>
      </c>
    </row>
    <row r="6209" customFormat="false" ht="15" hidden="false" customHeight="false" outlineLevel="0" collapsed="false">
      <c r="A6209" s="4" t="s">
        <v>523</v>
      </c>
      <c r="B6209" s="36" t="s">
        <v>125</v>
      </c>
      <c r="C6209" s="54" t="n">
        <f aca="false">(C6185+Assumptions!$D$104*C6171)*$C$6166</f>
        <v>306250</v>
      </c>
      <c r="D6209" s="54" t="n">
        <f aca="false">(D6185+Assumptions!$D$104*D6171)*$C$6166</f>
        <v>306250</v>
      </c>
      <c r="E6209" s="54" t="n">
        <f aca="false">(E6185+Assumptions!$D$104*E6171)*$C$6166</f>
        <v>306250</v>
      </c>
      <c r="F6209" s="54" t="n">
        <f aca="false">(F6185+Assumptions!$D$104*F6171)*$C$6166</f>
        <v>306250</v>
      </c>
      <c r="G6209" s="54" t="n">
        <f aca="false">(G6185+Assumptions!$D$104*G6171)*$C$6166</f>
        <v>306250</v>
      </c>
      <c r="H6209" s="54" t="n">
        <f aca="false">(H6185+Assumptions!$D$104*H6171)*$C$6166</f>
        <v>306250</v>
      </c>
      <c r="I6209" s="54" t="n">
        <f aca="false">(I6185+Assumptions!$D$104*I6171)*$C$6166</f>
        <v>306250</v>
      </c>
      <c r="J6209" s="54" t="n">
        <f aca="false">(J6185+Assumptions!$D$104*J6171)*$C$6166</f>
        <v>306250</v>
      </c>
      <c r="K6209" s="54" t="n">
        <f aca="false">(K6185+Assumptions!$D$104*K6171)*$C$6166</f>
        <v>306250</v>
      </c>
      <c r="L6209" s="54" t="n">
        <f aca="false">(L6185+Assumptions!$D$104*L6171)*$C$6166</f>
        <v>306250</v>
      </c>
      <c r="M6209" s="54" t="n">
        <f aca="false">(M6185+Assumptions!$D$104*M6171)*$C$6166</f>
        <v>306250</v>
      </c>
      <c r="N6209" s="54" t="n">
        <f aca="false">(N6185+Assumptions!$D$104*N6171)*$C$6166</f>
        <v>306250</v>
      </c>
      <c r="P6209" s="55" t="n">
        <f aca="false">SUM(C6209:F6209)</f>
        <v>1225000</v>
      </c>
      <c r="Q6209" s="55" t="n">
        <f aca="false">SUM(G6209:J6209)</f>
        <v>1225000</v>
      </c>
      <c r="R6209" s="55" t="n">
        <f aca="false">SUM(K6209:N6209)</f>
        <v>1225000</v>
      </c>
      <c r="S6209" s="56" t="n">
        <f aca="false">SUM(P6209:R6209)</f>
        <v>3675000</v>
      </c>
    </row>
    <row r="6210" customFormat="false" ht="15" hidden="false" customHeight="false" outlineLevel="0" collapsed="false">
      <c r="A6210" s="4" t="s">
        <v>524</v>
      </c>
      <c r="B6210" s="36" t="s">
        <v>77</v>
      </c>
      <c r="C6210" s="51" t="n">
        <f aca="false">IF(C6208&gt;0,MIN(1,C6209/C6208),1)</f>
        <v>1</v>
      </c>
      <c r="D6210" s="51" t="n">
        <f aca="false">IF(D6208&gt;0,MIN(1,D6209/D6208),1)</f>
        <v>1</v>
      </c>
      <c r="E6210" s="51" t="n">
        <f aca="false">IF(E6208&gt;0,MIN(1,E6209/E6208),1)</f>
        <v>1</v>
      </c>
      <c r="F6210" s="51" t="n">
        <f aca="false">IF(F6208&gt;0,MIN(1,F6209/F6208),1)</f>
        <v>1</v>
      </c>
      <c r="G6210" s="51" t="n">
        <f aca="false">IF(G6208&gt;0,MIN(1,G6209/G6208),1)</f>
        <v>1</v>
      </c>
      <c r="H6210" s="51" t="n">
        <f aca="false">IF(H6208&gt;0,MIN(1,H6209/H6208),1)</f>
        <v>1</v>
      </c>
      <c r="I6210" s="51" t="n">
        <f aca="false">IF(I6208&gt;0,MIN(1,I6209/I6208),1)</f>
        <v>1</v>
      </c>
      <c r="J6210" s="51" t="n">
        <f aca="false">IF(J6208&gt;0,MIN(1,J6209/J6208),1)</f>
        <v>1</v>
      </c>
      <c r="K6210" s="51" t="n">
        <f aca="false">IF(K6208&gt;0,MIN(1,K6209/K6208),1)</f>
        <v>1</v>
      </c>
      <c r="L6210" s="51" t="n">
        <f aca="false">IF(L6208&gt;0,MIN(1,L6209/L6208),1)</f>
        <v>1</v>
      </c>
      <c r="M6210" s="51" t="n">
        <f aca="false">IF(M6208&gt;0,MIN(1,M6209/M6208),1)</f>
        <v>1</v>
      </c>
      <c r="N6210" s="51" t="n">
        <f aca="false">IF(N6208&gt;0,MIN(1,N6209/N6208),1)</f>
        <v>1</v>
      </c>
      <c r="P6210" s="52"/>
      <c r="Q6210" s="52"/>
      <c r="R6210" s="52"/>
      <c r="S6210" s="53"/>
    </row>
    <row r="6211" customFormat="false" ht="15" hidden="false" customHeight="false" outlineLevel="0" collapsed="false">
      <c r="A6211" s="4" t="s">
        <v>525</v>
      </c>
      <c r="B6211" s="36" t="s">
        <v>125</v>
      </c>
      <c r="C6211" s="54" t="n">
        <f aca="false">C6208*(1-C6210)</f>
        <v>0</v>
      </c>
      <c r="D6211" s="54" t="n">
        <f aca="false">D6208*(1-D6210)</f>
        <v>0</v>
      </c>
      <c r="E6211" s="54" t="n">
        <f aca="false">E6208*(1-E6210)</f>
        <v>0</v>
      </c>
      <c r="F6211" s="54" t="n">
        <f aca="false">F6208*(1-F6210)</f>
        <v>0</v>
      </c>
      <c r="G6211" s="54" t="n">
        <f aca="false">G6208*(1-G6210)</f>
        <v>0</v>
      </c>
      <c r="H6211" s="54" t="n">
        <f aca="false">H6208*(1-H6210)</f>
        <v>0</v>
      </c>
      <c r="I6211" s="54" t="n">
        <f aca="false">I6208*(1-I6210)</f>
        <v>0</v>
      </c>
      <c r="J6211" s="54" t="n">
        <f aca="false">J6208*(1-J6210)</f>
        <v>0</v>
      </c>
      <c r="K6211" s="54" t="n">
        <f aca="false">K6208*(1-K6210)</f>
        <v>0</v>
      </c>
      <c r="L6211" s="54" t="n">
        <f aca="false">L6208*(1-L6210)</f>
        <v>0</v>
      </c>
      <c r="M6211" s="54" t="n">
        <f aca="false">M6208*(1-M6210)</f>
        <v>0</v>
      </c>
      <c r="N6211" s="54" t="n">
        <f aca="false">N6208*(1-N6210)</f>
        <v>0</v>
      </c>
      <c r="P6211" s="55" t="n">
        <f aca="false">SUM(C6211:F6211)</f>
        <v>0</v>
      </c>
      <c r="Q6211" s="55" t="n">
        <f aca="false">SUM(G6211:J6211)</f>
        <v>0</v>
      </c>
      <c r="R6211" s="55" t="n">
        <f aca="false">SUM(K6211:N6211)</f>
        <v>0</v>
      </c>
      <c r="S6211" s="56" t="n">
        <f aca="false">SUM(P6211:R6211)</f>
        <v>0</v>
      </c>
    </row>
    <row r="6212" customFormat="false" ht="15" hidden="false" customHeight="false" outlineLevel="0" collapsed="false">
      <c r="A6212" s="4" t="s">
        <v>526</v>
      </c>
      <c r="B6212" s="36" t="s">
        <v>527</v>
      </c>
      <c r="C6212" s="48" t="n">
        <f aca="false">C6206+C6207*C6210</f>
        <v>0</v>
      </c>
      <c r="D6212" s="48" t="n">
        <f aca="false">D6206+D6207*D6210</f>
        <v>0.866376445183821</v>
      </c>
      <c r="E6212" s="48" t="n">
        <f aca="false">E6206+E6207*E6210</f>
        <v>1.4850370503084</v>
      </c>
      <c r="F6212" s="48" t="n">
        <f aca="false">F6206+F6207*F6210</f>
        <v>1.63860741134595</v>
      </c>
      <c r="G6212" s="48" t="n">
        <f aca="false">G6206+G6207*G6210</f>
        <v>1.79532697390301</v>
      </c>
      <c r="H6212" s="48" t="n">
        <f aca="false">H6206+H6207*H6210</f>
        <v>2.31019678172994</v>
      </c>
      <c r="I6212" s="48" t="n">
        <f aca="false">I6206+I6207*I6210</f>
        <v>2.79111066507864</v>
      </c>
      <c r="J6212" s="48" t="n">
        <f aca="false">J6206+J6207*J6210</f>
        <v>4.1306930875438</v>
      </c>
      <c r="K6212" s="48" t="n">
        <f aca="false">K6206+K6207*K6210</f>
        <v>5.34315863355258</v>
      </c>
      <c r="L6212" s="48" t="n">
        <f aca="false">L6206+L6207*L6210</f>
        <v>5.38112462159553</v>
      </c>
      <c r="M6212" s="48" t="n">
        <f aca="false">M6206+M6207*M6210</f>
        <v>5.22179362206104</v>
      </c>
      <c r="N6212" s="48" t="n">
        <f aca="false">N6206+N6207*N6210</f>
        <v>5.07351941968866</v>
      </c>
      <c r="P6212" s="49" t="n">
        <f aca="false">SUM(C6212:F6212)</f>
        <v>3.99002090683817</v>
      </c>
      <c r="Q6212" s="49" t="n">
        <f aca="false">SUM(G6212:J6212)</f>
        <v>11.0273275082554</v>
      </c>
      <c r="R6212" s="49" t="n">
        <f aca="false">SUM(K6212:N6212)</f>
        <v>21.0195962968978</v>
      </c>
      <c r="S6212" s="50" t="n">
        <f aca="false">SUM(P6212:R6212)</f>
        <v>36.0369447119914</v>
      </c>
    </row>
    <row r="6213" customFormat="false" ht="15" hidden="false" customHeight="false" outlineLevel="0" collapsed="false">
      <c r="A6213" s="4" t="s">
        <v>528</v>
      </c>
      <c r="B6213" s="36" t="s">
        <v>527</v>
      </c>
      <c r="C6213" s="48" t="n">
        <f aca="false">C6203*C6210</f>
        <v>0</v>
      </c>
      <c r="D6213" s="48" t="n">
        <f aca="false">D6203*D6210</f>
        <v>0.434084974267145</v>
      </c>
      <c r="E6213" s="48" t="n">
        <f aca="false">E6203*E6210</f>
        <v>0.744055627726705</v>
      </c>
      <c r="F6213" s="48" t="n">
        <f aca="false">F6203*F6210</f>
        <v>0.820999762796119</v>
      </c>
      <c r="G6213" s="48" t="n">
        <f aca="false">G6203*G6210</f>
        <v>0.89952175823807</v>
      </c>
      <c r="H6213" s="48" t="n">
        <f aca="false">H6203*H6210</f>
        <v>1.13465516292283</v>
      </c>
      <c r="I6213" s="48" t="n">
        <f aca="false">I6203*I6210</f>
        <v>1.35487856174628</v>
      </c>
      <c r="J6213" s="48" t="n">
        <f aca="false">J6203*J6210</f>
        <v>1.88601088123353</v>
      </c>
      <c r="K6213" s="48" t="n">
        <f aca="false">K6203*K6210</f>
        <v>2.37581157552964</v>
      </c>
      <c r="L6213" s="48" t="n">
        <f aca="false">L6203*L6210</f>
        <v>2.3926929822134</v>
      </c>
      <c r="M6213" s="48" t="n">
        <f aca="false">M6203*M6210</f>
        <v>2.32184716628391</v>
      </c>
      <c r="N6213" s="48" t="n">
        <f aca="false">N6203*N6210</f>
        <v>2.25591770573287</v>
      </c>
      <c r="P6213" s="49" t="n">
        <f aca="false">SUM(C6213:F6213)</f>
        <v>1.99914036478997</v>
      </c>
      <c r="Q6213" s="49" t="n">
        <f aca="false">SUM(G6213:J6213)</f>
        <v>5.27506636414072</v>
      </c>
      <c r="R6213" s="49" t="n">
        <f aca="false">SUM(K6213:N6213)</f>
        <v>9.34626942975982</v>
      </c>
      <c r="S6213" s="50" t="n">
        <f aca="false">SUM(P6213:R6213)</f>
        <v>16.6204761586905</v>
      </c>
    </row>
    <row r="6214" customFormat="false" ht="15" hidden="false" customHeight="false" outlineLevel="0" collapsed="false">
      <c r="A6214" s="4" t="s">
        <v>529</v>
      </c>
      <c r="B6214" s="36" t="s">
        <v>527</v>
      </c>
      <c r="C6214" s="48" t="n">
        <f aca="false">C6204*C6210</f>
        <v>0</v>
      </c>
      <c r="D6214" s="48" t="n">
        <f aca="false">D6204*D6210</f>
        <v>0</v>
      </c>
      <c r="E6214" s="48" t="n">
        <f aca="false">E6204*E6210</f>
        <v>0.071275680959914</v>
      </c>
      <c r="F6214" s="48" t="n">
        <f aca="false">F6204*F6210</f>
        <v>0.122172096898336</v>
      </c>
      <c r="G6214" s="48" t="n">
        <f aca="false">G6204*G6210</f>
        <v>0.134806133891215</v>
      </c>
      <c r="H6214" s="48" t="n">
        <f aca="false">H6204*H6210</f>
        <v>0.147699251661313</v>
      </c>
      <c r="I6214" s="48" t="n">
        <f aca="false">I6204*I6210</f>
        <v>0.174259973058587</v>
      </c>
      <c r="J6214" s="48" t="n">
        <f aca="false">J6204*J6210</f>
        <v>0.19948212034567</v>
      </c>
      <c r="K6214" s="48" t="n">
        <f aca="false">K6204*K6210</f>
        <v>0.265355665717199</v>
      </c>
      <c r="L6214" s="48" t="n">
        <f aca="false">L6204*L6210</f>
        <v>0.327251866823927</v>
      </c>
      <c r="M6214" s="48" t="n">
        <f aca="false">M6204*M6210</f>
        <v>0.329577165643402</v>
      </c>
      <c r="N6214" s="48" t="n">
        <f aca="false">N6204*N6210</f>
        <v>0.319818636912259</v>
      </c>
      <c r="P6214" s="49" t="n">
        <f aca="false">SUM(C6214:F6214)</f>
        <v>0.19344777785825</v>
      </c>
      <c r="Q6214" s="49" t="n">
        <f aca="false">SUM(G6214:J6214)</f>
        <v>0.656247478956785</v>
      </c>
      <c r="R6214" s="49" t="n">
        <f aca="false">SUM(K6214:N6214)</f>
        <v>1.24200333509679</v>
      </c>
      <c r="S6214" s="50" t="n">
        <f aca="false">SUM(P6214:R6214)</f>
        <v>2.09169859191182</v>
      </c>
    </row>
    <row r="6215" customFormat="false" ht="15" hidden="false" customHeight="false" outlineLevel="0" collapsed="false">
      <c r="A6215" s="9" t="s">
        <v>530</v>
      </c>
      <c r="B6215" s="36" t="s">
        <v>527</v>
      </c>
      <c r="C6215" s="49" t="n">
        <f aca="false">C6212+C6213+C6214</f>
        <v>0</v>
      </c>
      <c r="D6215" s="49" t="n">
        <f aca="false">D6212+D6213+D6214</f>
        <v>1.30046141945097</v>
      </c>
      <c r="E6215" s="49" t="n">
        <f aca="false">E6212+E6213+E6214</f>
        <v>2.30036835899502</v>
      </c>
      <c r="F6215" s="49" t="n">
        <f aca="false">F6212+F6213+F6214</f>
        <v>2.58177927104041</v>
      </c>
      <c r="G6215" s="49" t="n">
        <f aca="false">G6212+G6213+G6214</f>
        <v>2.82965486603229</v>
      </c>
      <c r="H6215" s="49" t="n">
        <f aca="false">H6212+H6213+H6214</f>
        <v>3.59255119631409</v>
      </c>
      <c r="I6215" s="49" t="n">
        <f aca="false">I6212+I6213+I6214</f>
        <v>4.32024919988351</v>
      </c>
      <c r="J6215" s="49" t="n">
        <f aca="false">J6212+J6213+J6214</f>
        <v>6.216186089123</v>
      </c>
      <c r="K6215" s="49" t="n">
        <f aca="false">K6212+K6213+K6214</f>
        <v>7.98432587479941</v>
      </c>
      <c r="L6215" s="49" t="n">
        <f aca="false">L6212+L6213+L6214</f>
        <v>8.10106947063285</v>
      </c>
      <c r="M6215" s="49" t="n">
        <f aca="false">M6212+M6213+M6214</f>
        <v>7.87321795398836</v>
      </c>
      <c r="N6215" s="49" t="n">
        <f aca="false">N6212+N6213+N6214</f>
        <v>7.64925576233379</v>
      </c>
      <c r="P6215" s="49" t="n">
        <f aca="false">SUM(C6215:F6215)</f>
        <v>6.18260904948639</v>
      </c>
      <c r="Q6215" s="49" t="n">
        <f aca="false">SUM(G6215:J6215)</f>
        <v>16.9586413513529</v>
      </c>
      <c r="R6215" s="49" t="n">
        <f aca="false">SUM(K6215:N6215)</f>
        <v>31.6078690617544</v>
      </c>
      <c r="S6215" s="50" t="n">
        <f aca="false">SUM(P6215:R6215)</f>
        <v>54.7491194625937</v>
      </c>
    </row>
    <row r="6216" customFormat="false" ht="15" hidden="false" customHeight="false" outlineLevel="0" collapsed="false">
      <c r="A6216" s="35" t="s">
        <v>533</v>
      </c>
      <c r="B6216" s="35" t="s">
        <v>444</v>
      </c>
      <c r="C6216" s="6" t="s">
        <v>354</v>
      </c>
      <c r="D6216" s="6" t="s">
        <v>355</v>
      </c>
      <c r="E6216" s="6" t="s">
        <v>356</v>
      </c>
      <c r="F6216" s="6" t="s">
        <v>357</v>
      </c>
      <c r="G6216" s="6" t="s">
        <v>358</v>
      </c>
      <c r="H6216" s="6" t="s">
        <v>359</v>
      </c>
      <c r="I6216" s="6" t="s">
        <v>360</v>
      </c>
      <c r="J6216" s="6" t="s">
        <v>361</v>
      </c>
      <c r="K6216" s="6" t="s">
        <v>362</v>
      </c>
      <c r="L6216" s="6" t="s">
        <v>363</v>
      </c>
      <c r="M6216" s="6" t="s">
        <v>364</v>
      </c>
      <c r="N6216" s="6" t="s">
        <v>365</v>
      </c>
      <c r="P6216" s="6" t="s">
        <v>445</v>
      </c>
      <c r="Q6216" s="6" t="s">
        <v>446</v>
      </c>
      <c r="R6216" s="6" t="s">
        <v>447</v>
      </c>
      <c r="S6216" s="6" t="s">
        <v>448</v>
      </c>
    </row>
    <row r="6217" customFormat="false" ht="15" hidden="false" customHeight="false" outlineLevel="0" collapsed="false">
      <c r="A6217" s="4" t="s">
        <v>534</v>
      </c>
      <c r="B6217" s="36" t="s">
        <v>527</v>
      </c>
      <c r="C6217" s="48" t="n">
        <f aca="false">0*Assumptions!$E$59^(1/4)+C6212</f>
        <v>0</v>
      </c>
      <c r="D6217" s="48" t="n">
        <f aca="false">C6217*Assumptions!$E$59^(1/4)+D6212</f>
        <v>0.866376445183821</v>
      </c>
      <c r="E6217" s="48" t="n">
        <f aca="false">D6217*Assumptions!$E$59^(1/4)+E6212</f>
        <v>2.32416329488403</v>
      </c>
      <c r="F6217" s="48" t="n">
        <f aca="false">E6217*Assumptions!$E$59^(1/4)+F6212</f>
        <v>3.88966863104794</v>
      </c>
      <c r="G6217" s="48" t="n">
        <f aca="false">F6217*Assumptions!$E$59^(1/4)+G6212</f>
        <v>5.56265357789716</v>
      </c>
      <c r="H6217" s="48" t="n">
        <f aca="false">G6217*Assumptions!$E$59^(1/4)+H6212</f>
        <v>7.69788781678072</v>
      </c>
      <c r="I6217" s="48" t="n">
        <f aca="false">H6217*Assumptions!$E$59^(1/4)+I6212</f>
        <v>10.2468762630101</v>
      </c>
      <c r="J6217" s="48" t="n">
        <f aca="false">I6217*Assumptions!$E$59^(1/4)+J6212</f>
        <v>14.0552736148763</v>
      </c>
      <c r="K6217" s="48" t="n">
        <f aca="false">J6217*Assumptions!$E$59^(1/4)+K6212</f>
        <v>18.9563507170835</v>
      </c>
      <c r="L6217" s="48" t="n">
        <f aca="false">K6217*Assumptions!$E$59^(1/4)+L6212</f>
        <v>23.7412398769334</v>
      </c>
      <c r="M6217" s="48" t="n">
        <f aca="false">L6217*Assumptions!$E$59^(1/4)+M6212</f>
        <v>28.2162985745513</v>
      </c>
      <c r="N6217" s="48" t="n">
        <f aca="false">M6217*Assumptions!$E$59^(1/4)+N6212</f>
        <v>32.4023287268997</v>
      </c>
      <c r="P6217" s="49" t="n">
        <f aca="false">F6217</f>
        <v>3.88966863104794</v>
      </c>
      <c r="Q6217" s="49" t="n">
        <f aca="false">J6217</f>
        <v>14.0552736148763</v>
      </c>
      <c r="R6217" s="49" t="n">
        <f aca="false">N6217</f>
        <v>32.4023287268997</v>
      </c>
      <c r="S6217" s="50" t="n">
        <f aca="false">R6217</f>
        <v>32.4023287268997</v>
      </c>
    </row>
    <row r="6218" customFormat="false" ht="15" hidden="false" customHeight="false" outlineLevel="0" collapsed="false">
      <c r="A6218" s="4" t="s">
        <v>535</v>
      </c>
      <c r="B6218" s="36" t="s">
        <v>527</v>
      </c>
      <c r="C6218" s="48" t="n">
        <f aca="false">0*Assumptions!$E$60^(1/4)+C6213</f>
        <v>0</v>
      </c>
      <c r="D6218" s="48" t="n">
        <f aca="false">C6218*Assumptions!$E$60^(1/4)+D6213</f>
        <v>0.434084974267145</v>
      </c>
      <c r="E6218" s="48" t="n">
        <f aca="false">D6218*Assumptions!$E$60^(1/4)+E6213</f>
        <v>1.16685601892983</v>
      </c>
      <c r="F6218" s="48" t="n">
        <f aca="false">E6218*Assumptions!$E$60^(1/4)+F6213</f>
        <v>1.95752189677268</v>
      </c>
      <c r="G6218" s="48" t="n">
        <f aca="false">F6218*Assumptions!$E$60^(1/4)+G6213</f>
        <v>2.80615541940422</v>
      </c>
      <c r="H6218" s="48" t="n">
        <f aca="false">G6218*Assumptions!$E$60^(1/4)+H6213</f>
        <v>3.86786105447419</v>
      </c>
      <c r="I6218" s="48" t="n">
        <f aca="false">H6218*Assumptions!$E$60^(1/4)+I6213</f>
        <v>5.12218971945664</v>
      </c>
      <c r="J6218" s="48" t="n">
        <f aca="false">I6218*Assumptions!$E$60^(1/4)+J6213</f>
        <v>6.87504285788544</v>
      </c>
      <c r="K6218" s="48" t="n">
        <f aca="false">J6218*Assumptions!$E$60^(1/4)+K6213</f>
        <v>9.07212907594454</v>
      </c>
      <c r="L6218" s="48" t="n">
        <f aca="false">K6218*Assumptions!$E$60^(1/4)+L6213</f>
        <v>11.2289806902372</v>
      </c>
      <c r="M6218" s="48" t="n">
        <f aca="false">L6218*Assumptions!$E$60^(1/4)+M6213</f>
        <v>13.2589164271123</v>
      </c>
      <c r="N6218" s="48" t="n">
        <f aca="false">M6218*Assumptions!$E$60^(1/4)+N6213</f>
        <v>15.1701519792802</v>
      </c>
      <c r="P6218" s="49" t="n">
        <f aca="false">F6218</f>
        <v>1.95752189677268</v>
      </c>
      <c r="Q6218" s="49" t="n">
        <f aca="false">J6218</f>
        <v>6.87504285788544</v>
      </c>
      <c r="R6218" s="49" t="n">
        <f aca="false">N6218</f>
        <v>15.1701519792802</v>
      </c>
      <c r="S6218" s="50" t="n">
        <f aca="false">R6218</f>
        <v>15.1701519792802</v>
      </c>
    </row>
    <row r="6219" customFormat="false" ht="15" hidden="false" customHeight="false" outlineLevel="0" collapsed="false">
      <c r="A6219" s="4" t="s">
        <v>536</v>
      </c>
      <c r="B6219" s="36" t="s">
        <v>527</v>
      </c>
      <c r="C6219" s="48" t="n">
        <f aca="false">0*Assumptions!$E$61^(1/4)+C6214</f>
        <v>0</v>
      </c>
      <c r="D6219" s="48" t="n">
        <f aca="false">C6219*Assumptions!$E$61^(1/4)+D6214</f>
        <v>0</v>
      </c>
      <c r="E6219" s="48" t="n">
        <f aca="false">D6219*Assumptions!$E$61^(1/4)+E6214</f>
        <v>0.071275680959914</v>
      </c>
      <c r="F6219" s="48" t="n">
        <f aca="false">E6219*Assumptions!$E$61^(1/4)+F6214</f>
        <v>0.191977386314485</v>
      </c>
      <c r="G6219" s="48" t="n">
        <f aca="false">F6219*Assumptions!$E$61^(1/4)+G6214</f>
        <v>0.322823096094288</v>
      </c>
      <c r="H6219" s="48" t="n">
        <f aca="false">G6219*Assumptions!$E$61^(1/4)+H6214</f>
        <v>0.463862623930639</v>
      </c>
      <c r="I6219" s="48" t="n">
        <f aca="false">H6219*Assumptions!$E$61^(1/4)+I6214</f>
        <v>0.628553278667598</v>
      </c>
      <c r="J6219" s="48" t="n">
        <f aca="false">I6219*Assumptions!$E$61^(1/4)+J6214</f>
        <v>0.815068571993006</v>
      </c>
      <c r="K6219" s="48" t="n">
        <f aca="false">J6219*Assumptions!$E$61^(1/4)+K6214</f>
        <v>1.06360966758325</v>
      </c>
      <c r="L6219" s="48" t="n">
        <f aca="false">K6219*Assumptions!$E$61^(1/4)+L6214</f>
        <v>1.36891965128493</v>
      </c>
      <c r="M6219" s="48" t="n">
        <f aca="false">L6219*Assumptions!$E$61^(1/4)+M6214</f>
        <v>1.67025649916167</v>
      </c>
      <c r="N6219" s="48" t="n">
        <f aca="false">M6219*Assumptions!$E$61^(1/4)+N6214</f>
        <v>1.95561834801929</v>
      </c>
      <c r="P6219" s="49" t="n">
        <f aca="false">F6219</f>
        <v>0.191977386314485</v>
      </c>
      <c r="Q6219" s="49" t="n">
        <f aca="false">J6219</f>
        <v>0.815068571993006</v>
      </c>
      <c r="R6219" s="49" t="n">
        <f aca="false">N6219</f>
        <v>1.95561834801929</v>
      </c>
      <c r="S6219" s="50" t="n">
        <f aca="false">R6219</f>
        <v>1.95561834801929</v>
      </c>
    </row>
    <row r="6220" customFormat="false" ht="15" hidden="false" customHeight="false" outlineLevel="0" collapsed="false">
      <c r="A6220" s="9" t="s">
        <v>537</v>
      </c>
      <c r="B6220" s="36" t="s">
        <v>527</v>
      </c>
      <c r="C6220" s="49" t="n">
        <f aca="false">C6217+C6218+C6219</f>
        <v>0</v>
      </c>
      <c r="D6220" s="49" t="n">
        <f aca="false">D6217+D6218+D6219</f>
        <v>1.30046141945097</v>
      </c>
      <c r="E6220" s="49" t="n">
        <f aca="false">E6217+E6218+E6219</f>
        <v>3.56229499477378</v>
      </c>
      <c r="F6220" s="49" t="n">
        <f aca="false">F6217+F6218+F6219</f>
        <v>6.0391679141351</v>
      </c>
      <c r="G6220" s="49" t="n">
        <f aca="false">G6217+G6218+G6219</f>
        <v>8.69163209339566</v>
      </c>
      <c r="H6220" s="49" t="n">
        <f aca="false">H6217+H6218+H6219</f>
        <v>12.0296114951856</v>
      </c>
      <c r="I6220" s="49" t="n">
        <f aca="false">I6217+I6218+I6219</f>
        <v>15.9976192611344</v>
      </c>
      <c r="J6220" s="49" t="n">
        <f aca="false">J6217+J6218+J6219</f>
        <v>21.7453850447547</v>
      </c>
      <c r="K6220" s="49" t="n">
        <f aca="false">K6217+K6218+K6219</f>
        <v>29.0920894606113</v>
      </c>
      <c r="L6220" s="49" t="n">
        <f aca="false">L6217+L6218+L6219</f>
        <v>36.3391402184556</v>
      </c>
      <c r="M6220" s="49" t="n">
        <f aca="false">M6217+M6218+M6219</f>
        <v>43.1454715008253</v>
      </c>
      <c r="N6220" s="49" t="n">
        <f aca="false">N6217+N6218+N6219</f>
        <v>49.5280990541991</v>
      </c>
      <c r="P6220" s="49" t="n">
        <f aca="false">F6220</f>
        <v>6.0391679141351</v>
      </c>
      <c r="Q6220" s="49" t="n">
        <f aca="false">J6220</f>
        <v>21.7453850447547</v>
      </c>
      <c r="R6220" s="49" t="n">
        <f aca="false">N6220</f>
        <v>49.5280990541991</v>
      </c>
      <c r="S6220" s="50" t="n">
        <f aca="false">R6220</f>
        <v>49.5280990541991</v>
      </c>
    </row>
    <row r="6221" customFormat="false" ht="15" hidden="false" customHeight="false" outlineLevel="0" collapsed="false">
      <c r="A6221" s="4" t="s">
        <v>538</v>
      </c>
      <c r="B6221" s="36" t="s">
        <v>125</v>
      </c>
      <c r="C6221" s="54" t="n">
        <f aca="false">0*Assumptions!$D$62^(1/4)+C6212*$C$6161</f>
        <v>0</v>
      </c>
      <c r="D6221" s="54" t="n">
        <f aca="false">C6221*Assumptions!$D$62^(1/4)+D6212*$C$6161</f>
        <v>4636.84673462381</v>
      </c>
      <c r="E6221" s="54" t="n">
        <f aca="false">D6221*Assumptions!$D$62^(1/4)+E6212*$C$6161</f>
        <v>12489.1085551967</v>
      </c>
      <c r="F6221" s="54" t="n">
        <f aca="false">E6221*Assumptions!$D$62^(1/4)+F6212*$C$6161</f>
        <v>21001.2896239855</v>
      </c>
      <c r="G6221" s="54" t="n">
        <f aca="false">F6221*Assumptions!$D$62^(1/4)+G6212*$C$6161</f>
        <v>30176.6305718844</v>
      </c>
      <c r="H6221" s="54" t="n">
        <f aca="false">G6221*Assumptions!$D$62^(1/4)+H6212*$C$6161</f>
        <v>41918.2707628947</v>
      </c>
      <c r="I6221" s="54" t="n">
        <f aca="false">H6221*Assumptions!$D$62^(1/4)+I6212*$C$6161</f>
        <v>55991.5362631189</v>
      </c>
      <c r="J6221" s="54" t="n">
        <f aca="false">I6221*Assumptions!$D$62^(1/4)+J6212*$C$6161</f>
        <v>76943.9205062782</v>
      </c>
      <c r="K6221" s="54" t="n">
        <f aca="false">J6221*Assumptions!$D$62^(1/4)+K6212*$C$6161</f>
        <v>103953.180235582</v>
      </c>
      <c r="L6221" s="54" t="n">
        <f aca="false">K6221*Assumptions!$D$62^(1/4)+L6212*$C$6161</f>
        <v>130608.442664081</v>
      </c>
      <c r="M6221" s="54" t="n">
        <f aca="false">L6221*Assumptions!$D$62^(1/4)+M6212*$C$6161</f>
        <v>155861.077150667</v>
      </c>
      <c r="N6221" s="54" t="n">
        <f aca="false">M6221*Assumptions!$D$62^(1/4)+N6212*$C$6161</f>
        <v>179799.195381372</v>
      </c>
      <c r="P6221" s="55" t="n">
        <f aca="false">F6221</f>
        <v>21001.2896239855</v>
      </c>
      <c r="Q6221" s="55" t="n">
        <f aca="false">J6221</f>
        <v>76943.9205062782</v>
      </c>
      <c r="R6221" s="55" t="n">
        <f aca="false">N6221</f>
        <v>179799.195381372</v>
      </c>
      <c r="S6221" s="56" t="n">
        <f aca="false">R6221</f>
        <v>179799.195381372</v>
      </c>
    </row>
    <row r="6222" customFormat="false" ht="15" hidden="false" customHeight="false" outlineLevel="0" collapsed="false">
      <c r="A6222" s="4" t="s">
        <v>539</v>
      </c>
      <c r="B6222" s="36" t="s">
        <v>125</v>
      </c>
      <c r="C6222" s="54" t="n">
        <f aca="false">0*Assumptions!$D$63^(1/4)+C6213*$C$6162</f>
        <v>0</v>
      </c>
      <c r="D6222" s="54" t="n">
        <f aca="false">C6222*Assumptions!$D$63^(1/4)+D6213*$C$6162</f>
        <v>4239.58645576376</v>
      </c>
      <c r="E6222" s="54" t="n">
        <f aca="false">D6222*Assumptions!$D$63^(1/4)+E6213*$C$6162</f>
        <v>11485.210734511</v>
      </c>
      <c r="F6222" s="54" t="n">
        <f aca="false">E6222*Assumptions!$D$63^(1/4)+F6213*$C$6162</f>
        <v>19445.823799514</v>
      </c>
      <c r="G6222" s="54" t="n">
        <f aca="false">F6222*Assumptions!$D$63^(1/4)+G6213*$C$6162</f>
        <v>28133.2340982485</v>
      </c>
      <c r="H6222" s="54" t="n">
        <f aca="false">G6222*Assumptions!$D$63^(1/4)+H6213*$C$6162</f>
        <v>39073.3598702811</v>
      </c>
      <c r="I6222" s="54" t="n">
        <f aca="false">H6222*Assumptions!$D$63^(1/4)+I6213*$C$6162</f>
        <v>52109.2302077285</v>
      </c>
      <c r="J6222" s="54" t="n">
        <f aca="false">I6222*Assumptions!$D$63^(1/4)+J6213*$C$6162</f>
        <v>70266.8472813105</v>
      </c>
      <c r="K6222" s="54" t="n">
        <f aca="false">J6222*Assumptions!$D$63^(1/4)+K6213*$C$6162</f>
        <v>93116.7336040912</v>
      </c>
      <c r="L6222" s="54" t="n">
        <f aca="false">K6222*Assumptions!$D$63^(1/4)+L6213*$C$6162</f>
        <v>116016.379462604</v>
      </c>
      <c r="M6222" s="54" t="n">
        <f aca="false">L6222*Assumptions!$D$63^(1/4)+M6213*$C$6162</f>
        <v>138108.726940178</v>
      </c>
      <c r="N6222" s="54" t="n">
        <f aca="false">M6222*Assumptions!$D$63^(1/4)+N6213*$C$6162</f>
        <v>159445.859827565</v>
      </c>
      <c r="P6222" s="55" t="n">
        <f aca="false">F6222</f>
        <v>19445.823799514</v>
      </c>
      <c r="Q6222" s="55" t="n">
        <f aca="false">J6222</f>
        <v>70266.8472813105</v>
      </c>
      <c r="R6222" s="55" t="n">
        <f aca="false">N6222</f>
        <v>159445.859827565</v>
      </c>
      <c r="S6222" s="56" t="n">
        <f aca="false">R6222</f>
        <v>159445.859827565</v>
      </c>
    </row>
    <row r="6223" customFormat="false" ht="15" hidden="false" customHeight="false" outlineLevel="0" collapsed="false">
      <c r="A6223" s="4" t="s">
        <v>540</v>
      </c>
      <c r="B6223" s="36" t="s">
        <v>125</v>
      </c>
      <c r="C6223" s="54" t="n">
        <f aca="false">0*Assumptions!$D$64^(1/4)+C6214*$C$6163</f>
        <v>0</v>
      </c>
      <c r="D6223" s="54" t="n">
        <f aca="false">C6223*Assumptions!$D$64^(1/4)+D6214*$C$6163</f>
        <v>0</v>
      </c>
      <c r="E6223" s="54" t="n">
        <f aca="false">D6223*Assumptions!$D$64^(1/4)+E6214*$C$6163</f>
        <v>4403.28728055653</v>
      </c>
      <c r="F6223" s="54" t="n">
        <f aca="false">E6223*Assumptions!$D$64^(1/4)+F6214*$C$6163</f>
        <v>12004.9045593734</v>
      </c>
      <c r="G6223" s="54" t="n">
        <f aca="false">F6223*Assumptions!$D$64^(1/4)+G6214*$C$6163</f>
        <v>20480.3194419076</v>
      </c>
      <c r="H6223" s="54" t="n">
        <f aca="false">G6223*Assumptions!$D$64^(1/4)+H6214*$C$6163</f>
        <v>29856.2609358323</v>
      </c>
      <c r="I6223" s="54" t="n">
        <f aca="false">H6223*Assumptions!$D$64^(1/4)+I6214*$C$6163</f>
        <v>40988.1412336172</v>
      </c>
      <c r="J6223" s="54" t="n">
        <f aca="false">I6223*Assumptions!$D$64^(1/4)+J6214*$C$6163</f>
        <v>53814.8148535584</v>
      </c>
      <c r="K6223" s="54" t="n">
        <f aca="false">J6223*Assumptions!$D$64^(1/4)+K6214*$C$6163</f>
        <v>70868.4531831535</v>
      </c>
      <c r="L6223" s="54" t="n">
        <f aca="false">K6223*Assumptions!$D$64^(1/4)+L6214*$C$6163</f>
        <v>91955.2171311786</v>
      </c>
      <c r="M6223" s="54" t="n">
        <f aca="false">L6223*Assumptions!$D$64^(1/4)+M6214*$C$6163</f>
        <v>113444.41569598</v>
      </c>
      <c r="N6223" s="54" t="n">
        <f aca="false">M6223*Assumptions!$D$64^(1/4)+N6214*$C$6163</f>
        <v>134594.469854984</v>
      </c>
      <c r="P6223" s="55" t="n">
        <f aca="false">F6223</f>
        <v>12004.9045593734</v>
      </c>
      <c r="Q6223" s="55" t="n">
        <f aca="false">J6223</f>
        <v>53814.8148535584</v>
      </c>
      <c r="R6223" s="55" t="n">
        <f aca="false">N6223</f>
        <v>134594.469854984</v>
      </c>
      <c r="S6223" s="56" t="n">
        <f aca="false">R6223</f>
        <v>134594.469854984</v>
      </c>
    </row>
    <row r="6224" customFormat="false" ht="15" hidden="false" customHeight="false" outlineLevel="0" collapsed="false">
      <c r="A6224" s="9" t="s">
        <v>541</v>
      </c>
      <c r="B6224" s="36" t="s">
        <v>125</v>
      </c>
      <c r="C6224" s="55" t="n">
        <f aca="false">C6221+C6222+C6223</f>
        <v>0</v>
      </c>
      <c r="D6224" s="55" t="n">
        <f aca="false">D6221+D6222+D6223</f>
        <v>8876.43319038757</v>
      </c>
      <c r="E6224" s="55" t="n">
        <f aca="false">E6221+E6222+E6223</f>
        <v>28377.6065702642</v>
      </c>
      <c r="F6224" s="55" t="n">
        <f aca="false">F6221+F6222+F6223</f>
        <v>52452.0179828729</v>
      </c>
      <c r="G6224" s="55" t="n">
        <f aca="false">G6221+G6222+G6223</f>
        <v>78790.1841120405</v>
      </c>
      <c r="H6224" s="55" t="n">
        <f aca="false">H6221+H6222+H6223</f>
        <v>110847.891569008</v>
      </c>
      <c r="I6224" s="55" t="n">
        <f aca="false">I6221+I6222+I6223</f>
        <v>149088.907704465</v>
      </c>
      <c r="J6224" s="55" t="n">
        <f aca="false">J6221+J6222+J6223</f>
        <v>201025.582641147</v>
      </c>
      <c r="K6224" s="55" t="n">
        <f aca="false">K6221+K6222+K6223</f>
        <v>267938.367022826</v>
      </c>
      <c r="L6224" s="55" t="n">
        <f aca="false">L6221+L6222+L6223</f>
        <v>338580.039257864</v>
      </c>
      <c r="M6224" s="55" t="n">
        <f aca="false">M6221+M6222+M6223</f>
        <v>407414.219786825</v>
      </c>
      <c r="N6224" s="55" t="n">
        <f aca="false">N6221+N6222+N6223</f>
        <v>473839.525063921</v>
      </c>
      <c r="P6224" s="55" t="n">
        <f aca="false">F6224</f>
        <v>52452.0179828729</v>
      </c>
      <c r="Q6224" s="55" t="n">
        <f aca="false">J6224</f>
        <v>201025.582641147</v>
      </c>
      <c r="R6224" s="55" t="n">
        <f aca="false">N6224</f>
        <v>473839.525063921</v>
      </c>
      <c r="S6224" s="56" t="n">
        <f aca="false">R6224</f>
        <v>473839.525063921</v>
      </c>
    </row>
    <row r="6225" customFormat="false" ht="15" hidden="false" customHeight="false" outlineLevel="0" collapsed="false">
      <c r="A6225" s="4" t="s">
        <v>542</v>
      </c>
      <c r="B6225" s="36" t="s">
        <v>125</v>
      </c>
      <c r="C6225" s="54" t="n">
        <f aca="false">C6212*$C$6161+C6213*$C$6162+C6214*$C$6163</f>
        <v>0</v>
      </c>
      <c r="D6225" s="54" t="n">
        <f aca="false">D6212*$C$6161+D6213*$C$6162+D6214*$C$6163</f>
        <v>8876.43319038757</v>
      </c>
      <c r="E6225" s="54" t="n">
        <f aca="false">E6212*$C$6161+E6213*$C$6162+E6214*$C$6163</f>
        <v>19618.1886500368</v>
      </c>
      <c r="F6225" s="54" t="n">
        <f aca="false">F6212*$C$6161+F6213*$C$6162+F6214*$C$6163</f>
        <v>24335.8808795765</v>
      </c>
      <c r="G6225" s="54" t="n">
        <f aca="false">G6212*$C$6161+G6213*$C$6162+G6214*$C$6163</f>
        <v>26722.0551062465</v>
      </c>
      <c r="H6225" s="54" t="n">
        <f aca="false">H6212*$C$6161+H6213*$C$6162+H6214*$C$6163</f>
        <v>32570.6348072815</v>
      </c>
      <c r="I6225" s="54" t="n">
        <f aca="false">I6212*$C$6161+I6213*$C$6162+I6214*$C$6163</f>
        <v>38936.2212649288</v>
      </c>
      <c r="J6225" s="54" t="n">
        <f aca="false">J6212*$C$6161+J6213*$C$6162+J6214*$C$6163</f>
        <v>52851.2673832351</v>
      </c>
      <c r="K6225" s="54" t="n">
        <f aca="false">K6212*$C$6161+K6213*$C$6162+K6214*$C$6163</f>
        <v>68193.6820495777</v>
      </c>
      <c r="L6225" s="54" t="n">
        <f aca="false">L6212*$C$6161+L6213*$C$6162+L6214*$C$6163</f>
        <v>72385.5913630249</v>
      </c>
      <c r="M6225" s="54" t="n">
        <f aca="false">M6212*$C$6161+M6213*$C$6162+M6214*$C$6163</f>
        <v>70984.5735032962</v>
      </c>
      <c r="N6225" s="54" t="n">
        <f aca="false">N6212*$C$6161+N6213*$C$6162+N6214*$C$6163</f>
        <v>68944.2304944803</v>
      </c>
      <c r="P6225" s="55" t="n">
        <f aca="false">SUM(C6225:F6225)</f>
        <v>52830.5027200009</v>
      </c>
      <c r="Q6225" s="55" t="n">
        <f aca="false">SUM(G6225:J6225)</f>
        <v>151080.178561692</v>
      </c>
      <c r="R6225" s="55" t="n">
        <f aca="false">SUM(K6225:N6225)</f>
        <v>280508.077410379</v>
      </c>
      <c r="S6225" s="56" t="n">
        <f aca="false">SUM(P6225:R6225)</f>
        <v>484418.758692072</v>
      </c>
    </row>
    <row r="6226" customFormat="false" ht="15" hidden="false" customHeight="false" outlineLevel="0" collapsed="false">
      <c r="A6226" s="9" t="s">
        <v>543</v>
      </c>
      <c r="B6226" s="36" t="s">
        <v>125</v>
      </c>
      <c r="C6226" s="55" t="n">
        <f aca="false">(0+C6224)/8</f>
        <v>0</v>
      </c>
      <c r="D6226" s="55" t="n">
        <f aca="false">(C6224+D6224)/8</f>
        <v>1109.55414879845</v>
      </c>
      <c r="E6226" s="55" t="n">
        <f aca="false">(D6224+E6224)/8</f>
        <v>4656.75497008147</v>
      </c>
      <c r="F6226" s="55" t="n">
        <f aca="false">(E6224+F6224)/8</f>
        <v>10103.7030691421</v>
      </c>
      <c r="G6226" s="55" t="n">
        <f aca="false">(F6224+G6224)/8</f>
        <v>16405.2752618642</v>
      </c>
      <c r="H6226" s="55" t="n">
        <f aca="false">(G6224+H6224)/8</f>
        <v>23704.7594601311</v>
      </c>
      <c r="I6226" s="55" t="n">
        <f aca="false">(H6224+I6224)/8</f>
        <v>32492.0999091841</v>
      </c>
      <c r="J6226" s="55" t="n">
        <f aca="false">(I6224+J6224)/8</f>
        <v>43764.3112932015</v>
      </c>
      <c r="K6226" s="55" t="n">
        <f aca="false">(J6224+K6224)/8</f>
        <v>58620.4937079967</v>
      </c>
      <c r="L6226" s="55" t="n">
        <f aca="false">(K6224+L6224)/8</f>
        <v>75814.8007850863</v>
      </c>
      <c r="M6226" s="55" t="n">
        <f aca="false">(L6224+M6224)/8</f>
        <v>93249.2823805861</v>
      </c>
      <c r="N6226" s="55" t="n">
        <f aca="false">(M6224+N6224)/8</f>
        <v>110156.718106343</v>
      </c>
      <c r="P6226" s="55" t="n">
        <f aca="false">SUM(C6226:F6226)</f>
        <v>15870.012188022</v>
      </c>
      <c r="Q6226" s="55" t="n">
        <f aca="false">SUM(G6226:J6226)</f>
        <v>116366.445924381</v>
      </c>
      <c r="R6226" s="55" t="n">
        <f aca="false">SUM(K6226:N6226)</f>
        <v>337841.294980012</v>
      </c>
      <c r="S6226" s="56" t="n">
        <f aca="false">SUM(P6226:R6226)</f>
        <v>470077.753092415</v>
      </c>
    </row>
    <row r="6227" customFormat="false" ht="15" hidden="false" customHeight="false" outlineLevel="0" collapsed="false">
      <c r="A6227" s="4" t="s">
        <v>544</v>
      </c>
      <c r="B6227" s="36" t="s">
        <v>125</v>
      </c>
      <c r="C6227" s="54" t="n">
        <f aca="false">C6226*Assumptions!$E$76</f>
        <v>0</v>
      </c>
      <c r="D6227" s="54" t="n">
        <f aca="false">D6226*Assumptions!$E$76</f>
        <v>721.21019671899</v>
      </c>
      <c r="E6227" s="54" t="n">
        <f aca="false">E6226*Assumptions!$E$76</f>
        <v>3026.89073055295</v>
      </c>
      <c r="F6227" s="54" t="n">
        <f aca="false">F6226*Assumptions!$E$76</f>
        <v>6567.40699494239</v>
      </c>
      <c r="G6227" s="54" t="n">
        <f aca="false">G6226*Assumptions!$E$76</f>
        <v>10663.4289202117</v>
      </c>
      <c r="H6227" s="54" t="n">
        <f aca="false">H6226*Assumptions!$E$76</f>
        <v>15408.0936490852</v>
      </c>
      <c r="I6227" s="54" t="n">
        <f aca="false">I6226*Assumptions!$E$76</f>
        <v>21119.8649409697</v>
      </c>
      <c r="J6227" s="54" t="n">
        <f aca="false">J6226*Assumptions!$E$76</f>
        <v>28446.802340581</v>
      </c>
      <c r="K6227" s="54" t="n">
        <f aca="false">K6226*Assumptions!$E$76</f>
        <v>38103.3209101978</v>
      </c>
      <c r="L6227" s="54" t="n">
        <f aca="false">L6226*Assumptions!$E$76</f>
        <v>49279.6205103061</v>
      </c>
      <c r="M6227" s="54" t="n">
        <f aca="false">M6226*Assumptions!$E$76</f>
        <v>60612.033547381</v>
      </c>
      <c r="N6227" s="54" t="n">
        <f aca="false">N6226*Assumptions!$E$76</f>
        <v>71601.8667691231</v>
      </c>
      <c r="P6227" s="55" t="n">
        <f aca="false">SUM(C6227:F6227)</f>
        <v>10315.5079222143</v>
      </c>
      <c r="Q6227" s="55" t="n">
        <f aca="false">SUM(G6227:J6227)</f>
        <v>75638.1898508475</v>
      </c>
      <c r="R6227" s="55" t="n">
        <f aca="false">SUM(K6227:N6227)</f>
        <v>219596.841737008</v>
      </c>
      <c r="S6227" s="56" t="n">
        <f aca="false">SUM(P6227:R6227)</f>
        <v>305550.53951007</v>
      </c>
    </row>
    <row r="6228" customFormat="false" ht="15" hidden="false" customHeight="false" outlineLevel="0" collapsed="false">
      <c r="A6228" s="35" t="s">
        <v>547</v>
      </c>
      <c r="B6228" s="35" t="s">
        <v>444</v>
      </c>
      <c r="C6228" s="6" t="s">
        <v>354</v>
      </c>
      <c r="D6228" s="6" t="s">
        <v>355</v>
      </c>
      <c r="E6228" s="6" t="s">
        <v>356</v>
      </c>
      <c r="F6228" s="6" t="s">
        <v>357</v>
      </c>
      <c r="G6228" s="6" t="s">
        <v>358</v>
      </c>
      <c r="H6228" s="6" t="s">
        <v>359</v>
      </c>
      <c r="I6228" s="6" t="s">
        <v>360</v>
      </c>
      <c r="J6228" s="6" t="s">
        <v>361</v>
      </c>
      <c r="K6228" s="6" t="s">
        <v>362</v>
      </c>
      <c r="L6228" s="6" t="s">
        <v>363</v>
      </c>
      <c r="M6228" s="6" t="s">
        <v>364</v>
      </c>
      <c r="N6228" s="6" t="s">
        <v>365</v>
      </c>
      <c r="P6228" s="6" t="s">
        <v>445</v>
      </c>
      <c r="Q6228" s="6" t="s">
        <v>446</v>
      </c>
      <c r="R6228" s="6" t="s">
        <v>447</v>
      </c>
      <c r="S6228" s="6" t="s">
        <v>448</v>
      </c>
    </row>
    <row r="6229" customFormat="false" ht="15" hidden="false" customHeight="false" outlineLevel="0" collapsed="false">
      <c r="A6229" s="4" t="s">
        <v>548</v>
      </c>
      <c r="B6229" s="36" t="s">
        <v>321</v>
      </c>
      <c r="C6229" s="48" t="n">
        <f aca="false">Assumptions!$D$97*C6171</f>
        <v>1</v>
      </c>
      <c r="D6229" s="48" t="n">
        <f aca="false">Assumptions!$D$97*D6171</f>
        <v>1</v>
      </c>
      <c r="E6229" s="48" t="n">
        <f aca="false">Assumptions!$D$97*E6171</f>
        <v>1</v>
      </c>
      <c r="F6229" s="48" t="n">
        <f aca="false">Assumptions!$D$97*F6171</f>
        <v>1</v>
      </c>
      <c r="G6229" s="48" t="n">
        <f aca="false">Assumptions!$D$97*G6171</f>
        <v>1</v>
      </c>
      <c r="H6229" s="48" t="n">
        <f aca="false">Assumptions!$D$97*H6171</f>
        <v>1</v>
      </c>
      <c r="I6229" s="48" t="n">
        <f aca="false">Assumptions!$D$97*I6171</f>
        <v>1</v>
      </c>
      <c r="J6229" s="48" t="n">
        <f aca="false">Assumptions!$D$97*J6171</f>
        <v>1</v>
      </c>
      <c r="K6229" s="48" t="n">
        <f aca="false">Assumptions!$D$97*K6171</f>
        <v>1</v>
      </c>
      <c r="L6229" s="48" t="n">
        <f aca="false">Assumptions!$D$97*L6171</f>
        <v>1</v>
      </c>
      <c r="M6229" s="48" t="n">
        <f aca="false">Assumptions!$D$97*M6171</f>
        <v>1</v>
      </c>
      <c r="N6229" s="48" t="n">
        <f aca="false">Assumptions!$D$97*N6171</f>
        <v>1</v>
      </c>
      <c r="P6229" s="49" t="n">
        <f aca="false">AVERAGE(C6229:F6229)</f>
        <v>1</v>
      </c>
      <c r="Q6229" s="49" t="n">
        <f aca="false">AVERAGE(G6229:J6229)</f>
        <v>1</v>
      </c>
      <c r="R6229" s="49" t="n">
        <f aca="false">AVERAGE(K6229:N6229)</f>
        <v>1</v>
      </c>
      <c r="S6229" s="50"/>
    </row>
    <row r="6230" customFormat="false" ht="15" hidden="false" customHeight="false" outlineLevel="0" collapsed="false">
      <c r="A6230" s="4" t="s">
        <v>549</v>
      </c>
      <c r="B6230" s="36" t="s">
        <v>321</v>
      </c>
      <c r="C6230" s="48" t="n">
        <f aca="false">C6184*C6171</f>
        <v>0</v>
      </c>
      <c r="D6230" s="48" t="n">
        <f aca="false">D6184*D6171</f>
        <v>0</v>
      </c>
      <c r="E6230" s="48" t="n">
        <f aca="false">E6184*E6171</f>
        <v>0</v>
      </c>
      <c r="F6230" s="48" t="n">
        <f aca="false">F6184*F6171</f>
        <v>0</v>
      </c>
      <c r="G6230" s="48" t="n">
        <f aca="false">G6184*G6171</f>
        <v>0</v>
      </c>
      <c r="H6230" s="48" t="n">
        <f aca="false">H6184*H6171</f>
        <v>0</v>
      </c>
      <c r="I6230" s="48" t="n">
        <f aca="false">I6184*I6171</f>
        <v>0</v>
      </c>
      <c r="J6230" s="48" t="n">
        <f aca="false">J6184*J6171</f>
        <v>0</v>
      </c>
      <c r="K6230" s="48" t="n">
        <f aca="false">K6184*K6171</f>
        <v>0</v>
      </c>
      <c r="L6230" s="48" t="n">
        <f aca="false">L6184*L6171</f>
        <v>0</v>
      </c>
      <c r="M6230" s="48" t="n">
        <f aca="false">M6184*M6171</f>
        <v>0</v>
      </c>
      <c r="N6230" s="48" t="n">
        <f aca="false">N6184*N6171</f>
        <v>0</v>
      </c>
      <c r="P6230" s="49" t="n">
        <f aca="false">AVERAGE(C6230:F6230)</f>
        <v>0</v>
      </c>
      <c r="Q6230" s="49" t="n">
        <f aca="false">AVERAGE(G6230:J6230)</f>
        <v>0</v>
      </c>
      <c r="R6230" s="49" t="n">
        <f aca="false">AVERAGE(K6230:N6230)</f>
        <v>0</v>
      </c>
      <c r="S6230" s="50"/>
    </row>
    <row r="6231" customFormat="false" ht="15" hidden="false" customHeight="false" outlineLevel="0" collapsed="false">
      <c r="A6231" s="4" t="s">
        <v>550</v>
      </c>
      <c r="B6231" s="36" t="s">
        <v>321</v>
      </c>
      <c r="C6231" s="48" t="n">
        <f aca="false">IF(C6170&lt;=4,Assumptions!$D$98,Assumptions!$D$99)*C6171</f>
        <v>0</v>
      </c>
      <c r="D6231" s="48" t="n">
        <f aca="false">IF(D6170&lt;=4,Assumptions!$D$98,Assumptions!$D$99)*D6171</f>
        <v>0</v>
      </c>
      <c r="E6231" s="48" t="n">
        <f aca="false">IF(E6170&lt;=4,Assumptions!$D$98,Assumptions!$D$99)*E6171</f>
        <v>0</v>
      </c>
      <c r="F6231" s="48" t="n">
        <f aca="false">IF(F6170&lt;=4,Assumptions!$D$98,Assumptions!$D$99)*F6171</f>
        <v>0</v>
      </c>
      <c r="G6231" s="48" t="n">
        <f aca="false">IF(G6170&lt;=4,Assumptions!$D$98,Assumptions!$D$99)*G6171</f>
        <v>0.5</v>
      </c>
      <c r="H6231" s="48" t="n">
        <f aca="false">IF(H6170&lt;=4,Assumptions!$D$98,Assumptions!$D$99)*H6171</f>
        <v>0.5</v>
      </c>
      <c r="I6231" s="48" t="n">
        <f aca="false">IF(I6170&lt;=4,Assumptions!$D$98,Assumptions!$D$99)*I6171</f>
        <v>0.5</v>
      </c>
      <c r="J6231" s="48" t="n">
        <f aca="false">IF(J6170&lt;=4,Assumptions!$D$98,Assumptions!$D$99)*J6171</f>
        <v>0.5</v>
      </c>
      <c r="K6231" s="48" t="n">
        <f aca="false">IF(K6170&lt;=4,Assumptions!$D$98,Assumptions!$D$99)*K6171</f>
        <v>0.5</v>
      </c>
      <c r="L6231" s="48" t="n">
        <f aca="false">IF(L6170&lt;=4,Assumptions!$D$98,Assumptions!$D$99)*L6171</f>
        <v>0.5</v>
      </c>
      <c r="M6231" s="48" t="n">
        <f aca="false">IF(M6170&lt;=4,Assumptions!$D$98,Assumptions!$D$99)*M6171</f>
        <v>0.5</v>
      </c>
      <c r="N6231" s="48" t="n">
        <f aca="false">IF(N6170&lt;=4,Assumptions!$D$98,Assumptions!$D$99)*N6171</f>
        <v>0.5</v>
      </c>
      <c r="P6231" s="49" t="n">
        <f aca="false">AVERAGE(C6231:F6231)</f>
        <v>0</v>
      </c>
      <c r="Q6231" s="49" t="n">
        <f aca="false">AVERAGE(G6231:J6231)</f>
        <v>0.5</v>
      </c>
      <c r="R6231" s="49" t="n">
        <f aca="false">AVERAGE(K6231:N6231)</f>
        <v>0.5</v>
      </c>
      <c r="S6231" s="50"/>
    </row>
    <row r="6232" customFormat="false" ht="15" hidden="false" customHeight="false" outlineLevel="0" collapsed="false">
      <c r="A6232" s="4" t="s">
        <v>551</v>
      </c>
      <c r="B6232" s="36" t="s">
        <v>321</v>
      </c>
      <c r="C6232" s="48" t="n">
        <f aca="false">IF(C6170&lt;=4,Assumptions!$D$100,Assumptions!$D$101)*C6171</f>
        <v>1</v>
      </c>
      <c r="D6232" s="48" t="n">
        <f aca="false">IF(D6170&lt;=4,Assumptions!$D$100,Assumptions!$D$101)*D6171</f>
        <v>1</v>
      </c>
      <c r="E6232" s="48" t="n">
        <f aca="false">IF(E6170&lt;=4,Assumptions!$D$100,Assumptions!$D$101)*E6171</f>
        <v>1</v>
      </c>
      <c r="F6232" s="48" t="n">
        <f aca="false">IF(F6170&lt;=4,Assumptions!$D$100,Assumptions!$D$101)*F6171</f>
        <v>1</v>
      </c>
      <c r="G6232" s="48" t="n">
        <f aca="false">IF(G6170&lt;=4,Assumptions!$D$100,Assumptions!$D$101)*G6171</f>
        <v>0.5</v>
      </c>
      <c r="H6232" s="48" t="n">
        <f aca="false">IF(H6170&lt;=4,Assumptions!$D$100,Assumptions!$D$101)*H6171</f>
        <v>0.5</v>
      </c>
      <c r="I6232" s="48" t="n">
        <f aca="false">IF(I6170&lt;=4,Assumptions!$D$100,Assumptions!$D$101)*I6171</f>
        <v>0.5</v>
      </c>
      <c r="J6232" s="48" t="n">
        <f aca="false">IF(J6170&lt;=4,Assumptions!$D$100,Assumptions!$D$101)*J6171</f>
        <v>0.5</v>
      </c>
      <c r="K6232" s="48" t="n">
        <f aca="false">IF(K6170&lt;=4,Assumptions!$D$100,Assumptions!$D$101)*K6171</f>
        <v>0.5</v>
      </c>
      <c r="L6232" s="48" t="n">
        <f aca="false">IF(L6170&lt;=4,Assumptions!$D$100,Assumptions!$D$101)*L6171</f>
        <v>0.5</v>
      </c>
      <c r="M6232" s="48" t="n">
        <f aca="false">IF(M6170&lt;=4,Assumptions!$D$100,Assumptions!$D$101)*M6171</f>
        <v>0.5</v>
      </c>
      <c r="N6232" s="48" t="n">
        <f aca="false">IF(N6170&lt;=4,Assumptions!$D$100,Assumptions!$D$101)*N6171</f>
        <v>0.5</v>
      </c>
      <c r="P6232" s="49" t="n">
        <f aca="false">AVERAGE(C6232:F6232)</f>
        <v>1</v>
      </c>
      <c r="Q6232" s="49" t="n">
        <f aca="false">AVERAGE(G6232:J6232)</f>
        <v>0.5</v>
      </c>
      <c r="R6232" s="49" t="n">
        <f aca="false">AVERAGE(K6232:N6232)</f>
        <v>0.5</v>
      </c>
      <c r="S6232" s="50"/>
    </row>
    <row r="6233" customFormat="false" ht="15" hidden="false" customHeight="false" outlineLevel="0" collapsed="false">
      <c r="A6233" s="4" t="s">
        <v>552</v>
      </c>
      <c r="B6233" s="36" t="s">
        <v>321</v>
      </c>
      <c r="C6233" s="48" t="n">
        <f aca="false">Assumptions!$D$102*C6171</f>
        <v>0.25</v>
      </c>
      <c r="D6233" s="48" t="n">
        <f aca="false">Assumptions!$D$102*D6171</f>
        <v>0.25</v>
      </c>
      <c r="E6233" s="48" t="n">
        <f aca="false">Assumptions!$D$102*E6171</f>
        <v>0.25</v>
      </c>
      <c r="F6233" s="48" t="n">
        <f aca="false">Assumptions!$D$102*F6171</f>
        <v>0.25</v>
      </c>
      <c r="G6233" s="48" t="n">
        <f aca="false">Assumptions!$D$102*G6171</f>
        <v>0.25</v>
      </c>
      <c r="H6233" s="48" t="n">
        <f aca="false">Assumptions!$D$102*H6171</f>
        <v>0.25</v>
      </c>
      <c r="I6233" s="48" t="n">
        <f aca="false">Assumptions!$D$102*I6171</f>
        <v>0.25</v>
      </c>
      <c r="J6233" s="48" t="n">
        <f aca="false">Assumptions!$D$102*J6171</f>
        <v>0.25</v>
      </c>
      <c r="K6233" s="48" t="n">
        <f aca="false">Assumptions!$D$102*K6171</f>
        <v>0.25</v>
      </c>
      <c r="L6233" s="48" t="n">
        <f aca="false">Assumptions!$D$102*L6171</f>
        <v>0.25</v>
      </c>
      <c r="M6233" s="48" t="n">
        <f aca="false">Assumptions!$D$102*M6171</f>
        <v>0.25</v>
      </c>
      <c r="N6233" s="48" t="n">
        <f aca="false">Assumptions!$D$102*N6171</f>
        <v>0.25</v>
      </c>
      <c r="P6233" s="49" t="n">
        <f aca="false">AVERAGE(C6233:F6233)</f>
        <v>0.25</v>
      </c>
      <c r="Q6233" s="49" t="n">
        <f aca="false">AVERAGE(G6233:J6233)</f>
        <v>0.25</v>
      </c>
      <c r="R6233" s="49" t="n">
        <f aca="false">AVERAGE(K6233:N6233)</f>
        <v>0.25</v>
      </c>
      <c r="S6233" s="50"/>
    </row>
    <row r="6234" customFormat="false" ht="15" hidden="false" customHeight="false" outlineLevel="0" collapsed="false">
      <c r="A6234" s="4" t="s">
        <v>553</v>
      </c>
      <c r="B6234" s="36" t="s">
        <v>321</v>
      </c>
      <c r="C6234" s="48" t="n">
        <f aca="false">(C6218+C6219)/Assumptions!$E$74+C6217/Assumptions!$E$75</f>
        <v>0</v>
      </c>
      <c r="D6234" s="48" t="n">
        <f aca="false">(D6218+D6219)/Assumptions!$E$74+D6217/Assumptions!$E$75</f>
        <v>0.0143176301374139</v>
      </c>
      <c r="E6234" s="48" t="n">
        <f aca="false">(E6218+E6219)/Assumptions!$E$74+E6217/Assumptions!$E$75</f>
        <v>0.0402499456767798</v>
      </c>
      <c r="F6234" s="48" t="n">
        <f aca="false">(F6218+F6219)/Assumptions!$E$74+F6217/Assumptions!$E$75</f>
        <v>0.069296156601371</v>
      </c>
      <c r="G6234" s="48" t="n">
        <f aca="false">(G6218+G6219)/Assumptions!$E$74+G6217/Assumptions!$E$75</f>
        <v>0.100475077199051</v>
      </c>
      <c r="H6234" s="48" t="n">
        <f aca="false">(H6218+H6219)/Assumptions!$E$74+H6217/Assumptions!$E$75</f>
        <v>0.139084643227244</v>
      </c>
      <c r="I6234" s="48" t="n">
        <f aca="false">(I6218+I6219)/Assumptions!$E$74+I6217/Assumptions!$E$75</f>
        <v>0.184756080005146</v>
      </c>
      <c r="J6234" s="48" t="n">
        <f aca="false">(J6218+J6219)/Assumptions!$E$74+J6217/Assumptions!$E$75</f>
        <v>0.248473880206466</v>
      </c>
      <c r="K6234" s="48" t="n">
        <f aca="false">(K6218+K6219)/Assumptions!$E$74+K6217/Assumptions!$E$75</f>
        <v>0.329218871456529</v>
      </c>
      <c r="L6234" s="48" t="n">
        <f aca="false">(L6218+L6219)/Assumptions!$E$74+L6217/Assumptions!$E$75</f>
        <v>0.409912468045788</v>
      </c>
      <c r="M6234" s="48" t="n">
        <f aca="false">(M6218+M6219)/Assumptions!$E$74+M6217/Assumptions!$E$75</f>
        <v>0.486094517455055</v>
      </c>
      <c r="N6234" s="48" t="n">
        <f aca="false">(N6218+N6219)/Assumptions!$E$74+N6217/Assumptions!$E$75</f>
        <v>0.557753573090085</v>
      </c>
      <c r="P6234" s="49" t="n">
        <f aca="false">AVERAGE(C6234:F6234)</f>
        <v>0.0309659331038912</v>
      </c>
      <c r="Q6234" s="49" t="n">
        <f aca="false">AVERAGE(G6234:J6234)</f>
        <v>0.168197420159477</v>
      </c>
      <c r="R6234" s="49" t="n">
        <f aca="false">AVERAGE(K6234:N6234)</f>
        <v>0.445744857511864</v>
      </c>
      <c r="S6234" s="50"/>
    </row>
    <row r="6235" customFormat="false" ht="15" hidden="false" customHeight="false" outlineLevel="0" collapsed="false">
      <c r="A6235" s="4" t="s">
        <v>554</v>
      </c>
      <c r="B6235" s="36" t="s">
        <v>125</v>
      </c>
      <c r="C6235" s="54" t="n">
        <f aca="false">(C6229+C6231)*Assumptions!$E$70/Assumptions!$E$69/4</f>
        <v>66753.5714285714</v>
      </c>
      <c r="D6235" s="54" t="n">
        <f aca="false">(D6229+D6231)*Assumptions!$E$70/Assumptions!$E$69/4</f>
        <v>66753.5714285714</v>
      </c>
      <c r="E6235" s="54" t="n">
        <f aca="false">(E6229+E6231)*Assumptions!$E$70/Assumptions!$E$69/4</f>
        <v>66753.5714285714</v>
      </c>
      <c r="F6235" s="54" t="n">
        <f aca="false">(F6229+F6231)*Assumptions!$E$70/Assumptions!$E$69/4</f>
        <v>66753.5714285714</v>
      </c>
      <c r="G6235" s="54" t="n">
        <f aca="false">(G6229+G6231)*Assumptions!$E$70/Assumptions!$E$69/4</f>
        <v>100130.357142857</v>
      </c>
      <c r="H6235" s="54" t="n">
        <f aca="false">(H6229+H6231)*Assumptions!$E$70/Assumptions!$E$69/4</f>
        <v>100130.357142857</v>
      </c>
      <c r="I6235" s="54" t="n">
        <f aca="false">(I6229+I6231)*Assumptions!$E$70/Assumptions!$E$69/4</f>
        <v>100130.357142857</v>
      </c>
      <c r="J6235" s="54" t="n">
        <f aca="false">(J6229+J6231)*Assumptions!$E$70/Assumptions!$E$69/4</f>
        <v>100130.357142857</v>
      </c>
      <c r="K6235" s="54" t="n">
        <f aca="false">(K6229+K6231)*Assumptions!$E$70/Assumptions!$E$69/4</f>
        <v>100130.357142857</v>
      </c>
      <c r="L6235" s="54" t="n">
        <f aca="false">(L6229+L6231)*Assumptions!$E$70/Assumptions!$E$69/4</f>
        <v>100130.357142857</v>
      </c>
      <c r="M6235" s="54" t="n">
        <f aca="false">(M6229+M6231)*Assumptions!$E$70/Assumptions!$E$69/4</f>
        <v>100130.357142857</v>
      </c>
      <c r="N6235" s="54" t="n">
        <f aca="false">(N6229+N6231)*Assumptions!$E$70/Assumptions!$E$69/4</f>
        <v>100130.357142857</v>
      </c>
      <c r="P6235" s="55" t="n">
        <f aca="false">SUM(C6235:F6235)</f>
        <v>267014.285714286</v>
      </c>
      <c r="Q6235" s="55" t="n">
        <f aca="false">SUM(G6235:J6235)</f>
        <v>400521.428571429</v>
      </c>
      <c r="R6235" s="55" t="n">
        <f aca="false">SUM(K6235:N6235)</f>
        <v>400521.428571429</v>
      </c>
      <c r="S6235" s="56" t="n">
        <f aca="false">SUM(P6235:R6235)</f>
        <v>1068057.14285714</v>
      </c>
    </row>
    <row r="6236" customFormat="false" ht="15" hidden="false" customHeight="false" outlineLevel="0" collapsed="false">
      <c r="A6236" s="4" t="s">
        <v>555</v>
      </c>
      <c r="B6236" s="36" t="s">
        <v>125</v>
      </c>
      <c r="C6236" s="54" t="n">
        <f aca="false">C6230*$C$6165/4</f>
        <v>0</v>
      </c>
      <c r="D6236" s="54" t="n">
        <f aca="false">D6230*$C$6165/4</f>
        <v>0</v>
      </c>
      <c r="E6236" s="54" t="n">
        <f aca="false">E6230*$C$6165/4</f>
        <v>0</v>
      </c>
      <c r="F6236" s="54" t="n">
        <f aca="false">F6230*$C$6165/4</f>
        <v>0</v>
      </c>
      <c r="G6236" s="54" t="n">
        <f aca="false">G6230*$C$6165/4</f>
        <v>0</v>
      </c>
      <c r="H6236" s="54" t="n">
        <f aca="false">H6230*$C$6165/4</f>
        <v>0</v>
      </c>
      <c r="I6236" s="54" t="n">
        <f aca="false">I6230*$C$6165/4</f>
        <v>0</v>
      </c>
      <c r="J6236" s="54" t="n">
        <f aca="false">J6230*$C$6165/4</f>
        <v>0</v>
      </c>
      <c r="K6236" s="54" t="n">
        <f aca="false">K6230*$C$6165/4</f>
        <v>0</v>
      </c>
      <c r="L6236" s="54" t="n">
        <f aca="false">L6230*$C$6165/4</f>
        <v>0</v>
      </c>
      <c r="M6236" s="54" t="n">
        <f aca="false">M6230*$C$6165/4</f>
        <v>0</v>
      </c>
      <c r="N6236" s="54" t="n">
        <f aca="false">N6230*$C$6165/4</f>
        <v>0</v>
      </c>
      <c r="P6236" s="55" t="n">
        <f aca="false">SUM(C6236:F6236)</f>
        <v>0</v>
      </c>
      <c r="Q6236" s="55" t="n">
        <f aca="false">SUM(G6236:J6236)</f>
        <v>0</v>
      </c>
      <c r="R6236" s="55" t="n">
        <f aca="false">SUM(K6236:N6236)</f>
        <v>0</v>
      </c>
      <c r="S6236" s="56" t="n">
        <f aca="false">SUM(P6236:R6236)</f>
        <v>0</v>
      </c>
    </row>
    <row r="6237" customFormat="false" ht="15" hidden="false" customHeight="false" outlineLevel="0" collapsed="false">
      <c r="A6237" s="4" t="s">
        <v>556</v>
      </c>
      <c r="B6237" s="36" t="s">
        <v>125</v>
      </c>
      <c r="C6237" s="54" t="n">
        <f aca="false">MAX(0,(C6225-C6206*$C$6161)-C6185*$C$6166)*$C$6167*Assumptions!$D$105</f>
        <v>0</v>
      </c>
      <c r="D6237" s="54" t="n">
        <f aca="false">MAX(0,(D6225-D6206*$C$6161)-D6185*$C$6166)*$C$6167*Assumptions!$D$105</f>
        <v>3491.72206180778</v>
      </c>
      <c r="E6237" s="54" t="n">
        <f aca="false">MAX(0,(E6225-E6206*$C$6161)-E6185*$C$6166)*$C$6167*Assumptions!$D$105</f>
        <v>8039.09651874593</v>
      </c>
      <c r="F6237" s="54" t="n">
        <f aca="false">MAX(0,(F6225-F6206*$C$6161)-F6185*$C$6166)*$C$6167*Assumptions!$D$105</f>
        <v>10124.750003461</v>
      </c>
      <c r="G6237" s="54" t="n">
        <f aca="false">MAX(0,(G6225-G6206*$C$6161)-G6185*$C$6166)*$C$6167*Assumptions!$D$105</f>
        <v>11120.4562644655</v>
      </c>
      <c r="H6237" s="54" t="n">
        <f aca="false">MAX(0,(H6225-H6206*$C$6161)-H6185*$C$6166)*$C$6167*Assumptions!$D$105</f>
        <v>13463.0357338943</v>
      </c>
      <c r="I6237" s="54" t="n">
        <f aca="false">MAX(0,(I6225-I6206*$C$6161)-I6185*$C$6166)*$C$6167*Assumptions!$D$105</f>
        <v>16072.2164343224</v>
      </c>
      <c r="J6237" s="54" t="n">
        <f aca="false">MAX(0,(J6225-J6206*$C$6161)-J6185*$C$6166)*$C$6167*Assumptions!$D$105</f>
        <v>21559.8957723031</v>
      </c>
      <c r="K6237" s="54" t="n">
        <f aca="false">MAX(0,(K6225-K6206*$C$6161)-K6185*$C$6166)*$C$6167*Assumptions!$D$105</f>
        <v>27808.6094682429</v>
      </c>
      <c r="L6237" s="54" t="n">
        <f aca="false">MAX(0,(L6225-L6206*$C$6161)-L6185*$C$6166)*$C$6167*Assumptions!$D$105</f>
        <v>29735.5837530454</v>
      </c>
      <c r="M6237" s="54" t="n">
        <f aca="false">MAX(0,(M6225-M6206*$C$6161)-M6185*$C$6166)*$C$6167*Assumptions!$D$105</f>
        <v>29201.3815340945</v>
      </c>
      <c r="N6237" s="54" t="n">
        <f aca="false">MAX(0,(N6225-N6206*$C$6161)-N6185*$C$6166)*$C$6167*Assumptions!$D$105</f>
        <v>28360.6706538674</v>
      </c>
      <c r="P6237" s="55" t="n">
        <f aca="false">SUM(C6237:F6237)</f>
        <v>21655.5685840147</v>
      </c>
      <c r="Q6237" s="55" t="n">
        <f aca="false">SUM(G6237:J6237)</f>
        <v>62215.6042049852</v>
      </c>
      <c r="R6237" s="55" t="n">
        <f aca="false">SUM(K6237:N6237)</f>
        <v>115106.24540925</v>
      </c>
      <c r="S6237" s="56" t="n">
        <f aca="false">SUM(P6237:R6237)</f>
        <v>198977.41819825</v>
      </c>
    </row>
    <row r="6238" customFormat="false" ht="15" hidden="false" customHeight="false" outlineLevel="0" collapsed="false">
      <c r="A6238" s="4" t="s">
        <v>557</v>
      </c>
      <c r="B6238" s="36" t="s">
        <v>125</v>
      </c>
      <c r="C6238" s="54" t="n">
        <f aca="false">C6233*Assumptions!$E$71/Assumptions!$E$69/4</f>
        <v>18475.8928571429</v>
      </c>
      <c r="D6238" s="54" t="n">
        <f aca="false">D6233*Assumptions!$E$71/Assumptions!$E$69/4</f>
        <v>18475.8928571429</v>
      </c>
      <c r="E6238" s="54" t="n">
        <f aca="false">E6233*Assumptions!$E$71/Assumptions!$E$69/4</f>
        <v>18475.8928571429</v>
      </c>
      <c r="F6238" s="54" t="n">
        <f aca="false">F6233*Assumptions!$E$71/Assumptions!$E$69/4</f>
        <v>18475.8928571429</v>
      </c>
      <c r="G6238" s="54" t="n">
        <f aca="false">G6233*Assumptions!$E$71/Assumptions!$E$69/4</f>
        <v>18475.8928571429</v>
      </c>
      <c r="H6238" s="54" t="n">
        <f aca="false">H6233*Assumptions!$E$71/Assumptions!$E$69/4</f>
        <v>18475.8928571429</v>
      </c>
      <c r="I6238" s="54" t="n">
        <f aca="false">I6233*Assumptions!$E$71/Assumptions!$E$69/4</f>
        <v>18475.8928571429</v>
      </c>
      <c r="J6238" s="54" t="n">
        <f aca="false">J6233*Assumptions!$E$71/Assumptions!$E$69/4</f>
        <v>18475.8928571429</v>
      </c>
      <c r="K6238" s="54" t="n">
        <f aca="false">K6233*Assumptions!$E$71/Assumptions!$E$69/4</f>
        <v>18475.8928571429</v>
      </c>
      <c r="L6238" s="54" t="n">
        <f aca="false">L6233*Assumptions!$E$71/Assumptions!$E$69/4</f>
        <v>18475.8928571429</v>
      </c>
      <c r="M6238" s="54" t="n">
        <f aca="false">M6233*Assumptions!$E$71/Assumptions!$E$69/4</f>
        <v>18475.8928571429</v>
      </c>
      <c r="N6238" s="54" t="n">
        <f aca="false">N6233*Assumptions!$E$71/Assumptions!$E$69/4</f>
        <v>18475.8928571429</v>
      </c>
      <c r="P6238" s="55" t="n">
        <f aca="false">SUM(C6238:F6238)</f>
        <v>73903.5714285714</v>
      </c>
      <c r="Q6238" s="55" t="n">
        <f aca="false">SUM(G6238:J6238)</f>
        <v>73903.5714285714</v>
      </c>
      <c r="R6238" s="55" t="n">
        <f aca="false">SUM(K6238:N6238)</f>
        <v>73903.5714285714</v>
      </c>
      <c r="S6238" s="56" t="n">
        <f aca="false">SUM(P6238:R6238)</f>
        <v>221710.714285714</v>
      </c>
    </row>
    <row r="6239" customFormat="false" ht="15" hidden="false" customHeight="false" outlineLevel="0" collapsed="false">
      <c r="A6239" s="4" t="s">
        <v>558</v>
      </c>
      <c r="B6239" s="36" t="s">
        <v>125</v>
      </c>
      <c r="C6239" s="54" t="n">
        <f aca="false">(Assumptions!$D$103+Assumptions!$E$77*((C6170=Assumptions!$E$13)+(C6170=Assumptions!$E$14)+(C6170=Assumptions!$E$15)))*C6171</f>
        <v>65000</v>
      </c>
      <c r="D6239" s="54" t="n">
        <f aca="false">(Assumptions!$D$103+Assumptions!$E$77*((D6170=Assumptions!$E$13)+(D6170=Assumptions!$E$14)+(D6170=Assumptions!$E$15)))*D6171</f>
        <v>25000</v>
      </c>
      <c r="E6239" s="54" t="n">
        <f aca="false">(Assumptions!$D$103+Assumptions!$E$77*((E6170=Assumptions!$E$13)+(E6170=Assumptions!$E$14)+(E6170=Assumptions!$E$15)))*E6171</f>
        <v>25000</v>
      </c>
      <c r="F6239" s="54" t="n">
        <f aca="false">(Assumptions!$D$103+Assumptions!$E$77*((F6170=Assumptions!$E$13)+(F6170=Assumptions!$E$14)+(F6170=Assumptions!$E$15)))*F6171</f>
        <v>25000</v>
      </c>
      <c r="G6239" s="54" t="n">
        <f aca="false">(Assumptions!$D$103+Assumptions!$E$77*((G6170=Assumptions!$E$13)+(G6170=Assumptions!$E$14)+(G6170=Assumptions!$E$15)))*G6171</f>
        <v>65000</v>
      </c>
      <c r="H6239" s="54" t="n">
        <f aca="false">(Assumptions!$D$103+Assumptions!$E$77*((H6170=Assumptions!$E$13)+(H6170=Assumptions!$E$14)+(H6170=Assumptions!$E$15)))*H6171</f>
        <v>25000</v>
      </c>
      <c r="I6239" s="54" t="n">
        <f aca="false">(Assumptions!$D$103+Assumptions!$E$77*((I6170=Assumptions!$E$13)+(I6170=Assumptions!$E$14)+(I6170=Assumptions!$E$15)))*I6171</f>
        <v>65000</v>
      </c>
      <c r="J6239" s="54" t="n">
        <f aca="false">(Assumptions!$D$103+Assumptions!$E$77*((J6170=Assumptions!$E$13)+(J6170=Assumptions!$E$14)+(J6170=Assumptions!$E$15)))*J6171</f>
        <v>25000</v>
      </c>
      <c r="K6239" s="54" t="n">
        <f aca="false">(Assumptions!$D$103+Assumptions!$E$77*((K6170=Assumptions!$E$13)+(K6170=Assumptions!$E$14)+(K6170=Assumptions!$E$15)))*K6171</f>
        <v>25000</v>
      </c>
      <c r="L6239" s="54" t="n">
        <f aca="false">(Assumptions!$D$103+Assumptions!$E$77*((L6170=Assumptions!$E$13)+(L6170=Assumptions!$E$14)+(L6170=Assumptions!$E$15)))*L6171</f>
        <v>25000</v>
      </c>
      <c r="M6239" s="54" t="n">
        <f aca="false">(Assumptions!$D$103+Assumptions!$E$77*((M6170=Assumptions!$E$13)+(M6170=Assumptions!$E$14)+(M6170=Assumptions!$E$15)))*M6171</f>
        <v>25000</v>
      </c>
      <c r="N6239" s="54" t="n">
        <f aca="false">(Assumptions!$D$103+Assumptions!$E$77*((N6170=Assumptions!$E$13)+(N6170=Assumptions!$E$14)+(N6170=Assumptions!$E$15)))*N6171</f>
        <v>25000</v>
      </c>
      <c r="P6239" s="55" t="n">
        <f aca="false">SUM(C6239:F6239)</f>
        <v>140000</v>
      </c>
      <c r="Q6239" s="55" t="n">
        <f aca="false">SUM(G6239:J6239)</f>
        <v>180000</v>
      </c>
      <c r="R6239" s="55" t="n">
        <f aca="false">SUM(K6239:N6239)</f>
        <v>100000</v>
      </c>
      <c r="S6239" s="56" t="n">
        <f aca="false">SUM(P6239:R6239)</f>
        <v>420000</v>
      </c>
    </row>
    <row r="6240" customFormat="false" ht="15" hidden="false" customHeight="false" outlineLevel="0" collapsed="false">
      <c r="A6240" s="4" t="s">
        <v>559</v>
      </c>
      <c r="B6240" s="36" t="s">
        <v>125</v>
      </c>
      <c r="C6240" s="54" t="n">
        <f aca="false">C6225*C6205*Assumptions!$E$79</f>
        <v>0</v>
      </c>
      <c r="D6240" s="54" t="n">
        <f aca="false">D6225*D6205*Assumptions!$E$79</f>
        <v>815.338873355417</v>
      </c>
      <c r="E6240" s="54" t="n">
        <f aca="false">E6225*E6205*Assumptions!$E$79</f>
        <v>1576.95453714349</v>
      </c>
      <c r="F6240" s="54" t="n">
        <f aca="false">F6225*F6205*Assumptions!$E$79</f>
        <v>2363.78759030579</v>
      </c>
      <c r="G6240" s="54" t="n">
        <f aca="false">G6225*G6205*Assumptions!$E$79</f>
        <v>2961.23316349717</v>
      </c>
      <c r="H6240" s="54" t="n">
        <f aca="false">H6225*H6205*Assumptions!$E$79</f>
        <v>3401.8566535345</v>
      </c>
      <c r="I6240" s="54" t="n">
        <f aca="false">I6225*I6205*Assumptions!$E$79</f>
        <v>3951.44098442022</v>
      </c>
      <c r="J6240" s="54" t="n">
        <f aca="false">J6225*J6205*Assumptions!$E$79</f>
        <v>4240.17604272452</v>
      </c>
      <c r="K6240" s="54" t="n">
        <f aca="false">K6225*K6205*Assumptions!$E$79</f>
        <v>4805.46240923336</v>
      </c>
      <c r="L6240" s="54" t="n">
        <f aca="false">L6225*L6205*Assumptions!$E$79</f>
        <v>5627.63185752923</v>
      </c>
      <c r="M6240" s="54" t="n">
        <f aca="false">M6225*M6205*Assumptions!$E$79</f>
        <v>5687.10015383768</v>
      </c>
      <c r="N6240" s="54" t="n">
        <f aca="false">N6225*N6205*Assumptions!$E$79</f>
        <v>5685.06198652904</v>
      </c>
      <c r="P6240" s="55" t="n">
        <f aca="false">SUM(C6240:F6240)</f>
        <v>4756.0810008047</v>
      </c>
      <c r="Q6240" s="55" t="n">
        <f aca="false">SUM(G6240:J6240)</f>
        <v>14554.7068441764</v>
      </c>
      <c r="R6240" s="55" t="n">
        <f aca="false">SUM(K6240:N6240)</f>
        <v>21805.2564071293</v>
      </c>
      <c r="S6240" s="56" t="n">
        <f aca="false">SUM(P6240:R6240)</f>
        <v>41116.0442521104</v>
      </c>
    </row>
    <row r="6241" customFormat="false" ht="15" hidden="false" customHeight="false" outlineLevel="0" collapsed="false">
      <c r="A6241" s="4" t="s">
        <v>560</v>
      </c>
      <c r="B6241" s="36" t="s">
        <v>125</v>
      </c>
      <c r="C6241" s="54" t="n">
        <f aca="false">C6190*Assumptions!$E$80</f>
        <v>4000</v>
      </c>
      <c r="D6241" s="54" t="n">
        <f aca="false">D6190*Assumptions!$E$80</f>
        <v>6000</v>
      </c>
      <c r="E6241" s="54" t="n">
        <f aca="false">E6190*Assumptions!$E$80</f>
        <v>8000</v>
      </c>
      <c r="F6241" s="54" t="n">
        <f aca="false">F6190*Assumptions!$E$80</f>
        <v>10000</v>
      </c>
      <c r="G6241" s="54" t="n">
        <f aca="false">G6190*Assumptions!$E$80</f>
        <v>12000</v>
      </c>
      <c r="H6241" s="54" t="n">
        <f aca="false">H6190*Assumptions!$E$80</f>
        <v>14000</v>
      </c>
      <c r="I6241" s="54" t="n">
        <f aca="false">I6190*Assumptions!$E$80</f>
        <v>16000</v>
      </c>
      <c r="J6241" s="54" t="n">
        <f aca="false">J6190*Assumptions!$E$80</f>
        <v>18000</v>
      </c>
      <c r="K6241" s="54" t="n">
        <f aca="false">K6190*Assumptions!$E$80</f>
        <v>20000</v>
      </c>
      <c r="L6241" s="54" t="n">
        <f aca="false">L6190*Assumptions!$E$80</f>
        <v>20000</v>
      </c>
      <c r="M6241" s="54" t="n">
        <f aca="false">M6190*Assumptions!$E$80</f>
        <v>20000</v>
      </c>
      <c r="N6241" s="54" t="n">
        <f aca="false">N6190*Assumptions!$E$80</f>
        <v>20000</v>
      </c>
      <c r="P6241" s="55" t="n">
        <f aca="false">SUM(C6241:F6241)</f>
        <v>28000</v>
      </c>
      <c r="Q6241" s="55" t="n">
        <f aca="false">SUM(G6241:J6241)</f>
        <v>60000</v>
      </c>
      <c r="R6241" s="55" t="n">
        <f aca="false">SUM(K6241:N6241)</f>
        <v>80000</v>
      </c>
      <c r="S6241" s="56" t="n">
        <f aca="false">SUM(P6241:R6241)</f>
        <v>168000</v>
      </c>
    </row>
    <row r="6242" customFormat="false" ht="15" hidden="false" customHeight="false" outlineLevel="0" collapsed="false">
      <c r="A6242" s="4" t="s">
        <v>561</v>
      </c>
      <c r="B6242" s="36" t="s">
        <v>125</v>
      </c>
      <c r="C6242" s="54" t="n">
        <f aca="false">(C6213*$C$6162+C6214*$C$6163)*Assumptions!$E$81</f>
        <v>0</v>
      </c>
      <c r="D6242" s="54" t="n">
        <f aca="false">(D6213*$C$6162+D6214*$C$6163)*Assumptions!$E$81</f>
        <v>635.937968364564</v>
      </c>
      <c r="E6242" s="54" t="n">
        <f aca="false">(E6213*$C$6162+E6214*$C$6163)*Assumptions!$E$81</f>
        <v>1750.54055351793</v>
      </c>
      <c r="F6242" s="54" t="n">
        <f aca="false">(F6213*$C$6162+F6214*$C$6163)*Assumptions!$E$81</f>
        <v>2334.90810210795</v>
      </c>
      <c r="G6242" s="54" t="n">
        <f aca="false">(G6213*$C$6162+G6214*$C$6163)*Assumptions!$E$81</f>
        <v>2567.01977128764</v>
      </c>
      <c r="H6242" s="54" t="n">
        <f aca="false">(H6213*$C$6162+H6214*$C$6163)*Assumptions!$E$81</f>
        <v>3030.96924471942</v>
      </c>
      <c r="I6242" s="54" t="n">
        <f aca="false">(I6213*$C$6162+I6214*$C$6163)*Assumptions!$E$81</f>
        <v>3599.72954781419</v>
      </c>
      <c r="J6242" s="54" t="n">
        <f aca="false">(J6213*$C$6162+J6214*$C$6163)*Assumptions!$E$81</f>
        <v>4611.5696968051</v>
      </c>
      <c r="K6242" s="54" t="n">
        <f aca="false">(K6213*$C$6162+K6214*$C$6163)*Assumptions!$E$81</f>
        <v>5939.56455642065</v>
      </c>
      <c r="L6242" s="54" t="n">
        <f aca="false">(L6213*$C$6162+L6214*$C$6163)*Assumptions!$E$81</f>
        <v>6537.87185823684</v>
      </c>
      <c r="M6242" s="54" t="n">
        <f aca="false">(M6213*$C$6162+M6214*$C$6163)*Assumptions!$E$81</f>
        <v>6455.63010570383</v>
      </c>
      <c r="N6242" s="54" t="n">
        <f aca="false">(N6213*$C$6162+N6214*$C$6163)*Assumptions!$E$81</f>
        <v>6268.61318404599</v>
      </c>
      <c r="P6242" s="55" t="n">
        <f aca="false">SUM(C6242:F6242)</f>
        <v>4721.38662399044</v>
      </c>
      <c r="Q6242" s="55" t="n">
        <f aca="false">SUM(G6242:J6242)</f>
        <v>13809.2882606264</v>
      </c>
      <c r="R6242" s="55" t="n">
        <f aca="false">SUM(K6242:N6242)</f>
        <v>25201.6797044073</v>
      </c>
      <c r="S6242" s="56" t="n">
        <f aca="false">SUM(P6242:R6242)</f>
        <v>43732.3545890241</v>
      </c>
    </row>
    <row r="6243" customFormat="false" ht="15" hidden="false" customHeight="false" outlineLevel="0" collapsed="false">
      <c r="A6243" s="9" t="s">
        <v>562</v>
      </c>
      <c r="B6243" s="36" t="s">
        <v>125</v>
      </c>
      <c r="C6243" s="55" t="n">
        <f aca="false">C6235+C6236+C6237+C6238+C6239+C6240+C6241+C6242</f>
        <v>154229.464285714</v>
      </c>
      <c r="D6243" s="55" t="n">
        <f aca="false">D6235+D6236+D6237+D6238+D6239+D6240+D6241+D6242</f>
        <v>121172.463189242</v>
      </c>
      <c r="E6243" s="55" t="n">
        <f aca="false">E6235+E6236+E6237+E6238+E6239+E6240+E6241+E6242</f>
        <v>129596.055895122</v>
      </c>
      <c r="F6243" s="55" t="n">
        <f aca="false">F6235+F6236+F6237+F6238+F6239+F6240+F6241+F6242</f>
        <v>135052.909981589</v>
      </c>
      <c r="G6243" s="55" t="n">
        <f aca="false">G6235+G6236+G6237+G6238+G6239+G6240+G6241+G6242</f>
        <v>212254.95919925</v>
      </c>
      <c r="H6243" s="55" t="n">
        <f aca="false">H6235+H6236+H6237+H6238+H6239+H6240+H6241+H6242</f>
        <v>177502.111632148</v>
      </c>
      <c r="I6243" s="55" t="n">
        <f aca="false">I6235+I6236+I6237+I6238+I6239+I6240+I6241+I6242</f>
        <v>223229.636966557</v>
      </c>
      <c r="J6243" s="55" t="n">
        <f aca="false">J6235+J6236+J6237+J6238+J6239+J6240+J6241+J6242</f>
        <v>192017.891511833</v>
      </c>
      <c r="K6243" s="55" t="n">
        <f aca="false">K6235+K6236+K6237+K6238+K6239+K6240+K6241+K6242</f>
        <v>202159.886433897</v>
      </c>
      <c r="L6243" s="55" t="n">
        <f aca="false">L6235+L6236+L6237+L6238+L6239+L6240+L6241+L6242</f>
        <v>205507.337468812</v>
      </c>
      <c r="M6243" s="55" t="n">
        <f aca="false">M6235+M6236+M6237+M6238+M6239+M6240+M6241+M6242</f>
        <v>204950.361793636</v>
      </c>
      <c r="N6243" s="55" t="n">
        <f aca="false">N6235+N6236+N6237+N6238+N6239+N6240+N6241+N6242</f>
        <v>203920.595824442</v>
      </c>
      <c r="P6243" s="55" t="n">
        <f aca="false">SUM(C6243:F6243)</f>
        <v>540050.893351667</v>
      </c>
      <c r="Q6243" s="55" t="n">
        <f aca="false">SUM(G6243:J6243)</f>
        <v>805004.599309788</v>
      </c>
      <c r="R6243" s="55" t="n">
        <f aca="false">SUM(K6243:N6243)</f>
        <v>816538.181520787</v>
      </c>
      <c r="S6243" s="56" t="n">
        <f aca="false">SUM(P6243:R6243)</f>
        <v>2161593.67418224</v>
      </c>
    </row>
    <row r="6244" customFormat="false" ht="15" hidden="false" customHeight="false" outlineLevel="0" collapsed="false">
      <c r="A6244" s="4" t="s">
        <v>563</v>
      </c>
      <c r="B6244" s="36" t="s">
        <v>125</v>
      </c>
      <c r="C6244" s="54" t="n">
        <f aca="false">C6232*Assumptions!$E$72/Assumptions!$E$69/4</f>
        <v>56535.7142857143</v>
      </c>
      <c r="D6244" s="54" t="n">
        <f aca="false">D6232*Assumptions!$E$72/Assumptions!$E$69/4</f>
        <v>56535.7142857143</v>
      </c>
      <c r="E6244" s="54" t="n">
        <f aca="false">E6232*Assumptions!$E$72/Assumptions!$E$69/4</f>
        <v>56535.7142857143</v>
      </c>
      <c r="F6244" s="54" t="n">
        <f aca="false">F6232*Assumptions!$E$72/Assumptions!$E$69/4</f>
        <v>56535.7142857143</v>
      </c>
      <c r="G6244" s="54" t="n">
        <f aca="false">G6232*Assumptions!$E$72/Assumptions!$E$69/4</f>
        <v>28267.8571428571</v>
      </c>
      <c r="H6244" s="54" t="n">
        <f aca="false">H6232*Assumptions!$E$72/Assumptions!$E$69/4</f>
        <v>28267.8571428571</v>
      </c>
      <c r="I6244" s="54" t="n">
        <f aca="false">I6232*Assumptions!$E$72/Assumptions!$E$69/4</f>
        <v>28267.8571428571</v>
      </c>
      <c r="J6244" s="54" t="n">
        <f aca="false">J6232*Assumptions!$E$72/Assumptions!$E$69/4</f>
        <v>28267.8571428571</v>
      </c>
      <c r="K6244" s="54" t="n">
        <f aca="false">K6232*Assumptions!$E$72/Assumptions!$E$69/4</f>
        <v>28267.8571428571</v>
      </c>
      <c r="L6244" s="54" t="n">
        <f aca="false">L6232*Assumptions!$E$72/Assumptions!$E$69/4</f>
        <v>28267.8571428571</v>
      </c>
      <c r="M6244" s="54" t="n">
        <f aca="false">M6232*Assumptions!$E$72/Assumptions!$E$69/4</f>
        <v>28267.8571428571</v>
      </c>
      <c r="N6244" s="54" t="n">
        <f aca="false">N6232*Assumptions!$E$72/Assumptions!$E$69/4</f>
        <v>28267.8571428571</v>
      </c>
      <c r="P6244" s="55" t="n">
        <f aca="false">SUM(C6244:F6244)</f>
        <v>226142.857142857</v>
      </c>
      <c r="Q6244" s="55" t="n">
        <f aca="false">SUM(G6244:J6244)</f>
        <v>113071.428571429</v>
      </c>
      <c r="R6244" s="55" t="n">
        <f aca="false">SUM(K6244:N6244)</f>
        <v>113071.428571429</v>
      </c>
      <c r="S6244" s="56" t="n">
        <f aca="false">SUM(P6244:R6244)</f>
        <v>452285.714285714</v>
      </c>
    </row>
    <row r="6245" customFormat="false" ht="15" hidden="false" customHeight="false" outlineLevel="0" collapsed="false">
      <c r="A6245" s="4" t="s">
        <v>564</v>
      </c>
      <c r="B6245" s="36" t="s">
        <v>125</v>
      </c>
      <c r="C6245" s="54" t="n">
        <f aca="false">IF(C6170&lt;=Assumptions!$E$83,Assumptions!$E$82*Assumptions!$D$108/Assumptions!$E$83,0)</f>
        <v>62500</v>
      </c>
      <c r="D6245" s="54" t="n">
        <f aca="false">IF(D6170&lt;=Assumptions!$E$83,Assumptions!$E$82*Assumptions!$D$108/Assumptions!$E$83,0)</f>
        <v>62500</v>
      </c>
      <c r="E6245" s="54" t="n">
        <f aca="false">IF(E6170&lt;=Assumptions!$E$83,Assumptions!$E$82*Assumptions!$D$108/Assumptions!$E$83,0)</f>
        <v>62500</v>
      </c>
      <c r="F6245" s="54" t="n">
        <f aca="false">IF(F6170&lt;=Assumptions!$E$83,Assumptions!$E$82*Assumptions!$D$108/Assumptions!$E$83,0)</f>
        <v>62500</v>
      </c>
      <c r="G6245" s="54" t="n">
        <f aca="false">IF(G6170&lt;=Assumptions!$E$83,Assumptions!$E$82*Assumptions!$D$108/Assumptions!$E$83,0)</f>
        <v>0</v>
      </c>
      <c r="H6245" s="54" t="n">
        <f aca="false">IF(H6170&lt;=Assumptions!$E$83,Assumptions!$E$82*Assumptions!$D$108/Assumptions!$E$83,0)</f>
        <v>0</v>
      </c>
      <c r="I6245" s="54" t="n">
        <f aca="false">IF(I6170&lt;=Assumptions!$E$83,Assumptions!$E$82*Assumptions!$D$108/Assumptions!$E$83,0)</f>
        <v>0</v>
      </c>
      <c r="J6245" s="54" t="n">
        <f aca="false">IF(J6170&lt;=Assumptions!$E$83,Assumptions!$E$82*Assumptions!$D$108/Assumptions!$E$83,0)</f>
        <v>0</v>
      </c>
      <c r="K6245" s="54" t="n">
        <f aca="false">IF(K6170&lt;=Assumptions!$E$83,Assumptions!$E$82*Assumptions!$D$108/Assumptions!$E$83,0)</f>
        <v>0</v>
      </c>
      <c r="L6245" s="54" t="n">
        <f aca="false">IF(L6170&lt;=Assumptions!$E$83,Assumptions!$E$82*Assumptions!$D$108/Assumptions!$E$83,0)</f>
        <v>0</v>
      </c>
      <c r="M6245" s="54" t="n">
        <f aca="false">IF(M6170&lt;=Assumptions!$E$83,Assumptions!$E$82*Assumptions!$D$108/Assumptions!$E$83,0)</f>
        <v>0</v>
      </c>
      <c r="N6245" s="54" t="n">
        <f aca="false">IF(N6170&lt;=Assumptions!$E$83,Assumptions!$E$82*Assumptions!$D$108/Assumptions!$E$83,0)</f>
        <v>0</v>
      </c>
      <c r="P6245" s="55" t="n">
        <f aca="false">SUM(C6245:F6245)</f>
        <v>250000</v>
      </c>
      <c r="Q6245" s="55" t="n">
        <f aca="false">SUM(G6245:J6245)</f>
        <v>0</v>
      </c>
      <c r="R6245" s="55" t="n">
        <f aca="false">SUM(K6245:N6245)</f>
        <v>0</v>
      </c>
      <c r="S6245" s="56" t="n">
        <f aca="false">SUM(P6245:R6245)</f>
        <v>250000</v>
      </c>
    </row>
    <row r="6246" customFormat="false" ht="15" hidden="false" customHeight="false" outlineLevel="0" collapsed="false">
      <c r="A6246" s="4" t="s">
        <v>565</v>
      </c>
      <c r="B6246" s="36" t="s">
        <v>125</v>
      </c>
      <c r="C6246" s="54" t="n">
        <f aca="false">C6234*Assumptions!$E$73/Assumptions!$E$69/4</f>
        <v>0</v>
      </c>
      <c r="D6246" s="54" t="n">
        <f aca="false">D6234*Assumptions!$E$73/Assumptions!$E$69/4</f>
        <v>575.3130595573</v>
      </c>
      <c r="E6246" s="54" t="n">
        <f aca="false">E6234*Assumptions!$E$73/Assumptions!$E$69/4</f>
        <v>1617.32906717661</v>
      </c>
      <c r="F6246" s="54" t="n">
        <f aca="false">F6234*Assumptions!$E$73/Assumptions!$E$69/4</f>
        <v>2784.46806400723</v>
      </c>
      <c r="G6246" s="54" t="n">
        <f aca="false">G6234*Assumptions!$E$73/Assumptions!$E$69/4</f>
        <v>4037.30390559473</v>
      </c>
      <c r="H6246" s="54" t="n">
        <f aca="false">H6234*Assumptions!$E$73/Assumptions!$E$69/4</f>
        <v>5588.71900339185</v>
      </c>
      <c r="I6246" s="54" t="n">
        <f aca="false">I6234*Assumptions!$E$73/Assumptions!$E$69/4</f>
        <v>7423.89520049251</v>
      </c>
      <c r="J6246" s="54" t="n">
        <f aca="false">J6234*Assumptions!$E$73/Assumptions!$E$69/4</f>
        <v>9984.21295072483</v>
      </c>
      <c r="K6246" s="54" t="n">
        <f aca="false">K6234*Assumptions!$E$73/Assumptions!$E$69/4</f>
        <v>13228.7197241336</v>
      </c>
      <c r="L6246" s="54" t="n">
        <f aca="false">L6234*Assumptions!$E$73/Assumptions!$E$69/4</f>
        <v>16471.1613499398</v>
      </c>
      <c r="M6246" s="54" t="n">
        <f aca="false">M6234*Assumptions!$E$73/Assumptions!$E$69/4</f>
        <v>19532.3193424529</v>
      </c>
      <c r="N6246" s="54" t="n">
        <f aca="false">N6234*Assumptions!$E$73/Assumptions!$E$69/4</f>
        <v>22411.7337529877</v>
      </c>
      <c r="P6246" s="55" t="n">
        <f aca="false">SUM(C6246:F6246)</f>
        <v>4977.11019074114</v>
      </c>
      <c r="Q6246" s="55" t="n">
        <f aca="false">SUM(G6246:J6246)</f>
        <v>27034.1310602039</v>
      </c>
      <c r="R6246" s="55" t="n">
        <f aca="false">SUM(K6246:N6246)</f>
        <v>71643.934169514</v>
      </c>
      <c r="S6246" s="56" t="n">
        <f aca="false">SUM(P6246:R6246)</f>
        <v>103655.175420459</v>
      </c>
    </row>
    <row r="6247" customFormat="false" ht="15" hidden="false" customHeight="false" outlineLevel="0" collapsed="false">
      <c r="A6247" s="9" t="s">
        <v>566</v>
      </c>
      <c r="B6247" s="36" t="s">
        <v>125</v>
      </c>
      <c r="C6247" s="55" t="n">
        <f aca="false">C6243+C6244+C6245+C6246</f>
        <v>273265.178571429</v>
      </c>
      <c r="D6247" s="55" t="n">
        <f aca="false">D6243+D6244+D6245+D6246</f>
        <v>240783.490534514</v>
      </c>
      <c r="E6247" s="55" t="n">
        <f aca="false">E6243+E6244+E6245+E6246</f>
        <v>250249.099248013</v>
      </c>
      <c r="F6247" s="55" t="n">
        <f aca="false">F6243+F6244+F6245+F6246</f>
        <v>256873.092331311</v>
      </c>
      <c r="G6247" s="55" t="n">
        <f aca="false">G6243+G6244+G6245+G6246</f>
        <v>244560.120247702</v>
      </c>
      <c r="H6247" s="55" t="n">
        <f aca="false">H6243+H6244+H6245+H6246</f>
        <v>211358.687778397</v>
      </c>
      <c r="I6247" s="55" t="n">
        <f aca="false">I6243+I6244+I6245+I6246</f>
        <v>258921.389309906</v>
      </c>
      <c r="J6247" s="55" t="n">
        <f aca="false">J6243+J6244+J6245+J6246</f>
        <v>230269.961605415</v>
      </c>
      <c r="K6247" s="55" t="n">
        <f aca="false">K6243+K6244+K6245+K6246</f>
        <v>243656.463300888</v>
      </c>
      <c r="L6247" s="55" t="n">
        <f aca="false">L6243+L6244+L6245+L6246</f>
        <v>250246.355961609</v>
      </c>
      <c r="M6247" s="55" t="n">
        <f aca="false">M6243+M6244+M6245+M6246</f>
        <v>252750.538278946</v>
      </c>
      <c r="N6247" s="55" t="n">
        <f aca="false">N6243+N6244+N6245+N6246</f>
        <v>254600.186720287</v>
      </c>
      <c r="P6247" s="55" t="n">
        <f aca="false">SUM(C6247:F6247)</f>
        <v>1021170.86068527</v>
      </c>
      <c r="Q6247" s="55" t="n">
        <f aca="false">SUM(G6247:J6247)</f>
        <v>945110.158941421</v>
      </c>
      <c r="R6247" s="55" t="n">
        <f aca="false">SUM(K6247:N6247)</f>
        <v>1001253.54426173</v>
      </c>
      <c r="S6247" s="56" t="n">
        <f aca="false">SUM(P6247:R6247)</f>
        <v>2967534.56388842</v>
      </c>
    </row>
    <row r="6248" customFormat="false" ht="15" hidden="false" customHeight="false" outlineLevel="0" collapsed="false">
      <c r="A6248" s="35" t="s">
        <v>567</v>
      </c>
      <c r="B6248" s="35" t="s">
        <v>444</v>
      </c>
      <c r="C6248" s="6" t="s">
        <v>354</v>
      </c>
      <c r="D6248" s="6" t="s">
        <v>355</v>
      </c>
      <c r="E6248" s="6" t="s">
        <v>356</v>
      </c>
      <c r="F6248" s="6" t="s">
        <v>357</v>
      </c>
      <c r="G6248" s="6" t="s">
        <v>358</v>
      </c>
      <c r="H6248" s="6" t="s">
        <v>359</v>
      </c>
      <c r="I6248" s="6" t="s">
        <v>360</v>
      </c>
      <c r="J6248" s="6" t="s">
        <v>361</v>
      </c>
      <c r="K6248" s="6" t="s">
        <v>362</v>
      </c>
      <c r="L6248" s="6" t="s">
        <v>363</v>
      </c>
      <c r="M6248" s="6" t="s">
        <v>364</v>
      </c>
      <c r="N6248" s="6" t="s">
        <v>365</v>
      </c>
      <c r="P6248" s="6" t="s">
        <v>445</v>
      </c>
      <c r="Q6248" s="6" t="s">
        <v>446</v>
      </c>
      <c r="R6248" s="6" t="s">
        <v>447</v>
      </c>
      <c r="S6248" s="6" t="s">
        <v>448</v>
      </c>
    </row>
    <row r="6249" customFormat="false" ht="15" hidden="false" customHeight="false" outlineLevel="0" collapsed="false">
      <c r="A6249" s="9" t="s">
        <v>568</v>
      </c>
      <c r="B6249" s="36" t="s">
        <v>125</v>
      </c>
      <c r="C6249" s="55" t="n">
        <f aca="false">C6227-C6247</f>
        <v>-273265.178571429</v>
      </c>
      <c r="D6249" s="55" t="n">
        <f aca="false">D6227-D6247</f>
        <v>-240062.280337795</v>
      </c>
      <c r="E6249" s="55" t="n">
        <f aca="false">E6227-E6247</f>
        <v>-247222.20851746</v>
      </c>
      <c r="F6249" s="55" t="n">
        <f aca="false">F6227-F6247</f>
        <v>-250305.685336368</v>
      </c>
      <c r="G6249" s="55" t="n">
        <f aca="false">G6227-G6247</f>
        <v>-233896.69132749</v>
      </c>
      <c r="H6249" s="55" t="n">
        <f aca="false">H6227-H6247</f>
        <v>-195950.594129312</v>
      </c>
      <c r="I6249" s="55" t="n">
        <f aca="false">I6227-I6247</f>
        <v>-237801.524368937</v>
      </c>
      <c r="J6249" s="55" t="n">
        <f aca="false">J6227-J6247</f>
        <v>-201823.159264834</v>
      </c>
      <c r="K6249" s="55" t="n">
        <f aca="false">K6227-K6247</f>
        <v>-205553.14239069</v>
      </c>
      <c r="L6249" s="55" t="n">
        <f aca="false">L6227-L6247</f>
        <v>-200966.735451302</v>
      </c>
      <c r="M6249" s="55" t="n">
        <f aca="false">M6227-M6247</f>
        <v>-192138.504731565</v>
      </c>
      <c r="N6249" s="55" t="n">
        <f aca="false">N6227-N6247</f>
        <v>-182998.319951164</v>
      </c>
      <c r="P6249" s="55" t="n">
        <f aca="false">SUM(C6249:F6249)</f>
        <v>-1010855.35276305</v>
      </c>
      <c r="Q6249" s="55" t="n">
        <f aca="false">SUM(G6249:J6249)</f>
        <v>-869471.969090573</v>
      </c>
      <c r="R6249" s="55" t="n">
        <f aca="false">SUM(K6249:N6249)</f>
        <v>-781656.702524721</v>
      </c>
      <c r="S6249" s="56" t="n">
        <f aca="false">SUM(P6249:R6249)</f>
        <v>-2661984.02437835</v>
      </c>
    </row>
    <row r="6250" customFormat="false" ht="15" hidden="false" customHeight="false" outlineLevel="0" collapsed="false">
      <c r="A6250" s="9" t="s">
        <v>569</v>
      </c>
      <c r="B6250" s="36" t="s">
        <v>125</v>
      </c>
      <c r="C6250" s="55" t="n">
        <f aca="false">0+C6249</f>
        <v>-273265.178571429</v>
      </c>
      <c r="D6250" s="55" t="n">
        <f aca="false">C6250+D6249</f>
        <v>-513327.458909223</v>
      </c>
      <c r="E6250" s="55" t="n">
        <f aca="false">D6250+E6249</f>
        <v>-760549.667426683</v>
      </c>
      <c r="F6250" s="55" t="n">
        <f aca="false">E6250+F6249</f>
        <v>-1010855.35276305</v>
      </c>
      <c r="G6250" s="55" t="n">
        <f aca="false">F6250+G6249</f>
        <v>-1244752.04409054</v>
      </c>
      <c r="H6250" s="55" t="n">
        <f aca="false">G6250+H6249</f>
        <v>-1440702.63821985</v>
      </c>
      <c r="I6250" s="55" t="n">
        <f aca="false">H6250+I6249</f>
        <v>-1678504.16258879</v>
      </c>
      <c r="J6250" s="55" t="n">
        <f aca="false">I6250+J6249</f>
        <v>-1880327.32185362</v>
      </c>
      <c r="K6250" s="55" t="n">
        <f aca="false">J6250+K6249</f>
        <v>-2085880.46424431</v>
      </c>
      <c r="L6250" s="55" t="n">
        <f aca="false">K6250+L6249</f>
        <v>-2286847.19969562</v>
      </c>
      <c r="M6250" s="55" t="n">
        <f aca="false">L6250+M6249</f>
        <v>-2478985.70442718</v>
      </c>
      <c r="N6250" s="55" t="n">
        <f aca="false">M6250+N6249</f>
        <v>-2661984.02437835</v>
      </c>
      <c r="P6250" s="55" t="n">
        <f aca="false">F6250</f>
        <v>-1010855.35276305</v>
      </c>
      <c r="Q6250" s="55" t="n">
        <f aca="false">J6250</f>
        <v>-1880327.32185362</v>
      </c>
      <c r="R6250" s="55" t="n">
        <f aca="false">N6250</f>
        <v>-2661984.02437835</v>
      </c>
      <c r="S6250" s="56" t="n">
        <f aca="false">R6250</f>
        <v>-2661984.02437835</v>
      </c>
    </row>
    <row r="6251" customFormat="false" ht="15" hidden="false" customHeight="false" outlineLevel="0" collapsed="false">
      <c r="A6251" s="4" t="s">
        <v>570</v>
      </c>
      <c r="B6251" s="36" t="s">
        <v>107</v>
      </c>
      <c r="C6251" s="57" t="n">
        <f aca="false">1/(1+Assumptions!$E$87)^(C6170/4)</f>
        <v>0.972065420906982</v>
      </c>
      <c r="D6251" s="57" t="n">
        <f aca="false">1/(1+Assumptions!$E$87)^(D6170/4)</f>
        <v>0.944911182523068</v>
      </c>
      <c r="E6251" s="57" t="n">
        <f aca="false">1/(1+Assumptions!$E$87)^(E6170/4)</f>
        <v>0.918515486359</v>
      </c>
      <c r="F6251" s="57" t="n">
        <f aca="false">1/(1+Assumptions!$E$87)^(F6170/4)</f>
        <v>0.892857142857143</v>
      </c>
      <c r="G6251" s="57" t="n">
        <f aca="false">1/(1+Assumptions!$E$87)^(G6170/4)</f>
        <v>0.867915554381234</v>
      </c>
      <c r="H6251" s="57" t="n">
        <f aca="false">1/(1+Assumptions!$E$87)^(H6170/4)</f>
        <v>0.843670698681311</v>
      </c>
      <c r="I6251" s="57" t="n">
        <f aca="false">1/(1+Assumptions!$E$87)^(I6170/4)</f>
        <v>0.820103112820536</v>
      </c>
      <c r="J6251" s="57" t="n">
        <f aca="false">1/(1+Assumptions!$E$87)^(J6170/4)</f>
        <v>0.79719387755102</v>
      </c>
      <c r="K6251" s="57" t="n">
        <f aca="false">1/(1+Assumptions!$E$87)^(K6170/4)</f>
        <v>0.774924602126102</v>
      </c>
      <c r="L6251" s="57" t="n">
        <f aca="false">1/(1+Assumptions!$E$87)^(L6170/4)</f>
        <v>0.753277409536885</v>
      </c>
      <c r="M6251" s="57" t="n">
        <f aca="false">1/(1+Assumptions!$E$87)^(M6170/4)</f>
        <v>0.732234922161193</v>
      </c>
      <c r="N6251" s="57" t="n">
        <f aca="false">1/(1+Assumptions!$E$87)^(N6170/4)</f>
        <v>0.711780247813411</v>
      </c>
      <c r="P6251" s="58"/>
      <c r="Q6251" s="58"/>
      <c r="R6251" s="58"/>
      <c r="S6251" s="59"/>
    </row>
    <row r="6252" customFormat="false" ht="15" hidden="false" customHeight="false" outlineLevel="0" collapsed="false">
      <c r="A6252" s="4" t="s">
        <v>571</v>
      </c>
      <c r="B6252" s="36" t="s">
        <v>125</v>
      </c>
      <c r="C6252" s="54" t="n">
        <f aca="false">(C6227*(1-Assumptions!$E$88)-C6247)*C6251</f>
        <v>-265631.630827257</v>
      </c>
      <c r="D6252" s="54" t="n">
        <f aca="false">(D6227*(1-Assumptions!$E$88)-D6247)*D6251</f>
        <v>-226973.829109136</v>
      </c>
      <c r="E6252" s="54" t="n">
        <f aca="false">(E6227*(1-Assumptions!$E$88)-E6247)*E6251</f>
        <v>-227633.476297466</v>
      </c>
      <c r="F6252" s="54" t="n">
        <f aca="false">(F6227*(1-Assumptions!$E$88)-F6247)*F6251</f>
        <v>-224659.970299426</v>
      </c>
      <c r="G6252" s="54" t="n">
        <f aca="false">(G6227*(1-Assumptions!$E$88)-G6247)*G6251</f>
        <v>-204853.567686013</v>
      </c>
      <c r="H6252" s="54" t="n">
        <f aca="false">(H6227*(1-Assumptions!$E$88)-H6247)*H6251</f>
        <v>-167917.646082949</v>
      </c>
      <c r="I6252" s="54" t="n">
        <f aca="false">(I6227*(1-Assumptions!$E$88)-I6247)*I6251</f>
        <v>-198485.863764521</v>
      </c>
      <c r="J6252" s="54" t="n">
        <f aca="false">(J6227*(1-Assumptions!$E$88)-J6247)*J6251</f>
        <v>-165427.710246293</v>
      </c>
      <c r="K6252" s="54" t="n">
        <f aca="false">(K6227*(1-Assumptions!$E$88)-K6247)*K6251</f>
        <v>-165193.627242079</v>
      </c>
      <c r="L6252" s="54" t="n">
        <f aca="false">(L6227*(1-Assumptions!$E$88)-L6247)*L6251</f>
        <v>-158807.946860034</v>
      </c>
      <c r="M6252" s="54" t="n">
        <f aca="false">(M6227*(1-Assumptions!$E$88)-M6247)*M6251</f>
        <v>-149566.972589605</v>
      </c>
      <c r="N6252" s="54" t="n">
        <f aca="false">(N6227*(1-Assumptions!$E$88)-N6247)*N6251</f>
        <v>-140447.548418843</v>
      </c>
      <c r="P6252" s="55" t="n">
        <f aca="false">SUM(C6252:F6252)</f>
        <v>-944898.906533285</v>
      </c>
      <c r="Q6252" s="55" t="n">
        <f aca="false">SUM(G6252:J6252)</f>
        <v>-736684.787779776</v>
      </c>
      <c r="R6252" s="55" t="n">
        <f aca="false">SUM(K6252:N6252)</f>
        <v>-614016.095110562</v>
      </c>
      <c r="S6252" s="56" t="n">
        <f aca="false">SUM(P6252:R6252)</f>
        <v>-2295599.78942362</v>
      </c>
    </row>
    <row r="6253" customFormat="false" ht="15" hidden="false" customHeight="false" outlineLevel="0" collapsed="false">
      <c r="A6253" s="4" t="s">
        <v>572</v>
      </c>
      <c r="B6253" s="36" t="s">
        <v>125</v>
      </c>
      <c r="C6253" s="54" t="n">
        <f aca="false">(C6247-C6246)*12/(Assumptions!$E$89*Assumptions!$E$76)*Assumptions!$E$90</f>
        <v>189183.585164835</v>
      </c>
      <c r="D6253" s="54" t="n">
        <f aca="false">(D6247-D6246)*12/(Assumptions!$E$89*Assumptions!$E$76)*Assumptions!$E$90</f>
        <v>166297.969021124</v>
      </c>
      <c r="E6253" s="54" t="n">
        <f aca="false">(E6247-E6246)*12/(Assumptions!$E$89*Assumptions!$E$76)*Assumptions!$E$90</f>
        <v>172129.687048271</v>
      </c>
      <c r="F6253" s="54" t="n">
        <f aca="false">(F6247-F6246)*12/(Assumptions!$E$89*Assumptions!$E$76)*Assumptions!$E$90</f>
        <v>175907.509108133</v>
      </c>
      <c r="G6253" s="54" t="n">
        <f aca="false">(G6247-G6246)*12/(Assumptions!$E$89*Assumptions!$E$76)*Assumptions!$E$90</f>
        <v>166515.795929151</v>
      </c>
      <c r="H6253" s="54" t="n">
        <f aca="false">(H6247-H6246)*12/(Assumptions!$E$89*Assumptions!$E$76)*Assumptions!$E$90</f>
        <v>142456.13222885</v>
      </c>
      <c r="I6253" s="54" t="n">
        <f aca="false">(I6247-I6246)*12/(Assumptions!$E$89*Assumptions!$E$76)*Assumptions!$E$90</f>
        <v>174113.649768056</v>
      </c>
      <c r="J6253" s="54" t="n">
        <f aca="false">(J6247-J6246)*12/(Assumptions!$E$89*Assumptions!$E$76)*Assumptions!$E$90</f>
        <v>152505.518299401</v>
      </c>
      <c r="K6253" s="54" t="n">
        <f aca="false">(K6247-K6246)*12/(Assumptions!$E$89*Assumptions!$E$76)*Assumptions!$E$90</f>
        <v>159526.899399291</v>
      </c>
      <c r="L6253" s="54" t="n">
        <f aca="false">(L6247-L6246)*12/(Assumptions!$E$89*Assumptions!$E$76)*Assumptions!$E$90</f>
        <v>161844.365500386</v>
      </c>
      <c r="M6253" s="54" t="n">
        <f aca="false">(M6247-M6246)*12/(Assumptions!$E$89*Assumptions!$E$76)*Assumptions!$E$90</f>
        <v>161458.766956034</v>
      </c>
      <c r="N6253" s="54" t="n">
        <f aca="false">(N6247-N6246)*12/(Assumptions!$E$89*Assumptions!$E$76)*Assumptions!$E$90</f>
        <v>160745.852054284</v>
      </c>
      <c r="P6253" s="55" t="n">
        <f aca="false">SUM(C6253:F6253)</f>
        <v>703518.750342363</v>
      </c>
      <c r="Q6253" s="55" t="n">
        <f aca="false">SUM(G6253:J6253)</f>
        <v>635591.096225458</v>
      </c>
      <c r="R6253" s="55" t="n">
        <f aca="false">SUM(K6253:N6253)</f>
        <v>643575.883909995</v>
      </c>
      <c r="S6253" s="56" t="n">
        <f aca="false">SUM(P6253:R6253)</f>
        <v>1982685.73047782</v>
      </c>
    </row>
    <row r="6254" customFormat="false" ht="15" hidden="false" customHeight="false" outlineLevel="0" collapsed="false">
      <c r="A6254" s="4" t="s">
        <v>573</v>
      </c>
      <c r="B6254" s="36" t="s">
        <v>125</v>
      </c>
      <c r="C6254" s="54" t="n">
        <f aca="false">0*Assumptions!$E$92^(1/4)+C6253</f>
        <v>189183.585164835</v>
      </c>
      <c r="D6254" s="54" t="n">
        <f aca="false">C6254*Assumptions!$E$92^(1/4)+D6253</f>
        <v>355952.749828138</v>
      </c>
      <c r="E6254" s="54" t="n">
        <f aca="false">D6254*Assumptions!$E$92^(1/4)+E6253</f>
        <v>528969.001027282</v>
      </c>
      <c r="F6254" s="54" t="n">
        <f aca="false">E6254*Assumptions!$E$92^(1/4)+F6253</f>
        <v>706194.00228419</v>
      </c>
      <c r="G6254" s="54" t="n">
        <f aca="false">F6254*Assumptions!$E$92^(1/4)+G6253</f>
        <v>874468.701006729</v>
      </c>
      <c r="H6254" s="54" t="n">
        <f aca="false">G6254*Assumptions!$E$92^(1/4)+H6253</f>
        <v>1019102.8543402</v>
      </c>
      <c r="I6254" s="54" t="n">
        <f aca="false">H6254*Assumptions!$E$92^(1/4)+I6253</f>
        <v>1195754.76250672</v>
      </c>
      <c r="J6254" s="54" t="n">
        <f aca="false">I6254*Assumptions!$E$92^(1/4)+J6253</f>
        <v>1351238.5224581</v>
      </c>
      <c r="K6254" s="54" t="n">
        <f aca="false">J6254*Assumptions!$E$92^(1/4)+K6253</f>
        <v>1514130.92369399</v>
      </c>
      <c r="L6254" s="54" t="n">
        <f aca="false">K6254*Assumptions!$E$92^(1/4)+L6253</f>
        <v>1679746.5037652</v>
      </c>
      <c r="M6254" s="54" t="n">
        <f aca="false">L6254*Assumptions!$E$92^(1/4)+M6253</f>
        <v>1845388.98059146</v>
      </c>
      <c r="N6254" s="54" t="n">
        <f aca="false">M6254*Assumptions!$E$92^(1/4)+N6253</f>
        <v>2010731.10480658</v>
      </c>
      <c r="P6254" s="55" t="n">
        <f aca="false">F6254</f>
        <v>706194.00228419</v>
      </c>
      <c r="Q6254" s="55" t="n">
        <f aca="false">J6254</f>
        <v>1351238.5224581</v>
      </c>
      <c r="R6254" s="55" t="n">
        <f aca="false">N6254</f>
        <v>2010731.10480658</v>
      </c>
      <c r="S6254" s="56" t="n">
        <f aca="false">R6254</f>
        <v>2010731.10480658</v>
      </c>
    </row>
    <row r="6255" customFormat="false" ht="15" hidden="false" customHeight="false" outlineLevel="0" collapsed="false">
      <c r="A6255" s="4" t="s">
        <v>574</v>
      </c>
      <c r="B6255" s="36" t="s">
        <v>125</v>
      </c>
      <c r="C6255" s="54" t="n">
        <f aca="false">(0+C6254)/8*Assumptions!$E$76-(C6247-C6246)-C6254*Assumptions!$E$93/4</f>
        <v>-260258.807091346</v>
      </c>
      <c r="D6255" s="54" t="n">
        <f aca="false">(C6254+D6254)/8*Assumptions!$E$76-(D6247-D6246)-D6254*Assumptions!$E$93/4</f>
        <v>-200365.259629629</v>
      </c>
      <c r="E6255" s="54" t="n">
        <f aca="false">(D6254+E6254)/8*Assumptions!$E$76-(E6247-E6246)-E6254*Assumptions!$E$93/4</f>
        <v>-183343.990436674</v>
      </c>
      <c r="F6255" s="54" t="n">
        <f aca="false">(E6254+F6254)/8*Assumptions!$E$76-(F6247-F6246)-F6254*Assumptions!$E$93/4</f>
        <v>-162559.055276799</v>
      </c>
      <c r="G6255" s="54" t="n">
        <f aca="false">(F6254+G6254)/8*Assumptions!$E$76-(G6247-G6246)-G6254*Assumptions!$E$93/4</f>
        <v>-123024.830462304</v>
      </c>
      <c r="H6255" s="54" t="n">
        <f aca="false">(G6254+H6254)/8*Assumptions!$E$76-(H6247-H6246)-H6254*Assumptions!$E$93/4</f>
        <v>-64656.0655823201</v>
      </c>
      <c r="I6255" s="54" t="n">
        <f aca="false">(H6254+I6254)/8*Assumptions!$E$76-(I6247-I6246)-I6254*Assumptions!$E$93/4</f>
        <v>-86487.2472719356</v>
      </c>
      <c r="J6255" s="54" t="n">
        <f aca="false">(I6254+J6254)/8*Assumptions!$E$76-(J6247-J6246)-J6254*Assumptions!$E$93/4</f>
        <v>-30233.0257820242</v>
      </c>
      <c r="K6255" s="54" t="n">
        <f aca="false">(J6254+K6254)/8*Assumptions!$E$76-(K6247-K6246)-K6254*Assumptions!$E$93/4</f>
        <v>-16543.1126230714</v>
      </c>
      <c r="L6255" s="54" t="n">
        <f aca="false">(K6254+L6254)/8*Assumptions!$E$76-(L6247-L6246)-L6254*Assumptions!$E$93/4</f>
        <v>4730.51507232551</v>
      </c>
      <c r="M6255" s="54" t="n">
        <f aca="false">(L6254+M6254)/8*Assumptions!$E$76-(M6247-M6246)-M6254*Assumptions!$E$93/4</f>
        <v>30131.676910092</v>
      </c>
      <c r="N6255" s="54" t="n">
        <f aca="false">(M6254+N6254)/8*Assumptions!$E$76-(N6247-N6246)-N6254*Assumptions!$E$93/4</f>
        <v>55987.1651612092</v>
      </c>
      <c r="P6255" s="55" t="n">
        <f aca="false">SUM(C6255:F6255)</f>
        <v>-806527.112434448</v>
      </c>
      <c r="Q6255" s="55" t="n">
        <f aca="false">SUM(G6255:J6255)</f>
        <v>-304401.169098584</v>
      </c>
      <c r="R6255" s="55" t="n">
        <f aca="false">SUM(K6255:N6255)</f>
        <v>74306.2445205553</v>
      </c>
      <c r="S6255" s="56" t="n">
        <f aca="false">SUM(P6255:R6255)</f>
        <v>-1036622.03701248</v>
      </c>
    </row>
    <row r="6256" customFormat="false" ht="15" hidden="false" customHeight="false" outlineLevel="0" collapsed="false">
      <c r="A6256" s="4" t="s">
        <v>575</v>
      </c>
      <c r="B6256" s="36" t="s">
        <v>125</v>
      </c>
      <c r="C6256" s="54" t="n">
        <f aca="false">C6255*C6251</f>
        <v>-252988.586859998</v>
      </c>
      <c r="D6256" s="54" t="n">
        <f aca="false">D6255*D6251</f>
        <v>-189327.374413174</v>
      </c>
      <c r="E6256" s="54" t="n">
        <f aca="false">E6255*E6251</f>
        <v>-168404.294546942</v>
      </c>
      <c r="F6256" s="54" t="n">
        <f aca="false">F6255*F6251</f>
        <v>-145142.013639999</v>
      </c>
      <c r="G6256" s="54" t="n">
        <f aca="false">G6255*G6251</f>
        <v>-106775.163933348</v>
      </c>
      <c r="H6256" s="54" t="n">
        <f aca="false">H6255*H6251</f>
        <v>-54548.4280238207</v>
      </c>
      <c r="I6256" s="54" t="n">
        <f aca="false">I6255*I6251</f>
        <v>-70928.4607069938</v>
      </c>
      <c r="J6256" s="54" t="n">
        <f aca="false">J6255*J6251</f>
        <v>-24101.5830532718</v>
      </c>
      <c r="K6256" s="54" t="n">
        <f aca="false">K6255*K6251</f>
        <v>-12819.6649673609</v>
      </c>
      <c r="L6256" s="54" t="n">
        <f aca="false">L6255*L6251</f>
        <v>3563.39013945655</v>
      </c>
      <c r="M6256" s="54" t="n">
        <f aca="false">M6255*M6251</f>
        <v>22063.4660968474</v>
      </c>
      <c r="N6256" s="54" t="n">
        <f aca="false">N6255*N6251</f>
        <v>39850.5582928159</v>
      </c>
      <c r="P6256" s="55" t="n">
        <f aca="false">SUM(C6256:F6256)</f>
        <v>-755862.269460113</v>
      </c>
      <c r="Q6256" s="55" t="n">
        <f aca="false">SUM(G6256:J6256)</f>
        <v>-256353.635717434</v>
      </c>
      <c r="R6256" s="55" t="n">
        <f aca="false">SUM(K6256:N6256)</f>
        <v>52657.749561759</v>
      </c>
      <c r="S6256" s="56" t="n">
        <f aca="false">SUM(P6256:R6256)</f>
        <v>-959558.155615789</v>
      </c>
    </row>
    <row r="6257" customFormat="false" ht="15" hidden="false" customHeight="false" outlineLevel="0" collapsed="false">
      <c r="A6257" s="4" t="s">
        <v>576</v>
      </c>
      <c r="B6257" s="36"/>
      <c r="C6257" s="37" t="n">
        <f aca="false">IFERROR((S6212*$C$6161*Assumptions!$E$59+S6213*$C$6162*Assumptions!$E$60+S6214*$C$6163*Assumptions!$E$61)/(S6212*$C$6161+S6213*$C$6162+S6214*$C$6163),0.9)</f>
        <v>0.897372181179546</v>
      </c>
    </row>
    <row r="6258" customFormat="false" ht="15" hidden="false" customHeight="false" outlineLevel="0" collapsed="false">
      <c r="A6258" s="4" t="s">
        <v>577</v>
      </c>
      <c r="B6258" s="36"/>
      <c r="C6258" s="37" t="n">
        <f aca="false">IFERROR(N6246*4/N6224,0)</f>
        <v>0.189192606927118</v>
      </c>
    </row>
    <row r="6259" customFormat="false" ht="15" hidden="false" customHeight="false" outlineLevel="0" collapsed="false">
      <c r="A6259" s="4" t="s">
        <v>578</v>
      </c>
      <c r="B6259" s="36"/>
      <c r="C6259" s="60" t="n">
        <f aca="false">$C$6257/(1+Assumptions!$E$87)</f>
        <v>0.801225161767451</v>
      </c>
    </row>
    <row r="6260" customFormat="false" ht="15" hidden="false" customHeight="false" outlineLevel="0" collapsed="false">
      <c r="A6260" s="4" t="s">
        <v>579</v>
      </c>
      <c r="B6260" s="36"/>
      <c r="C6260" s="60" t="n">
        <f aca="false">Assumptions!$E$91/(1+Assumptions!$E$87)</f>
        <v>0.803571428571429</v>
      </c>
    </row>
    <row r="6261" customFormat="false" ht="15" hidden="false" customHeight="false" outlineLevel="0" collapsed="false">
      <c r="A6261" s="35" t="s">
        <v>580</v>
      </c>
      <c r="B6261" s="35" t="s">
        <v>444</v>
      </c>
      <c r="C6261" s="6" t="s">
        <v>354</v>
      </c>
      <c r="D6261" s="6" t="s">
        <v>355</v>
      </c>
      <c r="E6261" s="6" t="s">
        <v>356</v>
      </c>
      <c r="F6261" s="6" t="s">
        <v>357</v>
      </c>
      <c r="G6261" s="6" t="s">
        <v>358</v>
      </c>
      <c r="H6261" s="6" t="s">
        <v>359</v>
      </c>
      <c r="I6261" s="6" t="s">
        <v>360</v>
      </c>
      <c r="J6261" s="6" t="s">
        <v>361</v>
      </c>
      <c r="K6261" s="6" t="s">
        <v>362</v>
      </c>
      <c r="L6261" s="6" t="s">
        <v>363</v>
      </c>
      <c r="M6261" s="6" t="s">
        <v>364</v>
      </c>
      <c r="N6261" s="6" t="s">
        <v>365</v>
      </c>
      <c r="P6261" s="6" t="s">
        <v>445</v>
      </c>
      <c r="Q6261" s="6" t="s">
        <v>446</v>
      </c>
      <c r="R6261" s="6" t="s">
        <v>447</v>
      </c>
      <c r="S6261" s="6" t="s">
        <v>448</v>
      </c>
    </row>
    <row r="6262" customFormat="false" ht="15" hidden="false" customHeight="false" outlineLevel="0" collapsed="false">
      <c r="A6262" s="9" t="s">
        <v>581</v>
      </c>
      <c r="C6262" s="61" t="n">
        <f aca="false">N6224</f>
        <v>473839.525063921</v>
      </c>
      <c r="D6262" s="61"/>
    </row>
    <row r="6263" customFormat="false" ht="15" hidden="false" customHeight="false" outlineLevel="0" collapsed="false">
      <c r="A6263" s="9" t="s">
        <v>582</v>
      </c>
      <c r="C6263" s="62" t="n">
        <f aca="false">N6220</f>
        <v>49.5280990541991</v>
      </c>
      <c r="D6263" s="62"/>
    </row>
    <row r="6264" customFormat="false" ht="15" hidden="false" customHeight="false" outlineLevel="0" collapsed="false">
      <c r="A6264" s="9" t="s">
        <v>583</v>
      </c>
      <c r="C6264" s="63" t="n">
        <f aca="false">S6215</f>
        <v>54.7491194625937</v>
      </c>
      <c r="D6264" s="63"/>
    </row>
    <row r="6265" customFormat="false" ht="15" hidden="false" customHeight="false" outlineLevel="0" collapsed="false">
      <c r="A6265" s="9" t="s">
        <v>584</v>
      </c>
      <c r="C6265" s="61" t="n">
        <f aca="false">S6226</f>
        <v>470077.753092415</v>
      </c>
      <c r="D6265" s="61"/>
    </row>
    <row r="6266" customFormat="false" ht="15" hidden="false" customHeight="false" outlineLevel="0" collapsed="false">
      <c r="A6266" s="9" t="s">
        <v>22</v>
      </c>
      <c r="C6266" s="61" t="n">
        <f aca="false">IFERROR(S6225/S6215,0)</f>
        <v>8847.97350983958</v>
      </c>
      <c r="D6266" s="61"/>
    </row>
    <row r="6267" customFormat="false" ht="15" hidden="false" customHeight="false" outlineLevel="0" collapsed="false">
      <c r="A6267" s="9" t="s">
        <v>585</v>
      </c>
      <c r="C6267" s="61" t="n">
        <f aca="false">IFERROR(S6243/S6215,0)</f>
        <v>39481.7979795841</v>
      </c>
      <c r="D6267" s="61"/>
    </row>
    <row r="6268" customFormat="false" ht="23.85" hidden="false" customHeight="false" outlineLevel="0" collapsed="false">
      <c r="A6268" s="9" t="s">
        <v>586</v>
      </c>
      <c r="C6268" s="61" t="n">
        <f aca="false">IFERROR((S6237+S6239+S6240+S6241+S6242)/S6215,0)</f>
        <v>15924.0153192791</v>
      </c>
      <c r="D6268" s="61"/>
    </row>
    <row r="6269" customFormat="false" ht="15" hidden="false" customHeight="false" outlineLevel="0" collapsed="false">
      <c r="A6269" s="9" t="s">
        <v>587</v>
      </c>
      <c r="C6269" s="64" t="n">
        <f aca="false">IFERROR('Engine Runs'!$C$6267/('Engine Runs'!$C$6266*Assumptions!$E$76/12),0)</f>
        <v>82.3798501566715</v>
      </c>
      <c r="D6269" s="64"/>
    </row>
    <row r="6270" customFormat="false" ht="15" hidden="false" customHeight="false" outlineLevel="0" collapsed="false">
      <c r="A6270" s="9" t="s">
        <v>588</v>
      </c>
      <c r="C6270" s="64" t="n">
        <f aca="false">IFERROR((R6243/R6215)/((R6225/R6215)*Assumptions!$E$76/12),0)</f>
        <v>53.7401674227257</v>
      </c>
      <c r="D6270" s="64"/>
    </row>
    <row r="6271" customFormat="false" ht="15" hidden="false" customHeight="false" outlineLevel="0" collapsed="false">
      <c r="A6271" s="9" t="s">
        <v>589</v>
      </c>
      <c r="C6271" s="61" t="n">
        <f aca="false">S6247</f>
        <v>2967534.56388842</v>
      </c>
      <c r="D6271" s="61"/>
    </row>
    <row r="6272" customFormat="false" ht="15" hidden="false" customHeight="false" outlineLevel="0" collapsed="false">
      <c r="A6272" s="9" t="s">
        <v>590</v>
      </c>
      <c r="C6272" s="61" t="n">
        <f aca="false">N6250</f>
        <v>-2661984.02437835</v>
      </c>
      <c r="D6272" s="61"/>
    </row>
    <row r="6273" customFormat="false" ht="15" hidden="false" customHeight="false" outlineLevel="0" collapsed="false">
      <c r="A6273" s="9" t="s">
        <v>591</v>
      </c>
      <c r="C6273" s="61" t="n">
        <f aca="false">MIN($C$6250:$N$6250)</f>
        <v>-2661984.02437835</v>
      </c>
      <c r="D6273" s="61"/>
    </row>
    <row r="6274" customFormat="false" ht="15" hidden="false" customHeight="false" outlineLevel="0" collapsed="false">
      <c r="A6274" s="9" t="s">
        <v>592</v>
      </c>
      <c r="C6274" s="61" t="n">
        <f aca="false">N6224*(Assumptions!$E$76-$C$6258)*$C$6257*(1-$C$6257^Assumptions!$E$85)/(1-$C$6257)</f>
        <v>798211.532636723</v>
      </c>
      <c r="D6274" s="61"/>
    </row>
    <row r="6275" customFormat="false" ht="15" hidden="false" customHeight="false" outlineLevel="0" collapsed="false">
      <c r="A6275" s="9" t="s">
        <v>593</v>
      </c>
      <c r="C6275" s="61" t="n">
        <f aca="false">N6224*(Assumptions!$E$76-$C$6258)*(1-Assumptions!$E$88)/(1+Assumptions!$E$87)^2.5*$C$6259*(1-$C$6259^Assumptions!$E$85)/(1-$C$6259)</f>
        <v>355251.584221807</v>
      </c>
      <c r="D6275" s="61"/>
    </row>
    <row r="6276" customFormat="false" ht="15" hidden="false" customHeight="false" outlineLevel="0" collapsed="false">
      <c r="A6276" s="9" t="s">
        <v>594</v>
      </c>
      <c r="C6276" s="61" t="n">
        <f aca="false">SUM($C$6252:$N$6252)+'Engine Runs'!$C$6275</f>
        <v>-1940348.20520182</v>
      </c>
      <c r="D6276" s="61"/>
    </row>
    <row r="6277" customFormat="false" ht="15" hidden="false" customHeight="false" outlineLevel="0" collapsed="false">
      <c r="A6277" s="9" t="s">
        <v>595</v>
      </c>
      <c r="C6277" s="61" t="n">
        <f aca="false">SUM($C$6256:$N$6256)+N6254*(Assumptions!$E$76-Assumptions!$E$93)/(1+Assumptions!$E$87)^2.5*$C$6260*(1-$C$6260^Assumptions!$E$85)/(1-$C$6260)</f>
        <v>1512522.02860027</v>
      </c>
      <c r="D6277" s="61"/>
    </row>
    <row r="6278" customFormat="false" ht="15" hidden="false" customHeight="false" outlineLevel="0" collapsed="false">
      <c r="A6278" s="9" t="s">
        <v>596</v>
      </c>
      <c r="C6278" s="61" t="n">
        <f aca="false">'Engine Runs'!$C$6276-'Engine Runs'!$C$6277</f>
        <v>-3452870.23380208</v>
      </c>
      <c r="D6278" s="61"/>
    </row>
    <row r="6279" customFormat="false" ht="15" hidden="false" customHeight="false" outlineLevel="0" collapsed="false">
      <c r="A6279" s="9" t="s">
        <v>597</v>
      </c>
      <c r="C6279" s="61" t="n">
        <f aca="false">S6211</f>
        <v>0</v>
      </c>
      <c r="D6279" s="61"/>
    </row>
    <row r="6280" customFormat="false" ht="15" hidden="false" customHeight="false" outlineLevel="0" collapsed="false">
      <c r="A6280" s="9" t="s">
        <v>598</v>
      </c>
      <c r="C6280" s="63" t="n">
        <f aca="false">P6195</f>
        <v>43.6188722246667</v>
      </c>
      <c r="D6280" s="63"/>
    </row>
    <row r="6281" customFormat="false" ht="15" hidden="false" customHeight="false" outlineLevel="0" collapsed="false">
      <c r="A6281" s="9" t="s">
        <v>599</v>
      </c>
      <c r="C6281" s="63" t="n">
        <f aca="false">P6215</f>
        <v>6.18260904948639</v>
      </c>
      <c r="D6281" s="63"/>
    </row>
    <row r="6282" customFormat="false" ht="15" hidden="false" customHeight="false" outlineLevel="0" collapsed="false">
      <c r="A6282" s="9" t="s">
        <v>600</v>
      </c>
      <c r="C6282" s="63" t="n">
        <f aca="false">P6191</f>
        <v>42</v>
      </c>
      <c r="D6282" s="63"/>
    </row>
    <row r="6283" customFormat="false" ht="15" hidden="false" customHeight="false" outlineLevel="0" collapsed="false">
      <c r="A6283" s="9" t="s">
        <v>601</v>
      </c>
      <c r="C6283" s="61" t="n">
        <f aca="false">IFERROR(P6225/P6215,0)</f>
        <v>8545.01753177967</v>
      </c>
      <c r="D6283" s="61"/>
    </row>
    <row r="6286" customFormat="false" ht="15" hidden="false" customHeight="true" outlineLevel="0" collapsed="false">
      <c r="A6286" s="78" t="s">
        <v>876</v>
      </c>
      <c r="B6286" s="78"/>
      <c r="C6286" s="78"/>
      <c r="D6286" s="78"/>
      <c r="E6286" s="78"/>
      <c r="F6286" s="78"/>
      <c r="G6286" s="78"/>
      <c r="H6286" s="78"/>
      <c r="I6286" s="78"/>
      <c r="J6286" s="78"/>
      <c r="K6286" s="78"/>
      <c r="L6286" s="78"/>
      <c r="M6286" s="78"/>
      <c r="N6286" s="78"/>
    </row>
    <row r="6287" customFormat="false" ht="15" hidden="false" customHeight="true" outlineLevel="0" collapsed="false">
      <c r="A6287" s="79" t="s">
        <v>877</v>
      </c>
      <c r="B6287" s="79"/>
      <c r="C6287" s="79"/>
      <c r="D6287" s="79"/>
      <c r="E6287" s="79"/>
      <c r="F6287" s="79"/>
      <c r="G6287" s="79"/>
      <c r="H6287" s="79"/>
      <c r="I6287" s="79"/>
      <c r="J6287" s="79"/>
      <c r="K6287" s="79"/>
      <c r="L6287" s="79"/>
      <c r="M6287" s="79"/>
      <c r="N6287" s="79"/>
    </row>
    <row r="6288" customFormat="false" ht="23.85" hidden="false" customHeight="false" outlineLevel="0" collapsed="false">
      <c r="A6288" s="35" t="s">
        <v>878</v>
      </c>
      <c r="B6288" s="35" t="s">
        <v>444</v>
      </c>
      <c r="C6288" s="6" t="s">
        <v>354</v>
      </c>
      <c r="D6288" s="6" t="s">
        <v>355</v>
      </c>
      <c r="E6288" s="6" t="s">
        <v>356</v>
      </c>
      <c r="F6288" s="6" t="s">
        <v>357</v>
      </c>
      <c r="G6288" s="6" t="s">
        <v>358</v>
      </c>
      <c r="H6288" s="6" t="s">
        <v>359</v>
      </c>
      <c r="I6288" s="6" t="s">
        <v>360</v>
      </c>
      <c r="J6288" s="6" t="s">
        <v>361</v>
      </c>
      <c r="K6288" s="6" t="s">
        <v>362</v>
      </c>
      <c r="L6288" s="6" t="s">
        <v>363</v>
      </c>
      <c r="M6288" s="6" t="s">
        <v>364</v>
      </c>
      <c r="N6288" s="6" t="s">
        <v>365</v>
      </c>
      <c r="P6288" s="6" t="s">
        <v>445</v>
      </c>
      <c r="Q6288" s="6" t="s">
        <v>446</v>
      </c>
      <c r="R6288" s="6" t="s">
        <v>447</v>
      </c>
      <c r="S6288" s="6" t="s">
        <v>448</v>
      </c>
    </row>
    <row r="6289" customFormat="false" ht="15" hidden="false" customHeight="false" outlineLevel="0" collapsed="false">
      <c r="A6289" s="4" t="s">
        <v>449</v>
      </c>
      <c r="B6289" s="36" t="s">
        <v>450</v>
      </c>
      <c r="C6289" s="34" t="n">
        <f aca="false">'Market Sizing'!$C$17*Assumptions!$E$10*Assumptions!$E$11*(1-Assumptions!$E$12)</f>
        <v>843.03944704</v>
      </c>
    </row>
    <row r="6290" customFormat="false" ht="15" hidden="false" customHeight="false" outlineLevel="0" collapsed="false">
      <c r="A6290" s="4" t="s">
        <v>451</v>
      </c>
      <c r="B6290" s="36" t="s">
        <v>450</v>
      </c>
      <c r="C6290" s="34" t="n">
        <f aca="false">'Market Sizing'!$D$17*Assumptions!$E$10*Assumptions!$E$11*(1-Assumptions!$E$12)</f>
        <v>211.19616</v>
      </c>
    </row>
    <row r="6291" customFormat="false" ht="15" hidden="false" customHeight="false" outlineLevel="0" collapsed="false">
      <c r="A6291" s="4" t="s">
        <v>452</v>
      </c>
      <c r="B6291" s="36" t="s">
        <v>450</v>
      </c>
      <c r="C6291" s="34" t="n">
        <f aca="false">'Market Sizing'!$E$17*Assumptions!$E$10*Assumptions!$E$11*(1-Assumptions!$E$12)</f>
        <v>49.53984</v>
      </c>
    </row>
    <row r="6292" customFormat="false" ht="15" hidden="false" customHeight="false" outlineLevel="0" collapsed="false">
      <c r="A6292" s="4" t="s">
        <v>453</v>
      </c>
      <c r="B6292" s="36"/>
      <c r="C6292" s="34" t="n">
        <f aca="false">$C$6289+$C$6290+$C$6291</f>
        <v>1103.77544704</v>
      </c>
    </row>
    <row r="6293" customFormat="false" ht="15" hidden="false" customHeight="false" outlineLevel="0" collapsed="false">
      <c r="A6293" s="4" t="s">
        <v>454</v>
      </c>
      <c r="B6293" s="36" t="s">
        <v>450</v>
      </c>
      <c r="C6293" s="34" t="n">
        <f aca="false">'Market Sizing'!$C$18*Assumptions!$E$10*Assumptions!$E$11*(1-Assumptions!$E$12)</f>
        <v>612.57706944</v>
      </c>
    </row>
    <row r="6294" customFormat="false" ht="15" hidden="false" customHeight="false" outlineLevel="0" collapsed="false">
      <c r="A6294" s="4" t="s">
        <v>455</v>
      </c>
      <c r="B6294" s="36" t="s">
        <v>450</v>
      </c>
      <c r="C6294" s="34" t="n">
        <f aca="false">'Market Sizing'!$D$18*Assumptions!$E$10*Assumptions!$E$11*(1-Assumptions!$E$12)</f>
        <v>142.10112</v>
      </c>
    </row>
    <row r="6295" customFormat="false" ht="15" hidden="false" customHeight="false" outlineLevel="0" collapsed="false">
      <c r="A6295" s="4" t="s">
        <v>456</v>
      </c>
      <c r="B6295" s="36" t="s">
        <v>450</v>
      </c>
      <c r="C6295" s="34" t="n">
        <f aca="false">'Market Sizing'!$E$18*Assumptions!$E$10*Assumptions!$E$11*(1-Assumptions!$E$12)</f>
        <v>24.76992</v>
      </c>
    </row>
    <row r="6296" customFormat="false" ht="15" hidden="false" customHeight="false" outlineLevel="0" collapsed="false">
      <c r="A6296" s="4" t="s">
        <v>457</v>
      </c>
      <c r="B6296" s="36"/>
      <c r="C6296" s="34" t="n">
        <f aca="false">$C$6293+$C$6294+$C$6295</f>
        <v>779.44810944</v>
      </c>
    </row>
    <row r="6297" customFormat="false" ht="15" hidden="false" customHeight="false" outlineLevel="0" collapsed="false">
      <c r="A6297" s="4" t="s">
        <v>458</v>
      </c>
      <c r="B6297" s="36" t="s">
        <v>450</v>
      </c>
      <c r="C6297" s="34" t="n">
        <f aca="false">'Market Sizing'!$C$19*Assumptions!$E$10*Assumptions!$E$11*(1-Assumptions!$E$12)</f>
        <v>2060.77303936</v>
      </c>
    </row>
    <row r="6298" customFormat="false" ht="15" hidden="false" customHeight="false" outlineLevel="0" collapsed="false">
      <c r="A6298" s="4" t="s">
        <v>459</v>
      </c>
      <c r="B6298" s="36" t="s">
        <v>450</v>
      </c>
      <c r="C6298" s="34" t="n">
        <f aca="false">'Market Sizing'!$D$19*Assumptions!$E$10*Assumptions!$E$11*(1-Assumptions!$E$12)</f>
        <v>428.47616</v>
      </c>
    </row>
    <row r="6299" customFormat="false" ht="15" hidden="false" customHeight="false" outlineLevel="0" collapsed="false">
      <c r="A6299" s="4" t="s">
        <v>460</v>
      </c>
      <c r="B6299" s="36" t="s">
        <v>450</v>
      </c>
      <c r="C6299" s="34" t="n">
        <f aca="false">'Market Sizing'!$E$19*Assumptions!$E$10*Assumptions!$E$11*(1-Assumptions!$E$12)</f>
        <v>79.52448</v>
      </c>
    </row>
    <row r="6300" customFormat="false" ht="15" hidden="false" customHeight="false" outlineLevel="0" collapsed="false">
      <c r="A6300" s="4" t="s">
        <v>461</v>
      </c>
      <c r="B6300" s="36"/>
      <c r="C6300" s="34" t="n">
        <f aca="false">$C$6297+$C$6298+$C$6299</f>
        <v>2568.77367936</v>
      </c>
    </row>
    <row r="6301" customFormat="false" ht="15" hidden="false" customHeight="false" outlineLevel="0" collapsed="false">
      <c r="A6301" s="4" t="s">
        <v>462</v>
      </c>
      <c r="B6301" s="36" t="s">
        <v>463</v>
      </c>
      <c r="C6301" s="33" t="n">
        <f aca="false">MAX((Assumptions!$E$51+Assumptions!$E$53)*12,(((('Market Sizing'!$E$25*Assumptions!$E$41*Assumptions!$E$42*Assumptions!$E$43)*Assumptions!$E$44)*Assumptions!$E$45*Assumptions!$E$46+('Market Sizing'!$E$25*Assumptions!$E$41*Assumptions!$E$42*Assumptions!$E$43)*Assumptions!$E$47+('Market Sizing'!$E$25*Assumptions!$E$41*Assumptions!$E$42*Assumptions!$E$43)*Assumptions!$E$48*Assumptions!$E$49)*(Assumptions!$E$51*12/Assumptions!$E$52)+((('Market Sizing'!$E$25*Assumptions!$E$41*Assumptions!$E$42*Assumptions!$E$43)*Assumptions!$E$44)*Assumptions!$E$45+('Market Sizing'!$E$25*Assumptions!$E$41*Assumptions!$E$42*Assumptions!$E$43)+('Market Sizing'!$E$25*Assumptions!$E$41*Assumptions!$E$42*Assumptions!$E$43)*Assumptions!$E$48)*Assumptions!$E$50*(Assumptions!$E$53*12/Assumptions!$E$54)))</f>
        <v>5352</v>
      </c>
    </row>
    <row r="6302" customFormat="false" ht="15" hidden="false" customHeight="false" outlineLevel="0" collapsed="false">
      <c r="A6302" s="4" t="s">
        <v>464</v>
      </c>
      <c r="B6302" s="36" t="s">
        <v>463</v>
      </c>
      <c r="C6302" s="33" t="n">
        <f aca="false">MAX((Assumptions!$E$51+Assumptions!$E$53)*12,(((('Market Sizing'!$E$26*Assumptions!$E$41*Assumptions!$E$42*Assumptions!$E$43)*Assumptions!$E$44)*Assumptions!$E$45*Assumptions!$E$46+('Market Sizing'!$E$26*Assumptions!$E$41*Assumptions!$E$42*Assumptions!$E$43)*Assumptions!$E$47+('Market Sizing'!$E$26*Assumptions!$E$41*Assumptions!$E$42*Assumptions!$E$43)*Assumptions!$E$48*Assumptions!$E$49)*(Assumptions!$E$51*12/Assumptions!$E$52)+((('Market Sizing'!$E$26*Assumptions!$E$41*Assumptions!$E$42*Assumptions!$E$43)*Assumptions!$E$44)*Assumptions!$E$45+('Market Sizing'!$E$26*Assumptions!$E$41*Assumptions!$E$42*Assumptions!$E$43)+('Market Sizing'!$E$26*Assumptions!$E$41*Assumptions!$E$42*Assumptions!$E$43)*Assumptions!$E$48)*Assumptions!$E$50*(Assumptions!$E$53*12/Assumptions!$E$54)))</f>
        <v>9766.72012875208</v>
      </c>
    </row>
    <row r="6303" customFormat="false" ht="15" hidden="false" customHeight="false" outlineLevel="0" collapsed="false">
      <c r="A6303" s="4" t="s">
        <v>465</v>
      </c>
      <c r="B6303" s="36" t="s">
        <v>463</v>
      </c>
      <c r="C6303" s="33" t="n">
        <f aca="false">MAX(Assumptions!$E$55*(Assumptions!$E$51*12/Assumptions!$E$52)+Assumptions!$E$56*(Assumptions!$E$53*12/Assumptions!$E$54),(((('Market Sizing'!$E$27*Assumptions!$E$41*Assumptions!$E$42*Assumptions!$E$43)*Assumptions!$E$44)*Assumptions!$E$45*Assumptions!$E$46+('Market Sizing'!$E$27*Assumptions!$E$41*Assumptions!$E$42*Assumptions!$E$43)*Assumptions!$E$47+('Market Sizing'!$E$27*Assumptions!$E$41*Assumptions!$E$42*Assumptions!$E$43)*Assumptions!$E$48*Assumptions!$E$49)*(Assumptions!$E$51*12/Assumptions!$E$52)+((('Market Sizing'!$E$27*Assumptions!$E$41*Assumptions!$E$42*Assumptions!$E$43)*Assumptions!$E$44)*Assumptions!$E$45+('Market Sizing'!$E$27*Assumptions!$E$41*Assumptions!$E$42*Assumptions!$E$43)+('Market Sizing'!$E$27*Assumptions!$E$41*Assumptions!$E$42*Assumptions!$E$43)*Assumptions!$E$48)*Assumptions!$E$50*(Assumptions!$E$53*12/Assumptions!$E$54)))*(1-Assumptions!$E$57)</f>
        <v>61778.2562194386</v>
      </c>
    </row>
    <row r="6304" customFormat="false" ht="23.85" hidden="false" customHeight="false" outlineLevel="0" collapsed="false">
      <c r="A6304" s="4" t="s">
        <v>466</v>
      </c>
      <c r="B6304" s="36" t="s">
        <v>467</v>
      </c>
      <c r="C6304" s="37" t="n">
        <f aca="false">Assumptions!$E$17*Assumptions!$D$106</f>
        <v>0.4</v>
      </c>
    </row>
    <row r="6305" customFormat="false" ht="23.85" hidden="false" customHeight="false" outlineLevel="0" collapsed="false">
      <c r="A6305" s="4" t="s">
        <v>468</v>
      </c>
      <c r="B6305" s="36" t="s">
        <v>469</v>
      </c>
      <c r="C6305" s="33" t="n">
        <f aca="false">Assumptions!$E$68/Assumptions!$E$69</f>
        <v>285714.285714286</v>
      </c>
    </row>
    <row r="6306" customFormat="false" ht="23.85" hidden="false" customHeight="false" outlineLevel="0" collapsed="false">
      <c r="A6306" s="4" t="s">
        <v>470</v>
      </c>
      <c r="B6306" s="36" t="s">
        <v>471</v>
      </c>
      <c r="C6306" s="33" t="n">
        <f aca="false">Assumptions!$E$66*Assumptions!$E$67/4</f>
        <v>153125</v>
      </c>
    </row>
    <row r="6307" customFormat="false" ht="15" hidden="false" customHeight="false" outlineLevel="0" collapsed="false">
      <c r="A6307" s="4" t="s">
        <v>472</v>
      </c>
      <c r="B6307" s="36"/>
      <c r="C6307" s="38" t="n">
        <f aca="false">$C$6305/Assumptions!$E$66/Assumptions!$E$67</f>
        <v>0.466472303206997</v>
      </c>
    </row>
    <row r="6308" customFormat="false" ht="15" hidden="false" customHeight="false" outlineLevel="0" collapsed="false">
      <c r="A6308" s="4" t="s">
        <v>473</v>
      </c>
      <c r="B6308" s="36"/>
      <c r="C6308" s="33" t="n">
        <f aca="false">MAX(0,Assumptions!$D$103-Assumptions!$E$78)</f>
        <v>0</v>
      </c>
    </row>
    <row r="6309" customFormat="false" ht="15" hidden="false" customHeight="false" outlineLevel="0" collapsed="false">
      <c r="A6309" s="35" t="s">
        <v>474</v>
      </c>
      <c r="B6309" s="35" t="s">
        <v>444</v>
      </c>
      <c r="C6309" s="6" t="s">
        <v>354</v>
      </c>
      <c r="D6309" s="6" t="s">
        <v>355</v>
      </c>
      <c r="E6309" s="6" t="s">
        <v>356</v>
      </c>
      <c r="F6309" s="6" t="s">
        <v>357</v>
      </c>
      <c r="G6309" s="6" t="s">
        <v>358</v>
      </c>
      <c r="H6309" s="6" t="s">
        <v>359</v>
      </c>
      <c r="I6309" s="6" t="s">
        <v>360</v>
      </c>
      <c r="J6309" s="6" t="s">
        <v>361</v>
      </c>
      <c r="K6309" s="6" t="s">
        <v>362</v>
      </c>
      <c r="L6309" s="6" t="s">
        <v>363</v>
      </c>
      <c r="M6309" s="6" t="s">
        <v>364</v>
      </c>
      <c r="N6309" s="6" t="s">
        <v>365</v>
      </c>
      <c r="P6309" s="6" t="s">
        <v>445</v>
      </c>
      <c r="Q6309" s="6" t="s">
        <v>446</v>
      </c>
      <c r="R6309" s="6" t="s">
        <v>447</v>
      </c>
      <c r="S6309" s="6" t="s">
        <v>448</v>
      </c>
    </row>
    <row r="6310" customFormat="false" ht="15" hidden="false" customHeight="false" outlineLevel="0" collapsed="false">
      <c r="A6310" s="4" t="s">
        <v>475</v>
      </c>
      <c r="B6310" s="36" t="s">
        <v>133</v>
      </c>
      <c r="C6310" s="39" t="n">
        <v>1</v>
      </c>
      <c r="D6310" s="39" t="n">
        <v>2</v>
      </c>
      <c r="E6310" s="39" t="n">
        <v>3</v>
      </c>
      <c r="F6310" s="39" t="n">
        <v>4</v>
      </c>
      <c r="G6310" s="39" t="n">
        <v>5</v>
      </c>
      <c r="H6310" s="39" t="n">
        <v>6</v>
      </c>
      <c r="I6310" s="39" t="n">
        <v>7</v>
      </c>
      <c r="J6310" s="39" t="n">
        <v>8</v>
      </c>
      <c r="K6310" s="39" t="n">
        <v>9</v>
      </c>
      <c r="L6310" s="39" t="n">
        <v>10</v>
      </c>
      <c r="M6310" s="39" t="n">
        <v>11</v>
      </c>
      <c r="N6310" s="39" t="n">
        <v>12</v>
      </c>
      <c r="P6310" s="40"/>
      <c r="Q6310" s="40"/>
      <c r="R6310" s="40"/>
      <c r="S6310" s="41"/>
    </row>
    <row r="6311" customFormat="false" ht="15" hidden="false" customHeight="false" outlineLevel="0" collapsed="false">
      <c r="A6311" s="4" t="s">
        <v>476</v>
      </c>
      <c r="B6311" s="36" t="s">
        <v>343</v>
      </c>
      <c r="C6311" s="39" t="n">
        <f aca="false">IF(C6310&lt;=Assumptions!$E$84,1,0)</f>
        <v>1</v>
      </c>
      <c r="D6311" s="39" t="n">
        <f aca="false">IF(D6310&lt;=Assumptions!$E$84,1,0)</f>
        <v>1</v>
      </c>
      <c r="E6311" s="39" t="n">
        <f aca="false">IF(E6310&lt;=Assumptions!$E$84,1,0)</f>
        <v>1</v>
      </c>
      <c r="F6311" s="39" t="n">
        <f aca="false">IF(F6310&lt;=Assumptions!$E$84,1,0)</f>
        <v>1</v>
      </c>
      <c r="G6311" s="39" t="n">
        <f aca="false">IF(G6310&lt;=Assumptions!$E$84,1,0)</f>
        <v>1</v>
      </c>
      <c r="H6311" s="39" t="n">
        <f aca="false">IF(H6310&lt;=Assumptions!$E$84,1,0)</f>
        <v>1</v>
      </c>
      <c r="I6311" s="39" t="n">
        <f aca="false">IF(I6310&lt;=Assumptions!$E$84,1,0)</f>
        <v>1</v>
      </c>
      <c r="J6311" s="39" t="n">
        <f aca="false">IF(J6310&lt;=Assumptions!$E$84,1,0)</f>
        <v>1</v>
      </c>
      <c r="K6311" s="39" t="n">
        <f aca="false">IF(K6310&lt;=Assumptions!$E$84,1,0)</f>
        <v>1</v>
      </c>
      <c r="L6311" s="39" t="n">
        <f aca="false">IF(L6310&lt;=Assumptions!$E$84,1,0)</f>
        <v>1</v>
      </c>
      <c r="M6311" s="39" t="n">
        <f aca="false">IF(M6310&lt;=Assumptions!$E$84,1,0)</f>
        <v>1</v>
      </c>
      <c r="N6311" s="39" t="n">
        <f aca="false">IF(N6310&lt;=Assumptions!$E$84,1,0)</f>
        <v>1</v>
      </c>
      <c r="P6311" s="40"/>
      <c r="Q6311" s="40"/>
      <c r="R6311" s="40"/>
      <c r="S6311" s="41"/>
    </row>
    <row r="6312" customFormat="false" ht="15" hidden="false" customHeight="false" outlineLevel="0" collapsed="false">
      <c r="A6312" s="4" t="s">
        <v>477</v>
      </c>
      <c r="B6312" s="36" t="s">
        <v>478</v>
      </c>
      <c r="C6312" s="42" t="n">
        <f aca="false">IF(C6310=Assumptions!$E$13,0.5,IF(C6310&gt;Assumptions!$E$13,1,0))</f>
        <v>0.5</v>
      </c>
      <c r="D6312" s="42" t="n">
        <f aca="false">IF(D6310=Assumptions!$E$13,0.5,IF(D6310&gt;Assumptions!$E$13,1,0))</f>
        <v>1</v>
      </c>
      <c r="E6312" s="42" t="n">
        <f aca="false">IF(E6310=Assumptions!$E$13,0.5,IF(E6310&gt;Assumptions!$E$13,1,0))</f>
        <v>1</v>
      </c>
      <c r="F6312" s="42" t="n">
        <f aca="false">IF(F6310=Assumptions!$E$13,0.5,IF(F6310&gt;Assumptions!$E$13,1,0))</f>
        <v>1</v>
      </c>
      <c r="G6312" s="42" t="n">
        <f aca="false">IF(G6310=Assumptions!$E$13,0.5,IF(G6310&gt;Assumptions!$E$13,1,0))</f>
        <v>1</v>
      </c>
      <c r="H6312" s="42" t="n">
        <f aca="false">IF(H6310=Assumptions!$E$13,0.5,IF(H6310&gt;Assumptions!$E$13,1,0))</f>
        <v>1</v>
      </c>
      <c r="I6312" s="42" t="n">
        <f aca="false">IF(I6310=Assumptions!$E$13,0.5,IF(I6310&gt;Assumptions!$E$13,1,0))</f>
        <v>1</v>
      </c>
      <c r="J6312" s="42" t="n">
        <f aca="false">IF(J6310=Assumptions!$E$13,0.5,IF(J6310&gt;Assumptions!$E$13,1,0))</f>
        <v>1</v>
      </c>
      <c r="K6312" s="42" t="n">
        <f aca="false">IF(K6310=Assumptions!$E$13,0.5,IF(K6310&gt;Assumptions!$E$13,1,0))</f>
        <v>1</v>
      </c>
      <c r="L6312" s="42" t="n">
        <f aca="false">IF(L6310=Assumptions!$E$13,0.5,IF(L6310&gt;Assumptions!$E$13,1,0))</f>
        <v>1</v>
      </c>
      <c r="M6312" s="42" t="n">
        <f aca="false">IF(M6310=Assumptions!$E$13,0.5,IF(M6310&gt;Assumptions!$E$13,1,0))</f>
        <v>1</v>
      </c>
      <c r="N6312" s="42" t="n">
        <f aca="false">IF(N6310=Assumptions!$E$13,0.5,IF(N6310&gt;Assumptions!$E$13,1,0))</f>
        <v>1</v>
      </c>
      <c r="P6312" s="43"/>
      <c r="Q6312" s="43"/>
      <c r="R6312" s="43"/>
      <c r="S6312" s="44"/>
    </row>
    <row r="6313" customFormat="false" ht="15" hidden="false" customHeight="false" outlineLevel="0" collapsed="false">
      <c r="A6313" s="4" t="s">
        <v>479</v>
      </c>
      <c r="B6313" s="36" t="s">
        <v>478</v>
      </c>
      <c r="C6313" s="42" t="n">
        <f aca="false">IF(C6310=Assumptions!$E$14,0.5,IF(C6310&gt;Assumptions!$E$14,1,0))</f>
        <v>0</v>
      </c>
      <c r="D6313" s="42" t="n">
        <f aca="false">IF(D6310=Assumptions!$E$14,0.5,IF(D6310&gt;Assumptions!$E$14,1,0))</f>
        <v>0</v>
      </c>
      <c r="E6313" s="42" t="n">
        <f aca="false">IF(E6310=Assumptions!$E$14,0.5,IF(E6310&gt;Assumptions!$E$14,1,0))</f>
        <v>0</v>
      </c>
      <c r="F6313" s="42" t="n">
        <f aca="false">IF(F6310=Assumptions!$E$14,0.5,IF(F6310&gt;Assumptions!$E$14,1,0))</f>
        <v>0</v>
      </c>
      <c r="G6313" s="42" t="n">
        <f aca="false">IF(G6310=Assumptions!$E$14,0.5,IF(G6310&gt;Assumptions!$E$14,1,0))</f>
        <v>0.5</v>
      </c>
      <c r="H6313" s="42" t="n">
        <f aca="false">IF(H6310=Assumptions!$E$14,0.5,IF(H6310&gt;Assumptions!$E$14,1,0))</f>
        <v>1</v>
      </c>
      <c r="I6313" s="42" t="n">
        <f aca="false">IF(I6310=Assumptions!$E$14,0.5,IF(I6310&gt;Assumptions!$E$14,1,0))</f>
        <v>1</v>
      </c>
      <c r="J6313" s="42" t="n">
        <f aca="false">IF(J6310=Assumptions!$E$14,0.5,IF(J6310&gt;Assumptions!$E$14,1,0))</f>
        <v>1</v>
      </c>
      <c r="K6313" s="42" t="n">
        <f aca="false">IF(K6310=Assumptions!$E$14,0.5,IF(K6310&gt;Assumptions!$E$14,1,0))</f>
        <v>1</v>
      </c>
      <c r="L6313" s="42" t="n">
        <f aca="false">IF(L6310=Assumptions!$E$14,0.5,IF(L6310&gt;Assumptions!$E$14,1,0))</f>
        <v>1</v>
      </c>
      <c r="M6313" s="42" t="n">
        <f aca="false">IF(M6310=Assumptions!$E$14,0.5,IF(M6310&gt;Assumptions!$E$14,1,0))</f>
        <v>1</v>
      </c>
      <c r="N6313" s="42" t="n">
        <f aca="false">IF(N6310=Assumptions!$E$14,0.5,IF(N6310&gt;Assumptions!$E$14,1,0))</f>
        <v>1</v>
      </c>
      <c r="P6313" s="43"/>
      <c r="Q6313" s="43"/>
      <c r="R6313" s="43"/>
      <c r="S6313" s="44"/>
    </row>
    <row r="6314" customFormat="false" ht="15" hidden="false" customHeight="false" outlineLevel="0" collapsed="false">
      <c r="A6314" s="4" t="s">
        <v>480</v>
      </c>
      <c r="B6314" s="36" t="s">
        <v>478</v>
      </c>
      <c r="C6314" s="42" t="n">
        <f aca="false">IF(C6310=Assumptions!$E$15,0.5,IF(C6310&gt;Assumptions!$E$15,1,0))</f>
        <v>0</v>
      </c>
      <c r="D6314" s="42" t="n">
        <f aca="false">IF(D6310=Assumptions!$E$15,0.5,IF(D6310&gt;Assumptions!$E$15,1,0))</f>
        <v>0</v>
      </c>
      <c r="E6314" s="42" t="n">
        <f aca="false">IF(E6310=Assumptions!$E$15,0.5,IF(E6310&gt;Assumptions!$E$15,1,0))</f>
        <v>0</v>
      </c>
      <c r="F6314" s="42" t="n">
        <f aca="false">IF(F6310=Assumptions!$E$15,0.5,IF(F6310&gt;Assumptions!$E$15,1,0))</f>
        <v>0</v>
      </c>
      <c r="G6314" s="42" t="n">
        <f aca="false">IF(G6310=Assumptions!$E$15,0.5,IF(G6310&gt;Assumptions!$E$15,1,0))</f>
        <v>0</v>
      </c>
      <c r="H6314" s="42" t="n">
        <f aca="false">IF(H6310=Assumptions!$E$15,0.5,IF(H6310&gt;Assumptions!$E$15,1,0))</f>
        <v>0</v>
      </c>
      <c r="I6314" s="42" t="n">
        <f aca="false">IF(I6310=Assumptions!$E$15,0.5,IF(I6310&gt;Assumptions!$E$15,1,0))</f>
        <v>0.5</v>
      </c>
      <c r="J6314" s="42" t="n">
        <f aca="false">IF(J6310=Assumptions!$E$15,0.5,IF(J6310&gt;Assumptions!$E$15,1,0))</f>
        <v>1</v>
      </c>
      <c r="K6314" s="42" t="n">
        <f aca="false">IF(K6310=Assumptions!$E$15,0.5,IF(K6310&gt;Assumptions!$E$15,1,0))</f>
        <v>1</v>
      </c>
      <c r="L6314" s="42" t="n">
        <f aca="false">IF(L6310=Assumptions!$E$15,0.5,IF(L6310&gt;Assumptions!$E$15,1,0))</f>
        <v>1</v>
      </c>
      <c r="M6314" s="42" t="n">
        <f aca="false">IF(M6310=Assumptions!$E$15,0.5,IF(M6310&gt;Assumptions!$E$15,1,0))</f>
        <v>1</v>
      </c>
      <c r="N6314" s="42" t="n">
        <f aca="false">IF(N6310=Assumptions!$E$15,0.5,IF(N6310&gt;Assumptions!$E$15,1,0))</f>
        <v>1</v>
      </c>
      <c r="P6314" s="43"/>
      <c r="Q6314" s="43"/>
      <c r="R6314" s="43"/>
      <c r="S6314" s="44"/>
    </row>
    <row r="6315" customFormat="false" ht="15" hidden="false" customHeight="false" outlineLevel="0" collapsed="false">
      <c r="A6315" s="4" t="s">
        <v>481</v>
      </c>
      <c r="B6315" s="36" t="s">
        <v>478</v>
      </c>
      <c r="C6315" s="45" t="n">
        <f aca="false">Assumptions!$E$21^(MAX(0,C6310-Assumptions!$E$13)/4)</f>
        <v>1</v>
      </c>
      <c r="D6315" s="45" t="n">
        <f aca="false">Assumptions!$E$21^(MAX(0,D6310-Assumptions!$E$13)/4)</f>
        <v>0.9306048591021</v>
      </c>
      <c r="E6315" s="45" t="n">
        <f aca="false">Assumptions!$E$21^(MAX(0,E6310-Assumptions!$E$13)/4)</f>
        <v>0.866025403784439</v>
      </c>
      <c r="F6315" s="45" t="n">
        <f aca="false">Assumptions!$E$21^(MAX(0,F6310-Assumptions!$E$13)/4)</f>
        <v>0.805927448867656</v>
      </c>
      <c r="G6315" s="45" t="n">
        <f aca="false">Assumptions!$E$21^(MAX(0,G6310-Assumptions!$E$13)/4)</f>
        <v>0.75</v>
      </c>
      <c r="H6315" s="45" t="n">
        <f aca="false">Assumptions!$E$21^(MAX(0,H6310-Assumptions!$E$13)/4)</f>
        <v>0.697953644326575</v>
      </c>
      <c r="I6315" s="45" t="n">
        <f aca="false">Assumptions!$E$21^(MAX(0,I6310-Assumptions!$E$13)/4)</f>
        <v>0.649519052838329</v>
      </c>
      <c r="J6315" s="45" t="n">
        <f aca="false">Assumptions!$E$21^(MAX(0,J6310-Assumptions!$E$13)/4)</f>
        <v>0.604445586650742</v>
      </c>
      <c r="K6315" s="45" t="n">
        <f aca="false">Assumptions!$E$21^(MAX(0,K6310-Assumptions!$E$13)/4)</f>
        <v>0.5625</v>
      </c>
      <c r="L6315" s="45" t="n">
        <f aca="false">Assumptions!$E$21^(MAX(0,L6310-Assumptions!$E$13)/4)</f>
        <v>0.523465233244931</v>
      </c>
      <c r="M6315" s="45" t="n">
        <f aca="false">Assumptions!$E$21^(MAX(0,M6310-Assumptions!$E$13)/4)</f>
        <v>0.487139289628747</v>
      </c>
      <c r="N6315" s="45" t="n">
        <f aca="false">Assumptions!$E$21^(MAX(0,N6310-Assumptions!$E$13)/4)</f>
        <v>0.453334189988057</v>
      </c>
      <c r="P6315" s="46"/>
      <c r="Q6315" s="46"/>
      <c r="R6315" s="46"/>
      <c r="S6315" s="47"/>
    </row>
    <row r="6316" customFormat="false" ht="15" hidden="false" customHeight="false" outlineLevel="0" collapsed="false">
      <c r="A6316" s="4" t="s">
        <v>482</v>
      </c>
      <c r="B6316" s="36" t="s">
        <v>478</v>
      </c>
      <c r="C6316" s="45" t="n">
        <f aca="false">Assumptions!$E$21^(MAX(0,C6310-Assumptions!$E$14)/4)</f>
        <v>1</v>
      </c>
      <c r="D6316" s="45" t="n">
        <f aca="false">Assumptions!$E$21^(MAX(0,D6310-Assumptions!$E$14)/4)</f>
        <v>1</v>
      </c>
      <c r="E6316" s="45" t="n">
        <f aca="false">Assumptions!$E$21^(MAX(0,E6310-Assumptions!$E$14)/4)</f>
        <v>1</v>
      </c>
      <c r="F6316" s="45" t="n">
        <f aca="false">Assumptions!$E$21^(MAX(0,F6310-Assumptions!$E$14)/4)</f>
        <v>1</v>
      </c>
      <c r="G6316" s="45" t="n">
        <f aca="false">Assumptions!$E$21^(MAX(0,G6310-Assumptions!$E$14)/4)</f>
        <v>1</v>
      </c>
      <c r="H6316" s="45" t="n">
        <f aca="false">Assumptions!$E$21^(MAX(0,H6310-Assumptions!$E$14)/4)</f>
        <v>0.9306048591021</v>
      </c>
      <c r="I6316" s="45" t="n">
        <f aca="false">Assumptions!$E$21^(MAX(0,I6310-Assumptions!$E$14)/4)</f>
        <v>0.866025403784439</v>
      </c>
      <c r="J6316" s="45" t="n">
        <f aca="false">Assumptions!$E$21^(MAX(0,J6310-Assumptions!$E$14)/4)</f>
        <v>0.805927448867656</v>
      </c>
      <c r="K6316" s="45" t="n">
        <f aca="false">Assumptions!$E$21^(MAX(0,K6310-Assumptions!$E$14)/4)</f>
        <v>0.75</v>
      </c>
      <c r="L6316" s="45" t="n">
        <f aca="false">Assumptions!$E$21^(MAX(0,L6310-Assumptions!$E$14)/4)</f>
        <v>0.697953644326575</v>
      </c>
      <c r="M6316" s="45" t="n">
        <f aca="false">Assumptions!$E$21^(MAX(0,M6310-Assumptions!$E$14)/4)</f>
        <v>0.649519052838329</v>
      </c>
      <c r="N6316" s="45" t="n">
        <f aca="false">Assumptions!$E$21^(MAX(0,N6310-Assumptions!$E$14)/4)</f>
        <v>0.604445586650742</v>
      </c>
      <c r="P6316" s="46"/>
      <c r="Q6316" s="46"/>
      <c r="R6316" s="46"/>
      <c r="S6316" s="47"/>
    </row>
    <row r="6317" customFormat="false" ht="15" hidden="false" customHeight="false" outlineLevel="0" collapsed="false">
      <c r="A6317" s="4" t="s">
        <v>483</v>
      </c>
      <c r="B6317" s="36" t="s">
        <v>478</v>
      </c>
      <c r="C6317" s="45" t="n">
        <f aca="false">Assumptions!$E$21^(MAX(0,C6310-Assumptions!$E$15)/4)</f>
        <v>1</v>
      </c>
      <c r="D6317" s="45" t="n">
        <f aca="false">Assumptions!$E$21^(MAX(0,D6310-Assumptions!$E$15)/4)</f>
        <v>1</v>
      </c>
      <c r="E6317" s="45" t="n">
        <f aca="false">Assumptions!$E$21^(MAX(0,E6310-Assumptions!$E$15)/4)</f>
        <v>1</v>
      </c>
      <c r="F6317" s="45" t="n">
        <f aca="false">Assumptions!$E$21^(MAX(0,F6310-Assumptions!$E$15)/4)</f>
        <v>1</v>
      </c>
      <c r="G6317" s="45" t="n">
        <f aca="false">Assumptions!$E$21^(MAX(0,G6310-Assumptions!$E$15)/4)</f>
        <v>1</v>
      </c>
      <c r="H6317" s="45" t="n">
        <f aca="false">Assumptions!$E$21^(MAX(0,H6310-Assumptions!$E$15)/4)</f>
        <v>1</v>
      </c>
      <c r="I6317" s="45" t="n">
        <f aca="false">Assumptions!$E$21^(MAX(0,I6310-Assumptions!$E$15)/4)</f>
        <v>1</v>
      </c>
      <c r="J6317" s="45" t="n">
        <f aca="false">Assumptions!$E$21^(MAX(0,J6310-Assumptions!$E$15)/4)</f>
        <v>0.9306048591021</v>
      </c>
      <c r="K6317" s="45" t="n">
        <f aca="false">Assumptions!$E$21^(MAX(0,K6310-Assumptions!$E$15)/4)</f>
        <v>0.866025403784439</v>
      </c>
      <c r="L6317" s="45" t="n">
        <f aca="false">Assumptions!$E$21^(MAX(0,L6310-Assumptions!$E$15)/4)</f>
        <v>0.805927448867656</v>
      </c>
      <c r="M6317" s="45" t="n">
        <f aca="false">Assumptions!$E$21^(MAX(0,M6310-Assumptions!$E$15)/4)</f>
        <v>0.75</v>
      </c>
      <c r="N6317" s="45" t="n">
        <f aca="false">Assumptions!$E$21^(MAX(0,N6310-Assumptions!$E$15)/4)</f>
        <v>0.697953644326575</v>
      </c>
      <c r="P6317" s="46"/>
      <c r="Q6317" s="46"/>
      <c r="R6317" s="46"/>
      <c r="S6317" s="47"/>
    </row>
    <row r="6318" customFormat="false" ht="15" hidden="false" customHeight="false" outlineLevel="0" collapsed="false">
      <c r="A6318" s="4" t="s">
        <v>484</v>
      </c>
      <c r="B6318" s="36" t="s">
        <v>485</v>
      </c>
      <c r="C6318" s="39" t="n">
        <f aca="false">$C$6289*C6312+$C$6293*C6313+$C$6297*C6314</f>
        <v>421.51972352</v>
      </c>
      <c r="D6318" s="39" t="n">
        <f aca="false">$C$6289*D6312+$C$6293*D6313+$C$6297*D6314</f>
        <v>843.03944704</v>
      </c>
      <c r="E6318" s="39" t="n">
        <f aca="false">$C$6289*E6312+$C$6293*E6313+$C$6297*E6314</f>
        <v>843.03944704</v>
      </c>
      <c r="F6318" s="39" t="n">
        <f aca="false">$C$6289*F6312+$C$6293*F6313+$C$6297*F6314</f>
        <v>843.03944704</v>
      </c>
      <c r="G6318" s="39" t="n">
        <f aca="false">$C$6289*G6312+$C$6293*G6313+$C$6297*G6314</f>
        <v>1149.32798176</v>
      </c>
      <c r="H6318" s="39" t="n">
        <f aca="false">$C$6289*H6312+$C$6293*H6313+$C$6297*H6314</f>
        <v>1455.61651648</v>
      </c>
      <c r="I6318" s="39" t="n">
        <f aca="false">$C$6289*I6312+$C$6293*I6313+$C$6297*I6314</f>
        <v>2486.00303616</v>
      </c>
      <c r="J6318" s="39" t="n">
        <f aca="false">$C$6289*J6312+$C$6293*J6313+$C$6297*J6314</f>
        <v>3516.38955584</v>
      </c>
      <c r="K6318" s="39" t="n">
        <f aca="false">$C$6289*K6312+$C$6293*K6313+$C$6297*K6314</f>
        <v>3516.38955584</v>
      </c>
      <c r="L6318" s="39" t="n">
        <f aca="false">$C$6289*L6312+$C$6293*L6313+$C$6297*L6314</f>
        <v>3516.38955584</v>
      </c>
      <c r="M6318" s="39" t="n">
        <f aca="false">$C$6289*M6312+$C$6293*M6313+$C$6297*M6314</f>
        <v>3516.38955584</v>
      </c>
      <c r="N6318" s="39" t="n">
        <f aca="false">$C$6289*N6312+$C$6293*N6313+$C$6297*N6314</f>
        <v>3516.38955584</v>
      </c>
      <c r="P6318" s="40" t="n">
        <f aca="false">F6318</f>
        <v>843.03944704</v>
      </c>
      <c r="Q6318" s="40" t="n">
        <f aca="false">J6318</f>
        <v>3516.38955584</v>
      </c>
      <c r="R6318" s="40" t="n">
        <f aca="false">N6318</f>
        <v>3516.38955584</v>
      </c>
      <c r="S6318" s="41" t="n">
        <f aca="false">R6318</f>
        <v>3516.38955584</v>
      </c>
    </row>
    <row r="6319" customFormat="false" ht="15" hidden="false" customHeight="false" outlineLevel="0" collapsed="false">
      <c r="A6319" s="4" t="s">
        <v>486</v>
      </c>
      <c r="B6319" s="36" t="s">
        <v>485</v>
      </c>
      <c r="C6319" s="39" t="n">
        <f aca="false">$C$6290*C6312+$C$6294*C6313+$C$6298*C6314</f>
        <v>105.59808</v>
      </c>
      <c r="D6319" s="39" t="n">
        <f aca="false">$C$6290*D6312+$C$6294*D6313+$C$6298*D6314</f>
        <v>211.19616</v>
      </c>
      <c r="E6319" s="39" t="n">
        <f aca="false">$C$6290*E6312+$C$6294*E6313+$C$6298*E6314</f>
        <v>211.19616</v>
      </c>
      <c r="F6319" s="39" t="n">
        <f aca="false">$C$6290*F6312+$C$6294*F6313+$C$6298*F6314</f>
        <v>211.19616</v>
      </c>
      <c r="G6319" s="39" t="n">
        <f aca="false">$C$6290*G6312+$C$6294*G6313+$C$6298*G6314</f>
        <v>282.24672</v>
      </c>
      <c r="H6319" s="39" t="n">
        <f aca="false">$C$6290*H6312+$C$6294*H6313+$C$6298*H6314</f>
        <v>353.29728</v>
      </c>
      <c r="I6319" s="39" t="n">
        <f aca="false">$C$6290*I6312+$C$6294*I6313+$C$6298*I6314</f>
        <v>567.53536</v>
      </c>
      <c r="J6319" s="39" t="n">
        <f aca="false">$C$6290*J6312+$C$6294*J6313+$C$6298*J6314</f>
        <v>781.77344</v>
      </c>
      <c r="K6319" s="39" t="n">
        <f aca="false">$C$6290*K6312+$C$6294*K6313+$C$6298*K6314</f>
        <v>781.77344</v>
      </c>
      <c r="L6319" s="39" t="n">
        <f aca="false">$C$6290*L6312+$C$6294*L6313+$C$6298*L6314</f>
        <v>781.77344</v>
      </c>
      <c r="M6319" s="39" t="n">
        <f aca="false">$C$6290*M6312+$C$6294*M6313+$C$6298*M6314</f>
        <v>781.77344</v>
      </c>
      <c r="N6319" s="39" t="n">
        <f aca="false">$C$6290*N6312+$C$6294*N6313+$C$6298*N6314</f>
        <v>781.77344</v>
      </c>
      <c r="P6319" s="40" t="n">
        <f aca="false">F6319</f>
        <v>211.19616</v>
      </c>
      <c r="Q6319" s="40" t="n">
        <f aca="false">J6319</f>
        <v>781.77344</v>
      </c>
      <c r="R6319" s="40" t="n">
        <f aca="false">N6319</f>
        <v>781.77344</v>
      </c>
      <c r="S6319" s="41" t="n">
        <f aca="false">R6319</f>
        <v>781.77344</v>
      </c>
    </row>
    <row r="6320" customFormat="false" ht="15" hidden="false" customHeight="false" outlineLevel="0" collapsed="false">
      <c r="A6320" s="4" t="s">
        <v>487</v>
      </c>
      <c r="B6320" s="36" t="s">
        <v>485</v>
      </c>
      <c r="C6320" s="39" t="n">
        <f aca="false">$C$6291*C6312+$C$6295*C6313+$C$6299*C6314</f>
        <v>24.76992</v>
      </c>
      <c r="D6320" s="39" t="n">
        <f aca="false">$C$6291*D6312+$C$6295*D6313+$C$6299*D6314</f>
        <v>49.53984</v>
      </c>
      <c r="E6320" s="39" t="n">
        <f aca="false">$C$6291*E6312+$C$6295*E6313+$C$6299*E6314</f>
        <v>49.53984</v>
      </c>
      <c r="F6320" s="39" t="n">
        <f aca="false">$C$6291*F6312+$C$6295*F6313+$C$6299*F6314</f>
        <v>49.53984</v>
      </c>
      <c r="G6320" s="39" t="n">
        <f aca="false">$C$6291*G6312+$C$6295*G6313+$C$6299*G6314</f>
        <v>61.9248</v>
      </c>
      <c r="H6320" s="39" t="n">
        <f aca="false">$C$6291*H6312+$C$6295*H6313+$C$6299*H6314</f>
        <v>74.30976</v>
      </c>
      <c r="I6320" s="39" t="n">
        <f aca="false">$C$6291*I6312+$C$6295*I6313+$C$6299*I6314</f>
        <v>114.072</v>
      </c>
      <c r="J6320" s="39" t="n">
        <f aca="false">$C$6291*J6312+$C$6295*J6313+$C$6299*J6314</f>
        <v>153.83424</v>
      </c>
      <c r="K6320" s="39" t="n">
        <f aca="false">$C$6291*K6312+$C$6295*K6313+$C$6299*K6314</f>
        <v>153.83424</v>
      </c>
      <c r="L6320" s="39" t="n">
        <f aca="false">$C$6291*L6312+$C$6295*L6313+$C$6299*L6314</f>
        <v>153.83424</v>
      </c>
      <c r="M6320" s="39" t="n">
        <f aca="false">$C$6291*M6312+$C$6295*M6313+$C$6299*M6314</f>
        <v>153.83424</v>
      </c>
      <c r="N6320" s="39" t="n">
        <f aca="false">$C$6291*N6312+$C$6295*N6313+$C$6299*N6314</f>
        <v>153.83424</v>
      </c>
      <c r="P6320" s="40" t="n">
        <f aca="false">F6320</f>
        <v>49.53984</v>
      </c>
      <c r="Q6320" s="40" t="n">
        <f aca="false">J6320</f>
        <v>153.83424</v>
      </c>
      <c r="R6320" s="40" t="n">
        <f aca="false">N6320</f>
        <v>153.83424</v>
      </c>
      <c r="S6320" s="41" t="n">
        <f aca="false">R6320</f>
        <v>153.83424</v>
      </c>
    </row>
    <row r="6321" customFormat="false" ht="15" hidden="false" customHeight="false" outlineLevel="0" collapsed="false">
      <c r="A6321" s="4" t="s">
        <v>488</v>
      </c>
      <c r="B6321" s="36" t="s">
        <v>485</v>
      </c>
      <c r="C6321" s="39" t="n">
        <f aca="false">C6318+C6319+C6320</f>
        <v>551.88772352</v>
      </c>
      <c r="D6321" s="39" t="n">
        <f aca="false">D6318+D6319+D6320</f>
        <v>1103.77544704</v>
      </c>
      <c r="E6321" s="39" t="n">
        <f aca="false">E6318+E6319+E6320</f>
        <v>1103.77544704</v>
      </c>
      <c r="F6321" s="39" t="n">
        <f aca="false">F6318+F6319+F6320</f>
        <v>1103.77544704</v>
      </c>
      <c r="G6321" s="39" t="n">
        <f aca="false">G6318+G6319+G6320</f>
        <v>1493.49950176</v>
      </c>
      <c r="H6321" s="39" t="n">
        <f aca="false">H6318+H6319+H6320</f>
        <v>1883.22355648</v>
      </c>
      <c r="I6321" s="39" t="n">
        <f aca="false">I6318+I6319+I6320</f>
        <v>3167.61039616</v>
      </c>
      <c r="J6321" s="39" t="n">
        <f aca="false">J6318+J6319+J6320</f>
        <v>4451.99723584</v>
      </c>
      <c r="K6321" s="39" t="n">
        <f aca="false">K6318+K6319+K6320</f>
        <v>4451.99723584</v>
      </c>
      <c r="L6321" s="39" t="n">
        <f aca="false">L6318+L6319+L6320</f>
        <v>4451.99723584</v>
      </c>
      <c r="M6321" s="39" t="n">
        <f aca="false">M6318+M6319+M6320</f>
        <v>4451.99723584</v>
      </c>
      <c r="N6321" s="39" t="n">
        <f aca="false">N6318+N6319+N6320</f>
        <v>4451.99723584</v>
      </c>
      <c r="P6321" s="40" t="n">
        <f aca="false">F6321</f>
        <v>1103.77544704</v>
      </c>
      <c r="Q6321" s="40" t="n">
        <f aca="false">J6321</f>
        <v>4451.99723584</v>
      </c>
      <c r="R6321" s="40" t="n">
        <f aca="false">N6321</f>
        <v>4451.99723584</v>
      </c>
      <c r="S6321" s="41" t="n">
        <f aca="false">R6321</f>
        <v>4451.99723584</v>
      </c>
    </row>
    <row r="6322" customFormat="false" ht="15" hidden="false" customHeight="false" outlineLevel="0" collapsed="false">
      <c r="A6322" s="4" t="s">
        <v>489</v>
      </c>
      <c r="B6322" s="36" t="s">
        <v>485</v>
      </c>
      <c r="C6322" s="39" t="n">
        <f aca="false">$C$6292*C6312*C6315+$C$6296*C6313*C6316+$C$6300*C6314*C6317</f>
        <v>551.88772352</v>
      </c>
      <c r="D6322" s="39" t="n">
        <f aca="false">$C$6292*D6312*D6315+$C$6296*D6313*D6316+$C$6300*D6314*D6317</f>
        <v>1027.17879437302</v>
      </c>
      <c r="E6322" s="39" t="n">
        <f aca="false">$C$6292*E6312*E6315+$C$6296*E6313*E6316+$C$6300*E6314*E6317</f>
        <v>955.897577210165</v>
      </c>
      <c r="F6322" s="39" t="n">
        <f aca="false">$C$6292*F6312*F6315+$C$6296*F6313*F6316+$C$6300*F6314*F6317</f>
        <v>889.562930155704</v>
      </c>
      <c r="G6322" s="39" t="n">
        <f aca="false">$C$6292*G6312*G6315+$C$6296*G6313*G6316+$C$6300*G6314*G6317</f>
        <v>1217.55564</v>
      </c>
      <c r="H6322" s="39" t="n">
        <f aca="false">$C$6292*H6312*H6315+$C$6296*H6313*H6316+$C$6300*H6314*H6317</f>
        <v>1495.74229384257</v>
      </c>
      <c r="I6322" s="39" t="n">
        <f aca="false">$C$6292*I6312*I6315+$C$6296*I6313*I6316+$C$6300*I6314*I6317</f>
        <v>2676.33188629442</v>
      </c>
      <c r="J6322" s="39" t="n">
        <f aca="false">$C$6292*J6312*J6315+$C$6296*J6313*J6316+$C$6300*J6314*J6317</f>
        <v>3685.86409192847</v>
      </c>
      <c r="K6322" s="39" t="n">
        <f aca="false">$C$6292*K6312*K6315+$C$6296*K6313*K6316+$C$6300*K6314*K6317</f>
        <v>3430.08303393858</v>
      </c>
      <c r="L6322" s="39" t="n">
        <f aca="false">$C$6292*L6312*L6315+$C$6296*L6313*L6316+$C$6300*L6314*L6317</f>
        <v>3192.05193850692</v>
      </c>
      <c r="M6322" s="39" t="n">
        <f aca="false">$C$6292*M6312*M6315+$C$6296*M6313*M6316+$C$6300*M6314*M6317</f>
        <v>2970.53904448081</v>
      </c>
      <c r="N6322" s="39" t="n">
        <f aca="false">$C$6292*N6312*N6315+$C$6296*N6313*N6316+$C$6300*N6314*N6317</f>
        <v>2764.39806894635</v>
      </c>
      <c r="P6322" s="40"/>
      <c r="Q6322" s="40"/>
      <c r="R6322" s="40"/>
      <c r="S6322" s="41"/>
    </row>
    <row r="6323" customFormat="false" ht="15" hidden="false" customHeight="false" outlineLevel="0" collapsed="false">
      <c r="A6323" s="4" t="s">
        <v>490</v>
      </c>
      <c r="B6323" s="36" t="s">
        <v>491</v>
      </c>
      <c r="C6323" s="48" t="n">
        <f aca="false">$C$6304*Assumptions!$E$20*C6311*C6322</f>
        <v>6.62265268224</v>
      </c>
      <c r="D6323" s="48" t="n">
        <f aca="false">$C$6304*Assumptions!$E$20*D6311*D6322</f>
        <v>12.3261455324762</v>
      </c>
      <c r="E6323" s="48" t="n">
        <f aca="false">$C$6304*Assumptions!$E$20*E6311*E6322</f>
        <v>11.470770926522</v>
      </c>
      <c r="F6323" s="48" t="n">
        <f aca="false">$C$6304*Assumptions!$E$20*F6311*F6322</f>
        <v>10.6747551618685</v>
      </c>
      <c r="G6323" s="48" t="n">
        <f aca="false">$C$6304*Assumptions!$E$20*G6311*G6322</f>
        <v>14.61066768</v>
      </c>
      <c r="H6323" s="48" t="n">
        <f aca="false">$C$6304*Assumptions!$E$20*H6311*H6322</f>
        <v>17.9489075261109</v>
      </c>
      <c r="I6323" s="48" t="n">
        <f aca="false">$C$6304*Assumptions!$E$20*I6311*I6322</f>
        <v>32.115982635533</v>
      </c>
      <c r="J6323" s="48" t="n">
        <f aca="false">$C$6304*Assumptions!$E$20*J6311*J6322</f>
        <v>44.2303691031417</v>
      </c>
      <c r="K6323" s="48" t="n">
        <f aca="false">$C$6304*Assumptions!$E$20*K6311*K6322</f>
        <v>41.160996407263</v>
      </c>
      <c r="L6323" s="48" t="n">
        <f aca="false">$C$6304*Assumptions!$E$20*L6311*L6322</f>
        <v>38.304623262083</v>
      </c>
      <c r="M6323" s="48" t="n">
        <f aca="false">$C$6304*Assumptions!$E$20*M6311*M6322</f>
        <v>35.6464685337698</v>
      </c>
      <c r="N6323" s="48" t="n">
        <f aca="false">$C$6304*Assumptions!$E$20*N6311*N6322</f>
        <v>33.1727768273562</v>
      </c>
      <c r="P6323" s="49" t="n">
        <f aca="false">SUM(C6323:F6323)</f>
        <v>41.0943243031066</v>
      </c>
      <c r="Q6323" s="49" t="n">
        <f aca="false">SUM(G6323:J6323)</f>
        <v>108.905926944786</v>
      </c>
      <c r="R6323" s="49" t="n">
        <f aca="false">SUM(K6323:N6323)</f>
        <v>148.284865030472</v>
      </c>
      <c r="S6323" s="50" t="n">
        <f aca="false">SUM(P6323:R6323)</f>
        <v>298.285116278364</v>
      </c>
    </row>
    <row r="6324" customFormat="false" ht="15" hidden="false" customHeight="false" outlineLevel="0" collapsed="false">
      <c r="A6324" s="4" t="s">
        <v>492</v>
      </c>
      <c r="B6324" s="36" t="s">
        <v>321</v>
      </c>
      <c r="C6324" s="48" t="n">
        <f aca="false">Assumptions!$D$111</f>
        <v>0</v>
      </c>
      <c r="D6324" s="48" t="n">
        <f aca="false">Assumptions!$E$111</f>
        <v>0</v>
      </c>
      <c r="E6324" s="48" t="n">
        <f aca="false">Assumptions!$F$111</f>
        <v>0</v>
      </c>
      <c r="F6324" s="48" t="n">
        <f aca="false">Assumptions!$G$111</f>
        <v>0</v>
      </c>
      <c r="G6324" s="48" t="n">
        <f aca="false">Assumptions!$H$111</f>
        <v>0</v>
      </c>
      <c r="H6324" s="48" t="n">
        <f aca="false">Assumptions!$I$111</f>
        <v>0</v>
      </c>
      <c r="I6324" s="48" t="n">
        <f aca="false">Assumptions!$J$111</f>
        <v>0</v>
      </c>
      <c r="J6324" s="48" t="n">
        <f aca="false">Assumptions!$K$111</f>
        <v>0</v>
      </c>
      <c r="K6324" s="48" t="n">
        <f aca="false">Assumptions!$L$111</f>
        <v>0</v>
      </c>
      <c r="L6324" s="48" t="n">
        <f aca="false">Assumptions!$M$111</f>
        <v>0</v>
      </c>
      <c r="M6324" s="48" t="n">
        <f aca="false">Assumptions!$N$111</f>
        <v>0</v>
      </c>
      <c r="N6324" s="48" t="n">
        <f aca="false">Assumptions!$O$111</f>
        <v>0</v>
      </c>
      <c r="P6324" s="49" t="n">
        <f aca="false">F6324</f>
        <v>0</v>
      </c>
      <c r="Q6324" s="49" t="n">
        <f aca="false">J6324</f>
        <v>0</v>
      </c>
      <c r="R6324" s="49" t="n">
        <f aca="false">N6324</f>
        <v>0</v>
      </c>
      <c r="S6324" s="50" t="n">
        <f aca="false">R6324</f>
        <v>0</v>
      </c>
    </row>
    <row r="6325" customFormat="false" ht="15" hidden="false" customHeight="false" outlineLevel="0" collapsed="false">
      <c r="A6325" s="4" t="s">
        <v>493</v>
      </c>
      <c r="B6325" s="36" t="s">
        <v>321</v>
      </c>
      <c r="C6325" s="48" t="n">
        <f aca="false">0</f>
        <v>0</v>
      </c>
      <c r="D6325" s="48" t="n">
        <f aca="false">0.5*C6324</f>
        <v>0</v>
      </c>
      <c r="E6325" s="48" t="n">
        <f aca="false">C6324+0.5*(D6324-C6324)</f>
        <v>0</v>
      </c>
      <c r="F6325" s="48" t="n">
        <f aca="false">D6324+0.5*(E6324-D6324)</f>
        <v>0</v>
      </c>
      <c r="G6325" s="48" t="n">
        <f aca="false">E6324+0.5*(F6324-E6324)</f>
        <v>0</v>
      </c>
      <c r="H6325" s="48" t="n">
        <f aca="false">F6324+0.5*(G6324-F6324)</f>
        <v>0</v>
      </c>
      <c r="I6325" s="48" t="n">
        <f aca="false">G6324+0.5*(H6324-G6324)</f>
        <v>0</v>
      </c>
      <c r="J6325" s="48" t="n">
        <f aca="false">H6324+0.5*(I6324-H6324)</f>
        <v>0</v>
      </c>
      <c r="K6325" s="48" t="n">
        <f aca="false">I6324+0.5*(J6324-I6324)</f>
        <v>0</v>
      </c>
      <c r="L6325" s="48" t="n">
        <f aca="false">J6324+0.5*(K6324-J6324)</f>
        <v>0</v>
      </c>
      <c r="M6325" s="48" t="n">
        <f aca="false">K6324+0.5*(L6324-K6324)</f>
        <v>0</v>
      </c>
      <c r="N6325" s="48" t="n">
        <f aca="false">L6324+0.5*(M6324-L6324)</f>
        <v>0</v>
      </c>
      <c r="P6325" s="49" t="n">
        <f aca="false">F6325</f>
        <v>0</v>
      </c>
      <c r="Q6325" s="49" t="n">
        <f aca="false">J6325</f>
        <v>0</v>
      </c>
      <c r="R6325" s="49" t="n">
        <f aca="false">N6325</f>
        <v>0</v>
      </c>
      <c r="S6325" s="50" t="n">
        <f aca="false">R6325</f>
        <v>0</v>
      </c>
    </row>
    <row r="6326" customFormat="false" ht="15" hidden="false" customHeight="false" outlineLevel="0" collapsed="false">
      <c r="A6326" s="4" t="s">
        <v>494</v>
      </c>
      <c r="B6326" s="36" t="s">
        <v>485</v>
      </c>
      <c r="C6326" s="39" t="n">
        <f aca="false">MIN(C6325*Assumptions!$E$38,C6321*(1-$C$6304))</f>
        <v>0</v>
      </c>
      <c r="D6326" s="39" t="n">
        <f aca="false">MIN(D6325*Assumptions!$E$38,D6321*(1-$C$6304))</f>
        <v>0</v>
      </c>
      <c r="E6326" s="39" t="n">
        <f aca="false">MIN(E6325*Assumptions!$E$38,E6321*(1-$C$6304))</f>
        <v>0</v>
      </c>
      <c r="F6326" s="39" t="n">
        <f aca="false">MIN(F6325*Assumptions!$E$38,F6321*(1-$C$6304))</f>
        <v>0</v>
      </c>
      <c r="G6326" s="39" t="n">
        <f aca="false">MIN(G6325*Assumptions!$E$38,G6321*(1-$C$6304))</f>
        <v>0</v>
      </c>
      <c r="H6326" s="39" t="n">
        <f aca="false">MIN(H6325*Assumptions!$E$38,H6321*(1-$C$6304))</f>
        <v>0</v>
      </c>
      <c r="I6326" s="39" t="n">
        <f aca="false">MIN(I6325*Assumptions!$E$38,I6321*(1-$C$6304))</f>
        <v>0</v>
      </c>
      <c r="J6326" s="39" t="n">
        <f aca="false">MIN(J6325*Assumptions!$E$38,J6321*(1-$C$6304))</f>
        <v>0</v>
      </c>
      <c r="K6326" s="39" t="n">
        <f aca="false">MIN(K6325*Assumptions!$E$38,K6321*(1-$C$6304))</f>
        <v>0</v>
      </c>
      <c r="L6326" s="39" t="n">
        <f aca="false">MIN(L6325*Assumptions!$E$38,L6321*(1-$C$6304))</f>
        <v>0</v>
      </c>
      <c r="M6326" s="39" t="n">
        <f aca="false">MIN(M6325*Assumptions!$E$38,M6321*(1-$C$6304))</f>
        <v>0</v>
      </c>
      <c r="N6326" s="39" t="n">
        <f aca="false">MIN(N6325*Assumptions!$E$38,N6321*(1-$C$6304))</f>
        <v>0</v>
      </c>
      <c r="P6326" s="40" t="n">
        <f aca="false">SUM(C6326:F6326)</f>
        <v>0</v>
      </c>
      <c r="Q6326" s="40" t="n">
        <f aca="false">SUM(G6326:J6326)</f>
        <v>0</v>
      </c>
      <c r="R6326" s="40" t="n">
        <f aca="false">SUM(K6326:N6326)</f>
        <v>0</v>
      </c>
      <c r="S6326" s="41" t="n">
        <f aca="false">SUM(P6326:R6326)</f>
        <v>0</v>
      </c>
    </row>
    <row r="6327" customFormat="false" ht="15" hidden="false" customHeight="false" outlineLevel="0" collapsed="false">
      <c r="A6327" s="4" t="s">
        <v>495</v>
      </c>
      <c r="B6327" s="36" t="s">
        <v>491</v>
      </c>
      <c r="C6327" s="48" t="n">
        <f aca="false">C6326*Assumptions!$E$20*Assumptions!$E$39*IF(C6321&gt;0,C6322/C6321,0)*C6311</f>
        <v>0</v>
      </c>
      <c r="D6327" s="48" t="n">
        <f aca="false">D6326*Assumptions!$E$20*Assumptions!$E$39*IF(D6321&gt;0,D6322/D6321,0)*D6311</f>
        <v>0</v>
      </c>
      <c r="E6327" s="48" t="n">
        <f aca="false">E6326*Assumptions!$E$20*Assumptions!$E$39*IF(E6321&gt;0,E6322/E6321,0)*E6311</f>
        <v>0</v>
      </c>
      <c r="F6327" s="48" t="n">
        <f aca="false">F6326*Assumptions!$E$20*Assumptions!$E$39*IF(F6321&gt;0,F6322/F6321,0)*F6311</f>
        <v>0</v>
      </c>
      <c r="G6327" s="48" t="n">
        <f aca="false">G6326*Assumptions!$E$20*Assumptions!$E$39*IF(G6321&gt;0,G6322/G6321,0)*G6311</f>
        <v>0</v>
      </c>
      <c r="H6327" s="48" t="n">
        <f aca="false">H6326*Assumptions!$E$20*Assumptions!$E$39*IF(H6321&gt;0,H6322/H6321,0)*H6311</f>
        <v>0</v>
      </c>
      <c r="I6327" s="48" t="n">
        <f aca="false">I6326*Assumptions!$E$20*Assumptions!$E$39*IF(I6321&gt;0,I6322/I6321,0)*I6311</f>
        <v>0</v>
      </c>
      <c r="J6327" s="48" t="n">
        <f aca="false">J6326*Assumptions!$E$20*Assumptions!$E$39*IF(J6321&gt;0,J6322/J6321,0)*J6311</f>
        <v>0</v>
      </c>
      <c r="K6327" s="48" t="n">
        <f aca="false">K6326*Assumptions!$E$20*Assumptions!$E$39*IF(K6321&gt;0,K6322/K6321,0)*K6311</f>
        <v>0</v>
      </c>
      <c r="L6327" s="48" t="n">
        <f aca="false">L6326*Assumptions!$E$20*Assumptions!$E$39*IF(L6321&gt;0,L6322/L6321,0)*L6311</f>
        <v>0</v>
      </c>
      <c r="M6327" s="48" t="n">
        <f aca="false">M6326*Assumptions!$E$20*Assumptions!$E$39*IF(M6321&gt;0,M6322/M6321,0)*M6311</f>
        <v>0</v>
      </c>
      <c r="N6327" s="48" t="n">
        <f aca="false">N6326*Assumptions!$E$20*Assumptions!$E$39*IF(N6321&gt;0,N6322/N6321,0)*N6311</f>
        <v>0</v>
      </c>
      <c r="P6327" s="49" t="n">
        <f aca="false">SUM(C6327:F6327)</f>
        <v>0</v>
      </c>
      <c r="Q6327" s="49" t="n">
        <f aca="false">SUM(G6327:J6327)</f>
        <v>0</v>
      </c>
      <c r="R6327" s="49" t="n">
        <f aca="false">SUM(K6327:N6327)</f>
        <v>0</v>
      </c>
      <c r="S6327" s="50" t="n">
        <f aca="false">SUM(P6327:R6327)</f>
        <v>0</v>
      </c>
    </row>
    <row r="6328" customFormat="false" ht="15" hidden="false" customHeight="false" outlineLevel="0" collapsed="false">
      <c r="A6328" s="4" t="s">
        <v>496</v>
      </c>
      <c r="B6328" s="36" t="s">
        <v>497</v>
      </c>
      <c r="C6328" s="48" t="n">
        <f aca="false">IF(AND(C6321&gt;0,$C$6308&gt;0),C6321*Assumptions!$E$24*(1-EXP(-$C$6308/(Assumptions!$E$23*C6321*Assumptions!$E$24))),0)</f>
        <v>0</v>
      </c>
      <c r="D6328" s="48" t="n">
        <f aca="false">IF(AND(D6321&gt;0,$C$6308&gt;0),D6321*Assumptions!$E$24*(1-EXP(-$C$6308/(Assumptions!$E$23*D6321*Assumptions!$E$24))),0)</f>
        <v>0</v>
      </c>
      <c r="E6328" s="48" t="n">
        <f aca="false">IF(AND(E6321&gt;0,$C$6308&gt;0),E6321*Assumptions!$E$24*(1-EXP(-$C$6308/(Assumptions!$E$23*E6321*Assumptions!$E$24))),0)</f>
        <v>0</v>
      </c>
      <c r="F6328" s="48" t="n">
        <f aca="false">IF(AND(F6321&gt;0,$C$6308&gt;0),F6321*Assumptions!$E$24*(1-EXP(-$C$6308/(Assumptions!$E$23*F6321*Assumptions!$E$24))),0)</f>
        <v>0</v>
      </c>
      <c r="G6328" s="48" t="n">
        <f aca="false">IF(AND(G6321&gt;0,$C$6308&gt;0),G6321*Assumptions!$E$24*(1-EXP(-$C$6308/(Assumptions!$E$23*G6321*Assumptions!$E$24))),0)</f>
        <v>0</v>
      </c>
      <c r="H6328" s="48" t="n">
        <f aca="false">IF(AND(H6321&gt;0,$C$6308&gt;0),H6321*Assumptions!$E$24*(1-EXP(-$C$6308/(Assumptions!$E$23*H6321*Assumptions!$E$24))),0)</f>
        <v>0</v>
      </c>
      <c r="I6328" s="48" t="n">
        <f aca="false">IF(AND(I6321&gt;0,$C$6308&gt;0),I6321*Assumptions!$E$24*(1-EXP(-$C$6308/(Assumptions!$E$23*I6321*Assumptions!$E$24))),0)</f>
        <v>0</v>
      </c>
      <c r="J6328" s="48" t="n">
        <f aca="false">IF(AND(J6321&gt;0,$C$6308&gt;0),J6321*Assumptions!$E$24*(1-EXP(-$C$6308/(Assumptions!$E$23*J6321*Assumptions!$E$24))),0)</f>
        <v>0</v>
      </c>
      <c r="K6328" s="48" t="n">
        <f aca="false">IF(AND(K6321&gt;0,$C$6308&gt;0),K6321*Assumptions!$E$24*(1-EXP(-$C$6308/(Assumptions!$E$23*K6321*Assumptions!$E$24))),0)</f>
        <v>0</v>
      </c>
      <c r="L6328" s="48" t="n">
        <f aca="false">IF(AND(L6321&gt;0,$C$6308&gt;0),L6321*Assumptions!$E$24*(1-EXP(-$C$6308/(Assumptions!$E$23*L6321*Assumptions!$E$24))),0)</f>
        <v>0</v>
      </c>
      <c r="M6328" s="48" t="n">
        <f aca="false">IF(AND(M6321&gt;0,$C$6308&gt;0),M6321*Assumptions!$E$24*(1-EXP(-$C$6308/(Assumptions!$E$23*M6321*Assumptions!$E$24))),0)</f>
        <v>0</v>
      </c>
      <c r="N6328" s="48" t="n">
        <f aca="false">IF(AND(N6321&gt;0,$C$6308&gt;0),N6321*Assumptions!$E$24*(1-EXP(-$C$6308/(Assumptions!$E$23*N6321*Assumptions!$E$24))),0)</f>
        <v>0</v>
      </c>
      <c r="P6328" s="49" t="n">
        <f aca="false">SUM(C6328:F6328)</f>
        <v>0</v>
      </c>
      <c r="Q6328" s="49" t="n">
        <f aca="false">SUM(G6328:J6328)</f>
        <v>0</v>
      </c>
      <c r="R6328" s="49" t="n">
        <f aca="false">SUM(K6328:N6328)</f>
        <v>0</v>
      </c>
      <c r="S6328" s="50" t="n">
        <f aca="false">SUM(P6328:R6328)</f>
        <v>0</v>
      </c>
    </row>
    <row r="6329" customFormat="false" ht="15" hidden="false" customHeight="false" outlineLevel="0" collapsed="false">
      <c r="A6329" s="4" t="s">
        <v>498</v>
      </c>
      <c r="B6329" s="36" t="s">
        <v>497</v>
      </c>
      <c r="C6329" s="48" t="n">
        <f aca="false">(C6321*Assumptions!$E$22*MIN(1,Assumptions!$D$103/Assumptions!$E$78)+C6328)*C6311</f>
        <v>5.5188772352</v>
      </c>
      <c r="D6329" s="48" t="n">
        <f aca="false">(D6321*Assumptions!$E$22*MIN(1,Assumptions!$D$103/Assumptions!$E$78)+D6328)*D6311</f>
        <v>11.0377544704</v>
      </c>
      <c r="E6329" s="48" t="n">
        <f aca="false">(E6321*Assumptions!$E$22*MIN(1,Assumptions!$D$103/Assumptions!$E$78)+E6328)*E6311</f>
        <v>11.0377544704</v>
      </c>
      <c r="F6329" s="48" t="n">
        <f aca="false">(F6321*Assumptions!$E$22*MIN(1,Assumptions!$D$103/Assumptions!$E$78)+F6328)*F6311</f>
        <v>11.0377544704</v>
      </c>
      <c r="G6329" s="48" t="n">
        <f aca="false">(G6321*Assumptions!$E$22*MIN(1,Assumptions!$D$103/Assumptions!$E$78)+G6328)*G6311</f>
        <v>14.9349950176</v>
      </c>
      <c r="H6329" s="48" t="n">
        <f aca="false">(H6321*Assumptions!$E$22*MIN(1,Assumptions!$D$103/Assumptions!$E$78)+H6328)*H6311</f>
        <v>18.8322355648</v>
      </c>
      <c r="I6329" s="48" t="n">
        <f aca="false">(I6321*Assumptions!$E$22*MIN(1,Assumptions!$D$103/Assumptions!$E$78)+I6328)*I6311</f>
        <v>31.6761039616</v>
      </c>
      <c r="J6329" s="48" t="n">
        <f aca="false">(J6321*Assumptions!$E$22*MIN(1,Assumptions!$D$103/Assumptions!$E$78)+J6328)*J6311</f>
        <v>44.5199723584</v>
      </c>
      <c r="K6329" s="48" t="n">
        <f aca="false">(K6321*Assumptions!$E$22*MIN(1,Assumptions!$D$103/Assumptions!$E$78)+K6328)*K6311</f>
        <v>44.5199723584</v>
      </c>
      <c r="L6329" s="48" t="n">
        <f aca="false">(L6321*Assumptions!$E$22*MIN(1,Assumptions!$D$103/Assumptions!$E$78)+L6328)*L6311</f>
        <v>44.5199723584</v>
      </c>
      <c r="M6329" s="48" t="n">
        <f aca="false">(M6321*Assumptions!$E$22*MIN(1,Assumptions!$D$103/Assumptions!$E$78)+M6328)*M6311</f>
        <v>44.5199723584</v>
      </c>
      <c r="N6329" s="48" t="n">
        <f aca="false">(N6321*Assumptions!$E$22*MIN(1,Assumptions!$D$103/Assumptions!$E$78)+N6328)*N6311</f>
        <v>44.5199723584</v>
      </c>
      <c r="P6329" s="49" t="n">
        <f aca="false">SUM(C6329:F6329)</f>
        <v>38.6321406464</v>
      </c>
      <c r="Q6329" s="49" t="n">
        <f aca="false">SUM(G6329:J6329)</f>
        <v>109.9633069024</v>
      </c>
      <c r="R6329" s="49" t="n">
        <f aca="false">SUM(K6329:N6329)</f>
        <v>178.0798894336</v>
      </c>
      <c r="S6329" s="50" t="n">
        <f aca="false">SUM(P6329:R6329)</f>
        <v>326.6753369824</v>
      </c>
    </row>
    <row r="6330" customFormat="false" ht="15" hidden="false" customHeight="false" outlineLevel="0" collapsed="false">
      <c r="A6330" s="4" t="s">
        <v>499</v>
      </c>
      <c r="B6330" s="36" t="s">
        <v>500</v>
      </c>
      <c r="C6330" s="48" t="n">
        <f aca="false">C6311*MIN(Assumptions!$E$27,Assumptions!$E$25+Assumptions!$E$26*(C6310-1))*Assumptions!$D$107</f>
        <v>2</v>
      </c>
      <c r="D6330" s="48" t="n">
        <f aca="false">D6311*MIN(Assumptions!$E$27,Assumptions!$E$25+Assumptions!$E$26*(D6310-1))*Assumptions!$D$107</f>
        <v>3</v>
      </c>
      <c r="E6330" s="48" t="n">
        <f aca="false">E6311*MIN(Assumptions!$E$27,Assumptions!$E$25+Assumptions!$E$26*(E6310-1))*Assumptions!$D$107</f>
        <v>4</v>
      </c>
      <c r="F6330" s="48" t="n">
        <f aca="false">F6311*MIN(Assumptions!$E$27,Assumptions!$E$25+Assumptions!$E$26*(F6310-1))*Assumptions!$D$107</f>
        <v>5</v>
      </c>
      <c r="G6330" s="48" t="n">
        <f aca="false">G6311*MIN(Assumptions!$E$27,Assumptions!$E$25+Assumptions!$E$26*(G6310-1))*Assumptions!$D$107</f>
        <v>6</v>
      </c>
      <c r="H6330" s="48" t="n">
        <f aca="false">H6311*MIN(Assumptions!$E$27,Assumptions!$E$25+Assumptions!$E$26*(H6310-1))*Assumptions!$D$107</f>
        <v>7</v>
      </c>
      <c r="I6330" s="48" t="n">
        <f aca="false">I6311*MIN(Assumptions!$E$27,Assumptions!$E$25+Assumptions!$E$26*(I6310-1))*Assumptions!$D$107</f>
        <v>8</v>
      </c>
      <c r="J6330" s="48" t="n">
        <f aca="false">J6311*MIN(Assumptions!$E$27,Assumptions!$E$25+Assumptions!$E$26*(J6310-1))*Assumptions!$D$107</f>
        <v>9</v>
      </c>
      <c r="K6330" s="48" t="n">
        <f aca="false">K6311*MIN(Assumptions!$E$27,Assumptions!$E$25+Assumptions!$E$26*(K6310-1))*Assumptions!$D$107</f>
        <v>10</v>
      </c>
      <c r="L6330" s="48" t="n">
        <f aca="false">L6311*MIN(Assumptions!$E$27,Assumptions!$E$25+Assumptions!$E$26*(L6310-1))*Assumptions!$D$107</f>
        <v>10</v>
      </c>
      <c r="M6330" s="48" t="n">
        <f aca="false">M6311*MIN(Assumptions!$E$27,Assumptions!$E$25+Assumptions!$E$26*(M6310-1))*Assumptions!$D$107</f>
        <v>10</v>
      </c>
      <c r="N6330" s="48" t="n">
        <f aca="false">N6311*MIN(Assumptions!$E$27,Assumptions!$E$25+Assumptions!$E$26*(N6310-1))*Assumptions!$D$107</f>
        <v>10</v>
      </c>
      <c r="P6330" s="49" t="n">
        <f aca="false">F6330</f>
        <v>5</v>
      </c>
      <c r="Q6330" s="49" t="n">
        <f aca="false">J6330</f>
        <v>9</v>
      </c>
      <c r="R6330" s="49" t="n">
        <f aca="false">N6330</f>
        <v>10</v>
      </c>
      <c r="S6330" s="50" t="n">
        <f aca="false">R6330</f>
        <v>10</v>
      </c>
    </row>
    <row r="6331" customFormat="false" ht="15" hidden="false" customHeight="false" outlineLevel="0" collapsed="false">
      <c r="A6331" s="4" t="s">
        <v>501</v>
      </c>
      <c r="B6331" s="36" t="s">
        <v>502</v>
      </c>
      <c r="C6331" s="48" t="n">
        <f aca="false">C6330*Assumptions!$E$28</f>
        <v>6</v>
      </c>
      <c r="D6331" s="48" t="n">
        <f aca="false">D6330*Assumptions!$E$28</f>
        <v>9</v>
      </c>
      <c r="E6331" s="48" t="n">
        <f aca="false">E6330*Assumptions!$E$28</f>
        <v>12</v>
      </c>
      <c r="F6331" s="48" t="n">
        <f aca="false">F6330*Assumptions!$E$28</f>
        <v>15</v>
      </c>
      <c r="G6331" s="48" t="n">
        <f aca="false">G6330*Assumptions!$E$28</f>
        <v>18</v>
      </c>
      <c r="H6331" s="48" t="n">
        <f aca="false">H6330*Assumptions!$E$28</f>
        <v>21</v>
      </c>
      <c r="I6331" s="48" t="n">
        <f aca="false">I6330*Assumptions!$E$28</f>
        <v>24</v>
      </c>
      <c r="J6331" s="48" t="n">
        <f aca="false">J6330*Assumptions!$E$28</f>
        <v>27</v>
      </c>
      <c r="K6331" s="48" t="n">
        <f aca="false">K6330*Assumptions!$E$28</f>
        <v>30</v>
      </c>
      <c r="L6331" s="48" t="n">
        <f aca="false">L6330*Assumptions!$E$28</f>
        <v>30</v>
      </c>
      <c r="M6331" s="48" t="n">
        <f aca="false">M6330*Assumptions!$E$28</f>
        <v>30</v>
      </c>
      <c r="N6331" s="48" t="n">
        <f aca="false">N6330*Assumptions!$E$28</f>
        <v>30</v>
      </c>
      <c r="P6331" s="49" t="n">
        <f aca="false">SUM(C6331:F6331)</f>
        <v>42</v>
      </c>
      <c r="Q6331" s="49" t="n">
        <f aca="false">SUM(G6331:J6331)</f>
        <v>90</v>
      </c>
      <c r="R6331" s="49" t="n">
        <f aca="false">SUM(K6331:N6331)</f>
        <v>120</v>
      </c>
      <c r="S6331" s="50" t="n">
        <f aca="false">SUM(P6331:R6331)</f>
        <v>252</v>
      </c>
    </row>
    <row r="6332" customFormat="false" ht="15" hidden="false" customHeight="false" outlineLevel="0" collapsed="false">
      <c r="A6332" s="4" t="s">
        <v>503</v>
      </c>
      <c r="B6332" s="36" t="s">
        <v>504</v>
      </c>
      <c r="C6332" s="48" t="n">
        <f aca="false">(C6323+C6327)*Assumptions!$E$29</f>
        <v>2.649061072896</v>
      </c>
      <c r="D6332" s="48" t="n">
        <f aca="false">(D6323+D6327)*Assumptions!$E$29</f>
        <v>4.93045821299048</v>
      </c>
      <c r="E6332" s="48" t="n">
        <f aca="false">(E6323+E6327)*Assumptions!$E$29</f>
        <v>4.58830837060879</v>
      </c>
      <c r="F6332" s="48" t="n">
        <f aca="false">(F6323+F6327)*Assumptions!$E$29</f>
        <v>4.26990206474738</v>
      </c>
      <c r="G6332" s="48" t="n">
        <f aca="false">(G6323+G6327)*Assumptions!$E$29</f>
        <v>5.844267072</v>
      </c>
      <c r="H6332" s="48" t="n">
        <f aca="false">(H6323+H6327)*Assumptions!$E$29</f>
        <v>7.17956301044434</v>
      </c>
      <c r="I6332" s="48" t="n">
        <f aca="false">(I6323+I6327)*Assumptions!$E$29</f>
        <v>12.8463930542132</v>
      </c>
      <c r="J6332" s="48" t="n">
        <f aca="false">(J6323+J6327)*Assumptions!$E$29</f>
        <v>17.6921476412567</v>
      </c>
      <c r="K6332" s="48" t="n">
        <f aca="false">(K6323+K6327)*Assumptions!$E$29</f>
        <v>16.4643985629052</v>
      </c>
      <c r="L6332" s="48" t="n">
        <f aca="false">(L6323+L6327)*Assumptions!$E$29</f>
        <v>15.3218493048332</v>
      </c>
      <c r="M6332" s="48" t="n">
        <f aca="false">(M6323+M6327)*Assumptions!$E$29</f>
        <v>14.2585874135079</v>
      </c>
      <c r="N6332" s="48" t="n">
        <f aca="false">(N6323+N6327)*Assumptions!$E$29</f>
        <v>13.2691107309425</v>
      </c>
      <c r="P6332" s="49" t="n">
        <f aca="false">SUM(C6332:F6332)</f>
        <v>16.4377297212427</v>
      </c>
      <c r="Q6332" s="49" t="n">
        <f aca="false">SUM(G6332:J6332)</f>
        <v>43.5623707779142</v>
      </c>
      <c r="R6332" s="49" t="n">
        <f aca="false">SUM(K6332:N6332)</f>
        <v>59.3139460121888</v>
      </c>
      <c r="S6332" s="50" t="n">
        <f aca="false">SUM(P6332:R6332)</f>
        <v>119.314046511346</v>
      </c>
    </row>
    <row r="6333" customFormat="false" ht="15" hidden="false" customHeight="false" outlineLevel="0" collapsed="false">
      <c r="A6333" s="4" t="s">
        <v>505</v>
      </c>
      <c r="B6333" s="36" t="s">
        <v>504</v>
      </c>
      <c r="C6333" s="48" t="n">
        <f aca="false">C6329*Assumptions!$E$31</f>
        <v>0.883020357632</v>
      </c>
      <c r="D6333" s="48" t="n">
        <f aca="false">D6329*Assumptions!$E$31</f>
        <v>1.766040715264</v>
      </c>
      <c r="E6333" s="48" t="n">
        <f aca="false">E6329*Assumptions!$E$31</f>
        <v>1.766040715264</v>
      </c>
      <c r="F6333" s="48" t="n">
        <f aca="false">F6329*Assumptions!$E$31</f>
        <v>1.766040715264</v>
      </c>
      <c r="G6333" s="48" t="n">
        <f aca="false">G6329*Assumptions!$E$31</f>
        <v>2.389599202816</v>
      </c>
      <c r="H6333" s="48" t="n">
        <f aca="false">H6329*Assumptions!$E$31</f>
        <v>3.013157690368</v>
      </c>
      <c r="I6333" s="48" t="n">
        <f aca="false">I6329*Assumptions!$E$31</f>
        <v>5.068176633856</v>
      </c>
      <c r="J6333" s="48" t="n">
        <f aca="false">J6329*Assumptions!$E$31</f>
        <v>7.123195577344</v>
      </c>
      <c r="K6333" s="48" t="n">
        <f aca="false">K6329*Assumptions!$E$31</f>
        <v>7.123195577344</v>
      </c>
      <c r="L6333" s="48" t="n">
        <f aca="false">L6329*Assumptions!$E$31</f>
        <v>7.123195577344</v>
      </c>
      <c r="M6333" s="48" t="n">
        <f aca="false">M6329*Assumptions!$E$31</f>
        <v>7.123195577344</v>
      </c>
      <c r="N6333" s="48" t="n">
        <f aca="false">N6329*Assumptions!$E$31</f>
        <v>7.123195577344</v>
      </c>
      <c r="P6333" s="49" t="n">
        <f aca="false">SUM(C6333:F6333)</f>
        <v>6.181142503424</v>
      </c>
      <c r="Q6333" s="49" t="n">
        <f aca="false">SUM(G6333:J6333)</f>
        <v>17.594129104384</v>
      </c>
      <c r="R6333" s="49" t="n">
        <f aca="false">SUM(K6333:N6333)</f>
        <v>28.492782309376</v>
      </c>
      <c r="S6333" s="50" t="n">
        <f aca="false">SUM(P6333:R6333)</f>
        <v>52.268053917184</v>
      </c>
    </row>
    <row r="6334" customFormat="false" ht="15" hidden="false" customHeight="false" outlineLevel="0" collapsed="false">
      <c r="A6334" s="4" t="s">
        <v>506</v>
      </c>
      <c r="B6334" s="36" t="s">
        <v>504</v>
      </c>
      <c r="C6334" s="48" t="n">
        <f aca="false">C6331*Assumptions!$E$30</f>
        <v>3</v>
      </c>
      <c r="D6334" s="48" t="n">
        <f aca="false">D6331*Assumptions!$E$30</f>
        <v>4.5</v>
      </c>
      <c r="E6334" s="48" t="n">
        <f aca="false">E6331*Assumptions!$E$30</f>
        <v>6</v>
      </c>
      <c r="F6334" s="48" t="n">
        <f aca="false">F6331*Assumptions!$E$30</f>
        <v>7.5</v>
      </c>
      <c r="G6334" s="48" t="n">
        <f aca="false">G6331*Assumptions!$E$30</f>
        <v>9</v>
      </c>
      <c r="H6334" s="48" t="n">
        <f aca="false">H6331*Assumptions!$E$30</f>
        <v>10.5</v>
      </c>
      <c r="I6334" s="48" t="n">
        <f aca="false">I6331*Assumptions!$E$30</f>
        <v>12</v>
      </c>
      <c r="J6334" s="48" t="n">
        <f aca="false">J6331*Assumptions!$E$30</f>
        <v>13.5</v>
      </c>
      <c r="K6334" s="48" t="n">
        <f aca="false">K6331*Assumptions!$E$30</f>
        <v>15</v>
      </c>
      <c r="L6334" s="48" t="n">
        <f aca="false">L6331*Assumptions!$E$30</f>
        <v>15</v>
      </c>
      <c r="M6334" s="48" t="n">
        <f aca="false">M6331*Assumptions!$E$30</f>
        <v>15</v>
      </c>
      <c r="N6334" s="48" t="n">
        <f aca="false">N6331*Assumptions!$E$30</f>
        <v>15</v>
      </c>
      <c r="P6334" s="49" t="n">
        <f aca="false">SUM(C6334:F6334)</f>
        <v>21</v>
      </c>
      <c r="Q6334" s="49" t="n">
        <f aca="false">SUM(G6334:J6334)</f>
        <v>45</v>
      </c>
      <c r="R6334" s="49" t="n">
        <f aca="false">SUM(K6334:N6334)</f>
        <v>60</v>
      </c>
      <c r="S6334" s="50" t="n">
        <f aca="false">SUM(P6334:R6334)</f>
        <v>126</v>
      </c>
    </row>
    <row r="6335" customFormat="false" ht="15" hidden="false" customHeight="false" outlineLevel="0" collapsed="false">
      <c r="A6335" s="9" t="s">
        <v>507</v>
      </c>
      <c r="B6335" s="36" t="s">
        <v>504</v>
      </c>
      <c r="C6335" s="49" t="n">
        <f aca="false">C6332+C6333+C6334</f>
        <v>6.532081430528</v>
      </c>
      <c r="D6335" s="49" t="n">
        <f aca="false">D6332+D6333+D6334</f>
        <v>11.1964989282545</v>
      </c>
      <c r="E6335" s="49" t="n">
        <f aca="false">E6332+E6333+E6334</f>
        <v>12.3543490858728</v>
      </c>
      <c r="F6335" s="49" t="n">
        <f aca="false">F6332+F6333+F6334</f>
        <v>13.5359427800114</v>
      </c>
      <c r="G6335" s="49" t="n">
        <f aca="false">G6332+G6333+G6334</f>
        <v>17.233866274816</v>
      </c>
      <c r="H6335" s="49" t="n">
        <f aca="false">H6332+H6333+H6334</f>
        <v>20.6927207008123</v>
      </c>
      <c r="I6335" s="49" t="n">
        <f aca="false">I6332+I6333+I6334</f>
        <v>29.9145696880692</v>
      </c>
      <c r="J6335" s="49" t="n">
        <f aca="false">J6332+J6333+J6334</f>
        <v>38.3153432186007</v>
      </c>
      <c r="K6335" s="49" t="n">
        <f aca="false">K6332+K6333+K6334</f>
        <v>38.5875941402492</v>
      </c>
      <c r="L6335" s="49" t="n">
        <f aca="false">L6332+L6333+L6334</f>
        <v>37.4450448821772</v>
      </c>
      <c r="M6335" s="49" t="n">
        <f aca="false">M6332+M6333+M6334</f>
        <v>36.3817829908519</v>
      </c>
      <c r="N6335" s="49" t="n">
        <f aca="false">N6332+N6333+N6334</f>
        <v>35.3923063082865</v>
      </c>
      <c r="P6335" s="49" t="n">
        <f aca="false">SUM(C6335:F6335)</f>
        <v>43.6188722246667</v>
      </c>
      <c r="Q6335" s="49" t="n">
        <f aca="false">SUM(G6335:J6335)</f>
        <v>106.156499882298</v>
      </c>
      <c r="R6335" s="49" t="n">
        <f aca="false">SUM(K6335:N6335)</f>
        <v>147.806728321565</v>
      </c>
      <c r="S6335" s="50" t="n">
        <f aca="false">SUM(P6335:R6335)</f>
        <v>297.58210042853</v>
      </c>
    </row>
    <row r="6336" customFormat="false" ht="15" hidden="false" customHeight="false" outlineLevel="0" collapsed="false">
      <c r="A6336" s="4" t="s">
        <v>508</v>
      </c>
      <c r="B6336" s="36" t="s">
        <v>509</v>
      </c>
      <c r="C6336" s="48" t="n">
        <f aca="false">C6318</f>
        <v>421.51972352</v>
      </c>
      <c r="D6336" s="48" t="n">
        <f aca="false">D6318</f>
        <v>843.03944704</v>
      </c>
      <c r="E6336" s="48" t="n">
        <f aca="false">E6318</f>
        <v>843.03944704</v>
      </c>
      <c r="F6336" s="48" t="n">
        <f aca="false">F6318</f>
        <v>843.03944704</v>
      </c>
      <c r="G6336" s="48" t="n">
        <f aca="false">G6318</f>
        <v>1149.32798176</v>
      </c>
      <c r="H6336" s="48" t="n">
        <f aca="false">H6318</f>
        <v>1455.61651648</v>
      </c>
      <c r="I6336" s="48" t="n">
        <f aca="false">I6318</f>
        <v>2486.00303616</v>
      </c>
      <c r="J6336" s="48" t="n">
        <f aca="false">J6318</f>
        <v>3516.38955584</v>
      </c>
      <c r="K6336" s="48" t="n">
        <f aca="false">K6318</f>
        <v>3516.38955584</v>
      </c>
      <c r="L6336" s="48" t="n">
        <f aca="false">L6318</f>
        <v>3516.38955584</v>
      </c>
      <c r="M6336" s="48" t="n">
        <f aca="false">M6318</f>
        <v>3516.38955584</v>
      </c>
      <c r="N6336" s="48" t="n">
        <f aca="false">N6318</f>
        <v>3516.38955584</v>
      </c>
      <c r="P6336" s="49"/>
      <c r="Q6336" s="49"/>
      <c r="R6336" s="49"/>
      <c r="S6336" s="50"/>
    </row>
    <row r="6337" customFormat="false" ht="15" hidden="false" customHeight="false" outlineLevel="0" collapsed="false">
      <c r="A6337" s="4" t="s">
        <v>510</v>
      </c>
      <c r="B6337" s="36" t="s">
        <v>509</v>
      </c>
      <c r="C6337" s="48" t="n">
        <f aca="false">C6319*Assumptions!$E$18*Assumptions!$E$33</f>
        <v>211.19616</v>
      </c>
      <c r="D6337" s="48" t="n">
        <f aca="false">D6319*Assumptions!$E$18*Assumptions!$E$33</f>
        <v>422.39232</v>
      </c>
      <c r="E6337" s="48" t="n">
        <f aca="false">E6319*Assumptions!$E$18*Assumptions!$E$33</f>
        <v>422.39232</v>
      </c>
      <c r="F6337" s="48" t="n">
        <f aca="false">F6319*Assumptions!$E$18*Assumptions!$E$33</f>
        <v>422.39232</v>
      </c>
      <c r="G6337" s="48" t="n">
        <f aca="false">G6319*Assumptions!$E$18*Assumptions!$E$33</f>
        <v>564.49344</v>
      </c>
      <c r="H6337" s="48" t="n">
        <f aca="false">H6319*Assumptions!$E$18*Assumptions!$E$33</f>
        <v>706.59456</v>
      </c>
      <c r="I6337" s="48" t="n">
        <f aca="false">I6319*Assumptions!$E$18*Assumptions!$E$33</f>
        <v>1135.07072</v>
      </c>
      <c r="J6337" s="48" t="n">
        <f aca="false">J6319*Assumptions!$E$18*Assumptions!$E$33</f>
        <v>1563.54688</v>
      </c>
      <c r="K6337" s="48" t="n">
        <f aca="false">K6319*Assumptions!$E$18*Assumptions!$E$33</f>
        <v>1563.54688</v>
      </c>
      <c r="L6337" s="48" t="n">
        <f aca="false">L6319*Assumptions!$E$18*Assumptions!$E$33</f>
        <v>1563.54688</v>
      </c>
      <c r="M6337" s="48" t="n">
        <f aca="false">M6319*Assumptions!$E$18*Assumptions!$E$33</f>
        <v>1563.54688</v>
      </c>
      <c r="N6337" s="48" t="n">
        <f aca="false">N6319*Assumptions!$E$18*Assumptions!$E$33</f>
        <v>1563.54688</v>
      </c>
      <c r="P6337" s="49"/>
      <c r="Q6337" s="49"/>
      <c r="R6337" s="49"/>
      <c r="S6337" s="50"/>
    </row>
    <row r="6338" customFormat="false" ht="15" hidden="false" customHeight="false" outlineLevel="0" collapsed="false">
      <c r="A6338" s="4" t="s">
        <v>511</v>
      </c>
      <c r="B6338" s="36" t="s">
        <v>509</v>
      </c>
      <c r="C6338" s="48" t="n">
        <f aca="false">C6320*Assumptions!$E$19*Assumptions!$E$34</f>
        <v>34.677888</v>
      </c>
      <c r="D6338" s="48" t="n">
        <f aca="false">D6320*Assumptions!$E$19*Assumptions!$E$34</f>
        <v>69.355776</v>
      </c>
      <c r="E6338" s="48" t="n">
        <f aca="false">E6320*Assumptions!$E$19*Assumptions!$E$34</f>
        <v>69.355776</v>
      </c>
      <c r="F6338" s="48" t="n">
        <f aca="false">F6320*Assumptions!$E$19*Assumptions!$E$34</f>
        <v>69.355776</v>
      </c>
      <c r="G6338" s="48" t="n">
        <f aca="false">G6320*Assumptions!$E$19*Assumptions!$E$34</f>
        <v>86.69472</v>
      </c>
      <c r="H6338" s="48" t="n">
        <f aca="false">H6320*Assumptions!$E$19*Assumptions!$E$34</f>
        <v>104.033664</v>
      </c>
      <c r="I6338" s="48" t="n">
        <f aca="false">I6320*Assumptions!$E$19*Assumptions!$E$34</f>
        <v>159.7008</v>
      </c>
      <c r="J6338" s="48" t="n">
        <f aca="false">J6320*Assumptions!$E$19*Assumptions!$E$34</f>
        <v>215.367936</v>
      </c>
      <c r="K6338" s="48" t="n">
        <f aca="false">K6320*Assumptions!$E$19*Assumptions!$E$34</f>
        <v>215.367936</v>
      </c>
      <c r="L6338" s="48" t="n">
        <f aca="false">L6320*Assumptions!$E$19*Assumptions!$E$34</f>
        <v>215.367936</v>
      </c>
      <c r="M6338" s="48" t="n">
        <f aca="false">M6320*Assumptions!$E$19*Assumptions!$E$34</f>
        <v>215.367936</v>
      </c>
      <c r="N6338" s="48" t="n">
        <f aca="false">N6320*Assumptions!$E$19*Assumptions!$E$34</f>
        <v>215.367936</v>
      </c>
      <c r="P6338" s="49"/>
      <c r="Q6338" s="49"/>
      <c r="R6338" s="49"/>
      <c r="S6338" s="50"/>
    </row>
    <row r="6339" customFormat="false" ht="15" hidden="false" customHeight="false" outlineLevel="0" collapsed="false">
      <c r="A6339" s="4" t="s">
        <v>512</v>
      </c>
      <c r="B6339" s="36" t="s">
        <v>77</v>
      </c>
      <c r="C6339" s="51" t="n">
        <f aca="false">IFERROR(C6336/(C6336+C6337+C6338),0)</f>
        <v>0.631590736245533</v>
      </c>
      <c r="D6339" s="51" t="n">
        <f aca="false">IFERROR(D6336/(D6336+D6337+D6338),0)</f>
        <v>0.631590736245533</v>
      </c>
      <c r="E6339" s="51" t="n">
        <f aca="false">IFERROR(E6336/(E6336+E6337+E6338),0)</f>
        <v>0.631590736245533</v>
      </c>
      <c r="F6339" s="51" t="n">
        <f aca="false">IFERROR(F6336/(F6336+F6337+F6338),0)</f>
        <v>0.631590736245533</v>
      </c>
      <c r="G6339" s="51" t="n">
        <f aca="false">IFERROR(G6336/(G6336+G6337+G6338),0)</f>
        <v>0.638332506498128</v>
      </c>
      <c r="H6339" s="51" t="n">
        <f aca="false">IFERROR(H6336/(H6336+H6337+H6338),0)</f>
        <v>0.642303318118984</v>
      </c>
      <c r="I6339" s="51" t="n">
        <f aca="false">IFERROR(I6336/(I6336+I6337+I6338),0)</f>
        <v>0.657538025405288</v>
      </c>
      <c r="J6339" s="51" t="n">
        <f aca="false">IFERROR(J6336/(J6336+J6337+J6338),0)</f>
        <v>0.664058061428891</v>
      </c>
      <c r="K6339" s="51" t="n">
        <f aca="false">IFERROR(K6336/(K6336+K6337+K6338),0)</f>
        <v>0.664058061428891</v>
      </c>
      <c r="L6339" s="51" t="n">
        <f aca="false">IFERROR(L6336/(L6336+L6337+L6338),0)</f>
        <v>0.664058061428891</v>
      </c>
      <c r="M6339" s="51" t="n">
        <f aca="false">IFERROR(M6336/(M6336+M6337+M6338),0)</f>
        <v>0.664058061428891</v>
      </c>
      <c r="N6339" s="51" t="n">
        <f aca="false">IFERROR(N6336/(N6336+N6337+N6338),0)</f>
        <v>0.664058061428891</v>
      </c>
      <c r="P6339" s="52"/>
      <c r="Q6339" s="52"/>
      <c r="R6339" s="52"/>
      <c r="S6339" s="53"/>
    </row>
    <row r="6340" customFormat="false" ht="15" hidden="false" customHeight="false" outlineLevel="0" collapsed="false">
      <c r="A6340" s="4" t="s">
        <v>513</v>
      </c>
      <c r="B6340" s="36" t="s">
        <v>77</v>
      </c>
      <c r="C6340" s="51" t="n">
        <f aca="false">IFERROR(C6337/(C6336+C6337+C6338),0)</f>
        <v>0.316449102482628</v>
      </c>
      <c r="D6340" s="51" t="n">
        <f aca="false">IFERROR(D6337/(D6336+D6337+D6338),0)</f>
        <v>0.316449102482628</v>
      </c>
      <c r="E6340" s="51" t="n">
        <f aca="false">IFERROR(E6337/(E6336+E6337+E6338),0)</f>
        <v>0.316449102482628</v>
      </c>
      <c r="F6340" s="51" t="n">
        <f aca="false">IFERROR(F6337/(F6336+F6337+F6338),0)</f>
        <v>0.316449102482628</v>
      </c>
      <c r="G6340" s="51" t="n">
        <f aca="false">IFERROR(G6337/(G6336+G6337+G6338),0)</f>
        <v>0.313517566939561</v>
      </c>
      <c r="H6340" s="51" t="n">
        <f aca="false">IFERROR(H6337/(H6336+H6337+H6338),0)</f>
        <v>0.311790932099567</v>
      </c>
      <c r="I6340" s="51" t="n">
        <f aca="false">IFERROR(I6337/(I6336+I6337+I6338),0)</f>
        <v>0.300221741111391</v>
      </c>
      <c r="J6340" s="51" t="n">
        <f aca="false">IFERROR(J6337/(J6336+J6337+J6338),0)</f>
        <v>0.295270445324128</v>
      </c>
      <c r="K6340" s="51" t="n">
        <f aca="false">IFERROR(K6337/(K6336+K6337+K6338),0)</f>
        <v>0.295270445324128</v>
      </c>
      <c r="L6340" s="51" t="n">
        <f aca="false">IFERROR(L6337/(L6336+L6337+L6338),0)</f>
        <v>0.295270445324128</v>
      </c>
      <c r="M6340" s="51" t="n">
        <f aca="false">IFERROR(M6337/(M6336+M6337+M6338),0)</f>
        <v>0.295270445324128</v>
      </c>
      <c r="N6340" s="51" t="n">
        <f aca="false">IFERROR(N6337/(N6336+N6337+N6338),0)</f>
        <v>0.295270445324128</v>
      </c>
      <c r="P6340" s="52"/>
      <c r="Q6340" s="52"/>
      <c r="R6340" s="52"/>
      <c r="S6340" s="53"/>
    </row>
    <row r="6341" customFormat="false" ht="15" hidden="false" customHeight="false" outlineLevel="0" collapsed="false">
      <c r="A6341" s="4" t="s">
        <v>514</v>
      </c>
      <c r="B6341" s="36" t="s">
        <v>77</v>
      </c>
      <c r="C6341" s="51" t="n">
        <f aca="false">IFERROR(C6338/(C6336+C6337+C6338),0)</f>
        <v>0.0519601612718389</v>
      </c>
      <c r="D6341" s="51" t="n">
        <f aca="false">IFERROR(D6338/(D6336+D6337+D6338),0)</f>
        <v>0.0519601612718389</v>
      </c>
      <c r="E6341" s="51" t="n">
        <f aca="false">IFERROR(E6338/(E6336+E6337+E6338),0)</f>
        <v>0.0519601612718389</v>
      </c>
      <c r="F6341" s="51" t="n">
        <f aca="false">IFERROR(F6338/(F6336+F6337+F6338),0)</f>
        <v>0.0519601612718389</v>
      </c>
      <c r="G6341" s="51" t="n">
        <f aca="false">IFERROR(G6338/(G6336+G6337+G6338),0)</f>
        <v>0.0481499265623113</v>
      </c>
      <c r="H6341" s="51" t="n">
        <f aca="false">IFERROR(H6338/(H6336+H6337+H6338),0)</f>
        <v>0.0459057497814491</v>
      </c>
      <c r="I6341" s="51" t="n">
        <f aca="false">IFERROR(I6338/(I6336+I6337+I6338),0)</f>
        <v>0.0422402334833216</v>
      </c>
      <c r="J6341" s="51" t="n">
        <f aca="false">IFERROR(J6338/(J6336+J6337+J6338),0)</f>
        <v>0.0406714932469811</v>
      </c>
      <c r="K6341" s="51" t="n">
        <f aca="false">IFERROR(K6338/(K6336+K6337+K6338),0)</f>
        <v>0.0406714932469811</v>
      </c>
      <c r="L6341" s="51" t="n">
        <f aca="false">IFERROR(L6338/(L6336+L6337+L6338),0)</f>
        <v>0.0406714932469811</v>
      </c>
      <c r="M6341" s="51" t="n">
        <f aca="false">IFERROR(M6338/(M6336+M6337+M6338),0)</f>
        <v>0.0406714932469811</v>
      </c>
      <c r="N6341" s="51" t="n">
        <f aca="false">IFERROR(N6338/(N6336+N6337+N6338),0)</f>
        <v>0.0406714932469811</v>
      </c>
      <c r="P6341" s="52"/>
      <c r="Q6341" s="52"/>
      <c r="R6341" s="52"/>
      <c r="S6341" s="53"/>
    </row>
    <row r="6342" customFormat="false" ht="15" hidden="false" customHeight="false" outlineLevel="0" collapsed="false">
      <c r="A6342" s="4" t="s">
        <v>515</v>
      </c>
      <c r="B6342" s="36" t="s">
        <v>516</v>
      </c>
      <c r="C6342" s="48" t="n">
        <f aca="false">IF(C6310-Assumptions!$E$35&lt;1,0,INDEX($C$6335:$N$6335,1,C6310-Assumptions!$E$35)*INDEX($C$6339:$N$6339,1,C6310-Assumptions!$E$35)*Assumptions!$E$32)</f>
        <v>0</v>
      </c>
      <c r="D6342" s="48" t="n">
        <f aca="false">IF(D6310-Assumptions!$E$35&lt;1,0,INDEX($C$6335:$N$6335,1,D6310-Assumptions!$E$35)*INDEX($C$6339:$N$6339,1,D6310-Assumptions!$E$35)*Assumptions!$E$32)</f>
        <v>0.866376445183821</v>
      </c>
      <c r="E6342" s="48" t="n">
        <f aca="false">IF(E6310-Assumptions!$E$35&lt;1,0,INDEX($C$6335:$N$6335,1,E6310-Assumptions!$E$35)*INDEX($C$6339:$N$6339,1,E6310-Assumptions!$E$35)*Assumptions!$E$32)</f>
        <v>1.4850370503084</v>
      </c>
      <c r="F6342" s="48" t="n">
        <f aca="false">IF(F6310-Assumptions!$E$35&lt;1,0,INDEX($C$6335:$N$6335,1,F6310-Assumptions!$E$35)*INDEX($C$6339:$N$6339,1,F6310-Assumptions!$E$35)*Assumptions!$E$32)</f>
        <v>1.63860741134595</v>
      </c>
      <c r="G6342" s="48" t="n">
        <f aca="false">IF(G6310-Assumptions!$E$35&lt;1,0,INDEX($C$6335:$N$6335,1,G6310-Assumptions!$E$35)*INDEX($C$6339:$N$6339,1,G6310-Assumptions!$E$35)*Assumptions!$E$32)</f>
        <v>1.79532697390301</v>
      </c>
      <c r="H6342" s="48" t="n">
        <f aca="false">IF(H6310-Assumptions!$E$35&lt;1,0,INDEX($C$6335:$N$6335,1,H6310-Assumptions!$E$35)*INDEX($C$6339:$N$6339,1,H6310-Assumptions!$E$35)*Assumptions!$E$32)</f>
        <v>2.31019678172994</v>
      </c>
      <c r="I6342" s="48" t="n">
        <f aca="false">IF(I6310-Assumptions!$E$35&lt;1,0,INDEX($C$6335:$N$6335,1,I6310-Assumptions!$E$35)*INDEX($C$6339:$N$6339,1,I6310-Assumptions!$E$35)*Assumptions!$E$32)</f>
        <v>2.79111066507864</v>
      </c>
      <c r="J6342" s="48" t="n">
        <f aca="false">IF(J6310-Assumptions!$E$35&lt;1,0,INDEX($C$6335:$N$6335,1,J6310-Assumptions!$E$35)*INDEX($C$6339:$N$6339,1,J6310-Assumptions!$E$35)*Assumptions!$E$32)</f>
        <v>4.1306930875438</v>
      </c>
      <c r="K6342" s="48" t="n">
        <f aca="false">IF(K6310-Assumptions!$E$35&lt;1,0,INDEX($C$6335:$N$6335,1,K6310-Assumptions!$E$35)*INDEX($C$6339:$N$6339,1,K6310-Assumptions!$E$35)*Assumptions!$E$32)</f>
        <v>5.34315863355258</v>
      </c>
      <c r="L6342" s="48" t="n">
        <f aca="false">IF(L6310-Assumptions!$E$35&lt;1,0,INDEX($C$6335:$N$6335,1,L6310-Assumptions!$E$35)*INDEX($C$6339:$N$6339,1,L6310-Assumptions!$E$35)*Assumptions!$E$32)</f>
        <v>5.38112462159553</v>
      </c>
      <c r="M6342" s="48" t="n">
        <f aca="false">IF(M6310-Assumptions!$E$35&lt;1,0,INDEX($C$6335:$N$6335,1,M6310-Assumptions!$E$35)*INDEX($C$6339:$N$6339,1,M6310-Assumptions!$E$35)*Assumptions!$E$32)</f>
        <v>5.22179362206104</v>
      </c>
      <c r="N6342" s="48" t="n">
        <f aca="false">IF(N6310-Assumptions!$E$35&lt;1,0,INDEX($C$6335:$N$6335,1,N6310-Assumptions!$E$35)*INDEX($C$6339:$N$6339,1,N6310-Assumptions!$E$35)*Assumptions!$E$32)</f>
        <v>5.07351941968866</v>
      </c>
      <c r="P6342" s="49" t="n">
        <f aca="false">SUM(C6342:F6342)</f>
        <v>3.99002090683817</v>
      </c>
      <c r="Q6342" s="49" t="n">
        <f aca="false">SUM(G6342:J6342)</f>
        <v>11.0273275082554</v>
      </c>
      <c r="R6342" s="49" t="n">
        <f aca="false">SUM(K6342:N6342)</f>
        <v>21.0195962968978</v>
      </c>
      <c r="S6342" s="50" t="n">
        <f aca="false">SUM(P6342:R6342)</f>
        <v>36.0369447119914</v>
      </c>
    </row>
    <row r="6343" customFormat="false" ht="15" hidden="false" customHeight="false" outlineLevel="0" collapsed="false">
      <c r="A6343" s="4" t="s">
        <v>517</v>
      </c>
      <c r="B6343" s="36" t="s">
        <v>516</v>
      </c>
      <c r="C6343" s="48" t="n">
        <f aca="false">IF(C6310-Assumptions!$E$35&lt;1,0,INDEX($C$6335:$N$6335,1,C6310-Assumptions!$E$35)*INDEX($C$6340:$N$6340,1,C6310-Assumptions!$E$35)*Assumptions!$E$32)</f>
        <v>0</v>
      </c>
      <c r="D6343" s="48" t="n">
        <f aca="false">IF(D6310-Assumptions!$E$35&lt;1,0,INDEX($C$6335:$N$6335,1,D6310-Assumptions!$E$35)*INDEX($C$6340:$N$6340,1,D6310-Assumptions!$E$35)*Assumptions!$E$32)</f>
        <v>0.434084974267145</v>
      </c>
      <c r="E6343" s="48" t="n">
        <f aca="false">IF(E6310-Assumptions!$E$35&lt;1,0,INDEX($C$6335:$N$6335,1,E6310-Assumptions!$E$35)*INDEX($C$6340:$N$6340,1,E6310-Assumptions!$E$35)*Assumptions!$E$32)</f>
        <v>0.744055627726705</v>
      </c>
      <c r="F6343" s="48" t="n">
        <f aca="false">IF(F6310-Assumptions!$E$35&lt;1,0,INDEX($C$6335:$N$6335,1,F6310-Assumptions!$E$35)*INDEX($C$6340:$N$6340,1,F6310-Assumptions!$E$35)*Assumptions!$E$32)</f>
        <v>0.820999762796119</v>
      </c>
      <c r="G6343" s="48" t="n">
        <f aca="false">IF(G6310-Assumptions!$E$35&lt;1,0,INDEX($C$6335:$N$6335,1,G6310-Assumptions!$E$35)*INDEX($C$6340:$N$6340,1,G6310-Assumptions!$E$35)*Assumptions!$E$32)</f>
        <v>0.89952175823807</v>
      </c>
      <c r="H6343" s="48" t="n">
        <f aca="false">IF(H6310-Assumptions!$E$35&lt;1,0,INDEX($C$6335:$N$6335,1,H6310-Assumptions!$E$35)*INDEX($C$6340:$N$6340,1,H6310-Assumptions!$E$35)*Assumptions!$E$32)</f>
        <v>1.13465516292283</v>
      </c>
      <c r="I6343" s="48" t="n">
        <f aca="false">IF(I6310-Assumptions!$E$35&lt;1,0,INDEX($C$6335:$N$6335,1,I6310-Assumptions!$E$35)*INDEX($C$6340:$N$6340,1,I6310-Assumptions!$E$35)*Assumptions!$E$32)</f>
        <v>1.35487856174628</v>
      </c>
      <c r="J6343" s="48" t="n">
        <f aca="false">IF(J6310-Assumptions!$E$35&lt;1,0,INDEX($C$6335:$N$6335,1,J6310-Assumptions!$E$35)*INDEX($C$6340:$N$6340,1,J6310-Assumptions!$E$35)*Assumptions!$E$32)</f>
        <v>1.88601088123353</v>
      </c>
      <c r="K6343" s="48" t="n">
        <f aca="false">IF(K6310-Assumptions!$E$35&lt;1,0,INDEX($C$6335:$N$6335,1,K6310-Assumptions!$E$35)*INDEX($C$6340:$N$6340,1,K6310-Assumptions!$E$35)*Assumptions!$E$32)</f>
        <v>2.37581157552964</v>
      </c>
      <c r="L6343" s="48" t="n">
        <f aca="false">IF(L6310-Assumptions!$E$35&lt;1,0,INDEX($C$6335:$N$6335,1,L6310-Assumptions!$E$35)*INDEX($C$6340:$N$6340,1,L6310-Assumptions!$E$35)*Assumptions!$E$32)</f>
        <v>2.3926929822134</v>
      </c>
      <c r="M6343" s="48" t="n">
        <f aca="false">IF(M6310-Assumptions!$E$35&lt;1,0,INDEX($C$6335:$N$6335,1,M6310-Assumptions!$E$35)*INDEX($C$6340:$N$6340,1,M6310-Assumptions!$E$35)*Assumptions!$E$32)</f>
        <v>2.32184716628391</v>
      </c>
      <c r="N6343" s="48" t="n">
        <f aca="false">IF(N6310-Assumptions!$E$35&lt;1,0,INDEX($C$6335:$N$6335,1,N6310-Assumptions!$E$35)*INDEX($C$6340:$N$6340,1,N6310-Assumptions!$E$35)*Assumptions!$E$32)</f>
        <v>2.25591770573287</v>
      </c>
      <c r="P6343" s="49" t="n">
        <f aca="false">SUM(C6343:F6343)</f>
        <v>1.99914036478997</v>
      </c>
      <c r="Q6343" s="49" t="n">
        <f aca="false">SUM(G6343:J6343)</f>
        <v>5.27506636414072</v>
      </c>
      <c r="R6343" s="49" t="n">
        <f aca="false">SUM(K6343:N6343)</f>
        <v>9.34626942975982</v>
      </c>
      <c r="S6343" s="50" t="n">
        <f aca="false">SUM(P6343:R6343)</f>
        <v>16.6204761586905</v>
      </c>
    </row>
    <row r="6344" customFormat="false" ht="15" hidden="false" customHeight="false" outlineLevel="0" collapsed="false">
      <c r="A6344" s="4" t="s">
        <v>518</v>
      </c>
      <c r="B6344" s="36" t="s">
        <v>516</v>
      </c>
      <c r="C6344" s="48" t="n">
        <f aca="false">IF(C6310-Assumptions!$E$36&lt;1,0,INDEX($C$6335:$N$6335,1,C6310-Assumptions!$E$36)*INDEX($C$6341:$N$6341,1,C6310-Assumptions!$E$36)*Assumptions!$E$32)</f>
        <v>0</v>
      </c>
      <c r="D6344" s="48" t="n">
        <f aca="false">IF(D6310-Assumptions!$E$36&lt;1,0,INDEX($C$6335:$N$6335,1,D6310-Assumptions!$E$36)*INDEX($C$6341:$N$6341,1,D6310-Assumptions!$E$36)*Assumptions!$E$32)</f>
        <v>0</v>
      </c>
      <c r="E6344" s="48" t="n">
        <f aca="false">IF(E6310-Assumptions!$E$36&lt;1,0,INDEX($C$6335:$N$6335,1,E6310-Assumptions!$E$36)*INDEX($C$6341:$N$6341,1,E6310-Assumptions!$E$36)*Assumptions!$E$32)</f>
        <v>0.071275680959914</v>
      </c>
      <c r="F6344" s="48" t="n">
        <f aca="false">IF(F6310-Assumptions!$E$36&lt;1,0,INDEX($C$6335:$N$6335,1,F6310-Assumptions!$E$36)*INDEX($C$6341:$N$6341,1,F6310-Assumptions!$E$36)*Assumptions!$E$32)</f>
        <v>0.122172096898336</v>
      </c>
      <c r="G6344" s="48" t="n">
        <f aca="false">IF(G6310-Assumptions!$E$36&lt;1,0,INDEX($C$6335:$N$6335,1,G6310-Assumptions!$E$36)*INDEX($C$6341:$N$6341,1,G6310-Assumptions!$E$36)*Assumptions!$E$32)</f>
        <v>0.134806133891215</v>
      </c>
      <c r="H6344" s="48" t="n">
        <f aca="false">IF(H6310-Assumptions!$E$36&lt;1,0,INDEX($C$6335:$N$6335,1,H6310-Assumptions!$E$36)*INDEX($C$6341:$N$6341,1,H6310-Assumptions!$E$36)*Assumptions!$E$32)</f>
        <v>0.147699251661313</v>
      </c>
      <c r="I6344" s="48" t="n">
        <f aca="false">IF(I6310-Assumptions!$E$36&lt;1,0,INDEX($C$6335:$N$6335,1,I6310-Assumptions!$E$36)*INDEX($C$6341:$N$6341,1,I6310-Assumptions!$E$36)*Assumptions!$E$32)</f>
        <v>0.174259973058587</v>
      </c>
      <c r="J6344" s="48" t="n">
        <f aca="false">IF(J6310-Assumptions!$E$36&lt;1,0,INDEX($C$6335:$N$6335,1,J6310-Assumptions!$E$36)*INDEX($C$6341:$N$6341,1,J6310-Assumptions!$E$36)*Assumptions!$E$32)</f>
        <v>0.19948212034567</v>
      </c>
      <c r="K6344" s="48" t="n">
        <f aca="false">IF(K6310-Assumptions!$E$36&lt;1,0,INDEX($C$6335:$N$6335,1,K6310-Assumptions!$E$36)*INDEX($C$6341:$N$6341,1,K6310-Assumptions!$E$36)*Assumptions!$E$32)</f>
        <v>0.265355665717199</v>
      </c>
      <c r="L6344" s="48" t="n">
        <f aca="false">IF(L6310-Assumptions!$E$36&lt;1,0,INDEX($C$6335:$N$6335,1,L6310-Assumptions!$E$36)*INDEX($C$6341:$N$6341,1,L6310-Assumptions!$E$36)*Assumptions!$E$32)</f>
        <v>0.327251866823927</v>
      </c>
      <c r="M6344" s="48" t="n">
        <f aca="false">IF(M6310-Assumptions!$E$36&lt;1,0,INDEX($C$6335:$N$6335,1,M6310-Assumptions!$E$36)*INDEX($C$6341:$N$6341,1,M6310-Assumptions!$E$36)*Assumptions!$E$32)</f>
        <v>0.329577165643402</v>
      </c>
      <c r="N6344" s="48" t="n">
        <f aca="false">IF(N6310-Assumptions!$E$36&lt;1,0,INDEX($C$6335:$N$6335,1,N6310-Assumptions!$E$36)*INDEX($C$6341:$N$6341,1,N6310-Assumptions!$E$36)*Assumptions!$E$32)</f>
        <v>0.319818636912259</v>
      </c>
      <c r="P6344" s="49" t="n">
        <f aca="false">SUM(C6344:F6344)</f>
        <v>0.19344777785825</v>
      </c>
      <c r="Q6344" s="49" t="n">
        <f aca="false">SUM(G6344:J6344)</f>
        <v>0.656247478956785</v>
      </c>
      <c r="R6344" s="49" t="n">
        <f aca="false">SUM(K6344:N6344)</f>
        <v>1.24200333509679</v>
      </c>
      <c r="S6344" s="50" t="n">
        <f aca="false">SUM(P6344:R6344)</f>
        <v>2.09169859191182</v>
      </c>
    </row>
    <row r="6345" customFormat="false" ht="15" hidden="false" customHeight="false" outlineLevel="0" collapsed="false">
      <c r="A6345" s="4" t="s">
        <v>519</v>
      </c>
      <c r="B6345" s="36" t="s">
        <v>77</v>
      </c>
      <c r="C6345" s="51" t="n">
        <f aca="false">IF(C6310-Assumptions!$E$35&lt;1,0,IFERROR(INDEX($C$6334:$N$6334,1,C6310-Assumptions!$E$35)/INDEX($C$6335:$N$6335,1,C6310-Assumptions!$E$35),0))</f>
        <v>0</v>
      </c>
      <c r="D6345" s="51" t="n">
        <f aca="false">IF(D6310-Assumptions!$E$35&lt;1,0,IFERROR(INDEX($C$6334:$N$6334,1,D6310-Assumptions!$E$35)/INDEX($C$6335:$N$6335,1,D6310-Assumptions!$E$35),0))</f>
        <v>0.459271678087073</v>
      </c>
      <c r="E6345" s="51" t="n">
        <f aca="false">IF(E6310-Assumptions!$E$35&lt;1,0,IFERROR(INDEX($C$6334:$N$6334,1,E6310-Assumptions!$E$35)/INDEX($C$6335:$N$6335,1,E6310-Assumptions!$E$35),0))</f>
        <v>0.401911350042128</v>
      </c>
      <c r="F6345" s="51" t="n">
        <f aca="false">IF(F6310-Assumptions!$E$35&lt;1,0,IFERROR(INDEX($C$6334:$N$6334,1,F6310-Assumptions!$E$35)/INDEX($C$6335:$N$6335,1,F6310-Assumptions!$E$35),0))</f>
        <v>0.485658933408398</v>
      </c>
      <c r="G6345" s="51" t="n">
        <f aca="false">IF(G6310-Assumptions!$E$35&lt;1,0,IFERROR(INDEX($C$6334:$N$6334,1,G6310-Assumptions!$E$35)/INDEX($C$6335:$N$6335,1,G6310-Assumptions!$E$35),0))</f>
        <v>0.554080356417826</v>
      </c>
      <c r="H6345" s="51" t="n">
        <f aca="false">IF(H6310-Assumptions!$E$35&lt;1,0,IFERROR(INDEX($C$6334:$N$6334,1,H6310-Assumptions!$E$35)/INDEX($C$6335:$N$6335,1,H6310-Assumptions!$E$35),0))</f>
        <v>0.522227563825987</v>
      </c>
      <c r="I6345" s="51" t="n">
        <f aca="false">IF(I6310-Assumptions!$E$35&lt;1,0,IFERROR(INDEX($C$6334:$N$6334,1,I6310-Assumptions!$E$35)/INDEX($C$6335:$N$6335,1,I6310-Assumptions!$E$35),0))</f>
        <v>0.507424816282752</v>
      </c>
      <c r="J6345" s="51" t="n">
        <f aca="false">IF(J6310-Assumptions!$E$35&lt;1,0,IFERROR(INDEX($C$6334:$N$6334,1,J6310-Assumptions!$E$35)/INDEX($C$6335:$N$6335,1,J6310-Assumptions!$E$35),0))</f>
        <v>0.401142323795015</v>
      </c>
      <c r="K6345" s="51" t="n">
        <f aca="false">IF(K6310-Assumptions!$E$35&lt;1,0,IFERROR(INDEX($C$6334:$N$6334,1,K6310-Assumptions!$E$35)/INDEX($C$6335:$N$6335,1,K6310-Assumptions!$E$35),0))</f>
        <v>0.352339268448632</v>
      </c>
      <c r="L6345" s="51" t="n">
        <f aca="false">IF(L6310-Assumptions!$E$35&lt;1,0,IFERROR(INDEX($C$6334:$N$6334,1,L6310-Assumptions!$E$35)/INDEX($C$6335:$N$6335,1,L6310-Assumptions!$E$35),0))</f>
        <v>0.388725970981282</v>
      </c>
      <c r="M6345" s="51" t="n">
        <f aca="false">IF(M6310-Assumptions!$E$35&lt;1,0,IFERROR(INDEX($C$6334:$N$6334,1,M6310-Assumptions!$E$35)/INDEX($C$6335:$N$6335,1,M6310-Assumptions!$E$35),0))</f>
        <v>0.400587048224893</v>
      </c>
      <c r="N6345" s="51" t="n">
        <f aca="false">IF(N6310-Assumptions!$E$35&lt;1,0,IFERROR(INDEX($C$6334:$N$6334,1,N6310-Assumptions!$E$35)/INDEX($C$6335:$N$6335,1,N6310-Assumptions!$E$35),0))</f>
        <v>0.412294251872474</v>
      </c>
      <c r="P6345" s="52"/>
      <c r="Q6345" s="52"/>
      <c r="R6345" s="52"/>
      <c r="S6345" s="53"/>
    </row>
    <row r="6346" customFormat="false" ht="15" hidden="false" customHeight="false" outlineLevel="0" collapsed="false">
      <c r="A6346" s="4" t="s">
        <v>520</v>
      </c>
      <c r="B6346" s="36" t="s">
        <v>516</v>
      </c>
      <c r="C6346" s="48" t="n">
        <f aca="false">C6342*Assumptions!$E$37</f>
        <v>0</v>
      </c>
      <c r="D6346" s="48" t="n">
        <f aca="false">D6342*Assumptions!$E$37</f>
        <v>0.259912933555146</v>
      </c>
      <c r="E6346" s="48" t="n">
        <f aca="false">E6342*Assumptions!$E$37</f>
        <v>0.44551111509252</v>
      </c>
      <c r="F6346" s="48" t="n">
        <f aca="false">F6342*Assumptions!$E$37</f>
        <v>0.491582223403786</v>
      </c>
      <c r="G6346" s="48" t="n">
        <f aca="false">G6342*Assumptions!$E$37</f>
        <v>0.538598092170902</v>
      </c>
      <c r="H6346" s="48" t="n">
        <f aca="false">H6342*Assumptions!$E$37</f>
        <v>0.693059034518982</v>
      </c>
      <c r="I6346" s="48" t="n">
        <f aca="false">I6342*Assumptions!$E$37</f>
        <v>0.837333199523593</v>
      </c>
      <c r="J6346" s="48" t="n">
        <f aca="false">J6342*Assumptions!$E$37</f>
        <v>1.23920792626314</v>
      </c>
      <c r="K6346" s="48" t="n">
        <f aca="false">K6342*Assumptions!$E$37</f>
        <v>1.60294759006577</v>
      </c>
      <c r="L6346" s="48" t="n">
        <f aca="false">L6342*Assumptions!$E$37</f>
        <v>1.61433738647866</v>
      </c>
      <c r="M6346" s="48" t="n">
        <f aca="false">M6342*Assumptions!$E$37</f>
        <v>1.56653808661831</v>
      </c>
      <c r="N6346" s="48" t="n">
        <f aca="false">N6342*Assumptions!$E$37</f>
        <v>1.5220558259066</v>
      </c>
      <c r="P6346" s="49" t="n">
        <f aca="false">SUM(C6346:F6346)</f>
        <v>1.19700627205145</v>
      </c>
      <c r="Q6346" s="49" t="n">
        <f aca="false">SUM(G6346:J6346)</f>
        <v>3.30819825247662</v>
      </c>
      <c r="R6346" s="49" t="n">
        <f aca="false">SUM(K6346:N6346)</f>
        <v>6.30587888906934</v>
      </c>
      <c r="S6346" s="50" t="n">
        <f aca="false">SUM(P6346:R6346)</f>
        <v>10.8110834135974</v>
      </c>
    </row>
    <row r="6347" customFormat="false" ht="15" hidden="false" customHeight="false" outlineLevel="0" collapsed="false">
      <c r="A6347" s="4" t="s">
        <v>521</v>
      </c>
      <c r="B6347" s="36" t="s">
        <v>516</v>
      </c>
      <c r="C6347" s="48" t="n">
        <f aca="false">C6342*(1-Assumptions!$E$37)</f>
        <v>0</v>
      </c>
      <c r="D6347" s="48" t="n">
        <f aca="false">D6342*(1-Assumptions!$E$37)</f>
        <v>0.606463511628675</v>
      </c>
      <c r="E6347" s="48" t="n">
        <f aca="false">E6342*(1-Assumptions!$E$37)</f>
        <v>1.03952593521588</v>
      </c>
      <c r="F6347" s="48" t="n">
        <f aca="false">F6342*(1-Assumptions!$E$37)</f>
        <v>1.14702518794217</v>
      </c>
      <c r="G6347" s="48" t="n">
        <f aca="false">G6342*(1-Assumptions!$E$37)</f>
        <v>1.25672888173211</v>
      </c>
      <c r="H6347" s="48" t="n">
        <f aca="false">H6342*(1-Assumptions!$E$37)</f>
        <v>1.61713774721096</v>
      </c>
      <c r="I6347" s="48" t="n">
        <f aca="false">I6342*(1-Assumptions!$E$37)</f>
        <v>1.95377746555505</v>
      </c>
      <c r="J6347" s="48" t="n">
        <f aca="false">J6342*(1-Assumptions!$E$37)</f>
        <v>2.89148516128066</v>
      </c>
      <c r="K6347" s="48" t="n">
        <f aca="false">K6342*(1-Assumptions!$E$37)</f>
        <v>3.7402110434868</v>
      </c>
      <c r="L6347" s="48" t="n">
        <f aca="false">L6342*(1-Assumptions!$E$37)</f>
        <v>3.76678723511687</v>
      </c>
      <c r="M6347" s="48" t="n">
        <f aca="false">M6342*(1-Assumptions!$E$37)</f>
        <v>3.65525553544273</v>
      </c>
      <c r="N6347" s="48" t="n">
        <f aca="false">N6342*(1-Assumptions!$E$37)</f>
        <v>3.55146359378206</v>
      </c>
      <c r="P6347" s="49" t="n">
        <f aca="false">SUM(C6347:F6347)</f>
        <v>2.79301463478672</v>
      </c>
      <c r="Q6347" s="49" t="n">
        <f aca="false">SUM(G6347:J6347)</f>
        <v>7.71912925577877</v>
      </c>
      <c r="R6347" s="49" t="n">
        <f aca="false">SUM(K6347:N6347)</f>
        <v>14.7137174078285</v>
      </c>
      <c r="S6347" s="50" t="n">
        <f aca="false">SUM(P6347:R6347)</f>
        <v>25.225861298394</v>
      </c>
    </row>
    <row r="6348" customFormat="false" ht="15" hidden="false" customHeight="false" outlineLevel="0" collapsed="false">
      <c r="A6348" s="4" t="s">
        <v>522</v>
      </c>
      <c r="B6348" s="36" t="s">
        <v>125</v>
      </c>
      <c r="C6348" s="54" t="n">
        <f aca="false">C6347*$C$6301+C6343*$C$6302+C6344*$C$6303</f>
        <v>0</v>
      </c>
      <c r="D6348" s="54" t="n">
        <f aca="false">D6347*$C$6301+D6343*$C$6302+D6344*$C$6303</f>
        <v>7485.37917000042</v>
      </c>
      <c r="E6348" s="54" t="n">
        <f aca="false">E6347*$C$6301+E6343*$C$6302+E6344*$C$6303</f>
        <v>17233.8131620616</v>
      </c>
      <c r="F6348" s="54" t="n">
        <f aca="false">F6347*$C$6301+F6343*$C$6302+F6344*$C$6303</f>
        <v>21704.9328199195</v>
      </c>
      <c r="G6348" s="54" t="n">
        <f aca="false">G6347*$C$6301+G6343*$C$6302+G6344*$C$6303</f>
        <v>23839.4781169478</v>
      </c>
      <c r="H6348" s="54" t="n">
        <f aca="false">H6347*$C$6301+H6343*$C$6302+H6344*$C$6303</f>
        <v>28861.3828545359</v>
      </c>
      <c r="I6348" s="54" t="n">
        <f aca="false">I6347*$C$6301+I6343*$C$6302+I6344*$C$6303</f>
        <v>34454.8139810786</v>
      </c>
      <c r="J6348" s="54" t="n">
        <f aca="false">J6347*$C$6301+J6343*$C$6302+J6344*$C$6303</f>
        <v>46219.0265618748</v>
      </c>
      <c r="K6348" s="54" t="n">
        <f aca="false">K6347*$C$6301+K6343*$C$6302+K6344*$C$6303</f>
        <v>59614.7065475457</v>
      </c>
      <c r="L6348" s="54" t="n">
        <f aca="false">L6347*$C$6301+L6343*$C$6302+L6344*$C$6303</f>
        <v>63745.6576705911</v>
      </c>
      <c r="M6348" s="54" t="n">
        <f aca="false">M6347*$C$6301+M6343*$C$6302+M6344*$C$6303</f>
        <v>62600.461663715</v>
      </c>
      <c r="N6348" s="54" t="n">
        <f aca="false">N6347*$C$6301+N6343*$C$6302+N6344*$C$6303</f>
        <v>60798.1877142281</v>
      </c>
      <c r="P6348" s="55" t="n">
        <f aca="false">SUM(C6348:F6348)</f>
        <v>46424.1251519815</v>
      </c>
      <c r="Q6348" s="55" t="n">
        <f aca="false">SUM(G6348:J6348)</f>
        <v>133374.701514437</v>
      </c>
      <c r="R6348" s="55" t="n">
        <f aca="false">SUM(K6348:N6348)</f>
        <v>246759.01359608</v>
      </c>
      <c r="S6348" s="56" t="n">
        <f aca="false">SUM(P6348:R6348)</f>
        <v>426557.840262498</v>
      </c>
    </row>
    <row r="6349" customFormat="false" ht="15" hidden="false" customHeight="false" outlineLevel="0" collapsed="false">
      <c r="A6349" s="4" t="s">
        <v>523</v>
      </c>
      <c r="B6349" s="36" t="s">
        <v>125</v>
      </c>
      <c r="C6349" s="54" t="n">
        <f aca="false">(C6325+Assumptions!$D$104*C6311)*$C$6306</f>
        <v>306250</v>
      </c>
      <c r="D6349" s="54" t="n">
        <f aca="false">(D6325+Assumptions!$D$104*D6311)*$C$6306</f>
        <v>306250</v>
      </c>
      <c r="E6349" s="54" t="n">
        <f aca="false">(E6325+Assumptions!$D$104*E6311)*$C$6306</f>
        <v>306250</v>
      </c>
      <c r="F6349" s="54" t="n">
        <f aca="false">(F6325+Assumptions!$D$104*F6311)*$C$6306</f>
        <v>306250</v>
      </c>
      <c r="G6349" s="54" t="n">
        <f aca="false">(G6325+Assumptions!$D$104*G6311)*$C$6306</f>
        <v>306250</v>
      </c>
      <c r="H6349" s="54" t="n">
        <f aca="false">(H6325+Assumptions!$D$104*H6311)*$C$6306</f>
        <v>306250</v>
      </c>
      <c r="I6349" s="54" t="n">
        <f aca="false">(I6325+Assumptions!$D$104*I6311)*$C$6306</f>
        <v>306250</v>
      </c>
      <c r="J6349" s="54" t="n">
        <f aca="false">(J6325+Assumptions!$D$104*J6311)*$C$6306</f>
        <v>306250</v>
      </c>
      <c r="K6349" s="54" t="n">
        <f aca="false">(K6325+Assumptions!$D$104*K6311)*$C$6306</f>
        <v>306250</v>
      </c>
      <c r="L6349" s="54" t="n">
        <f aca="false">(L6325+Assumptions!$D$104*L6311)*$C$6306</f>
        <v>306250</v>
      </c>
      <c r="M6349" s="54" t="n">
        <f aca="false">(M6325+Assumptions!$D$104*M6311)*$C$6306</f>
        <v>306250</v>
      </c>
      <c r="N6349" s="54" t="n">
        <f aca="false">(N6325+Assumptions!$D$104*N6311)*$C$6306</f>
        <v>306250</v>
      </c>
      <c r="P6349" s="55" t="n">
        <f aca="false">SUM(C6349:F6349)</f>
        <v>1225000</v>
      </c>
      <c r="Q6349" s="55" t="n">
        <f aca="false">SUM(G6349:J6349)</f>
        <v>1225000</v>
      </c>
      <c r="R6349" s="55" t="n">
        <f aca="false">SUM(K6349:N6349)</f>
        <v>1225000</v>
      </c>
      <c r="S6349" s="56" t="n">
        <f aca="false">SUM(P6349:R6349)</f>
        <v>3675000</v>
      </c>
    </row>
    <row r="6350" customFormat="false" ht="15" hidden="false" customHeight="false" outlineLevel="0" collapsed="false">
      <c r="A6350" s="4" t="s">
        <v>524</v>
      </c>
      <c r="B6350" s="36" t="s">
        <v>77</v>
      </c>
      <c r="C6350" s="51" t="n">
        <f aca="false">IF(C6348&gt;0,MIN(1,C6349/C6348),1)</f>
        <v>1</v>
      </c>
      <c r="D6350" s="51" t="n">
        <f aca="false">IF(D6348&gt;0,MIN(1,D6349/D6348),1)</f>
        <v>1</v>
      </c>
      <c r="E6350" s="51" t="n">
        <f aca="false">IF(E6348&gt;0,MIN(1,E6349/E6348),1)</f>
        <v>1</v>
      </c>
      <c r="F6350" s="51" t="n">
        <f aca="false">IF(F6348&gt;0,MIN(1,F6349/F6348),1)</f>
        <v>1</v>
      </c>
      <c r="G6350" s="51" t="n">
        <f aca="false">IF(G6348&gt;0,MIN(1,G6349/G6348),1)</f>
        <v>1</v>
      </c>
      <c r="H6350" s="51" t="n">
        <f aca="false">IF(H6348&gt;0,MIN(1,H6349/H6348),1)</f>
        <v>1</v>
      </c>
      <c r="I6350" s="51" t="n">
        <f aca="false">IF(I6348&gt;0,MIN(1,I6349/I6348),1)</f>
        <v>1</v>
      </c>
      <c r="J6350" s="51" t="n">
        <f aca="false">IF(J6348&gt;0,MIN(1,J6349/J6348),1)</f>
        <v>1</v>
      </c>
      <c r="K6350" s="51" t="n">
        <f aca="false">IF(K6348&gt;0,MIN(1,K6349/K6348),1)</f>
        <v>1</v>
      </c>
      <c r="L6350" s="51" t="n">
        <f aca="false">IF(L6348&gt;0,MIN(1,L6349/L6348),1)</f>
        <v>1</v>
      </c>
      <c r="M6350" s="51" t="n">
        <f aca="false">IF(M6348&gt;0,MIN(1,M6349/M6348),1)</f>
        <v>1</v>
      </c>
      <c r="N6350" s="51" t="n">
        <f aca="false">IF(N6348&gt;0,MIN(1,N6349/N6348),1)</f>
        <v>1</v>
      </c>
      <c r="P6350" s="52"/>
      <c r="Q6350" s="52"/>
      <c r="R6350" s="52"/>
      <c r="S6350" s="53"/>
    </row>
    <row r="6351" customFormat="false" ht="15" hidden="false" customHeight="false" outlineLevel="0" collapsed="false">
      <c r="A6351" s="4" t="s">
        <v>525</v>
      </c>
      <c r="B6351" s="36" t="s">
        <v>125</v>
      </c>
      <c r="C6351" s="54" t="n">
        <f aca="false">C6348*(1-C6350)</f>
        <v>0</v>
      </c>
      <c r="D6351" s="54" t="n">
        <f aca="false">D6348*(1-D6350)</f>
        <v>0</v>
      </c>
      <c r="E6351" s="54" t="n">
        <f aca="false">E6348*(1-E6350)</f>
        <v>0</v>
      </c>
      <c r="F6351" s="54" t="n">
        <f aca="false">F6348*(1-F6350)</f>
        <v>0</v>
      </c>
      <c r="G6351" s="54" t="n">
        <f aca="false">G6348*(1-G6350)</f>
        <v>0</v>
      </c>
      <c r="H6351" s="54" t="n">
        <f aca="false">H6348*(1-H6350)</f>
        <v>0</v>
      </c>
      <c r="I6351" s="54" t="n">
        <f aca="false">I6348*(1-I6350)</f>
        <v>0</v>
      </c>
      <c r="J6351" s="54" t="n">
        <f aca="false">J6348*(1-J6350)</f>
        <v>0</v>
      </c>
      <c r="K6351" s="54" t="n">
        <f aca="false">K6348*(1-K6350)</f>
        <v>0</v>
      </c>
      <c r="L6351" s="54" t="n">
        <f aca="false">L6348*(1-L6350)</f>
        <v>0</v>
      </c>
      <c r="M6351" s="54" t="n">
        <f aca="false">M6348*(1-M6350)</f>
        <v>0</v>
      </c>
      <c r="N6351" s="54" t="n">
        <f aca="false">N6348*(1-N6350)</f>
        <v>0</v>
      </c>
      <c r="P6351" s="55" t="n">
        <f aca="false">SUM(C6351:F6351)</f>
        <v>0</v>
      </c>
      <c r="Q6351" s="55" t="n">
        <f aca="false">SUM(G6351:J6351)</f>
        <v>0</v>
      </c>
      <c r="R6351" s="55" t="n">
        <f aca="false">SUM(K6351:N6351)</f>
        <v>0</v>
      </c>
      <c r="S6351" s="56" t="n">
        <f aca="false">SUM(P6351:R6351)</f>
        <v>0</v>
      </c>
    </row>
    <row r="6352" customFormat="false" ht="15" hidden="false" customHeight="false" outlineLevel="0" collapsed="false">
      <c r="A6352" s="4" t="s">
        <v>526</v>
      </c>
      <c r="B6352" s="36" t="s">
        <v>527</v>
      </c>
      <c r="C6352" s="48" t="n">
        <f aca="false">C6346+C6347*C6350</f>
        <v>0</v>
      </c>
      <c r="D6352" s="48" t="n">
        <f aca="false">D6346+D6347*D6350</f>
        <v>0.866376445183821</v>
      </c>
      <c r="E6352" s="48" t="n">
        <f aca="false">E6346+E6347*E6350</f>
        <v>1.4850370503084</v>
      </c>
      <c r="F6352" s="48" t="n">
        <f aca="false">F6346+F6347*F6350</f>
        <v>1.63860741134595</v>
      </c>
      <c r="G6352" s="48" t="n">
        <f aca="false">G6346+G6347*G6350</f>
        <v>1.79532697390301</v>
      </c>
      <c r="H6352" s="48" t="n">
        <f aca="false">H6346+H6347*H6350</f>
        <v>2.31019678172994</v>
      </c>
      <c r="I6352" s="48" t="n">
        <f aca="false">I6346+I6347*I6350</f>
        <v>2.79111066507864</v>
      </c>
      <c r="J6352" s="48" t="n">
        <f aca="false">J6346+J6347*J6350</f>
        <v>4.1306930875438</v>
      </c>
      <c r="K6352" s="48" t="n">
        <f aca="false">K6346+K6347*K6350</f>
        <v>5.34315863355258</v>
      </c>
      <c r="L6352" s="48" t="n">
        <f aca="false">L6346+L6347*L6350</f>
        <v>5.38112462159553</v>
      </c>
      <c r="M6352" s="48" t="n">
        <f aca="false">M6346+M6347*M6350</f>
        <v>5.22179362206104</v>
      </c>
      <c r="N6352" s="48" t="n">
        <f aca="false">N6346+N6347*N6350</f>
        <v>5.07351941968866</v>
      </c>
      <c r="P6352" s="49" t="n">
        <f aca="false">SUM(C6352:F6352)</f>
        <v>3.99002090683817</v>
      </c>
      <c r="Q6352" s="49" t="n">
        <f aca="false">SUM(G6352:J6352)</f>
        <v>11.0273275082554</v>
      </c>
      <c r="R6352" s="49" t="n">
        <f aca="false">SUM(K6352:N6352)</f>
        <v>21.0195962968978</v>
      </c>
      <c r="S6352" s="50" t="n">
        <f aca="false">SUM(P6352:R6352)</f>
        <v>36.0369447119914</v>
      </c>
    </row>
    <row r="6353" customFormat="false" ht="15" hidden="false" customHeight="false" outlineLevel="0" collapsed="false">
      <c r="A6353" s="4" t="s">
        <v>528</v>
      </c>
      <c r="B6353" s="36" t="s">
        <v>527</v>
      </c>
      <c r="C6353" s="48" t="n">
        <f aca="false">C6343*C6350</f>
        <v>0</v>
      </c>
      <c r="D6353" s="48" t="n">
        <f aca="false">D6343*D6350</f>
        <v>0.434084974267145</v>
      </c>
      <c r="E6353" s="48" t="n">
        <f aca="false">E6343*E6350</f>
        <v>0.744055627726705</v>
      </c>
      <c r="F6353" s="48" t="n">
        <f aca="false">F6343*F6350</f>
        <v>0.820999762796119</v>
      </c>
      <c r="G6353" s="48" t="n">
        <f aca="false">G6343*G6350</f>
        <v>0.89952175823807</v>
      </c>
      <c r="H6353" s="48" t="n">
        <f aca="false">H6343*H6350</f>
        <v>1.13465516292283</v>
      </c>
      <c r="I6353" s="48" t="n">
        <f aca="false">I6343*I6350</f>
        <v>1.35487856174628</v>
      </c>
      <c r="J6353" s="48" t="n">
        <f aca="false">J6343*J6350</f>
        <v>1.88601088123353</v>
      </c>
      <c r="K6353" s="48" t="n">
        <f aca="false">K6343*K6350</f>
        <v>2.37581157552964</v>
      </c>
      <c r="L6353" s="48" t="n">
        <f aca="false">L6343*L6350</f>
        <v>2.3926929822134</v>
      </c>
      <c r="M6353" s="48" t="n">
        <f aca="false">M6343*M6350</f>
        <v>2.32184716628391</v>
      </c>
      <c r="N6353" s="48" t="n">
        <f aca="false">N6343*N6350</f>
        <v>2.25591770573287</v>
      </c>
      <c r="P6353" s="49" t="n">
        <f aca="false">SUM(C6353:F6353)</f>
        <v>1.99914036478997</v>
      </c>
      <c r="Q6353" s="49" t="n">
        <f aca="false">SUM(G6353:J6353)</f>
        <v>5.27506636414072</v>
      </c>
      <c r="R6353" s="49" t="n">
        <f aca="false">SUM(K6353:N6353)</f>
        <v>9.34626942975982</v>
      </c>
      <c r="S6353" s="50" t="n">
        <f aca="false">SUM(P6353:R6353)</f>
        <v>16.6204761586905</v>
      </c>
    </row>
    <row r="6354" customFormat="false" ht="15" hidden="false" customHeight="false" outlineLevel="0" collapsed="false">
      <c r="A6354" s="4" t="s">
        <v>529</v>
      </c>
      <c r="B6354" s="36" t="s">
        <v>527</v>
      </c>
      <c r="C6354" s="48" t="n">
        <f aca="false">C6344*C6350</f>
        <v>0</v>
      </c>
      <c r="D6354" s="48" t="n">
        <f aca="false">D6344*D6350</f>
        <v>0</v>
      </c>
      <c r="E6354" s="48" t="n">
        <f aca="false">E6344*E6350</f>
        <v>0.071275680959914</v>
      </c>
      <c r="F6354" s="48" t="n">
        <f aca="false">F6344*F6350</f>
        <v>0.122172096898336</v>
      </c>
      <c r="G6354" s="48" t="n">
        <f aca="false">G6344*G6350</f>
        <v>0.134806133891215</v>
      </c>
      <c r="H6354" s="48" t="n">
        <f aca="false">H6344*H6350</f>
        <v>0.147699251661313</v>
      </c>
      <c r="I6354" s="48" t="n">
        <f aca="false">I6344*I6350</f>
        <v>0.174259973058587</v>
      </c>
      <c r="J6354" s="48" t="n">
        <f aca="false">J6344*J6350</f>
        <v>0.19948212034567</v>
      </c>
      <c r="K6354" s="48" t="n">
        <f aca="false">K6344*K6350</f>
        <v>0.265355665717199</v>
      </c>
      <c r="L6354" s="48" t="n">
        <f aca="false">L6344*L6350</f>
        <v>0.327251866823927</v>
      </c>
      <c r="M6354" s="48" t="n">
        <f aca="false">M6344*M6350</f>
        <v>0.329577165643402</v>
      </c>
      <c r="N6354" s="48" t="n">
        <f aca="false">N6344*N6350</f>
        <v>0.319818636912259</v>
      </c>
      <c r="P6354" s="49" t="n">
        <f aca="false">SUM(C6354:F6354)</f>
        <v>0.19344777785825</v>
      </c>
      <c r="Q6354" s="49" t="n">
        <f aca="false">SUM(G6354:J6354)</f>
        <v>0.656247478956785</v>
      </c>
      <c r="R6354" s="49" t="n">
        <f aca="false">SUM(K6354:N6354)</f>
        <v>1.24200333509679</v>
      </c>
      <c r="S6354" s="50" t="n">
        <f aca="false">SUM(P6354:R6354)</f>
        <v>2.09169859191182</v>
      </c>
    </row>
    <row r="6355" customFormat="false" ht="15" hidden="false" customHeight="false" outlineLevel="0" collapsed="false">
      <c r="A6355" s="9" t="s">
        <v>530</v>
      </c>
      <c r="B6355" s="36" t="s">
        <v>527</v>
      </c>
      <c r="C6355" s="49" t="n">
        <f aca="false">C6352+C6353+C6354</f>
        <v>0</v>
      </c>
      <c r="D6355" s="49" t="n">
        <f aca="false">D6352+D6353+D6354</f>
        <v>1.30046141945097</v>
      </c>
      <c r="E6355" s="49" t="n">
        <f aca="false">E6352+E6353+E6354</f>
        <v>2.30036835899502</v>
      </c>
      <c r="F6355" s="49" t="n">
        <f aca="false">F6352+F6353+F6354</f>
        <v>2.58177927104041</v>
      </c>
      <c r="G6355" s="49" t="n">
        <f aca="false">G6352+G6353+G6354</f>
        <v>2.82965486603229</v>
      </c>
      <c r="H6355" s="49" t="n">
        <f aca="false">H6352+H6353+H6354</f>
        <v>3.59255119631409</v>
      </c>
      <c r="I6355" s="49" t="n">
        <f aca="false">I6352+I6353+I6354</f>
        <v>4.32024919988351</v>
      </c>
      <c r="J6355" s="49" t="n">
        <f aca="false">J6352+J6353+J6354</f>
        <v>6.216186089123</v>
      </c>
      <c r="K6355" s="49" t="n">
        <f aca="false">K6352+K6353+K6354</f>
        <v>7.98432587479941</v>
      </c>
      <c r="L6355" s="49" t="n">
        <f aca="false">L6352+L6353+L6354</f>
        <v>8.10106947063285</v>
      </c>
      <c r="M6355" s="49" t="n">
        <f aca="false">M6352+M6353+M6354</f>
        <v>7.87321795398836</v>
      </c>
      <c r="N6355" s="49" t="n">
        <f aca="false">N6352+N6353+N6354</f>
        <v>7.64925576233379</v>
      </c>
      <c r="P6355" s="49" t="n">
        <f aca="false">SUM(C6355:F6355)</f>
        <v>6.18260904948639</v>
      </c>
      <c r="Q6355" s="49" t="n">
        <f aca="false">SUM(G6355:J6355)</f>
        <v>16.9586413513529</v>
      </c>
      <c r="R6355" s="49" t="n">
        <f aca="false">SUM(K6355:N6355)</f>
        <v>31.6078690617544</v>
      </c>
      <c r="S6355" s="50" t="n">
        <f aca="false">SUM(P6355:R6355)</f>
        <v>54.7491194625937</v>
      </c>
    </row>
    <row r="6356" customFormat="false" ht="15" hidden="false" customHeight="false" outlineLevel="0" collapsed="false">
      <c r="A6356" s="35" t="s">
        <v>533</v>
      </c>
      <c r="B6356" s="35" t="s">
        <v>444</v>
      </c>
      <c r="C6356" s="6" t="s">
        <v>354</v>
      </c>
      <c r="D6356" s="6" t="s">
        <v>355</v>
      </c>
      <c r="E6356" s="6" t="s">
        <v>356</v>
      </c>
      <c r="F6356" s="6" t="s">
        <v>357</v>
      </c>
      <c r="G6356" s="6" t="s">
        <v>358</v>
      </c>
      <c r="H6356" s="6" t="s">
        <v>359</v>
      </c>
      <c r="I6356" s="6" t="s">
        <v>360</v>
      </c>
      <c r="J6356" s="6" t="s">
        <v>361</v>
      </c>
      <c r="K6356" s="6" t="s">
        <v>362</v>
      </c>
      <c r="L6356" s="6" t="s">
        <v>363</v>
      </c>
      <c r="M6356" s="6" t="s">
        <v>364</v>
      </c>
      <c r="N6356" s="6" t="s">
        <v>365</v>
      </c>
      <c r="P6356" s="6" t="s">
        <v>445</v>
      </c>
      <c r="Q6356" s="6" t="s">
        <v>446</v>
      </c>
      <c r="R6356" s="6" t="s">
        <v>447</v>
      </c>
      <c r="S6356" s="6" t="s">
        <v>448</v>
      </c>
    </row>
    <row r="6357" customFormat="false" ht="15" hidden="false" customHeight="false" outlineLevel="0" collapsed="false">
      <c r="A6357" s="4" t="s">
        <v>534</v>
      </c>
      <c r="B6357" s="36" t="s">
        <v>527</v>
      </c>
      <c r="C6357" s="48" t="n">
        <f aca="false">0*Assumptions!$E$59^(1/4)+C6352</f>
        <v>0</v>
      </c>
      <c r="D6357" s="48" t="n">
        <f aca="false">C6357*Assumptions!$E$59^(1/4)+D6352</f>
        <v>0.866376445183821</v>
      </c>
      <c r="E6357" s="48" t="n">
        <f aca="false">D6357*Assumptions!$E$59^(1/4)+E6352</f>
        <v>2.32416329488403</v>
      </c>
      <c r="F6357" s="48" t="n">
        <f aca="false">E6357*Assumptions!$E$59^(1/4)+F6352</f>
        <v>3.88966863104794</v>
      </c>
      <c r="G6357" s="48" t="n">
        <f aca="false">F6357*Assumptions!$E$59^(1/4)+G6352</f>
        <v>5.56265357789716</v>
      </c>
      <c r="H6357" s="48" t="n">
        <f aca="false">G6357*Assumptions!$E$59^(1/4)+H6352</f>
        <v>7.69788781678072</v>
      </c>
      <c r="I6357" s="48" t="n">
        <f aca="false">H6357*Assumptions!$E$59^(1/4)+I6352</f>
        <v>10.2468762630101</v>
      </c>
      <c r="J6357" s="48" t="n">
        <f aca="false">I6357*Assumptions!$E$59^(1/4)+J6352</f>
        <v>14.0552736148763</v>
      </c>
      <c r="K6357" s="48" t="n">
        <f aca="false">J6357*Assumptions!$E$59^(1/4)+K6352</f>
        <v>18.9563507170835</v>
      </c>
      <c r="L6357" s="48" t="n">
        <f aca="false">K6357*Assumptions!$E$59^(1/4)+L6352</f>
        <v>23.7412398769334</v>
      </c>
      <c r="M6357" s="48" t="n">
        <f aca="false">L6357*Assumptions!$E$59^(1/4)+M6352</f>
        <v>28.2162985745513</v>
      </c>
      <c r="N6357" s="48" t="n">
        <f aca="false">M6357*Assumptions!$E$59^(1/4)+N6352</f>
        <v>32.4023287268997</v>
      </c>
      <c r="P6357" s="49" t="n">
        <f aca="false">F6357</f>
        <v>3.88966863104794</v>
      </c>
      <c r="Q6357" s="49" t="n">
        <f aca="false">J6357</f>
        <v>14.0552736148763</v>
      </c>
      <c r="R6357" s="49" t="n">
        <f aca="false">N6357</f>
        <v>32.4023287268997</v>
      </c>
      <c r="S6357" s="50" t="n">
        <f aca="false">R6357</f>
        <v>32.4023287268997</v>
      </c>
    </row>
    <row r="6358" customFormat="false" ht="15" hidden="false" customHeight="false" outlineLevel="0" collapsed="false">
      <c r="A6358" s="4" t="s">
        <v>535</v>
      </c>
      <c r="B6358" s="36" t="s">
        <v>527</v>
      </c>
      <c r="C6358" s="48" t="n">
        <f aca="false">0*Assumptions!$E$60^(1/4)+C6353</f>
        <v>0</v>
      </c>
      <c r="D6358" s="48" t="n">
        <f aca="false">C6358*Assumptions!$E$60^(1/4)+D6353</f>
        <v>0.434084974267145</v>
      </c>
      <c r="E6358" s="48" t="n">
        <f aca="false">D6358*Assumptions!$E$60^(1/4)+E6353</f>
        <v>1.16685601892983</v>
      </c>
      <c r="F6358" s="48" t="n">
        <f aca="false">E6358*Assumptions!$E$60^(1/4)+F6353</f>
        <v>1.95752189677268</v>
      </c>
      <c r="G6358" s="48" t="n">
        <f aca="false">F6358*Assumptions!$E$60^(1/4)+G6353</f>
        <v>2.80615541940422</v>
      </c>
      <c r="H6358" s="48" t="n">
        <f aca="false">G6358*Assumptions!$E$60^(1/4)+H6353</f>
        <v>3.86786105447419</v>
      </c>
      <c r="I6358" s="48" t="n">
        <f aca="false">H6358*Assumptions!$E$60^(1/4)+I6353</f>
        <v>5.12218971945664</v>
      </c>
      <c r="J6358" s="48" t="n">
        <f aca="false">I6358*Assumptions!$E$60^(1/4)+J6353</f>
        <v>6.87504285788544</v>
      </c>
      <c r="K6358" s="48" t="n">
        <f aca="false">J6358*Assumptions!$E$60^(1/4)+K6353</f>
        <v>9.07212907594454</v>
      </c>
      <c r="L6358" s="48" t="n">
        <f aca="false">K6358*Assumptions!$E$60^(1/4)+L6353</f>
        <v>11.2289806902372</v>
      </c>
      <c r="M6358" s="48" t="n">
        <f aca="false">L6358*Assumptions!$E$60^(1/4)+M6353</f>
        <v>13.2589164271123</v>
      </c>
      <c r="N6358" s="48" t="n">
        <f aca="false">M6358*Assumptions!$E$60^(1/4)+N6353</f>
        <v>15.1701519792802</v>
      </c>
      <c r="P6358" s="49" t="n">
        <f aca="false">F6358</f>
        <v>1.95752189677268</v>
      </c>
      <c r="Q6358" s="49" t="n">
        <f aca="false">J6358</f>
        <v>6.87504285788544</v>
      </c>
      <c r="R6358" s="49" t="n">
        <f aca="false">N6358</f>
        <v>15.1701519792802</v>
      </c>
      <c r="S6358" s="50" t="n">
        <f aca="false">R6358</f>
        <v>15.1701519792802</v>
      </c>
    </row>
    <row r="6359" customFormat="false" ht="15" hidden="false" customHeight="false" outlineLevel="0" collapsed="false">
      <c r="A6359" s="4" t="s">
        <v>536</v>
      </c>
      <c r="B6359" s="36" t="s">
        <v>527</v>
      </c>
      <c r="C6359" s="48" t="n">
        <f aca="false">0*Assumptions!$E$61^(1/4)+C6354</f>
        <v>0</v>
      </c>
      <c r="D6359" s="48" t="n">
        <f aca="false">C6359*Assumptions!$E$61^(1/4)+D6354</f>
        <v>0</v>
      </c>
      <c r="E6359" s="48" t="n">
        <f aca="false">D6359*Assumptions!$E$61^(1/4)+E6354</f>
        <v>0.071275680959914</v>
      </c>
      <c r="F6359" s="48" t="n">
        <f aca="false">E6359*Assumptions!$E$61^(1/4)+F6354</f>
        <v>0.191977386314485</v>
      </c>
      <c r="G6359" s="48" t="n">
        <f aca="false">F6359*Assumptions!$E$61^(1/4)+G6354</f>
        <v>0.322823096094288</v>
      </c>
      <c r="H6359" s="48" t="n">
        <f aca="false">G6359*Assumptions!$E$61^(1/4)+H6354</f>
        <v>0.463862623930639</v>
      </c>
      <c r="I6359" s="48" t="n">
        <f aca="false">H6359*Assumptions!$E$61^(1/4)+I6354</f>
        <v>0.628553278667598</v>
      </c>
      <c r="J6359" s="48" t="n">
        <f aca="false">I6359*Assumptions!$E$61^(1/4)+J6354</f>
        <v>0.815068571993006</v>
      </c>
      <c r="K6359" s="48" t="n">
        <f aca="false">J6359*Assumptions!$E$61^(1/4)+K6354</f>
        <v>1.06360966758325</v>
      </c>
      <c r="L6359" s="48" t="n">
        <f aca="false">K6359*Assumptions!$E$61^(1/4)+L6354</f>
        <v>1.36891965128493</v>
      </c>
      <c r="M6359" s="48" t="n">
        <f aca="false">L6359*Assumptions!$E$61^(1/4)+M6354</f>
        <v>1.67025649916167</v>
      </c>
      <c r="N6359" s="48" t="n">
        <f aca="false">M6359*Assumptions!$E$61^(1/4)+N6354</f>
        <v>1.95561834801929</v>
      </c>
      <c r="P6359" s="49" t="n">
        <f aca="false">F6359</f>
        <v>0.191977386314485</v>
      </c>
      <c r="Q6359" s="49" t="n">
        <f aca="false">J6359</f>
        <v>0.815068571993006</v>
      </c>
      <c r="R6359" s="49" t="n">
        <f aca="false">N6359</f>
        <v>1.95561834801929</v>
      </c>
      <c r="S6359" s="50" t="n">
        <f aca="false">R6359</f>
        <v>1.95561834801929</v>
      </c>
    </row>
    <row r="6360" customFormat="false" ht="15" hidden="false" customHeight="false" outlineLevel="0" collapsed="false">
      <c r="A6360" s="9" t="s">
        <v>537</v>
      </c>
      <c r="B6360" s="36" t="s">
        <v>527</v>
      </c>
      <c r="C6360" s="49" t="n">
        <f aca="false">C6357+C6358+C6359</f>
        <v>0</v>
      </c>
      <c r="D6360" s="49" t="n">
        <f aca="false">D6357+D6358+D6359</f>
        <v>1.30046141945097</v>
      </c>
      <c r="E6360" s="49" t="n">
        <f aca="false">E6357+E6358+E6359</f>
        <v>3.56229499477378</v>
      </c>
      <c r="F6360" s="49" t="n">
        <f aca="false">F6357+F6358+F6359</f>
        <v>6.0391679141351</v>
      </c>
      <c r="G6360" s="49" t="n">
        <f aca="false">G6357+G6358+G6359</f>
        <v>8.69163209339566</v>
      </c>
      <c r="H6360" s="49" t="n">
        <f aca="false">H6357+H6358+H6359</f>
        <v>12.0296114951856</v>
      </c>
      <c r="I6360" s="49" t="n">
        <f aca="false">I6357+I6358+I6359</f>
        <v>15.9976192611344</v>
      </c>
      <c r="J6360" s="49" t="n">
        <f aca="false">J6357+J6358+J6359</f>
        <v>21.7453850447547</v>
      </c>
      <c r="K6360" s="49" t="n">
        <f aca="false">K6357+K6358+K6359</f>
        <v>29.0920894606113</v>
      </c>
      <c r="L6360" s="49" t="n">
        <f aca="false">L6357+L6358+L6359</f>
        <v>36.3391402184556</v>
      </c>
      <c r="M6360" s="49" t="n">
        <f aca="false">M6357+M6358+M6359</f>
        <v>43.1454715008253</v>
      </c>
      <c r="N6360" s="49" t="n">
        <f aca="false">N6357+N6358+N6359</f>
        <v>49.5280990541991</v>
      </c>
      <c r="P6360" s="49" t="n">
        <f aca="false">F6360</f>
        <v>6.0391679141351</v>
      </c>
      <c r="Q6360" s="49" t="n">
        <f aca="false">J6360</f>
        <v>21.7453850447547</v>
      </c>
      <c r="R6360" s="49" t="n">
        <f aca="false">N6360</f>
        <v>49.5280990541991</v>
      </c>
      <c r="S6360" s="50" t="n">
        <f aca="false">R6360</f>
        <v>49.5280990541991</v>
      </c>
    </row>
    <row r="6361" customFormat="false" ht="15" hidden="false" customHeight="false" outlineLevel="0" collapsed="false">
      <c r="A6361" s="4" t="s">
        <v>538</v>
      </c>
      <c r="B6361" s="36" t="s">
        <v>125</v>
      </c>
      <c r="C6361" s="54" t="n">
        <f aca="false">0*Assumptions!$F$62^(1/4)+C6352*$C$6301</f>
        <v>0</v>
      </c>
      <c r="D6361" s="54" t="n">
        <f aca="false">C6361*Assumptions!$F$62^(1/4)+D6352*$C$6301</f>
        <v>4636.84673462381</v>
      </c>
      <c r="E6361" s="54" t="n">
        <f aca="false">D6361*Assumptions!$F$62^(1/4)+E6352*$C$6301</f>
        <v>12652.8054035659</v>
      </c>
      <c r="F6361" s="54" t="n">
        <f aca="false">E6361*Assumptions!$F$62^(1/4)+F6352*$C$6301</f>
        <v>21608.2975891833</v>
      </c>
      <c r="G6361" s="54" t="n">
        <f aca="false">F6361*Assumptions!$F$62^(1/4)+G6352*$C$6301</f>
        <v>31533.9643883025</v>
      </c>
      <c r="H6361" s="54" t="n">
        <f aca="false">G6361*Assumptions!$F$62^(1/4)+H6352*$C$6301</f>
        <v>44360.8621066431</v>
      </c>
      <c r="I6361" s="54" t="n">
        <f aca="false">H6361*Assumptions!$F$62^(1/4)+I6352*$C$6301</f>
        <v>59949.830852606</v>
      </c>
      <c r="J6361" s="54" t="n">
        <f aca="false">I6361*Assumptions!$F$62^(1/4)+J6352*$C$6301</f>
        <v>82936.9948529087</v>
      </c>
      <c r="K6361" s="54" t="n">
        <f aca="false">J6361*Assumptions!$F$62^(1/4)+K6352*$C$6301</f>
        <v>112750.584563845</v>
      </c>
      <c r="L6361" s="54" t="n">
        <f aca="false">K6361*Assumptions!$F$62^(1/4)+L6352*$C$6301</f>
        <v>143204.84827194</v>
      </c>
      <c r="M6361" s="54" t="n">
        <f aca="false">L6361*Assumptions!$F$62^(1/4)+M6352*$C$6301</f>
        <v>173253.253651359</v>
      </c>
      <c r="N6361" s="54" t="n">
        <f aca="false">M6361*Assumptions!$F$62^(1/4)+N6352*$C$6301</f>
        <v>202949.021177833</v>
      </c>
      <c r="P6361" s="55" t="n">
        <f aca="false">F6361</f>
        <v>21608.2975891833</v>
      </c>
      <c r="Q6361" s="55" t="n">
        <f aca="false">J6361</f>
        <v>82936.9948529087</v>
      </c>
      <c r="R6361" s="55" t="n">
        <f aca="false">N6361</f>
        <v>202949.021177833</v>
      </c>
      <c r="S6361" s="56" t="n">
        <f aca="false">R6361</f>
        <v>202949.021177833</v>
      </c>
    </row>
    <row r="6362" customFormat="false" ht="15" hidden="false" customHeight="false" outlineLevel="0" collapsed="false">
      <c r="A6362" s="4" t="s">
        <v>539</v>
      </c>
      <c r="B6362" s="36" t="s">
        <v>125</v>
      </c>
      <c r="C6362" s="54" t="n">
        <f aca="false">0*Assumptions!$F$63^(1/4)+C6353*$C$6302</f>
        <v>0</v>
      </c>
      <c r="D6362" s="54" t="n">
        <f aca="false">C6362*Assumptions!$F$63^(1/4)+D6353*$C$6302</f>
        <v>4239.58645576376</v>
      </c>
      <c r="E6362" s="54" t="n">
        <f aca="false">D6362*Assumptions!$F$63^(1/4)+E6353*$C$6302</f>
        <v>11657.3210708444</v>
      </c>
      <c r="F6362" s="54" t="n">
        <f aca="false">E6362*Assumptions!$F$63^(1/4)+F6353*$C$6302</f>
        <v>20090.3078924218</v>
      </c>
      <c r="G6362" s="54" t="n">
        <f aca="false">F6362*Assumptions!$F$63^(1/4)+G6353*$C$6302</f>
        <v>29590.0578566215</v>
      </c>
      <c r="H6362" s="54" t="n">
        <f aca="false">G6362*Assumptions!$F$63^(1/4)+H6353*$C$6302</f>
        <v>41724.0828117511</v>
      </c>
      <c r="I6362" s="54" t="n">
        <f aca="false">H6362*Assumptions!$F$63^(1/4)+I6353*$C$6302</f>
        <v>56440.4306546776</v>
      </c>
      <c r="J6362" s="54" t="n">
        <f aca="false">I6362*Assumptions!$F$63^(1/4)+J6353*$C$6302</f>
        <v>76867.4842334397</v>
      </c>
      <c r="K6362" s="54" t="n">
        <f aca="false">J6362*Assumptions!$F$63^(1/4)+K6353*$C$6302</f>
        <v>102804.630842848</v>
      </c>
      <c r="L6362" s="54" t="n">
        <f aca="false">K6362*Assumptions!$F$63^(1/4)+L6353*$C$6302</f>
        <v>129828.928465938</v>
      </c>
      <c r="M6362" s="54" t="n">
        <f aca="false">L6362*Assumptions!$F$63^(1/4)+M6353*$C$6302</f>
        <v>157122.226870512</v>
      </c>
      <c r="N6362" s="54" t="n">
        <f aca="false">M6362*Assumptions!$F$63^(1/4)+N6353*$C$6302</f>
        <v>184742.107873929</v>
      </c>
      <c r="P6362" s="55" t="n">
        <f aca="false">F6362</f>
        <v>20090.3078924218</v>
      </c>
      <c r="Q6362" s="55" t="n">
        <f aca="false">J6362</f>
        <v>76867.4842334397</v>
      </c>
      <c r="R6362" s="55" t="n">
        <f aca="false">N6362</f>
        <v>184742.107873929</v>
      </c>
      <c r="S6362" s="56" t="n">
        <f aca="false">R6362</f>
        <v>184742.107873929</v>
      </c>
    </row>
    <row r="6363" customFormat="false" ht="15" hidden="false" customHeight="false" outlineLevel="0" collapsed="false">
      <c r="A6363" s="4" t="s">
        <v>540</v>
      </c>
      <c r="B6363" s="36" t="s">
        <v>125</v>
      </c>
      <c r="C6363" s="54" t="n">
        <f aca="false">0*Assumptions!$F$64^(1/4)+C6354*$C$6303</f>
        <v>0</v>
      </c>
      <c r="D6363" s="54" t="n">
        <f aca="false">C6363*Assumptions!$F$64^(1/4)+D6354*$C$6303</f>
        <v>0</v>
      </c>
      <c r="E6363" s="54" t="n">
        <f aca="false">D6363*Assumptions!$F$64^(1/4)+E6354*$C$6303</f>
        <v>4403.28728055653</v>
      </c>
      <c r="F6363" s="54" t="n">
        <f aca="false">E6363*Assumptions!$F$64^(1/4)+F6354*$C$6303</f>
        <v>12249.3651087048</v>
      </c>
      <c r="G6363" s="54" t="n">
        <f aca="false">F6363*Assumptions!$F$64^(1/4)+G6354*$C$6303</f>
        <v>21407.8371104873</v>
      </c>
      <c r="H6363" s="54" t="n">
        <f aca="false">G6363*Assumptions!$F$64^(1/4)+H6354*$C$6303</f>
        <v>31983.6760093128</v>
      </c>
      <c r="I6363" s="54" t="n">
        <f aca="false">H6363*Assumptions!$F$64^(1/4)+I6354*$C$6303</f>
        <v>44917.3257867591</v>
      </c>
      <c r="J6363" s="54" t="n">
        <f aca="false">I6363*Assumptions!$F$64^(1/4)+J6354*$C$6303</f>
        <v>60285.9276027991</v>
      </c>
      <c r="K6363" s="54" t="n">
        <f aca="false">J6363*Assumptions!$F$64^(1/4)+K6354*$C$6303</f>
        <v>80765.9192753966</v>
      </c>
      <c r="L6363" s="54" t="n">
        <f aca="false">K6363*Assumptions!$F$64^(1/4)+L6354*$C$6303</f>
        <v>106458.088388649</v>
      </c>
      <c r="M6363" s="54" t="n">
        <f aca="false">L6363*Assumptions!$F$64^(1/4)+M6354*$C$6303</f>
        <v>134035.581842533</v>
      </c>
      <c r="N6363" s="54" t="n">
        <f aca="false">M6363*Assumptions!$F$64^(1/4)+N6354*$C$6303</f>
        <v>162879.687927479</v>
      </c>
      <c r="P6363" s="55" t="n">
        <f aca="false">F6363</f>
        <v>12249.3651087048</v>
      </c>
      <c r="Q6363" s="55" t="n">
        <f aca="false">J6363</f>
        <v>60285.9276027991</v>
      </c>
      <c r="R6363" s="55" t="n">
        <f aca="false">N6363</f>
        <v>162879.687927479</v>
      </c>
      <c r="S6363" s="56" t="n">
        <f aca="false">R6363</f>
        <v>162879.687927479</v>
      </c>
    </row>
    <row r="6364" customFormat="false" ht="15" hidden="false" customHeight="false" outlineLevel="0" collapsed="false">
      <c r="A6364" s="9" t="s">
        <v>541</v>
      </c>
      <c r="B6364" s="36" t="s">
        <v>125</v>
      </c>
      <c r="C6364" s="55" t="n">
        <f aca="false">C6361+C6362+C6363</f>
        <v>0</v>
      </c>
      <c r="D6364" s="55" t="n">
        <f aca="false">D6361+D6362+D6363</f>
        <v>8876.43319038757</v>
      </c>
      <c r="E6364" s="55" t="n">
        <f aca="false">E6361+E6362+E6363</f>
        <v>28713.4137549668</v>
      </c>
      <c r="F6364" s="55" t="n">
        <f aca="false">F6361+F6362+F6363</f>
        <v>53947.97059031</v>
      </c>
      <c r="G6364" s="55" t="n">
        <f aca="false">G6361+G6362+G6363</f>
        <v>82531.8593554112</v>
      </c>
      <c r="H6364" s="55" t="n">
        <f aca="false">H6361+H6362+H6363</f>
        <v>118068.620927707</v>
      </c>
      <c r="I6364" s="55" t="n">
        <f aca="false">I6361+I6362+I6363</f>
        <v>161307.587294043</v>
      </c>
      <c r="J6364" s="55" t="n">
        <f aca="false">J6361+J6362+J6363</f>
        <v>220090.406689147</v>
      </c>
      <c r="K6364" s="55" t="n">
        <f aca="false">K6361+K6362+K6363</f>
        <v>296321.134682089</v>
      </c>
      <c r="L6364" s="55" t="n">
        <f aca="false">L6361+L6362+L6363</f>
        <v>379491.865126527</v>
      </c>
      <c r="M6364" s="55" t="n">
        <f aca="false">M6361+M6362+M6363</f>
        <v>464411.062364404</v>
      </c>
      <c r="N6364" s="55" t="n">
        <f aca="false">N6361+N6362+N6363</f>
        <v>550570.81697924</v>
      </c>
      <c r="P6364" s="55" t="n">
        <f aca="false">F6364</f>
        <v>53947.97059031</v>
      </c>
      <c r="Q6364" s="55" t="n">
        <f aca="false">J6364</f>
        <v>220090.406689147</v>
      </c>
      <c r="R6364" s="55" t="n">
        <f aca="false">N6364</f>
        <v>550570.81697924</v>
      </c>
      <c r="S6364" s="56" t="n">
        <f aca="false">R6364</f>
        <v>550570.81697924</v>
      </c>
    </row>
    <row r="6365" customFormat="false" ht="15" hidden="false" customHeight="false" outlineLevel="0" collapsed="false">
      <c r="A6365" s="4" t="s">
        <v>542</v>
      </c>
      <c r="B6365" s="36" t="s">
        <v>125</v>
      </c>
      <c r="C6365" s="54" t="n">
        <f aca="false">C6352*$C$6301+C6353*$C$6302+C6354*$C$6303</f>
        <v>0</v>
      </c>
      <c r="D6365" s="54" t="n">
        <f aca="false">D6352*$C$6301+D6353*$C$6302+D6354*$C$6303</f>
        <v>8876.43319038757</v>
      </c>
      <c r="E6365" s="54" t="n">
        <f aca="false">E6352*$C$6301+E6353*$C$6302+E6354*$C$6303</f>
        <v>19618.1886500368</v>
      </c>
      <c r="F6365" s="54" t="n">
        <f aca="false">F6352*$C$6301+F6353*$C$6302+F6354*$C$6303</f>
        <v>24335.8808795765</v>
      </c>
      <c r="G6365" s="54" t="n">
        <f aca="false">G6352*$C$6301+G6353*$C$6302+G6354*$C$6303</f>
        <v>26722.0551062465</v>
      </c>
      <c r="H6365" s="54" t="n">
        <f aca="false">H6352*$C$6301+H6353*$C$6302+H6354*$C$6303</f>
        <v>32570.6348072815</v>
      </c>
      <c r="I6365" s="54" t="n">
        <f aca="false">I6352*$C$6301+I6353*$C$6302+I6354*$C$6303</f>
        <v>38936.2212649288</v>
      </c>
      <c r="J6365" s="54" t="n">
        <f aca="false">J6352*$C$6301+J6353*$C$6302+J6354*$C$6303</f>
        <v>52851.2673832351</v>
      </c>
      <c r="K6365" s="54" t="n">
        <f aca="false">K6352*$C$6301+K6353*$C$6302+K6354*$C$6303</f>
        <v>68193.6820495777</v>
      </c>
      <c r="L6365" s="54" t="n">
        <f aca="false">L6352*$C$6301+L6353*$C$6302+L6354*$C$6303</f>
        <v>72385.5913630249</v>
      </c>
      <c r="M6365" s="54" t="n">
        <f aca="false">M6352*$C$6301+M6353*$C$6302+M6354*$C$6303</f>
        <v>70984.5735032962</v>
      </c>
      <c r="N6365" s="54" t="n">
        <f aca="false">N6352*$C$6301+N6353*$C$6302+N6354*$C$6303</f>
        <v>68944.2304944803</v>
      </c>
      <c r="P6365" s="55" t="n">
        <f aca="false">SUM(C6365:F6365)</f>
        <v>52830.5027200009</v>
      </c>
      <c r="Q6365" s="55" t="n">
        <f aca="false">SUM(G6365:J6365)</f>
        <v>151080.178561692</v>
      </c>
      <c r="R6365" s="55" t="n">
        <f aca="false">SUM(K6365:N6365)</f>
        <v>280508.077410379</v>
      </c>
      <c r="S6365" s="56" t="n">
        <f aca="false">SUM(P6365:R6365)</f>
        <v>484418.758692072</v>
      </c>
    </row>
    <row r="6366" customFormat="false" ht="15" hidden="false" customHeight="false" outlineLevel="0" collapsed="false">
      <c r="A6366" s="9" t="s">
        <v>543</v>
      </c>
      <c r="B6366" s="36" t="s">
        <v>125</v>
      </c>
      <c r="C6366" s="55" t="n">
        <f aca="false">(0+C6364)/8</f>
        <v>0</v>
      </c>
      <c r="D6366" s="55" t="n">
        <f aca="false">(C6364+D6364)/8</f>
        <v>1109.55414879845</v>
      </c>
      <c r="E6366" s="55" t="n">
        <f aca="false">(D6364+E6364)/8</f>
        <v>4698.7308681693</v>
      </c>
      <c r="F6366" s="55" t="n">
        <f aca="false">(E6364+F6364)/8</f>
        <v>10332.6730431596</v>
      </c>
      <c r="G6366" s="55" t="n">
        <f aca="false">(F6364+G6364)/8</f>
        <v>17059.9787432152</v>
      </c>
      <c r="H6366" s="55" t="n">
        <f aca="false">(G6364+H6364)/8</f>
        <v>25075.0600353898</v>
      </c>
      <c r="I6366" s="55" t="n">
        <f aca="false">(H6364+I6364)/8</f>
        <v>34922.0260277187</v>
      </c>
      <c r="J6366" s="55" t="n">
        <f aca="false">(I6364+J6364)/8</f>
        <v>47674.7492478988</v>
      </c>
      <c r="K6366" s="55" t="n">
        <f aca="false">(J6364+K6364)/8</f>
        <v>64551.4426714046</v>
      </c>
      <c r="L6366" s="55" t="n">
        <f aca="false">(K6364+L6364)/8</f>
        <v>84476.624976077</v>
      </c>
      <c r="M6366" s="55" t="n">
        <f aca="false">(L6364+M6364)/8</f>
        <v>105487.865936366</v>
      </c>
      <c r="N6366" s="55" t="n">
        <f aca="false">(M6364+N6364)/8</f>
        <v>126872.734917956</v>
      </c>
      <c r="P6366" s="55" t="n">
        <f aca="false">SUM(C6366:F6366)</f>
        <v>16140.9580601273</v>
      </c>
      <c r="Q6366" s="55" t="n">
        <f aca="false">SUM(G6366:J6366)</f>
        <v>124731.814054222</v>
      </c>
      <c r="R6366" s="55" t="n">
        <f aca="false">SUM(K6366:N6366)</f>
        <v>381388.668501804</v>
      </c>
      <c r="S6366" s="56" t="n">
        <f aca="false">SUM(P6366:R6366)</f>
        <v>522261.440616153</v>
      </c>
    </row>
    <row r="6367" customFormat="false" ht="15" hidden="false" customHeight="false" outlineLevel="0" collapsed="false">
      <c r="A6367" s="4" t="s">
        <v>544</v>
      </c>
      <c r="B6367" s="36" t="s">
        <v>125</v>
      </c>
      <c r="C6367" s="54" t="n">
        <f aca="false">C6366*Assumptions!$E$76</f>
        <v>0</v>
      </c>
      <c r="D6367" s="54" t="n">
        <f aca="false">D6366*Assumptions!$E$76</f>
        <v>721.21019671899</v>
      </c>
      <c r="E6367" s="54" t="n">
        <f aca="false">E6366*Assumptions!$E$76</f>
        <v>3054.17506431004</v>
      </c>
      <c r="F6367" s="54" t="n">
        <f aca="false">F6366*Assumptions!$E$76</f>
        <v>6716.23747805374</v>
      </c>
      <c r="G6367" s="54" t="n">
        <f aca="false">G6366*Assumptions!$E$76</f>
        <v>11088.9861830898</v>
      </c>
      <c r="H6367" s="54" t="n">
        <f aca="false">H6366*Assumptions!$E$76</f>
        <v>16298.7890230034</v>
      </c>
      <c r="I6367" s="54" t="n">
        <f aca="false">I6366*Assumptions!$E$76</f>
        <v>22699.3169180172</v>
      </c>
      <c r="J6367" s="54" t="n">
        <f aca="false">J6366*Assumptions!$E$76</f>
        <v>30988.5870111342</v>
      </c>
      <c r="K6367" s="54" t="n">
        <f aca="false">K6366*Assumptions!$E$76</f>
        <v>41958.437736413</v>
      </c>
      <c r="L6367" s="54" t="n">
        <f aca="false">L6366*Assumptions!$E$76</f>
        <v>54909.8062344501</v>
      </c>
      <c r="M6367" s="54" t="n">
        <f aca="false">M6366*Assumptions!$E$76</f>
        <v>68567.1128586381</v>
      </c>
      <c r="N6367" s="54" t="n">
        <f aca="false">N6366*Assumptions!$E$76</f>
        <v>82467.2776966711</v>
      </c>
      <c r="P6367" s="55" t="n">
        <f aca="false">SUM(C6367:F6367)</f>
        <v>10491.6227390828</v>
      </c>
      <c r="Q6367" s="55" t="n">
        <f aca="false">SUM(G6367:J6367)</f>
        <v>81075.6791352446</v>
      </c>
      <c r="R6367" s="55" t="n">
        <f aca="false">SUM(K6367:N6367)</f>
        <v>247902.634526172</v>
      </c>
      <c r="S6367" s="56" t="n">
        <f aca="false">SUM(P6367:R6367)</f>
        <v>339469.9364005</v>
      </c>
    </row>
    <row r="6368" customFormat="false" ht="15" hidden="false" customHeight="false" outlineLevel="0" collapsed="false">
      <c r="A6368" s="35" t="s">
        <v>547</v>
      </c>
      <c r="B6368" s="35" t="s">
        <v>444</v>
      </c>
      <c r="C6368" s="6" t="s">
        <v>354</v>
      </c>
      <c r="D6368" s="6" t="s">
        <v>355</v>
      </c>
      <c r="E6368" s="6" t="s">
        <v>356</v>
      </c>
      <c r="F6368" s="6" t="s">
        <v>357</v>
      </c>
      <c r="G6368" s="6" t="s">
        <v>358</v>
      </c>
      <c r="H6368" s="6" t="s">
        <v>359</v>
      </c>
      <c r="I6368" s="6" t="s">
        <v>360</v>
      </c>
      <c r="J6368" s="6" t="s">
        <v>361</v>
      </c>
      <c r="K6368" s="6" t="s">
        <v>362</v>
      </c>
      <c r="L6368" s="6" t="s">
        <v>363</v>
      </c>
      <c r="M6368" s="6" t="s">
        <v>364</v>
      </c>
      <c r="N6368" s="6" t="s">
        <v>365</v>
      </c>
      <c r="P6368" s="6" t="s">
        <v>445</v>
      </c>
      <c r="Q6368" s="6" t="s">
        <v>446</v>
      </c>
      <c r="R6368" s="6" t="s">
        <v>447</v>
      </c>
      <c r="S6368" s="6" t="s">
        <v>448</v>
      </c>
    </row>
    <row r="6369" customFormat="false" ht="15" hidden="false" customHeight="false" outlineLevel="0" collapsed="false">
      <c r="A6369" s="4" t="s">
        <v>548</v>
      </c>
      <c r="B6369" s="36" t="s">
        <v>321</v>
      </c>
      <c r="C6369" s="48" t="n">
        <f aca="false">Assumptions!$D$97*C6311</f>
        <v>1</v>
      </c>
      <c r="D6369" s="48" t="n">
        <f aca="false">Assumptions!$D$97*D6311</f>
        <v>1</v>
      </c>
      <c r="E6369" s="48" t="n">
        <f aca="false">Assumptions!$D$97*E6311</f>
        <v>1</v>
      </c>
      <c r="F6369" s="48" t="n">
        <f aca="false">Assumptions!$D$97*F6311</f>
        <v>1</v>
      </c>
      <c r="G6369" s="48" t="n">
        <f aca="false">Assumptions!$D$97*G6311</f>
        <v>1</v>
      </c>
      <c r="H6369" s="48" t="n">
        <f aca="false">Assumptions!$D$97*H6311</f>
        <v>1</v>
      </c>
      <c r="I6369" s="48" t="n">
        <f aca="false">Assumptions!$D$97*I6311</f>
        <v>1</v>
      </c>
      <c r="J6369" s="48" t="n">
        <f aca="false">Assumptions!$D$97*J6311</f>
        <v>1</v>
      </c>
      <c r="K6369" s="48" t="n">
        <f aca="false">Assumptions!$D$97*K6311</f>
        <v>1</v>
      </c>
      <c r="L6369" s="48" t="n">
        <f aca="false">Assumptions!$D$97*L6311</f>
        <v>1</v>
      </c>
      <c r="M6369" s="48" t="n">
        <f aca="false">Assumptions!$D$97*M6311</f>
        <v>1</v>
      </c>
      <c r="N6369" s="48" t="n">
        <f aca="false">Assumptions!$D$97*N6311</f>
        <v>1</v>
      </c>
      <c r="P6369" s="49" t="n">
        <f aca="false">AVERAGE(C6369:F6369)</f>
        <v>1</v>
      </c>
      <c r="Q6369" s="49" t="n">
        <f aca="false">AVERAGE(G6369:J6369)</f>
        <v>1</v>
      </c>
      <c r="R6369" s="49" t="n">
        <f aca="false">AVERAGE(K6369:N6369)</f>
        <v>1</v>
      </c>
      <c r="S6369" s="50"/>
    </row>
    <row r="6370" customFormat="false" ht="15" hidden="false" customHeight="false" outlineLevel="0" collapsed="false">
      <c r="A6370" s="4" t="s">
        <v>549</v>
      </c>
      <c r="B6370" s="36" t="s">
        <v>321</v>
      </c>
      <c r="C6370" s="48" t="n">
        <f aca="false">C6324*C6311</f>
        <v>0</v>
      </c>
      <c r="D6370" s="48" t="n">
        <f aca="false">D6324*D6311</f>
        <v>0</v>
      </c>
      <c r="E6370" s="48" t="n">
        <f aca="false">E6324*E6311</f>
        <v>0</v>
      </c>
      <c r="F6370" s="48" t="n">
        <f aca="false">F6324*F6311</f>
        <v>0</v>
      </c>
      <c r="G6370" s="48" t="n">
        <f aca="false">G6324*G6311</f>
        <v>0</v>
      </c>
      <c r="H6370" s="48" t="n">
        <f aca="false">H6324*H6311</f>
        <v>0</v>
      </c>
      <c r="I6370" s="48" t="n">
        <f aca="false">I6324*I6311</f>
        <v>0</v>
      </c>
      <c r="J6370" s="48" t="n">
        <f aca="false">J6324*J6311</f>
        <v>0</v>
      </c>
      <c r="K6370" s="48" t="n">
        <f aca="false">K6324*K6311</f>
        <v>0</v>
      </c>
      <c r="L6370" s="48" t="n">
        <f aca="false">L6324*L6311</f>
        <v>0</v>
      </c>
      <c r="M6370" s="48" t="n">
        <f aca="false">M6324*M6311</f>
        <v>0</v>
      </c>
      <c r="N6370" s="48" t="n">
        <f aca="false">N6324*N6311</f>
        <v>0</v>
      </c>
      <c r="P6370" s="49" t="n">
        <f aca="false">AVERAGE(C6370:F6370)</f>
        <v>0</v>
      </c>
      <c r="Q6370" s="49" t="n">
        <f aca="false">AVERAGE(G6370:J6370)</f>
        <v>0</v>
      </c>
      <c r="R6370" s="49" t="n">
        <f aca="false">AVERAGE(K6370:N6370)</f>
        <v>0</v>
      </c>
      <c r="S6370" s="50"/>
    </row>
    <row r="6371" customFormat="false" ht="15" hidden="false" customHeight="false" outlineLevel="0" collapsed="false">
      <c r="A6371" s="4" t="s">
        <v>550</v>
      </c>
      <c r="B6371" s="36" t="s">
        <v>321</v>
      </c>
      <c r="C6371" s="48" t="n">
        <f aca="false">IF(C6310&lt;=4,Assumptions!$D$98,Assumptions!$D$99)*C6311</f>
        <v>0</v>
      </c>
      <c r="D6371" s="48" t="n">
        <f aca="false">IF(D6310&lt;=4,Assumptions!$D$98,Assumptions!$D$99)*D6311</f>
        <v>0</v>
      </c>
      <c r="E6371" s="48" t="n">
        <f aca="false">IF(E6310&lt;=4,Assumptions!$D$98,Assumptions!$D$99)*E6311</f>
        <v>0</v>
      </c>
      <c r="F6371" s="48" t="n">
        <f aca="false">IF(F6310&lt;=4,Assumptions!$D$98,Assumptions!$D$99)*F6311</f>
        <v>0</v>
      </c>
      <c r="G6371" s="48" t="n">
        <f aca="false">IF(G6310&lt;=4,Assumptions!$D$98,Assumptions!$D$99)*G6311</f>
        <v>0.5</v>
      </c>
      <c r="H6371" s="48" t="n">
        <f aca="false">IF(H6310&lt;=4,Assumptions!$D$98,Assumptions!$D$99)*H6311</f>
        <v>0.5</v>
      </c>
      <c r="I6371" s="48" t="n">
        <f aca="false">IF(I6310&lt;=4,Assumptions!$D$98,Assumptions!$D$99)*I6311</f>
        <v>0.5</v>
      </c>
      <c r="J6371" s="48" t="n">
        <f aca="false">IF(J6310&lt;=4,Assumptions!$D$98,Assumptions!$D$99)*J6311</f>
        <v>0.5</v>
      </c>
      <c r="K6371" s="48" t="n">
        <f aca="false">IF(K6310&lt;=4,Assumptions!$D$98,Assumptions!$D$99)*K6311</f>
        <v>0.5</v>
      </c>
      <c r="L6371" s="48" t="n">
        <f aca="false">IF(L6310&lt;=4,Assumptions!$D$98,Assumptions!$D$99)*L6311</f>
        <v>0.5</v>
      </c>
      <c r="M6371" s="48" t="n">
        <f aca="false">IF(M6310&lt;=4,Assumptions!$D$98,Assumptions!$D$99)*M6311</f>
        <v>0.5</v>
      </c>
      <c r="N6371" s="48" t="n">
        <f aca="false">IF(N6310&lt;=4,Assumptions!$D$98,Assumptions!$D$99)*N6311</f>
        <v>0.5</v>
      </c>
      <c r="P6371" s="49" t="n">
        <f aca="false">AVERAGE(C6371:F6371)</f>
        <v>0</v>
      </c>
      <c r="Q6371" s="49" t="n">
        <f aca="false">AVERAGE(G6371:J6371)</f>
        <v>0.5</v>
      </c>
      <c r="R6371" s="49" t="n">
        <f aca="false">AVERAGE(K6371:N6371)</f>
        <v>0.5</v>
      </c>
      <c r="S6371" s="50"/>
    </row>
    <row r="6372" customFormat="false" ht="15" hidden="false" customHeight="false" outlineLevel="0" collapsed="false">
      <c r="A6372" s="4" t="s">
        <v>551</v>
      </c>
      <c r="B6372" s="36" t="s">
        <v>321</v>
      </c>
      <c r="C6372" s="48" t="n">
        <f aca="false">IF(C6310&lt;=4,Assumptions!$D$100,Assumptions!$D$101)*C6311</f>
        <v>1</v>
      </c>
      <c r="D6372" s="48" t="n">
        <f aca="false">IF(D6310&lt;=4,Assumptions!$D$100,Assumptions!$D$101)*D6311</f>
        <v>1</v>
      </c>
      <c r="E6372" s="48" t="n">
        <f aca="false">IF(E6310&lt;=4,Assumptions!$D$100,Assumptions!$D$101)*E6311</f>
        <v>1</v>
      </c>
      <c r="F6372" s="48" t="n">
        <f aca="false">IF(F6310&lt;=4,Assumptions!$D$100,Assumptions!$D$101)*F6311</f>
        <v>1</v>
      </c>
      <c r="G6372" s="48" t="n">
        <f aca="false">IF(G6310&lt;=4,Assumptions!$D$100,Assumptions!$D$101)*G6311</f>
        <v>0.5</v>
      </c>
      <c r="H6372" s="48" t="n">
        <f aca="false">IF(H6310&lt;=4,Assumptions!$D$100,Assumptions!$D$101)*H6311</f>
        <v>0.5</v>
      </c>
      <c r="I6372" s="48" t="n">
        <f aca="false">IF(I6310&lt;=4,Assumptions!$D$100,Assumptions!$D$101)*I6311</f>
        <v>0.5</v>
      </c>
      <c r="J6372" s="48" t="n">
        <f aca="false">IF(J6310&lt;=4,Assumptions!$D$100,Assumptions!$D$101)*J6311</f>
        <v>0.5</v>
      </c>
      <c r="K6372" s="48" t="n">
        <f aca="false">IF(K6310&lt;=4,Assumptions!$D$100,Assumptions!$D$101)*K6311</f>
        <v>0.5</v>
      </c>
      <c r="L6372" s="48" t="n">
        <f aca="false">IF(L6310&lt;=4,Assumptions!$D$100,Assumptions!$D$101)*L6311</f>
        <v>0.5</v>
      </c>
      <c r="M6372" s="48" t="n">
        <f aca="false">IF(M6310&lt;=4,Assumptions!$D$100,Assumptions!$D$101)*M6311</f>
        <v>0.5</v>
      </c>
      <c r="N6372" s="48" t="n">
        <f aca="false">IF(N6310&lt;=4,Assumptions!$D$100,Assumptions!$D$101)*N6311</f>
        <v>0.5</v>
      </c>
      <c r="P6372" s="49" t="n">
        <f aca="false">AVERAGE(C6372:F6372)</f>
        <v>1</v>
      </c>
      <c r="Q6372" s="49" t="n">
        <f aca="false">AVERAGE(G6372:J6372)</f>
        <v>0.5</v>
      </c>
      <c r="R6372" s="49" t="n">
        <f aca="false">AVERAGE(K6372:N6372)</f>
        <v>0.5</v>
      </c>
      <c r="S6372" s="50"/>
    </row>
    <row r="6373" customFormat="false" ht="15" hidden="false" customHeight="false" outlineLevel="0" collapsed="false">
      <c r="A6373" s="4" t="s">
        <v>552</v>
      </c>
      <c r="B6373" s="36" t="s">
        <v>321</v>
      </c>
      <c r="C6373" s="48" t="n">
        <f aca="false">Assumptions!$D$102*C6311</f>
        <v>0.25</v>
      </c>
      <c r="D6373" s="48" t="n">
        <f aca="false">Assumptions!$D$102*D6311</f>
        <v>0.25</v>
      </c>
      <c r="E6373" s="48" t="n">
        <f aca="false">Assumptions!$D$102*E6311</f>
        <v>0.25</v>
      </c>
      <c r="F6373" s="48" t="n">
        <f aca="false">Assumptions!$D$102*F6311</f>
        <v>0.25</v>
      </c>
      <c r="G6373" s="48" t="n">
        <f aca="false">Assumptions!$D$102*G6311</f>
        <v>0.25</v>
      </c>
      <c r="H6373" s="48" t="n">
        <f aca="false">Assumptions!$D$102*H6311</f>
        <v>0.25</v>
      </c>
      <c r="I6373" s="48" t="n">
        <f aca="false">Assumptions!$D$102*I6311</f>
        <v>0.25</v>
      </c>
      <c r="J6373" s="48" t="n">
        <f aca="false">Assumptions!$D$102*J6311</f>
        <v>0.25</v>
      </c>
      <c r="K6373" s="48" t="n">
        <f aca="false">Assumptions!$D$102*K6311</f>
        <v>0.25</v>
      </c>
      <c r="L6373" s="48" t="n">
        <f aca="false">Assumptions!$D$102*L6311</f>
        <v>0.25</v>
      </c>
      <c r="M6373" s="48" t="n">
        <f aca="false">Assumptions!$D$102*M6311</f>
        <v>0.25</v>
      </c>
      <c r="N6373" s="48" t="n">
        <f aca="false">Assumptions!$D$102*N6311</f>
        <v>0.25</v>
      </c>
      <c r="P6373" s="49" t="n">
        <f aca="false">AVERAGE(C6373:F6373)</f>
        <v>0.25</v>
      </c>
      <c r="Q6373" s="49" t="n">
        <f aca="false">AVERAGE(G6373:J6373)</f>
        <v>0.25</v>
      </c>
      <c r="R6373" s="49" t="n">
        <f aca="false">AVERAGE(K6373:N6373)</f>
        <v>0.25</v>
      </c>
      <c r="S6373" s="50"/>
    </row>
    <row r="6374" customFormat="false" ht="15" hidden="false" customHeight="false" outlineLevel="0" collapsed="false">
      <c r="A6374" s="4" t="s">
        <v>553</v>
      </c>
      <c r="B6374" s="36" t="s">
        <v>321</v>
      </c>
      <c r="C6374" s="48" t="n">
        <f aca="false">(C6358+C6359)/Assumptions!$E$74+C6357/Assumptions!$E$75</f>
        <v>0</v>
      </c>
      <c r="D6374" s="48" t="n">
        <f aca="false">(D6358+D6359)/Assumptions!$E$74+D6357/Assumptions!$E$75</f>
        <v>0.0143176301374139</v>
      </c>
      <c r="E6374" s="48" t="n">
        <f aca="false">(E6358+E6359)/Assumptions!$E$74+E6357/Assumptions!$E$75</f>
        <v>0.0402499456767798</v>
      </c>
      <c r="F6374" s="48" t="n">
        <f aca="false">(F6358+F6359)/Assumptions!$E$74+F6357/Assumptions!$E$75</f>
        <v>0.069296156601371</v>
      </c>
      <c r="G6374" s="48" t="n">
        <f aca="false">(G6358+G6359)/Assumptions!$E$74+G6357/Assumptions!$E$75</f>
        <v>0.100475077199051</v>
      </c>
      <c r="H6374" s="48" t="n">
        <f aca="false">(H6358+H6359)/Assumptions!$E$74+H6357/Assumptions!$E$75</f>
        <v>0.139084643227244</v>
      </c>
      <c r="I6374" s="48" t="n">
        <f aca="false">(I6358+I6359)/Assumptions!$E$74+I6357/Assumptions!$E$75</f>
        <v>0.184756080005146</v>
      </c>
      <c r="J6374" s="48" t="n">
        <f aca="false">(J6358+J6359)/Assumptions!$E$74+J6357/Assumptions!$E$75</f>
        <v>0.248473880206466</v>
      </c>
      <c r="K6374" s="48" t="n">
        <f aca="false">(K6358+K6359)/Assumptions!$E$74+K6357/Assumptions!$E$75</f>
        <v>0.329218871456529</v>
      </c>
      <c r="L6374" s="48" t="n">
        <f aca="false">(L6358+L6359)/Assumptions!$E$74+L6357/Assumptions!$E$75</f>
        <v>0.409912468045788</v>
      </c>
      <c r="M6374" s="48" t="n">
        <f aca="false">(M6358+M6359)/Assumptions!$E$74+M6357/Assumptions!$E$75</f>
        <v>0.486094517455055</v>
      </c>
      <c r="N6374" s="48" t="n">
        <f aca="false">(N6358+N6359)/Assumptions!$E$74+N6357/Assumptions!$E$75</f>
        <v>0.557753573090085</v>
      </c>
      <c r="P6374" s="49" t="n">
        <f aca="false">AVERAGE(C6374:F6374)</f>
        <v>0.0309659331038912</v>
      </c>
      <c r="Q6374" s="49" t="n">
        <f aca="false">AVERAGE(G6374:J6374)</f>
        <v>0.168197420159477</v>
      </c>
      <c r="R6374" s="49" t="n">
        <f aca="false">AVERAGE(K6374:N6374)</f>
        <v>0.445744857511864</v>
      </c>
      <c r="S6374" s="50"/>
    </row>
    <row r="6375" customFormat="false" ht="15" hidden="false" customHeight="false" outlineLevel="0" collapsed="false">
      <c r="A6375" s="4" t="s">
        <v>554</v>
      </c>
      <c r="B6375" s="36" t="s">
        <v>125</v>
      </c>
      <c r="C6375" s="54" t="n">
        <f aca="false">(C6369+C6371)*Assumptions!$E$70/Assumptions!$E$69/4</f>
        <v>66753.5714285714</v>
      </c>
      <c r="D6375" s="54" t="n">
        <f aca="false">(D6369+D6371)*Assumptions!$E$70/Assumptions!$E$69/4</f>
        <v>66753.5714285714</v>
      </c>
      <c r="E6375" s="54" t="n">
        <f aca="false">(E6369+E6371)*Assumptions!$E$70/Assumptions!$E$69/4</f>
        <v>66753.5714285714</v>
      </c>
      <c r="F6375" s="54" t="n">
        <f aca="false">(F6369+F6371)*Assumptions!$E$70/Assumptions!$E$69/4</f>
        <v>66753.5714285714</v>
      </c>
      <c r="G6375" s="54" t="n">
        <f aca="false">(G6369+G6371)*Assumptions!$E$70/Assumptions!$E$69/4</f>
        <v>100130.357142857</v>
      </c>
      <c r="H6375" s="54" t="n">
        <f aca="false">(H6369+H6371)*Assumptions!$E$70/Assumptions!$E$69/4</f>
        <v>100130.357142857</v>
      </c>
      <c r="I6375" s="54" t="n">
        <f aca="false">(I6369+I6371)*Assumptions!$E$70/Assumptions!$E$69/4</f>
        <v>100130.357142857</v>
      </c>
      <c r="J6375" s="54" t="n">
        <f aca="false">(J6369+J6371)*Assumptions!$E$70/Assumptions!$E$69/4</f>
        <v>100130.357142857</v>
      </c>
      <c r="K6375" s="54" t="n">
        <f aca="false">(K6369+K6371)*Assumptions!$E$70/Assumptions!$E$69/4</f>
        <v>100130.357142857</v>
      </c>
      <c r="L6375" s="54" t="n">
        <f aca="false">(L6369+L6371)*Assumptions!$E$70/Assumptions!$E$69/4</f>
        <v>100130.357142857</v>
      </c>
      <c r="M6375" s="54" t="n">
        <f aca="false">(M6369+M6371)*Assumptions!$E$70/Assumptions!$E$69/4</f>
        <v>100130.357142857</v>
      </c>
      <c r="N6375" s="54" t="n">
        <f aca="false">(N6369+N6371)*Assumptions!$E$70/Assumptions!$E$69/4</f>
        <v>100130.357142857</v>
      </c>
      <c r="P6375" s="55" t="n">
        <f aca="false">SUM(C6375:F6375)</f>
        <v>267014.285714286</v>
      </c>
      <c r="Q6375" s="55" t="n">
        <f aca="false">SUM(G6375:J6375)</f>
        <v>400521.428571429</v>
      </c>
      <c r="R6375" s="55" t="n">
        <f aca="false">SUM(K6375:N6375)</f>
        <v>400521.428571429</v>
      </c>
      <c r="S6375" s="56" t="n">
        <f aca="false">SUM(P6375:R6375)</f>
        <v>1068057.14285714</v>
      </c>
    </row>
    <row r="6376" customFormat="false" ht="15" hidden="false" customHeight="false" outlineLevel="0" collapsed="false">
      <c r="A6376" s="4" t="s">
        <v>555</v>
      </c>
      <c r="B6376" s="36" t="s">
        <v>125</v>
      </c>
      <c r="C6376" s="54" t="n">
        <f aca="false">C6370*$C$6305/4</f>
        <v>0</v>
      </c>
      <c r="D6376" s="54" t="n">
        <f aca="false">D6370*$C$6305/4</f>
        <v>0</v>
      </c>
      <c r="E6376" s="54" t="n">
        <f aca="false">E6370*$C$6305/4</f>
        <v>0</v>
      </c>
      <c r="F6376" s="54" t="n">
        <f aca="false">F6370*$C$6305/4</f>
        <v>0</v>
      </c>
      <c r="G6376" s="54" t="n">
        <f aca="false">G6370*$C$6305/4</f>
        <v>0</v>
      </c>
      <c r="H6376" s="54" t="n">
        <f aca="false">H6370*$C$6305/4</f>
        <v>0</v>
      </c>
      <c r="I6376" s="54" t="n">
        <f aca="false">I6370*$C$6305/4</f>
        <v>0</v>
      </c>
      <c r="J6376" s="54" t="n">
        <f aca="false">J6370*$C$6305/4</f>
        <v>0</v>
      </c>
      <c r="K6376" s="54" t="n">
        <f aca="false">K6370*$C$6305/4</f>
        <v>0</v>
      </c>
      <c r="L6376" s="54" t="n">
        <f aca="false">L6370*$C$6305/4</f>
        <v>0</v>
      </c>
      <c r="M6376" s="54" t="n">
        <f aca="false">M6370*$C$6305/4</f>
        <v>0</v>
      </c>
      <c r="N6376" s="54" t="n">
        <f aca="false">N6370*$C$6305/4</f>
        <v>0</v>
      </c>
      <c r="P6376" s="55" t="n">
        <f aca="false">SUM(C6376:F6376)</f>
        <v>0</v>
      </c>
      <c r="Q6376" s="55" t="n">
        <f aca="false">SUM(G6376:J6376)</f>
        <v>0</v>
      </c>
      <c r="R6376" s="55" t="n">
        <f aca="false">SUM(K6376:N6376)</f>
        <v>0</v>
      </c>
      <c r="S6376" s="56" t="n">
        <f aca="false">SUM(P6376:R6376)</f>
        <v>0</v>
      </c>
    </row>
    <row r="6377" customFormat="false" ht="15" hidden="false" customHeight="false" outlineLevel="0" collapsed="false">
      <c r="A6377" s="4" t="s">
        <v>556</v>
      </c>
      <c r="B6377" s="36" t="s">
        <v>125</v>
      </c>
      <c r="C6377" s="54" t="n">
        <f aca="false">MAX(0,(C6365-C6346*$C$6301)-C6325*$C$6306)*$C$6307*Assumptions!$D$105</f>
        <v>0</v>
      </c>
      <c r="D6377" s="54" t="n">
        <f aca="false">MAX(0,(D6365-D6346*$C$6301)-D6325*$C$6306)*$C$6307*Assumptions!$D$105</f>
        <v>3491.72206180778</v>
      </c>
      <c r="E6377" s="54" t="n">
        <f aca="false">MAX(0,(E6365-E6346*$C$6301)-E6325*$C$6306)*$C$6307*Assumptions!$D$105</f>
        <v>8039.09651874593</v>
      </c>
      <c r="F6377" s="54" t="n">
        <f aca="false">MAX(0,(F6365-F6346*$C$6301)-F6325*$C$6306)*$C$6307*Assumptions!$D$105</f>
        <v>10124.750003461</v>
      </c>
      <c r="G6377" s="54" t="n">
        <f aca="false">MAX(0,(G6365-G6346*$C$6301)-G6325*$C$6306)*$C$6307*Assumptions!$D$105</f>
        <v>11120.4562644655</v>
      </c>
      <c r="H6377" s="54" t="n">
        <f aca="false">MAX(0,(H6365-H6346*$C$6301)-H6325*$C$6306)*$C$6307*Assumptions!$D$105</f>
        <v>13463.0357338943</v>
      </c>
      <c r="I6377" s="54" t="n">
        <f aca="false">MAX(0,(I6365-I6346*$C$6301)-I6325*$C$6306)*$C$6307*Assumptions!$D$105</f>
        <v>16072.2164343224</v>
      </c>
      <c r="J6377" s="54" t="n">
        <f aca="false">MAX(0,(J6365-J6346*$C$6301)-J6325*$C$6306)*$C$6307*Assumptions!$D$105</f>
        <v>21559.8957723031</v>
      </c>
      <c r="K6377" s="54" t="n">
        <f aca="false">MAX(0,(K6365-K6346*$C$6301)-K6325*$C$6306)*$C$6307*Assumptions!$D$105</f>
        <v>27808.6094682429</v>
      </c>
      <c r="L6377" s="54" t="n">
        <f aca="false">MAX(0,(L6365-L6346*$C$6301)-L6325*$C$6306)*$C$6307*Assumptions!$D$105</f>
        <v>29735.5837530454</v>
      </c>
      <c r="M6377" s="54" t="n">
        <f aca="false">MAX(0,(M6365-M6346*$C$6301)-M6325*$C$6306)*$C$6307*Assumptions!$D$105</f>
        <v>29201.3815340945</v>
      </c>
      <c r="N6377" s="54" t="n">
        <f aca="false">MAX(0,(N6365-N6346*$C$6301)-N6325*$C$6306)*$C$6307*Assumptions!$D$105</f>
        <v>28360.6706538674</v>
      </c>
      <c r="P6377" s="55" t="n">
        <f aca="false">SUM(C6377:F6377)</f>
        <v>21655.5685840147</v>
      </c>
      <c r="Q6377" s="55" t="n">
        <f aca="false">SUM(G6377:J6377)</f>
        <v>62215.6042049852</v>
      </c>
      <c r="R6377" s="55" t="n">
        <f aca="false">SUM(K6377:N6377)</f>
        <v>115106.24540925</v>
      </c>
      <c r="S6377" s="56" t="n">
        <f aca="false">SUM(P6377:R6377)</f>
        <v>198977.41819825</v>
      </c>
    </row>
    <row r="6378" customFormat="false" ht="15" hidden="false" customHeight="false" outlineLevel="0" collapsed="false">
      <c r="A6378" s="4" t="s">
        <v>557</v>
      </c>
      <c r="B6378" s="36" t="s">
        <v>125</v>
      </c>
      <c r="C6378" s="54" t="n">
        <f aca="false">C6373*Assumptions!$E$71/Assumptions!$E$69/4</f>
        <v>18475.8928571429</v>
      </c>
      <c r="D6378" s="54" t="n">
        <f aca="false">D6373*Assumptions!$E$71/Assumptions!$E$69/4</f>
        <v>18475.8928571429</v>
      </c>
      <c r="E6378" s="54" t="n">
        <f aca="false">E6373*Assumptions!$E$71/Assumptions!$E$69/4</f>
        <v>18475.8928571429</v>
      </c>
      <c r="F6378" s="54" t="n">
        <f aca="false">F6373*Assumptions!$E$71/Assumptions!$E$69/4</f>
        <v>18475.8928571429</v>
      </c>
      <c r="G6378" s="54" t="n">
        <f aca="false">G6373*Assumptions!$E$71/Assumptions!$E$69/4</f>
        <v>18475.8928571429</v>
      </c>
      <c r="H6378" s="54" t="n">
        <f aca="false">H6373*Assumptions!$E$71/Assumptions!$E$69/4</f>
        <v>18475.8928571429</v>
      </c>
      <c r="I6378" s="54" t="n">
        <f aca="false">I6373*Assumptions!$E$71/Assumptions!$E$69/4</f>
        <v>18475.8928571429</v>
      </c>
      <c r="J6378" s="54" t="n">
        <f aca="false">J6373*Assumptions!$E$71/Assumptions!$E$69/4</f>
        <v>18475.8928571429</v>
      </c>
      <c r="K6378" s="54" t="n">
        <f aca="false">K6373*Assumptions!$E$71/Assumptions!$E$69/4</f>
        <v>18475.8928571429</v>
      </c>
      <c r="L6378" s="54" t="n">
        <f aca="false">L6373*Assumptions!$E$71/Assumptions!$E$69/4</f>
        <v>18475.8928571429</v>
      </c>
      <c r="M6378" s="54" t="n">
        <f aca="false">M6373*Assumptions!$E$71/Assumptions!$E$69/4</f>
        <v>18475.8928571429</v>
      </c>
      <c r="N6378" s="54" t="n">
        <f aca="false">N6373*Assumptions!$E$71/Assumptions!$E$69/4</f>
        <v>18475.8928571429</v>
      </c>
      <c r="P6378" s="55" t="n">
        <f aca="false">SUM(C6378:F6378)</f>
        <v>73903.5714285714</v>
      </c>
      <c r="Q6378" s="55" t="n">
        <f aca="false">SUM(G6378:J6378)</f>
        <v>73903.5714285714</v>
      </c>
      <c r="R6378" s="55" t="n">
        <f aca="false">SUM(K6378:N6378)</f>
        <v>73903.5714285714</v>
      </c>
      <c r="S6378" s="56" t="n">
        <f aca="false">SUM(P6378:R6378)</f>
        <v>221710.714285714</v>
      </c>
    </row>
    <row r="6379" customFormat="false" ht="15" hidden="false" customHeight="false" outlineLevel="0" collapsed="false">
      <c r="A6379" s="4" t="s">
        <v>558</v>
      </c>
      <c r="B6379" s="36" t="s">
        <v>125</v>
      </c>
      <c r="C6379" s="54" t="n">
        <f aca="false">(Assumptions!$D$103+Assumptions!$E$77*((C6310=Assumptions!$E$13)+(C6310=Assumptions!$E$14)+(C6310=Assumptions!$E$15)))*C6311</f>
        <v>65000</v>
      </c>
      <c r="D6379" s="54" t="n">
        <f aca="false">(Assumptions!$D$103+Assumptions!$E$77*((D6310=Assumptions!$E$13)+(D6310=Assumptions!$E$14)+(D6310=Assumptions!$E$15)))*D6311</f>
        <v>25000</v>
      </c>
      <c r="E6379" s="54" t="n">
        <f aca="false">(Assumptions!$D$103+Assumptions!$E$77*((E6310=Assumptions!$E$13)+(E6310=Assumptions!$E$14)+(E6310=Assumptions!$E$15)))*E6311</f>
        <v>25000</v>
      </c>
      <c r="F6379" s="54" t="n">
        <f aca="false">(Assumptions!$D$103+Assumptions!$E$77*((F6310=Assumptions!$E$13)+(F6310=Assumptions!$E$14)+(F6310=Assumptions!$E$15)))*F6311</f>
        <v>25000</v>
      </c>
      <c r="G6379" s="54" t="n">
        <f aca="false">(Assumptions!$D$103+Assumptions!$E$77*((G6310=Assumptions!$E$13)+(G6310=Assumptions!$E$14)+(G6310=Assumptions!$E$15)))*G6311</f>
        <v>65000</v>
      </c>
      <c r="H6379" s="54" t="n">
        <f aca="false">(Assumptions!$D$103+Assumptions!$E$77*((H6310=Assumptions!$E$13)+(H6310=Assumptions!$E$14)+(H6310=Assumptions!$E$15)))*H6311</f>
        <v>25000</v>
      </c>
      <c r="I6379" s="54" t="n">
        <f aca="false">(Assumptions!$D$103+Assumptions!$E$77*((I6310=Assumptions!$E$13)+(I6310=Assumptions!$E$14)+(I6310=Assumptions!$E$15)))*I6311</f>
        <v>65000</v>
      </c>
      <c r="J6379" s="54" t="n">
        <f aca="false">(Assumptions!$D$103+Assumptions!$E$77*((J6310=Assumptions!$E$13)+(J6310=Assumptions!$E$14)+(J6310=Assumptions!$E$15)))*J6311</f>
        <v>25000</v>
      </c>
      <c r="K6379" s="54" t="n">
        <f aca="false">(Assumptions!$D$103+Assumptions!$E$77*((K6310=Assumptions!$E$13)+(K6310=Assumptions!$E$14)+(K6310=Assumptions!$E$15)))*K6311</f>
        <v>25000</v>
      </c>
      <c r="L6379" s="54" t="n">
        <f aca="false">(Assumptions!$D$103+Assumptions!$E$77*((L6310=Assumptions!$E$13)+(L6310=Assumptions!$E$14)+(L6310=Assumptions!$E$15)))*L6311</f>
        <v>25000</v>
      </c>
      <c r="M6379" s="54" t="n">
        <f aca="false">(Assumptions!$D$103+Assumptions!$E$77*((M6310=Assumptions!$E$13)+(M6310=Assumptions!$E$14)+(M6310=Assumptions!$E$15)))*M6311</f>
        <v>25000</v>
      </c>
      <c r="N6379" s="54" t="n">
        <f aca="false">(Assumptions!$D$103+Assumptions!$E$77*((N6310=Assumptions!$E$13)+(N6310=Assumptions!$E$14)+(N6310=Assumptions!$E$15)))*N6311</f>
        <v>25000</v>
      </c>
      <c r="P6379" s="55" t="n">
        <f aca="false">SUM(C6379:F6379)</f>
        <v>140000</v>
      </c>
      <c r="Q6379" s="55" t="n">
        <f aca="false">SUM(G6379:J6379)</f>
        <v>180000</v>
      </c>
      <c r="R6379" s="55" t="n">
        <f aca="false">SUM(K6379:N6379)</f>
        <v>100000</v>
      </c>
      <c r="S6379" s="56" t="n">
        <f aca="false">SUM(P6379:R6379)</f>
        <v>420000</v>
      </c>
    </row>
    <row r="6380" customFormat="false" ht="15" hidden="false" customHeight="false" outlineLevel="0" collapsed="false">
      <c r="A6380" s="4" t="s">
        <v>559</v>
      </c>
      <c r="B6380" s="36" t="s">
        <v>125</v>
      </c>
      <c r="C6380" s="54" t="n">
        <f aca="false">C6365*C6345*Assumptions!$E$79</f>
        <v>0</v>
      </c>
      <c r="D6380" s="54" t="n">
        <f aca="false">D6365*D6345*Assumptions!$E$79</f>
        <v>815.338873355417</v>
      </c>
      <c r="E6380" s="54" t="n">
        <f aca="false">E6365*E6345*Assumptions!$E$79</f>
        <v>1576.95453714349</v>
      </c>
      <c r="F6380" s="54" t="n">
        <f aca="false">F6365*F6345*Assumptions!$E$79</f>
        <v>2363.78759030579</v>
      </c>
      <c r="G6380" s="54" t="n">
        <f aca="false">G6365*G6345*Assumptions!$E$79</f>
        <v>2961.23316349717</v>
      </c>
      <c r="H6380" s="54" t="n">
        <f aca="false">H6365*H6345*Assumptions!$E$79</f>
        <v>3401.8566535345</v>
      </c>
      <c r="I6380" s="54" t="n">
        <f aca="false">I6365*I6345*Assumptions!$E$79</f>
        <v>3951.44098442022</v>
      </c>
      <c r="J6380" s="54" t="n">
        <f aca="false">J6365*J6345*Assumptions!$E$79</f>
        <v>4240.17604272452</v>
      </c>
      <c r="K6380" s="54" t="n">
        <f aca="false">K6365*K6345*Assumptions!$E$79</f>
        <v>4805.46240923336</v>
      </c>
      <c r="L6380" s="54" t="n">
        <f aca="false">L6365*L6345*Assumptions!$E$79</f>
        <v>5627.63185752923</v>
      </c>
      <c r="M6380" s="54" t="n">
        <f aca="false">M6365*M6345*Assumptions!$E$79</f>
        <v>5687.10015383768</v>
      </c>
      <c r="N6380" s="54" t="n">
        <f aca="false">N6365*N6345*Assumptions!$E$79</f>
        <v>5685.06198652904</v>
      </c>
      <c r="P6380" s="55" t="n">
        <f aca="false">SUM(C6380:F6380)</f>
        <v>4756.0810008047</v>
      </c>
      <c r="Q6380" s="55" t="n">
        <f aca="false">SUM(G6380:J6380)</f>
        <v>14554.7068441764</v>
      </c>
      <c r="R6380" s="55" t="n">
        <f aca="false">SUM(K6380:N6380)</f>
        <v>21805.2564071293</v>
      </c>
      <c r="S6380" s="56" t="n">
        <f aca="false">SUM(P6380:R6380)</f>
        <v>41116.0442521104</v>
      </c>
    </row>
    <row r="6381" customFormat="false" ht="15" hidden="false" customHeight="false" outlineLevel="0" collapsed="false">
      <c r="A6381" s="4" t="s">
        <v>560</v>
      </c>
      <c r="B6381" s="36" t="s">
        <v>125</v>
      </c>
      <c r="C6381" s="54" t="n">
        <f aca="false">C6330*Assumptions!$E$80</f>
        <v>4000</v>
      </c>
      <c r="D6381" s="54" t="n">
        <f aca="false">D6330*Assumptions!$E$80</f>
        <v>6000</v>
      </c>
      <c r="E6381" s="54" t="n">
        <f aca="false">E6330*Assumptions!$E$80</f>
        <v>8000</v>
      </c>
      <c r="F6381" s="54" t="n">
        <f aca="false">F6330*Assumptions!$E$80</f>
        <v>10000</v>
      </c>
      <c r="G6381" s="54" t="n">
        <f aca="false">G6330*Assumptions!$E$80</f>
        <v>12000</v>
      </c>
      <c r="H6381" s="54" t="n">
        <f aca="false">H6330*Assumptions!$E$80</f>
        <v>14000</v>
      </c>
      <c r="I6381" s="54" t="n">
        <f aca="false">I6330*Assumptions!$E$80</f>
        <v>16000</v>
      </c>
      <c r="J6381" s="54" t="n">
        <f aca="false">J6330*Assumptions!$E$80</f>
        <v>18000</v>
      </c>
      <c r="K6381" s="54" t="n">
        <f aca="false">K6330*Assumptions!$E$80</f>
        <v>20000</v>
      </c>
      <c r="L6381" s="54" t="n">
        <f aca="false">L6330*Assumptions!$E$80</f>
        <v>20000</v>
      </c>
      <c r="M6381" s="54" t="n">
        <f aca="false">M6330*Assumptions!$E$80</f>
        <v>20000</v>
      </c>
      <c r="N6381" s="54" t="n">
        <f aca="false">N6330*Assumptions!$E$80</f>
        <v>20000</v>
      </c>
      <c r="P6381" s="55" t="n">
        <f aca="false">SUM(C6381:F6381)</f>
        <v>28000</v>
      </c>
      <c r="Q6381" s="55" t="n">
        <f aca="false">SUM(G6381:J6381)</f>
        <v>60000</v>
      </c>
      <c r="R6381" s="55" t="n">
        <f aca="false">SUM(K6381:N6381)</f>
        <v>80000</v>
      </c>
      <c r="S6381" s="56" t="n">
        <f aca="false">SUM(P6381:R6381)</f>
        <v>168000</v>
      </c>
    </row>
    <row r="6382" customFormat="false" ht="15" hidden="false" customHeight="false" outlineLevel="0" collapsed="false">
      <c r="A6382" s="4" t="s">
        <v>561</v>
      </c>
      <c r="B6382" s="36" t="s">
        <v>125</v>
      </c>
      <c r="C6382" s="54" t="n">
        <f aca="false">(C6353*$C$6302+C6354*$C$6303)*Assumptions!$E$81</f>
        <v>0</v>
      </c>
      <c r="D6382" s="54" t="n">
        <f aca="false">(D6353*$C$6302+D6354*$C$6303)*Assumptions!$E$81</f>
        <v>635.937968364564</v>
      </c>
      <c r="E6382" s="54" t="n">
        <f aca="false">(E6353*$C$6302+E6354*$C$6303)*Assumptions!$E$81</f>
        <v>1750.54055351793</v>
      </c>
      <c r="F6382" s="54" t="n">
        <f aca="false">(F6353*$C$6302+F6354*$C$6303)*Assumptions!$E$81</f>
        <v>2334.90810210795</v>
      </c>
      <c r="G6382" s="54" t="n">
        <f aca="false">(G6353*$C$6302+G6354*$C$6303)*Assumptions!$E$81</f>
        <v>2567.01977128764</v>
      </c>
      <c r="H6382" s="54" t="n">
        <f aca="false">(H6353*$C$6302+H6354*$C$6303)*Assumptions!$E$81</f>
        <v>3030.96924471942</v>
      </c>
      <c r="I6382" s="54" t="n">
        <f aca="false">(I6353*$C$6302+I6354*$C$6303)*Assumptions!$E$81</f>
        <v>3599.72954781419</v>
      </c>
      <c r="J6382" s="54" t="n">
        <f aca="false">(J6353*$C$6302+J6354*$C$6303)*Assumptions!$E$81</f>
        <v>4611.5696968051</v>
      </c>
      <c r="K6382" s="54" t="n">
        <f aca="false">(K6353*$C$6302+K6354*$C$6303)*Assumptions!$E$81</f>
        <v>5939.56455642065</v>
      </c>
      <c r="L6382" s="54" t="n">
        <f aca="false">(L6353*$C$6302+L6354*$C$6303)*Assumptions!$E$81</f>
        <v>6537.87185823684</v>
      </c>
      <c r="M6382" s="54" t="n">
        <f aca="false">(M6353*$C$6302+M6354*$C$6303)*Assumptions!$E$81</f>
        <v>6455.63010570383</v>
      </c>
      <c r="N6382" s="54" t="n">
        <f aca="false">(N6353*$C$6302+N6354*$C$6303)*Assumptions!$E$81</f>
        <v>6268.61318404599</v>
      </c>
      <c r="P6382" s="55" t="n">
        <f aca="false">SUM(C6382:F6382)</f>
        <v>4721.38662399044</v>
      </c>
      <c r="Q6382" s="55" t="n">
        <f aca="false">SUM(G6382:J6382)</f>
        <v>13809.2882606264</v>
      </c>
      <c r="R6382" s="55" t="n">
        <f aca="false">SUM(K6382:N6382)</f>
        <v>25201.6797044073</v>
      </c>
      <c r="S6382" s="56" t="n">
        <f aca="false">SUM(P6382:R6382)</f>
        <v>43732.3545890241</v>
      </c>
    </row>
    <row r="6383" customFormat="false" ht="15" hidden="false" customHeight="false" outlineLevel="0" collapsed="false">
      <c r="A6383" s="9" t="s">
        <v>562</v>
      </c>
      <c r="B6383" s="36" t="s">
        <v>125</v>
      </c>
      <c r="C6383" s="55" t="n">
        <f aca="false">C6375+C6376+C6377+C6378+C6379+C6380+C6381+C6382</f>
        <v>154229.464285714</v>
      </c>
      <c r="D6383" s="55" t="n">
        <f aca="false">D6375+D6376+D6377+D6378+D6379+D6380+D6381+D6382</f>
        <v>121172.463189242</v>
      </c>
      <c r="E6383" s="55" t="n">
        <f aca="false">E6375+E6376+E6377+E6378+E6379+E6380+E6381+E6382</f>
        <v>129596.055895122</v>
      </c>
      <c r="F6383" s="55" t="n">
        <f aca="false">F6375+F6376+F6377+F6378+F6379+F6380+F6381+F6382</f>
        <v>135052.909981589</v>
      </c>
      <c r="G6383" s="55" t="n">
        <f aca="false">G6375+G6376+G6377+G6378+G6379+G6380+G6381+G6382</f>
        <v>212254.95919925</v>
      </c>
      <c r="H6383" s="55" t="n">
        <f aca="false">H6375+H6376+H6377+H6378+H6379+H6380+H6381+H6382</f>
        <v>177502.111632148</v>
      </c>
      <c r="I6383" s="55" t="n">
        <f aca="false">I6375+I6376+I6377+I6378+I6379+I6380+I6381+I6382</f>
        <v>223229.636966557</v>
      </c>
      <c r="J6383" s="55" t="n">
        <f aca="false">J6375+J6376+J6377+J6378+J6379+J6380+J6381+J6382</f>
        <v>192017.891511833</v>
      </c>
      <c r="K6383" s="55" t="n">
        <f aca="false">K6375+K6376+K6377+K6378+K6379+K6380+K6381+K6382</f>
        <v>202159.886433897</v>
      </c>
      <c r="L6383" s="55" t="n">
        <f aca="false">L6375+L6376+L6377+L6378+L6379+L6380+L6381+L6382</f>
        <v>205507.337468812</v>
      </c>
      <c r="M6383" s="55" t="n">
        <f aca="false">M6375+M6376+M6377+M6378+M6379+M6380+M6381+M6382</f>
        <v>204950.361793636</v>
      </c>
      <c r="N6383" s="55" t="n">
        <f aca="false">N6375+N6376+N6377+N6378+N6379+N6380+N6381+N6382</f>
        <v>203920.595824442</v>
      </c>
      <c r="P6383" s="55" t="n">
        <f aca="false">SUM(C6383:F6383)</f>
        <v>540050.893351667</v>
      </c>
      <c r="Q6383" s="55" t="n">
        <f aca="false">SUM(G6383:J6383)</f>
        <v>805004.599309788</v>
      </c>
      <c r="R6383" s="55" t="n">
        <f aca="false">SUM(K6383:N6383)</f>
        <v>816538.181520787</v>
      </c>
      <c r="S6383" s="56" t="n">
        <f aca="false">SUM(P6383:R6383)</f>
        <v>2161593.67418224</v>
      </c>
    </row>
    <row r="6384" customFormat="false" ht="15" hidden="false" customHeight="false" outlineLevel="0" collapsed="false">
      <c r="A6384" s="4" t="s">
        <v>563</v>
      </c>
      <c r="B6384" s="36" t="s">
        <v>125</v>
      </c>
      <c r="C6384" s="54" t="n">
        <f aca="false">C6372*Assumptions!$E$72/Assumptions!$E$69/4</f>
        <v>56535.7142857143</v>
      </c>
      <c r="D6384" s="54" t="n">
        <f aca="false">D6372*Assumptions!$E$72/Assumptions!$E$69/4</f>
        <v>56535.7142857143</v>
      </c>
      <c r="E6384" s="54" t="n">
        <f aca="false">E6372*Assumptions!$E$72/Assumptions!$E$69/4</f>
        <v>56535.7142857143</v>
      </c>
      <c r="F6384" s="54" t="n">
        <f aca="false">F6372*Assumptions!$E$72/Assumptions!$E$69/4</f>
        <v>56535.7142857143</v>
      </c>
      <c r="G6384" s="54" t="n">
        <f aca="false">G6372*Assumptions!$E$72/Assumptions!$E$69/4</f>
        <v>28267.8571428571</v>
      </c>
      <c r="H6384" s="54" t="n">
        <f aca="false">H6372*Assumptions!$E$72/Assumptions!$E$69/4</f>
        <v>28267.8571428571</v>
      </c>
      <c r="I6384" s="54" t="n">
        <f aca="false">I6372*Assumptions!$E$72/Assumptions!$E$69/4</f>
        <v>28267.8571428571</v>
      </c>
      <c r="J6384" s="54" t="n">
        <f aca="false">J6372*Assumptions!$E$72/Assumptions!$E$69/4</f>
        <v>28267.8571428571</v>
      </c>
      <c r="K6384" s="54" t="n">
        <f aca="false">K6372*Assumptions!$E$72/Assumptions!$E$69/4</f>
        <v>28267.8571428571</v>
      </c>
      <c r="L6384" s="54" t="n">
        <f aca="false">L6372*Assumptions!$E$72/Assumptions!$E$69/4</f>
        <v>28267.8571428571</v>
      </c>
      <c r="M6384" s="54" t="n">
        <f aca="false">M6372*Assumptions!$E$72/Assumptions!$E$69/4</f>
        <v>28267.8571428571</v>
      </c>
      <c r="N6384" s="54" t="n">
        <f aca="false">N6372*Assumptions!$E$72/Assumptions!$E$69/4</f>
        <v>28267.8571428571</v>
      </c>
      <c r="P6384" s="55" t="n">
        <f aca="false">SUM(C6384:F6384)</f>
        <v>226142.857142857</v>
      </c>
      <c r="Q6384" s="55" t="n">
        <f aca="false">SUM(G6384:J6384)</f>
        <v>113071.428571429</v>
      </c>
      <c r="R6384" s="55" t="n">
        <f aca="false">SUM(K6384:N6384)</f>
        <v>113071.428571429</v>
      </c>
      <c r="S6384" s="56" t="n">
        <f aca="false">SUM(P6384:R6384)</f>
        <v>452285.714285714</v>
      </c>
    </row>
    <row r="6385" customFormat="false" ht="15" hidden="false" customHeight="false" outlineLevel="0" collapsed="false">
      <c r="A6385" s="4" t="s">
        <v>564</v>
      </c>
      <c r="B6385" s="36" t="s">
        <v>125</v>
      </c>
      <c r="C6385" s="54" t="n">
        <f aca="false">IF(C6310&lt;=Assumptions!$E$83,Assumptions!$E$82*Assumptions!$D$108/Assumptions!$E$83,0)</f>
        <v>62500</v>
      </c>
      <c r="D6385" s="54" t="n">
        <f aca="false">IF(D6310&lt;=Assumptions!$E$83,Assumptions!$E$82*Assumptions!$D$108/Assumptions!$E$83,0)</f>
        <v>62500</v>
      </c>
      <c r="E6385" s="54" t="n">
        <f aca="false">IF(E6310&lt;=Assumptions!$E$83,Assumptions!$E$82*Assumptions!$D$108/Assumptions!$E$83,0)</f>
        <v>62500</v>
      </c>
      <c r="F6385" s="54" t="n">
        <f aca="false">IF(F6310&lt;=Assumptions!$E$83,Assumptions!$E$82*Assumptions!$D$108/Assumptions!$E$83,0)</f>
        <v>62500</v>
      </c>
      <c r="G6385" s="54" t="n">
        <f aca="false">IF(G6310&lt;=Assumptions!$E$83,Assumptions!$E$82*Assumptions!$D$108/Assumptions!$E$83,0)</f>
        <v>0</v>
      </c>
      <c r="H6385" s="54" t="n">
        <f aca="false">IF(H6310&lt;=Assumptions!$E$83,Assumptions!$E$82*Assumptions!$D$108/Assumptions!$E$83,0)</f>
        <v>0</v>
      </c>
      <c r="I6385" s="54" t="n">
        <f aca="false">IF(I6310&lt;=Assumptions!$E$83,Assumptions!$E$82*Assumptions!$D$108/Assumptions!$E$83,0)</f>
        <v>0</v>
      </c>
      <c r="J6385" s="54" t="n">
        <f aca="false">IF(J6310&lt;=Assumptions!$E$83,Assumptions!$E$82*Assumptions!$D$108/Assumptions!$E$83,0)</f>
        <v>0</v>
      </c>
      <c r="K6385" s="54" t="n">
        <f aca="false">IF(K6310&lt;=Assumptions!$E$83,Assumptions!$E$82*Assumptions!$D$108/Assumptions!$E$83,0)</f>
        <v>0</v>
      </c>
      <c r="L6385" s="54" t="n">
        <f aca="false">IF(L6310&lt;=Assumptions!$E$83,Assumptions!$E$82*Assumptions!$D$108/Assumptions!$E$83,0)</f>
        <v>0</v>
      </c>
      <c r="M6385" s="54" t="n">
        <f aca="false">IF(M6310&lt;=Assumptions!$E$83,Assumptions!$E$82*Assumptions!$D$108/Assumptions!$E$83,0)</f>
        <v>0</v>
      </c>
      <c r="N6385" s="54" t="n">
        <f aca="false">IF(N6310&lt;=Assumptions!$E$83,Assumptions!$E$82*Assumptions!$D$108/Assumptions!$E$83,0)</f>
        <v>0</v>
      </c>
      <c r="P6385" s="55" t="n">
        <f aca="false">SUM(C6385:F6385)</f>
        <v>250000</v>
      </c>
      <c r="Q6385" s="55" t="n">
        <f aca="false">SUM(G6385:J6385)</f>
        <v>0</v>
      </c>
      <c r="R6385" s="55" t="n">
        <f aca="false">SUM(K6385:N6385)</f>
        <v>0</v>
      </c>
      <c r="S6385" s="56" t="n">
        <f aca="false">SUM(P6385:R6385)</f>
        <v>250000</v>
      </c>
    </row>
    <row r="6386" customFormat="false" ht="15" hidden="false" customHeight="false" outlineLevel="0" collapsed="false">
      <c r="A6386" s="4" t="s">
        <v>565</v>
      </c>
      <c r="B6386" s="36" t="s">
        <v>125</v>
      </c>
      <c r="C6386" s="54" t="n">
        <f aca="false">C6374*Assumptions!$E$73/Assumptions!$E$69/4</f>
        <v>0</v>
      </c>
      <c r="D6386" s="54" t="n">
        <f aca="false">D6374*Assumptions!$E$73/Assumptions!$E$69/4</f>
        <v>575.3130595573</v>
      </c>
      <c r="E6386" s="54" t="n">
        <f aca="false">E6374*Assumptions!$E$73/Assumptions!$E$69/4</f>
        <v>1617.32906717661</v>
      </c>
      <c r="F6386" s="54" t="n">
        <f aca="false">F6374*Assumptions!$E$73/Assumptions!$E$69/4</f>
        <v>2784.46806400723</v>
      </c>
      <c r="G6386" s="54" t="n">
        <f aca="false">G6374*Assumptions!$E$73/Assumptions!$E$69/4</f>
        <v>4037.30390559473</v>
      </c>
      <c r="H6386" s="54" t="n">
        <f aca="false">H6374*Assumptions!$E$73/Assumptions!$E$69/4</f>
        <v>5588.71900339185</v>
      </c>
      <c r="I6386" s="54" t="n">
        <f aca="false">I6374*Assumptions!$E$73/Assumptions!$E$69/4</f>
        <v>7423.89520049251</v>
      </c>
      <c r="J6386" s="54" t="n">
        <f aca="false">J6374*Assumptions!$E$73/Assumptions!$E$69/4</f>
        <v>9984.21295072483</v>
      </c>
      <c r="K6386" s="54" t="n">
        <f aca="false">K6374*Assumptions!$E$73/Assumptions!$E$69/4</f>
        <v>13228.7197241336</v>
      </c>
      <c r="L6386" s="54" t="n">
        <f aca="false">L6374*Assumptions!$E$73/Assumptions!$E$69/4</f>
        <v>16471.1613499398</v>
      </c>
      <c r="M6386" s="54" t="n">
        <f aca="false">M6374*Assumptions!$E$73/Assumptions!$E$69/4</f>
        <v>19532.3193424529</v>
      </c>
      <c r="N6386" s="54" t="n">
        <f aca="false">N6374*Assumptions!$E$73/Assumptions!$E$69/4</f>
        <v>22411.7337529877</v>
      </c>
      <c r="P6386" s="55" t="n">
        <f aca="false">SUM(C6386:F6386)</f>
        <v>4977.11019074114</v>
      </c>
      <c r="Q6386" s="55" t="n">
        <f aca="false">SUM(G6386:J6386)</f>
        <v>27034.1310602039</v>
      </c>
      <c r="R6386" s="55" t="n">
        <f aca="false">SUM(K6386:N6386)</f>
        <v>71643.934169514</v>
      </c>
      <c r="S6386" s="56" t="n">
        <f aca="false">SUM(P6386:R6386)</f>
        <v>103655.175420459</v>
      </c>
    </row>
    <row r="6387" customFormat="false" ht="15" hidden="false" customHeight="false" outlineLevel="0" collapsed="false">
      <c r="A6387" s="9" t="s">
        <v>566</v>
      </c>
      <c r="B6387" s="36" t="s">
        <v>125</v>
      </c>
      <c r="C6387" s="55" t="n">
        <f aca="false">C6383+C6384+C6385+C6386</f>
        <v>273265.178571429</v>
      </c>
      <c r="D6387" s="55" t="n">
        <f aca="false">D6383+D6384+D6385+D6386</f>
        <v>240783.490534514</v>
      </c>
      <c r="E6387" s="55" t="n">
        <f aca="false">E6383+E6384+E6385+E6386</f>
        <v>250249.099248013</v>
      </c>
      <c r="F6387" s="55" t="n">
        <f aca="false">F6383+F6384+F6385+F6386</f>
        <v>256873.092331311</v>
      </c>
      <c r="G6387" s="55" t="n">
        <f aca="false">G6383+G6384+G6385+G6386</f>
        <v>244560.120247702</v>
      </c>
      <c r="H6387" s="55" t="n">
        <f aca="false">H6383+H6384+H6385+H6386</f>
        <v>211358.687778397</v>
      </c>
      <c r="I6387" s="55" t="n">
        <f aca="false">I6383+I6384+I6385+I6386</f>
        <v>258921.389309906</v>
      </c>
      <c r="J6387" s="55" t="n">
        <f aca="false">J6383+J6384+J6385+J6386</f>
        <v>230269.961605415</v>
      </c>
      <c r="K6387" s="55" t="n">
        <f aca="false">K6383+K6384+K6385+K6386</f>
        <v>243656.463300888</v>
      </c>
      <c r="L6387" s="55" t="n">
        <f aca="false">L6383+L6384+L6385+L6386</f>
        <v>250246.355961609</v>
      </c>
      <c r="M6387" s="55" t="n">
        <f aca="false">M6383+M6384+M6385+M6386</f>
        <v>252750.538278946</v>
      </c>
      <c r="N6387" s="55" t="n">
        <f aca="false">N6383+N6384+N6385+N6386</f>
        <v>254600.186720287</v>
      </c>
      <c r="P6387" s="55" t="n">
        <f aca="false">SUM(C6387:F6387)</f>
        <v>1021170.86068527</v>
      </c>
      <c r="Q6387" s="55" t="n">
        <f aca="false">SUM(G6387:J6387)</f>
        <v>945110.158941421</v>
      </c>
      <c r="R6387" s="55" t="n">
        <f aca="false">SUM(K6387:N6387)</f>
        <v>1001253.54426173</v>
      </c>
      <c r="S6387" s="56" t="n">
        <f aca="false">SUM(P6387:R6387)</f>
        <v>2967534.56388842</v>
      </c>
    </row>
    <row r="6388" customFormat="false" ht="15" hidden="false" customHeight="false" outlineLevel="0" collapsed="false">
      <c r="A6388" s="35" t="s">
        <v>567</v>
      </c>
      <c r="B6388" s="35" t="s">
        <v>444</v>
      </c>
      <c r="C6388" s="6" t="s">
        <v>354</v>
      </c>
      <c r="D6388" s="6" t="s">
        <v>355</v>
      </c>
      <c r="E6388" s="6" t="s">
        <v>356</v>
      </c>
      <c r="F6388" s="6" t="s">
        <v>357</v>
      </c>
      <c r="G6388" s="6" t="s">
        <v>358</v>
      </c>
      <c r="H6388" s="6" t="s">
        <v>359</v>
      </c>
      <c r="I6388" s="6" t="s">
        <v>360</v>
      </c>
      <c r="J6388" s="6" t="s">
        <v>361</v>
      </c>
      <c r="K6388" s="6" t="s">
        <v>362</v>
      </c>
      <c r="L6388" s="6" t="s">
        <v>363</v>
      </c>
      <c r="M6388" s="6" t="s">
        <v>364</v>
      </c>
      <c r="N6388" s="6" t="s">
        <v>365</v>
      </c>
      <c r="P6388" s="6" t="s">
        <v>445</v>
      </c>
      <c r="Q6388" s="6" t="s">
        <v>446</v>
      </c>
      <c r="R6388" s="6" t="s">
        <v>447</v>
      </c>
      <c r="S6388" s="6" t="s">
        <v>448</v>
      </c>
    </row>
    <row r="6389" customFormat="false" ht="15" hidden="false" customHeight="false" outlineLevel="0" collapsed="false">
      <c r="A6389" s="9" t="s">
        <v>568</v>
      </c>
      <c r="B6389" s="36" t="s">
        <v>125</v>
      </c>
      <c r="C6389" s="55" t="n">
        <f aca="false">C6367-C6387</f>
        <v>-273265.178571429</v>
      </c>
      <c r="D6389" s="55" t="n">
        <f aca="false">D6367-D6387</f>
        <v>-240062.280337795</v>
      </c>
      <c r="E6389" s="55" t="n">
        <f aca="false">E6367-E6387</f>
        <v>-247194.924183702</v>
      </c>
      <c r="F6389" s="55" t="n">
        <f aca="false">F6367-F6387</f>
        <v>-250156.854853257</v>
      </c>
      <c r="G6389" s="55" t="n">
        <f aca="false">G6367-G6387</f>
        <v>-233471.134064612</v>
      </c>
      <c r="H6389" s="55" t="n">
        <f aca="false">H6367-H6387</f>
        <v>-195059.898755394</v>
      </c>
      <c r="I6389" s="55" t="n">
        <f aca="false">I6367-I6387</f>
        <v>-236222.072391889</v>
      </c>
      <c r="J6389" s="55" t="n">
        <f aca="false">J6367-J6387</f>
        <v>-199281.374594281</v>
      </c>
      <c r="K6389" s="55" t="n">
        <f aca="false">K6367-K6387</f>
        <v>-201698.025564475</v>
      </c>
      <c r="L6389" s="55" t="n">
        <f aca="false">L6367-L6387</f>
        <v>-195336.549727158</v>
      </c>
      <c r="M6389" s="55" t="n">
        <f aca="false">M6367-M6387</f>
        <v>-184183.425420308</v>
      </c>
      <c r="N6389" s="55" t="n">
        <f aca="false">N6367-N6387</f>
        <v>-172132.909023616</v>
      </c>
      <c r="P6389" s="55" t="n">
        <f aca="false">SUM(C6389:F6389)</f>
        <v>-1010679.23794618</v>
      </c>
      <c r="Q6389" s="55" t="n">
        <f aca="false">SUM(G6389:J6389)</f>
        <v>-864034.479806176</v>
      </c>
      <c r="R6389" s="55" t="n">
        <f aca="false">SUM(K6389:N6389)</f>
        <v>-753350.909735557</v>
      </c>
      <c r="S6389" s="56" t="n">
        <f aca="false">SUM(P6389:R6389)</f>
        <v>-2628064.62748792</v>
      </c>
    </row>
    <row r="6390" customFormat="false" ht="15" hidden="false" customHeight="false" outlineLevel="0" collapsed="false">
      <c r="A6390" s="9" t="s">
        <v>569</v>
      </c>
      <c r="B6390" s="36" t="s">
        <v>125</v>
      </c>
      <c r="C6390" s="55" t="n">
        <f aca="false">0+C6389</f>
        <v>-273265.178571429</v>
      </c>
      <c r="D6390" s="55" t="n">
        <f aca="false">C6390+D6389</f>
        <v>-513327.458909223</v>
      </c>
      <c r="E6390" s="55" t="n">
        <f aca="false">D6390+E6389</f>
        <v>-760522.383092926</v>
      </c>
      <c r="F6390" s="55" t="n">
        <f aca="false">E6390+F6389</f>
        <v>-1010679.23794618</v>
      </c>
      <c r="G6390" s="55" t="n">
        <f aca="false">F6390+G6389</f>
        <v>-1244150.3720108</v>
      </c>
      <c r="H6390" s="55" t="n">
        <f aca="false">G6390+H6389</f>
        <v>-1439210.27076619</v>
      </c>
      <c r="I6390" s="55" t="n">
        <f aca="false">H6390+I6389</f>
        <v>-1675432.34315808</v>
      </c>
      <c r="J6390" s="55" t="n">
        <f aca="false">I6390+J6389</f>
        <v>-1874713.71775236</v>
      </c>
      <c r="K6390" s="55" t="n">
        <f aca="false">J6390+K6389</f>
        <v>-2076411.74331683</v>
      </c>
      <c r="L6390" s="55" t="n">
        <f aca="false">K6390+L6389</f>
        <v>-2271748.29304399</v>
      </c>
      <c r="M6390" s="55" t="n">
        <f aca="false">L6390+M6389</f>
        <v>-2455931.7184643</v>
      </c>
      <c r="N6390" s="55" t="n">
        <f aca="false">M6390+N6389</f>
        <v>-2628064.62748792</v>
      </c>
      <c r="P6390" s="55" t="n">
        <f aca="false">F6390</f>
        <v>-1010679.23794618</v>
      </c>
      <c r="Q6390" s="55" t="n">
        <f aca="false">J6390</f>
        <v>-1874713.71775236</v>
      </c>
      <c r="R6390" s="55" t="n">
        <f aca="false">N6390</f>
        <v>-2628064.62748792</v>
      </c>
      <c r="S6390" s="56" t="n">
        <f aca="false">R6390</f>
        <v>-2628064.62748792</v>
      </c>
    </row>
    <row r="6391" customFormat="false" ht="15" hidden="false" customHeight="false" outlineLevel="0" collapsed="false">
      <c r="A6391" s="4" t="s">
        <v>570</v>
      </c>
      <c r="B6391" s="36" t="s">
        <v>107</v>
      </c>
      <c r="C6391" s="57" t="n">
        <f aca="false">1/(1+Assumptions!$E$87)^(C6310/4)</f>
        <v>0.972065420906982</v>
      </c>
      <c r="D6391" s="57" t="n">
        <f aca="false">1/(1+Assumptions!$E$87)^(D6310/4)</f>
        <v>0.944911182523068</v>
      </c>
      <c r="E6391" s="57" t="n">
        <f aca="false">1/(1+Assumptions!$E$87)^(E6310/4)</f>
        <v>0.918515486359</v>
      </c>
      <c r="F6391" s="57" t="n">
        <f aca="false">1/(1+Assumptions!$E$87)^(F6310/4)</f>
        <v>0.892857142857143</v>
      </c>
      <c r="G6391" s="57" t="n">
        <f aca="false">1/(1+Assumptions!$E$87)^(G6310/4)</f>
        <v>0.867915554381234</v>
      </c>
      <c r="H6391" s="57" t="n">
        <f aca="false">1/(1+Assumptions!$E$87)^(H6310/4)</f>
        <v>0.843670698681311</v>
      </c>
      <c r="I6391" s="57" t="n">
        <f aca="false">1/(1+Assumptions!$E$87)^(I6310/4)</f>
        <v>0.820103112820536</v>
      </c>
      <c r="J6391" s="57" t="n">
        <f aca="false">1/(1+Assumptions!$E$87)^(J6310/4)</f>
        <v>0.79719387755102</v>
      </c>
      <c r="K6391" s="57" t="n">
        <f aca="false">1/(1+Assumptions!$E$87)^(K6310/4)</f>
        <v>0.774924602126102</v>
      </c>
      <c r="L6391" s="57" t="n">
        <f aca="false">1/(1+Assumptions!$E$87)^(L6310/4)</f>
        <v>0.753277409536885</v>
      </c>
      <c r="M6391" s="57" t="n">
        <f aca="false">1/(1+Assumptions!$E$87)^(M6310/4)</f>
        <v>0.732234922161193</v>
      </c>
      <c r="N6391" s="57" t="n">
        <f aca="false">1/(1+Assumptions!$E$87)^(N6310/4)</f>
        <v>0.711780247813411</v>
      </c>
      <c r="P6391" s="58"/>
      <c r="Q6391" s="58"/>
      <c r="R6391" s="58"/>
      <c r="S6391" s="59"/>
    </row>
    <row r="6392" customFormat="false" ht="15" hidden="false" customHeight="false" outlineLevel="0" collapsed="false">
      <c r="A6392" s="4" t="s">
        <v>571</v>
      </c>
      <c r="B6392" s="36" t="s">
        <v>125</v>
      </c>
      <c r="C6392" s="54" t="n">
        <f aca="false">(C6367*(1-Assumptions!$E$88)-C6387)*C6391</f>
        <v>-265631.630827257</v>
      </c>
      <c r="D6392" s="54" t="n">
        <f aca="false">(D6367*(1-Assumptions!$E$88)-D6387)*D6391</f>
        <v>-226973.829109136</v>
      </c>
      <c r="E6392" s="54" t="n">
        <f aca="false">(E6367*(1-Assumptions!$E$88)-E6387)*E6391</f>
        <v>-227613.427430994</v>
      </c>
      <c r="F6392" s="54" t="n">
        <f aca="false">(F6367*(1-Assumptions!$E$88)-F6387)*F6391</f>
        <v>-224553.662811489</v>
      </c>
      <c r="G6392" s="54" t="n">
        <f aca="false">(G6367*(1-Assumptions!$E$88)-G6387)*G6391</f>
        <v>-204558.089471828</v>
      </c>
      <c r="H6392" s="54" t="n">
        <f aca="false">(H6367*(1-Assumptions!$E$88)-H6387)*H6391</f>
        <v>-167316.483212208</v>
      </c>
      <c r="I6392" s="54" t="n">
        <f aca="false">(I6367*(1-Assumptions!$E$88)-I6387)*I6391</f>
        <v>-197449.612978179</v>
      </c>
      <c r="J6392" s="54" t="n">
        <f aca="false">(J6367*(1-Assumptions!$E$88)-J6387)*J6391</f>
        <v>-163806.674104359</v>
      </c>
      <c r="K6392" s="54" t="n">
        <f aca="false">(K6367*(1-Assumptions!$E$88)-K6387)*K6391</f>
        <v>-162803.687343915</v>
      </c>
      <c r="L6392" s="54" t="n">
        <f aca="false">(L6367*(1-Assumptions!$E$88)-L6387)*L6391</f>
        <v>-155415.073486038</v>
      </c>
      <c r="M6392" s="54" t="n">
        <f aca="false">(M6367*(1-Assumptions!$E$88)-M6387)*M6391</f>
        <v>-144906.983085394</v>
      </c>
      <c r="N6392" s="54" t="n">
        <f aca="false">(N6367*(1-Assumptions!$E$88)-N6387)*N6391</f>
        <v>-134260.52051276</v>
      </c>
      <c r="P6392" s="55" t="n">
        <f aca="false">SUM(C6392:F6392)</f>
        <v>-944772.550178876</v>
      </c>
      <c r="Q6392" s="55" t="n">
        <f aca="false">SUM(G6392:J6392)</f>
        <v>-733130.859766574</v>
      </c>
      <c r="R6392" s="55" t="n">
        <f aca="false">SUM(K6392:N6392)</f>
        <v>-597386.264428107</v>
      </c>
      <c r="S6392" s="56" t="n">
        <f aca="false">SUM(P6392:R6392)</f>
        <v>-2275289.67437356</v>
      </c>
    </row>
    <row r="6393" customFormat="false" ht="15" hidden="false" customHeight="false" outlineLevel="0" collapsed="false">
      <c r="A6393" s="4" t="s">
        <v>572</v>
      </c>
      <c r="B6393" s="36" t="s">
        <v>125</v>
      </c>
      <c r="C6393" s="54" t="n">
        <f aca="false">(C6387-C6386)*12/(Assumptions!$E$89*Assumptions!$E$76)*Assumptions!$E$90</f>
        <v>189183.585164835</v>
      </c>
      <c r="D6393" s="54" t="n">
        <f aca="false">(D6387-D6386)*12/(Assumptions!$E$89*Assumptions!$E$76)*Assumptions!$E$90</f>
        <v>166297.969021124</v>
      </c>
      <c r="E6393" s="54" t="n">
        <f aca="false">(E6387-E6386)*12/(Assumptions!$E$89*Assumptions!$E$76)*Assumptions!$E$90</f>
        <v>172129.687048271</v>
      </c>
      <c r="F6393" s="54" t="n">
        <f aca="false">(F6387-F6386)*12/(Assumptions!$E$89*Assumptions!$E$76)*Assumptions!$E$90</f>
        <v>175907.509108133</v>
      </c>
      <c r="G6393" s="54" t="n">
        <f aca="false">(G6387-G6386)*12/(Assumptions!$E$89*Assumptions!$E$76)*Assumptions!$E$90</f>
        <v>166515.795929151</v>
      </c>
      <c r="H6393" s="54" t="n">
        <f aca="false">(H6387-H6386)*12/(Assumptions!$E$89*Assumptions!$E$76)*Assumptions!$E$90</f>
        <v>142456.13222885</v>
      </c>
      <c r="I6393" s="54" t="n">
        <f aca="false">(I6387-I6386)*12/(Assumptions!$E$89*Assumptions!$E$76)*Assumptions!$E$90</f>
        <v>174113.649768056</v>
      </c>
      <c r="J6393" s="54" t="n">
        <f aca="false">(J6387-J6386)*12/(Assumptions!$E$89*Assumptions!$E$76)*Assumptions!$E$90</f>
        <v>152505.518299401</v>
      </c>
      <c r="K6393" s="54" t="n">
        <f aca="false">(K6387-K6386)*12/(Assumptions!$E$89*Assumptions!$E$76)*Assumptions!$E$90</f>
        <v>159526.899399291</v>
      </c>
      <c r="L6393" s="54" t="n">
        <f aca="false">(L6387-L6386)*12/(Assumptions!$E$89*Assumptions!$E$76)*Assumptions!$E$90</f>
        <v>161844.365500386</v>
      </c>
      <c r="M6393" s="54" t="n">
        <f aca="false">(M6387-M6386)*12/(Assumptions!$E$89*Assumptions!$E$76)*Assumptions!$E$90</f>
        <v>161458.766956034</v>
      </c>
      <c r="N6393" s="54" t="n">
        <f aca="false">(N6387-N6386)*12/(Assumptions!$E$89*Assumptions!$E$76)*Assumptions!$E$90</f>
        <v>160745.852054284</v>
      </c>
      <c r="P6393" s="55" t="n">
        <f aca="false">SUM(C6393:F6393)</f>
        <v>703518.750342363</v>
      </c>
      <c r="Q6393" s="55" t="n">
        <f aca="false">SUM(G6393:J6393)</f>
        <v>635591.096225458</v>
      </c>
      <c r="R6393" s="55" t="n">
        <f aca="false">SUM(K6393:N6393)</f>
        <v>643575.883909995</v>
      </c>
      <c r="S6393" s="56" t="n">
        <f aca="false">SUM(P6393:R6393)</f>
        <v>1982685.73047782</v>
      </c>
    </row>
    <row r="6394" customFormat="false" ht="15" hidden="false" customHeight="false" outlineLevel="0" collapsed="false">
      <c r="A6394" s="4" t="s">
        <v>573</v>
      </c>
      <c r="B6394" s="36" t="s">
        <v>125</v>
      </c>
      <c r="C6394" s="54" t="n">
        <f aca="false">0*Assumptions!$E$92^(1/4)+C6393</f>
        <v>189183.585164835</v>
      </c>
      <c r="D6394" s="54" t="n">
        <f aca="false">C6394*Assumptions!$E$92^(1/4)+D6393</f>
        <v>355952.749828138</v>
      </c>
      <c r="E6394" s="54" t="n">
        <f aca="false">D6394*Assumptions!$E$92^(1/4)+E6393</f>
        <v>528969.001027282</v>
      </c>
      <c r="F6394" s="54" t="n">
        <f aca="false">E6394*Assumptions!$E$92^(1/4)+F6393</f>
        <v>706194.00228419</v>
      </c>
      <c r="G6394" s="54" t="n">
        <f aca="false">F6394*Assumptions!$E$92^(1/4)+G6393</f>
        <v>874468.701006729</v>
      </c>
      <c r="H6394" s="54" t="n">
        <f aca="false">G6394*Assumptions!$E$92^(1/4)+H6393</f>
        <v>1019102.8543402</v>
      </c>
      <c r="I6394" s="54" t="n">
        <f aca="false">H6394*Assumptions!$E$92^(1/4)+I6393</f>
        <v>1195754.76250672</v>
      </c>
      <c r="J6394" s="54" t="n">
        <f aca="false">I6394*Assumptions!$E$92^(1/4)+J6393</f>
        <v>1351238.5224581</v>
      </c>
      <c r="K6394" s="54" t="n">
        <f aca="false">J6394*Assumptions!$E$92^(1/4)+K6393</f>
        <v>1514130.92369399</v>
      </c>
      <c r="L6394" s="54" t="n">
        <f aca="false">K6394*Assumptions!$E$92^(1/4)+L6393</f>
        <v>1679746.5037652</v>
      </c>
      <c r="M6394" s="54" t="n">
        <f aca="false">L6394*Assumptions!$E$92^(1/4)+M6393</f>
        <v>1845388.98059146</v>
      </c>
      <c r="N6394" s="54" t="n">
        <f aca="false">M6394*Assumptions!$E$92^(1/4)+N6393</f>
        <v>2010731.10480658</v>
      </c>
      <c r="P6394" s="55" t="n">
        <f aca="false">F6394</f>
        <v>706194.00228419</v>
      </c>
      <c r="Q6394" s="55" t="n">
        <f aca="false">J6394</f>
        <v>1351238.5224581</v>
      </c>
      <c r="R6394" s="55" t="n">
        <f aca="false">N6394</f>
        <v>2010731.10480658</v>
      </c>
      <c r="S6394" s="56" t="n">
        <f aca="false">R6394</f>
        <v>2010731.10480658</v>
      </c>
    </row>
    <row r="6395" customFormat="false" ht="15" hidden="false" customHeight="false" outlineLevel="0" collapsed="false">
      <c r="A6395" s="4" t="s">
        <v>574</v>
      </c>
      <c r="B6395" s="36" t="s">
        <v>125</v>
      </c>
      <c r="C6395" s="54" t="n">
        <f aca="false">(0+C6394)/8*Assumptions!$E$76-(C6387-C6386)-C6394*Assumptions!$E$93/4</f>
        <v>-260258.807091346</v>
      </c>
      <c r="D6395" s="54" t="n">
        <f aca="false">(C6394+D6394)/8*Assumptions!$E$76-(D6387-D6386)-D6394*Assumptions!$E$93/4</f>
        <v>-200365.259629629</v>
      </c>
      <c r="E6395" s="54" t="n">
        <f aca="false">(D6394+E6394)/8*Assumptions!$E$76-(E6387-E6386)-E6394*Assumptions!$E$93/4</f>
        <v>-183343.990436674</v>
      </c>
      <c r="F6395" s="54" t="n">
        <f aca="false">(E6394+F6394)/8*Assumptions!$E$76-(F6387-F6386)-F6394*Assumptions!$E$93/4</f>
        <v>-162559.055276799</v>
      </c>
      <c r="G6395" s="54" t="n">
        <f aca="false">(F6394+G6394)/8*Assumptions!$E$76-(G6387-G6386)-G6394*Assumptions!$E$93/4</f>
        <v>-123024.830462304</v>
      </c>
      <c r="H6395" s="54" t="n">
        <f aca="false">(G6394+H6394)/8*Assumptions!$E$76-(H6387-H6386)-H6394*Assumptions!$E$93/4</f>
        <v>-64656.0655823201</v>
      </c>
      <c r="I6395" s="54" t="n">
        <f aca="false">(H6394+I6394)/8*Assumptions!$E$76-(I6387-I6386)-I6394*Assumptions!$E$93/4</f>
        <v>-86487.2472719356</v>
      </c>
      <c r="J6395" s="54" t="n">
        <f aca="false">(I6394+J6394)/8*Assumptions!$E$76-(J6387-J6386)-J6394*Assumptions!$E$93/4</f>
        <v>-30233.0257820242</v>
      </c>
      <c r="K6395" s="54" t="n">
        <f aca="false">(J6394+K6394)/8*Assumptions!$E$76-(K6387-K6386)-K6394*Assumptions!$E$93/4</f>
        <v>-16543.1126230714</v>
      </c>
      <c r="L6395" s="54" t="n">
        <f aca="false">(K6394+L6394)/8*Assumptions!$E$76-(L6387-L6386)-L6394*Assumptions!$E$93/4</f>
        <v>4730.51507232551</v>
      </c>
      <c r="M6395" s="54" t="n">
        <f aca="false">(L6394+M6394)/8*Assumptions!$E$76-(M6387-M6386)-M6394*Assumptions!$E$93/4</f>
        <v>30131.676910092</v>
      </c>
      <c r="N6395" s="54" t="n">
        <f aca="false">(M6394+N6394)/8*Assumptions!$E$76-(N6387-N6386)-N6394*Assumptions!$E$93/4</f>
        <v>55987.1651612092</v>
      </c>
      <c r="P6395" s="55" t="n">
        <f aca="false">SUM(C6395:F6395)</f>
        <v>-806527.112434448</v>
      </c>
      <c r="Q6395" s="55" t="n">
        <f aca="false">SUM(G6395:J6395)</f>
        <v>-304401.169098584</v>
      </c>
      <c r="R6395" s="55" t="n">
        <f aca="false">SUM(K6395:N6395)</f>
        <v>74306.2445205553</v>
      </c>
      <c r="S6395" s="56" t="n">
        <f aca="false">SUM(P6395:R6395)</f>
        <v>-1036622.03701248</v>
      </c>
    </row>
    <row r="6396" customFormat="false" ht="15" hidden="false" customHeight="false" outlineLevel="0" collapsed="false">
      <c r="A6396" s="4" t="s">
        <v>575</v>
      </c>
      <c r="B6396" s="36" t="s">
        <v>125</v>
      </c>
      <c r="C6396" s="54" t="n">
        <f aca="false">C6395*C6391</f>
        <v>-252988.586859998</v>
      </c>
      <c r="D6396" s="54" t="n">
        <f aca="false">D6395*D6391</f>
        <v>-189327.374413174</v>
      </c>
      <c r="E6396" s="54" t="n">
        <f aca="false">E6395*E6391</f>
        <v>-168404.294546942</v>
      </c>
      <c r="F6396" s="54" t="n">
        <f aca="false">F6395*F6391</f>
        <v>-145142.013639999</v>
      </c>
      <c r="G6396" s="54" t="n">
        <f aca="false">G6395*G6391</f>
        <v>-106775.163933348</v>
      </c>
      <c r="H6396" s="54" t="n">
        <f aca="false">H6395*H6391</f>
        <v>-54548.4280238207</v>
      </c>
      <c r="I6396" s="54" t="n">
        <f aca="false">I6395*I6391</f>
        <v>-70928.4607069938</v>
      </c>
      <c r="J6396" s="54" t="n">
        <f aca="false">J6395*J6391</f>
        <v>-24101.5830532718</v>
      </c>
      <c r="K6396" s="54" t="n">
        <f aca="false">K6395*K6391</f>
        <v>-12819.6649673609</v>
      </c>
      <c r="L6396" s="54" t="n">
        <f aca="false">L6395*L6391</f>
        <v>3563.39013945655</v>
      </c>
      <c r="M6396" s="54" t="n">
        <f aca="false">M6395*M6391</f>
        <v>22063.4660968474</v>
      </c>
      <c r="N6396" s="54" t="n">
        <f aca="false">N6395*N6391</f>
        <v>39850.5582928159</v>
      </c>
      <c r="P6396" s="55" t="n">
        <f aca="false">SUM(C6396:F6396)</f>
        <v>-755862.269460113</v>
      </c>
      <c r="Q6396" s="55" t="n">
        <f aca="false">SUM(G6396:J6396)</f>
        <v>-256353.635717434</v>
      </c>
      <c r="R6396" s="55" t="n">
        <f aca="false">SUM(K6396:N6396)</f>
        <v>52657.749561759</v>
      </c>
      <c r="S6396" s="56" t="n">
        <f aca="false">SUM(P6396:R6396)</f>
        <v>-959558.155615789</v>
      </c>
    </row>
    <row r="6397" customFormat="false" ht="15" hidden="false" customHeight="false" outlineLevel="0" collapsed="false">
      <c r="A6397" s="4" t="s">
        <v>576</v>
      </c>
      <c r="B6397" s="36"/>
      <c r="C6397" s="37" t="n">
        <f aca="false">IFERROR((S6352*$C$6301*Assumptions!$E$59+S6353*$C$6302*Assumptions!$E$60+S6354*$C$6303*Assumptions!$E$61)/(S6352*$C$6301+S6353*$C$6302+S6354*$C$6303),0.9)</f>
        <v>0.897372181179546</v>
      </c>
    </row>
    <row r="6398" customFormat="false" ht="15" hidden="false" customHeight="false" outlineLevel="0" collapsed="false">
      <c r="A6398" s="4" t="s">
        <v>577</v>
      </c>
      <c r="B6398" s="36"/>
      <c r="C6398" s="37" t="n">
        <f aca="false">IFERROR(N6386*4/N6364,0)</f>
        <v>0.162825439066689</v>
      </c>
    </row>
    <row r="6399" customFormat="false" ht="15" hidden="false" customHeight="false" outlineLevel="0" collapsed="false">
      <c r="A6399" s="4" t="s">
        <v>578</v>
      </c>
      <c r="B6399" s="36"/>
      <c r="C6399" s="60" t="n">
        <f aca="false">$C$6397/(1+Assumptions!$E$87)</f>
        <v>0.801225161767451</v>
      </c>
    </row>
    <row r="6400" customFormat="false" ht="15" hidden="false" customHeight="false" outlineLevel="0" collapsed="false">
      <c r="A6400" s="4" t="s">
        <v>579</v>
      </c>
      <c r="B6400" s="36"/>
      <c r="C6400" s="60" t="n">
        <f aca="false">Assumptions!$E$91/(1+Assumptions!$E$87)</f>
        <v>0.803571428571429</v>
      </c>
    </row>
    <row r="6401" customFormat="false" ht="15" hidden="false" customHeight="false" outlineLevel="0" collapsed="false">
      <c r="A6401" s="35" t="s">
        <v>580</v>
      </c>
      <c r="B6401" s="35" t="s">
        <v>444</v>
      </c>
      <c r="C6401" s="6" t="s">
        <v>354</v>
      </c>
      <c r="D6401" s="6" t="s">
        <v>355</v>
      </c>
      <c r="E6401" s="6" t="s">
        <v>356</v>
      </c>
      <c r="F6401" s="6" t="s">
        <v>357</v>
      </c>
      <c r="G6401" s="6" t="s">
        <v>358</v>
      </c>
      <c r="H6401" s="6" t="s">
        <v>359</v>
      </c>
      <c r="I6401" s="6" t="s">
        <v>360</v>
      </c>
      <c r="J6401" s="6" t="s">
        <v>361</v>
      </c>
      <c r="K6401" s="6" t="s">
        <v>362</v>
      </c>
      <c r="L6401" s="6" t="s">
        <v>363</v>
      </c>
      <c r="M6401" s="6" t="s">
        <v>364</v>
      </c>
      <c r="N6401" s="6" t="s">
        <v>365</v>
      </c>
      <c r="P6401" s="6" t="s">
        <v>445</v>
      </c>
      <c r="Q6401" s="6" t="s">
        <v>446</v>
      </c>
      <c r="R6401" s="6" t="s">
        <v>447</v>
      </c>
      <c r="S6401" s="6" t="s">
        <v>448</v>
      </c>
    </row>
    <row r="6402" customFormat="false" ht="15" hidden="false" customHeight="false" outlineLevel="0" collapsed="false">
      <c r="A6402" s="9" t="s">
        <v>581</v>
      </c>
      <c r="C6402" s="61" t="n">
        <f aca="false">N6364</f>
        <v>550570.81697924</v>
      </c>
      <c r="D6402" s="61"/>
    </row>
    <row r="6403" customFormat="false" ht="15" hidden="false" customHeight="false" outlineLevel="0" collapsed="false">
      <c r="A6403" s="9" t="s">
        <v>582</v>
      </c>
      <c r="C6403" s="62" t="n">
        <f aca="false">N6360</f>
        <v>49.5280990541991</v>
      </c>
      <c r="D6403" s="62"/>
    </row>
    <row r="6404" customFormat="false" ht="15" hidden="false" customHeight="false" outlineLevel="0" collapsed="false">
      <c r="A6404" s="9" t="s">
        <v>583</v>
      </c>
      <c r="C6404" s="63" t="n">
        <f aca="false">S6355</f>
        <v>54.7491194625937</v>
      </c>
      <c r="D6404" s="63"/>
    </row>
    <row r="6405" customFormat="false" ht="15" hidden="false" customHeight="false" outlineLevel="0" collapsed="false">
      <c r="A6405" s="9" t="s">
        <v>584</v>
      </c>
      <c r="C6405" s="61" t="n">
        <f aca="false">S6366</f>
        <v>522261.440616153</v>
      </c>
      <c r="D6405" s="61"/>
    </row>
    <row r="6406" customFormat="false" ht="15" hidden="false" customHeight="false" outlineLevel="0" collapsed="false">
      <c r="A6406" s="9" t="s">
        <v>22</v>
      </c>
      <c r="C6406" s="61" t="n">
        <f aca="false">IFERROR(S6365/S6355,0)</f>
        <v>8847.97350983958</v>
      </c>
      <c r="D6406" s="61"/>
    </row>
    <row r="6407" customFormat="false" ht="15" hidden="false" customHeight="false" outlineLevel="0" collapsed="false">
      <c r="A6407" s="9" t="s">
        <v>585</v>
      </c>
      <c r="C6407" s="61" t="n">
        <f aca="false">IFERROR(S6383/S6355,0)</f>
        <v>39481.7979795841</v>
      </c>
      <c r="D6407" s="61"/>
    </row>
    <row r="6408" customFormat="false" ht="23.85" hidden="false" customHeight="false" outlineLevel="0" collapsed="false">
      <c r="A6408" s="9" t="s">
        <v>586</v>
      </c>
      <c r="C6408" s="61" t="n">
        <f aca="false">IFERROR((S6377+S6379+S6380+S6381+S6382)/S6355,0)</f>
        <v>15924.0153192791</v>
      </c>
      <c r="D6408" s="61"/>
    </row>
    <row r="6409" customFormat="false" ht="15" hidden="false" customHeight="false" outlineLevel="0" collapsed="false">
      <c r="A6409" s="9" t="s">
        <v>587</v>
      </c>
      <c r="C6409" s="64" t="n">
        <f aca="false">IFERROR('Engine Runs'!$C$6407/('Engine Runs'!$C$6406*Assumptions!$E$76/12),0)</f>
        <v>82.3798501566715</v>
      </c>
      <c r="D6409" s="64"/>
    </row>
    <row r="6410" customFormat="false" ht="15" hidden="false" customHeight="false" outlineLevel="0" collapsed="false">
      <c r="A6410" s="9" t="s">
        <v>588</v>
      </c>
      <c r="C6410" s="64" t="n">
        <f aca="false">IFERROR((R6383/R6355)/((R6365/R6355)*Assumptions!$E$76/12),0)</f>
        <v>53.7401674227257</v>
      </c>
      <c r="D6410" s="64"/>
    </row>
    <row r="6411" customFormat="false" ht="15" hidden="false" customHeight="false" outlineLevel="0" collapsed="false">
      <c r="A6411" s="9" t="s">
        <v>589</v>
      </c>
      <c r="C6411" s="61" t="n">
        <f aca="false">S6387</f>
        <v>2967534.56388842</v>
      </c>
      <c r="D6411" s="61"/>
    </row>
    <row r="6412" customFormat="false" ht="15" hidden="false" customHeight="false" outlineLevel="0" collapsed="false">
      <c r="A6412" s="9" t="s">
        <v>590</v>
      </c>
      <c r="C6412" s="61" t="n">
        <f aca="false">N6390</f>
        <v>-2628064.62748792</v>
      </c>
      <c r="D6412" s="61"/>
    </row>
    <row r="6413" customFormat="false" ht="15" hidden="false" customHeight="false" outlineLevel="0" collapsed="false">
      <c r="A6413" s="9" t="s">
        <v>591</v>
      </c>
      <c r="C6413" s="61" t="n">
        <f aca="false">MIN($C$6390:$N$6390)</f>
        <v>-2628064.62748792</v>
      </c>
      <c r="D6413" s="61"/>
    </row>
    <row r="6414" customFormat="false" ht="15" hidden="false" customHeight="false" outlineLevel="0" collapsed="false">
      <c r="A6414" s="9" t="s">
        <v>592</v>
      </c>
      <c r="C6414" s="61" t="n">
        <f aca="false">N6364*(Assumptions!$E$76-$C$6398)*$C$6397*(1-$C$6397^Assumptions!$E$85)/(1-$C$6397)</f>
        <v>980539.438034185</v>
      </c>
      <c r="D6414" s="61"/>
    </row>
    <row r="6415" customFormat="false" ht="15" hidden="false" customHeight="false" outlineLevel="0" collapsed="false">
      <c r="A6415" s="9" t="s">
        <v>593</v>
      </c>
      <c r="C6415" s="61" t="n">
        <f aca="false">N6364*(Assumptions!$E$76-$C$6398)*(1-Assumptions!$E$88)/(1+Assumptions!$E$87)^2.5*$C$6399*(1-$C$6399^Assumptions!$E$85)/(1-$C$6399)</f>
        <v>436398.341180243</v>
      </c>
      <c r="D6415" s="61"/>
    </row>
    <row r="6416" customFormat="false" ht="15" hidden="false" customHeight="false" outlineLevel="0" collapsed="false">
      <c r="A6416" s="9" t="s">
        <v>594</v>
      </c>
      <c r="C6416" s="61" t="n">
        <f aca="false">SUM($C$6392:$N$6392)+'Engine Runs'!$C$6415</f>
        <v>-1838891.33319331</v>
      </c>
      <c r="D6416" s="61"/>
    </row>
    <row r="6417" customFormat="false" ht="15" hidden="false" customHeight="false" outlineLevel="0" collapsed="false">
      <c r="A6417" s="9" t="s">
        <v>595</v>
      </c>
      <c r="C6417" s="61" t="n">
        <f aca="false">SUM($C$6396:$N$6396)+N6394*(Assumptions!$E$76-Assumptions!$E$93)/(1+Assumptions!$E$87)^2.5*$C$6400*(1-$C$6400^Assumptions!$E$85)/(1-$C$6400)</f>
        <v>1512522.02860027</v>
      </c>
      <c r="D6417" s="61"/>
    </row>
    <row r="6418" customFormat="false" ht="15" hidden="false" customHeight="false" outlineLevel="0" collapsed="false">
      <c r="A6418" s="9" t="s">
        <v>596</v>
      </c>
      <c r="C6418" s="61" t="n">
        <f aca="false">'Engine Runs'!$C$6416-'Engine Runs'!$C$6417</f>
        <v>-3351413.36179358</v>
      </c>
      <c r="D6418" s="61"/>
    </row>
    <row r="6419" customFormat="false" ht="15" hidden="false" customHeight="false" outlineLevel="0" collapsed="false">
      <c r="A6419" s="9" t="s">
        <v>597</v>
      </c>
      <c r="C6419" s="61" t="n">
        <f aca="false">S6351</f>
        <v>0</v>
      </c>
      <c r="D6419" s="61"/>
    </row>
    <row r="6420" customFormat="false" ht="15" hidden="false" customHeight="false" outlineLevel="0" collapsed="false">
      <c r="A6420" s="9" t="s">
        <v>598</v>
      </c>
      <c r="C6420" s="63" t="n">
        <f aca="false">P6335</f>
        <v>43.6188722246667</v>
      </c>
      <c r="D6420" s="63"/>
    </row>
    <row r="6421" customFormat="false" ht="15" hidden="false" customHeight="false" outlineLevel="0" collapsed="false">
      <c r="A6421" s="9" t="s">
        <v>599</v>
      </c>
      <c r="C6421" s="63" t="n">
        <f aca="false">P6355</f>
        <v>6.18260904948639</v>
      </c>
      <c r="D6421" s="63"/>
    </row>
    <row r="6422" customFormat="false" ht="15" hidden="false" customHeight="false" outlineLevel="0" collapsed="false">
      <c r="A6422" s="9" t="s">
        <v>600</v>
      </c>
      <c r="C6422" s="63" t="n">
        <f aca="false">P6331</f>
        <v>42</v>
      </c>
      <c r="D6422" s="63"/>
    </row>
    <row r="6423" customFormat="false" ht="15" hidden="false" customHeight="false" outlineLevel="0" collapsed="false">
      <c r="A6423" s="9" t="s">
        <v>601</v>
      </c>
      <c r="C6423" s="61" t="n">
        <f aca="false">IFERROR(P6365/P6355,0)</f>
        <v>8545.01753177967</v>
      </c>
      <c r="D6423" s="61"/>
    </row>
    <row r="6426" customFormat="false" ht="15" hidden="false" customHeight="true" outlineLevel="0" collapsed="false">
      <c r="A6426" s="78" t="s">
        <v>879</v>
      </c>
      <c r="B6426" s="78"/>
      <c r="C6426" s="78"/>
      <c r="D6426" s="78"/>
      <c r="E6426" s="78"/>
      <c r="F6426" s="78"/>
      <c r="G6426" s="78"/>
      <c r="H6426" s="78"/>
      <c r="I6426" s="78"/>
      <c r="J6426" s="78"/>
      <c r="K6426" s="78"/>
      <c r="L6426" s="78"/>
      <c r="M6426" s="78"/>
      <c r="N6426" s="78"/>
    </row>
    <row r="6427" customFormat="false" ht="15" hidden="false" customHeight="true" outlineLevel="0" collapsed="false">
      <c r="A6427" s="79" t="s">
        <v>880</v>
      </c>
      <c r="B6427" s="79"/>
      <c r="C6427" s="79"/>
      <c r="D6427" s="79"/>
      <c r="E6427" s="79"/>
      <c r="F6427" s="79"/>
      <c r="G6427" s="79"/>
      <c r="H6427" s="79"/>
      <c r="I6427" s="79"/>
      <c r="J6427" s="79"/>
      <c r="K6427" s="79"/>
      <c r="L6427" s="79"/>
      <c r="M6427" s="79"/>
      <c r="N6427" s="79"/>
    </row>
    <row r="6428" customFormat="false" ht="15" hidden="false" customHeight="false" outlineLevel="0" collapsed="false">
      <c r="A6428" s="35" t="s">
        <v>881</v>
      </c>
      <c r="B6428" s="35" t="s">
        <v>444</v>
      </c>
      <c r="C6428" s="6" t="s">
        <v>354</v>
      </c>
      <c r="D6428" s="6" t="s">
        <v>355</v>
      </c>
      <c r="E6428" s="6" t="s">
        <v>356</v>
      </c>
      <c r="F6428" s="6" t="s">
        <v>357</v>
      </c>
      <c r="G6428" s="6" t="s">
        <v>358</v>
      </c>
      <c r="H6428" s="6" t="s">
        <v>359</v>
      </c>
      <c r="I6428" s="6" t="s">
        <v>360</v>
      </c>
      <c r="J6428" s="6" t="s">
        <v>361</v>
      </c>
      <c r="K6428" s="6" t="s">
        <v>362</v>
      </c>
      <c r="L6428" s="6" t="s">
        <v>363</v>
      </c>
      <c r="M6428" s="6" t="s">
        <v>364</v>
      </c>
      <c r="N6428" s="6" t="s">
        <v>365</v>
      </c>
      <c r="P6428" s="6" t="s">
        <v>445</v>
      </c>
      <c r="Q6428" s="6" t="s">
        <v>446</v>
      </c>
      <c r="R6428" s="6" t="s">
        <v>447</v>
      </c>
      <c r="S6428" s="6" t="s">
        <v>448</v>
      </c>
    </row>
    <row r="6429" customFormat="false" ht="15" hidden="false" customHeight="false" outlineLevel="0" collapsed="false">
      <c r="A6429" s="4" t="s">
        <v>449</v>
      </c>
      <c r="B6429" s="36" t="s">
        <v>450</v>
      </c>
      <c r="C6429" s="34" t="n">
        <f aca="false">'Market Sizing'!$C$17*Assumptions!$E$10*Assumptions!$E$11*(1-Assumptions!$E$12)</f>
        <v>843.03944704</v>
      </c>
    </row>
    <row r="6430" customFormat="false" ht="15" hidden="false" customHeight="false" outlineLevel="0" collapsed="false">
      <c r="A6430" s="4" t="s">
        <v>451</v>
      </c>
      <c r="B6430" s="36" t="s">
        <v>450</v>
      </c>
      <c r="C6430" s="34" t="n">
        <f aca="false">'Market Sizing'!$D$17*Assumptions!$E$10*Assumptions!$E$11*(1-Assumptions!$E$12)</f>
        <v>211.19616</v>
      </c>
    </row>
    <row r="6431" customFormat="false" ht="15" hidden="false" customHeight="false" outlineLevel="0" collapsed="false">
      <c r="A6431" s="4" t="s">
        <v>452</v>
      </c>
      <c r="B6431" s="36" t="s">
        <v>450</v>
      </c>
      <c r="C6431" s="34" t="n">
        <f aca="false">'Market Sizing'!$E$17*Assumptions!$E$10*Assumptions!$E$11*(1-Assumptions!$E$12)</f>
        <v>49.53984</v>
      </c>
    </row>
    <row r="6432" customFormat="false" ht="15" hidden="false" customHeight="false" outlineLevel="0" collapsed="false">
      <c r="A6432" s="4" t="s">
        <v>453</v>
      </c>
      <c r="B6432" s="36"/>
      <c r="C6432" s="34" t="n">
        <f aca="false">$C$6429+$C$6430+$C$6431</f>
        <v>1103.77544704</v>
      </c>
    </row>
    <row r="6433" customFormat="false" ht="15" hidden="false" customHeight="false" outlineLevel="0" collapsed="false">
      <c r="A6433" s="4" t="s">
        <v>454</v>
      </c>
      <c r="B6433" s="36" t="s">
        <v>450</v>
      </c>
      <c r="C6433" s="34" t="n">
        <f aca="false">'Market Sizing'!$C$18*Assumptions!$E$10*Assumptions!$E$11*(1-Assumptions!$E$12)</f>
        <v>612.57706944</v>
      </c>
    </row>
    <row r="6434" customFormat="false" ht="15" hidden="false" customHeight="false" outlineLevel="0" collapsed="false">
      <c r="A6434" s="4" t="s">
        <v>455</v>
      </c>
      <c r="B6434" s="36" t="s">
        <v>450</v>
      </c>
      <c r="C6434" s="34" t="n">
        <f aca="false">'Market Sizing'!$D$18*Assumptions!$E$10*Assumptions!$E$11*(1-Assumptions!$E$12)</f>
        <v>142.10112</v>
      </c>
    </row>
    <row r="6435" customFormat="false" ht="15" hidden="false" customHeight="false" outlineLevel="0" collapsed="false">
      <c r="A6435" s="4" t="s">
        <v>456</v>
      </c>
      <c r="B6435" s="36" t="s">
        <v>450</v>
      </c>
      <c r="C6435" s="34" t="n">
        <f aca="false">'Market Sizing'!$E$18*Assumptions!$E$10*Assumptions!$E$11*(1-Assumptions!$E$12)</f>
        <v>24.76992</v>
      </c>
    </row>
    <row r="6436" customFormat="false" ht="15" hidden="false" customHeight="false" outlineLevel="0" collapsed="false">
      <c r="A6436" s="4" t="s">
        <v>457</v>
      </c>
      <c r="B6436" s="36"/>
      <c r="C6436" s="34" t="n">
        <f aca="false">$C$6433+$C$6434+$C$6435</f>
        <v>779.44810944</v>
      </c>
    </row>
    <row r="6437" customFormat="false" ht="15" hidden="false" customHeight="false" outlineLevel="0" collapsed="false">
      <c r="A6437" s="4" t="s">
        <v>458</v>
      </c>
      <c r="B6437" s="36" t="s">
        <v>450</v>
      </c>
      <c r="C6437" s="34" t="n">
        <f aca="false">'Market Sizing'!$C$19*Assumptions!$E$10*Assumptions!$E$11*(1-Assumptions!$E$12)</f>
        <v>2060.77303936</v>
      </c>
    </row>
    <row r="6438" customFormat="false" ht="15" hidden="false" customHeight="false" outlineLevel="0" collapsed="false">
      <c r="A6438" s="4" t="s">
        <v>459</v>
      </c>
      <c r="B6438" s="36" t="s">
        <v>450</v>
      </c>
      <c r="C6438" s="34" t="n">
        <f aca="false">'Market Sizing'!$D$19*Assumptions!$E$10*Assumptions!$E$11*(1-Assumptions!$E$12)</f>
        <v>428.47616</v>
      </c>
    </row>
    <row r="6439" customFormat="false" ht="15" hidden="false" customHeight="false" outlineLevel="0" collapsed="false">
      <c r="A6439" s="4" t="s">
        <v>460</v>
      </c>
      <c r="B6439" s="36" t="s">
        <v>450</v>
      </c>
      <c r="C6439" s="34" t="n">
        <f aca="false">'Market Sizing'!$E$19*Assumptions!$E$10*Assumptions!$E$11*(1-Assumptions!$E$12)</f>
        <v>79.52448</v>
      </c>
    </row>
    <row r="6440" customFormat="false" ht="15" hidden="false" customHeight="false" outlineLevel="0" collapsed="false">
      <c r="A6440" s="4" t="s">
        <v>461</v>
      </c>
      <c r="B6440" s="36"/>
      <c r="C6440" s="34" t="n">
        <f aca="false">$C$6437+$C$6438+$C$6439</f>
        <v>2568.77367936</v>
      </c>
    </row>
    <row r="6441" customFormat="false" ht="15" hidden="false" customHeight="false" outlineLevel="0" collapsed="false">
      <c r="A6441" s="4" t="s">
        <v>462</v>
      </c>
      <c r="B6441" s="36" t="s">
        <v>463</v>
      </c>
      <c r="C6441" s="33" t="n">
        <f aca="false">MAX((Assumptions!$E$51+Assumptions!$E$53)*12,(((('Market Sizing'!$E$25*Assumptions!$E$41*Assumptions!$E$42*Assumptions!$E$43)*Assumptions!$E$44)*Assumptions!$E$45*Assumptions!$E$46+('Market Sizing'!$E$25*Assumptions!$E$41*Assumptions!$E$42*Assumptions!$E$43)*Assumptions!$E$47+('Market Sizing'!$E$25*Assumptions!$E$41*Assumptions!$E$42*Assumptions!$E$43)*Assumptions!$E$48*Assumptions!$E$49)*(Assumptions!$E$51*12/Assumptions!$E$52)+((('Market Sizing'!$E$25*Assumptions!$E$41*Assumptions!$E$42*Assumptions!$E$43)*Assumptions!$E$44)*Assumptions!$E$45+('Market Sizing'!$E$25*Assumptions!$E$41*Assumptions!$E$42*Assumptions!$E$43)+('Market Sizing'!$E$25*Assumptions!$E$41*Assumptions!$E$42*Assumptions!$E$43)*Assumptions!$E$48)*Assumptions!$E$50*(Assumptions!$E$53*12/Assumptions!$E$54)))</f>
        <v>5352</v>
      </c>
    </row>
    <row r="6442" customFormat="false" ht="15" hidden="false" customHeight="false" outlineLevel="0" collapsed="false">
      <c r="A6442" s="4" t="s">
        <v>464</v>
      </c>
      <c r="B6442" s="36" t="s">
        <v>463</v>
      </c>
      <c r="C6442" s="33" t="n">
        <f aca="false">MAX((Assumptions!$E$51+Assumptions!$E$53)*12,(((('Market Sizing'!$E$26*Assumptions!$E$41*Assumptions!$E$42*Assumptions!$E$43)*Assumptions!$E$44)*Assumptions!$E$45*Assumptions!$E$46+('Market Sizing'!$E$26*Assumptions!$E$41*Assumptions!$E$42*Assumptions!$E$43)*Assumptions!$E$47+('Market Sizing'!$E$26*Assumptions!$E$41*Assumptions!$E$42*Assumptions!$E$43)*Assumptions!$E$48*Assumptions!$E$49)*(Assumptions!$E$51*12/Assumptions!$E$52)+((('Market Sizing'!$E$26*Assumptions!$E$41*Assumptions!$E$42*Assumptions!$E$43)*Assumptions!$E$44)*Assumptions!$E$45+('Market Sizing'!$E$26*Assumptions!$E$41*Assumptions!$E$42*Assumptions!$E$43)+('Market Sizing'!$E$26*Assumptions!$E$41*Assumptions!$E$42*Assumptions!$E$43)*Assumptions!$E$48)*Assumptions!$E$50*(Assumptions!$E$53*12/Assumptions!$E$54)))</f>
        <v>9766.72012875208</v>
      </c>
    </row>
    <row r="6443" customFormat="false" ht="15" hidden="false" customHeight="false" outlineLevel="0" collapsed="false">
      <c r="A6443" s="4" t="s">
        <v>465</v>
      </c>
      <c r="B6443" s="36" t="s">
        <v>463</v>
      </c>
      <c r="C6443" s="33" t="n">
        <f aca="false">MAX(Assumptions!$E$55*(Assumptions!$E$51*12/Assumptions!$E$52)+Assumptions!$E$56*(Assumptions!$E$53*12/Assumptions!$E$54),(((('Market Sizing'!$E$27*Assumptions!$E$41*Assumptions!$E$42*Assumptions!$E$43)*Assumptions!$E$44)*Assumptions!$E$45*Assumptions!$E$46+('Market Sizing'!$E$27*Assumptions!$E$41*Assumptions!$E$42*Assumptions!$E$43)*Assumptions!$E$47+('Market Sizing'!$E$27*Assumptions!$E$41*Assumptions!$E$42*Assumptions!$E$43)*Assumptions!$E$48*Assumptions!$E$49)*(Assumptions!$E$51*12/Assumptions!$E$52)+((('Market Sizing'!$E$27*Assumptions!$E$41*Assumptions!$E$42*Assumptions!$E$43)*Assumptions!$E$44)*Assumptions!$E$45+('Market Sizing'!$E$27*Assumptions!$E$41*Assumptions!$E$42*Assumptions!$E$43)+('Market Sizing'!$E$27*Assumptions!$E$41*Assumptions!$E$42*Assumptions!$E$43)*Assumptions!$E$48)*Assumptions!$E$50*(Assumptions!$E$53*12/Assumptions!$E$54)))*(1-Assumptions!$E$57)</f>
        <v>61778.2562194386</v>
      </c>
    </row>
    <row r="6444" customFormat="false" ht="23.85" hidden="false" customHeight="false" outlineLevel="0" collapsed="false">
      <c r="A6444" s="4" t="s">
        <v>466</v>
      </c>
      <c r="B6444" s="36" t="s">
        <v>467</v>
      </c>
      <c r="C6444" s="37" t="n">
        <f aca="false">Assumptions!$E$17*Assumptions!$D$106</f>
        <v>0.4</v>
      </c>
    </row>
    <row r="6445" customFormat="false" ht="23.85" hidden="false" customHeight="false" outlineLevel="0" collapsed="false">
      <c r="A6445" s="4" t="s">
        <v>468</v>
      </c>
      <c r="B6445" s="36" t="s">
        <v>469</v>
      </c>
      <c r="C6445" s="33" t="n">
        <f aca="false">Assumptions!$E$68/Assumptions!$E$69</f>
        <v>285714.285714286</v>
      </c>
    </row>
    <row r="6446" customFormat="false" ht="23.85" hidden="false" customHeight="false" outlineLevel="0" collapsed="false">
      <c r="A6446" s="4" t="s">
        <v>470</v>
      </c>
      <c r="B6446" s="36" t="s">
        <v>471</v>
      </c>
      <c r="C6446" s="33" t="n">
        <f aca="false">Assumptions!$E$66*Assumptions!$E$67/4</f>
        <v>153125</v>
      </c>
    </row>
    <row r="6447" customFormat="false" ht="15" hidden="false" customHeight="false" outlineLevel="0" collapsed="false">
      <c r="A6447" s="4" t="s">
        <v>472</v>
      </c>
      <c r="B6447" s="36"/>
      <c r="C6447" s="38" t="n">
        <f aca="false">$C$6445/Assumptions!$E$66/Assumptions!$E$67</f>
        <v>0.466472303206997</v>
      </c>
    </row>
    <row r="6448" customFormat="false" ht="15" hidden="false" customHeight="false" outlineLevel="0" collapsed="false">
      <c r="A6448" s="4" t="s">
        <v>473</v>
      </c>
      <c r="B6448" s="36"/>
      <c r="C6448" s="33" t="n">
        <f aca="false">MAX(0,Assumptions!$D$103-Assumptions!$E$78)</f>
        <v>0</v>
      </c>
    </row>
    <row r="6449" customFormat="false" ht="15" hidden="false" customHeight="false" outlineLevel="0" collapsed="false">
      <c r="A6449" s="35" t="s">
        <v>474</v>
      </c>
      <c r="B6449" s="35" t="s">
        <v>444</v>
      </c>
      <c r="C6449" s="6" t="s">
        <v>354</v>
      </c>
      <c r="D6449" s="6" t="s">
        <v>355</v>
      </c>
      <c r="E6449" s="6" t="s">
        <v>356</v>
      </c>
      <c r="F6449" s="6" t="s">
        <v>357</v>
      </c>
      <c r="G6449" s="6" t="s">
        <v>358</v>
      </c>
      <c r="H6449" s="6" t="s">
        <v>359</v>
      </c>
      <c r="I6449" s="6" t="s">
        <v>360</v>
      </c>
      <c r="J6449" s="6" t="s">
        <v>361</v>
      </c>
      <c r="K6449" s="6" t="s">
        <v>362</v>
      </c>
      <c r="L6449" s="6" t="s">
        <v>363</v>
      </c>
      <c r="M6449" s="6" t="s">
        <v>364</v>
      </c>
      <c r="N6449" s="6" t="s">
        <v>365</v>
      </c>
      <c r="P6449" s="6" t="s">
        <v>445</v>
      </c>
      <c r="Q6449" s="6" t="s">
        <v>446</v>
      </c>
      <c r="R6449" s="6" t="s">
        <v>447</v>
      </c>
      <c r="S6449" s="6" t="s">
        <v>448</v>
      </c>
    </row>
    <row r="6450" customFormat="false" ht="15" hidden="false" customHeight="false" outlineLevel="0" collapsed="false">
      <c r="A6450" s="4" t="s">
        <v>475</v>
      </c>
      <c r="B6450" s="36" t="s">
        <v>133</v>
      </c>
      <c r="C6450" s="39" t="n">
        <v>1</v>
      </c>
      <c r="D6450" s="39" t="n">
        <v>2</v>
      </c>
      <c r="E6450" s="39" t="n">
        <v>3</v>
      </c>
      <c r="F6450" s="39" t="n">
        <v>4</v>
      </c>
      <c r="G6450" s="39" t="n">
        <v>5</v>
      </c>
      <c r="H6450" s="39" t="n">
        <v>6</v>
      </c>
      <c r="I6450" s="39" t="n">
        <v>7</v>
      </c>
      <c r="J6450" s="39" t="n">
        <v>8</v>
      </c>
      <c r="K6450" s="39" t="n">
        <v>9</v>
      </c>
      <c r="L6450" s="39" t="n">
        <v>10</v>
      </c>
      <c r="M6450" s="39" t="n">
        <v>11</v>
      </c>
      <c r="N6450" s="39" t="n">
        <v>12</v>
      </c>
      <c r="P6450" s="40"/>
      <c r="Q6450" s="40"/>
      <c r="R6450" s="40"/>
      <c r="S6450" s="41"/>
    </row>
    <row r="6451" customFormat="false" ht="15" hidden="false" customHeight="false" outlineLevel="0" collapsed="false">
      <c r="A6451" s="4" t="s">
        <v>476</v>
      </c>
      <c r="B6451" s="36" t="s">
        <v>343</v>
      </c>
      <c r="C6451" s="39" t="n">
        <f aca="false">IF(C6450&lt;=Assumptions!$E$84,1,0)</f>
        <v>1</v>
      </c>
      <c r="D6451" s="39" t="n">
        <f aca="false">IF(D6450&lt;=Assumptions!$E$84,1,0)</f>
        <v>1</v>
      </c>
      <c r="E6451" s="39" t="n">
        <f aca="false">IF(E6450&lt;=Assumptions!$E$84,1,0)</f>
        <v>1</v>
      </c>
      <c r="F6451" s="39" t="n">
        <f aca="false">IF(F6450&lt;=Assumptions!$E$84,1,0)</f>
        <v>1</v>
      </c>
      <c r="G6451" s="39" t="n">
        <f aca="false">IF(G6450&lt;=Assumptions!$E$84,1,0)</f>
        <v>1</v>
      </c>
      <c r="H6451" s="39" t="n">
        <f aca="false">IF(H6450&lt;=Assumptions!$E$84,1,0)</f>
        <v>1</v>
      </c>
      <c r="I6451" s="39" t="n">
        <f aca="false">IF(I6450&lt;=Assumptions!$E$84,1,0)</f>
        <v>1</v>
      </c>
      <c r="J6451" s="39" t="n">
        <f aca="false">IF(J6450&lt;=Assumptions!$E$84,1,0)</f>
        <v>1</v>
      </c>
      <c r="K6451" s="39" t="n">
        <f aca="false">IF(K6450&lt;=Assumptions!$E$84,1,0)</f>
        <v>1</v>
      </c>
      <c r="L6451" s="39" t="n">
        <f aca="false">IF(L6450&lt;=Assumptions!$E$84,1,0)</f>
        <v>1</v>
      </c>
      <c r="M6451" s="39" t="n">
        <f aca="false">IF(M6450&lt;=Assumptions!$E$84,1,0)</f>
        <v>1</v>
      </c>
      <c r="N6451" s="39" t="n">
        <f aca="false">IF(N6450&lt;=Assumptions!$E$84,1,0)</f>
        <v>1</v>
      </c>
      <c r="P6451" s="40"/>
      <c r="Q6451" s="40"/>
      <c r="R6451" s="40"/>
      <c r="S6451" s="41"/>
    </row>
    <row r="6452" customFormat="false" ht="15" hidden="false" customHeight="false" outlineLevel="0" collapsed="false">
      <c r="A6452" s="4" t="s">
        <v>477</v>
      </c>
      <c r="B6452" s="36" t="s">
        <v>478</v>
      </c>
      <c r="C6452" s="42" t="n">
        <f aca="false">IF(C6450=Assumptions!$E$13,0.5,IF(C6450&gt;Assumptions!$E$13,1,0))</f>
        <v>0.5</v>
      </c>
      <c r="D6452" s="42" t="n">
        <f aca="false">IF(D6450=Assumptions!$E$13,0.5,IF(D6450&gt;Assumptions!$E$13,1,0))</f>
        <v>1</v>
      </c>
      <c r="E6452" s="42" t="n">
        <f aca="false">IF(E6450=Assumptions!$E$13,0.5,IF(E6450&gt;Assumptions!$E$13,1,0))</f>
        <v>1</v>
      </c>
      <c r="F6452" s="42" t="n">
        <f aca="false">IF(F6450=Assumptions!$E$13,0.5,IF(F6450&gt;Assumptions!$E$13,1,0))</f>
        <v>1</v>
      </c>
      <c r="G6452" s="42" t="n">
        <f aca="false">IF(G6450=Assumptions!$E$13,0.5,IF(G6450&gt;Assumptions!$E$13,1,0))</f>
        <v>1</v>
      </c>
      <c r="H6452" s="42" t="n">
        <f aca="false">IF(H6450=Assumptions!$E$13,0.5,IF(H6450&gt;Assumptions!$E$13,1,0))</f>
        <v>1</v>
      </c>
      <c r="I6452" s="42" t="n">
        <f aca="false">IF(I6450=Assumptions!$E$13,0.5,IF(I6450&gt;Assumptions!$E$13,1,0))</f>
        <v>1</v>
      </c>
      <c r="J6452" s="42" t="n">
        <f aca="false">IF(J6450=Assumptions!$E$13,0.5,IF(J6450&gt;Assumptions!$E$13,1,0))</f>
        <v>1</v>
      </c>
      <c r="K6452" s="42" t="n">
        <f aca="false">IF(K6450=Assumptions!$E$13,0.5,IF(K6450&gt;Assumptions!$E$13,1,0))</f>
        <v>1</v>
      </c>
      <c r="L6452" s="42" t="n">
        <f aca="false">IF(L6450=Assumptions!$E$13,0.5,IF(L6450&gt;Assumptions!$E$13,1,0))</f>
        <v>1</v>
      </c>
      <c r="M6452" s="42" t="n">
        <f aca="false">IF(M6450=Assumptions!$E$13,0.5,IF(M6450&gt;Assumptions!$E$13,1,0))</f>
        <v>1</v>
      </c>
      <c r="N6452" s="42" t="n">
        <f aca="false">IF(N6450=Assumptions!$E$13,0.5,IF(N6450&gt;Assumptions!$E$13,1,0))</f>
        <v>1</v>
      </c>
      <c r="P6452" s="43"/>
      <c r="Q6452" s="43"/>
      <c r="R6452" s="43"/>
      <c r="S6452" s="44"/>
    </row>
    <row r="6453" customFormat="false" ht="15" hidden="false" customHeight="false" outlineLevel="0" collapsed="false">
      <c r="A6453" s="4" t="s">
        <v>479</v>
      </c>
      <c r="B6453" s="36" t="s">
        <v>478</v>
      </c>
      <c r="C6453" s="42" t="n">
        <f aca="false">IF(C6450=Assumptions!$E$14,0.5,IF(C6450&gt;Assumptions!$E$14,1,0))</f>
        <v>0</v>
      </c>
      <c r="D6453" s="42" t="n">
        <f aca="false">IF(D6450=Assumptions!$E$14,0.5,IF(D6450&gt;Assumptions!$E$14,1,0))</f>
        <v>0</v>
      </c>
      <c r="E6453" s="42" t="n">
        <f aca="false">IF(E6450=Assumptions!$E$14,0.5,IF(E6450&gt;Assumptions!$E$14,1,0))</f>
        <v>0</v>
      </c>
      <c r="F6453" s="42" t="n">
        <f aca="false">IF(F6450=Assumptions!$E$14,0.5,IF(F6450&gt;Assumptions!$E$14,1,0))</f>
        <v>0</v>
      </c>
      <c r="G6453" s="42" t="n">
        <f aca="false">IF(G6450=Assumptions!$E$14,0.5,IF(G6450&gt;Assumptions!$E$14,1,0))</f>
        <v>0.5</v>
      </c>
      <c r="H6453" s="42" t="n">
        <f aca="false">IF(H6450=Assumptions!$E$14,0.5,IF(H6450&gt;Assumptions!$E$14,1,0))</f>
        <v>1</v>
      </c>
      <c r="I6453" s="42" t="n">
        <f aca="false">IF(I6450=Assumptions!$E$14,0.5,IF(I6450&gt;Assumptions!$E$14,1,0))</f>
        <v>1</v>
      </c>
      <c r="J6453" s="42" t="n">
        <f aca="false">IF(J6450=Assumptions!$E$14,0.5,IF(J6450&gt;Assumptions!$E$14,1,0))</f>
        <v>1</v>
      </c>
      <c r="K6453" s="42" t="n">
        <f aca="false">IF(K6450=Assumptions!$E$14,0.5,IF(K6450&gt;Assumptions!$E$14,1,0))</f>
        <v>1</v>
      </c>
      <c r="L6453" s="42" t="n">
        <f aca="false">IF(L6450=Assumptions!$E$14,0.5,IF(L6450&gt;Assumptions!$E$14,1,0))</f>
        <v>1</v>
      </c>
      <c r="M6453" s="42" t="n">
        <f aca="false">IF(M6450=Assumptions!$E$14,0.5,IF(M6450&gt;Assumptions!$E$14,1,0))</f>
        <v>1</v>
      </c>
      <c r="N6453" s="42" t="n">
        <f aca="false">IF(N6450=Assumptions!$E$14,0.5,IF(N6450&gt;Assumptions!$E$14,1,0))</f>
        <v>1</v>
      </c>
      <c r="P6453" s="43"/>
      <c r="Q6453" s="43"/>
      <c r="R6453" s="43"/>
      <c r="S6453" s="44"/>
    </row>
    <row r="6454" customFormat="false" ht="15" hidden="false" customHeight="false" outlineLevel="0" collapsed="false">
      <c r="A6454" s="4" t="s">
        <v>480</v>
      </c>
      <c r="B6454" s="36" t="s">
        <v>478</v>
      </c>
      <c r="C6454" s="42" t="n">
        <f aca="false">IF(C6450=Assumptions!$E$15,0.5,IF(C6450&gt;Assumptions!$E$15,1,0))</f>
        <v>0</v>
      </c>
      <c r="D6454" s="42" t="n">
        <f aca="false">IF(D6450=Assumptions!$E$15,0.5,IF(D6450&gt;Assumptions!$E$15,1,0))</f>
        <v>0</v>
      </c>
      <c r="E6454" s="42" t="n">
        <f aca="false">IF(E6450=Assumptions!$E$15,0.5,IF(E6450&gt;Assumptions!$E$15,1,0))</f>
        <v>0</v>
      </c>
      <c r="F6454" s="42" t="n">
        <f aca="false">IF(F6450=Assumptions!$E$15,0.5,IF(F6450&gt;Assumptions!$E$15,1,0))</f>
        <v>0</v>
      </c>
      <c r="G6454" s="42" t="n">
        <f aca="false">IF(G6450=Assumptions!$E$15,0.5,IF(G6450&gt;Assumptions!$E$15,1,0))</f>
        <v>0</v>
      </c>
      <c r="H6454" s="42" t="n">
        <f aca="false">IF(H6450=Assumptions!$E$15,0.5,IF(H6450&gt;Assumptions!$E$15,1,0))</f>
        <v>0</v>
      </c>
      <c r="I6454" s="42" t="n">
        <f aca="false">IF(I6450=Assumptions!$E$15,0.5,IF(I6450&gt;Assumptions!$E$15,1,0))</f>
        <v>0.5</v>
      </c>
      <c r="J6454" s="42" t="n">
        <f aca="false">IF(J6450=Assumptions!$E$15,0.5,IF(J6450&gt;Assumptions!$E$15,1,0))</f>
        <v>1</v>
      </c>
      <c r="K6454" s="42" t="n">
        <f aca="false">IF(K6450=Assumptions!$E$15,0.5,IF(K6450&gt;Assumptions!$E$15,1,0))</f>
        <v>1</v>
      </c>
      <c r="L6454" s="42" t="n">
        <f aca="false">IF(L6450=Assumptions!$E$15,0.5,IF(L6450&gt;Assumptions!$E$15,1,0))</f>
        <v>1</v>
      </c>
      <c r="M6454" s="42" t="n">
        <f aca="false">IF(M6450=Assumptions!$E$15,0.5,IF(M6450&gt;Assumptions!$E$15,1,0))</f>
        <v>1</v>
      </c>
      <c r="N6454" s="42" t="n">
        <f aca="false">IF(N6450=Assumptions!$E$15,0.5,IF(N6450&gt;Assumptions!$E$15,1,0))</f>
        <v>1</v>
      </c>
      <c r="P6454" s="43"/>
      <c r="Q6454" s="43"/>
      <c r="R6454" s="43"/>
      <c r="S6454" s="44"/>
    </row>
    <row r="6455" customFormat="false" ht="15" hidden="false" customHeight="false" outlineLevel="0" collapsed="false">
      <c r="A6455" s="4" t="s">
        <v>481</v>
      </c>
      <c r="B6455" s="36" t="s">
        <v>478</v>
      </c>
      <c r="C6455" s="45" t="n">
        <f aca="false">Assumptions!$E$21^(MAX(0,C6450-Assumptions!$E$13)/4)</f>
        <v>1</v>
      </c>
      <c r="D6455" s="45" t="n">
        <f aca="false">Assumptions!$E$21^(MAX(0,D6450-Assumptions!$E$13)/4)</f>
        <v>0.9306048591021</v>
      </c>
      <c r="E6455" s="45" t="n">
        <f aca="false">Assumptions!$E$21^(MAX(0,E6450-Assumptions!$E$13)/4)</f>
        <v>0.866025403784439</v>
      </c>
      <c r="F6455" s="45" t="n">
        <f aca="false">Assumptions!$E$21^(MAX(0,F6450-Assumptions!$E$13)/4)</f>
        <v>0.805927448867656</v>
      </c>
      <c r="G6455" s="45" t="n">
        <f aca="false">Assumptions!$E$21^(MAX(0,G6450-Assumptions!$E$13)/4)</f>
        <v>0.75</v>
      </c>
      <c r="H6455" s="45" t="n">
        <f aca="false">Assumptions!$E$21^(MAX(0,H6450-Assumptions!$E$13)/4)</f>
        <v>0.697953644326575</v>
      </c>
      <c r="I6455" s="45" t="n">
        <f aca="false">Assumptions!$E$21^(MAX(0,I6450-Assumptions!$E$13)/4)</f>
        <v>0.649519052838329</v>
      </c>
      <c r="J6455" s="45" t="n">
        <f aca="false">Assumptions!$E$21^(MAX(0,J6450-Assumptions!$E$13)/4)</f>
        <v>0.604445586650742</v>
      </c>
      <c r="K6455" s="45" t="n">
        <f aca="false">Assumptions!$E$21^(MAX(0,K6450-Assumptions!$E$13)/4)</f>
        <v>0.5625</v>
      </c>
      <c r="L6455" s="45" t="n">
        <f aca="false">Assumptions!$E$21^(MAX(0,L6450-Assumptions!$E$13)/4)</f>
        <v>0.523465233244931</v>
      </c>
      <c r="M6455" s="45" t="n">
        <f aca="false">Assumptions!$E$21^(MAX(0,M6450-Assumptions!$E$13)/4)</f>
        <v>0.487139289628747</v>
      </c>
      <c r="N6455" s="45" t="n">
        <f aca="false">Assumptions!$E$21^(MAX(0,N6450-Assumptions!$E$13)/4)</f>
        <v>0.453334189988057</v>
      </c>
      <c r="P6455" s="46"/>
      <c r="Q6455" s="46"/>
      <c r="R6455" s="46"/>
      <c r="S6455" s="47"/>
    </row>
    <row r="6456" customFormat="false" ht="15" hidden="false" customHeight="false" outlineLevel="0" collapsed="false">
      <c r="A6456" s="4" t="s">
        <v>482</v>
      </c>
      <c r="B6456" s="36" t="s">
        <v>478</v>
      </c>
      <c r="C6456" s="45" t="n">
        <f aca="false">Assumptions!$E$21^(MAX(0,C6450-Assumptions!$E$14)/4)</f>
        <v>1</v>
      </c>
      <c r="D6456" s="45" t="n">
        <f aca="false">Assumptions!$E$21^(MAX(0,D6450-Assumptions!$E$14)/4)</f>
        <v>1</v>
      </c>
      <c r="E6456" s="45" t="n">
        <f aca="false">Assumptions!$E$21^(MAX(0,E6450-Assumptions!$E$14)/4)</f>
        <v>1</v>
      </c>
      <c r="F6456" s="45" t="n">
        <f aca="false">Assumptions!$E$21^(MAX(0,F6450-Assumptions!$E$14)/4)</f>
        <v>1</v>
      </c>
      <c r="G6456" s="45" t="n">
        <f aca="false">Assumptions!$E$21^(MAX(0,G6450-Assumptions!$E$14)/4)</f>
        <v>1</v>
      </c>
      <c r="H6456" s="45" t="n">
        <f aca="false">Assumptions!$E$21^(MAX(0,H6450-Assumptions!$E$14)/4)</f>
        <v>0.9306048591021</v>
      </c>
      <c r="I6456" s="45" t="n">
        <f aca="false">Assumptions!$E$21^(MAX(0,I6450-Assumptions!$E$14)/4)</f>
        <v>0.866025403784439</v>
      </c>
      <c r="J6456" s="45" t="n">
        <f aca="false">Assumptions!$E$21^(MAX(0,J6450-Assumptions!$E$14)/4)</f>
        <v>0.805927448867656</v>
      </c>
      <c r="K6456" s="45" t="n">
        <f aca="false">Assumptions!$E$21^(MAX(0,K6450-Assumptions!$E$14)/4)</f>
        <v>0.75</v>
      </c>
      <c r="L6456" s="45" t="n">
        <f aca="false">Assumptions!$E$21^(MAX(0,L6450-Assumptions!$E$14)/4)</f>
        <v>0.697953644326575</v>
      </c>
      <c r="M6456" s="45" t="n">
        <f aca="false">Assumptions!$E$21^(MAX(0,M6450-Assumptions!$E$14)/4)</f>
        <v>0.649519052838329</v>
      </c>
      <c r="N6456" s="45" t="n">
        <f aca="false">Assumptions!$E$21^(MAX(0,N6450-Assumptions!$E$14)/4)</f>
        <v>0.604445586650742</v>
      </c>
      <c r="P6456" s="46"/>
      <c r="Q6456" s="46"/>
      <c r="R6456" s="46"/>
      <c r="S6456" s="47"/>
    </row>
    <row r="6457" customFormat="false" ht="15" hidden="false" customHeight="false" outlineLevel="0" collapsed="false">
      <c r="A6457" s="4" t="s">
        <v>483</v>
      </c>
      <c r="B6457" s="36" t="s">
        <v>478</v>
      </c>
      <c r="C6457" s="45" t="n">
        <f aca="false">Assumptions!$E$21^(MAX(0,C6450-Assumptions!$E$15)/4)</f>
        <v>1</v>
      </c>
      <c r="D6457" s="45" t="n">
        <f aca="false">Assumptions!$E$21^(MAX(0,D6450-Assumptions!$E$15)/4)</f>
        <v>1</v>
      </c>
      <c r="E6457" s="45" t="n">
        <f aca="false">Assumptions!$E$21^(MAX(0,E6450-Assumptions!$E$15)/4)</f>
        <v>1</v>
      </c>
      <c r="F6457" s="45" t="n">
        <f aca="false">Assumptions!$E$21^(MAX(0,F6450-Assumptions!$E$15)/4)</f>
        <v>1</v>
      </c>
      <c r="G6457" s="45" t="n">
        <f aca="false">Assumptions!$E$21^(MAX(0,G6450-Assumptions!$E$15)/4)</f>
        <v>1</v>
      </c>
      <c r="H6457" s="45" t="n">
        <f aca="false">Assumptions!$E$21^(MAX(0,H6450-Assumptions!$E$15)/4)</f>
        <v>1</v>
      </c>
      <c r="I6457" s="45" t="n">
        <f aca="false">Assumptions!$E$21^(MAX(0,I6450-Assumptions!$E$15)/4)</f>
        <v>1</v>
      </c>
      <c r="J6457" s="45" t="n">
        <f aca="false">Assumptions!$E$21^(MAX(0,J6450-Assumptions!$E$15)/4)</f>
        <v>0.9306048591021</v>
      </c>
      <c r="K6457" s="45" t="n">
        <f aca="false">Assumptions!$E$21^(MAX(0,K6450-Assumptions!$E$15)/4)</f>
        <v>0.866025403784439</v>
      </c>
      <c r="L6457" s="45" t="n">
        <f aca="false">Assumptions!$E$21^(MAX(0,L6450-Assumptions!$E$15)/4)</f>
        <v>0.805927448867656</v>
      </c>
      <c r="M6457" s="45" t="n">
        <f aca="false">Assumptions!$E$21^(MAX(0,M6450-Assumptions!$E$15)/4)</f>
        <v>0.75</v>
      </c>
      <c r="N6457" s="45" t="n">
        <f aca="false">Assumptions!$E$21^(MAX(0,N6450-Assumptions!$E$15)/4)</f>
        <v>0.697953644326575</v>
      </c>
      <c r="P6457" s="46"/>
      <c r="Q6457" s="46"/>
      <c r="R6457" s="46"/>
      <c r="S6457" s="47"/>
    </row>
    <row r="6458" customFormat="false" ht="15" hidden="false" customHeight="false" outlineLevel="0" collapsed="false">
      <c r="A6458" s="4" t="s">
        <v>484</v>
      </c>
      <c r="B6458" s="36" t="s">
        <v>485</v>
      </c>
      <c r="C6458" s="39" t="n">
        <f aca="false">$C$6429*C6452+$C$6433*C6453+$C$6437*C6454</f>
        <v>421.51972352</v>
      </c>
      <c r="D6458" s="39" t="n">
        <f aca="false">$C$6429*D6452+$C$6433*D6453+$C$6437*D6454</f>
        <v>843.03944704</v>
      </c>
      <c r="E6458" s="39" t="n">
        <f aca="false">$C$6429*E6452+$C$6433*E6453+$C$6437*E6454</f>
        <v>843.03944704</v>
      </c>
      <c r="F6458" s="39" t="n">
        <f aca="false">$C$6429*F6452+$C$6433*F6453+$C$6437*F6454</f>
        <v>843.03944704</v>
      </c>
      <c r="G6458" s="39" t="n">
        <f aca="false">$C$6429*G6452+$C$6433*G6453+$C$6437*G6454</f>
        <v>1149.32798176</v>
      </c>
      <c r="H6458" s="39" t="n">
        <f aca="false">$C$6429*H6452+$C$6433*H6453+$C$6437*H6454</f>
        <v>1455.61651648</v>
      </c>
      <c r="I6458" s="39" t="n">
        <f aca="false">$C$6429*I6452+$C$6433*I6453+$C$6437*I6454</f>
        <v>2486.00303616</v>
      </c>
      <c r="J6458" s="39" t="n">
        <f aca="false">$C$6429*J6452+$C$6433*J6453+$C$6437*J6454</f>
        <v>3516.38955584</v>
      </c>
      <c r="K6458" s="39" t="n">
        <f aca="false">$C$6429*K6452+$C$6433*K6453+$C$6437*K6454</f>
        <v>3516.38955584</v>
      </c>
      <c r="L6458" s="39" t="n">
        <f aca="false">$C$6429*L6452+$C$6433*L6453+$C$6437*L6454</f>
        <v>3516.38955584</v>
      </c>
      <c r="M6458" s="39" t="n">
        <f aca="false">$C$6429*M6452+$C$6433*M6453+$C$6437*M6454</f>
        <v>3516.38955584</v>
      </c>
      <c r="N6458" s="39" t="n">
        <f aca="false">$C$6429*N6452+$C$6433*N6453+$C$6437*N6454</f>
        <v>3516.38955584</v>
      </c>
      <c r="P6458" s="40" t="n">
        <f aca="false">F6458</f>
        <v>843.03944704</v>
      </c>
      <c r="Q6458" s="40" t="n">
        <f aca="false">J6458</f>
        <v>3516.38955584</v>
      </c>
      <c r="R6458" s="40" t="n">
        <f aca="false">N6458</f>
        <v>3516.38955584</v>
      </c>
      <c r="S6458" s="41" t="n">
        <f aca="false">R6458</f>
        <v>3516.38955584</v>
      </c>
    </row>
    <row r="6459" customFormat="false" ht="15" hidden="false" customHeight="false" outlineLevel="0" collapsed="false">
      <c r="A6459" s="4" t="s">
        <v>486</v>
      </c>
      <c r="B6459" s="36" t="s">
        <v>485</v>
      </c>
      <c r="C6459" s="39" t="n">
        <f aca="false">$C$6430*C6452+$C$6434*C6453+$C$6438*C6454</f>
        <v>105.59808</v>
      </c>
      <c r="D6459" s="39" t="n">
        <f aca="false">$C$6430*D6452+$C$6434*D6453+$C$6438*D6454</f>
        <v>211.19616</v>
      </c>
      <c r="E6459" s="39" t="n">
        <f aca="false">$C$6430*E6452+$C$6434*E6453+$C$6438*E6454</f>
        <v>211.19616</v>
      </c>
      <c r="F6459" s="39" t="n">
        <f aca="false">$C$6430*F6452+$C$6434*F6453+$C$6438*F6454</f>
        <v>211.19616</v>
      </c>
      <c r="G6459" s="39" t="n">
        <f aca="false">$C$6430*G6452+$C$6434*G6453+$C$6438*G6454</f>
        <v>282.24672</v>
      </c>
      <c r="H6459" s="39" t="n">
        <f aca="false">$C$6430*H6452+$C$6434*H6453+$C$6438*H6454</f>
        <v>353.29728</v>
      </c>
      <c r="I6459" s="39" t="n">
        <f aca="false">$C$6430*I6452+$C$6434*I6453+$C$6438*I6454</f>
        <v>567.53536</v>
      </c>
      <c r="J6459" s="39" t="n">
        <f aca="false">$C$6430*J6452+$C$6434*J6453+$C$6438*J6454</f>
        <v>781.77344</v>
      </c>
      <c r="K6459" s="39" t="n">
        <f aca="false">$C$6430*K6452+$C$6434*K6453+$C$6438*K6454</f>
        <v>781.77344</v>
      </c>
      <c r="L6459" s="39" t="n">
        <f aca="false">$C$6430*L6452+$C$6434*L6453+$C$6438*L6454</f>
        <v>781.77344</v>
      </c>
      <c r="M6459" s="39" t="n">
        <f aca="false">$C$6430*M6452+$C$6434*M6453+$C$6438*M6454</f>
        <v>781.77344</v>
      </c>
      <c r="N6459" s="39" t="n">
        <f aca="false">$C$6430*N6452+$C$6434*N6453+$C$6438*N6454</f>
        <v>781.77344</v>
      </c>
      <c r="P6459" s="40" t="n">
        <f aca="false">F6459</f>
        <v>211.19616</v>
      </c>
      <c r="Q6459" s="40" t="n">
        <f aca="false">J6459</f>
        <v>781.77344</v>
      </c>
      <c r="R6459" s="40" t="n">
        <f aca="false">N6459</f>
        <v>781.77344</v>
      </c>
      <c r="S6459" s="41" t="n">
        <f aca="false">R6459</f>
        <v>781.77344</v>
      </c>
    </row>
    <row r="6460" customFormat="false" ht="15" hidden="false" customHeight="false" outlineLevel="0" collapsed="false">
      <c r="A6460" s="4" t="s">
        <v>487</v>
      </c>
      <c r="B6460" s="36" t="s">
        <v>485</v>
      </c>
      <c r="C6460" s="39" t="n">
        <f aca="false">$C$6431*C6452+$C$6435*C6453+$C$6439*C6454</f>
        <v>24.76992</v>
      </c>
      <c r="D6460" s="39" t="n">
        <f aca="false">$C$6431*D6452+$C$6435*D6453+$C$6439*D6454</f>
        <v>49.53984</v>
      </c>
      <c r="E6460" s="39" t="n">
        <f aca="false">$C$6431*E6452+$C$6435*E6453+$C$6439*E6454</f>
        <v>49.53984</v>
      </c>
      <c r="F6460" s="39" t="n">
        <f aca="false">$C$6431*F6452+$C$6435*F6453+$C$6439*F6454</f>
        <v>49.53984</v>
      </c>
      <c r="G6460" s="39" t="n">
        <f aca="false">$C$6431*G6452+$C$6435*G6453+$C$6439*G6454</f>
        <v>61.9248</v>
      </c>
      <c r="H6460" s="39" t="n">
        <f aca="false">$C$6431*H6452+$C$6435*H6453+$C$6439*H6454</f>
        <v>74.30976</v>
      </c>
      <c r="I6460" s="39" t="n">
        <f aca="false">$C$6431*I6452+$C$6435*I6453+$C$6439*I6454</f>
        <v>114.072</v>
      </c>
      <c r="J6460" s="39" t="n">
        <f aca="false">$C$6431*J6452+$C$6435*J6453+$C$6439*J6454</f>
        <v>153.83424</v>
      </c>
      <c r="K6460" s="39" t="n">
        <f aca="false">$C$6431*K6452+$C$6435*K6453+$C$6439*K6454</f>
        <v>153.83424</v>
      </c>
      <c r="L6460" s="39" t="n">
        <f aca="false">$C$6431*L6452+$C$6435*L6453+$C$6439*L6454</f>
        <v>153.83424</v>
      </c>
      <c r="M6460" s="39" t="n">
        <f aca="false">$C$6431*M6452+$C$6435*M6453+$C$6439*M6454</f>
        <v>153.83424</v>
      </c>
      <c r="N6460" s="39" t="n">
        <f aca="false">$C$6431*N6452+$C$6435*N6453+$C$6439*N6454</f>
        <v>153.83424</v>
      </c>
      <c r="P6460" s="40" t="n">
        <f aca="false">F6460</f>
        <v>49.53984</v>
      </c>
      <c r="Q6460" s="40" t="n">
        <f aca="false">J6460</f>
        <v>153.83424</v>
      </c>
      <c r="R6460" s="40" t="n">
        <f aca="false">N6460</f>
        <v>153.83424</v>
      </c>
      <c r="S6460" s="41" t="n">
        <f aca="false">R6460</f>
        <v>153.83424</v>
      </c>
    </row>
    <row r="6461" customFormat="false" ht="15" hidden="false" customHeight="false" outlineLevel="0" collapsed="false">
      <c r="A6461" s="4" t="s">
        <v>488</v>
      </c>
      <c r="B6461" s="36" t="s">
        <v>485</v>
      </c>
      <c r="C6461" s="39" t="n">
        <f aca="false">C6458+C6459+C6460</f>
        <v>551.88772352</v>
      </c>
      <c r="D6461" s="39" t="n">
        <f aca="false">D6458+D6459+D6460</f>
        <v>1103.77544704</v>
      </c>
      <c r="E6461" s="39" t="n">
        <f aca="false">E6458+E6459+E6460</f>
        <v>1103.77544704</v>
      </c>
      <c r="F6461" s="39" t="n">
        <f aca="false">F6458+F6459+F6460</f>
        <v>1103.77544704</v>
      </c>
      <c r="G6461" s="39" t="n">
        <f aca="false">G6458+G6459+G6460</f>
        <v>1493.49950176</v>
      </c>
      <c r="H6461" s="39" t="n">
        <f aca="false">H6458+H6459+H6460</f>
        <v>1883.22355648</v>
      </c>
      <c r="I6461" s="39" t="n">
        <f aca="false">I6458+I6459+I6460</f>
        <v>3167.61039616</v>
      </c>
      <c r="J6461" s="39" t="n">
        <f aca="false">J6458+J6459+J6460</f>
        <v>4451.99723584</v>
      </c>
      <c r="K6461" s="39" t="n">
        <f aca="false">K6458+K6459+K6460</f>
        <v>4451.99723584</v>
      </c>
      <c r="L6461" s="39" t="n">
        <f aca="false">L6458+L6459+L6460</f>
        <v>4451.99723584</v>
      </c>
      <c r="M6461" s="39" t="n">
        <f aca="false">M6458+M6459+M6460</f>
        <v>4451.99723584</v>
      </c>
      <c r="N6461" s="39" t="n">
        <f aca="false">N6458+N6459+N6460</f>
        <v>4451.99723584</v>
      </c>
      <c r="P6461" s="40" t="n">
        <f aca="false">F6461</f>
        <v>1103.77544704</v>
      </c>
      <c r="Q6461" s="40" t="n">
        <f aca="false">J6461</f>
        <v>4451.99723584</v>
      </c>
      <c r="R6461" s="40" t="n">
        <f aca="false">N6461</f>
        <v>4451.99723584</v>
      </c>
      <c r="S6461" s="41" t="n">
        <f aca="false">R6461</f>
        <v>4451.99723584</v>
      </c>
    </row>
    <row r="6462" customFormat="false" ht="15" hidden="false" customHeight="false" outlineLevel="0" collapsed="false">
      <c r="A6462" s="4" t="s">
        <v>489</v>
      </c>
      <c r="B6462" s="36" t="s">
        <v>485</v>
      </c>
      <c r="C6462" s="39" t="n">
        <f aca="false">$C$6432*C6452*C6455+$C$6436*C6453*C6456+$C$6440*C6454*C6457</f>
        <v>551.88772352</v>
      </c>
      <c r="D6462" s="39" t="n">
        <f aca="false">$C$6432*D6452*D6455+$C$6436*D6453*D6456+$C$6440*D6454*D6457</f>
        <v>1027.17879437302</v>
      </c>
      <c r="E6462" s="39" t="n">
        <f aca="false">$C$6432*E6452*E6455+$C$6436*E6453*E6456+$C$6440*E6454*E6457</f>
        <v>955.897577210165</v>
      </c>
      <c r="F6462" s="39" t="n">
        <f aca="false">$C$6432*F6452*F6455+$C$6436*F6453*F6456+$C$6440*F6454*F6457</f>
        <v>889.562930155704</v>
      </c>
      <c r="G6462" s="39" t="n">
        <f aca="false">$C$6432*G6452*G6455+$C$6436*G6453*G6456+$C$6440*G6454*G6457</f>
        <v>1217.55564</v>
      </c>
      <c r="H6462" s="39" t="n">
        <f aca="false">$C$6432*H6452*H6455+$C$6436*H6453*H6456+$C$6440*H6454*H6457</f>
        <v>1495.74229384257</v>
      </c>
      <c r="I6462" s="39" t="n">
        <f aca="false">$C$6432*I6452*I6455+$C$6436*I6453*I6456+$C$6440*I6454*I6457</f>
        <v>2676.33188629442</v>
      </c>
      <c r="J6462" s="39" t="n">
        <f aca="false">$C$6432*J6452*J6455+$C$6436*J6453*J6456+$C$6440*J6454*J6457</f>
        <v>3685.86409192847</v>
      </c>
      <c r="K6462" s="39" t="n">
        <f aca="false">$C$6432*K6452*K6455+$C$6436*K6453*K6456+$C$6440*K6454*K6457</f>
        <v>3430.08303393858</v>
      </c>
      <c r="L6462" s="39" t="n">
        <f aca="false">$C$6432*L6452*L6455+$C$6436*L6453*L6456+$C$6440*L6454*L6457</f>
        <v>3192.05193850692</v>
      </c>
      <c r="M6462" s="39" t="n">
        <f aca="false">$C$6432*M6452*M6455+$C$6436*M6453*M6456+$C$6440*M6454*M6457</f>
        <v>2970.53904448081</v>
      </c>
      <c r="N6462" s="39" t="n">
        <f aca="false">$C$6432*N6452*N6455+$C$6436*N6453*N6456+$C$6440*N6454*N6457</f>
        <v>2764.39806894635</v>
      </c>
      <c r="P6462" s="40"/>
      <c r="Q6462" s="40"/>
      <c r="R6462" s="40"/>
      <c r="S6462" s="41"/>
    </row>
    <row r="6463" customFormat="false" ht="15" hidden="false" customHeight="false" outlineLevel="0" collapsed="false">
      <c r="A6463" s="4" t="s">
        <v>490</v>
      </c>
      <c r="B6463" s="36" t="s">
        <v>491</v>
      </c>
      <c r="C6463" s="48" t="n">
        <f aca="false">$C$6444*Assumptions!$E$20*C6451*C6462</f>
        <v>6.62265268224</v>
      </c>
      <c r="D6463" s="48" t="n">
        <f aca="false">$C$6444*Assumptions!$E$20*D6451*D6462</f>
        <v>12.3261455324762</v>
      </c>
      <c r="E6463" s="48" t="n">
        <f aca="false">$C$6444*Assumptions!$E$20*E6451*E6462</f>
        <v>11.470770926522</v>
      </c>
      <c r="F6463" s="48" t="n">
        <f aca="false">$C$6444*Assumptions!$E$20*F6451*F6462</f>
        <v>10.6747551618685</v>
      </c>
      <c r="G6463" s="48" t="n">
        <f aca="false">$C$6444*Assumptions!$E$20*G6451*G6462</f>
        <v>14.61066768</v>
      </c>
      <c r="H6463" s="48" t="n">
        <f aca="false">$C$6444*Assumptions!$E$20*H6451*H6462</f>
        <v>17.9489075261109</v>
      </c>
      <c r="I6463" s="48" t="n">
        <f aca="false">$C$6444*Assumptions!$E$20*I6451*I6462</f>
        <v>32.115982635533</v>
      </c>
      <c r="J6463" s="48" t="n">
        <f aca="false">$C$6444*Assumptions!$E$20*J6451*J6462</f>
        <v>44.2303691031417</v>
      </c>
      <c r="K6463" s="48" t="n">
        <f aca="false">$C$6444*Assumptions!$E$20*K6451*K6462</f>
        <v>41.160996407263</v>
      </c>
      <c r="L6463" s="48" t="n">
        <f aca="false">$C$6444*Assumptions!$E$20*L6451*L6462</f>
        <v>38.304623262083</v>
      </c>
      <c r="M6463" s="48" t="n">
        <f aca="false">$C$6444*Assumptions!$E$20*M6451*M6462</f>
        <v>35.6464685337698</v>
      </c>
      <c r="N6463" s="48" t="n">
        <f aca="false">$C$6444*Assumptions!$E$20*N6451*N6462</f>
        <v>33.1727768273562</v>
      </c>
      <c r="P6463" s="49" t="n">
        <f aca="false">SUM(C6463:F6463)</f>
        <v>41.0943243031066</v>
      </c>
      <c r="Q6463" s="49" t="n">
        <f aca="false">SUM(G6463:J6463)</f>
        <v>108.905926944786</v>
      </c>
      <c r="R6463" s="49" t="n">
        <f aca="false">SUM(K6463:N6463)</f>
        <v>148.284865030472</v>
      </c>
      <c r="S6463" s="50" t="n">
        <f aca="false">SUM(P6463:R6463)</f>
        <v>298.285116278364</v>
      </c>
    </row>
    <row r="6464" customFormat="false" ht="15" hidden="false" customHeight="false" outlineLevel="0" collapsed="false">
      <c r="A6464" s="4" t="s">
        <v>492</v>
      </c>
      <c r="B6464" s="36" t="s">
        <v>321</v>
      </c>
      <c r="C6464" s="48" t="n">
        <f aca="false">Assumptions!$D$111</f>
        <v>0</v>
      </c>
      <c r="D6464" s="48" t="n">
        <f aca="false">Assumptions!$E$111</f>
        <v>0</v>
      </c>
      <c r="E6464" s="48" t="n">
        <f aca="false">Assumptions!$F$111</f>
        <v>0</v>
      </c>
      <c r="F6464" s="48" t="n">
        <f aca="false">Assumptions!$G$111</f>
        <v>0</v>
      </c>
      <c r="G6464" s="48" t="n">
        <f aca="false">Assumptions!$H$111</f>
        <v>0</v>
      </c>
      <c r="H6464" s="48" t="n">
        <f aca="false">Assumptions!$I$111</f>
        <v>0</v>
      </c>
      <c r="I6464" s="48" t="n">
        <f aca="false">Assumptions!$J$111</f>
        <v>0</v>
      </c>
      <c r="J6464" s="48" t="n">
        <f aca="false">Assumptions!$K$111</f>
        <v>0</v>
      </c>
      <c r="K6464" s="48" t="n">
        <f aca="false">Assumptions!$L$111</f>
        <v>0</v>
      </c>
      <c r="L6464" s="48" t="n">
        <f aca="false">Assumptions!$M$111</f>
        <v>0</v>
      </c>
      <c r="M6464" s="48" t="n">
        <f aca="false">Assumptions!$N$111</f>
        <v>0</v>
      </c>
      <c r="N6464" s="48" t="n">
        <f aca="false">Assumptions!$O$111</f>
        <v>0</v>
      </c>
      <c r="P6464" s="49" t="n">
        <f aca="false">F6464</f>
        <v>0</v>
      </c>
      <c r="Q6464" s="49" t="n">
        <f aca="false">J6464</f>
        <v>0</v>
      </c>
      <c r="R6464" s="49" t="n">
        <f aca="false">N6464</f>
        <v>0</v>
      </c>
      <c r="S6464" s="50" t="n">
        <f aca="false">R6464</f>
        <v>0</v>
      </c>
    </row>
    <row r="6465" customFormat="false" ht="15" hidden="false" customHeight="false" outlineLevel="0" collapsed="false">
      <c r="A6465" s="4" t="s">
        <v>493</v>
      </c>
      <c r="B6465" s="36" t="s">
        <v>321</v>
      </c>
      <c r="C6465" s="48" t="n">
        <f aca="false">0</f>
        <v>0</v>
      </c>
      <c r="D6465" s="48" t="n">
        <f aca="false">0.5*C6464</f>
        <v>0</v>
      </c>
      <c r="E6465" s="48" t="n">
        <f aca="false">C6464+0.5*(D6464-C6464)</f>
        <v>0</v>
      </c>
      <c r="F6465" s="48" t="n">
        <f aca="false">D6464+0.5*(E6464-D6464)</f>
        <v>0</v>
      </c>
      <c r="G6465" s="48" t="n">
        <f aca="false">E6464+0.5*(F6464-E6464)</f>
        <v>0</v>
      </c>
      <c r="H6465" s="48" t="n">
        <f aca="false">F6464+0.5*(G6464-F6464)</f>
        <v>0</v>
      </c>
      <c r="I6465" s="48" t="n">
        <f aca="false">G6464+0.5*(H6464-G6464)</f>
        <v>0</v>
      </c>
      <c r="J6465" s="48" t="n">
        <f aca="false">H6464+0.5*(I6464-H6464)</f>
        <v>0</v>
      </c>
      <c r="K6465" s="48" t="n">
        <f aca="false">I6464+0.5*(J6464-I6464)</f>
        <v>0</v>
      </c>
      <c r="L6465" s="48" t="n">
        <f aca="false">J6464+0.5*(K6464-J6464)</f>
        <v>0</v>
      </c>
      <c r="M6465" s="48" t="n">
        <f aca="false">K6464+0.5*(L6464-K6464)</f>
        <v>0</v>
      </c>
      <c r="N6465" s="48" t="n">
        <f aca="false">L6464+0.5*(M6464-L6464)</f>
        <v>0</v>
      </c>
      <c r="P6465" s="49" t="n">
        <f aca="false">F6465</f>
        <v>0</v>
      </c>
      <c r="Q6465" s="49" t="n">
        <f aca="false">J6465</f>
        <v>0</v>
      </c>
      <c r="R6465" s="49" t="n">
        <f aca="false">N6465</f>
        <v>0</v>
      </c>
      <c r="S6465" s="50" t="n">
        <f aca="false">R6465</f>
        <v>0</v>
      </c>
    </row>
    <row r="6466" customFormat="false" ht="15" hidden="false" customHeight="false" outlineLevel="0" collapsed="false">
      <c r="A6466" s="4" t="s">
        <v>494</v>
      </c>
      <c r="B6466" s="36" t="s">
        <v>485</v>
      </c>
      <c r="C6466" s="39" t="n">
        <f aca="false">MIN(C6465*Assumptions!$E$38,C6461*(1-$C$6444))</f>
        <v>0</v>
      </c>
      <c r="D6466" s="39" t="n">
        <f aca="false">MIN(D6465*Assumptions!$E$38,D6461*(1-$C$6444))</f>
        <v>0</v>
      </c>
      <c r="E6466" s="39" t="n">
        <f aca="false">MIN(E6465*Assumptions!$E$38,E6461*(1-$C$6444))</f>
        <v>0</v>
      </c>
      <c r="F6466" s="39" t="n">
        <f aca="false">MIN(F6465*Assumptions!$E$38,F6461*(1-$C$6444))</f>
        <v>0</v>
      </c>
      <c r="G6466" s="39" t="n">
        <f aca="false">MIN(G6465*Assumptions!$E$38,G6461*(1-$C$6444))</f>
        <v>0</v>
      </c>
      <c r="H6466" s="39" t="n">
        <f aca="false">MIN(H6465*Assumptions!$E$38,H6461*(1-$C$6444))</f>
        <v>0</v>
      </c>
      <c r="I6466" s="39" t="n">
        <f aca="false">MIN(I6465*Assumptions!$E$38,I6461*(1-$C$6444))</f>
        <v>0</v>
      </c>
      <c r="J6466" s="39" t="n">
        <f aca="false">MIN(J6465*Assumptions!$E$38,J6461*(1-$C$6444))</f>
        <v>0</v>
      </c>
      <c r="K6466" s="39" t="n">
        <f aca="false">MIN(K6465*Assumptions!$E$38,K6461*(1-$C$6444))</f>
        <v>0</v>
      </c>
      <c r="L6466" s="39" t="n">
        <f aca="false">MIN(L6465*Assumptions!$E$38,L6461*(1-$C$6444))</f>
        <v>0</v>
      </c>
      <c r="M6466" s="39" t="n">
        <f aca="false">MIN(M6465*Assumptions!$E$38,M6461*(1-$C$6444))</f>
        <v>0</v>
      </c>
      <c r="N6466" s="39" t="n">
        <f aca="false">MIN(N6465*Assumptions!$E$38,N6461*(1-$C$6444))</f>
        <v>0</v>
      </c>
      <c r="P6466" s="40" t="n">
        <f aca="false">SUM(C6466:F6466)</f>
        <v>0</v>
      </c>
      <c r="Q6466" s="40" t="n">
        <f aca="false">SUM(G6466:J6466)</f>
        <v>0</v>
      </c>
      <c r="R6466" s="40" t="n">
        <f aca="false">SUM(K6466:N6466)</f>
        <v>0</v>
      </c>
      <c r="S6466" s="41" t="n">
        <f aca="false">SUM(P6466:R6466)</f>
        <v>0</v>
      </c>
    </row>
    <row r="6467" customFormat="false" ht="15" hidden="false" customHeight="false" outlineLevel="0" collapsed="false">
      <c r="A6467" s="4" t="s">
        <v>495</v>
      </c>
      <c r="B6467" s="36" t="s">
        <v>491</v>
      </c>
      <c r="C6467" s="48" t="n">
        <f aca="false">C6466*Assumptions!$E$20*Assumptions!$E$39*IF(C6461&gt;0,C6462/C6461,0)*C6451</f>
        <v>0</v>
      </c>
      <c r="D6467" s="48" t="n">
        <f aca="false">D6466*Assumptions!$E$20*Assumptions!$E$39*IF(D6461&gt;0,D6462/D6461,0)*D6451</f>
        <v>0</v>
      </c>
      <c r="E6467" s="48" t="n">
        <f aca="false">E6466*Assumptions!$E$20*Assumptions!$E$39*IF(E6461&gt;0,E6462/E6461,0)*E6451</f>
        <v>0</v>
      </c>
      <c r="F6467" s="48" t="n">
        <f aca="false">F6466*Assumptions!$E$20*Assumptions!$E$39*IF(F6461&gt;0,F6462/F6461,0)*F6451</f>
        <v>0</v>
      </c>
      <c r="G6467" s="48" t="n">
        <f aca="false">G6466*Assumptions!$E$20*Assumptions!$E$39*IF(G6461&gt;0,G6462/G6461,0)*G6451</f>
        <v>0</v>
      </c>
      <c r="H6467" s="48" t="n">
        <f aca="false">H6466*Assumptions!$E$20*Assumptions!$E$39*IF(H6461&gt;0,H6462/H6461,0)*H6451</f>
        <v>0</v>
      </c>
      <c r="I6467" s="48" t="n">
        <f aca="false">I6466*Assumptions!$E$20*Assumptions!$E$39*IF(I6461&gt;0,I6462/I6461,0)*I6451</f>
        <v>0</v>
      </c>
      <c r="J6467" s="48" t="n">
        <f aca="false">J6466*Assumptions!$E$20*Assumptions!$E$39*IF(J6461&gt;0,J6462/J6461,0)*J6451</f>
        <v>0</v>
      </c>
      <c r="K6467" s="48" t="n">
        <f aca="false">K6466*Assumptions!$E$20*Assumptions!$E$39*IF(K6461&gt;0,K6462/K6461,0)*K6451</f>
        <v>0</v>
      </c>
      <c r="L6467" s="48" t="n">
        <f aca="false">L6466*Assumptions!$E$20*Assumptions!$E$39*IF(L6461&gt;0,L6462/L6461,0)*L6451</f>
        <v>0</v>
      </c>
      <c r="M6467" s="48" t="n">
        <f aca="false">M6466*Assumptions!$E$20*Assumptions!$E$39*IF(M6461&gt;0,M6462/M6461,0)*M6451</f>
        <v>0</v>
      </c>
      <c r="N6467" s="48" t="n">
        <f aca="false">N6466*Assumptions!$E$20*Assumptions!$E$39*IF(N6461&gt;0,N6462/N6461,0)*N6451</f>
        <v>0</v>
      </c>
      <c r="P6467" s="49" t="n">
        <f aca="false">SUM(C6467:F6467)</f>
        <v>0</v>
      </c>
      <c r="Q6467" s="49" t="n">
        <f aca="false">SUM(G6467:J6467)</f>
        <v>0</v>
      </c>
      <c r="R6467" s="49" t="n">
        <f aca="false">SUM(K6467:N6467)</f>
        <v>0</v>
      </c>
      <c r="S6467" s="50" t="n">
        <f aca="false">SUM(P6467:R6467)</f>
        <v>0</v>
      </c>
    </row>
    <row r="6468" customFormat="false" ht="15" hidden="false" customHeight="false" outlineLevel="0" collapsed="false">
      <c r="A6468" s="4" t="s">
        <v>496</v>
      </c>
      <c r="B6468" s="36" t="s">
        <v>497</v>
      </c>
      <c r="C6468" s="48" t="n">
        <f aca="false">IF(AND(C6461&gt;0,$C$6448&gt;0),C6461*Assumptions!$E$24*(1-EXP(-$C$6448/(Assumptions!$E$23*C6461*Assumptions!$E$24))),0)</f>
        <v>0</v>
      </c>
      <c r="D6468" s="48" t="n">
        <f aca="false">IF(AND(D6461&gt;0,$C$6448&gt;0),D6461*Assumptions!$E$24*(1-EXP(-$C$6448/(Assumptions!$E$23*D6461*Assumptions!$E$24))),0)</f>
        <v>0</v>
      </c>
      <c r="E6468" s="48" t="n">
        <f aca="false">IF(AND(E6461&gt;0,$C$6448&gt;0),E6461*Assumptions!$E$24*(1-EXP(-$C$6448/(Assumptions!$E$23*E6461*Assumptions!$E$24))),0)</f>
        <v>0</v>
      </c>
      <c r="F6468" s="48" t="n">
        <f aca="false">IF(AND(F6461&gt;0,$C$6448&gt;0),F6461*Assumptions!$E$24*(1-EXP(-$C$6448/(Assumptions!$E$23*F6461*Assumptions!$E$24))),0)</f>
        <v>0</v>
      </c>
      <c r="G6468" s="48" t="n">
        <f aca="false">IF(AND(G6461&gt;0,$C$6448&gt;0),G6461*Assumptions!$E$24*(1-EXP(-$C$6448/(Assumptions!$E$23*G6461*Assumptions!$E$24))),0)</f>
        <v>0</v>
      </c>
      <c r="H6468" s="48" t="n">
        <f aca="false">IF(AND(H6461&gt;0,$C$6448&gt;0),H6461*Assumptions!$E$24*(1-EXP(-$C$6448/(Assumptions!$E$23*H6461*Assumptions!$E$24))),0)</f>
        <v>0</v>
      </c>
      <c r="I6468" s="48" t="n">
        <f aca="false">IF(AND(I6461&gt;0,$C$6448&gt;0),I6461*Assumptions!$E$24*(1-EXP(-$C$6448/(Assumptions!$E$23*I6461*Assumptions!$E$24))),0)</f>
        <v>0</v>
      </c>
      <c r="J6468" s="48" t="n">
        <f aca="false">IF(AND(J6461&gt;0,$C$6448&gt;0),J6461*Assumptions!$E$24*(1-EXP(-$C$6448/(Assumptions!$E$23*J6461*Assumptions!$E$24))),0)</f>
        <v>0</v>
      </c>
      <c r="K6468" s="48" t="n">
        <f aca="false">IF(AND(K6461&gt;0,$C$6448&gt;0),K6461*Assumptions!$E$24*(1-EXP(-$C$6448/(Assumptions!$E$23*K6461*Assumptions!$E$24))),0)</f>
        <v>0</v>
      </c>
      <c r="L6468" s="48" t="n">
        <f aca="false">IF(AND(L6461&gt;0,$C$6448&gt;0),L6461*Assumptions!$E$24*(1-EXP(-$C$6448/(Assumptions!$E$23*L6461*Assumptions!$E$24))),0)</f>
        <v>0</v>
      </c>
      <c r="M6468" s="48" t="n">
        <f aca="false">IF(AND(M6461&gt;0,$C$6448&gt;0),M6461*Assumptions!$E$24*(1-EXP(-$C$6448/(Assumptions!$E$23*M6461*Assumptions!$E$24))),0)</f>
        <v>0</v>
      </c>
      <c r="N6468" s="48" t="n">
        <f aca="false">IF(AND(N6461&gt;0,$C$6448&gt;0),N6461*Assumptions!$E$24*(1-EXP(-$C$6448/(Assumptions!$E$23*N6461*Assumptions!$E$24))),0)</f>
        <v>0</v>
      </c>
      <c r="P6468" s="49" t="n">
        <f aca="false">SUM(C6468:F6468)</f>
        <v>0</v>
      </c>
      <c r="Q6468" s="49" t="n">
        <f aca="false">SUM(G6468:J6468)</f>
        <v>0</v>
      </c>
      <c r="R6468" s="49" t="n">
        <f aca="false">SUM(K6468:N6468)</f>
        <v>0</v>
      </c>
      <c r="S6468" s="50" t="n">
        <f aca="false">SUM(P6468:R6468)</f>
        <v>0</v>
      </c>
    </row>
    <row r="6469" customFormat="false" ht="15" hidden="false" customHeight="false" outlineLevel="0" collapsed="false">
      <c r="A6469" s="4" t="s">
        <v>498</v>
      </c>
      <c r="B6469" s="36" t="s">
        <v>497</v>
      </c>
      <c r="C6469" s="48" t="n">
        <f aca="false">(C6461*Assumptions!$E$22*MIN(1,Assumptions!$D$103/Assumptions!$E$78)+C6468)*C6451</f>
        <v>5.5188772352</v>
      </c>
      <c r="D6469" s="48" t="n">
        <f aca="false">(D6461*Assumptions!$E$22*MIN(1,Assumptions!$D$103/Assumptions!$E$78)+D6468)*D6451</f>
        <v>11.0377544704</v>
      </c>
      <c r="E6469" s="48" t="n">
        <f aca="false">(E6461*Assumptions!$E$22*MIN(1,Assumptions!$D$103/Assumptions!$E$78)+E6468)*E6451</f>
        <v>11.0377544704</v>
      </c>
      <c r="F6469" s="48" t="n">
        <f aca="false">(F6461*Assumptions!$E$22*MIN(1,Assumptions!$D$103/Assumptions!$E$78)+F6468)*F6451</f>
        <v>11.0377544704</v>
      </c>
      <c r="G6469" s="48" t="n">
        <f aca="false">(G6461*Assumptions!$E$22*MIN(1,Assumptions!$D$103/Assumptions!$E$78)+G6468)*G6451</f>
        <v>14.9349950176</v>
      </c>
      <c r="H6469" s="48" t="n">
        <f aca="false">(H6461*Assumptions!$E$22*MIN(1,Assumptions!$D$103/Assumptions!$E$78)+H6468)*H6451</f>
        <v>18.8322355648</v>
      </c>
      <c r="I6469" s="48" t="n">
        <f aca="false">(I6461*Assumptions!$E$22*MIN(1,Assumptions!$D$103/Assumptions!$E$78)+I6468)*I6451</f>
        <v>31.6761039616</v>
      </c>
      <c r="J6469" s="48" t="n">
        <f aca="false">(J6461*Assumptions!$E$22*MIN(1,Assumptions!$D$103/Assumptions!$E$78)+J6468)*J6451</f>
        <v>44.5199723584</v>
      </c>
      <c r="K6469" s="48" t="n">
        <f aca="false">(K6461*Assumptions!$E$22*MIN(1,Assumptions!$D$103/Assumptions!$E$78)+K6468)*K6451</f>
        <v>44.5199723584</v>
      </c>
      <c r="L6469" s="48" t="n">
        <f aca="false">(L6461*Assumptions!$E$22*MIN(1,Assumptions!$D$103/Assumptions!$E$78)+L6468)*L6451</f>
        <v>44.5199723584</v>
      </c>
      <c r="M6469" s="48" t="n">
        <f aca="false">(M6461*Assumptions!$E$22*MIN(1,Assumptions!$D$103/Assumptions!$E$78)+M6468)*M6451</f>
        <v>44.5199723584</v>
      </c>
      <c r="N6469" s="48" t="n">
        <f aca="false">(N6461*Assumptions!$E$22*MIN(1,Assumptions!$D$103/Assumptions!$E$78)+N6468)*N6451</f>
        <v>44.5199723584</v>
      </c>
      <c r="P6469" s="49" t="n">
        <f aca="false">SUM(C6469:F6469)</f>
        <v>38.6321406464</v>
      </c>
      <c r="Q6469" s="49" t="n">
        <f aca="false">SUM(G6469:J6469)</f>
        <v>109.9633069024</v>
      </c>
      <c r="R6469" s="49" t="n">
        <f aca="false">SUM(K6469:N6469)</f>
        <v>178.0798894336</v>
      </c>
      <c r="S6469" s="50" t="n">
        <f aca="false">SUM(P6469:R6469)</f>
        <v>326.6753369824</v>
      </c>
    </row>
    <row r="6470" customFormat="false" ht="15" hidden="false" customHeight="false" outlineLevel="0" collapsed="false">
      <c r="A6470" s="4" t="s">
        <v>499</v>
      </c>
      <c r="B6470" s="36" t="s">
        <v>500</v>
      </c>
      <c r="C6470" s="48" t="n">
        <f aca="false">C6451*MIN(Assumptions!$E$27,Assumptions!$E$25+Assumptions!$E$26*(C6450-1))*Assumptions!$D$107</f>
        <v>2</v>
      </c>
      <c r="D6470" s="48" t="n">
        <f aca="false">D6451*MIN(Assumptions!$E$27,Assumptions!$E$25+Assumptions!$E$26*(D6450-1))*Assumptions!$D$107</f>
        <v>3</v>
      </c>
      <c r="E6470" s="48" t="n">
        <f aca="false">E6451*MIN(Assumptions!$E$27,Assumptions!$E$25+Assumptions!$E$26*(E6450-1))*Assumptions!$D$107</f>
        <v>4</v>
      </c>
      <c r="F6470" s="48" t="n">
        <f aca="false">F6451*MIN(Assumptions!$E$27,Assumptions!$E$25+Assumptions!$E$26*(F6450-1))*Assumptions!$D$107</f>
        <v>5</v>
      </c>
      <c r="G6470" s="48" t="n">
        <f aca="false">G6451*MIN(Assumptions!$E$27,Assumptions!$E$25+Assumptions!$E$26*(G6450-1))*Assumptions!$D$107</f>
        <v>6</v>
      </c>
      <c r="H6470" s="48" t="n">
        <f aca="false">H6451*MIN(Assumptions!$E$27,Assumptions!$E$25+Assumptions!$E$26*(H6450-1))*Assumptions!$D$107</f>
        <v>7</v>
      </c>
      <c r="I6470" s="48" t="n">
        <f aca="false">I6451*MIN(Assumptions!$E$27,Assumptions!$E$25+Assumptions!$E$26*(I6450-1))*Assumptions!$D$107</f>
        <v>8</v>
      </c>
      <c r="J6470" s="48" t="n">
        <f aca="false">J6451*MIN(Assumptions!$E$27,Assumptions!$E$25+Assumptions!$E$26*(J6450-1))*Assumptions!$D$107</f>
        <v>9</v>
      </c>
      <c r="K6470" s="48" t="n">
        <f aca="false">K6451*MIN(Assumptions!$E$27,Assumptions!$E$25+Assumptions!$E$26*(K6450-1))*Assumptions!$D$107</f>
        <v>10</v>
      </c>
      <c r="L6470" s="48" t="n">
        <f aca="false">L6451*MIN(Assumptions!$E$27,Assumptions!$E$25+Assumptions!$E$26*(L6450-1))*Assumptions!$D$107</f>
        <v>10</v>
      </c>
      <c r="M6470" s="48" t="n">
        <f aca="false">M6451*MIN(Assumptions!$E$27,Assumptions!$E$25+Assumptions!$E$26*(M6450-1))*Assumptions!$D$107</f>
        <v>10</v>
      </c>
      <c r="N6470" s="48" t="n">
        <f aca="false">N6451*MIN(Assumptions!$E$27,Assumptions!$E$25+Assumptions!$E$26*(N6450-1))*Assumptions!$D$107</f>
        <v>10</v>
      </c>
      <c r="P6470" s="49" t="n">
        <f aca="false">F6470</f>
        <v>5</v>
      </c>
      <c r="Q6470" s="49" t="n">
        <f aca="false">J6470</f>
        <v>9</v>
      </c>
      <c r="R6470" s="49" t="n">
        <f aca="false">N6470</f>
        <v>10</v>
      </c>
      <c r="S6470" s="50" t="n">
        <f aca="false">R6470</f>
        <v>10</v>
      </c>
    </row>
    <row r="6471" customFormat="false" ht="15" hidden="false" customHeight="false" outlineLevel="0" collapsed="false">
      <c r="A6471" s="4" t="s">
        <v>501</v>
      </c>
      <c r="B6471" s="36" t="s">
        <v>502</v>
      </c>
      <c r="C6471" s="48" t="n">
        <f aca="false">C6470*Assumptions!$E$28</f>
        <v>6</v>
      </c>
      <c r="D6471" s="48" t="n">
        <f aca="false">D6470*Assumptions!$E$28</f>
        <v>9</v>
      </c>
      <c r="E6471" s="48" t="n">
        <f aca="false">E6470*Assumptions!$E$28</f>
        <v>12</v>
      </c>
      <c r="F6471" s="48" t="n">
        <f aca="false">F6470*Assumptions!$E$28</f>
        <v>15</v>
      </c>
      <c r="G6471" s="48" t="n">
        <f aca="false">G6470*Assumptions!$E$28</f>
        <v>18</v>
      </c>
      <c r="H6471" s="48" t="n">
        <f aca="false">H6470*Assumptions!$E$28</f>
        <v>21</v>
      </c>
      <c r="I6471" s="48" t="n">
        <f aca="false">I6470*Assumptions!$E$28</f>
        <v>24</v>
      </c>
      <c r="J6471" s="48" t="n">
        <f aca="false">J6470*Assumptions!$E$28</f>
        <v>27</v>
      </c>
      <c r="K6471" s="48" t="n">
        <f aca="false">K6470*Assumptions!$E$28</f>
        <v>30</v>
      </c>
      <c r="L6471" s="48" t="n">
        <f aca="false">L6470*Assumptions!$E$28</f>
        <v>30</v>
      </c>
      <c r="M6471" s="48" t="n">
        <f aca="false">M6470*Assumptions!$E$28</f>
        <v>30</v>
      </c>
      <c r="N6471" s="48" t="n">
        <f aca="false">N6470*Assumptions!$E$28</f>
        <v>30</v>
      </c>
      <c r="P6471" s="49" t="n">
        <f aca="false">SUM(C6471:F6471)</f>
        <v>42</v>
      </c>
      <c r="Q6471" s="49" t="n">
        <f aca="false">SUM(G6471:J6471)</f>
        <v>90</v>
      </c>
      <c r="R6471" s="49" t="n">
        <f aca="false">SUM(K6471:N6471)</f>
        <v>120</v>
      </c>
      <c r="S6471" s="50" t="n">
        <f aca="false">SUM(P6471:R6471)</f>
        <v>252</v>
      </c>
    </row>
    <row r="6472" customFormat="false" ht="15" hidden="false" customHeight="false" outlineLevel="0" collapsed="false">
      <c r="A6472" s="4" t="s">
        <v>503</v>
      </c>
      <c r="B6472" s="36" t="s">
        <v>504</v>
      </c>
      <c r="C6472" s="48" t="n">
        <f aca="false">(C6463+C6467)*Assumptions!$E$29</f>
        <v>2.649061072896</v>
      </c>
      <c r="D6472" s="48" t="n">
        <f aca="false">(D6463+D6467)*Assumptions!$E$29</f>
        <v>4.93045821299048</v>
      </c>
      <c r="E6472" s="48" t="n">
        <f aca="false">(E6463+E6467)*Assumptions!$E$29</f>
        <v>4.58830837060879</v>
      </c>
      <c r="F6472" s="48" t="n">
        <f aca="false">(F6463+F6467)*Assumptions!$E$29</f>
        <v>4.26990206474738</v>
      </c>
      <c r="G6472" s="48" t="n">
        <f aca="false">(G6463+G6467)*Assumptions!$E$29</f>
        <v>5.844267072</v>
      </c>
      <c r="H6472" s="48" t="n">
        <f aca="false">(H6463+H6467)*Assumptions!$E$29</f>
        <v>7.17956301044434</v>
      </c>
      <c r="I6472" s="48" t="n">
        <f aca="false">(I6463+I6467)*Assumptions!$E$29</f>
        <v>12.8463930542132</v>
      </c>
      <c r="J6472" s="48" t="n">
        <f aca="false">(J6463+J6467)*Assumptions!$E$29</f>
        <v>17.6921476412567</v>
      </c>
      <c r="K6472" s="48" t="n">
        <f aca="false">(K6463+K6467)*Assumptions!$E$29</f>
        <v>16.4643985629052</v>
      </c>
      <c r="L6472" s="48" t="n">
        <f aca="false">(L6463+L6467)*Assumptions!$E$29</f>
        <v>15.3218493048332</v>
      </c>
      <c r="M6472" s="48" t="n">
        <f aca="false">(M6463+M6467)*Assumptions!$E$29</f>
        <v>14.2585874135079</v>
      </c>
      <c r="N6472" s="48" t="n">
        <f aca="false">(N6463+N6467)*Assumptions!$E$29</f>
        <v>13.2691107309425</v>
      </c>
      <c r="P6472" s="49" t="n">
        <f aca="false">SUM(C6472:F6472)</f>
        <v>16.4377297212427</v>
      </c>
      <c r="Q6472" s="49" t="n">
        <f aca="false">SUM(G6472:J6472)</f>
        <v>43.5623707779142</v>
      </c>
      <c r="R6472" s="49" t="n">
        <f aca="false">SUM(K6472:N6472)</f>
        <v>59.3139460121888</v>
      </c>
      <c r="S6472" s="50" t="n">
        <f aca="false">SUM(P6472:R6472)</f>
        <v>119.314046511346</v>
      </c>
    </row>
    <row r="6473" customFormat="false" ht="15" hidden="false" customHeight="false" outlineLevel="0" collapsed="false">
      <c r="A6473" s="4" t="s">
        <v>505</v>
      </c>
      <c r="B6473" s="36" t="s">
        <v>504</v>
      </c>
      <c r="C6473" s="48" t="n">
        <f aca="false">C6469*Assumptions!$E$31</f>
        <v>0.883020357632</v>
      </c>
      <c r="D6473" s="48" t="n">
        <f aca="false">D6469*Assumptions!$E$31</f>
        <v>1.766040715264</v>
      </c>
      <c r="E6473" s="48" t="n">
        <f aca="false">E6469*Assumptions!$E$31</f>
        <v>1.766040715264</v>
      </c>
      <c r="F6473" s="48" t="n">
        <f aca="false">F6469*Assumptions!$E$31</f>
        <v>1.766040715264</v>
      </c>
      <c r="G6473" s="48" t="n">
        <f aca="false">G6469*Assumptions!$E$31</f>
        <v>2.389599202816</v>
      </c>
      <c r="H6473" s="48" t="n">
        <f aca="false">H6469*Assumptions!$E$31</f>
        <v>3.013157690368</v>
      </c>
      <c r="I6473" s="48" t="n">
        <f aca="false">I6469*Assumptions!$E$31</f>
        <v>5.068176633856</v>
      </c>
      <c r="J6473" s="48" t="n">
        <f aca="false">J6469*Assumptions!$E$31</f>
        <v>7.123195577344</v>
      </c>
      <c r="K6473" s="48" t="n">
        <f aca="false">K6469*Assumptions!$E$31</f>
        <v>7.123195577344</v>
      </c>
      <c r="L6473" s="48" t="n">
        <f aca="false">L6469*Assumptions!$E$31</f>
        <v>7.123195577344</v>
      </c>
      <c r="M6473" s="48" t="n">
        <f aca="false">M6469*Assumptions!$E$31</f>
        <v>7.123195577344</v>
      </c>
      <c r="N6473" s="48" t="n">
        <f aca="false">N6469*Assumptions!$E$31</f>
        <v>7.123195577344</v>
      </c>
      <c r="P6473" s="49" t="n">
        <f aca="false">SUM(C6473:F6473)</f>
        <v>6.181142503424</v>
      </c>
      <c r="Q6473" s="49" t="n">
        <f aca="false">SUM(G6473:J6473)</f>
        <v>17.594129104384</v>
      </c>
      <c r="R6473" s="49" t="n">
        <f aca="false">SUM(K6473:N6473)</f>
        <v>28.492782309376</v>
      </c>
      <c r="S6473" s="50" t="n">
        <f aca="false">SUM(P6473:R6473)</f>
        <v>52.268053917184</v>
      </c>
    </row>
    <row r="6474" customFormat="false" ht="15" hidden="false" customHeight="false" outlineLevel="0" collapsed="false">
      <c r="A6474" s="4" t="s">
        <v>506</v>
      </c>
      <c r="B6474" s="36" t="s">
        <v>504</v>
      </c>
      <c r="C6474" s="48" t="n">
        <f aca="false">C6471*Assumptions!$E$30</f>
        <v>3</v>
      </c>
      <c r="D6474" s="48" t="n">
        <f aca="false">D6471*Assumptions!$E$30</f>
        <v>4.5</v>
      </c>
      <c r="E6474" s="48" t="n">
        <f aca="false">E6471*Assumptions!$E$30</f>
        <v>6</v>
      </c>
      <c r="F6474" s="48" t="n">
        <f aca="false">F6471*Assumptions!$E$30</f>
        <v>7.5</v>
      </c>
      <c r="G6474" s="48" t="n">
        <f aca="false">G6471*Assumptions!$E$30</f>
        <v>9</v>
      </c>
      <c r="H6474" s="48" t="n">
        <f aca="false">H6471*Assumptions!$E$30</f>
        <v>10.5</v>
      </c>
      <c r="I6474" s="48" t="n">
        <f aca="false">I6471*Assumptions!$E$30</f>
        <v>12</v>
      </c>
      <c r="J6474" s="48" t="n">
        <f aca="false">J6471*Assumptions!$E$30</f>
        <v>13.5</v>
      </c>
      <c r="K6474" s="48" t="n">
        <f aca="false">K6471*Assumptions!$E$30</f>
        <v>15</v>
      </c>
      <c r="L6474" s="48" t="n">
        <f aca="false">L6471*Assumptions!$E$30</f>
        <v>15</v>
      </c>
      <c r="M6474" s="48" t="n">
        <f aca="false">M6471*Assumptions!$E$30</f>
        <v>15</v>
      </c>
      <c r="N6474" s="48" t="n">
        <f aca="false">N6471*Assumptions!$E$30</f>
        <v>15</v>
      </c>
      <c r="P6474" s="49" t="n">
        <f aca="false">SUM(C6474:F6474)</f>
        <v>21</v>
      </c>
      <c r="Q6474" s="49" t="n">
        <f aca="false">SUM(G6474:J6474)</f>
        <v>45</v>
      </c>
      <c r="R6474" s="49" t="n">
        <f aca="false">SUM(K6474:N6474)</f>
        <v>60</v>
      </c>
      <c r="S6474" s="50" t="n">
        <f aca="false">SUM(P6474:R6474)</f>
        <v>126</v>
      </c>
    </row>
    <row r="6475" customFormat="false" ht="15" hidden="false" customHeight="false" outlineLevel="0" collapsed="false">
      <c r="A6475" s="9" t="s">
        <v>507</v>
      </c>
      <c r="B6475" s="36" t="s">
        <v>504</v>
      </c>
      <c r="C6475" s="49" t="n">
        <f aca="false">C6472+C6473+C6474</f>
        <v>6.532081430528</v>
      </c>
      <c r="D6475" s="49" t="n">
        <f aca="false">D6472+D6473+D6474</f>
        <v>11.1964989282545</v>
      </c>
      <c r="E6475" s="49" t="n">
        <f aca="false">E6472+E6473+E6474</f>
        <v>12.3543490858728</v>
      </c>
      <c r="F6475" s="49" t="n">
        <f aca="false">F6472+F6473+F6474</f>
        <v>13.5359427800114</v>
      </c>
      <c r="G6475" s="49" t="n">
        <f aca="false">G6472+G6473+G6474</f>
        <v>17.233866274816</v>
      </c>
      <c r="H6475" s="49" t="n">
        <f aca="false">H6472+H6473+H6474</f>
        <v>20.6927207008123</v>
      </c>
      <c r="I6475" s="49" t="n">
        <f aca="false">I6472+I6473+I6474</f>
        <v>29.9145696880692</v>
      </c>
      <c r="J6475" s="49" t="n">
        <f aca="false">J6472+J6473+J6474</f>
        <v>38.3153432186007</v>
      </c>
      <c r="K6475" s="49" t="n">
        <f aca="false">K6472+K6473+K6474</f>
        <v>38.5875941402492</v>
      </c>
      <c r="L6475" s="49" t="n">
        <f aca="false">L6472+L6473+L6474</f>
        <v>37.4450448821772</v>
      </c>
      <c r="M6475" s="49" t="n">
        <f aca="false">M6472+M6473+M6474</f>
        <v>36.3817829908519</v>
      </c>
      <c r="N6475" s="49" t="n">
        <f aca="false">N6472+N6473+N6474</f>
        <v>35.3923063082865</v>
      </c>
      <c r="P6475" s="49" t="n">
        <f aca="false">SUM(C6475:F6475)</f>
        <v>43.6188722246667</v>
      </c>
      <c r="Q6475" s="49" t="n">
        <f aca="false">SUM(G6475:J6475)</f>
        <v>106.156499882298</v>
      </c>
      <c r="R6475" s="49" t="n">
        <f aca="false">SUM(K6475:N6475)</f>
        <v>147.806728321565</v>
      </c>
      <c r="S6475" s="50" t="n">
        <f aca="false">SUM(P6475:R6475)</f>
        <v>297.58210042853</v>
      </c>
    </row>
    <row r="6476" customFormat="false" ht="15" hidden="false" customHeight="false" outlineLevel="0" collapsed="false">
      <c r="A6476" s="4" t="s">
        <v>508</v>
      </c>
      <c r="B6476" s="36" t="s">
        <v>509</v>
      </c>
      <c r="C6476" s="48" t="n">
        <f aca="false">C6458</f>
        <v>421.51972352</v>
      </c>
      <c r="D6476" s="48" t="n">
        <f aca="false">D6458</f>
        <v>843.03944704</v>
      </c>
      <c r="E6476" s="48" t="n">
        <f aca="false">E6458</f>
        <v>843.03944704</v>
      </c>
      <c r="F6476" s="48" t="n">
        <f aca="false">F6458</f>
        <v>843.03944704</v>
      </c>
      <c r="G6476" s="48" t="n">
        <f aca="false">G6458</f>
        <v>1149.32798176</v>
      </c>
      <c r="H6476" s="48" t="n">
        <f aca="false">H6458</f>
        <v>1455.61651648</v>
      </c>
      <c r="I6476" s="48" t="n">
        <f aca="false">I6458</f>
        <v>2486.00303616</v>
      </c>
      <c r="J6476" s="48" t="n">
        <f aca="false">J6458</f>
        <v>3516.38955584</v>
      </c>
      <c r="K6476" s="48" t="n">
        <f aca="false">K6458</f>
        <v>3516.38955584</v>
      </c>
      <c r="L6476" s="48" t="n">
        <f aca="false">L6458</f>
        <v>3516.38955584</v>
      </c>
      <c r="M6476" s="48" t="n">
        <f aca="false">M6458</f>
        <v>3516.38955584</v>
      </c>
      <c r="N6476" s="48" t="n">
        <f aca="false">N6458</f>
        <v>3516.38955584</v>
      </c>
      <c r="P6476" s="49"/>
      <c r="Q6476" s="49"/>
      <c r="R6476" s="49"/>
      <c r="S6476" s="50"/>
    </row>
    <row r="6477" customFormat="false" ht="15" hidden="false" customHeight="false" outlineLevel="0" collapsed="false">
      <c r="A6477" s="4" t="s">
        <v>510</v>
      </c>
      <c r="B6477" s="36" t="s">
        <v>509</v>
      </c>
      <c r="C6477" s="48" t="n">
        <f aca="false">C6459*Assumptions!$E$18*Assumptions!$E$33</f>
        <v>211.19616</v>
      </c>
      <c r="D6477" s="48" t="n">
        <f aca="false">D6459*Assumptions!$E$18*Assumptions!$E$33</f>
        <v>422.39232</v>
      </c>
      <c r="E6477" s="48" t="n">
        <f aca="false">E6459*Assumptions!$E$18*Assumptions!$E$33</f>
        <v>422.39232</v>
      </c>
      <c r="F6477" s="48" t="n">
        <f aca="false">F6459*Assumptions!$E$18*Assumptions!$E$33</f>
        <v>422.39232</v>
      </c>
      <c r="G6477" s="48" t="n">
        <f aca="false">G6459*Assumptions!$E$18*Assumptions!$E$33</f>
        <v>564.49344</v>
      </c>
      <c r="H6477" s="48" t="n">
        <f aca="false">H6459*Assumptions!$E$18*Assumptions!$E$33</f>
        <v>706.59456</v>
      </c>
      <c r="I6477" s="48" t="n">
        <f aca="false">I6459*Assumptions!$E$18*Assumptions!$E$33</f>
        <v>1135.07072</v>
      </c>
      <c r="J6477" s="48" t="n">
        <f aca="false">J6459*Assumptions!$E$18*Assumptions!$E$33</f>
        <v>1563.54688</v>
      </c>
      <c r="K6477" s="48" t="n">
        <f aca="false">K6459*Assumptions!$E$18*Assumptions!$E$33</f>
        <v>1563.54688</v>
      </c>
      <c r="L6477" s="48" t="n">
        <f aca="false">L6459*Assumptions!$E$18*Assumptions!$E$33</f>
        <v>1563.54688</v>
      </c>
      <c r="M6477" s="48" t="n">
        <f aca="false">M6459*Assumptions!$E$18*Assumptions!$E$33</f>
        <v>1563.54688</v>
      </c>
      <c r="N6477" s="48" t="n">
        <f aca="false">N6459*Assumptions!$E$18*Assumptions!$E$33</f>
        <v>1563.54688</v>
      </c>
      <c r="P6477" s="49"/>
      <c r="Q6477" s="49"/>
      <c r="R6477" s="49"/>
      <c r="S6477" s="50"/>
    </row>
    <row r="6478" customFormat="false" ht="15" hidden="false" customHeight="false" outlineLevel="0" collapsed="false">
      <c r="A6478" s="4" t="s">
        <v>511</v>
      </c>
      <c r="B6478" s="36" t="s">
        <v>509</v>
      </c>
      <c r="C6478" s="48" t="n">
        <f aca="false">C6460*Assumptions!$E$19*Assumptions!$E$34</f>
        <v>34.677888</v>
      </c>
      <c r="D6478" s="48" t="n">
        <f aca="false">D6460*Assumptions!$E$19*Assumptions!$E$34</f>
        <v>69.355776</v>
      </c>
      <c r="E6478" s="48" t="n">
        <f aca="false">E6460*Assumptions!$E$19*Assumptions!$E$34</f>
        <v>69.355776</v>
      </c>
      <c r="F6478" s="48" t="n">
        <f aca="false">F6460*Assumptions!$E$19*Assumptions!$E$34</f>
        <v>69.355776</v>
      </c>
      <c r="G6478" s="48" t="n">
        <f aca="false">G6460*Assumptions!$E$19*Assumptions!$E$34</f>
        <v>86.69472</v>
      </c>
      <c r="H6478" s="48" t="n">
        <f aca="false">H6460*Assumptions!$E$19*Assumptions!$E$34</f>
        <v>104.033664</v>
      </c>
      <c r="I6478" s="48" t="n">
        <f aca="false">I6460*Assumptions!$E$19*Assumptions!$E$34</f>
        <v>159.7008</v>
      </c>
      <c r="J6478" s="48" t="n">
        <f aca="false">J6460*Assumptions!$E$19*Assumptions!$E$34</f>
        <v>215.367936</v>
      </c>
      <c r="K6478" s="48" t="n">
        <f aca="false">K6460*Assumptions!$E$19*Assumptions!$E$34</f>
        <v>215.367936</v>
      </c>
      <c r="L6478" s="48" t="n">
        <f aca="false">L6460*Assumptions!$E$19*Assumptions!$E$34</f>
        <v>215.367936</v>
      </c>
      <c r="M6478" s="48" t="n">
        <f aca="false">M6460*Assumptions!$E$19*Assumptions!$E$34</f>
        <v>215.367936</v>
      </c>
      <c r="N6478" s="48" t="n">
        <f aca="false">N6460*Assumptions!$E$19*Assumptions!$E$34</f>
        <v>215.367936</v>
      </c>
      <c r="P6478" s="49"/>
      <c r="Q6478" s="49"/>
      <c r="R6478" s="49"/>
      <c r="S6478" s="50"/>
    </row>
    <row r="6479" customFormat="false" ht="15" hidden="false" customHeight="false" outlineLevel="0" collapsed="false">
      <c r="A6479" s="4" t="s">
        <v>512</v>
      </c>
      <c r="B6479" s="36" t="s">
        <v>77</v>
      </c>
      <c r="C6479" s="51" t="n">
        <f aca="false">IFERROR(C6476/(C6476+C6477+C6478),0)</f>
        <v>0.631590736245533</v>
      </c>
      <c r="D6479" s="51" t="n">
        <f aca="false">IFERROR(D6476/(D6476+D6477+D6478),0)</f>
        <v>0.631590736245533</v>
      </c>
      <c r="E6479" s="51" t="n">
        <f aca="false">IFERROR(E6476/(E6476+E6477+E6478),0)</f>
        <v>0.631590736245533</v>
      </c>
      <c r="F6479" s="51" t="n">
        <f aca="false">IFERROR(F6476/(F6476+F6477+F6478),0)</f>
        <v>0.631590736245533</v>
      </c>
      <c r="G6479" s="51" t="n">
        <f aca="false">IFERROR(G6476/(G6476+G6477+G6478),0)</f>
        <v>0.638332506498128</v>
      </c>
      <c r="H6479" s="51" t="n">
        <f aca="false">IFERROR(H6476/(H6476+H6477+H6478),0)</f>
        <v>0.642303318118984</v>
      </c>
      <c r="I6479" s="51" t="n">
        <f aca="false">IFERROR(I6476/(I6476+I6477+I6478),0)</f>
        <v>0.657538025405288</v>
      </c>
      <c r="J6479" s="51" t="n">
        <f aca="false">IFERROR(J6476/(J6476+J6477+J6478),0)</f>
        <v>0.664058061428891</v>
      </c>
      <c r="K6479" s="51" t="n">
        <f aca="false">IFERROR(K6476/(K6476+K6477+K6478),0)</f>
        <v>0.664058061428891</v>
      </c>
      <c r="L6479" s="51" t="n">
        <f aca="false">IFERROR(L6476/(L6476+L6477+L6478),0)</f>
        <v>0.664058061428891</v>
      </c>
      <c r="M6479" s="51" t="n">
        <f aca="false">IFERROR(M6476/(M6476+M6477+M6478),0)</f>
        <v>0.664058061428891</v>
      </c>
      <c r="N6479" s="51" t="n">
        <f aca="false">IFERROR(N6476/(N6476+N6477+N6478),0)</f>
        <v>0.664058061428891</v>
      </c>
      <c r="P6479" s="52"/>
      <c r="Q6479" s="52"/>
      <c r="R6479" s="52"/>
      <c r="S6479" s="53"/>
    </row>
    <row r="6480" customFormat="false" ht="15" hidden="false" customHeight="false" outlineLevel="0" collapsed="false">
      <c r="A6480" s="4" t="s">
        <v>513</v>
      </c>
      <c r="B6480" s="36" t="s">
        <v>77</v>
      </c>
      <c r="C6480" s="51" t="n">
        <f aca="false">IFERROR(C6477/(C6476+C6477+C6478),0)</f>
        <v>0.316449102482628</v>
      </c>
      <c r="D6480" s="51" t="n">
        <f aca="false">IFERROR(D6477/(D6476+D6477+D6478),0)</f>
        <v>0.316449102482628</v>
      </c>
      <c r="E6480" s="51" t="n">
        <f aca="false">IFERROR(E6477/(E6476+E6477+E6478),0)</f>
        <v>0.316449102482628</v>
      </c>
      <c r="F6480" s="51" t="n">
        <f aca="false">IFERROR(F6477/(F6476+F6477+F6478),0)</f>
        <v>0.316449102482628</v>
      </c>
      <c r="G6480" s="51" t="n">
        <f aca="false">IFERROR(G6477/(G6476+G6477+G6478),0)</f>
        <v>0.313517566939561</v>
      </c>
      <c r="H6480" s="51" t="n">
        <f aca="false">IFERROR(H6477/(H6476+H6477+H6478),0)</f>
        <v>0.311790932099567</v>
      </c>
      <c r="I6480" s="51" t="n">
        <f aca="false">IFERROR(I6477/(I6476+I6477+I6478),0)</f>
        <v>0.300221741111391</v>
      </c>
      <c r="J6480" s="51" t="n">
        <f aca="false">IFERROR(J6477/(J6476+J6477+J6478),0)</f>
        <v>0.295270445324128</v>
      </c>
      <c r="K6480" s="51" t="n">
        <f aca="false">IFERROR(K6477/(K6476+K6477+K6478),0)</f>
        <v>0.295270445324128</v>
      </c>
      <c r="L6480" s="51" t="n">
        <f aca="false">IFERROR(L6477/(L6476+L6477+L6478),0)</f>
        <v>0.295270445324128</v>
      </c>
      <c r="M6480" s="51" t="n">
        <f aca="false">IFERROR(M6477/(M6476+M6477+M6478),0)</f>
        <v>0.295270445324128</v>
      </c>
      <c r="N6480" s="51" t="n">
        <f aca="false">IFERROR(N6477/(N6476+N6477+N6478),0)</f>
        <v>0.295270445324128</v>
      </c>
      <c r="P6480" s="52"/>
      <c r="Q6480" s="52"/>
      <c r="R6480" s="52"/>
      <c r="S6480" s="53"/>
    </row>
    <row r="6481" customFormat="false" ht="15" hidden="false" customHeight="false" outlineLevel="0" collapsed="false">
      <c r="A6481" s="4" t="s">
        <v>514</v>
      </c>
      <c r="B6481" s="36" t="s">
        <v>77</v>
      </c>
      <c r="C6481" s="51" t="n">
        <f aca="false">IFERROR(C6478/(C6476+C6477+C6478),0)</f>
        <v>0.0519601612718389</v>
      </c>
      <c r="D6481" s="51" t="n">
        <f aca="false">IFERROR(D6478/(D6476+D6477+D6478),0)</f>
        <v>0.0519601612718389</v>
      </c>
      <c r="E6481" s="51" t="n">
        <f aca="false">IFERROR(E6478/(E6476+E6477+E6478),0)</f>
        <v>0.0519601612718389</v>
      </c>
      <c r="F6481" s="51" t="n">
        <f aca="false">IFERROR(F6478/(F6476+F6477+F6478),0)</f>
        <v>0.0519601612718389</v>
      </c>
      <c r="G6481" s="51" t="n">
        <f aca="false">IFERROR(G6478/(G6476+G6477+G6478),0)</f>
        <v>0.0481499265623113</v>
      </c>
      <c r="H6481" s="51" t="n">
        <f aca="false">IFERROR(H6478/(H6476+H6477+H6478),0)</f>
        <v>0.0459057497814491</v>
      </c>
      <c r="I6481" s="51" t="n">
        <f aca="false">IFERROR(I6478/(I6476+I6477+I6478),0)</f>
        <v>0.0422402334833216</v>
      </c>
      <c r="J6481" s="51" t="n">
        <f aca="false">IFERROR(J6478/(J6476+J6477+J6478),0)</f>
        <v>0.0406714932469811</v>
      </c>
      <c r="K6481" s="51" t="n">
        <f aca="false">IFERROR(K6478/(K6476+K6477+K6478),0)</f>
        <v>0.0406714932469811</v>
      </c>
      <c r="L6481" s="51" t="n">
        <f aca="false">IFERROR(L6478/(L6476+L6477+L6478),0)</f>
        <v>0.0406714932469811</v>
      </c>
      <c r="M6481" s="51" t="n">
        <f aca="false">IFERROR(M6478/(M6476+M6477+M6478),0)</f>
        <v>0.0406714932469811</v>
      </c>
      <c r="N6481" s="51" t="n">
        <f aca="false">IFERROR(N6478/(N6476+N6477+N6478),0)</f>
        <v>0.0406714932469811</v>
      </c>
      <c r="P6481" s="52"/>
      <c r="Q6481" s="52"/>
      <c r="R6481" s="52"/>
      <c r="S6481" s="53"/>
    </row>
    <row r="6482" customFormat="false" ht="15" hidden="false" customHeight="false" outlineLevel="0" collapsed="false">
      <c r="A6482" s="4" t="s">
        <v>515</v>
      </c>
      <c r="B6482" s="36" t="s">
        <v>516</v>
      </c>
      <c r="C6482" s="48" t="n">
        <f aca="false">IF(C6450-Assumptions!$E$35&lt;1,0,INDEX($C$6475:$N$6475,1,C6450-Assumptions!$E$35)*INDEX($C$6479:$N$6479,1,C6450-Assumptions!$E$35)*Assumptions!$E$32)</f>
        <v>0</v>
      </c>
      <c r="D6482" s="48" t="n">
        <f aca="false">IF(D6450-Assumptions!$E$35&lt;1,0,INDEX($C$6475:$N$6475,1,D6450-Assumptions!$E$35)*INDEX($C$6479:$N$6479,1,D6450-Assumptions!$E$35)*Assumptions!$E$32)</f>
        <v>0.866376445183821</v>
      </c>
      <c r="E6482" s="48" t="n">
        <f aca="false">IF(E6450-Assumptions!$E$35&lt;1,0,INDEX($C$6475:$N$6475,1,E6450-Assumptions!$E$35)*INDEX($C$6479:$N$6479,1,E6450-Assumptions!$E$35)*Assumptions!$E$32)</f>
        <v>1.4850370503084</v>
      </c>
      <c r="F6482" s="48" t="n">
        <f aca="false">IF(F6450-Assumptions!$E$35&lt;1,0,INDEX($C$6475:$N$6475,1,F6450-Assumptions!$E$35)*INDEX($C$6479:$N$6479,1,F6450-Assumptions!$E$35)*Assumptions!$E$32)</f>
        <v>1.63860741134595</v>
      </c>
      <c r="G6482" s="48" t="n">
        <f aca="false">IF(G6450-Assumptions!$E$35&lt;1,0,INDEX($C$6475:$N$6475,1,G6450-Assumptions!$E$35)*INDEX($C$6479:$N$6479,1,G6450-Assumptions!$E$35)*Assumptions!$E$32)</f>
        <v>1.79532697390301</v>
      </c>
      <c r="H6482" s="48" t="n">
        <f aca="false">IF(H6450-Assumptions!$E$35&lt;1,0,INDEX($C$6475:$N$6475,1,H6450-Assumptions!$E$35)*INDEX($C$6479:$N$6479,1,H6450-Assumptions!$E$35)*Assumptions!$E$32)</f>
        <v>2.31019678172994</v>
      </c>
      <c r="I6482" s="48" t="n">
        <f aca="false">IF(I6450-Assumptions!$E$35&lt;1,0,INDEX($C$6475:$N$6475,1,I6450-Assumptions!$E$35)*INDEX($C$6479:$N$6479,1,I6450-Assumptions!$E$35)*Assumptions!$E$32)</f>
        <v>2.79111066507864</v>
      </c>
      <c r="J6482" s="48" t="n">
        <f aca="false">IF(J6450-Assumptions!$E$35&lt;1,0,INDEX($C$6475:$N$6475,1,J6450-Assumptions!$E$35)*INDEX($C$6479:$N$6479,1,J6450-Assumptions!$E$35)*Assumptions!$E$32)</f>
        <v>4.1306930875438</v>
      </c>
      <c r="K6482" s="48" t="n">
        <f aca="false">IF(K6450-Assumptions!$E$35&lt;1,0,INDEX($C$6475:$N$6475,1,K6450-Assumptions!$E$35)*INDEX($C$6479:$N$6479,1,K6450-Assumptions!$E$35)*Assumptions!$E$32)</f>
        <v>5.34315863355258</v>
      </c>
      <c r="L6482" s="48" t="n">
        <f aca="false">IF(L6450-Assumptions!$E$35&lt;1,0,INDEX($C$6475:$N$6475,1,L6450-Assumptions!$E$35)*INDEX($C$6479:$N$6479,1,L6450-Assumptions!$E$35)*Assumptions!$E$32)</f>
        <v>5.38112462159553</v>
      </c>
      <c r="M6482" s="48" t="n">
        <f aca="false">IF(M6450-Assumptions!$E$35&lt;1,0,INDEX($C$6475:$N$6475,1,M6450-Assumptions!$E$35)*INDEX($C$6479:$N$6479,1,M6450-Assumptions!$E$35)*Assumptions!$E$32)</f>
        <v>5.22179362206104</v>
      </c>
      <c r="N6482" s="48" t="n">
        <f aca="false">IF(N6450-Assumptions!$E$35&lt;1,0,INDEX($C$6475:$N$6475,1,N6450-Assumptions!$E$35)*INDEX($C$6479:$N$6479,1,N6450-Assumptions!$E$35)*Assumptions!$E$32)</f>
        <v>5.07351941968866</v>
      </c>
      <c r="P6482" s="49" t="n">
        <f aca="false">SUM(C6482:F6482)</f>
        <v>3.99002090683817</v>
      </c>
      <c r="Q6482" s="49" t="n">
        <f aca="false">SUM(G6482:J6482)</f>
        <v>11.0273275082554</v>
      </c>
      <c r="R6482" s="49" t="n">
        <f aca="false">SUM(K6482:N6482)</f>
        <v>21.0195962968978</v>
      </c>
      <c r="S6482" s="50" t="n">
        <f aca="false">SUM(P6482:R6482)</f>
        <v>36.0369447119914</v>
      </c>
    </row>
    <row r="6483" customFormat="false" ht="15" hidden="false" customHeight="false" outlineLevel="0" collapsed="false">
      <c r="A6483" s="4" t="s">
        <v>517</v>
      </c>
      <c r="B6483" s="36" t="s">
        <v>516</v>
      </c>
      <c r="C6483" s="48" t="n">
        <f aca="false">IF(C6450-Assumptions!$E$35&lt;1,0,INDEX($C$6475:$N$6475,1,C6450-Assumptions!$E$35)*INDEX($C$6480:$N$6480,1,C6450-Assumptions!$E$35)*Assumptions!$E$32)</f>
        <v>0</v>
      </c>
      <c r="D6483" s="48" t="n">
        <f aca="false">IF(D6450-Assumptions!$E$35&lt;1,0,INDEX($C$6475:$N$6475,1,D6450-Assumptions!$E$35)*INDEX($C$6480:$N$6480,1,D6450-Assumptions!$E$35)*Assumptions!$E$32)</f>
        <v>0.434084974267145</v>
      </c>
      <c r="E6483" s="48" t="n">
        <f aca="false">IF(E6450-Assumptions!$E$35&lt;1,0,INDEX($C$6475:$N$6475,1,E6450-Assumptions!$E$35)*INDEX($C$6480:$N$6480,1,E6450-Assumptions!$E$35)*Assumptions!$E$32)</f>
        <v>0.744055627726705</v>
      </c>
      <c r="F6483" s="48" t="n">
        <f aca="false">IF(F6450-Assumptions!$E$35&lt;1,0,INDEX($C$6475:$N$6475,1,F6450-Assumptions!$E$35)*INDEX($C$6480:$N$6480,1,F6450-Assumptions!$E$35)*Assumptions!$E$32)</f>
        <v>0.820999762796119</v>
      </c>
      <c r="G6483" s="48" t="n">
        <f aca="false">IF(G6450-Assumptions!$E$35&lt;1,0,INDEX($C$6475:$N$6475,1,G6450-Assumptions!$E$35)*INDEX($C$6480:$N$6480,1,G6450-Assumptions!$E$35)*Assumptions!$E$32)</f>
        <v>0.89952175823807</v>
      </c>
      <c r="H6483" s="48" t="n">
        <f aca="false">IF(H6450-Assumptions!$E$35&lt;1,0,INDEX($C$6475:$N$6475,1,H6450-Assumptions!$E$35)*INDEX($C$6480:$N$6480,1,H6450-Assumptions!$E$35)*Assumptions!$E$32)</f>
        <v>1.13465516292283</v>
      </c>
      <c r="I6483" s="48" t="n">
        <f aca="false">IF(I6450-Assumptions!$E$35&lt;1,0,INDEX($C$6475:$N$6475,1,I6450-Assumptions!$E$35)*INDEX($C$6480:$N$6480,1,I6450-Assumptions!$E$35)*Assumptions!$E$32)</f>
        <v>1.35487856174628</v>
      </c>
      <c r="J6483" s="48" t="n">
        <f aca="false">IF(J6450-Assumptions!$E$35&lt;1,0,INDEX($C$6475:$N$6475,1,J6450-Assumptions!$E$35)*INDEX($C$6480:$N$6480,1,J6450-Assumptions!$E$35)*Assumptions!$E$32)</f>
        <v>1.88601088123353</v>
      </c>
      <c r="K6483" s="48" t="n">
        <f aca="false">IF(K6450-Assumptions!$E$35&lt;1,0,INDEX($C$6475:$N$6475,1,K6450-Assumptions!$E$35)*INDEX($C$6480:$N$6480,1,K6450-Assumptions!$E$35)*Assumptions!$E$32)</f>
        <v>2.37581157552964</v>
      </c>
      <c r="L6483" s="48" t="n">
        <f aca="false">IF(L6450-Assumptions!$E$35&lt;1,0,INDEX($C$6475:$N$6475,1,L6450-Assumptions!$E$35)*INDEX($C$6480:$N$6480,1,L6450-Assumptions!$E$35)*Assumptions!$E$32)</f>
        <v>2.3926929822134</v>
      </c>
      <c r="M6483" s="48" t="n">
        <f aca="false">IF(M6450-Assumptions!$E$35&lt;1,0,INDEX($C$6475:$N$6475,1,M6450-Assumptions!$E$35)*INDEX($C$6480:$N$6480,1,M6450-Assumptions!$E$35)*Assumptions!$E$32)</f>
        <v>2.32184716628391</v>
      </c>
      <c r="N6483" s="48" t="n">
        <f aca="false">IF(N6450-Assumptions!$E$35&lt;1,0,INDEX($C$6475:$N$6475,1,N6450-Assumptions!$E$35)*INDEX($C$6480:$N$6480,1,N6450-Assumptions!$E$35)*Assumptions!$E$32)</f>
        <v>2.25591770573287</v>
      </c>
      <c r="P6483" s="49" t="n">
        <f aca="false">SUM(C6483:F6483)</f>
        <v>1.99914036478997</v>
      </c>
      <c r="Q6483" s="49" t="n">
        <f aca="false">SUM(G6483:J6483)</f>
        <v>5.27506636414072</v>
      </c>
      <c r="R6483" s="49" t="n">
        <f aca="false">SUM(K6483:N6483)</f>
        <v>9.34626942975982</v>
      </c>
      <c r="S6483" s="50" t="n">
        <f aca="false">SUM(P6483:R6483)</f>
        <v>16.6204761586905</v>
      </c>
    </row>
    <row r="6484" customFormat="false" ht="15" hidden="false" customHeight="false" outlineLevel="0" collapsed="false">
      <c r="A6484" s="4" t="s">
        <v>518</v>
      </c>
      <c r="B6484" s="36" t="s">
        <v>516</v>
      </c>
      <c r="C6484" s="48" t="n">
        <f aca="false">IF(C6450-Assumptions!$E$36&lt;1,0,INDEX($C$6475:$N$6475,1,C6450-Assumptions!$E$36)*INDEX($C$6481:$N$6481,1,C6450-Assumptions!$E$36)*Assumptions!$E$32)</f>
        <v>0</v>
      </c>
      <c r="D6484" s="48" t="n">
        <f aca="false">IF(D6450-Assumptions!$E$36&lt;1,0,INDEX($C$6475:$N$6475,1,D6450-Assumptions!$E$36)*INDEX($C$6481:$N$6481,1,D6450-Assumptions!$E$36)*Assumptions!$E$32)</f>
        <v>0</v>
      </c>
      <c r="E6484" s="48" t="n">
        <f aca="false">IF(E6450-Assumptions!$E$36&lt;1,0,INDEX($C$6475:$N$6475,1,E6450-Assumptions!$E$36)*INDEX($C$6481:$N$6481,1,E6450-Assumptions!$E$36)*Assumptions!$E$32)</f>
        <v>0.071275680959914</v>
      </c>
      <c r="F6484" s="48" t="n">
        <f aca="false">IF(F6450-Assumptions!$E$36&lt;1,0,INDEX($C$6475:$N$6475,1,F6450-Assumptions!$E$36)*INDEX($C$6481:$N$6481,1,F6450-Assumptions!$E$36)*Assumptions!$E$32)</f>
        <v>0.122172096898336</v>
      </c>
      <c r="G6484" s="48" t="n">
        <f aca="false">IF(G6450-Assumptions!$E$36&lt;1,0,INDEX($C$6475:$N$6475,1,G6450-Assumptions!$E$36)*INDEX($C$6481:$N$6481,1,G6450-Assumptions!$E$36)*Assumptions!$E$32)</f>
        <v>0.134806133891215</v>
      </c>
      <c r="H6484" s="48" t="n">
        <f aca="false">IF(H6450-Assumptions!$E$36&lt;1,0,INDEX($C$6475:$N$6475,1,H6450-Assumptions!$E$36)*INDEX($C$6481:$N$6481,1,H6450-Assumptions!$E$36)*Assumptions!$E$32)</f>
        <v>0.147699251661313</v>
      </c>
      <c r="I6484" s="48" t="n">
        <f aca="false">IF(I6450-Assumptions!$E$36&lt;1,0,INDEX($C$6475:$N$6475,1,I6450-Assumptions!$E$36)*INDEX($C$6481:$N$6481,1,I6450-Assumptions!$E$36)*Assumptions!$E$32)</f>
        <v>0.174259973058587</v>
      </c>
      <c r="J6484" s="48" t="n">
        <f aca="false">IF(J6450-Assumptions!$E$36&lt;1,0,INDEX($C$6475:$N$6475,1,J6450-Assumptions!$E$36)*INDEX($C$6481:$N$6481,1,J6450-Assumptions!$E$36)*Assumptions!$E$32)</f>
        <v>0.19948212034567</v>
      </c>
      <c r="K6484" s="48" t="n">
        <f aca="false">IF(K6450-Assumptions!$E$36&lt;1,0,INDEX($C$6475:$N$6475,1,K6450-Assumptions!$E$36)*INDEX($C$6481:$N$6481,1,K6450-Assumptions!$E$36)*Assumptions!$E$32)</f>
        <v>0.265355665717199</v>
      </c>
      <c r="L6484" s="48" t="n">
        <f aca="false">IF(L6450-Assumptions!$E$36&lt;1,0,INDEX($C$6475:$N$6475,1,L6450-Assumptions!$E$36)*INDEX($C$6481:$N$6481,1,L6450-Assumptions!$E$36)*Assumptions!$E$32)</f>
        <v>0.327251866823927</v>
      </c>
      <c r="M6484" s="48" t="n">
        <f aca="false">IF(M6450-Assumptions!$E$36&lt;1,0,INDEX($C$6475:$N$6475,1,M6450-Assumptions!$E$36)*INDEX($C$6481:$N$6481,1,M6450-Assumptions!$E$36)*Assumptions!$E$32)</f>
        <v>0.329577165643402</v>
      </c>
      <c r="N6484" s="48" t="n">
        <f aca="false">IF(N6450-Assumptions!$E$36&lt;1,0,INDEX($C$6475:$N$6475,1,N6450-Assumptions!$E$36)*INDEX($C$6481:$N$6481,1,N6450-Assumptions!$E$36)*Assumptions!$E$32)</f>
        <v>0.319818636912259</v>
      </c>
      <c r="P6484" s="49" t="n">
        <f aca="false">SUM(C6484:F6484)</f>
        <v>0.19344777785825</v>
      </c>
      <c r="Q6484" s="49" t="n">
        <f aca="false">SUM(G6484:J6484)</f>
        <v>0.656247478956785</v>
      </c>
      <c r="R6484" s="49" t="n">
        <f aca="false">SUM(K6484:N6484)</f>
        <v>1.24200333509679</v>
      </c>
      <c r="S6484" s="50" t="n">
        <f aca="false">SUM(P6484:R6484)</f>
        <v>2.09169859191182</v>
      </c>
    </row>
    <row r="6485" customFormat="false" ht="15" hidden="false" customHeight="false" outlineLevel="0" collapsed="false">
      <c r="A6485" s="4" t="s">
        <v>519</v>
      </c>
      <c r="B6485" s="36" t="s">
        <v>77</v>
      </c>
      <c r="C6485" s="51" t="n">
        <f aca="false">IF(C6450-Assumptions!$E$35&lt;1,0,IFERROR(INDEX($C$6474:$N$6474,1,C6450-Assumptions!$E$35)/INDEX($C$6475:$N$6475,1,C6450-Assumptions!$E$35),0))</f>
        <v>0</v>
      </c>
      <c r="D6485" s="51" t="n">
        <f aca="false">IF(D6450-Assumptions!$E$35&lt;1,0,IFERROR(INDEX($C$6474:$N$6474,1,D6450-Assumptions!$E$35)/INDEX($C$6475:$N$6475,1,D6450-Assumptions!$E$35),0))</f>
        <v>0.459271678087073</v>
      </c>
      <c r="E6485" s="51" t="n">
        <f aca="false">IF(E6450-Assumptions!$E$35&lt;1,0,IFERROR(INDEX($C$6474:$N$6474,1,E6450-Assumptions!$E$35)/INDEX($C$6475:$N$6475,1,E6450-Assumptions!$E$35),0))</f>
        <v>0.401911350042128</v>
      </c>
      <c r="F6485" s="51" t="n">
        <f aca="false">IF(F6450-Assumptions!$E$35&lt;1,0,IFERROR(INDEX($C$6474:$N$6474,1,F6450-Assumptions!$E$35)/INDEX($C$6475:$N$6475,1,F6450-Assumptions!$E$35),0))</f>
        <v>0.485658933408398</v>
      </c>
      <c r="G6485" s="51" t="n">
        <f aca="false">IF(G6450-Assumptions!$E$35&lt;1,0,IFERROR(INDEX($C$6474:$N$6474,1,G6450-Assumptions!$E$35)/INDEX($C$6475:$N$6475,1,G6450-Assumptions!$E$35),0))</f>
        <v>0.554080356417826</v>
      </c>
      <c r="H6485" s="51" t="n">
        <f aca="false">IF(H6450-Assumptions!$E$35&lt;1,0,IFERROR(INDEX($C$6474:$N$6474,1,H6450-Assumptions!$E$35)/INDEX($C$6475:$N$6475,1,H6450-Assumptions!$E$35),0))</f>
        <v>0.522227563825987</v>
      </c>
      <c r="I6485" s="51" t="n">
        <f aca="false">IF(I6450-Assumptions!$E$35&lt;1,0,IFERROR(INDEX($C$6474:$N$6474,1,I6450-Assumptions!$E$35)/INDEX($C$6475:$N$6475,1,I6450-Assumptions!$E$35),0))</f>
        <v>0.507424816282752</v>
      </c>
      <c r="J6485" s="51" t="n">
        <f aca="false">IF(J6450-Assumptions!$E$35&lt;1,0,IFERROR(INDEX($C$6474:$N$6474,1,J6450-Assumptions!$E$35)/INDEX($C$6475:$N$6475,1,J6450-Assumptions!$E$35),0))</f>
        <v>0.401142323795015</v>
      </c>
      <c r="K6485" s="51" t="n">
        <f aca="false">IF(K6450-Assumptions!$E$35&lt;1,0,IFERROR(INDEX($C$6474:$N$6474,1,K6450-Assumptions!$E$35)/INDEX($C$6475:$N$6475,1,K6450-Assumptions!$E$35),0))</f>
        <v>0.352339268448632</v>
      </c>
      <c r="L6485" s="51" t="n">
        <f aca="false">IF(L6450-Assumptions!$E$35&lt;1,0,IFERROR(INDEX($C$6474:$N$6474,1,L6450-Assumptions!$E$35)/INDEX($C$6475:$N$6475,1,L6450-Assumptions!$E$35),0))</f>
        <v>0.388725970981282</v>
      </c>
      <c r="M6485" s="51" t="n">
        <f aca="false">IF(M6450-Assumptions!$E$35&lt;1,0,IFERROR(INDEX($C$6474:$N$6474,1,M6450-Assumptions!$E$35)/INDEX($C$6475:$N$6475,1,M6450-Assumptions!$E$35),0))</f>
        <v>0.400587048224893</v>
      </c>
      <c r="N6485" s="51" t="n">
        <f aca="false">IF(N6450-Assumptions!$E$35&lt;1,0,IFERROR(INDEX($C$6474:$N$6474,1,N6450-Assumptions!$E$35)/INDEX($C$6475:$N$6475,1,N6450-Assumptions!$E$35),0))</f>
        <v>0.412294251872474</v>
      </c>
      <c r="P6485" s="52"/>
      <c r="Q6485" s="52"/>
      <c r="R6485" s="52"/>
      <c r="S6485" s="53"/>
    </row>
    <row r="6486" customFormat="false" ht="15" hidden="false" customHeight="false" outlineLevel="0" collapsed="false">
      <c r="A6486" s="4" t="s">
        <v>520</v>
      </c>
      <c r="B6486" s="36" t="s">
        <v>516</v>
      </c>
      <c r="C6486" s="48" t="n">
        <f aca="false">C6482*Assumptions!$E$37</f>
        <v>0</v>
      </c>
      <c r="D6486" s="48" t="n">
        <f aca="false">D6482*Assumptions!$E$37</f>
        <v>0.259912933555146</v>
      </c>
      <c r="E6486" s="48" t="n">
        <f aca="false">E6482*Assumptions!$E$37</f>
        <v>0.44551111509252</v>
      </c>
      <c r="F6486" s="48" t="n">
        <f aca="false">F6482*Assumptions!$E$37</f>
        <v>0.491582223403786</v>
      </c>
      <c r="G6486" s="48" t="n">
        <f aca="false">G6482*Assumptions!$E$37</f>
        <v>0.538598092170902</v>
      </c>
      <c r="H6486" s="48" t="n">
        <f aca="false">H6482*Assumptions!$E$37</f>
        <v>0.693059034518982</v>
      </c>
      <c r="I6486" s="48" t="n">
        <f aca="false">I6482*Assumptions!$E$37</f>
        <v>0.837333199523593</v>
      </c>
      <c r="J6486" s="48" t="n">
        <f aca="false">J6482*Assumptions!$E$37</f>
        <v>1.23920792626314</v>
      </c>
      <c r="K6486" s="48" t="n">
        <f aca="false">K6482*Assumptions!$E$37</f>
        <v>1.60294759006577</v>
      </c>
      <c r="L6486" s="48" t="n">
        <f aca="false">L6482*Assumptions!$E$37</f>
        <v>1.61433738647866</v>
      </c>
      <c r="M6486" s="48" t="n">
        <f aca="false">M6482*Assumptions!$E$37</f>
        <v>1.56653808661831</v>
      </c>
      <c r="N6486" s="48" t="n">
        <f aca="false">N6482*Assumptions!$E$37</f>
        <v>1.5220558259066</v>
      </c>
      <c r="P6486" s="49" t="n">
        <f aca="false">SUM(C6486:F6486)</f>
        <v>1.19700627205145</v>
      </c>
      <c r="Q6486" s="49" t="n">
        <f aca="false">SUM(G6486:J6486)</f>
        <v>3.30819825247662</v>
      </c>
      <c r="R6486" s="49" t="n">
        <f aca="false">SUM(K6486:N6486)</f>
        <v>6.30587888906934</v>
      </c>
      <c r="S6486" s="50" t="n">
        <f aca="false">SUM(P6486:R6486)</f>
        <v>10.8110834135974</v>
      </c>
    </row>
    <row r="6487" customFormat="false" ht="15" hidden="false" customHeight="false" outlineLevel="0" collapsed="false">
      <c r="A6487" s="4" t="s">
        <v>521</v>
      </c>
      <c r="B6487" s="36" t="s">
        <v>516</v>
      </c>
      <c r="C6487" s="48" t="n">
        <f aca="false">C6482*(1-Assumptions!$E$37)</f>
        <v>0</v>
      </c>
      <c r="D6487" s="48" t="n">
        <f aca="false">D6482*(1-Assumptions!$E$37)</f>
        <v>0.606463511628675</v>
      </c>
      <c r="E6487" s="48" t="n">
        <f aca="false">E6482*(1-Assumptions!$E$37)</f>
        <v>1.03952593521588</v>
      </c>
      <c r="F6487" s="48" t="n">
        <f aca="false">F6482*(1-Assumptions!$E$37)</f>
        <v>1.14702518794217</v>
      </c>
      <c r="G6487" s="48" t="n">
        <f aca="false">G6482*(1-Assumptions!$E$37)</f>
        <v>1.25672888173211</v>
      </c>
      <c r="H6487" s="48" t="n">
        <f aca="false">H6482*(1-Assumptions!$E$37)</f>
        <v>1.61713774721096</v>
      </c>
      <c r="I6487" s="48" t="n">
        <f aca="false">I6482*(1-Assumptions!$E$37)</f>
        <v>1.95377746555505</v>
      </c>
      <c r="J6487" s="48" t="n">
        <f aca="false">J6482*(1-Assumptions!$E$37)</f>
        <v>2.89148516128066</v>
      </c>
      <c r="K6487" s="48" t="n">
        <f aca="false">K6482*(1-Assumptions!$E$37)</f>
        <v>3.7402110434868</v>
      </c>
      <c r="L6487" s="48" t="n">
        <f aca="false">L6482*(1-Assumptions!$E$37)</f>
        <v>3.76678723511687</v>
      </c>
      <c r="M6487" s="48" t="n">
        <f aca="false">M6482*(1-Assumptions!$E$37)</f>
        <v>3.65525553544273</v>
      </c>
      <c r="N6487" s="48" t="n">
        <f aca="false">N6482*(1-Assumptions!$E$37)</f>
        <v>3.55146359378206</v>
      </c>
      <c r="P6487" s="49" t="n">
        <f aca="false">SUM(C6487:F6487)</f>
        <v>2.79301463478672</v>
      </c>
      <c r="Q6487" s="49" t="n">
        <f aca="false">SUM(G6487:J6487)</f>
        <v>7.71912925577877</v>
      </c>
      <c r="R6487" s="49" t="n">
        <f aca="false">SUM(K6487:N6487)</f>
        <v>14.7137174078285</v>
      </c>
      <c r="S6487" s="50" t="n">
        <f aca="false">SUM(P6487:R6487)</f>
        <v>25.225861298394</v>
      </c>
    </row>
    <row r="6488" customFormat="false" ht="15" hidden="false" customHeight="false" outlineLevel="0" collapsed="false">
      <c r="A6488" s="4" t="s">
        <v>522</v>
      </c>
      <c r="B6488" s="36" t="s">
        <v>125</v>
      </c>
      <c r="C6488" s="54" t="n">
        <f aca="false">C6487*$C$6441+C6483*$C$6442+C6484*$C$6443</f>
        <v>0</v>
      </c>
      <c r="D6488" s="54" t="n">
        <f aca="false">D6487*$C$6441+D6483*$C$6442+D6484*$C$6443</f>
        <v>7485.37917000042</v>
      </c>
      <c r="E6488" s="54" t="n">
        <f aca="false">E6487*$C$6441+E6483*$C$6442+E6484*$C$6443</f>
        <v>17233.8131620616</v>
      </c>
      <c r="F6488" s="54" t="n">
        <f aca="false">F6487*$C$6441+F6483*$C$6442+F6484*$C$6443</f>
        <v>21704.9328199195</v>
      </c>
      <c r="G6488" s="54" t="n">
        <f aca="false">G6487*$C$6441+G6483*$C$6442+G6484*$C$6443</f>
        <v>23839.4781169478</v>
      </c>
      <c r="H6488" s="54" t="n">
        <f aca="false">H6487*$C$6441+H6483*$C$6442+H6484*$C$6443</f>
        <v>28861.3828545359</v>
      </c>
      <c r="I6488" s="54" t="n">
        <f aca="false">I6487*$C$6441+I6483*$C$6442+I6484*$C$6443</f>
        <v>34454.8139810786</v>
      </c>
      <c r="J6488" s="54" t="n">
        <f aca="false">J6487*$C$6441+J6483*$C$6442+J6484*$C$6443</f>
        <v>46219.0265618748</v>
      </c>
      <c r="K6488" s="54" t="n">
        <f aca="false">K6487*$C$6441+K6483*$C$6442+K6484*$C$6443</f>
        <v>59614.7065475457</v>
      </c>
      <c r="L6488" s="54" t="n">
        <f aca="false">L6487*$C$6441+L6483*$C$6442+L6484*$C$6443</f>
        <v>63745.6576705911</v>
      </c>
      <c r="M6488" s="54" t="n">
        <f aca="false">M6487*$C$6441+M6483*$C$6442+M6484*$C$6443</f>
        <v>62600.461663715</v>
      </c>
      <c r="N6488" s="54" t="n">
        <f aca="false">N6487*$C$6441+N6483*$C$6442+N6484*$C$6443</f>
        <v>60798.1877142281</v>
      </c>
      <c r="P6488" s="55" t="n">
        <f aca="false">SUM(C6488:F6488)</f>
        <v>46424.1251519815</v>
      </c>
      <c r="Q6488" s="55" t="n">
        <f aca="false">SUM(G6488:J6488)</f>
        <v>133374.701514437</v>
      </c>
      <c r="R6488" s="55" t="n">
        <f aca="false">SUM(K6488:N6488)</f>
        <v>246759.01359608</v>
      </c>
      <c r="S6488" s="56" t="n">
        <f aca="false">SUM(P6488:R6488)</f>
        <v>426557.840262498</v>
      </c>
    </row>
    <row r="6489" customFormat="false" ht="15" hidden="false" customHeight="false" outlineLevel="0" collapsed="false">
      <c r="A6489" s="4" t="s">
        <v>523</v>
      </c>
      <c r="B6489" s="36" t="s">
        <v>125</v>
      </c>
      <c r="C6489" s="54" t="n">
        <f aca="false">(C6465+Assumptions!$D$104*C6451)*$C$6446</f>
        <v>306250</v>
      </c>
      <c r="D6489" s="54" t="n">
        <f aca="false">(D6465+Assumptions!$D$104*D6451)*$C$6446</f>
        <v>306250</v>
      </c>
      <c r="E6489" s="54" t="n">
        <f aca="false">(E6465+Assumptions!$D$104*E6451)*$C$6446</f>
        <v>306250</v>
      </c>
      <c r="F6489" s="54" t="n">
        <f aca="false">(F6465+Assumptions!$D$104*F6451)*$C$6446</f>
        <v>306250</v>
      </c>
      <c r="G6489" s="54" t="n">
        <f aca="false">(G6465+Assumptions!$D$104*G6451)*$C$6446</f>
        <v>306250</v>
      </c>
      <c r="H6489" s="54" t="n">
        <f aca="false">(H6465+Assumptions!$D$104*H6451)*$C$6446</f>
        <v>306250</v>
      </c>
      <c r="I6489" s="54" t="n">
        <f aca="false">(I6465+Assumptions!$D$104*I6451)*$C$6446</f>
        <v>306250</v>
      </c>
      <c r="J6489" s="54" t="n">
        <f aca="false">(J6465+Assumptions!$D$104*J6451)*$C$6446</f>
        <v>306250</v>
      </c>
      <c r="K6489" s="54" t="n">
        <f aca="false">(K6465+Assumptions!$D$104*K6451)*$C$6446</f>
        <v>306250</v>
      </c>
      <c r="L6489" s="54" t="n">
        <f aca="false">(L6465+Assumptions!$D$104*L6451)*$C$6446</f>
        <v>306250</v>
      </c>
      <c r="M6489" s="54" t="n">
        <f aca="false">(M6465+Assumptions!$D$104*M6451)*$C$6446</f>
        <v>306250</v>
      </c>
      <c r="N6489" s="54" t="n">
        <f aca="false">(N6465+Assumptions!$D$104*N6451)*$C$6446</f>
        <v>306250</v>
      </c>
      <c r="P6489" s="55" t="n">
        <f aca="false">SUM(C6489:F6489)</f>
        <v>1225000</v>
      </c>
      <c r="Q6489" s="55" t="n">
        <f aca="false">SUM(G6489:J6489)</f>
        <v>1225000</v>
      </c>
      <c r="R6489" s="55" t="n">
        <f aca="false">SUM(K6489:N6489)</f>
        <v>1225000</v>
      </c>
      <c r="S6489" s="56" t="n">
        <f aca="false">SUM(P6489:R6489)</f>
        <v>3675000</v>
      </c>
    </row>
    <row r="6490" customFormat="false" ht="15" hidden="false" customHeight="false" outlineLevel="0" collapsed="false">
      <c r="A6490" s="4" t="s">
        <v>524</v>
      </c>
      <c r="B6490" s="36" t="s">
        <v>77</v>
      </c>
      <c r="C6490" s="51" t="n">
        <f aca="false">IF(C6488&gt;0,MIN(1,C6489/C6488),1)</f>
        <v>1</v>
      </c>
      <c r="D6490" s="51" t="n">
        <f aca="false">IF(D6488&gt;0,MIN(1,D6489/D6488),1)</f>
        <v>1</v>
      </c>
      <c r="E6490" s="51" t="n">
        <f aca="false">IF(E6488&gt;0,MIN(1,E6489/E6488),1)</f>
        <v>1</v>
      </c>
      <c r="F6490" s="51" t="n">
        <f aca="false">IF(F6488&gt;0,MIN(1,F6489/F6488),1)</f>
        <v>1</v>
      </c>
      <c r="G6490" s="51" t="n">
        <f aca="false">IF(G6488&gt;0,MIN(1,G6489/G6488),1)</f>
        <v>1</v>
      </c>
      <c r="H6490" s="51" t="n">
        <f aca="false">IF(H6488&gt;0,MIN(1,H6489/H6488),1)</f>
        <v>1</v>
      </c>
      <c r="I6490" s="51" t="n">
        <f aca="false">IF(I6488&gt;0,MIN(1,I6489/I6488),1)</f>
        <v>1</v>
      </c>
      <c r="J6490" s="51" t="n">
        <f aca="false">IF(J6488&gt;0,MIN(1,J6489/J6488),1)</f>
        <v>1</v>
      </c>
      <c r="K6490" s="51" t="n">
        <f aca="false">IF(K6488&gt;0,MIN(1,K6489/K6488),1)</f>
        <v>1</v>
      </c>
      <c r="L6490" s="51" t="n">
        <f aca="false">IF(L6488&gt;0,MIN(1,L6489/L6488),1)</f>
        <v>1</v>
      </c>
      <c r="M6490" s="51" t="n">
        <f aca="false">IF(M6488&gt;0,MIN(1,M6489/M6488),1)</f>
        <v>1</v>
      </c>
      <c r="N6490" s="51" t="n">
        <f aca="false">IF(N6488&gt;0,MIN(1,N6489/N6488),1)</f>
        <v>1</v>
      </c>
      <c r="P6490" s="52"/>
      <c r="Q6490" s="52"/>
      <c r="R6490" s="52"/>
      <c r="S6490" s="53"/>
    </row>
    <row r="6491" customFormat="false" ht="15" hidden="false" customHeight="false" outlineLevel="0" collapsed="false">
      <c r="A6491" s="4" t="s">
        <v>525</v>
      </c>
      <c r="B6491" s="36" t="s">
        <v>125</v>
      </c>
      <c r="C6491" s="54" t="n">
        <f aca="false">C6488*(1-C6490)</f>
        <v>0</v>
      </c>
      <c r="D6491" s="54" t="n">
        <f aca="false">D6488*(1-D6490)</f>
        <v>0</v>
      </c>
      <c r="E6491" s="54" t="n">
        <f aca="false">E6488*(1-E6490)</f>
        <v>0</v>
      </c>
      <c r="F6491" s="54" t="n">
        <f aca="false">F6488*(1-F6490)</f>
        <v>0</v>
      </c>
      <c r="G6491" s="54" t="n">
        <f aca="false">G6488*(1-G6490)</f>
        <v>0</v>
      </c>
      <c r="H6491" s="54" t="n">
        <f aca="false">H6488*(1-H6490)</f>
        <v>0</v>
      </c>
      <c r="I6491" s="54" t="n">
        <f aca="false">I6488*(1-I6490)</f>
        <v>0</v>
      </c>
      <c r="J6491" s="54" t="n">
        <f aca="false">J6488*(1-J6490)</f>
        <v>0</v>
      </c>
      <c r="K6491" s="54" t="n">
        <f aca="false">K6488*(1-K6490)</f>
        <v>0</v>
      </c>
      <c r="L6491" s="54" t="n">
        <f aca="false">L6488*(1-L6490)</f>
        <v>0</v>
      </c>
      <c r="M6491" s="54" t="n">
        <f aca="false">M6488*(1-M6490)</f>
        <v>0</v>
      </c>
      <c r="N6491" s="54" t="n">
        <f aca="false">N6488*(1-N6490)</f>
        <v>0</v>
      </c>
      <c r="P6491" s="55" t="n">
        <f aca="false">SUM(C6491:F6491)</f>
        <v>0</v>
      </c>
      <c r="Q6491" s="55" t="n">
        <f aca="false">SUM(G6491:J6491)</f>
        <v>0</v>
      </c>
      <c r="R6491" s="55" t="n">
        <f aca="false">SUM(K6491:N6491)</f>
        <v>0</v>
      </c>
      <c r="S6491" s="56" t="n">
        <f aca="false">SUM(P6491:R6491)</f>
        <v>0</v>
      </c>
    </row>
    <row r="6492" customFormat="false" ht="15" hidden="false" customHeight="false" outlineLevel="0" collapsed="false">
      <c r="A6492" s="4" t="s">
        <v>526</v>
      </c>
      <c r="B6492" s="36" t="s">
        <v>527</v>
      </c>
      <c r="C6492" s="48" t="n">
        <f aca="false">C6486+C6487*C6490</f>
        <v>0</v>
      </c>
      <c r="D6492" s="48" t="n">
        <f aca="false">D6486+D6487*D6490</f>
        <v>0.866376445183821</v>
      </c>
      <c r="E6492" s="48" t="n">
        <f aca="false">E6486+E6487*E6490</f>
        <v>1.4850370503084</v>
      </c>
      <c r="F6492" s="48" t="n">
        <f aca="false">F6486+F6487*F6490</f>
        <v>1.63860741134595</v>
      </c>
      <c r="G6492" s="48" t="n">
        <f aca="false">G6486+G6487*G6490</f>
        <v>1.79532697390301</v>
      </c>
      <c r="H6492" s="48" t="n">
        <f aca="false">H6486+H6487*H6490</f>
        <v>2.31019678172994</v>
      </c>
      <c r="I6492" s="48" t="n">
        <f aca="false">I6486+I6487*I6490</f>
        <v>2.79111066507864</v>
      </c>
      <c r="J6492" s="48" t="n">
        <f aca="false">J6486+J6487*J6490</f>
        <v>4.1306930875438</v>
      </c>
      <c r="K6492" s="48" t="n">
        <f aca="false">K6486+K6487*K6490</f>
        <v>5.34315863355258</v>
      </c>
      <c r="L6492" s="48" t="n">
        <f aca="false">L6486+L6487*L6490</f>
        <v>5.38112462159553</v>
      </c>
      <c r="M6492" s="48" t="n">
        <f aca="false">M6486+M6487*M6490</f>
        <v>5.22179362206104</v>
      </c>
      <c r="N6492" s="48" t="n">
        <f aca="false">N6486+N6487*N6490</f>
        <v>5.07351941968866</v>
      </c>
      <c r="P6492" s="49" t="n">
        <f aca="false">SUM(C6492:F6492)</f>
        <v>3.99002090683817</v>
      </c>
      <c r="Q6492" s="49" t="n">
        <f aca="false">SUM(G6492:J6492)</f>
        <v>11.0273275082554</v>
      </c>
      <c r="R6492" s="49" t="n">
        <f aca="false">SUM(K6492:N6492)</f>
        <v>21.0195962968978</v>
      </c>
      <c r="S6492" s="50" t="n">
        <f aca="false">SUM(P6492:R6492)</f>
        <v>36.0369447119914</v>
      </c>
    </row>
    <row r="6493" customFormat="false" ht="15" hidden="false" customHeight="false" outlineLevel="0" collapsed="false">
      <c r="A6493" s="4" t="s">
        <v>528</v>
      </c>
      <c r="B6493" s="36" t="s">
        <v>527</v>
      </c>
      <c r="C6493" s="48" t="n">
        <f aca="false">C6483*C6490</f>
        <v>0</v>
      </c>
      <c r="D6493" s="48" t="n">
        <f aca="false">D6483*D6490</f>
        <v>0.434084974267145</v>
      </c>
      <c r="E6493" s="48" t="n">
        <f aca="false">E6483*E6490</f>
        <v>0.744055627726705</v>
      </c>
      <c r="F6493" s="48" t="n">
        <f aca="false">F6483*F6490</f>
        <v>0.820999762796119</v>
      </c>
      <c r="G6493" s="48" t="n">
        <f aca="false">G6483*G6490</f>
        <v>0.89952175823807</v>
      </c>
      <c r="H6493" s="48" t="n">
        <f aca="false">H6483*H6490</f>
        <v>1.13465516292283</v>
      </c>
      <c r="I6493" s="48" t="n">
        <f aca="false">I6483*I6490</f>
        <v>1.35487856174628</v>
      </c>
      <c r="J6493" s="48" t="n">
        <f aca="false">J6483*J6490</f>
        <v>1.88601088123353</v>
      </c>
      <c r="K6493" s="48" t="n">
        <f aca="false">K6483*K6490</f>
        <v>2.37581157552964</v>
      </c>
      <c r="L6493" s="48" t="n">
        <f aca="false">L6483*L6490</f>
        <v>2.3926929822134</v>
      </c>
      <c r="M6493" s="48" t="n">
        <f aca="false">M6483*M6490</f>
        <v>2.32184716628391</v>
      </c>
      <c r="N6493" s="48" t="n">
        <f aca="false">N6483*N6490</f>
        <v>2.25591770573287</v>
      </c>
      <c r="P6493" s="49" t="n">
        <f aca="false">SUM(C6493:F6493)</f>
        <v>1.99914036478997</v>
      </c>
      <c r="Q6493" s="49" t="n">
        <f aca="false">SUM(G6493:J6493)</f>
        <v>5.27506636414072</v>
      </c>
      <c r="R6493" s="49" t="n">
        <f aca="false">SUM(K6493:N6493)</f>
        <v>9.34626942975982</v>
      </c>
      <c r="S6493" s="50" t="n">
        <f aca="false">SUM(P6493:R6493)</f>
        <v>16.6204761586905</v>
      </c>
    </row>
    <row r="6494" customFormat="false" ht="15" hidden="false" customHeight="false" outlineLevel="0" collapsed="false">
      <c r="A6494" s="4" t="s">
        <v>529</v>
      </c>
      <c r="B6494" s="36" t="s">
        <v>527</v>
      </c>
      <c r="C6494" s="48" t="n">
        <f aca="false">C6484*C6490</f>
        <v>0</v>
      </c>
      <c r="D6494" s="48" t="n">
        <f aca="false">D6484*D6490</f>
        <v>0</v>
      </c>
      <c r="E6494" s="48" t="n">
        <f aca="false">E6484*E6490</f>
        <v>0.071275680959914</v>
      </c>
      <c r="F6494" s="48" t="n">
        <f aca="false">F6484*F6490</f>
        <v>0.122172096898336</v>
      </c>
      <c r="G6494" s="48" t="n">
        <f aca="false">G6484*G6490</f>
        <v>0.134806133891215</v>
      </c>
      <c r="H6494" s="48" t="n">
        <f aca="false">H6484*H6490</f>
        <v>0.147699251661313</v>
      </c>
      <c r="I6494" s="48" t="n">
        <f aca="false">I6484*I6490</f>
        <v>0.174259973058587</v>
      </c>
      <c r="J6494" s="48" t="n">
        <f aca="false">J6484*J6490</f>
        <v>0.19948212034567</v>
      </c>
      <c r="K6494" s="48" t="n">
        <f aca="false">K6484*K6490</f>
        <v>0.265355665717199</v>
      </c>
      <c r="L6494" s="48" t="n">
        <f aca="false">L6484*L6490</f>
        <v>0.327251866823927</v>
      </c>
      <c r="M6494" s="48" t="n">
        <f aca="false">M6484*M6490</f>
        <v>0.329577165643402</v>
      </c>
      <c r="N6494" s="48" t="n">
        <f aca="false">N6484*N6490</f>
        <v>0.319818636912259</v>
      </c>
      <c r="P6494" s="49" t="n">
        <f aca="false">SUM(C6494:F6494)</f>
        <v>0.19344777785825</v>
      </c>
      <c r="Q6494" s="49" t="n">
        <f aca="false">SUM(G6494:J6494)</f>
        <v>0.656247478956785</v>
      </c>
      <c r="R6494" s="49" t="n">
        <f aca="false">SUM(K6494:N6494)</f>
        <v>1.24200333509679</v>
      </c>
      <c r="S6494" s="50" t="n">
        <f aca="false">SUM(P6494:R6494)</f>
        <v>2.09169859191182</v>
      </c>
    </row>
    <row r="6495" customFormat="false" ht="15" hidden="false" customHeight="false" outlineLevel="0" collapsed="false">
      <c r="A6495" s="9" t="s">
        <v>530</v>
      </c>
      <c r="B6495" s="36" t="s">
        <v>527</v>
      </c>
      <c r="C6495" s="49" t="n">
        <f aca="false">C6492+C6493+C6494</f>
        <v>0</v>
      </c>
      <c r="D6495" s="49" t="n">
        <f aca="false">D6492+D6493+D6494</f>
        <v>1.30046141945097</v>
      </c>
      <c r="E6495" s="49" t="n">
        <f aca="false">E6492+E6493+E6494</f>
        <v>2.30036835899502</v>
      </c>
      <c r="F6495" s="49" t="n">
        <f aca="false">F6492+F6493+F6494</f>
        <v>2.58177927104041</v>
      </c>
      <c r="G6495" s="49" t="n">
        <f aca="false">G6492+G6493+G6494</f>
        <v>2.82965486603229</v>
      </c>
      <c r="H6495" s="49" t="n">
        <f aca="false">H6492+H6493+H6494</f>
        <v>3.59255119631409</v>
      </c>
      <c r="I6495" s="49" t="n">
        <f aca="false">I6492+I6493+I6494</f>
        <v>4.32024919988351</v>
      </c>
      <c r="J6495" s="49" t="n">
        <f aca="false">J6492+J6493+J6494</f>
        <v>6.216186089123</v>
      </c>
      <c r="K6495" s="49" t="n">
        <f aca="false">K6492+K6493+K6494</f>
        <v>7.98432587479941</v>
      </c>
      <c r="L6495" s="49" t="n">
        <f aca="false">L6492+L6493+L6494</f>
        <v>8.10106947063285</v>
      </c>
      <c r="M6495" s="49" t="n">
        <f aca="false">M6492+M6493+M6494</f>
        <v>7.87321795398836</v>
      </c>
      <c r="N6495" s="49" t="n">
        <f aca="false">N6492+N6493+N6494</f>
        <v>7.64925576233379</v>
      </c>
      <c r="P6495" s="49" t="n">
        <f aca="false">SUM(C6495:F6495)</f>
        <v>6.18260904948639</v>
      </c>
      <c r="Q6495" s="49" t="n">
        <f aca="false">SUM(G6495:J6495)</f>
        <v>16.9586413513529</v>
      </c>
      <c r="R6495" s="49" t="n">
        <f aca="false">SUM(K6495:N6495)</f>
        <v>31.6078690617544</v>
      </c>
      <c r="S6495" s="50" t="n">
        <f aca="false">SUM(P6495:R6495)</f>
        <v>54.7491194625937</v>
      </c>
    </row>
    <row r="6496" customFormat="false" ht="15" hidden="false" customHeight="false" outlineLevel="0" collapsed="false">
      <c r="A6496" s="35" t="s">
        <v>533</v>
      </c>
      <c r="B6496" s="35" t="s">
        <v>444</v>
      </c>
      <c r="C6496" s="6" t="s">
        <v>354</v>
      </c>
      <c r="D6496" s="6" t="s">
        <v>355</v>
      </c>
      <c r="E6496" s="6" t="s">
        <v>356</v>
      </c>
      <c r="F6496" s="6" t="s">
        <v>357</v>
      </c>
      <c r="G6496" s="6" t="s">
        <v>358</v>
      </c>
      <c r="H6496" s="6" t="s">
        <v>359</v>
      </c>
      <c r="I6496" s="6" t="s">
        <v>360</v>
      </c>
      <c r="J6496" s="6" t="s">
        <v>361</v>
      </c>
      <c r="K6496" s="6" t="s">
        <v>362</v>
      </c>
      <c r="L6496" s="6" t="s">
        <v>363</v>
      </c>
      <c r="M6496" s="6" t="s">
        <v>364</v>
      </c>
      <c r="N6496" s="6" t="s">
        <v>365</v>
      </c>
      <c r="P6496" s="6" t="s">
        <v>445</v>
      </c>
      <c r="Q6496" s="6" t="s">
        <v>446</v>
      </c>
      <c r="R6496" s="6" t="s">
        <v>447</v>
      </c>
      <c r="S6496" s="6" t="s">
        <v>448</v>
      </c>
    </row>
    <row r="6497" customFormat="false" ht="15" hidden="false" customHeight="false" outlineLevel="0" collapsed="false">
      <c r="A6497" s="4" t="s">
        <v>534</v>
      </c>
      <c r="B6497" s="36" t="s">
        <v>527</v>
      </c>
      <c r="C6497" s="48" t="n">
        <f aca="false">0*Assumptions!$E$59^(1/4)+C6492</f>
        <v>0</v>
      </c>
      <c r="D6497" s="48" t="n">
        <f aca="false">C6497*Assumptions!$E$59^(1/4)+D6492</f>
        <v>0.866376445183821</v>
      </c>
      <c r="E6497" s="48" t="n">
        <f aca="false">D6497*Assumptions!$E$59^(1/4)+E6492</f>
        <v>2.32416329488403</v>
      </c>
      <c r="F6497" s="48" t="n">
        <f aca="false">E6497*Assumptions!$E$59^(1/4)+F6492</f>
        <v>3.88966863104794</v>
      </c>
      <c r="G6497" s="48" t="n">
        <f aca="false">F6497*Assumptions!$E$59^(1/4)+G6492</f>
        <v>5.56265357789716</v>
      </c>
      <c r="H6497" s="48" t="n">
        <f aca="false">G6497*Assumptions!$E$59^(1/4)+H6492</f>
        <v>7.69788781678072</v>
      </c>
      <c r="I6497" s="48" t="n">
        <f aca="false">H6497*Assumptions!$E$59^(1/4)+I6492</f>
        <v>10.2468762630101</v>
      </c>
      <c r="J6497" s="48" t="n">
        <f aca="false">I6497*Assumptions!$E$59^(1/4)+J6492</f>
        <v>14.0552736148763</v>
      </c>
      <c r="K6497" s="48" t="n">
        <f aca="false">J6497*Assumptions!$E$59^(1/4)+K6492</f>
        <v>18.9563507170835</v>
      </c>
      <c r="L6497" s="48" t="n">
        <f aca="false">K6497*Assumptions!$E$59^(1/4)+L6492</f>
        <v>23.7412398769334</v>
      </c>
      <c r="M6497" s="48" t="n">
        <f aca="false">L6497*Assumptions!$E$59^(1/4)+M6492</f>
        <v>28.2162985745513</v>
      </c>
      <c r="N6497" s="48" t="n">
        <f aca="false">M6497*Assumptions!$E$59^(1/4)+N6492</f>
        <v>32.4023287268997</v>
      </c>
      <c r="P6497" s="49" t="n">
        <f aca="false">F6497</f>
        <v>3.88966863104794</v>
      </c>
      <c r="Q6497" s="49" t="n">
        <f aca="false">J6497</f>
        <v>14.0552736148763</v>
      </c>
      <c r="R6497" s="49" t="n">
        <f aca="false">N6497</f>
        <v>32.4023287268997</v>
      </c>
      <c r="S6497" s="50" t="n">
        <f aca="false">R6497</f>
        <v>32.4023287268997</v>
      </c>
    </row>
    <row r="6498" customFormat="false" ht="15" hidden="false" customHeight="false" outlineLevel="0" collapsed="false">
      <c r="A6498" s="4" t="s">
        <v>535</v>
      </c>
      <c r="B6498" s="36" t="s">
        <v>527</v>
      </c>
      <c r="C6498" s="48" t="n">
        <f aca="false">0*Assumptions!$E$60^(1/4)+C6493</f>
        <v>0</v>
      </c>
      <c r="D6498" s="48" t="n">
        <f aca="false">C6498*Assumptions!$E$60^(1/4)+D6493</f>
        <v>0.434084974267145</v>
      </c>
      <c r="E6498" s="48" t="n">
        <f aca="false">D6498*Assumptions!$E$60^(1/4)+E6493</f>
        <v>1.16685601892983</v>
      </c>
      <c r="F6498" s="48" t="n">
        <f aca="false">E6498*Assumptions!$E$60^(1/4)+F6493</f>
        <v>1.95752189677268</v>
      </c>
      <c r="G6498" s="48" t="n">
        <f aca="false">F6498*Assumptions!$E$60^(1/4)+G6493</f>
        <v>2.80615541940422</v>
      </c>
      <c r="H6498" s="48" t="n">
        <f aca="false">G6498*Assumptions!$E$60^(1/4)+H6493</f>
        <v>3.86786105447419</v>
      </c>
      <c r="I6498" s="48" t="n">
        <f aca="false">H6498*Assumptions!$E$60^(1/4)+I6493</f>
        <v>5.12218971945664</v>
      </c>
      <c r="J6498" s="48" t="n">
        <f aca="false">I6498*Assumptions!$E$60^(1/4)+J6493</f>
        <v>6.87504285788544</v>
      </c>
      <c r="K6498" s="48" t="n">
        <f aca="false">J6498*Assumptions!$E$60^(1/4)+K6493</f>
        <v>9.07212907594454</v>
      </c>
      <c r="L6498" s="48" t="n">
        <f aca="false">K6498*Assumptions!$E$60^(1/4)+L6493</f>
        <v>11.2289806902372</v>
      </c>
      <c r="M6498" s="48" t="n">
        <f aca="false">L6498*Assumptions!$E$60^(1/4)+M6493</f>
        <v>13.2589164271123</v>
      </c>
      <c r="N6498" s="48" t="n">
        <f aca="false">M6498*Assumptions!$E$60^(1/4)+N6493</f>
        <v>15.1701519792802</v>
      </c>
      <c r="P6498" s="49" t="n">
        <f aca="false">F6498</f>
        <v>1.95752189677268</v>
      </c>
      <c r="Q6498" s="49" t="n">
        <f aca="false">J6498</f>
        <v>6.87504285788544</v>
      </c>
      <c r="R6498" s="49" t="n">
        <f aca="false">N6498</f>
        <v>15.1701519792802</v>
      </c>
      <c r="S6498" s="50" t="n">
        <f aca="false">R6498</f>
        <v>15.1701519792802</v>
      </c>
    </row>
    <row r="6499" customFormat="false" ht="15" hidden="false" customHeight="false" outlineLevel="0" collapsed="false">
      <c r="A6499" s="4" t="s">
        <v>536</v>
      </c>
      <c r="B6499" s="36" t="s">
        <v>527</v>
      </c>
      <c r="C6499" s="48" t="n">
        <f aca="false">0*Assumptions!$E$61^(1/4)+C6494</f>
        <v>0</v>
      </c>
      <c r="D6499" s="48" t="n">
        <f aca="false">C6499*Assumptions!$E$61^(1/4)+D6494</f>
        <v>0</v>
      </c>
      <c r="E6499" s="48" t="n">
        <f aca="false">D6499*Assumptions!$E$61^(1/4)+E6494</f>
        <v>0.071275680959914</v>
      </c>
      <c r="F6499" s="48" t="n">
        <f aca="false">E6499*Assumptions!$E$61^(1/4)+F6494</f>
        <v>0.191977386314485</v>
      </c>
      <c r="G6499" s="48" t="n">
        <f aca="false">F6499*Assumptions!$E$61^(1/4)+G6494</f>
        <v>0.322823096094288</v>
      </c>
      <c r="H6499" s="48" t="n">
        <f aca="false">G6499*Assumptions!$E$61^(1/4)+H6494</f>
        <v>0.463862623930639</v>
      </c>
      <c r="I6499" s="48" t="n">
        <f aca="false">H6499*Assumptions!$E$61^(1/4)+I6494</f>
        <v>0.628553278667598</v>
      </c>
      <c r="J6499" s="48" t="n">
        <f aca="false">I6499*Assumptions!$E$61^(1/4)+J6494</f>
        <v>0.815068571993006</v>
      </c>
      <c r="K6499" s="48" t="n">
        <f aca="false">J6499*Assumptions!$E$61^(1/4)+K6494</f>
        <v>1.06360966758325</v>
      </c>
      <c r="L6499" s="48" t="n">
        <f aca="false">K6499*Assumptions!$E$61^(1/4)+L6494</f>
        <v>1.36891965128493</v>
      </c>
      <c r="M6499" s="48" t="n">
        <f aca="false">L6499*Assumptions!$E$61^(1/4)+M6494</f>
        <v>1.67025649916167</v>
      </c>
      <c r="N6499" s="48" t="n">
        <f aca="false">M6499*Assumptions!$E$61^(1/4)+N6494</f>
        <v>1.95561834801929</v>
      </c>
      <c r="P6499" s="49" t="n">
        <f aca="false">F6499</f>
        <v>0.191977386314485</v>
      </c>
      <c r="Q6499" s="49" t="n">
        <f aca="false">J6499</f>
        <v>0.815068571993006</v>
      </c>
      <c r="R6499" s="49" t="n">
        <f aca="false">N6499</f>
        <v>1.95561834801929</v>
      </c>
      <c r="S6499" s="50" t="n">
        <f aca="false">R6499</f>
        <v>1.95561834801929</v>
      </c>
    </row>
    <row r="6500" customFormat="false" ht="15" hidden="false" customHeight="false" outlineLevel="0" collapsed="false">
      <c r="A6500" s="9" t="s">
        <v>537</v>
      </c>
      <c r="B6500" s="36" t="s">
        <v>527</v>
      </c>
      <c r="C6500" s="49" t="n">
        <f aca="false">C6497+C6498+C6499</f>
        <v>0</v>
      </c>
      <c r="D6500" s="49" t="n">
        <f aca="false">D6497+D6498+D6499</f>
        <v>1.30046141945097</v>
      </c>
      <c r="E6500" s="49" t="n">
        <f aca="false">E6497+E6498+E6499</f>
        <v>3.56229499477378</v>
      </c>
      <c r="F6500" s="49" t="n">
        <f aca="false">F6497+F6498+F6499</f>
        <v>6.0391679141351</v>
      </c>
      <c r="G6500" s="49" t="n">
        <f aca="false">G6497+G6498+G6499</f>
        <v>8.69163209339566</v>
      </c>
      <c r="H6500" s="49" t="n">
        <f aca="false">H6497+H6498+H6499</f>
        <v>12.0296114951856</v>
      </c>
      <c r="I6500" s="49" t="n">
        <f aca="false">I6497+I6498+I6499</f>
        <v>15.9976192611344</v>
      </c>
      <c r="J6500" s="49" t="n">
        <f aca="false">J6497+J6498+J6499</f>
        <v>21.7453850447547</v>
      </c>
      <c r="K6500" s="49" t="n">
        <f aca="false">K6497+K6498+K6499</f>
        <v>29.0920894606113</v>
      </c>
      <c r="L6500" s="49" t="n">
        <f aca="false">L6497+L6498+L6499</f>
        <v>36.3391402184556</v>
      </c>
      <c r="M6500" s="49" t="n">
        <f aca="false">M6497+M6498+M6499</f>
        <v>43.1454715008253</v>
      </c>
      <c r="N6500" s="49" t="n">
        <f aca="false">N6497+N6498+N6499</f>
        <v>49.5280990541991</v>
      </c>
      <c r="P6500" s="49" t="n">
        <f aca="false">F6500</f>
        <v>6.0391679141351</v>
      </c>
      <c r="Q6500" s="49" t="n">
        <f aca="false">J6500</f>
        <v>21.7453850447547</v>
      </c>
      <c r="R6500" s="49" t="n">
        <f aca="false">N6500</f>
        <v>49.5280990541991</v>
      </c>
      <c r="S6500" s="50" t="n">
        <f aca="false">R6500</f>
        <v>49.5280990541991</v>
      </c>
    </row>
    <row r="6501" customFormat="false" ht="15" hidden="false" customHeight="false" outlineLevel="0" collapsed="false">
      <c r="A6501" s="4" t="s">
        <v>538</v>
      </c>
      <c r="B6501" s="36" t="s">
        <v>125</v>
      </c>
      <c r="C6501" s="54" t="n">
        <f aca="false">0*Assumptions!$E$62^(1/4)+C6492*$C$6441</f>
        <v>0</v>
      </c>
      <c r="D6501" s="54" t="n">
        <f aca="false">C6501*Assumptions!$E$62^(1/4)+D6492*$C$6441</f>
        <v>4636.84673462381</v>
      </c>
      <c r="E6501" s="54" t="n">
        <f aca="false">D6501*Assumptions!$E$62^(1/4)+E6492*$C$6441</f>
        <v>12584.7650278744</v>
      </c>
      <c r="F6501" s="54" t="n">
        <f aca="false">E6501*Assumptions!$E$62^(1/4)+F6492*$C$6441</f>
        <v>21354.5918933979</v>
      </c>
      <c r="G6501" s="54" t="n">
        <f aca="false">F6501*Assumptions!$E$62^(1/4)+G6492*$C$6441</f>
        <v>30963.1818577268</v>
      </c>
      <c r="H6501" s="54" t="n">
        <f aca="false">G6501*Assumptions!$E$62^(1/4)+H6492*$C$6441</f>
        <v>43327.3550335454</v>
      </c>
      <c r="I6501" s="54" t="n">
        <f aca="false">H6501*Assumptions!$E$62^(1/4)+I6492*$C$6441</f>
        <v>58265.3793130463</v>
      </c>
      <c r="J6501" s="54" t="n">
        <f aca="false">I6501*Assumptions!$E$62^(1/4)+J6492*$C$6441</f>
        <v>80372.8487175808</v>
      </c>
      <c r="K6501" s="54" t="n">
        <f aca="false">J6501*Assumptions!$E$62^(1/4)+K6492*$C$6441</f>
        <v>108969.433724354</v>
      </c>
      <c r="L6501" s="54" t="n">
        <f aca="false">K6501*Assumptions!$E$62^(1/4)+L6492*$C$6441</f>
        <v>137769.212699133</v>
      </c>
      <c r="M6501" s="54" t="n">
        <f aca="false">L6501*Assumptions!$E$62^(1/4)+M6492*$C$6441</f>
        <v>165716.252164404</v>
      </c>
      <c r="N6501" s="54" t="n">
        <f aca="false">M6501*Assumptions!$E$62^(1/4)+N6492*$C$6441</f>
        <v>192869.728098578</v>
      </c>
      <c r="P6501" s="55" t="n">
        <f aca="false">F6501</f>
        <v>21354.5918933979</v>
      </c>
      <c r="Q6501" s="55" t="n">
        <f aca="false">J6501</f>
        <v>80372.8487175808</v>
      </c>
      <c r="R6501" s="55" t="n">
        <f aca="false">N6501</f>
        <v>192869.728098578</v>
      </c>
      <c r="S6501" s="56" t="n">
        <f aca="false">R6501</f>
        <v>192869.728098578</v>
      </c>
    </row>
    <row r="6502" customFormat="false" ht="15" hidden="false" customHeight="false" outlineLevel="0" collapsed="false">
      <c r="A6502" s="4" t="s">
        <v>539</v>
      </c>
      <c r="B6502" s="36" t="s">
        <v>125</v>
      </c>
      <c r="C6502" s="54" t="n">
        <f aca="false">0*Assumptions!$E$63^(1/4)+C6493*$C$6442</f>
        <v>0</v>
      </c>
      <c r="D6502" s="54" t="n">
        <f aca="false">C6502*Assumptions!$E$63^(1/4)+D6493*$C$6442</f>
        <v>4239.58645576376</v>
      </c>
      <c r="E6502" s="54" t="n">
        <f aca="false">D6502*Assumptions!$E$63^(1/4)+E6493*$C$6442</f>
        <v>11568.780571464</v>
      </c>
      <c r="F6502" s="54" t="n">
        <f aca="false">E6502*Assumptions!$E$63^(1/4)+F6493*$C$6442</f>
        <v>19757.0139869302</v>
      </c>
      <c r="G6502" s="54" t="n">
        <f aca="false">F6502*Assumptions!$E$63^(1/4)+G6493*$C$6442</f>
        <v>28832.3026333607</v>
      </c>
      <c r="H6502" s="54" t="n">
        <f aca="false">G6502*Assumptions!$E$63^(1/4)+H6493*$C$6442</f>
        <v>40337.2428258018</v>
      </c>
      <c r="I6502" s="54" t="n">
        <f aca="false">H6502*Assumptions!$E$63^(1/4)+I6493*$C$6442</f>
        <v>54161.8650429175</v>
      </c>
      <c r="J6502" s="54" t="n">
        <f aca="false">I6502*Assumptions!$E$63^(1/4)+J6493*$C$6442</f>
        <v>73376.768355554</v>
      </c>
      <c r="K6502" s="54" t="n">
        <f aca="false">J6502*Assumptions!$E$63^(1/4)+K6493*$C$6442</f>
        <v>97657.3745036042</v>
      </c>
      <c r="L6502" s="54" t="n">
        <f aca="false">K6502*Assumptions!$E$63^(1/4)+L6493*$C$6442</f>
        <v>122459.146505613</v>
      </c>
      <c r="M6502" s="54" t="n">
        <f aca="false">L6502*Assumptions!$E$63^(1/4)+M6493*$C$6442</f>
        <v>146932.924638212</v>
      </c>
      <c r="N6502" s="54" t="n">
        <f aca="false">M6502*Assumptions!$E$63^(1/4)+N6493*$C$6442</f>
        <v>171121.912636854</v>
      </c>
      <c r="P6502" s="55" t="n">
        <f aca="false">F6502</f>
        <v>19757.0139869302</v>
      </c>
      <c r="Q6502" s="55" t="n">
        <f aca="false">J6502</f>
        <v>73376.768355554</v>
      </c>
      <c r="R6502" s="55" t="n">
        <f aca="false">N6502</f>
        <v>171121.912636854</v>
      </c>
      <c r="S6502" s="56" t="n">
        <f aca="false">R6502</f>
        <v>171121.912636854</v>
      </c>
    </row>
    <row r="6503" customFormat="false" ht="15" hidden="false" customHeight="false" outlineLevel="0" collapsed="false">
      <c r="A6503" s="4" t="s">
        <v>540</v>
      </c>
      <c r="B6503" s="36" t="s">
        <v>125</v>
      </c>
      <c r="C6503" s="54" t="n">
        <f aca="false">0*Assumptions!$E$64^(1/4)+C6494*$C$6443</f>
        <v>0</v>
      </c>
      <c r="D6503" s="54" t="n">
        <f aca="false">C6503*Assumptions!$E$64^(1/4)+D6494*$C$6443</f>
        <v>0</v>
      </c>
      <c r="E6503" s="54" t="n">
        <f aca="false">D6503*Assumptions!$E$64^(1/4)+E6494*$C$6443</f>
        <v>4403.28728055653</v>
      </c>
      <c r="F6503" s="54" t="n">
        <f aca="false">E6503*Assumptions!$E$64^(1/4)+F6494*$C$6443</f>
        <v>12107.4388108841</v>
      </c>
      <c r="G6503" s="54" t="n">
        <f aca="false">F6503*Assumptions!$E$64^(1/4)+G6494*$C$6443</f>
        <v>20866.0439239064</v>
      </c>
      <c r="H6503" s="54" t="n">
        <f aca="false">G6503*Assumptions!$E$64^(1/4)+H6494*$C$6443</f>
        <v>30732.6025192522</v>
      </c>
      <c r="I6503" s="54" t="n">
        <f aca="false">H6503*Assumptions!$E$64^(1/4)+I6494*$C$6443</f>
        <v>42590.8720102144</v>
      </c>
      <c r="J6503" s="54" t="n">
        <f aca="false">I6503*Assumptions!$E$64^(1/4)+J6494*$C$6443</f>
        <v>56428.9790305215</v>
      </c>
      <c r="K6503" s="54" t="n">
        <f aca="false">J6503*Assumptions!$E$64^(1/4)+K6494*$C$6443</f>
        <v>74828.6952807254</v>
      </c>
      <c r="L6503" s="54" t="n">
        <f aca="false">K6503*Assumptions!$E$64^(1/4)+L6494*$C$6443</f>
        <v>97706.5094169996</v>
      </c>
      <c r="M6503" s="54" t="n">
        <f aca="false">L6503*Assumptions!$E$64^(1/4)+M6494*$C$6443</f>
        <v>121541.467521117</v>
      </c>
      <c r="N6503" s="54" t="n">
        <f aca="false">M6503*Assumptions!$E$64^(1/4)+N6494*$C$6443</f>
        <v>145621.085996823</v>
      </c>
      <c r="P6503" s="55" t="n">
        <f aca="false">F6503</f>
        <v>12107.4388108841</v>
      </c>
      <c r="Q6503" s="55" t="n">
        <f aca="false">J6503</f>
        <v>56428.9790305215</v>
      </c>
      <c r="R6503" s="55" t="n">
        <f aca="false">N6503</f>
        <v>145621.085996823</v>
      </c>
      <c r="S6503" s="56" t="n">
        <f aca="false">R6503</f>
        <v>145621.085996823</v>
      </c>
    </row>
    <row r="6504" customFormat="false" ht="15" hidden="false" customHeight="false" outlineLevel="0" collapsed="false">
      <c r="A6504" s="9" t="s">
        <v>541</v>
      </c>
      <c r="B6504" s="36" t="s">
        <v>125</v>
      </c>
      <c r="C6504" s="55" t="n">
        <f aca="false">C6501+C6502+C6503</f>
        <v>0</v>
      </c>
      <c r="D6504" s="55" t="n">
        <f aca="false">D6501+D6502+D6503</f>
        <v>8876.43319038757</v>
      </c>
      <c r="E6504" s="55" t="n">
        <f aca="false">E6501+E6502+E6503</f>
        <v>28556.8328798949</v>
      </c>
      <c r="F6504" s="55" t="n">
        <f aca="false">F6501+F6502+F6503</f>
        <v>53219.0446912122</v>
      </c>
      <c r="G6504" s="55" t="n">
        <f aca="false">G6501+G6502+G6503</f>
        <v>80661.5284149939</v>
      </c>
      <c r="H6504" s="55" t="n">
        <f aca="false">H6501+H6502+H6503</f>
        <v>114397.200378599</v>
      </c>
      <c r="I6504" s="55" t="n">
        <f aca="false">I6501+I6502+I6503</f>
        <v>155018.116366178</v>
      </c>
      <c r="J6504" s="55" t="n">
        <f aca="false">J6501+J6502+J6503</f>
        <v>210178.596103656</v>
      </c>
      <c r="K6504" s="55" t="n">
        <f aca="false">K6501+K6502+K6503</f>
        <v>281455.503508684</v>
      </c>
      <c r="L6504" s="55" t="n">
        <f aca="false">L6501+L6502+L6503</f>
        <v>357934.868621746</v>
      </c>
      <c r="M6504" s="55" t="n">
        <f aca="false">M6501+M6502+M6503</f>
        <v>434190.644323734</v>
      </c>
      <c r="N6504" s="55" t="n">
        <f aca="false">N6501+N6502+N6503</f>
        <v>509612.726732255</v>
      </c>
      <c r="P6504" s="55" t="n">
        <f aca="false">F6504</f>
        <v>53219.0446912122</v>
      </c>
      <c r="Q6504" s="55" t="n">
        <f aca="false">J6504</f>
        <v>210178.596103656</v>
      </c>
      <c r="R6504" s="55" t="n">
        <f aca="false">N6504</f>
        <v>509612.726732255</v>
      </c>
      <c r="S6504" s="56" t="n">
        <f aca="false">R6504</f>
        <v>509612.726732255</v>
      </c>
    </row>
    <row r="6505" customFormat="false" ht="15" hidden="false" customHeight="false" outlineLevel="0" collapsed="false">
      <c r="A6505" s="4" t="s">
        <v>542</v>
      </c>
      <c r="B6505" s="36" t="s">
        <v>125</v>
      </c>
      <c r="C6505" s="54" t="n">
        <f aca="false">C6492*$C$6441+C6493*$C$6442+C6494*$C$6443</f>
        <v>0</v>
      </c>
      <c r="D6505" s="54" t="n">
        <f aca="false">D6492*$C$6441+D6493*$C$6442+D6494*$C$6443</f>
        <v>8876.43319038757</v>
      </c>
      <c r="E6505" s="54" t="n">
        <f aca="false">E6492*$C$6441+E6493*$C$6442+E6494*$C$6443</f>
        <v>19618.1886500368</v>
      </c>
      <c r="F6505" s="54" t="n">
        <f aca="false">F6492*$C$6441+F6493*$C$6442+F6494*$C$6443</f>
        <v>24335.8808795765</v>
      </c>
      <c r="G6505" s="54" t="n">
        <f aca="false">G6492*$C$6441+G6493*$C$6442+G6494*$C$6443</f>
        <v>26722.0551062465</v>
      </c>
      <c r="H6505" s="54" t="n">
        <f aca="false">H6492*$C$6441+H6493*$C$6442+H6494*$C$6443</f>
        <v>32570.6348072815</v>
      </c>
      <c r="I6505" s="54" t="n">
        <f aca="false">I6492*$C$6441+I6493*$C$6442+I6494*$C$6443</f>
        <v>38936.2212649288</v>
      </c>
      <c r="J6505" s="54" t="n">
        <f aca="false">J6492*$C$6441+J6493*$C$6442+J6494*$C$6443</f>
        <v>52851.2673832351</v>
      </c>
      <c r="K6505" s="54" t="n">
        <f aca="false">K6492*$C$6441+K6493*$C$6442+K6494*$C$6443</f>
        <v>68193.6820495777</v>
      </c>
      <c r="L6505" s="54" t="n">
        <f aca="false">L6492*$C$6441+L6493*$C$6442+L6494*$C$6443</f>
        <v>72385.5913630249</v>
      </c>
      <c r="M6505" s="54" t="n">
        <f aca="false">M6492*$C$6441+M6493*$C$6442+M6494*$C$6443</f>
        <v>70984.5735032962</v>
      </c>
      <c r="N6505" s="54" t="n">
        <f aca="false">N6492*$C$6441+N6493*$C$6442+N6494*$C$6443</f>
        <v>68944.2304944803</v>
      </c>
      <c r="P6505" s="55" t="n">
        <f aca="false">SUM(C6505:F6505)</f>
        <v>52830.5027200009</v>
      </c>
      <c r="Q6505" s="55" t="n">
        <f aca="false">SUM(G6505:J6505)</f>
        <v>151080.178561692</v>
      </c>
      <c r="R6505" s="55" t="n">
        <f aca="false">SUM(K6505:N6505)</f>
        <v>280508.077410379</v>
      </c>
      <c r="S6505" s="56" t="n">
        <f aca="false">SUM(P6505:R6505)</f>
        <v>484418.758692072</v>
      </c>
    </row>
    <row r="6506" customFormat="false" ht="15" hidden="false" customHeight="false" outlineLevel="0" collapsed="false">
      <c r="A6506" s="9" t="s">
        <v>543</v>
      </c>
      <c r="B6506" s="36" t="s">
        <v>125</v>
      </c>
      <c r="C6506" s="55" t="n">
        <f aca="false">(0+C6504)/8</f>
        <v>0</v>
      </c>
      <c r="D6506" s="55" t="n">
        <f aca="false">(C6504+D6504)/8</f>
        <v>1109.55414879845</v>
      </c>
      <c r="E6506" s="55" t="n">
        <f aca="false">(D6504+E6504)/8</f>
        <v>4679.15825878531</v>
      </c>
      <c r="F6506" s="55" t="n">
        <f aca="false">(E6504+F6504)/8</f>
        <v>10221.9846963884</v>
      </c>
      <c r="G6506" s="55" t="n">
        <f aca="false">(F6504+G6504)/8</f>
        <v>16735.0716382758</v>
      </c>
      <c r="H6506" s="55" t="n">
        <f aca="false">(G6504+H6504)/8</f>
        <v>24382.3410991992</v>
      </c>
      <c r="I6506" s="55" t="n">
        <f aca="false">(H6504+I6504)/8</f>
        <v>33676.9145930972</v>
      </c>
      <c r="J6506" s="55" t="n">
        <f aca="false">(I6504+J6504)/8</f>
        <v>45649.5890587293</v>
      </c>
      <c r="K6506" s="55" t="n">
        <f aca="false">(J6504+K6504)/8</f>
        <v>61454.2624515425</v>
      </c>
      <c r="L6506" s="55" t="n">
        <f aca="false">(K6504+L6504)/8</f>
        <v>79923.7965163037</v>
      </c>
      <c r="M6506" s="55" t="n">
        <f aca="false">(L6504+M6504)/8</f>
        <v>99015.6891181849</v>
      </c>
      <c r="N6506" s="55" t="n">
        <f aca="false">(M6504+N6504)/8</f>
        <v>117975.421381999</v>
      </c>
      <c r="P6506" s="55" t="n">
        <f aca="false">SUM(C6506:F6506)</f>
        <v>16010.6971039722</v>
      </c>
      <c r="Q6506" s="55" t="n">
        <f aca="false">SUM(G6506:J6506)</f>
        <v>120443.916389301</v>
      </c>
      <c r="R6506" s="55" t="n">
        <f aca="false">SUM(K6506:N6506)</f>
        <v>358369.16946803</v>
      </c>
      <c r="S6506" s="56" t="n">
        <f aca="false">SUM(P6506:R6506)</f>
        <v>494823.782961303</v>
      </c>
    </row>
    <row r="6507" customFormat="false" ht="15" hidden="false" customHeight="false" outlineLevel="0" collapsed="false">
      <c r="A6507" s="4" t="s">
        <v>544</v>
      </c>
      <c r="B6507" s="36" t="s">
        <v>125</v>
      </c>
      <c r="C6507" s="54" t="n">
        <f aca="false">C6506*Assumptions!$D$76</f>
        <v>0</v>
      </c>
      <c r="D6507" s="54" t="n">
        <f aca="false">D6506*Assumptions!$D$76</f>
        <v>610.254781839145</v>
      </c>
      <c r="E6507" s="54" t="n">
        <f aca="false">E6506*Assumptions!$D$76</f>
        <v>2573.53704233192</v>
      </c>
      <c r="F6507" s="54" t="n">
        <f aca="false">F6506*Assumptions!$D$76</f>
        <v>5622.09158301362</v>
      </c>
      <c r="G6507" s="54" t="n">
        <f aca="false">G6506*Assumptions!$D$76</f>
        <v>9204.28940105167</v>
      </c>
      <c r="H6507" s="54" t="n">
        <f aca="false">H6506*Assumptions!$D$76</f>
        <v>13410.2876045595</v>
      </c>
      <c r="I6507" s="54" t="n">
        <f aca="false">I6506*Assumptions!$D$76</f>
        <v>18522.3030262035</v>
      </c>
      <c r="J6507" s="54" t="n">
        <f aca="false">J6506*Assumptions!$D$76</f>
        <v>25107.2739823011</v>
      </c>
      <c r="K6507" s="54" t="n">
        <f aca="false">K6506*Assumptions!$D$76</f>
        <v>33799.8443483484</v>
      </c>
      <c r="L6507" s="54" t="n">
        <f aca="false">L6506*Assumptions!$D$76</f>
        <v>43958.088083967</v>
      </c>
      <c r="M6507" s="54" t="n">
        <f aca="false">M6506*Assumptions!$D$76</f>
        <v>54458.6290150017</v>
      </c>
      <c r="N6507" s="54" t="n">
        <f aca="false">N6506*Assumptions!$D$76</f>
        <v>64886.4817600992</v>
      </c>
      <c r="P6507" s="55" t="n">
        <f aca="false">SUM(C6507:F6507)</f>
        <v>8805.88340718469</v>
      </c>
      <c r="Q6507" s="55" t="n">
        <f aca="false">SUM(G6507:J6507)</f>
        <v>66244.1540141158</v>
      </c>
      <c r="R6507" s="55" t="n">
        <f aca="false">SUM(K6507:N6507)</f>
        <v>197103.043207416</v>
      </c>
      <c r="S6507" s="56" t="n">
        <f aca="false">SUM(P6507:R6507)</f>
        <v>272153.080628717</v>
      </c>
    </row>
    <row r="6508" customFormat="false" ht="15" hidden="false" customHeight="false" outlineLevel="0" collapsed="false">
      <c r="A6508" s="35" t="s">
        <v>547</v>
      </c>
      <c r="B6508" s="35" t="s">
        <v>444</v>
      </c>
      <c r="C6508" s="6" t="s">
        <v>354</v>
      </c>
      <c r="D6508" s="6" t="s">
        <v>355</v>
      </c>
      <c r="E6508" s="6" t="s">
        <v>356</v>
      </c>
      <c r="F6508" s="6" t="s">
        <v>357</v>
      </c>
      <c r="G6508" s="6" t="s">
        <v>358</v>
      </c>
      <c r="H6508" s="6" t="s">
        <v>359</v>
      </c>
      <c r="I6508" s="6" t="s">
        <v>360</v>
      </c>
      <c r="J6508" s="6" t="s">
        <v>361</v>
      </c>
      <c r="K6508" s="6" t="s">
        <v>362</v>
      </c>
      <c r="L6508" s="6" t="s">
        <v>363</v>
      </c>
      <c r="M6508" s="6" t="s">
        <v>364</v>
      </c>
      <c r="N6508" s="6" t="s">
        <v>365</v>
      </c>
      <c r="P6508" s="6" t="s">
        <v>445</v>
      </c>
      <c r="Q6508" s="6" t="s">
        <v>446</v>
      </c>
      <c r="R6508" s="6" t="s">
        <v>447</v>
      </c>
      <c r="S6508" s="6" t="s">
        <v>448</v>
      </c>
    </row>
    <row r="6509" customFormat="false" ht="15" hidden="false" customHeight="false" outlineLevel="0" collapsed="false">
      <c r="A6509" s="4" t="s">
        <v>548</v>
      </c>
      <c r="B6509" s="36" t="s">
        <v>321</v>
      </c>
      <c r="C6509" s="48" t="n">
        <f aca="false">Assumptions!$D$97*C6451</f>
        <v>1</v>
      </c>
      <c r="D6509" s="48" t="n">
        <f aca="false">Assumptions!$D$97*D6451</f>
        <v>1</v>
      </c>
      <c r="E6509" s="48" t="n">
        <f aca="false">Assumptions!$D$97*E6451</f>
        <v>1</v>
      </c>
      <c r="F6509" s="48" t="n">
        <f aca="false">Assumptions!$D$97*F6451</f>
        <v>1</v>
      </c>
      <c r="G6509" s="48" t="n">
        <f aca="false">Assumptions!$D$97*G6451</f>
        <v>1</v>
      </c>
      <c r="H6509" s="48" t="n">
        <f aca="false">Assumptions!$D$97*H6451</f>
        <v>1</v>
      </c>
      <c r="I6509" s="48" t="n">
        <f aca="false">Assumptions!$D$97*I6451</f>
        <v>1</v>
      </c>
      <c r="J6509" s="48" t="n">
        <f aca="false">Assumptions!$D$97*J6451</f>
        <v>1</v>
      </c>
      <c r="K6509" s="48" t="n">
        <f aca="false">Assumptions!$D$97*K6451</f>
        <v>1</v>
      </c>
      <c r="L6509" s="48" t="n">
        <f aca="false">Assumptions!$D$97*L6451</f>
        <v>1</v>
      </c>
      <c r="M6509" s="48" t="n">
        <f aca="false">Assumptions!$D$97*M6451</f>
        <v>1</v>
      </c>
      <c r="N6509" s="48" t="n">
        <f aca="false">Assumptions!$D$97*N6451</f>
        <v>1</v>
      </c>
      <c r="P6509" s="49" t="n">
        <f aca="false">AVERAGE(C6509:F6509)</f>
        <v>1</v>
      </c>
      <c r="Q6509" s="49" t="n">
        <f aca="false">AVERAGE(G6509:J6509)</f>
        <v>1</v>
      </c>
      <c r="R6509" s="49" t="n">
        <f aca="false">AVERAGE(K6509:N6509)</f>
        <v>1</v>
      </c>
      <c r="S6509" s="50"/>
    </row>
    <row r="6510" customFormat="false" ht="15" hidden="false" customHeight="false" outlineLevel="0" collapsed="false">
      <c r="A6510" s="4" t="s">
        <v>549</v>
      </c>
      <c r="B6510" s="36" t="s">
        <v>321</v>
      </c>
      <c r="C6510" s="48" t="n">
        <f aca="false">C6464*C6451</f>
        <v>0</v>
      </c>
      <c r="D6510" s="48" t="n">
        <f aca="false">D6464*D6451</f>
        <v>0</v>
      </c>
      <c r="E6510" s="48" t="n">
        <f aca="false">E6464*E6451</f>
        <v>0</v>
      </c>
      <c r="F6510" s="48" t="n">
        <f aca="false">F6464*F6451</f>
        <v>0</v>
      </c>
      <c r="G6510" s="48" t="n">
        <f aca="false">G6464*G6451</f>
        <v>0</v>
      </c>
      <c r="H6510" s="48" t="n">
        <f aca="false">H6464*H6451</f>
        <v>0</v>
      </c>
      <c r="I6510" s="48" t="n">
        <f aca="false">I6464*I6451</f>
        <v>0</v>
      </c>
      <c r="J6510" s="48" t="n">
        <f aca="false">J6464*J6451</f>
        <v>0</v>
      </c>
      <c r="K6510" s="48" t="n">
        <f aca="false">K6464*K6451</f>
        <v>0</v>
      </c>
      <c r="L6510" s="48" t="n">
        <f aca="false">L6464*L6451</f>
        <v>0</v>
      </c>
      <c r="M6510" s="48" t="n">
        <f aca="false">M6464*M6451</f>
        <v>0</v>
      </c>
      <c r="N6510" s="48" t="n">
        <f aca="false">N6464*N6451</f>
        <v>0</v>
      </c>
      <c r="P6510" s="49" t="n">
        <f aca="false">AVERAGE(C6510:F6510)</f>
        <v>0</v>
      </c>
      <c r="Q6510" s="49" t="n">
        <f aca="false">AVERAGE(G6510:J6510)</f>
        <v>0</v>
      </c>
      <c r="R6510" s="49" t="n">
        <f aca="false">AVERAGE(K6510:N6510)</f>
        <v>0</v>
      </c>
      <c r="S6510" s="50"/>
    </row>
    <row r="6511" customFormat="false" ht="15" hidden="false" customHeight="false" outlineLevel="0" collapsed="false">
      <c r="A6511" s="4" t="s">
        <v>550</v>
      </c>
      <c r="B6511" s="36" t="s">
        <v>321</v>
      </c>
      <c r="C6511" s="48" t="n">
        <f aca="false">IF(C6450&lt;=4,Assumptions!$D$98,Assumptions!$D$99)*C6451</f>
        <v>0</v>
      </c>
      <c r="D6511" s="48" t="n">
        <f aca="false">IF(D6450&lt;=4,Assumptions!$D$98,Assumptions!$D$99)*D6451</f>
        <v>0</v>
      </c>
      <c r="E6511" s="48" t="n">
        <f aca="false">IF(E6450&lt;=4,Assumptions!$D$98,Assumptions!$D$99)*E6451</f>
        <v>0</v>
      </c>
      <c r="F6511" s="48" t="n">
        <f aca="false">IF(F6450&lt;=4,Assumptions!$D$98,Assumptions!$D$99)*F6451</f>
        <v>0</v>
      </c>
      <c r="G6511" s="48" t="n">
        <f aca="false">IF(G6450&lt;=4,Assumptions!$D$98,Assumptions!$D$99)*G6451</f>
        <v>0.5</v>
      </c>
      <c r="H6511" s="48" t="n">
        <f aca="false">IF(H6450&lt;=4,Assumptions!$D$98,Assumptions!$D$99)*H6451</f>
        <v>0.5</v>
      </c>
      <c r="I6511" s="48" t="n">
        <f aca="false">IF(I6450&lt;=4,Assumptions!$D$98,Assumptions!$D$99)*I6451</f>
        <v>0.5</v>
      </c>
      <c r="J6511" s="48" t="n">
        <f aca="false">IF(J6450&lt;=4,Assumptions!$D$98,Assumptions!$D$99)*J6451</f>
        <v>0.5</v>
      </c>
      <c r="K6511" s="48" t="n">
        <f aca="false">IF(K6450&lt;=4,Assumptions!$D$98,Assumptions!$D$99)*K6451</f>
        <v>0.5</v>
      </c>
      <c r="L6511" s="48" t="n">
        <f aca="false">IF(L6450&lt;=4,Assumptions!$D$98,Assumptions!$D$99)*L6451</f>
        <v>0.5</v>
      </c>
      <c r="M6511" s="48" t="n">
        <f aca="false">IF(M6450&lt;=4,Assumptions!$D$98,Assumptions!$D$99)*M6451</f>
        <v>0.5</v>
      </c>
      <c r="N6511" s="48" t="n">
        <f aca="false">IF(N6450&lt;=4,Assumptions!$D$98,Assumptions!$D$99)*N6451</f>
        <v>0.5</v>
      </c>
      <c r="P6511" s="49" t="n">
        <f aca="false">AVERAGE(C6511:F6511)</f>
        <v>0</v>
      </c>
      <c r="Q6511" s="49" t="n">
        <f aca="false">AVERAGE(G6511:J6511)</f>
        <v>0.5</v>
      </c>
      <c r="R6511" s="49" t="n">
        <f aca="false">AVERAGE(K6511:N6511)</f>
        <v>0.5</v>
      </c>
      <c r="S6511" s="50"/>
    </row>
    <row r="6512" customFormat="false" ht="15" hidden="false" customHeight="false" outlineLevel="0" collapsed="false">
      <c r="A6512" s="4" t="s">
        <v>551</v>
      </c>
      <c r="B6512" s="36" t="s">
        <v>321</v>
      </c>
      <c r="C6512" s="48" t="n">
        <f aca="false">IF(C6450&lt;=4,Assumptions!$D$100,Assumptions!$D$101)*C6451</f>
        <v>1</v>
      </c>
      <c r="D6512" s="48" t="n">
        <f aca="false">IF(D6450&lt;=4,Assumptions!$D$100,Assumptions!$D$101)*D6451</f>
        <v>1</v>
      </c>
      <c r="E6512" s="48" t="n">
        <f aca="false">IF(E6450&lt;=4,Assumptions!$D$100,Assumptions!$D$101)*E6451</f>
        <v>1</v>
      </c>
      <c r="F6512" s="48" t="n">
        <f aca="false">IF(F6450&lt;=4,Assumptions!$D$100,Assumptions!$D$101)*F6451</f>
        <v>1</v>
      </c>
      <c r="G6512" s="48" t="n">
        <f aca="false">IF(G6450&lt;=4,Assumptions!$D$100,Assumptions!$D$101)*G6451</f>
        <v>0.5</v>
      </c>
      <c r="H6512" s="48" t="n">
        <f aca="false">IF(H6450&lt;=4,Assumptions!$D$100,Assumptions!$D$101)*H6451</f>
        <v>0.5</v>
      </c>
      <c r="I6512" s="48" t="n">
        <f aca="false">IF(I6450&lt;=4,Assumptions!$D$100,Assumptions!$D$101)*I6451</f>
        <v>0.5</v>
      </c>
      <c r="J6512" s="48" t="n">
        <f aca="false">IF(J6450&lt;=4,Assumptions!$D$100,Assumptions!$D$101)*J6451</f>
        <v>0.5</v>
      </c>
      <c r="K6512" s="48" t="n">
        <f aca="false">IF(K6450&lt;=4,Assumptions!$D$100,Assumptions!$D$101)*K6451</f>
        <v>0.5</v>
      </c>
      <c r="L6512" s="48" t="n">
        <f aca="false">IF(L6450&lt;=4,Assumptions!$D$100,Assumptions!$D$101)*L6451</f>
        <v>0.5</v>
      </c>
      <c r="M6512" s="48" t="n">
        <f aca="false">IF(M6450&lt;=4,Assumptions!$D$100,Assumptions!$D$101)*M6451</f>
        <v>0.5</v>
      </c>
      <c r="N6512" s="48" t="n">
        <f aca="false">IF(N6450&lt;=4,Assumptions!$D$100,Assumptions!$D$101)*N6451</f>
        <v>0.5</v>
      </c>
      <c r="P6512" s="49" t="n">
        <f aca="false">AVERAGE(C6512:F6512)</f>
        <v>1</v>
      </c>
      <c r="Q6512" s="49" t="n">
        <f aca="false">AVERAGE(G6512:J6512)</f>
        <v>0.5</v>
      </c>
      <c r="R6512" s="49" t="n">
        <f aca="false">AVERAGE(K6512:N6512)</f>
        <v>0.5</v>
      </c>
      <c r="S6512" s="50"/>
    </row>
    <row r="6513" customFormat="false" ht="15" hidden="false" customHeight="false" outlineLevel="0" collapsed="false">
      <c r="A6513" s="4" t="s">
        <v>552</v>
      </c>
      <c r="B6513" s="36" t="s">
        <v>321</v>
      </c>
      <c r="C6513" s="48" t="n">
        <f aca="false">Assumptions!$D$102*C6451</f>
        <v>0.25</v>
      </c>
      <c r="D6513" s="48" t="n">
        <f aca="false">Assumptions!$D$102*D6451</f>
        <v>0.25</v>
      </c>
      <c r="E6513" s="48" t="n">
        <f aca="false">Assumptions!$D$102*E6451</f>
        <v>0.25</v>
      </c>
      <c r="F6513" s="48" t="n">
        <f aca="false">Assumptions!$D$102*F6451</f>
        <v>0.25</v>
      </c>
      <c r="G6513" s="48" t="n">
        <f aca="false">Assumptions!$D$102*G6451</f>
        <v>0.25</v>
      </c>
      <c r="H6513" s="48" t="n">
        <f aca="false">Assumptions!$D$102*H6451</f>
        <v>0.25</v>
      </c>
      <c r="I6513" s="48" t="n">
        <f aca="false">Assumptions!$D$102*I6451</f>
        <v>0.25</v>
      </c>
      <c r="J6513" s="48" t="n">
        <f aca="false">Assumptions!$D$102*J6451</f>
        <v>0.25</v>
      </c>
      <c r="K6513" s="48" t="n">
        <f aca="false">Assumptions!$D$102*K6451</f>
        <v>0.25</v>
      </c>
      <c r="L6513" s="48" t="n">
        <f aca="false">Assumptions!$D$102*L6451</f>
        <v>0.25</v>
      </c>
      <c r="M6513" s="48" t="n">
        <f aca="false">Assumptions!$D$102*M6451</f>
        <v>0.25</v>
      </c>
      <c r="N6513" s="48" t="n">
        <f aca="false">Assumptions!$D$102*N6451</f>
        <v>0.25</v>
      </c>
      <c r="P6513" s="49" t="n">
        <f aca="false">AVERAGE(C6513:F6513)</f>
        <v>0.25</v>
      </c>
      <c r="Q6513" s="49" t="n">
        <f aca="false">AVERAGE(G6513:J6513)</f>
        <v>0.25</v>
      </c>
      <c r="R6513" s="49" t="n">
        <f aca="false">AVERAGE(K6513:N6513)</f>
        <v>0.25</v>
      </c>
      <c r="S6513" s="50"/>
    </row>
    <row r="6514" customFormat="false" ht="15" hidden="false" customHeight="false" outlineLevel="0" collapsed="false">
      <c r="A6514" s="4" t="s">
        <v>553</v>
      </c>
      <c r="B6514" s="36" t="s">
        <v>321</v>
      </c>
      <c r="C6514" s="48" t="n">
        <f aca="false">(C6498+C6499)/Assumptions!$E$74+C6497/Assumptions!$E$75</f>
        <v>0</v>
      </c>
      <c r="D6514" s="48" t="n">
        <f aca="false">(D6498+D6499)/Assumptions!$E$74+D6497/Assumptions!$E$75</f>
        <v>0.0143176301374139</v>
      </c>
      <c r="E6514" s="48" t="n">
        <f aca="false">(E6498+E6499)/Assumptions!$E$74+E6497/Assumptions!$E$75</f>
        <v>0.0402499456767798</v>
      </c>
      <c r="F6514" s="48" t="n">
        <f aca="false">(F6498+F6499)/Assumptions!$E$74+F6497/Assumptions!$E$75</f>
        <v>0.069296156601371</v>
      </c>
      <c r="G6514" s="48" t="n">
        <f aca="false">(G6498+G6499)/Assumptions!$E$74+G6497/Assumptions!$E$75</f>
        <v>0.100475077199051</v>
      </c>
      <c r="H6514" s="48" t="n">
        <f aca="false">(H6498+H6499)/Assumptions!$E$74+H6497/Assumptions!$E$75</f>
        <v>0.139084643227244</v>
      </c>
      <c r="I6514" s="48" t="n">
        <f aca="false">(I6498+I6499)/Assumptions!$E$74+I6497/Assumptions!$E$75</f>
        <v>0.184756080005146</v>
      </c>
      <c r="J6514" s="48" t="n">
        <f aca="false">(J6498+J6499)/Assumptions!$E$74+J6497/Assumptions!$E$75</f>
        <v>0.248473880206466</v>
      </c>
      <c r="K6514" s="48" t="n">
        <f aca="false">(K6498+K6499)/Assumptions!$E$74+K6497/Assumptions!$E$75</f>
        <v>0.329218871456529</v>
      </c>
      <c r="L6514" s="48" t="n">
        <f aca="false">(L6498+L6499)/Assumptions!$E$74+L6497/Assumptions!$E$75</f>
        <v>0.409912468045788</v>
      </c>
      <c r="M6514" s="48" t="n">
        <f aca="false">(M6498+M6499)/Assumptions!$E$74+M6497/Assumptions!$E$75</f>
        <v>0.486094517455055</v>
      </c>
      <c r="N6514" s="48" t="n">
        <f aca="false">(N6498+N6499)/Assumptions!$E$74+N6497/Assumptions!$E$75</f>
        <v>0.557753573090085</v>
      </c>
      <c r="P6514" s="49" t="n">
        <f aca="false">AVERAGE(C6514:F6514)</f>
        <v>0.0309659331038912</v>
      </c>
      <c r="Q6514" s="49" t="n">
        <f aca="false">AVERAGE(G6514:J6514)</f>
        <v>0.168197420159477</v>
      </c>
      <c r="R6514" s="49" t="n">
        <f aca="false">AVERAGE(K6514:N6514)</f>
        <v>0.445744857511864</v>
      </c>
      <c r="S6514" s="50"/>
    </row>
    <row r="6515" customFormat="false" ht="15" hidden="false" customHeight="false" outlineLevel="0" collapsed="false">
      <c r="A6515" s="4" t="s">
        <v>554</v>
      </c>
      <c r="B6515" s="36" t="s">
        <v>125</v>
      </c>
      <c r="C6515" s="54" t="n">
        <f aca="false">(C6509+C6511)*Assumptions!$E$70/Assumptions!$E$69/4</f>
        <v>66753.5714285714</v>
      </c>
      <c r="D6515" s="54" t="n">
        <f aca="false">(D6509+D6511)*Assumptions!$E$70/Assumptions!$E$69/4</f>
        <v>66753.5714285714</v>
      </c>
      <c r="E6515" s="54" t="n">
        <f aca="false">(E6509+E6511)*Assumptions!$E$70/Assumptions!$E$69/4</f>
        <v>66753.5714285714</v>
      </c>
      <c r="F6515" s="54" t="n">
        <f aca="false">(F6509+F6511)*Assumptions!$E$70/Assumptions!$E$69/4</f>
        <v>66753.5714285714</v>
      </c>
      <c r="G6515" s="54" t="n">
        <f aca="false">(G6509+G6511)*Assumptions!$E$70/Assumptions!$E$69/4</f>
        <v>100130.357142857</v>
      </c>
      <c r="H6515" s="54" t="n">
        <f aca="false">(H6509+H6511)*Assumptions!$E$70/Assumptions!$E$69/4</f>
        <v>100130.357142857</v>
      </c>
      <c r="I6515" s="54" t="n">
        <f aca="false">(I6509+I6511)*Assumptions!$E$70/Assumptions!$E$69/4</f>
        <v>100130.357142857</v>
      </c>
      <c r="J6515" s="54" t="n">
        <f aca="false">(J6509+J6511)*Assumptions!$E$70/Assumptions!$E$69/4</f>
        <v>100130.357142857</v>
      </c>
      <c r="K6515" s="54" t="n">
        <f aca="false">(K6509+K6511)*Assumptions!$E$70/Assumptions!$E$69/4</f>
        <v>100130.357142857</v>
      </c>
      <c r="L6515" s="54" t="n">
        <f aca="false">(L6509+L6511)*Assumptions!$E$70/Assumptions!$E$69/4</f>
        <v>100130.357142857</v>
      </c>
      <c r="M6515" s="54" t="n">
        <f aca="false">(M6509+M6511)*Assumptions!$E$70/Assumptions!$E$69/4</f>
        <v>100130.357142857</v>
      </c>
      <c r="N6515" s="54" t="n">
        <f aca="false">(N6509+N6511)*Assumptions!$E$70/Assumptions!$E$69/4</f>
        <v>100130.357142857</v>
      </c>
      <c r="P6515" s="55" t="n">
        <f aca="false">SUM(C6515:F6515)</f>
        <v>267014.285714286</v>
      </c>
      <c r="Q6515" s="55" t="n">
        <f aca="false">SUM(G6515:J6515)</f>
        <v>400521.428571429</v>
      </c>
      <c r="R6515" s="55" t="n">
        <f aca="false">SUM(K6515:N6515)</f>
        <v>400521.428571429</v>
      </c>
      <c r="S6515" s="56" t="n">
        <f aca="false">SUM(P6515:R6515)</f>
        <v>1068057.14285714</v>
      </c>
    </row>
    <row r="6516" customFormat="false" ht="15" hidden="false" customHeight="false" outlineLevel="0" collapsed="false">
      <c r="A6516" s="4" t="s">
        <v>555</v>
      </c>
      <c r="B6516" s="36" t="s">
        <v>125</v>
      </c>
      <c r="C6516" s="54" t="n">
        <f aca="false">C6510*$C$6445/4</f>
        <v>0</v>
      </c>
      <c r="D6516" s="54" t="n">
        <f aca="false">D6510*$C$6445/4</f>
        <v>0</v>
      </c>
      <c r="E6516" s="54" t="n">
        <f aca="false">E6510*$C$6445/4</f>
        <v>0</v>
      </c>
      <c r="F6516" s="54" t="n">
        <f aca="false">F6510*$C$6445/4</f>
        <v>0</v>
      </c>
      <c r="G6516" s="54" t="n">
        <f aca="false">G6510*$C$6445/4</f>
        <v>0</v>
      </c>
      <c r="H6516" s="54" t="n">
        <f aca="false">H6510*$C$6445/4</f>
        <v>0</v>
      </c>
      <c r="I6516" s="54" t="n">
        <f aca="false">I6510*$C$6445/4</f>
        <v>0</v>
      </c>
      <c r="J6516" s="54" t="n">
        <f aca="false">J6510*$C$6445/4</f>
        <v>0</v>
      </c>
      <c r="K6516" s="54" t="n">
        <f aca="false">K6510*$C$6445/4</f>
        <v>0</v>
      </c>
      <c r="L6516" s="54" t="n">
        <f aca="false">L6510*$C$6445/4</f>
        <v>0</v>
      </c>
      <c r="M6516" s="54" t="n">
        <f aca="false">M6510*$C$6445/4</f>
        <v>0</v>
      </c>
      <c r="N6516" s="54" t="n">
        <f aca="false">N6510*$C$6445/4</f>
        <v>0</v>
      </c>
      <c r="P6516" s="55" t="n">
        <f aca="false">SUM(C6516:F6516)</f>
        <v>0</v>
      </c>
      <c r="Q6516" s="55" t="n">
        <f aca="false">SUM(G6516:J6516)</f>
        <v>0</v>
      </c>
      <c r="R6516" s="55" t="n">
        <f aca="false">SUM(K6516:N6516)</f>
        <v>0</v>
      </c>
      <c r="S6516" s="56" t="n">
        <f aca="false">SUM(P6516:R6516)</f>
        <v>0</v>
      </c>
    </row>
    <row r="6517" customFormat="false" ht="15" hidden="false" customHeight="false" outlineLevel="0" collapsed="false">
      <c r="A6517" s="4" t="s">
        <v>556</v>
      </c>
      <c r="B6517" s="36" t="s">
        <v>125</v>
      </c>
      <c r="C6517" s="54" t="n">
        <f aca="false">MAX(0,(C6505-C6486*$C$6441)-C6465*$C$6446)*$C$6447*Assumptions!$D$105</f>
        <v>0</v>
      </c>
      <c r="D6517" s="54" t="n">
        <f aca="false">MAX(0,(D6505-D6486*$C$6441)-D6465*$C$6446)*$C$6447*Assumptions!$D$105</f>
        <v>3491.72206180778</v>
      </c>
      <c r="E6517" s="54" t="n">
        <f aca="false">MAX(0,(E6505-E6486*$C$6441)-E6465*$C$6446)*$C$6447*Assumptions!$D$105</f>
        <v>8039.09651874593</v>
      </c>
      <c r="F6517" s="54" t="n">
        <f aca="false">MAX(0,(F6505-F6486*$C$6441)-F6465*$C$6446)*$C$6447*Assumptions!$D$105</f>
        <v>10124.750003461</v>
      </c>
      <c r="G6517" s="54" t="n">
        <f aca="false">MAX(0,(G6505-G6486*$C$6441)-G6465*$C$6446)*$C$6447*Assumptions!$D$105</f>
        <v>11120.4562644655</v>
      </c>
      <c r="H6517" s="54" t="n">
        <f aca="false">MAX(0,(H6505-H6486*$C$6441)-H6465*$C$6446)*$C$6447*Assumptions!$D$105</f>
        <v>13463.0357338943</v>
      </c>
      <c r="I6517" s="54" t="n">
        <f aca="false">MAX(0,(I6505-I6486*$C$6441)-I6465*$C$6446)*$C$6447*Assumptions!$D$105</f>
        <v>16072.2164343224</v>
      </c>
      <c r="J6517" s="54" t="n">
        <f aca="false">MAX(0,(J6505-J6486*$C$6441)-J6465*$C$6446)*$C$6447*Assumptions!$D$105</f>
        <v>21559.8957723031</v>
      </c>
      <c r="K6517" s="54" t="n">
        <f aca="false">MAX(0,(K6505-K6486*$C$6441)-K6465*$C$6446)*$C$6447*Assumptions!$D$105</f>
        <v>27808.6094682429</v>
      </c>
      <c r="L6517" s="54" t="n">
        <f aca="false">MAX(0,(L6505-L6486*$C$6441)-L6465*$C$6446)*$C$6447*Assumptions!$D$105</f>
        <v>29735.5837530454</v>
      </c>
      <c r="M6517" s="54" t="n">
        <f aca="false">MAX(0,(M6505-M6486*$C$6441)-M6465*$C$6446)*$C$6447*Assumptions!$D$105</f>
        <v>29201.3815340945</v>
      </c>
      <c r="N6517" s="54" t="n">
        <f aca="false">MAX(0,(N6505-N6486*$C$6441)-N6465*$C$6446)*$C$6447*Assumptions!$D$105</f>
        <v>28360.6706538674</v>
      </c>
      <c r="P6517" s="55" t="n">
        <f aca="false">SUM(C6517:F6517)</f>
        <v>21655.5685840147</v>
      </c>
      <c r="Q6517" s="55" t="n">
        <f aca="false">SUM(G6517:J6517)</f>
        <v>62215.6042049852</v>
      </c>
      <c r="R6517" s="55" t="n">
        <f aca="false">SUM(K6517:N6517)</f>
        <v>115106.24540925</v>
      </c>
      <c r="S6517" s="56" t="n">
        <f aca="false">SUM(P6517:R6517)</f>
        <v>198977.41819825</v>
      </c>
    </row>
    <row r="6518" customFormat="false" ht="15" hidden="false" customHeight="false" outlineLevel="0" collapsed="false">
      <c r="A6518" s="4" t="s">
        <v>557</v>
      </c>
      <c r="B6518" s="36" t="s">
        <v>125</v>
      </c>
      <c r="C6518" s="54" t="n">
        <f aca="false">C6513*Assumptions!$E$71/Assumptions!$E$69/4</f>
        <v>18475.8928571429</v>
      </c>
      <c r="D6518" s="54" t="n">
        <f aca="false">D6513*Assumptions!$E$71/Assumptions!$E$69/4</f>
        <v>18475.8928571429</v>
      </c>
      <c r="E6518" s="54" t="n">
        <f aca="false">E6513*Assumptions!$E$71/Assumptions!$E$69/4</f>
        <v>18475.8928571429</v>
      </c>
      <c r="F6518" s="54" t="n">
        <f aca="false">F6513*Assumptions!$E$71/Assumptions!$E$69/4</f>
        <v>18475.8928571429</v>
      </c>
      <c r="G6518" s="54" t="n">
        <f aca="false">G6513*Assumptions!$E$71/Assumptions!$E$69/4</f>
        <v>18475.8928571429</v>
      </c>
      <c r="H6518" s="54" t="n">
        <f aca="false">H6513*Assumptions!$E$71/Assumptions!$E$69/4</f>
        <v>18475.8928571429</v>
      </c>
      <c r="I6518" s="54" t="n">
        <f aca="false">I6513*Assumptions!$E$71/Assumptions!$E$69/4</f>
        <v>18475.8928571429</v>
      </c>
      <c r="J6518" s="54" t="n">
        <f aca="false">J6513*Assumptions!$E$71/Assumptions!$E$69/4</f>
        <v>18475.8928571429</v>
      </c>
      <c r="K6518" s="54" t="n">
        <f aca="false">K6513*Assumptions!$E$71/Assumptions!$E$69/4</f>
        <v>18475.8928571429</v>
      </c>
      <c r="L6518" s="54" t="n">
        <f aca="false">L6513*Assumptions!$E$71/Assumptions!$E$69/4</f>
        <v>18475.8928571429</v>
      </c>
      <c r="M6518" s="54" t="n">
        <f aca="false">M6513*Assumptions!$E$71/Assumptions!$E$69/4</f>
        <v>18475.8928571429</v>
      </c>
      <c r="N6518" s="54" t="n">
        <f aca="false">N6513*Assumptions!$E$71/Assumptions!$E$69/4</f>
        <v>18475.8928571429</v>
      </c>
      <c r="P6518" s="55" t="n">
        <f aca="false">SUM(C6518:F6518)</f>
        <v>73903.5714285714</v>
      </c>
      <c r="Q6518" s="55" t="n">
        <f aca="false">SUM(G6518:J6518)</f>
        <v>73903.5714285714</v>
      </c>
      <c r="R6518" s="55" t="n">
        <f aca="false">SUM(K6518:N6518)</f>
        <v>73903.5714285714</v>
      </c>
      <c r="S6518" s="56" t="n">
        <f aca="false">SUM(P6518:R6518)</f>
        <v>221710.714285714</v>
      </c>
    </row>
    <row r="6519" customFormat="false" ht="15" hidden="false" customHeight="false" outlineLevel="0" collapsed="false">
      <c r="A6519" s="4" t="s">
        <v>558</v>
      </c>
      <c r="B6519" s="36" t="s">
        <v>125</v>
      </c>
      <c r="C6519" s="54" t="n">
        <f aca="false">(Assumptions!$D$103+Assumptions!$E$77*((C6450=Assumptions!$E$13)+(C6450=Assumptions!$E$14)+(C6450=Assumptions!$E$15)))*C6451</f>
        <v>65000</v>
      </c>
      <c r="D6519" s="54" t="n">
        <f aca="false">(Assumptions!$D$103+Assumptions!$E$77*((D6450=Assumptions!$E$13)+(D6450=Assumptions!$E$14)+(D6450=Assumptions!$E$15)))*D6451</f>
        <v>25000</v>
      </c>
      <c r="E6519" s="54" t="n">
        <f aca="false">(Assumptions!$D$103+Assumptions!$E$77*((E6450=Assumptions!$E$13)+(E6450=Assumptions!$E$14)+(E6450=Assumptions!$E$15)))*E6451</f>
        <v>25000</v>
      </c>
      <c r="F6519" s="54" t="n">
        <f aca="false">(Assumptions!$D$103+Assumptions!$E$77*((F6450=Assumptions!$E$13)+(F6450=Assumptions!$E$14)+(F6450=Assumptions!$E$15)))*F6451</f>
        <v>25000</v>
      </c>
      <c r="G6519" s="54" t="n">
        <f aca="false">(Assumptions!$D$103+Assumptions!$E$77*((G6450=Assumptions!$E$13)+(G6450=Assumptions!$E$14)+(G6450=Assumptions!$E$15)))*G6451</f>
        <v>65000</v>
      </c>
      <c r="H6519" s="54" t="n">
        <f aca="false">(Assumptions!$D$103+Assumptions!$E$77*((H6450=Assumptions!$E$13)+(H6450=Assumptions!$E$14)+(H6450=Assumptions!$E$15)))*H6451</f>
        <v>25000</v>
      </c>
      <c r="I6519" s="54" t="n">
        <f aca="false">(Assumptions!$D$103+Assumptions!$E$77*((I6450=Assumptions!$E$13)+(I6450=Assumptions!$E$14)+(I6450=Assumptions!$E$15)))*I6451</f>
        <v>65000</v>
      </c>
      <c r="J6519" s="54" t="n">
        <f aca="false">(Assumptions!$D$103+Assumptions!$E$77*((J6450=Assumptions!$E$13)+(J6450=Assumptions!$E$14)+(J6450=Assumptions!$E$15)))*J6451</f>
        <v>25000</v>
      </c>
      <c r="K6519" s="54" t="n">
        <f aca="false">(Assumptions!$D$103+Assumptions!$E$77*((K6450=Assumptions!$E$13)+(K6450=Assumptions!$E$14)+(K6450=Assumptions!$E$15)))*K6451</f>
        <v>25000</v>
      </c>
      <c r="L6519" s="54" t="n">
        <f aca="false">(Assumptions!$D$103+Assumptions!$E$77*((L6450=Assumptions!$E$13)+(L6450=Assumptions!$E$14)+(L6450=Assumptions!$E$15)))*L6451</f>
        <v>25000</v>
      </c>
      <c r="M6519" s="54" t="n">
        <f aca="false">(Assumptions!$D$103+Assumptions!$E$77*((M6450=Assumptions!$E$13)+(M6450=Assumptions!$E$14)+(M6450=Assumptions!$E$15)))*M6451</f>
        <v>25000</v>
      </c>
      <c r="N6519" s="54" t="n">
        <f aca="false">(Assumptions!$D$103+Assumptions!$E$77*((N6450=Assumptions!$E$13)+(N6450=Assumptions!$E$14)+(N6450=Assumptions!$E$15)))*N6451</f>
        <v>25000</v>
      </c>
      <c r="P6519" s="55" t="n">
        <f aca="false">SUM(C6519:F6519)</f>
        <v>140000</v>
      </c>
      <c r="Q6519" s="55" t="n">
        <f aca="false">SUM(G6519:J6519)</f>
        <v>180000</v>
      </c>
      <c r="R6519" s="55" t="n">
        <f aca="false">SUM(K6519:N6519)</f>
        <v>100000</v>
      </c>
      <c r="S6519" s="56" t="n">
        <f aca="false">SUM(P6519:R6519)</f>
        <v>420000</v>
      </c>
    </row>
    <row r="6520" customFormat="false" ht="15" hidden="false" customHeight="false" outlineLevel="0" collapsed="false">
      <c r="A6520" s="4" t="s">
        <v>559</v>
      </c>
      <c r="B6520" s="36" t="s">
        <v>125</v>
      </c>
      <c r="C6520" s="54" t="n">
        <f aca="false">C6505*C6485*Assumptions!$E$79</f>
        <v>0</v>
      </c>
      <c r="D6520" s="54" t="n">
        <f aca="false">D6505*D6485*Assumptions!$E$79</f>
        <v>815.338873355417</v>
      </c>
      <c r="E6520" s="54" t="n">
        <f aca="false">E6505*E6485*Assumptions!$E$79</f>
        <v>1576.95453714349</v>
      </c>
      <c r="F6520" s="54" t="n">
        <f aca="false">F6505*F6485*Assumptions!$E$79</f>
        <v>2363.78759030579</v>
      </c>
      <c r="G6520" s="54" t="n">
        <f aca="false">G6505*G6485*Assumptions!$E$79</f>
        <v>2961.23316349717</v>
      </c>
      <c r="H6520" s="54" t="n">
        <f aca="false">H6505*H6485*Assumptions!$E$79</f>
        <v>3401.8566535345</v>
      </c>
      <c r="I6520" s="54" t="n">
        <f aca="false">I6505*I6485*Assumptions!$E$79</f>
        <v>3951.44098442022</v>
      </c>
      <c r="J6520" s="54" t="n">
        <f aca="false">J6505*J6485*Assumptions!$E$79</f>
        <v>4240.17604272452</v>
      </c>
      <c r="K6520" s="54" t="n">
        <f aca="false">K6505*K6485*Assumptions!$E$79</f>
        <v>4805.46240923336</v>
      </c>
      <c r="L6520" s="54" t="n">
        <f aca="false">L6505*L6485*Assumptions!$E$79</f>
        <v>5627.63185752923</v>
      </c>
      <c r="M6520" s="54" t="n">
        <f aca="false">M6505*M6485*Assumptions!$E$79</f>
        <v>5687.10015383768</v>
      </c>
      <c r="N6520" s="54" t="n">
        <f aca="false">N6505*N6485*Assumptions!$E$79</f>
        <v>5685.06198652904</v>
      </c>
      <c r="P6520" s="55" t="n">
        <f aca="false">SUM(C6520:F6520)</f>
        <v>4756.0810008047</v>
      </c>
      <c r="Q6520" s="55" t="n">
        <f aca="false">SUM(G6520:J6520)</f>
        <v>14554.7068441764</v>
      </c>
      <c r="R6520" s="55" t="n">
        <f aca="false">SUM(K6520:N6520)</f>
        <v>21805.2564071293</v>
      </c>
      <c r="S6520" s="56" t="n">
        <f aca="false">SUM(P6520:R6520)</f>
        <v>41116.0442521104</v>
      </c>
    </row>
    <row r="6521" customFormat="false" ht="15" hidden="false" customHeight="false" outlineLevel="0" collapsed="false">
      <c r="A6521" s="4" t="s">
        <v>560</v>
      </c>
      <c r="B6521" s="36" t="s">
        <v>125</v>
      </c>
      <c r="C6521" s="54" t="n">
        <f aca="false">C6470*Assumptions!$E$80</f>
        <v>4000</v>
      </c>
      <c r="D6521" s="54" t="n">
        <f aca="false">D6470*Assumptions!$E$80</f>
        <v>6000</v>
      </c>
      <c r="E6521" s="54" t="n">
        <f aca="false">E6470*Assumptions!$E$80</f>
        <v>8000</v>
      </c>
      <c r="F6521" s="54" t="n">
        <f aca="false">F6470*Assumptions!$E$80</f>
        <v>10000</v>
      </c>
      <c r="G6521" s="54" t="n">
        <f aca="false">G6470*Assumptions!$E$80</f>
        <v>12000</v>
      </c>
      <c r="H6521" s="54" t="n">
        <f aca="false">H6470*Assumptions!$E$80</f>
        <v>14000</v>
      </c>
      <c r="I6521" s="54" t="n">
        <f aca="false">I6470*Assumptions!$E$80</f>
        <v>16000</v>
      </c>
      <c r="J6521" s="54" t="n">
        <f aca="false">J6470*Assumptions!$E$80</f>
        <v>18000</v>
      </c>
      <c r="K6521" s="54" t="n">
        <f aca="false">K6470*Assumptions!$E$80</f>
        <v>20000</v>
      </c>
      <c r="L6521" s="54" t="n">
        <f aca="false">L6470*Assumptions!$E$80</f>
        <v>20000</v>
      </c>
      <c r="M6521" s="54" t="n">
        <f aca="false">M6470*Assumptions!$E$80</f>
        <v>20000</v>
      </c>
      <c r="N6521" s="54" t="n">
        <f aca="false">N6470*Assumptions!$E$80</f>
        <v>20000</v>
      </c>
      <c r="P6521" s="55" t="n">
        <f aca="false">SUM(C6521:F6521)</f>
        <v>28000</v>
      </c>
      <c r="Q6521" s="55" t="n">
        <f aca="false">SUM(G6521:J6521)</f>
        <v>60000</v>
      </c>
      <c r="R6521" s="55" t="n">
        <f aca="false">SUM(K6521:N6521)</f>
        <v>80000</v>
      </c>
      <c r="S6521" s="56" t="n">
        <f aca="false">SUM(P6521:R6521)</f>
        <v>168000</v>
      </c>
    </row>
    <row r="6522" customFormat="false" ht="15" hidden="false" customHeight="false" outlineLevel="0" collapsed="false">
      <c r="A6522" s="4" t="s">
        <v>561</v>
      </c>
      <c r="B6522" s="36" t="s">
        <v>125</v>
      </c>
      <c r="C6522" s="54" t="n">
        <f aca="false">(C6493*$C$6442+C6494*$C$6443)*Assumptions!$E$81</f>
        <v>0</v>
      </c>
      <c r="D6522" s="54" t="n">
        <f aca="false">(D6493*$C$6442+D6494*$C$6443)*Assumptions!$E$81</f>
        <v>635.937968364564</v>
      </c>
      <c r="E6522" s="54" t="n">
        <f aca="false">(E6493*$C$6442+E6494*$C$6443)*Assumptions!$E$81</f>
        <v>1750.54055351793</v>
      </c>
      <c r="F6522" s="54" t="n">
        <f aca="false">(F6493*$C$6442+F6494*$C$6443)*Assumptions!$E$81</f>
        <v>2334.90810210795</v>
      </c>
      <c r="G6522" s="54" t="n">
        <f aca="false">(G6493*$C$6442+G6494*$C$6443)*Assumptions!$E$81</f>
        <v>2567.01977128764</v>
      </c>
      <c r="H6522" s="54" t="n">
        <f aca="false">(H6493*$C$6442+H6494*$C$6443)*Assumptions!$E$81</f>
        <v>3030.96924471942</v>
      </c>
      <c r="I6522" s="54" t="n">
        <f aca="false">(I6493*$C$6442+I6494*$C$6443)*Assumptions!$E$81</f>
        <v>3599.72954781419</v>
      </c>
      <c r="J6522" s="54" t="n">
        <f aca="false">(J6493*$C$6442+J6494*$C$6443)*Assumptions!$E$81</f>
        <v>4611.5696968051</v>
      </c>
      <c r="K6522" s="54" t="n">
        <f aca="false">(K6493*$C$6442+K6494*$C$6443)*Assumptions!$E$81</f>
        <v>5939.56455642065</v>
      </c>
      <c r="L6522" s="54" t="n">
        <f aca="false">(L6493*$C$6442+L6494*$C$6443)*Assumptions!$E$81</f>
        <v>6537.87185823684</v>
      </c>
      <c r="M6522" s="54" t="n">
        <f aca="false">(M6493*$C$6442+M6494*$C$6443)*Assumptions!$E$81</f>
        <v>6455.63010570383</v>
      </c>
      <c r="N6522" s="54" t="n">
        <f aca="false">(N6493*$C$6442+N6494*$C$6443)*Assumptions!$E$81</f>
        <v>6268.61318404599</v>
      </c>
      <c r="P6522" s="55" t="n">
        <f aca="false">SUM(C6522:F6522)</f>
        <v>4721.38662399044</v>
      </c>
      <c r="Q6522" s="55" t="n">
        <f aca="false">SUM(G6522:J6522)</f>
        <v>13809.2882606264</v>
      </c>
      <c r="R6522" s="55" t="n">
        <f aca="false">SUM(K6522:N6522)</f>
        <v>25201.6797044073</v>
      </c>
      <c r="S6522" s="56" t="n">
        <f aca="false">SUM(P6522:R6522)</f>
        <v>43732.3545890241</v>
      </c>
    </row>
    <row r="6523" customFormat="false" ht="15" hidden="false" customHeight="false" outlineLevel="0" collapsed="false">
      <c r="A6523" s="9" t="s">
        <v>562</v>
      </c>
      <c r="B6523" s="36" t="s">
        <v>125</v>
      </c>
      <c r="C6523" s="55" t="n">
        <f aca="false">C6515+C6516+C6517+C6518+C6519+C6520+C6521+C6522</f>
        <v>154229.464285714</v>
      </c>
      <c r="D6523" s="55" t="n">
        <f aca="false">D6515+D6516+D6517+D6518+D6519+D6520+D6521+D6522</f>
        <v>121172.463189242</v>
      </c>
      <c r="E6523" s="55" t="n">
        <f aca="false">E6515+E6516+E6517+E6518+E6519+E6520+E6521+E6522</f>
        <v>129596.055895122</v>
      </c>
      <c r="F6523" s="55" t="n">
        <f aca="false">F6515+F6516+F6517+F6518+F6519+F6520+F6521+F6522</f>
        <v>135052.909981589</v>
      </c>
      <c r="G6523" s="55" t="n">
        <f aca="false">G6515+G6516+G6517+G6518+G6519+G6520+G6521+G6522</f>
        <v>212254.95919925</v>
      </c>
      <c r="H6523" s="55" t="n">
        <f aca="false">H6515+H6516+H6517+H6518+H6519+H6520+H6521+H6522</f>
        <v>177502.111632148</v>
      </c>
      <c r="I6523" s="55" t="n">
        <f aca="false">I6515+I6516+I6517+I6518+I6519+I6520+I6521+I6522</f>
        <v>223229.636966557</v>
      </c>
      <c r="J6523" s="55" t="n">
        <f aca="false">J6515+J6516+J6517+J6518+J6519+J6520+J6521+J6522</f>
        <v>192017.891511833</v>
      </c>
      <c r="K6523" s="55" t="n">
        <f aca="false">K6515+K6516+K6517+K6518+K6519+K6520+K6521+K6522</f>
        <v>202159.886433897</v>
      </c>
      <c r="L6523" s="55" t="n">
        <f aca="false">L6515+L6516+L6517+L6518+L6519+L6520+L6521+L6522</f>
        <v>205507.337468812</v>
      </c>
      <c r="M6523" s="55" t="n">
        <f aca="false">M6515+M6516+M6517+M6518+M6519+M6520+M6521+M6522</f>
        <v>204950.361793636</v>
      </c>
      <c r="N6523" s="55" t="n">
        <f aca="false">N6515+N6516+N6517+N6518+N6519+N6520+N6521+N6522</f>
        <v>203920.595824442</v>
      </c>
      <c r="P6523" s="55" t="n">
        <f aca="false">SUM(C6523:F6523)</f>
        <v>540050.893351667</v>
      </c>
      <c r="Q6523" s="55" t="n">
        <f aca="false">SUM(G6523:J6523)</f>
        <v>805004.599309788</v>
      </c>
      <c r="R6523" s="55" t="n">
        <f aca="false">SUM(K6523:N6523)</f>
        <v>816538.181520787</v>
      </c>
      <c r="S6523" s="56" t="n">
        <f aca="false">SUM(P6523:R6523)</f>
        <v>2161593.67418224</v>
      </c>
    </row>
    <row r="6524" customFormat="false" ht="15" hidden="false" customHeight="false" outlineLevel="0" collapsed="false">
      <c r="A6524" s="4" t="s">
        <v>563</v>
      </c>
      <c r="B6524" s="36" t="s">
        <v>125</v>
      </c>
      <c r="C6524" s="54" t="n">
        <f aca="false">C6512*Assumptions!$E$72/Assumptions!$E$69/4</f>
        <v>56535.7142857143</v>
      </c>
      <c r="D6524" s="54" t="n">
        <f aca="false">D6512*Assumptions!$E$72/Assumptions!$E$69/4</f>
        <v>56535.7142857143</v>
      </c>
      <c r="E6524" s="54" t="n">
        <f aca="false">E6512*Assumptions!$E$72/Assumptions!$E$69/4</f>
        <v>56535.7142857143</v>
      </c>
      <c r="F6524" s="54" t="n">
        <f aca="false">F6512*Assumptions!$E$72/Assumptions!$E$69/4</f>
        <v>56535.7142857143</v>
      </c>
      <c r="G6524" s="54" t="n">
        <f aca="false">G6512*Assumptions!$E$72/Assumptions!$E$69/4</f>
        <v>28267.8571428571</v>
      </c>
      <c r="H6524" s="54" t="n">
        <f aca="false">H6512*Assumptions!$E$72/Assumptions!$E$69/4</f>
        <v>28267.8571428571</v>
      </c>
      <c r="I6524" s="54" t="n">
        <f aca="false">I6512*Assumptions!$E$72/Assumptions!$E$69/4</f>
        <v>28267.8571428571</v>
      </c>
      <c r="J6524" s="54" t="n">
        <f aca="false">J6512*Assumptions!$E$72/Assumptions!$E$69/4</f>
        <v>28267.8571428571</v>
      </c>
      <c r="K6524" s="54" t="n">
        <f aca="false">K6512*Assumptions!$E$72/Assumptions!$E$69/4</f>
        <v>28267.8571428571</v>
      </c>
      <c r="L6524" s="54" t="n">
        <f aca="false">L6512*Assumptions!$E$72/Assumptions!$E$69/4</f>
        <v>28267.8571428571</v>
      </c>
      <c r="M6524" s="54" t="n">
        <f aca="false">M6512*Assumptions!$E$72/Assumptions!$E$69/4</f>
        <v>28267.8571428571</v>
      </c>
      <c r="N6524" s="54" t="n">
        <f aca="false">N6512*Assumptions!$E$72/Assumptions!$E$69/4</f>
        <v>28267.8571428571</v>
      </c>
      <c r="P6524" s="55" t="n">
        <f aca="false">SUM(C6524:F6524)</f>
        <v>226142.857142857</v>
      </c>
      <c r="Q6524" s="55" t="n">
        <f aca="false">SUM(G6524:J6524)</f>
        <v>113071.428571429</v>
      </c>
      <c r="R6524" s="55" t="n">
        <f aca="false">SUM(K6524:N6524)</f>
        <v>113071.428571429</v>
      </c>
      <c r="S6524" s="56" t="n">
        <f aca="false">SUM(P6524:R6524)</f>
        <v>452285.714285714</v>
      </c>
    </row>
    <row r="6525" customFormat="false" ht="15" hidden="false" customHeight="false" outlineLevel="0" collapsed="false">
      <c r="A6525" s="4" t="s">
        <v>564</v>
      </c>
      <c r="B6525" s="36" t="s">
        <v>125</v>
      </c>
      <c r="C6525" s="54" t="n">
        <f aca="false">IF(C6450&lt;=Assumptions!$E$83,Assumptions!$E$82*Assumptions!$D$108/Assumptions!$E$83,0)</f>
        <v>62500</v>
      </c>
      <c r="D6525" s="54" t="n">
        <f aca="false">IF(D6450&lt;=Assumptions!$E$83,Assumptions!$E$82*Assumptions!$D$108/Assumptions!$E$83,0)</f>
        <v>62500</v>
      </c>
      <c r="E6525" s="54" t="n">
        <f aca="false">IF(E6450&lt;=Assumptions!$E$83,Assumptions!$E$82*Assumptions!$D$108/Assumptions!$E$83,0)</f>
        <v>62500</v>
      </c>
      <c r="F6525" s="54" t="n">
        <f aca="false">IF(F6450&lt;=Assumptions!$E$83,Assumptions!$E$82*Assumptions!$D$108/Assumptions!$E$83,0)</f>
        <v>62500</v>
      </c>
      <c r="G6525" s="54" t="n">
        <f aca="false">IF(G6450&lt;=Assumptions!$E$83,Assumptions!$E$82*Assumptions!$D$108/Assumptions!$E$83,0)</f>
        <v>0</v>
      </c>
      <c r="H6525" s="54" t="n">
        <f aca="false">IF(H6450&lt;=Assumptions!$E$83,Assumptions!$E$82*Assumptions!$D$108/Assumptions!$E$83,0)</f>
        <v>0</v>
      </c>
      <c r="I6525" s="54" t="n">
        <f aca="false">IF(I6450&lt;=Assumptions!$E$83,Assumptions!$E$82*Assumptions!$D$108/Assumptions!$E$83,0)</f>
        <v>0</v>
      </c>
      <c r="J6525" s="54" t="n">
        <f aca="false">IF(J6450&lt;=Assumptions!$E$83,Assumptions!$E$82*Assumptions!$D$108/Assumptions!$E$83,0)</f>
        <v>0</v>
      </c>
      <c r="K6525" s="54" t="n">
        <f aca="false">IF(K6450&lt;=Assumptions!$E$83,Assumptions!$E$82*Assumptions!$D$108/Assumptions!$E$83,0)</f>
        <v>0</v>
      </c>
      <c r="L6525" s="54" t="n">
        <f aca="false">IF(L6450&lt;=Assumptions!$E$83,Assumptions!$E$82*Assumptions!$D$108/Assumptions!$E$83,0)</f>
        <v>0</v>
      </c>
      <c r="M6525" s="54" t="n">
        <f aca="false">IF(M6450&lt;=Assumptions!$E$83,Assumptions!$E$82*Assumptions!$D$108/Assumptions!$E$83,0)</f>
        <v>0</v>
      </c>
      <c r="N6525" s="54" t="n">
        <f aca="false">IF(N6450&lt;=Assumptions!$E$83,Assumptions!$E$82*Assumptions!$D$108/Assumptions!$E$83,0)</f>
        <v>0</v>
      </c>
      <c r="P6525" s="55" t="n">
        <f aca="false">SUM(C6525:F6525)</f>
        <v>250000</v>
      </c>
      <c r="Q6525" s="55" t="n">
        <f aca="false">SUM(G6525:J6525)</f>
        <v>0</v>
      </c>
      <c r="R6525" s="55" t="n">
        <f aca="false">SUM(K6525:N6525)</f>
        <v>0</v>
      </c>
      <c r="S6525" s="56" t="n">
        <f aca="false">SUM(P6525:R6525)</f>
        <v>250000</v>
      </c>
    </row>
    <row r="6526" customFormat="false" ht="15" hidden="false" customHeight="false" outlineLevel="0" collapsed="false">
      <c r="A6526" s="4" t="s">
        <v>565</v>
      </c>
      <c r="B6526" s="36" t="s">
        <v>125</v>
      </c>
      <c r="C6526" s="54" t="n">
        <f aca="false">C6514*Assumptions!$E$73/Assumptions!$E$69/4</f>
        <v>0</v>
      </c>
      <c r="D6526" s="54" t="n">
        <f aca="false">D6514*Assumptions!$E$73/Assumptions!$E$69/4</f>
        <v>575.3130595573</v>
      </c>
      <c r="E6526" s="54" t="n">
        <f aca="false">E6514*Assumptions!$E$73/Assumptions!$E$69/4</f>
        <v>1617.32906717661</v>
      </c>
      <c r="F6526" s="54" t="n">
        <f aca="false">F6514*Assumptions!$E$73/Assumptions!$E$69/4</f>
        <v>2784.46806400723</v>
      </c>
      <c r="G6526" s="54" t="n">
        <f aca="false">G6514*Assumptions!$E$73/Assumptions!$E$69/4</f>
        <v>4037.30390559473</v>
      </c>
      <c r="H6526" s="54" t="n">
        <f aca="false">H6514*Assumptions!$E$73/Assumptions!$E$69/4</f>
        <v>5588.71900339185</v>
      </c>
      <c r="I6526" s="54" t="n">
        <f aca="false">I6514*Assumptions!$E$73/Assumptions!$E$69/4</f>
        <v>7423.89520049251</v>
      </c>
      <c r="J6526" s="54" t="n">
        <f aca="false">J6514*Assumptions!$E$73/Assumptions!$E$69/4</f>
        <v>9984.21295072483</v>
      </c>
      <c r="K6526" s="54" t="n">
        <f aca="false">K6514*Assumptions!$E$73/Assumptions!$E$69/4</f>
        <v>13228.7197241336</v>
      </c>
      <c r="L6526" s="54" t="n">
        <f aca="false">L6514*Assumptions!$E$73/Assumptions!$E$69/4</f>
        <v>16471.1613499398</v>
      </c>
      <c r="M6526" s="54" t="n">
        <f aca="false">M6514*Assumptions!$E$73/Assumptions!$E$69/4</f>
        <v>19532.3193424529</v>
      </c>
      <c r="N6526" s="54" t="n">
        <f aca="false">N6514*Assumptions!$E$73/Assumptions!$E$69/4</f>
        <v>22411.7337529877</v>
      </c>
      <c r="P6526" s="55" t="n">
        <f aca="false">SUM(C6526:F6526)</f>
        <v>4977.11019074114</v>
      </c>
      <c r="Q6526" s="55" t="n">
        <f aca="false">SUM(G6526:J6526)</f>
        <v>27034.1310602039</v>
      </c>
      <c r="R6526" s="55" t="n">
        <f aca="false">SUM(K6526:N6526)</f>
        <v>71643.934169514</v>
      </c>
      <c r="S6526" s="56" t="n">
        <f aca="false">SUM(P6526:R6526)</f>
        <v>103655.175420459</v>
      </c>
    </row>
    <row r="6527" customFormat="false" ht="15" hidden="false" customHeight="false" outlineLevel="0" collapsed="false">
      <c r="A6527" s="9" t="s">
        <v>566</v>
      </c>
      <c r="B6527" s="36" t="s">
        <v>125</v>
      </c>
      <c r="C6527" s="55" t="n">
        <f aca="false">C6523+C6524+C6525+C6526</f>
        <v>273265.178571429</v>
      </c>
      <c r="D6527" s="55" t="n">
        <f aca="false">D6523+D6524+D6525+D6526</f>
        <v>240783.490534514</v>
      </c>
      <c r="E6527" s="55" t="n">
        <f aca="false">E6523+E6524+E6525+E6526</f>
        <v>250249.099248013</v>
      </c>
      <c r="F6527" s="55" t="n">
        <f aca="false">F6523+F6524+F6525+F6526</f>
        <v>256873.092331311</v>
      </c>
      <c r="G6527" s="55" t="n">
        <f aca="false">G6523+G6524+G6525+G6526</f>
        <v>244560.120247702</v>
      </c>
      <c r="H6527" s="55" t="n">
        <f aca="false">H6523+H6524+H6525+H6526</f>
        <v>211358.687778397</v>
      </c>
      <c r="I6527" s="55" t="n">
        <f aca="false">I6523+I6524+I6525+I6526</f>
        <v>258921.389309906</v>
      </c>
      <c r="J6527" s="55" t="n">
        <f aca="false">J6523+J6524+J6525+J6526</f>
        <v>230269.961605415</v>
      </c>
      <c r="K6527" s="55" t="n">
        <f aca="false">K6523+K6524+K6525+K6526</f>
        <v>243656.463300888</v>
      </c>
      <c r="L6527" s="55" t="n">
        <f aca="false">L6523+L6524+L6525+L6526</f>
        <v>250246.355961609</v>
      </c>
      <c r="M6527" s="55" t="n">
        <f aca="false">M6523+M6524+M6525+M6526</f>
        <v>252750.538278946</v>
      </c>
      <c r="N6527" s="55" t="n">
        <f aca="false">N6523+N6524+N6525+N6526</f>
        <v>254600.186720287</v>
      </c>
      <c r="P6527" s="55" t="n">
        <f aca="false">SUM(C6527:F6527)</f>
        <v>1021170.86068527</v>
      </c>
      <c r="Q6527" s="55" t="n">
        <f aca="false">SUM(G6527:J6527)</f>
        <v>945110.158941421</v>
      </c>
      <c r="R6527" s="55" t="n">
        <f aca="false">SUM(K6527:N6527)</f>
        <v>1001253.54426173</v>
      </c>
      <c r="S6527" s="56" t="n">
        <f aca="false">SUM(P6527:R6527)</f>
        <v>2967534.56388842</v>
      </c>
    </row>
    <row r="6528" customFormat="false" ht="15" hidden="false" customHeight="false" outlineLevel="0" collapsed="false">
      <c r="A6528" s="35" t="s">
        <v>567</v>
      </c>
      <c r="B6528" s="35" t="s">
        <v>444</v>
      </c>
      <c r="C6528" s="6" t="s">
        <v>354</v>
      </c>
      <c r="D6528" s="6" t="s">
        <v>355</v>
      </c>
      <c r="E6528" s="6" t="s">
        <v>356</v>
      </c>
      <c r="F6528" s="6" t="s">
        <v>357</v>
      </c>
      <c r="G6528" s="6" t="s">
        <v>358</v>
      </c>
      <c r="H6528" s="6" t="s">
        <v>359</v>
      </c>
      <c r="I6528" s="6" t="s">
        <v>360</v>
      </c>
      <c r="J6528" s="6" t="s">
        <v>361</v>
      </c>
      <c r="K6528" s="6" t="s">
        <v>362</v>
      </c>
      <c r="L6528" s="6" t="s">
        <v>363</v>
      </c>
      <c r="M6528" s="6" t="s">
        <v>364</v>
      </c>
      <c r="N6528" s="6" t="s">
        <v>365</v>
      </c>
      <c r="P6528" s="6" t="s">
        <v>445</v>
      </c>
      <c r="Q6528" s="6" t="s">
        <v>446</v>
      </c>
      <c r="R6528" s="6" t="s">
        <v>447</v>
      </c>
      <c r="S6528" s="6" t="s">
        <v>448</v>
      </c>
    </row>
    <row r="6529" customFormat="false" ht="15" hidden="false" customHeight="false" outlineLevel="0" collapsed="false">
      <c r="A6529" s="9" t="s">
        <v>568</v>
      </c>
      <c r="B6529" s="36" t="s">
        <v>125</v>
      </c>
      <c r="C6529" s="55" t="n">
        <f aca="false">C6507-C6527</f>
        <v>-273265.178571429</v>
      </c>
      <c r="D6529" s="55" t="n">
        <f aca="false">D6507-D6527</f>
        <v>-240173.235752675</v>
      </c>
      <c r="E6529" s="55" t="n">
        <f aca="false">E6507-E6527</f>
        <v>-247675.562205681</v>
      </c>
      <c r="F6529" s="55" t="n">
        <f aca="false">F6507-F6527</f>
        <v>-251251.000748297</v>
      </c>
      <c r="G6529" s="55" t="n">
        <f aca="false">G6507-G6527</f>
        <v>-235355.830846651</v>
      </c>
      <c r="H6529" s="55" t="n">
        <f aca="false">H6507-H6527</f>
        <v>-197948.400173838</v>
      </c>
      <c r="I6529" s="55" t="n">
        <f aca="false">I6507-I6527</f>
        <v>-240399.086283703</v>
      </c>
      <c r="J6529" s="55" t="n">
        <f aca="false">J6507-J6527</f>
        <v>-205162.687623114</v>
      </c>
      <c r="K6529" s="55" t="n">
        <f aca="false">K6507-K6527</f>
        <v>-209856.618952539</v>
      </c>
      <c r="L6529" s="55" t="n">
        <f aca="false">L6507-L6527</f>
        <v>-206288.267877641</v>
      </c>
      <c r="M6529" s="55" t="n">
        <f aca="false">M6507-M6527</f>
        <v>-198291.909263944</v>
      </c>
      <c r="N6529" s="55" t="n">
        <f aca="false">N6507-N6527</f>
        <v>-189713.704960188</v>
      </c>
      <c r="P6529" s="55" t="n">
        <f aca="false">SUM(C6529:F6529)</f>
        <v>-1012364.97727808</v>
      </c>
      <c r="Q6529" s="55" t="n">
        <f aca="false">SUM(G6529:J6529)</f>
        <v>-878866.004927305</v>
      </c>
      <c r="R6529" s="55" t="n">
        <f aca="false">SUM(K6529:N6529)</f>
        <v>-804150.501054313</v>
      </c>
      <c r="S6529" s="56" t="n">
        <f aca="false">SUM(P6529:R6529)</f>
        <v>-2695381.4832597</v>
      </c>
    </row>
    <row r="6530" customFormat="false" ht="15" hidden="false" customHeight="false" outlineLevel="0" collapsed="false">
      <c r="A6530" s="9" t="s">
        <v>569</v>
      </c>
      <c r="B6530" s="36" t="s">
        <v>125</v>
      </c>
      <c r="C6530" s="55" t="n">
        <f aca="false">0+C6529</f>
        <v>-273265.178571429</v>
      </c>
      <c r="D6530" s="55" t="n">
        <f aca="false">C6530+D6529</f>
        <v>-513438.414324103</v>
      </c>
      <c r="E6530" s="55" t="n">
        <f aca="false">D6530+E6529</f>
        <v>-761113.976529784</v>
      </c>
      <c r="F6530" s="55" t="n">
        <f aca="false">E6530+F6529</f>
        <v>-1012364.97727808</v>
      </c>
      <c r="G6530" s="55" t="n">
        <f aca="false">F6530+G6529</f>
        <v>-1247720.80812473</v>
      </c>
      <c r="H6530" s="55" t="n">
        <f aca="false">G6530+H6529</f>
        <v>-1445669.20829857</v>
      </c>
      <c r="I6530" s="55" t="n">
        <f aca="false">H6530+I6529</f>
        <v>-1686068.29458227</v>
      </c>
      <c r="J6530" s="55" t="n">
        <f aca="false">I6530+J6529</f>
        <v>-1891230.98220539</v>
      </c>
      <c r="K6530" s="55" t="n">
        <f aca="false">J6530+K6529</f>
        <v>-2101087.60115792</v>
      </c>
      <c r="L6530" s="55" t="n">
        <f aca="false">K6530+L6529</f>
        <v>-2307375.86903557</v>
      </c>
      <c r="M6530" s="55" t="n">
        <f aca="false">L6530+M6529</f>
        <v>-2505667.77829951</v>
      </c>
      <c r="N6530" s="55" t="n">
        <f aca="false">M6530+N6529</f>
        <v>-2695381.4832597</v>
      </c>
      <c r="P6530" s="55" t="n">
        <f aca="false">F6530</f>
        <v>-1012364.97727808</v>
      </c>
      <c r="Q6530" s="55" t="n">
        <f aca="false">J6530</f>
        <v>-1891230.98220539</v>
      </c>
      <c r="R6530" s="55" t="n">
        <f aca="false">N6530</f>
        <v>-2695381.4832597</v>
      </c>
      <c r="S6530" s="56" t="n">
        <f aca="false">R6530</f>
        <v>-2695381.4832597</v>
      </c>
    </row>
    <row r="6531" customFormat="false" ht="15" hidden="false" customHeight="false" outlineLevel="0" collapsed="false">
      <c r="A6531" s="4" t="s">
        <v>570</v>
      </c>
      <c r="B6531" s="36" t="s">
        <v>107</v>
      </c>
      <c r="C6531" s="57" t="n">
        <f aca="false">1/(1+Assumptions!$E$87)^(C6450/4)</f>
        <v>0.972065420906982</v>
      </c>
      <c r="D6531" s="57" t="n">
        <f aca="false">1/(1+Assumptions!$E$87)^(D6450/4)</f>
        <v>0.944911182523068</v>
      </c>
      <c r="E6531" s="57" t="n">
        <f aca="false">1/(1+Assumptions!$E$87)^(E6450/4)</f>
        <v>0.918515486359</v>
      </c>
      <c r="F6531" s="57" t="n">
        <f aca="false">1/(1+Assumptions!$E$87)^(F6450/4)</f>
        <v>0.892857142857143</v>
      </c>
      <c r="G6531" s="57" t="n">
        <f aca="false">1/(1+Assumptions!$E$87)^(G6450/4)</f>
        <v>0.867915554381234</v>
      </c>
      <c r="H6531" s="57" t="n">
        <f aca="false">1/(1+Assumptions!$E$87)^(H6450/4)</f>
        <v>0.843670698681311</v>
      </c>
      <c r="I6531" s="57" t="n">
        <f aca="false">1/(1+Assumptions!$E$87)^(I6450/4)</f>
        <v>0.820103112820536</v>
      </c>
      <c r="J6531" s="57" t="n">
        <f aca="false">1/(1+Assumptions!$E$87)^(J6450/4)</f>
        <v>0.79719387755102</v>
      </c>
      <c r="K6531" s="57" t="n">
        <f aca="false">1/(1+Assumptions!$E$87)^(K6450/4)</f>
        <v>0.774924602126102</v>
      </c>
      <c r="L6531" s="57" t="n">
        <f aca="false">1/(1+Assumptions!$E$87)^(L6450/4)</f>
        <v>0.753277409536885</v>
      </c>
      <c r="M6531" s="57" t="n">
        <f aca="false">1/(1+Assumptions!$E$87)^(M6450/4)</f>
        <v>0.732234922161193</v>
      </c>
      <c r="N6531" s="57" t="n">
        <f aca="false">1/(1+Assumptions!$E$87)^(N6450/4)</f>
        <v>0.711780247813411</v>
      </c>
      <c r="P6531" s="58"/>
      <c r="Q6531" s="58"/>
      <c r="R6531" s="58"/>
      <c r="S6531" s="59"/>
    </row>
    <row r="6532" customFormat="false" ht="15" hidden="false" customHeight="false" outlineLevel="0" collapsed="false">
      <c r="A6532" s="4" t="s">
        <v>571</v>
      </c>
      <c r="B6532" s="36" t="s">
        <v>125</v>
      </c>
      <c r="C6532" s="54" t="n">
        <f aca="false">(C6507*(1-Assumptions!$E$88)-C6527)*C6531</f>
        <v>-265631.630827257</v>
      </c>
      <c r="D6532" s="54" t="n">
        <f aca="false">(D6507*(1-Assumptions!$E$88)-D6527)*D6531</f>
        <v>-227057.703518961</v>
      </c>
      <c r="E6532" s="54" t="n">
        <f aca="false">(E6507*(1-Assumptions!$E$88)-E6527)*E6531</f>
        <v>-227966.60620421</v>
      </c>
      <c r="F6532" s="54" t="n">
        <f aca="false">(F6507*(1-Assumptions!$E$88)-F6527)*F6531</f>
        <v>-225335.19559366</v>
      </c>
      <c r="G6532" s="54" t="n">
        <f aca="false">(G6507*(1-Assumptions!$E$88)-G6527)*G6531</f>
        <v>-205866.695593766</v>
      </c>
      <c r="H6532" s="54" t="n">
        <f aca="false">(H6507*(1-Assumptions!$E$88)-H6527)*H6531</f>
        <v>-169266.038420081</v>
      </c>
      <c r="I6532" s="54" t="n">
        <f aca="false">(I6507*(1-Assumptions!$E$88)-I6527)*I6531</f>
        <v>-200190.078654156</v>
      </c>
      <c r="J6532" s="54" t="n">
        <f aca="false">(J6507*(1-Assumptions!$E$88)-J6527)*J6531</f>
        <v>-167557.511495196</v>
      </c>
      <c r="K6532" s="54" t="n">
        <f aca="false">(K6507*(1-Assumptions!$E$88)-K6527)*K6531</f>
        <v>-167861.523132039</v>
      </c>
      <c r="L6532" s="54" t="n">
        <f aca="false">(L6507*(1-Assumptions!$E$88)-L6527)*L6531</f>
        <v>-162014.818988738</v>
      </c>
      <c r="M6532" s="54" t="n">
        <f aca="false">(M6507*(1-Assumptions!$E$88)-M6527)*M6531</f>
        <v>-153171.56274064</v>
      </c>
      <c r="N6532" s="54" t="n">
        <f aca="false">(N6507*(1-Assumptions!$E$88)-N6527)*N6531</f>
        <v>-144271.451143552</v>
      </c>
      <c r="P6532" s="55" t="n">
        <f aca="false">SUM(C6532:F6532)</f>
        <v>-945991.136144088</v>
      </c>
      <c r="Q6532" s="55" t="n">
        <f aca="false">SUM(G6532:J6532)</f>
        <v>-742880.324163199</v>
      </c>
      <c r="R6532" s="55" t="n">
        <f aca="false">SUM(K6532:N6532)</f>
        <v>-627319.356004968</v>
      </c>
      <c r="S6532" s="56" t="n">
        <f aca="false">SUM(P6532:R6532)</f>
        <v>-2316190.81631226</v>
      </c>
    </row>
    <row r="6533" customFormat="false" ht="15" hidden="false" customHeight="false" outlineLevel="0" collapsed="false">
      <c r="A6533" s="4" t="s">
        <v>572</v>
      </c>
      <c r="B6533" s="36" t="s">
        <v>125</v>
      </c>
      <c r="C6533" s="54" t="n">
        <f aca="false">(C6527-C6526)*12/(Assumptions!$E$89*Assumptions!$D$76)*Assumptions!$E$90</f>
        <v>223580.600649351</v>
      </c>
      <c r="D6533" s="54" t="n">
        <f aca="false">(D6527-D6526)*12/(Assumptions!$E$89*Assumptions!$D$76)*Assumptions!$E$90</f>
        <v>196533.963388601</v>
      </c>
      <c r="E6533" s="54" t="n">
        <f aca="false">(E6527-E6526)*12/(Assumptions!$E$89*Assumptions!$D$76)*Assumptions!$E$90</f>
        <v>203425.99378432</v>
      </c>
      <c r="F6533" s="54" t="n">
        <f aca="false">(F6527-F6526)*12/(Assumptions!$E$89*Assumptions!$D$76)*Assumptions!$E$90</f>
        <v>207890.692582339</v>
      </c>
      <c r="G6533" s="54" t="n">
        <f aca="false">(G6527-G6526)*12/(Assumptions!$E$89*Assumptions!$D$76)*Assumptions!$E$90</f>
        <v>196791.395188997</v>
      </c>
      <c r="H6533" s="54" t="n">
        <f aca="false">(H6527-H6526)*12/(Assumptions!$E$89*Assumptions!$D$76)*Assumptions!$E$90</f>
        <v>168357.24717955</v>
      </c>
      <c r="I6533" s="54" t="n">
        <f aca="false">(I6527-I6526)*12/(Assumptions!$E$89*Assumptions!$D$76)*Assumptions!$E$90</f>
        <v>205770.676998611</v>
      </c>
      <c r="J6533" s="54" t="n">
        <f aca="false">(J6527-J6526)*12/(Assumptions!$E$89*Assumptions!$D$76)*Assumptions!$E$90</f>
        <v>180233.794353837</v>
      </c>
      <c r="K6533" s="54" t="n">
        <f aca="false">(K6527-K6526)*12/(Assumptions!$E$89*Assumptions!$D$76)*Assumptions!$E$90</f>
        <v>188531.790199162</v>
      </c>
      <c r="L6533" s="54" t="n">
        <f aca="false">(L6527-L6526)*12/(Assumptions!$E$89*Assumptions!$D$76)*Assumptions!$E$90</f>
        <v>191270.613773183</v>
      </c>
      <c r="M6533" s="54" t="n">
        <f aca="false">(M6527-M6526)*12/(Assumptions!$E$89*Assumptions!$D$76)*Assumptions!$E$90</f>
        <v>190814.906402585</v>
      </c>
      <c r="N6533" s="54" t="n">
        <f aca="false">(N6527-N6526)*12/(Assumptions!$E$89*Assumptions!$D$76)*Assumptions!$E$90</f>
        <v>189972.370609609</v>
      </c>
      <c r="P6533" s="55" t="n">
        <f aca="false">SUM(C6533:F6533)</f>
        <v>831431.250404611</v>
      </c>
      <c r="Q6533" s="55" t="n">
        <f aca="false">SUM(G6533:J6533)</f>
        <v>751153.113720995</v>
      </c>
      <c r="R6533" s="55" t="n">
        <f aca="false">SUM(K6533:N6533)</f>
        <v>760589.68098454</v>
      </c>
      <c r="S6533" s="56" t="n">
        <f aca="false">SUM(P6533:R6533)</f>
        <v>2343174.04511015</v>
      </c>
    </row>
    <row r="6534" customFormat="false" ht="15" hidden="false" customHeight="false" outlineLevel="0" collapsed="false">
      <c r="A6534" s="4" t="s">
        <v>573</v>
      </c>
      <c r="B6534" s="36" t="s">
        <v>125</v>
      </c>
      <c r="C6534" s="54" t="n">
        <f aca="false">0*Assumptions!$E$92^(1/4)+C6533</f>
        <v>223580.600649351</v>
      </c>
      <c r="D6534" s="54" t="n">
        <f aca="false">C6534*Assumptions!$E$92^(1/4)+D6533</f>
        <v>420671.431615072</v>
      </c>
      <c r="E6534" s="54" t="n">
        <f aca="false">D6534*Assumptions!$E$92^(1/4)+E6533</f>
        <v>625145.183032242</v>
      </c>
      <c r="F6534" s="54" t="n">
        <f aca="false">E6534*Assumptions!$E$92^(1/4)+F6533</f>
        <v>834592.911790407</v>
      </c>
      <c r="G6534" s="54" t="n">
        <f aca="false">F6534*Assumptions!$E$92^(1/4)+G6533</f>
        <v>1033463.01028068</v>
      </c>
      <c r="H6534" s="54" t="n">
        <f aca="false">G6534*Assumptions!$E$92^(1/4)+H6533</f>
        <v>1204394.28240205</v>
      </c>
      <c r="I6534" s="54" t="n">
        <f aca="false">H6534*Assumptions!$E$92^(1/4)+I6533</f>
        <v>1413164.71932613</v>
      </c>
      <c r="J6534" s="54" t="n">
        <f aca="false">I6534*Assumptions!$E$92^(1/4)+J6533</f>
        <v>1596918.25381412</v>
      </c>
      <c r="K6534" s="54" t="n">
        <f aca="false">J6534*Assumptions!$E$92^(1/4)+K6533</f>
        <v>1789427.45527472</v>
      </c>
      <c r="L6534" s="54" t="n">
        <f aca="false">K6534*Assumptions!$E$92^(1/4)+L6533</f>
        <v>1985154.95899523</v>
      </c>
      <c r="M6534" s="54" t="n">
        <f aca="false">L6534*Assumptions!$E$92^(1/4)+M6533</f>
        <v>2180914.24978991</v>
      </c>
      <c r="N6534" s="54" t="n">
        <f aca="false">M6534*Assumptions!$E$92^(1/4)+N6533</f>
        <v>2376318.57840778</v>
      </c>
      <c r="P6534" s="55" t="n">
        <f aca="false">F6534</f>
        <v>834592.911790407</v>
      </c>
      <c r="Q6534" s="55" t="n">
        <f aca="false">J6534</f>
        <v>1596918.25381412</v>
      </c>
      <c r="R6534" s="55" t="n">
        <f aca="false">N6534</f>
        <v>2376318.57840778</v>
      </c>
      <c r="S6534" s="56" t="n">
        <f aca="false">R6534</f>
        <v>2376318.57840778</v>
      </c>
    </row>
    <row r="6535" customFormat="false" ht="15" hidden="false" customHeight="false" outlineLevel="0" collapsed="false">
      <c r="A6535" s="4" t="s">
        <v>574</v>
      </c>
      <c r="B6535" s="36" t="s">
        <v>125</v>
      </c>
      <c r="C6535" s="54" t="n">
        <f aca="false">(0+C6534)/8*Assumptions!$D$76-(C6527-C6526)-C6534*Assumptions!$E$93/4</f>
        <v>-260688.769784903</v>
      </c>
      <c r="D6535" s="54" t="n">
        <f aca="false">(C6534+D6534)/8*Assumptions!$D$76-(D6527-D6526)-D6534*Assumptions!$E$93/4</f>
        <v>-201174.243151966</v>
      </c>
      <c r="E6535" s="54" t="n">
        <f aca="false">(D6534+E6534)/8*Assumptions!$D$76-(E6527-E6526)-E6534*Assumptions!$E$93/4</f>
        <v>-184546.192711736</v>
      </c>
      <c r="F6535" s="54" t="n">
        <f aca="false">(E6534+F6534)/8*Assumptions!$D$76-(F6527-F6526)-F6534*Assumptions!$E$93/4</f>
        <v>-164164.041645626</v>
      </c>
      <c r="G6535" s="54" t="n">
        <f aca="false">(F6534+G6534)/8*Assumptions!$D$76-(G6527-G6526)-G6534*Assumptions!$E$93/4</f>
        <v>-125012.259328229</v>
      </c>
      <c r="H6535" s="54" t="n">
        <f aca="false">(G6534+H6534)/8*Assumptions!$D$76-(H6527-H6526)-H6534*Assumptions!$E$93/4</f>
        <v>-66972.2084330933</v>
      </c>
      <c r="I6535" s="54" t="n">
        <f aca="false">(H6534+I6534)/8*Assumptions!$D$76-(I6527-I6526)-I6534*Assumptions!$E$93/4</f>
        <v>-89204.8717321782</v>
      </c>
      <c r="J6535" s="54" t="n">
        <f aca="false">(I6534+J6534)/8*Assumptions!$D$76-(J6527-J6526)-J6534*Assumptions!$E$93/4</f>
        <v>-33304.0224239744</v>
      </c>
      <c r="K6535" s="54" t="n">
        <f aca="false">(J6534+K6534)/8*Assumptions!$D$76-(K6527-K6526)-K6534*Assumptions!$E$93/4</f>
        <v>-19984.3192678304</v>
      </c>
      <c r="L6535" s="54" t="n">
        <f aca="false">(K6534+L6534)/8*Assumptions!$D$76-(L6527-L6526)-L6534*Assumptions!$E$93/4</f>
        <v>912.909381950056</v>
      </c>
      <c r="M6535" s="54" t="n">
        <f aca="false">(L6534+M6534)/8*Assumptions!$D$76-(M6527-M6526)-M6534*Assumptions!$E$93/4</f>
        <v>25937.6110451115</v>
      </c>
      <c r="N6535" s="54" t="n">
        <f aca="false">(M6534+N6534)/8*Assumptions!$D$76-(N6527-N6526)-N6534*Assumptions!$E$93/4</f>
        <v>51417.3217411942</v>
      </c>
      <c r="P6535" s="55" t="n">
        <f aca="false">SUM(C6535:F6535)</f>
        <v>-810573.247294231</v>
      </c>
      <c r="Q6535" s="55" t="n">
        <f aca="false">SUM(G6535:J6535)</f>
        <v>-314493.361917475</v>
      </c>
      <c r="R6535" s="55" t="n">
        <f aca="false">SUM(K6535:N6535)</f>
        <v>58283.5229004253</v>
      </c>
      <c r="S6535" s="56" t="n">
        <f aca="false">SUM(P6535:R6535)</f>
        <v>-1066783.08631128</v>
      </c>
    </row>
    <row r="6536" customFormat="false" ht="15" hidden="false" customHeight="false" outlineLevel="0" collapsed="false">
      <c r="A6536" s="4" t="s">
        <v>575</v>
      </c>
      <c r="B6536" s="36" t="s">
        <v>125</v>
      </c>
      <c r="C6536" s="54" t="n">
        <f aca="false">C6535*C6531</f>
        <v>-253406.538726685</v>
      </c>
      <c r="D6536" s="54" t="n">
        <f aca="false">D6535*D6531</f>
        <v>-190091.791989907</v>
      </c>
      <c r="E6536" s="54" t="n">
        <f aca="false">E6535*E6531</f>
        <v>-169508.535954322</v>
      </c>
      <c r="F6536" s="54" t="n">
        <f aca="false">F6535*F6531</f>
        <v>-146575.037183595</v>
      </c>
      <c r="G6536" s="54" t="n">
        <f aca="false">G6535*G6531</f>
        <v>-108500.08435931</v>
      </c>
      <c r="H6536" s="54" t="n">
        <f aca="false">H6535*H6531</f>
        <v>-56502.4898809782</v>
      </c>
      <c r="I6536" s="54" t="n">
        <f aca="false">I6535*I6531</f>
        <v>-73157.192986316</v>
      </c>
      <c r="J6536" s="54" t="n">
        <f aca="false">J6535*J6531</f>
        <v>-26549.7627742143</v>
      </c>
      <c r="K6536" s="54" t="n">
        <f aca="false">K6535*K6531</f>
        <v>-15486.3406573845</v>
      </c>
      <c r="L6536" s="54" t="n">
        <f aca="false">L6535*L6531</f>
        <v>687.674014377256</v>
      </c>
      <c r="M6536" s="54" t="n">
        <f aca="false">M6535*M6531</f>
        <v>18992.4246046645</v>
      </c>
      <c r="N6536" s="54" t="n">
        <f aca="false">N6535*N6531</f>
        <v>36597.8340108491</v>
      </c>
      <c r="P6536" s="55" t="n">
        <f aca="false">SUM(C6536:F6536)</f>
        <v>-759581.903854509</v>
      </c>
      <c r="Q6536" s="55" t="n">
        <f aca="false">SUM(G6536:J6536)</f>
        <v>-264709.530000819</v>
      </c>
      <c r="R6536" s="55" t="n">
        <f aca="false">SUM(K6536:N6536)</f>
        <v>40791.5919725064</v>
      </c>
      <c r="S6536" s="56" t="n">
        <f aca="false">SUM(P6536:R6536)</f>
        <v>-983499.841882821</v>
      </c>
    </row>
    <row r="6537" customFormat="false" ht="15" hidden="false" customHeight="false" outlineLevel="0" collapsed="false">
      <c r="A6537" s="4" t="s">
        <v>576</v>
      </c>
      <c r="B6537" s="36"/>
      <c r="C6537" s="37" t="n">
        <f aca="false">IFERROR((S6492*$C$6441*Assumptions!$E$59+S6493*$C$6442*Assumptions!$E$60+S6494*$C$6443*Assumptions!$E$61)/(S6492*$C$6441+S6493*$C$6442+S6494*$C$6443),0.9)</f>
        <v>0.897372181179546</v>
      </c>
    </row>
    <row r="6538" customFormat="false" ht="15" hidden="false" customHeight="false" outlineLevel="0" collapsed="false">
      <c r="A6538" s="4" t="s">
        <v>577</v>
      </c>
      <c r="B6538" s="36"/>
      <c r="C6538" s="37" t="n">
        <f aca="false">IFERROR(N6526*4/N6504,0)</f>
        <v>0.175911884278844</v>
      </c>
    </row>
    <row r="6539" customFormat="false" ht="15" hidden="false" customHeight="false" outlineLevel="0" collapsed="false">
      <c r="A6539" s="4" t="s">
        <v>578</v>
      </c>
      <c r="B6539" s="36"/>
      <c r="C6539" s="60" t="n">
        <f aca="false">$C$6537/(1+Assumptions!$E$87)</f>
        <v>0.801225161767451</v>
      </c>
    </row>
    <row r="6540" customFormat="false" ht="15" hidden="false" customHeight="false" outlineLevel="0" collapsed="false">
      <c r="A6540" s="4" t="s">
        <v>579</v>
      </c>
      <c r="B6540" s="36"/>
      <c r="C6540" s="60" t="n">
        <f aca="false">Assumptions!$E$91/(1+Assumptions!$E$87)</f>
        <v>0.803571428571429</v>
      </c>
    </row>
    <row r="6541" customFormat="false" ht="15" hidden="false" customHeight="false" outlineLevel="0" collapsed="false">
      <c r="A6541" s="35" t="s">
        <v>580</v>
      </c>
      <c r="B6541" s="35" t="s">
        <v>444</v>
      </c>
      <c r="C6541" s="6" t="s">
        <v>354</v>
      </c>
      <c r="D6541" s="6" t="s">
        <v>355</v>
      </c>
      <c r="E6541" s="6" t="s">
        <v>356</v>
      </c>
      <c r="F6541" s="6" t="s">
        <v>357</v>
      </c>
      <c r="G6541" s="6" t="s">
        <v>358</v>
      </c>
      <c r="H6541" s="6" t="s">
        <v>359</v>
      </c>
      <c r="I6541" s="6" t="s">
        <v>360</v>
      </c>
      <c r="J6541" s="6" t="s">
        <v>361</v>
      </c>
      <c r="K6541" s="6" t="s">
        <v>362</v>
      </c>
      <c r="L6541" s="6" t="s">
        <v>363</v>
      </c>
      <c r="M6541" s="6" t="s">
        <v>364</v>
      </c>
      <c r="N6541" s="6" t="s">
        <v>365</v>
      </c>
      <c r="P6541" s="6" t="s">
        <v>445</v>
      </c>
      <c r="Q6541" s="6" t="s">
        <v>446</v>
      </c>
      <c r="R6541" s="6" t="s">
        <v>447</v>
      </c>
      <c r="S6541" s="6" t="s">
        <v>448</v>
      </c>
    </row>
    <row r="6542" customFormat="false" ht="15" hidden="false" customHeight="false" outlineLevel="0" collapsed="false">
      <c r="A6542" s="9" t="s">
        <v>581</v>
      </c>
      <c r="C6542" s="61" t="n">
        <f aca="false">N6504</f>
        <v>509612.726732255</v>
      </c>
      <c r="D6542" s="61"/>
    </row>
    <row r="6543" customFormat="false" ht="15" hidden="false" customHeight="false" outlineLevel="0" collapsed="false">
      <c r="A6543" s="9" t="s">
        <v>582</v>
      </c>
      <c r="C6543" s="62" t="n">
        <f aca="false">N6500</f>
        <v>49.5280990541991</v>
      </c>
      <c r="D6543" s="62"/>
    </row>
    <row r="6544" customFormat="false" ht="15" hidden="false" customHeight="false" outlineLevel="0" collapsed="false">
      <c r="A6544" s="9" t="s">
        <v>583</v>
      </c>
      <c r="C6544" s="63" t="n">
        <f aca="false">S6495</f>
        <v>54.7491194625937</v>
      </c>
      <c r="D6544" s="63"/>
    </row>
    <row r="6545" customFormat="false" ht="15" hidden="false" customHeight="false" outlineLevel="0" collapsed="false">
      <c r="A6545" s="9" t="s">
        <v>584</v>
      </c>
      <c r="C6545" s="61" t="n">
        <f aca="false">S6506</f>
        <v>494823.782961303</v>
      </c>
      <c r="D6545" s="61"/>
    </row>
    <row r="6546" customFormat="false" ht="15" hidden="false" customHeight="false" outlineLevel="0" collapsed="false">
      <c r="A6546" s="9" t="s">
        <v>22</v>
      </c>
      <c r="C6546" s="61" t="n">
        <f aca="false">IFERROR(S6505/S6495,0)</f>
        <v>8847.97350983958</v>
      </c>
      <c r="D6546" s="61"/>
    </row>
    <row r="6547" customFormat="false" ht="15" hidden="false" customHeight="false" outlineLevel="0" collapsed="false">
      <c r="A6547" s="9" t="s">
        <v>585</v>
      </c>
      <c r="C6547" s="61" t="n">
        <f aca="false">IFERROR(S6523/S6495,0)</f>
        <v>39481.7979795841</v>
      </c>
      <c r="D6547" s="61"/>
    </row>
    <row r="6548" customFormat="false" ht="23.85" hidden="false" customHeight="false" outlineLevel="0" collapsed="false">
      <c r="A6548" s="9" t="s">
        <v>586</v>
      </c>
      <c r="C6548" s="61" t="n">
        <f aca="false">IFERROR((S6517+S6519+S6520+S6521+S6522)/S6495,0)</f>
        <v>15924.0153192791</v>
      </c>
      <c r="D6548" s="61"/>
    </row>
    <row r="6549" customFormat="false" ht="15" hidden="false" customHeight="false" outlineLevel="0" collapsed="false">
      <c r="A6549" s="9" t="s">
        <v>587</v>
      </c>
      <c r="C6549" s="64" t="n">
        <f aca="false">IFERROR('Engine Runs'!$C$6547/('Engine Runs'!$C$6546*Assumptions!$D$76/12),0)</f>
        <v>97.3580047306118</v>
      </c>
      <c r="D6549" s="64"/>
    </row>
    <row r="6550" customFormat="false" ht="15" hidden="false" customHeight="false" outlineLevel="0" collapsed="false">
      <c r="A6550" s="9" t="s">
        <v>588</v>
      </c>
      <c r="C6550" s="64" t="n">
        <f aca="false">IFERROR((R6523/R6495)/((R6505/R6495)*Assumptions!$D$76/12),0)</f>
        <v>63.5111069541304</v>
      </c>
      <c r="D6550" s="64"/>
    </row>
    <row r="6551" customFormat="false" ht="15" hidden="false" customHeight="false" outlineLevel="0" collapsed="false">
      <c r="A6551" s="9" t="s">
        <v>589</v>
      </c>
      <c r="C6551" s="61" t="n">
        <f aca="false">S6527</f>
        <v>2967534.56388842</v>
      </c>
      <c r="D6551" s="61"/>
    </row>
    <row r="6552" customFormat="false" ht="15" hidden="false" customHeight="false" outlineLevel="0" collapsed="false">
      <c r="A6552" s="9" t="s">
        <v>590</v>
      </c>
      <c r="C6552" s="61" t="n">
        <f aca="false">N6530</f>
        <v>-2695381.4832597</v>
      </c>
      <c r="D6552" s="61"/>
    </row>
    <row r="6553" customFormat="false" ht="15" hidden="false" customHeight="false" outlineLevel="0" collapsed="false">
      <c r="A6553" s="9" t="s">
        <v>591</v>
      </c>
      <c r="C6553" s="61" t="n">
        <f aca="false">MIN($C$6530:$N$6530)</f>
        <v>-2695381.4832597</v>
      </c>
      <c r="D6553" s="61"/>
    </row>
    <row r="6554" customFormat="false" ht="15" hidden="false" customHeight="false" outlineLevel="0" collapsed="false">
      <c r="A6554" s="9" t="s">
        <v>592</v>
      </c>
      <c r="C6554" s="61" t="n">
        <f aca="false">N6504*(Assumptions!$D$76-$C$6538)*$C$6537*(1-$C$6537^Assumptions!$E$85)/(1-$C$6537)</f>
        <v>696917.63219362</v>
      </c>
      <c r="D6554" s="61"/>
    </row>
    <row r="6555" customFormat="false" ht="15" hidden="false" customHeight="false" outlineLevel="0" collapsed="false">
      <c r="A6555" s="9" t="s">
        <v>593</v>
      </c>
      <c r="C6555" s="61" t="n">
        <f aca="false">N6504*(Assumptions!$D$76-$C$6538)*(1-Assumptions!$E$88)/(1+Assumptions!$E$87)^2.5*$C$6539*(1-$C$6539^Assumptions!$E$85)/(1-$C$6539)</f>
        <v>310169.776789697</v>
      </c>
      <c r="D6555" s="61"/>
    </row>
    <row r="6556" customFormat="false" ht="15" hidden="false" customHeight="false" outlineLevel="0" collapsed="false">
      <c r="A6556" s="9" t="s">
        <v>594</v>
      </c>
      <c r="C6556" s="61" t="n">
        <f aca="false">SUM($C$6532:$N$6532)+'Engine Runs'!$C$6555</f>
        <v>-2006021.03952256</v>
      </c>
      <c r="D6556" s="61"/>
    </row>
    <row r="6557" customFormat="false" ht="15" hidden="false" customHeight="false" outlineLevel="0" collapsed="false">
      <c r="A6557" s="9" t="s">
        <v>595</v>
      </c>
      <c r="C6557" s="61" t="n">
        <f aca="false">SUM($C$6536:$N$6536)+N6534*(Assumptions!$D$76-Assumptions!$E$93)/(1+Assumptions!$E$87)^2.5*$C$6540*(1-$C$6540^Assumptions!$E$85)/(1-$C$6540)</f>
        <v>1451124.58196632</v>
      </c>
      <c r="D6557" s="61"/>
    </row>
    <row r="6558" customFormat="false" ht="15" hidden="false" customHeight="false" outlineLevel="0" collapsed="false">
      <c r="A6558" s="9" t="s">
        <v>596</v>
      </c>
      <c r="C6558" s="61" t="n">
        <f aca="false">'Engine Runs'!$C$6556-'Engine Runs'!$C$6557</f>
        <v>-3457145.62148888</v>
      </c>
      <c r="D6558" s="61"/>
    </row>
    <row r="6559" customFormat="false" ht="15" hidden="false" customHeight="false" outlineLevel="0" collapsed="false">
      <c r="A6559" s="9" t="s">
        <v>597</v>
      </c>
      <c r="C6559" s="61" t="n">
        <f aca="false">S6491</f>
        <v>0</v>
      </c>
      <c r="D6559" s="61"/>
    </row>
    <row r="6560" customFormat="false" ht="15" hidden="false" customHeight="false" outlineLevel="0" collapsed="false">
      <c r="A6560" s="9" t="s">
        <v>598</v>
      </c>
      <c r="C6560" s="63" t="n">
        <f aca="false">P6475</f>
        <v>43.6188722246667</v>
      </c>
      <c r="D6560" s="63"/>
    </row>
    <row r="6561" customFormat="false" ht="15" hidden="false" customHeight="false" outlineLevel="0" collapsed="false">
      <c r="A6561" s="9" t="s">
        <v>599</v>
      </c>
      <c r="C6561" s="63" t="n">
        <f aca="false">P6495</f>
        <v>6.18260904948639</v>
      </c>
      <c r="D6561" s="63"/>
    </row>
    <row r="6562" customFormat="false" ht="15" hidden="false" customHeight="false" outlineLevel="0" collapsed="false">
      <c r="A6562" s="9" t="s">
        <v>600</v>
      </c>
      <c r="C6562" s="63" t="n">
        <f aca="false">P6471</f>
        <v>42</v>
      </c>
      <c r="D6562" s="63"/>
    </row>
    <row r="6563" customFormat="false" ht="15" hidden="false" customHeight="false" outlineLevel="0" collapsed="false">
      <c r="A6563" s="9" t="s">
        <v>601</v>
      </c>
      <c r="C6563" s="61" t="n">
        <f aca="false">IFERROR(P6505/P6495,0)</f>
        <v>8545.01753177967</v>
      </c>
      <c r="D6563" s="61"/>
    </row>
    <row r="6566" customFormat="false" ht="15" hidden="false" customHeight="true" outlineLevel="0" collapsed="false">
      <c r="A6566" s="78" t="s">
        <v>882</v>
      </c>
      <c r="B6566" s="78"/>
      <c r="C6566" s="78"/>
      <c r="D6566" s="78"/>
      <c r="E6566" s="78"/>
      <c r="F6566" s="78"/>
      <c r="G6566" s="78"/>
      <c r="H6566" s="78"/>
      <c r="I6566" s="78"/>
      <c r="J6566" s="78"/>
      <c r="K6566" s="78"/>
      <c r="L6566" s="78"/>
      <c r="M6566" s="78"/>
      <c r="N6566" s="78"/>
    </row>
    <row r="6567" customFormat="false" ht="15" hidden="false" customHeight="true" outlineLevel="0" collapsed="false">
      <c r="A6567" s="79" t="s">
        <v>883</v>
      </c>
      <c r="B6567" s="79"/>
      <c r="C6567" s="79"/>
      <c r="D6567" s="79"/>
      <c r="E6567" s="79"/>
      <c r="F6567" s="79"/>
      <c r="G6567" s="79"/>
      <c r="H6567" s="79"/>
      <c r="I6567" s="79"/>
      <c r="J6567" s="79"/>
      <c r="K6567" s="79"/>
      <c r="L6567" s="79"/>
      <c r="M6567" s="79"/>
      <c r="N6567" s="79"/>
    </row>
    <row r="6568" customFormat="false" ht="15" hidden="false" customHeight="false" outlineLevel="0" collapsed="false">
      <c r="A6568" s="35" t="s">
        <v>884</v>
      </c>
      <c r="B6568" s="35" t="s">
        <v>444</v>
      </c>
      <c r="C6568" s="6" t="s">
        <v>354</v>
      </c>
      <c r="D6568" s="6" t="s">
        <v>355</v>
      </c>
      <c r="E6568" s="6" t="s">
        <v>356</v>
      </c>
      <c r="F6568" s="6" t="s">
        <v>357</v>
      </c>
      <c r="G6568" s="6" t="s">
        <v>358</v>
      </c>
      <c r="H6568" s="6" t="s">
        <v>359</v>
      </c>
      <c r="I6568" s="6" t="s">
        <v>360</v>
      </c>
      <c r="J6568" s="6" t="s">
        <v>361</v>
      </c>
      <c r="K6568" s="6" t="s">
        <v>362</v>
      </c>
      <c r="L6568" s="6" t="s">
        <v>363</v>
      </c>
      <c r="M6568" s="6" t="s">
        <v>364</v>
      </c>
      <c r="N6568" s="6" t="s">
        <v>365</v>
      </c>
      <c r="P6568" s="6" t="s">
        <v>445</v>
      </c>
      <c r="Q6568" s="6" t="s">
        <v>446</v>
      </c>
      <c r="R6568" s="6" t="s">
        <v>447</v>
      </c>
      <c r="S6568" s="6" t="s">
        <v>448</v>
      </c>
    </row>
    <row r="6569" customFormat="false" ht="15" hidden="false" customHeight="false" outlineLevel="0" collapsed="false">
      <c r="A6569" s="4" t="s">
        <v>449</v>
      </c>
      <c r="B6569" s="36" t="s">
        <v>450</v>
      </c>
      <c r="C6569" s="34" t="n">
        <f aca="false">'Market Sizing'!$C$17*Assumptions!$E$10*Assumptions!$E$11*(1-Assumptions!$E$12)</f>
        <v>843.03944704</v>
      </c>
    </row>
    <row r="6570" customFormat="false" ht="15" hidden="false" customHeight="false" outlineLevel="0" collapsed="false">
      <c r="A6570" s="4" t="s">
        <v>451</v>
      </c>
      <c r="B6570" s="36" t="s">
        <v>450</v>
      </c>
      <c r="C6570" s="34" t="n">
        <f aca="false">'Market Sizing'!$D$17*Assumptions!$E$10*Assumptions!$E$11*(1-Assumptions!$E$12)</f>
        <v>211.19616</v>
      </c>
    </row>
    <row r="6571" customFormat="false" ht="15" hidden="false" customHeight="false" outlineLevel="0" collapsed="false">
      <c r="A6571" s="4" t="s">
        <v>452</v>
      </c>
      <c r="B6571" s="36" t="s">
        <v>450</v>
      </c>
      <c r="C6571" s="34" t="n">
        <f aca="false">'Market Sizing'!$E$17*Assumptions!$E$10*Assumptions!$E$11*(1-Assumptions!$E$12)</f>
        <v>49.53984</v>
      </c>
    </row>
    <row r="6572" customFormat="false" ht="15" hidden="false" customHeight="false" outlineLevel="0" collapsed="false">
      <c r="A6572" s="4" t="s">
        <v>453</v>
      </c>
      <c r="B6572" s="36"/>
      <c r="C6572" s="34" t="n">
        <f aca="false">$C$6569+$C$6570+$C$6571</f>
        <v>1103.77544704</v>
      </c>
    </row>
    <row r="6573" customFormat="false" ht="15" hidden="false" customHeight="false" outlineLevel="0" collapsed="false">
      <c r="A6573" s="4" t="s">
        <v>454</v>
      </c>
      <c r="B6573" s="36" t="s">
        <v>450</v>
      </c>
      <c r="C6573" s="34" t="n">
        <f aca="false">'Market Sizing'!$C$18*Assumptions!$E$10*Assumptions!$E$11*(1-Assumptions!$E$12)</f>
        <v>612.57706944</v>
      </c>
    </row>
    <row r="6574" customFormat="false" ht="15" hidden="false" customHeight="false" outlineLevel="0" collapsed="false">
      <c r="A6574" s="4" t="s">
        <v>455</v>
      </c>
      <c r="B6574" s="36" t="s">
        <v>450</v>
      </c>
      <c r="C6574" s="34" t="n">
        <f aca="false">'Market Sizing'!$D$18*Assumptions!$E$10*Assumptions!$E$11*(1-Assumptions!$E$12)</f>
        <v>142.10112</v>
      </c>
    </row>
    <row r="6575" customFormat="false" ht="15" hidden="false" customHeight="false" outlineLevel="0" collapsed="false">
      <c r="A6575" s="4" t="s">
        <v>456</v>
      </c>
      <c r="B6575" s="36" t="s">
        <v>450</v>
      </c>
      <c r="C6575" s="34" t="n">
        <f aca="false">'Market Sizing'!$E$18*Assumptions!$E$10*Assumptions!$E$11*(1-Assumptions!$E$12)</f>
        <v>24.76992</v>
      </c>
    </row>
    <row r="6576" customFormat="false" ht="15" hidden="false" customHeight="false" outlineLevel="0" collapsed="false">
      <c r="A6576" s="4" t="s">
        <v>457</v>
      </c>
      <c r="B6576" s="36"/>
      <c r="C6576" s="34" t="n">
        <f aca="false">$C$6573+$C$6574+$C$6575</f>
        <v>779.44810944</v>
      </c>
    </row>
    <row r="6577" customFormat="false" ht="15" hidden="false" customHeight="false" outlineLevel="0" collapsed="false">
      <c r="A6577" s="4" t="s">
        <v>458</v>
      </c>
      <c r="B6577" s="36" t="s">
        <v>450</v>
      </c>
      <c r="C6577" s="34" t="n">
        <f aca="false">'Market Sizing'!$C$19*Assumptions!$E$10*Assumptions!$E$11*(1-Assumptions!$E$12)</f>
        <v>2060.77303936</v>
      </c>
    </row>
    <row r="6578" customFormat="false" ht="15" hidden="false" customHeight="false" outlineLevel="0" collapsed="false">
      <c r="A6578" s="4" t="s">
        <v>459</v>
      </c>
      <c r="B6578" s="36" t="s">
        <v>450</v>
      </c>
      <c r="C6578" s="34" t="n">
        <f aca="false">'Market Sizing'!$D$19*Assumptions!$E$10*Assumptions!$E$11*(1-Assumptions!$E$12)</f>
        <v>428.47616</v>
      </c>
    </row>
    <row r="6579" customFormat="false" ht="15" hidden="false" customHeight="false" outlineLevel="0" collapsed="false">
      <c r="A6579" s="4" t="s">
        <v>460</v>
      </c>
      <c r="B6579" s="36" t="s">
        <v>450</v>
      </c>
      <c r="C6579" s="34" t="n">
        <f aca="false">'Market Sizing'!$E$19*Assumptions!$E$10*Assumptions!$E$11*(1-Assumptions!$E$12)</f>
        <v>79.52448</v>
      </c>
    </row>
    <row r="6580" customFormat="false" ht="15" hidden="false" customHeight="false" outlineLevel="0" collapsed="false">
      <c r="A6580" s="4" t="s">
        <v>461</v>
      </c>
      <c r="B6580" s="36"/>
      <c r="C6580" s="34" t="n">
        <f aca="false">$C$6577+$C$6578+$C$6579</f>
        <v>2568.77367936</v>
      </c>
    </row>
    <row r="6581" customFormat="false" ht="15" hidden="false" customHeight="false" outlineLevel="0" collapsed="false">
      <c r="A6581" s="4" t="s">
        <v>462</v>
      </c>
      <c r="B6581" s="36" t="s">
        <v>463</v>
      </c>
      <c r="C6581" s="33" t="n">
        <f aca="false">MAX((Assumptions!$E$51+Assumptions!$E$53)*12,(((('Market Sizing'!$E$25*Assumptions!$E$41*Assumptions!$E$42*Assumptions!$E$43)*Assumptions!$E$44)*Assumptions!$E$45*Assumptions!$E$46+('Market Sizing'!$E$25*Assumptions!$E$41*Assumptions!$E$42*Assumptions!$E$43)*Assumptions!$E$47+('Market Sizing'!$E$25*Assumptions!$E$41*Assumptions!$E$42*Assumptions!$E$43)*Assumptions!$E$48*Assumptions!$E$49)*(Assumptions!$E$51*12/Assumptions!$E$52)+((('Market Sizing'!$E$25*Assumptions!$E$41*Assumptions!$E$42*Assumptions!$E$43)*Assumptions!$E$44)*Assumptions!$E$45+('Market Sizing'!$E$25*Assumptions!$E$41*Assumptions!$E$42*Assumptions!$E$43)+('Market Sizing'!$E$25*Assumptions!$E$41*Assumptions!$E$42*Assumptions!$E$43)*Assumptions!$E$48)*Assumptions!$E$50*(Assumptions!$E$53*12/Assumptions!$E$54)))</f>
        <v>5352</v>
      </c>
    </row>
    <row r="6582" customFormat="false" ht="15" hidden="false" customHeight="false" outlineLevel="0" collapsed="false">
      <c r="A6582" s="4" t="s">
        <v>464</v>
      </c>
      <c r="B6582" s="36" t="s">
        <v>463</v>
      </c>
      <c r="C6582" s="33" t="n">
        <f aca="false">MAX((Assumptions!$E$51+Assumptions!$E$53)*12,(((('Market Sizing'!$E$26*Assumptions!$E$41*Assumptions!$E$42*Assumptions!$E$43)*Assumptions!$E$44)*Assumptions!$E$45*Assumptions!$E$46+('Market Sizing'!$E$26*Assumptions!$E$41*Assumptions!$E$42*Assumptions!$E$43)*Assumptions!$E$47+('Market Sizing'!$E$26*Assumptions!$E$41*Assumptions!$E$42*Assumptions!$E$43)*Assumptions!$E$48*Assumptions!$E$49)*(Assumptions!$E$51*12/Assumptions!$E$52)+((('Market Sizing'!$E$26*Assumptions!$E$41*Assumptions!$E$42*Assumptions!$E$43)*Assumptions!$E$44)*Assumptions!$E$45+('Market Sizing'!$E$26*Assumptions!$E$41*Assumptions!$E$42*Assumptions!$E$43)+('Market Sizing'!$E$26*Assumptions!$E$41*Assumptions!$E$42*Assumptions!$E$43)*Assumptions!$E$48)*Assumptions!$E$50*(Assumptions!$E$53*12/Assumptions!$E$54)))</f>
        <v>9766.72012875208</v>
      </c>
    </row>
    <row r="6583" customFormat="false" ht="15" hidden="false" customHeight="false" outlineLevel="0" collapsed="false">
      <c r="A6583" s="4" t="s">
        <v>465</v>
      </c>
      <c r="B6583" s="36" t="s">
        <v>463</v>
      </c>
      <c r="C6583" s="33" t="n">
        <f aca="false">MAX(Assumptions!$E$55*(Assumptions!$E$51*12/Assumptions!$E$52)+Assumptions!$E$56*(Assumptions!$E$53*12/Assumptions!$E$54),(((('Market Sizing'!$E$27*Assumptions!$E$41*Assumptions!$E$42*Assumptions!$E$43)*Assumptions!$E$44)*Assumptions!$E$45*Assumptions!$E$46+('Market Sizing'!$E$27*Assumptions!$E$41*Assumptions!$E$42*Assumptions!$E$43)*Assumptions!$E$47+('Market Sizing'!$E$27*Assumptions!$E$41*Assumptions!$E$42*Assumptions!$E$43)*Assumptions!$E$48*Assumptions!$E$49)*(Assumptions!$E$51*12/Assumptions!$E$52)+((('Market Sizing'!$E$27*Assumptions!$E$41*Assumptions!$E$42*Assumptions!$E$43)*Assumptions!$E$44)*Assumptions!$E$45+('Market Sizing'!$E$27*Assumptions!$E$41*Assumptions!$E$42*Assumptions!$E$43)+('Market Sizing'!$E$27*Assumptions!$E$41*Assumptions!$E$42*Assumptions!$E$43)*Assumptions!$E$48)*Assumptions!$E$50*(Assumptions!$E$53*12/Assumptions!$E$54)))*(1-Assumptions!$E$57)</f>
        <v>61778.2562194386</v>
      </c>
    </row>
    <row r="6584" customFormat="false" ht="23.85" hidden="false" customHeight="false" outlineLevel="0" collapsed="false">
      <c r="A6584" s="4" t="s">
        <v>466</v>
      </c>
      <c r="B6584" s="36" t="s">
        <v>467</v>
      </c>
      <c r="C6584" s="37" t="n">
        <f aca="false">Assumptions!$E$17*Assumptions!$D$106</f>
        <v>0.4</v>
      </c>
    </row>
    <row r="6585" customFormat="false" ht="23.85" hidden="false" customHeight="false" outlineLevel="0" collapsed="false">
      <c r="A6585" s="4" t="s">
        <v>468</v>
      </c>
      <c r="B6585" s="36" t="s">
        <v>469</v>
      </c>
      <c r="C6585" s="33" t="n">
        <f aca="false">Assumptions!$E$68/Assumptions!$E$69</f>
        <v>285714.285714286</v>
      </c>
    </row>
    <row r="6586" customFormat="false" ht="23.85" hidden="false" customHeight="false" outlineLevel="0" collapsed="false">
      <c r="A6586" s="4" t="s">
        <v>470</v>
      </c>
      <c r="B6586" s="36" t="s">
        <v>471</v>
      </c>
      <c r="C6586" s="33" t="n">
        <f aca="false">Assumptions!$E$66*Assumptions!$E$67/4</f>
        <v>153125</v>
      </c>
    </row>
    <row r="6587" customFormat="false" ht="15" hidden="false" customHeight="false" outlineLevel="0" collapsed="false">
      <c r="A6587" s="4" t="s">
        <v>472</v>
      </c>
      <c r="B6587" s="36"/>
      <c r="C6587" s="38" t="n">
        <f aca="false">$C$6585/Assumptions!$E$66/Assumptions!$E$67</f>
        <v>0.466472303206997</v>
      </c>
    </row>
    <row r="6588" customFormat="false" ht="15" hidden="false" customHeight="false" outlineLevel="0" collapsed="false">
      <c r="A6588" s="4" t="s">
        <v>473</v>
      </c>
      <c r="B6588" s="36"/>
      <c r="C6588" s="33" t="n">
        <f aca="false">MAX(0,Assumptions!$D$103-Assumptions!$E$78)</f>
        <v>0</v>
      </c>
    </row>
    <row r="6589" customFormat="false" ht="15" hidden="false" customHeight="false" outlineLevel="0" collapsed="false">
      <c r="A6589" s="35" t="s">
        <v>474</v>
      </c>
      <c r="B6589" s="35" t="s">
        <v>444</v>
      </c>
      <c r="C6589" s="6" t="s">
        <v>354</v>
      </c>
      <c r="D6589" s="6" t="s">
        <v>355</v>
      </c>
      <c r="E6589" s="6" t="s">
        <v>356</v>
      </c>
      <c r="F6589" s="6" t="s">
        <v>357</v>
      </c>
      <c r="G6589" s="6" t="s">
        <v>358</v>
      </c>
      <c r="H6589" s="6" t="s">
        <v>359</v>
      </c>
      <c r="I6589" s="6" t="s">
        <v>360</v>
      </c>
      <c r="J6589" s="6" t="s">
        <v>361</v>
      </c>
      <c r="K6589" s="6" t="s">
        <v>362</v>
      </c>
      <c r="L6589" s="6" t="s">
        <v>363</v>
      </c>
      <c r="M6589" s="6" t="s">
        <v>364</v>
      </c>
      <c r="N6589" s="6" t="s">
        <v>365</v>
      </c>
      <c r="P6589" s="6" t="s">
        <v>445</v>
      </c>
      <c r="Q6589" s="6" t="s">
        <v>446</v>
      </c>
      <c r="R6589" s="6" t="s">
        <v>447</v>
      </c>
      <c r="S6589" s="6" t="s">
        <v>448</v>
      </c>
    </row>
    <row r="6590" customFormat="false" ht="15" hidden="false" customHeight="false" outlineLevel="0" collapsed="false">
      <c r="A6590" s="4" t="s">
        <v>475</v>
      </c>
      <c r="B6590" s="36" t="s">
        <v>133</v>
      </c>
      <c r="C6590" s="39" t="n">
        <v>1</v>
      </c>
      <c r="D6590" s="39" t="n">
        <v>2</v>
      </c>
      <c r="E6590" s="39" t="n">
        <v>3</v>
      </c>
      <c r="F6590" s="39" t="n">
        <v>4</v>
      </c>
      <c r="G6590" s="39" t="n">
        <v>5</v>
      </c>
      <c r="H6590" s="39" t="n">
        <v>6</v>
      </c>
      <c r="I6590" s="39" t="n">
        <v>7</v>
      </c>
      <c r="J6590" s="39" t="n">
        <v>8</v>
      </c>
      <c r="K6590" s="39" t="n">
        <v>9</v>
      </c>
      <c r="L6590" s="39" t="n">
        <v>10</v>
      </c>
      <c r="M6590" s="39" t="n">
        <v>11</v>
      </c>
      <c r="N6590" s="39" t="n">
        <v>12</v>
      </c>
      <c r="P6590" s="40"/>
      <c r="Q6590" s="40"/>
      <c r="R6590" s="40"/>
      <c r="S6590" s="41"/>
    </row>
    <row r="6591" customFormat="false" ht="15" hidden="false" customHeight="false" outlineLevel="0" collapsed="false">
      <c r="A6591" s="4" t="s">
        <v>476</v>
      </c>
      <c r="B6591" s="36" t="s">
        <v>343</v>
      </c>
      <c r="C6591" s="39" t="n">
        <f aca="false">IF(C6590&lt;=Assumptions!$E$84,1,0)</f>
        <v>1</v>
      </c>
      <c r="D6591" s="39" t="n">
        <f aca="false">IF(D6590&lt;=Assumptions!$E$84,1,0)</f>
        <v>1</v>
      </c>
      <c r="E6591" s="39" t="n">
        <f aca="false">IF(E6590&lt;=Assumptions!$E$84,1,0)</f>
        <v>1</v>
      </c>
      <c r="F6591" s="39" t="n">
        <f aca="false">IF(F6590&lt;=Assumptions!$E$84,1,0)</f>
        <v>1</v>
      </c>
      <c r="G6591" s="39" t="n">
        <f aca="false">IF(G6590&lt;=Assumptions!$E$84,1,0)</f>
        <v>1</v>
      </c>
      <c r="H6591" s="39" t="n">
        <f aca="false">IF(H6590&lt;=Assumptions!$E$84,1,0)</f>
        <v>1</v>
      </c>
      <c r="I6591" s="39" t="n">
        <f aca="false">IF(I6590&lt;=Assumptions!$E$84,1,0)</f>
        <v>1</v>
      </c>
      <c r="J6591" s="39" t="n">
        <f aca="false">IF(J6590&lt;=Assumptions!$E$84,1,0)</f>
        <v>1</v>
      </c>
      <c r="K6591" s="39" t="n">
        <f aca="false">IF(K6590&lt;=Assumptions!$E$84,1,0)</f>
        <v>1</v>
      </c>
      <c r="L6591" s="39" t="n">
        <f aca="false">IF(L6590&lt;=Assumptions!$E$84,1,0)</f>
        <v>1</v>
      </c>
      <c r="M6591" s="39" t="n">
        <f aca="false">IF(M6590&lt;=Assumptions!$E$84,1,0)</f>
        <v>1</v>
      </c>
      <c r="N6591" s="39" t="n">
        <f aca="false">IF(N6590&lt;=Assumptions!$E$84,1,0)</f>
        <v>1</v>
      </c>
      <c r="P6591" s="40"/>
      <c r="Q6591" s="40"/>
      <c r="R6591" s="40"/>
      <c r="S6591" s="41"/>
    </row>
    <row r="6592" customFormat="false" ht="15" hidden="false" customHeight="false" outlineLevel="0" collapsed="false">
      <c r="A6592" s="4" t="s">
        <v>477</v>
      </c>
      <c r="B6592" s="36" t="s">
        <v>478</v>
      </c>
      <c r="C6592" s="42" t="n">
        <f aca="false">IF(C6590=Assumptions!$E$13,0.5,IF(C6590&gt;Assumptions!$E$13,1,0))</f>
        <v>0.5</v>
      </c>
      <c r="D6592" s="42" t="n">
        <f aca="false">IF(D6590=Assumptions!$E$13,0.5,IF(D6590&gt;Assumptions!$E$13,1,0))</f>
        <v>1</v>
      </c>
      <c r="E6592" s="42" t="n">
        <f aca="false">IF(E6590=Assumptions!$E$13,0.5,IF(E6590&gt;Assumptions!$E$13,1,0))</f>
        <v>1</v>
      </c>
      <c r="F6592" s="42" t="n">
        <f aca="false">IF(F6590=Assumptions!$E$13,0.5,IF(F6590&gt;Assumptions!$E$13,1,0))</f>
        <v>1</v>
      </c>
      <c r="G6592" s="42" t="n">
        <f aca="false">IF(G6590=Assumptions!$E$13,0.5,IF(G6590&gt;Assumptions!$E$13,1,0))</f>
        <v>1</v>
      </c>
      <c r="H6592" s="42" t="n">
        <f aca="false">IF(H6590=Assumptions!$E$13,0.5,IF(H6590&gt;Assumptions!$E$13,1,0))</f>
        <v>1</v>
      </c>
      <c r="I6592" s="42" t="n">
        <f aca="false">IF(I6590=Assumptions!$E$13,0.5,IF(I6590&gt;Assumptions!$E$13,1,0))</f>
        <v>1</v>
      </c>
      <c r="J6592" s="42" t="n">
        <f aca="false">IF(J6590=Assumptions!$E$13,0.5,IF(J6590&gt;Assumptions!$E$13,1,0))</f>
        <v>1</v>
      </c>
      <c r="K6592" s="42" t="n">
        <f aca="false">IF(K6590=Assumptions!$E$13,0.5,IF(K6590&gt;Assumptions!$E$13,1,0))</f>
        <v>1</v>
      </c>
      <c r="L6592" s="42" t="n">
        <f aca="false">IF(L6590=Assumptions!$E$13,0.5,IF(L6590&gt;Assumptions!$E$13,1,0))</f>
        <v>1</v>
      </c>
      <c r="M6592" s="42" t="n">
        <f aca="false">IF(M6590=Assumptions!$E$13,0.5,IF(M6590&gt;Assumptions!$E$13,1,0))</f>
        <v>1</v>
      </c>
      <c r="N6592" s="42" t="n">
        <f aca="false">IF(N6590=Assumptions!$E$13,0.5,IF(N6590&gt;Assumptions!$E$13,1,0))</f>
        <v>1</v>
      </c>
      <c r="P6592" s="43"/>
      <c r="Q6592" s="43"/>
      <c r="R6592" s="43"/>
      <c r="S6592" s="44"/>
    </row>
    <row r="6593" customFormat="false" ht="15" hidden="false" customHeight="false" outlineLevel="0" collapsed="false">
      <c r="A6593" s="4" t="s">
        <v>479</v>
      </c>
      <c r="B6593" s="36" t="s">
        <v>478</v>
      </c>
      <c r="C6593" s="42" t="n">
        <f aca="false">IF(C6590=Assumptions!$E$14,0.5,IF(C6590&gt;Assumptions!$E$14,1,0))</f>
        <v>0</v>
      </c>
      <c r="D6593" s="42" t="n">
        <f aca="false">IF(D6590=Assumptions!$E$14,0.5,IF(D6590&gt;Assumptions!$E$14,1,0))</f>
        <v>0</v>
      </c>
      <c r="E6593" s="42" t="n">
        <f aca="false">IF(E6590=Assumptions!$E$14,0.5,IF(E6590&gt;Assumptions!$E$14,1,0))</f>
        <v>0</v>
      </c>
      <c r="F6593" s="42" t="n">
        <f aca="false">IF(F6590=Assumptions!$E$14,0.5,IF(F6590&gt;Assumptions!$E$14,1,0))</f>
        <v>0</v>
      </c>
      <c r="G6593" s="42" t="n">
        <f aca="false">IF(G6590=Assumptions!$E$14,0.5,IF(G6590&gt;Assumptions!$E$14,1,0))</f>
        <v>0.5</v>
      </c>
      <c r="H6593" s="42" t="n">
        <f aca="false">IF(H6590=Assumptions!$E$14,0.5,IF(H6590&gt;Assumptions!$E$14,1,0))</f>
        <v>1</v>
      </c>
      <c r="I6593" s="42" t="n">
        <f aca="false">IF(I6590=Assumptions!$E$14,0.5,IF(I6590&gt;Assumptions!$E$14,1,0))</f>
        <v>1</v>
      </c>
      <c r="J6593" s="42" t="n">
        <f aca="false">IF(J6590=Assumptions!$E$14,0.5,IF(J6590&gt;Assumptions!$E$14,1,0))</f>
        <v>1</v>
      </c>
      <c r="K6593" s="42" t="n">
        <f aca="false">IF(K6590=Assumptions!$E$14,0.5,IF(K6590&gt;Assumptions!$E$14,1,0))</f>
        <v>1</v>
      </c>
      <c r="L6593" s="42" t="n">
        <f aca="false">IF(L6590=Assumptions!$E$14,0.5,IF(L6590&gt;Assumptions!$E$14,1,0))</f>
        <v>1</v>
      </c>
      <c r="M6593" s="42" t="n">
        <f aca="false">IF(M6590=Assumptions!$E$14,0.5,IF(M6590&gt;Assumptions!$E$14,1,0))</f>
        <v>1</v>
      </c>
      <c r="N6593" s="42" t="n">
        <f aca="false">IF(N6590=Assumptions!$E$14,0.5,IF(N6590&gt;Assumptions!$E$14,1,0))</f>
        <v>1</v>
      </c>
      <c r="P6593" s="43"/>
      <c r="Q6593" s="43"/>
      <c r="R6593" s="43"/>
      <c r="S6593" s="44"/>
    </row>
    <row r="6594" customFormat="false" ht="15" hidden="false" customHeight="false" outlineLevel="0" collapsed="false">
      <c r="A6594" s="4" t="s">
        <v>480</v>
      </c>
      <c r="B6594" s="36" t="s">
        <v>478</v>
      </c>
      <c r="C6594" s="42" t="n">
        <f aca="false">IF(C6590=Assumptions!$E$15,0.5,IF(C6590&gt;Assumptions!$E$15,1,0))</f>
        <v>0</v>
      </c>
      <c r="D6594" s="42" t="n">
        <f aca="false">IF(D6590=Assumptions!$E$15,0.5,IF(D6590&gt;Assumptions!$E$15,1,0))</f>
        <v>0</v>
      </c>
      <c r="E6594" s="42" t="n">
        <f aca="false">IF(E6590=Assumptions!$E$15,0.5,IF(E6590&gt;Assumptions!$E$15,1,0))</f>
        <v>0</v>
      </c>
      <c r="F6594" s="42" t="n">
        <f aca="false">IF(F6590=Assumptions!$E$15,0.5,IF(F6590&gt;Assumptions!$E$15,1,0))</f>
        <v>0</v>
      </c>
      <c r="G6594" s="42" t="n">
        <f aca="false">IF(G6590=Assumptions!$E$15,0.5,IF(G6590&gt;Assumptions!$E$15,1,0))</f>
        <v>0</v>
      </c>
      <c r="H6594" s="42" t="n">
        <f aca="false">IF(H6590=Assumptions!$E$15,0.5,IF(H6590&gt;Assumptions!$E$15,1,0))</f>
        <v>0</v>
      </c>
      <c r="I6594" s="42" t="n">
        <f aca="false">IF(I6590=Assumptions!$E$15,0.5,IF(I6590&gt;Assumptions!$E$15,1,0))</f>
        <v>0.5</v>
      </c>
      <c r="J6594" s="42" t="n">
        <f aca="false">IF(J6590=Assumptions!$E$15,0.5,IF(J6590&gt;Assumptions!$E$15,1,0))</f>
        <v>1</v>
      </c>
      <c r="K6594" s="42" t="n">
        <f aca="false">IF(K6590=Assumptions!$E$15,0.5,IF(K6590&gt;Assumptions!$E$15,1,0))</f>
        <v>1</v>
      </c>
      <c r="L6594" s="42" t="n">
        <f aca="false">IF(L6590=Assumptions!$E$15,0.5,IF(L6590&gt;Assumptions!$E$15,1,0))</f>
        <v>1</v>
      </c>
      <c r="M6594" s="42" t="n">
        <f aca="false">IF(M6590=Assumptions!$E$15,0.5,IF(M6590&gt;Assumptions!$E$15,1,0))</f>
        <v>1</v>
      </c>
      <c r="N6594" s="42" t="n">
        <f aca="false">IF(N6590=Assumptions!$E$15,0.5,IF(N6590&gt;Assumptions!$E$15,1,0))</f>
        <v>1</v>
      </c>
      <c r="P6594" s="43"/>
      <c r="Q6594" s="43"/>
      <c r="R6594" s="43"/>
      <c r="S6594" s="44"/>
    </row>
    <row r="6595" customFormat="false" ht="15" hidden="false" customHeight="false" outlineLevel="0" collapsed="false">
      <c r="A6595" s="4" t="s">
        <v>481</v>
      </c>
      <c r="B6595" s="36" t="s">
        <v>478</v>
      </c>
      <c r="C6595" s="45" t="n">
        <f aca="false">Assumptions!$E$21^(MAX(0,C6590-Assumptions!$E$13)/4)</f>
        <v>1</v>
      </c>
      <c r="D6595" s="45" t="n">
        <f aca="false">Assumptions!$E$21^(MAX(0,D6590-Assumptions!$E$13)/4)</f>
        <v>0.9306048591021</v>
      </c>
      <c r="E6595" s="45" t="n">
        <f aca="false">Assumptions!$E$21^(MAX(0,E6590-Assumptions!$E$13)/4)</f>
        <v>0.866025403784439</v>
      </c>
      <c r="F6595" s="45" t="n">
        <f aca="false">Assumptions!$E$21^(MAX(0,F6590-Assumptions!$E$13)/4)</f>
        <v>0.805927448867656</v>
      </c>
      <c r="G6595" s="45" t="n">
        <f aca="false">Assumptions!$E$21^(MAX(0,G6590-Assumptions!$E$13)/4)</f>
        <v>0.75</v>
      </c>
      <c r="H6595" s="45" t="n">
        <f aca="false">Assumptions!$E$21^(MAX(0,H6590-Assumptions!$E$13)/4)</f>
        <v>0.697953644326575</v>
      </c>
      <c r="I6595" s="45" t="n">
        <f aca="false">Assumptions!$E$21^(MAX(0,I6590-Assumptions!$E$13)/4)</f>
        <v>0.649519052838329</v>
      </c>
      <c r="J6595" s="45" t="n">
        <f aca="false">Assumptions!$E$21^(MAX(0,J6590-Assumptions!$E$13)/4)</f>
        <v>0.604445586650742</v>
      </c>
      <c r="K6595" s="45" t="n">
        <f aca="false">Assumptions!$E$21^(MAX(0,K6590-Assumptions!$E$13)/4)</f>
        <v>0.5625</v>
      </c>
      <c r="L6595" s="45" t="n">
        <f aca="false">Assumptions!$E$21^(MAX(0,L6590-Assumptions!$E$13)/4)</f>
        <v>0.523465233244931</v>
      </c>
      <c r="M6595" s="45" t="n">
        <f aca="false">Assumptions!$E$21^(MAX(0,M6590-Assumptions!$E$13)/4)</f>
        <v>0.487139289628747</v>
      </c>
      <c r="N6595" s="45" t="n">
        <f aca="false">Assumptions!$E$21^(MAX(0,N6590-Assumptions!$E$13)/4)</f>
        <v>0.453334189988057</v>
      </c>
      <c r="P6595" s="46"/>
      <c r="Q6595" s="46"/>
      <c r="R6595" s="46"/>
      <c r="S6595" s="47"/>
    </row>
    <row r="6596" customFormat="false" ht="15" hidden="false" customHeight="false" outlineLevel="0" collapsed="false">
      <c r="A6596" s="4" t="s">
        <v>482</v>
      </c>
      <c r="B6596" s="36" t="s">
        <v>478</v>
      </c>
      <c r="C6596" s="45" t="n">
        <f aca="false">Assumptions!$E$21^(MAX(0,C6590-Assumptions!$E$14)/4)</f>
        <v>1</v>
      </c>
      <c r="D6596" s="45" t="n">
        <f aca="false">Assumptions!$E$21^(MAX(0,D6590-Assumptions!$E$14)/4)</f>
        <v>1</v>
      </c>
      <c r="E6596" s="45" t="n">
        <f aca="false">Assumptions!$E$21^(MAX(0,E6590-Assumptions!$E$14)/4)</f>
        <v>1</v>
      </c>
      <c r="F6596" s="45" t="n">
        <f aca="false">Assumptions!$E$21^(MAX(0,F6590-Assumptions!$E$14)/4)</f>
        <v>1</v>
      </c>
      <c r="G6596" s="45" t="n">
        <f aca="false">Assumptions!$E$21^(MAX(0,G6590-Assumptions!$E$14)/4)</f>
        <v>1</v>
      </c>
      <c r="H6596" s="45" t="n">
        <f aca="false">Assumptions!$E$21^(MAX(0,H6590-Assumptions!$E$14)/4)</f>
        <v>0.9306048591021</v>
      </c>
      <c r="I6596" s="45" t="n">
        <f aca="false">Assumptions!$E$21^(MAX(0,I6590-Assumptions!$E$14)/4)</f>
        <v>0.866025403784439</v>
      </c>
      <c r="J6596" s="45" t="n">
        <f aca="false">Assumptions!$E$21^(MAX(0,J6590-Assumptions!$E$14)/4)</f>
        <v>0.805927448867656</v>
      </c>
      <c r="K6596" s="45" t="n">
        <f aca="false">Assumptions!$E$21^(MAX(0,K6590-Assumptions!$E$14)/4)</f>
        <v>0.75</v>
      </c>
      <c r="L6596" s="45" t="n">
        <f aca="false">Assumptions!$E$21^(MAX(0,L6590-Assumptions!$E$14)/4)</f>
        <v>0.697953644326575</v>
      </c>
      <c r="M6596" s="45" t="n">
        <f aca="false">Assumptions!$E$21^(MAX(0,M6590-Assumptions!$E$14)/4)</f>
        <v>0.649519052838329</v>
      </c>
      <c r="N6596" s="45" t="n">
        <f aca="false">Assumptions!$E$21^(MAX(0,N6590-Assumptions!$E$14)/4)</f>
        <v>0.604445586650742</v>
      </c>
      <c r="P6596" s="46"/>
      <c r="Q6596" s="46"/>
      <c r="R6596" s="46"/>
      <c r="S6596" s="47"/>
    </row>
    <row r="6597" customFormat="false" ht="15" hidden="false" customHeight="false" outlineLevel="0" collapsed="false">
      <c r="A6597" s="4" t="s">
        <v>483</v>
      </c>
      <c r="B6597" s="36" t="s">
        <v>478</v>
      </c>
      <c r="C6597" s="45" t="n">
        <f aca="false">Assumptions!$E$21^(MAX(0,C6590-Assumptions!$E$15)/4)</f>
        <v>1</v>
      </c>
      <c r="D6597" s="45" t="n">
        <f aca="false">Assumptions!$E$21^(MAX(0,D6590-Assumptions!$E$15)/4)</f>
        <v>1</v>
      </c>
      <c r="E6597" s="45" t="n">
        <f aca="false">Assumptions!$E$21^(MAX(0,E6590-Assumptions!$E$15)/4)</f>
        <v>1</v>
      </c>
      <c r="F6597" s="45" t="n">
        <f aca="false">Assumptions!$E$21^(MAX(0,F6590-Assumptions!$E$15)/4)</f>
        <v>1</v>
      </c>
      <c r="G6597" s="45" t="n">
        <f aca="false">Assumptions!$E$21^(MAX(0,G6590-Assumptions!$E$15)/4)</f>
        <v>1</v>
      </c>
      <c r="H6597" s="45" t="n">
        <f aca="false">Assumptions!$E$21^(MAX(0,H6590-Assumptions!$E$15)/4)</f>
        <v>1</v>
      </c>
      <c r="I6597" s="45" t="n">
        <f aca="false">Assumptions!$E$21^(MAX(0,I6590-Assumptions!$E$15)/4)</f>
        <v>1</v>
      </c>
      <c r="J6597" s="45" t="n">
        <f aca="false">Assumptions!$E$21^(MAX(0,J6590-Assumptions!$E$15)/4)</f>
        <v>0.9306048591021</v>
      </c>
      <c r="K6597" s="45" t="n">
        <f aca="false">Assumptions!$E$21^(MAX(0,K6590-Assumptions!$E$15)/4)</f>
        <v>0.866025403784439</v>
      </c>
      <c r="L6597" s="45" t="n">
        <f aca="false">Assumptions!$E$21^(MAX(0,L6590-Assumptions!$E$15)/4)</f>
        <v>0.805927448867656</v>
      </c>
      <c r="M6597" s="45" t="n">
        <f aca="false">Assumptions!$E$21^(MAX(0,M6590-Assumptions!$E$15)/4)</f>
        <v>0.75</v>
      </c>
      <c r="N6597" s="45" t="n">
        <f aca="false">Assumptions!$E$21^(MAX(0,N6590-Assumptions!$E$15)/4)</f>
        <v>0.697953644326575</v>
      </c>
      <c r="P6597" s="46"/>
      <c r="Q6597" s="46"/>
      <c r="R6597" s="46"/>
      <c r="S6597" s="47"/>
    </row>
    <row r="6598" customFormat="false" ht="15" hidden="false" customHeight="false" outlineLevel="0" collapsed="false">
      <c r="A6598" s="4" t="s">
        <v>484</v>
      </c>
      <c r="B6598" s="36" t="s">
        <v>485</v>
      </c>
      <c r="C6598" s="39" t="n">
        <f aca="false">$C$6569*C6592+$C$6573*C6593+$C$6577*C6594</f>
        <v>421.51972352</v>
      </c>
      <c r="D6598" s="39" t="n">
        <f aca="false">$C$6569*D6592+$C$6573*D6593+$C$6577*D6594</f>
        <v>843.03944704</v>
      </c>
      <c r="E6598" s="39" t="n">
        <f aca="false">$C$6569*E6592+$C$6573*E6593+$C$6577*E6594</f>
        <v>843.03944704</v>
      </c>
      <c r="F6598" s="39" t="n">
        <f aca="false">$C$6569*F6592+$C$6573*F6593+$C$6577*F6594</f>
        <v>843.03944704</v>
      </c>
      <c r="G6598" s="39" t="n">
        <f aca="false">$C$6569*G6592+$C$6573*G6593+$C$6577*G6594</f>
        <v>1149.32798176</v>
      </c>
      <c r="H6598" s="39" t="n">
        <f aca="false">$C$6569*H6592+$C$6573*H6593+$C$6577*H6594</f>
        <v>1455.61651648</v>
      </c>
      <c r="I6598" s="39" t="n">
        <f aca="false">$C$6569*I6592+$C$6573*I6593+$C$6577*I6594</f>
        <v>2486.00303616</v>
      </c>
      <c r="J6598" s="39" t="n">
        <f aca="false">$C$6569*J6592+$C$6573*J6593+$C$6577*J6594</f>
        <v>3516.38955584</v>
      </c>
      <c r="K6598" s="39" t="n">
        <f aca="false">$C$6569*K6592+$C$6573*K6593+$C$6577*K6594</f>
        <v>3516.38955584</v>
      </c>
      <c r="L6598" s="39" t="n">
        <f aca="false">$C$6569*L6592+$C$6573*L6593+$C$6577*L6594</f>
        <v>3516.38955584</v>
      </c>
      <c r="M6598" s="39" t="n">
        <f aca="false">$C$6569*M6592+$C$6573*M6593+$C$6577*M6594</f>
        <v>3516.38955584</v>
      </c>
      <c r="N6598" s="39" t="n">
        <f aca="false">$C$6569*N6592+$C$6573*N6593+$C$6577*N6594</f>
        <v>3516.38955584</v>
      </c>
      <c r="P6598" s="40" t="n">
        <f aca="false">F6598</f>
        <v>843.03944704</v>
      </c>
      <c r="Q6598" s="40" t="n">
        <f aca="false">J6598</f>
        <v>3516.38955584</v>
      </c>
      <c r="R6598" s="40" t="n">
        <f aca="false">N6598</f>
        <v>3516.38955584</v>
      </c>
      <c r="S6598" s="41" t="n">
        <f aca="false">R6598</f>
        <v>3516.38955584</v>
      </c>
    </row>
    <row r="6599" customFormat="false" ht="15" hidden="false" customHeight="false" outlineLevel="0" collapsed="false">
      <c r="A6599" s="4" t="s">
        <v>486</v>
      </c>
      <c r="B6599" s="36" t="s">
        <v>485</v>
      </c>
      <c r="C6599" s="39" t="n">
        <f aca="false">$C$6570*C6592+$C$6574*C6593+$C$6578*C6594</f>
        <v>105.59808</v>
      </c>
      <c r="D6599" s="39" t="n">
        <f aca="false">$C$6570*D6592+$C$6574*D6593+$C$6578*D6594</f>
        <v>211.19616</v>
      </c>
      <c r="E6599" s="39" t="n">
        <f aca="false">$C$6570*E6592+$C$6574*E6593+$C$6578*E6594</f>
        <v>211.19616</v>
      </c>
      <c r="F6599" s="39" t="n">
        <f aca="false">$C$6570*F6592+$C$6574*F6593+$C$6578*F6594</f>
        <v>211.19616</v>
      </c>
      <c r="G6599" s="39" t="n">
        <f aca="false">$C$6570*G6592+$C$6574*G6593+$C$6578*G6594</f>
        <v>282.24672</v>
      </c>
      <c r="H6599" s="39" t="n">
        <f aca="false">$C$6570*H6592+$C$6574*H6593+$C$6578*H6594</f>
        <v>353.29728</v>
      </c>
      <c r="I6599" s="39" t="n">
        <f aca="false">$C$6570*I6592+$C$6574*I6593+$C$6578*I6594</f>
        <v>567.53536</v>
      </c>
      <c r="J6599" s="39" t="n">
        <f aca="false">$C$6570*J6592+$C$6574*J6593+$C$6578*J6594</f>
        <v>781.77344</v>
      </c>
      <c r="K6599" s="39" t="n">
        <f aca="false">$C$6570*K6592+$C$6574*K6593+$C$6578*K6594</f>
        <v>781.77344</v>
      </c>
      <c r="L6599" s="39" t="n">
        <f aca="false">$C$6570*L6592+$C$6574*L6593+$C$6578*L6594</f>
        <v>781.77344</v>
      </c>
      <c r="M6599" s="39" t="n">
        <f aca="false">$C$6570*M6592+$C$6574*M6593+$C$6578*M6594</f>
        <v>781.77344</v>
      </c>
      <c r="N6599" s="39" t="n">
        <f aca="false">$C$6570*N6592+$C$6574*N6593+$C$6578*N6594</f>
        <v>781.77344</v>
      </c>
      <c r="P6599" s="40" t="n">
        <f aca="false">F6599</f>
        <v>211.19616</v>
      </c>
      <c r="Q6599" s="40" t="n">
        <f aca="false">J6599</f>
        <v>781.77344</v>
      </c>
      <c r="R6599" s="40" t="n">
        <f aca="false">N6599</f>
        <v>781.77344</v>
      </c>
      <c r="S6599" s="41" t="n">
        <f aca="false">R6599</f>
        <v>781.77344</v>
      </c>
    </row>
    <row r="6600" customFormat="false" ht="15" hidden="false" customHeight="false" outlineLevel="0" collapsed="false">
      <c r="A6600" s="4" t="s">
        <v>487</v>
      </c>
      <c r="B6600" s="36" t="s">
        <v>485</v>
      </c>
      <c r="C6600" s="39" t="n">
        <f aca="false">$C$6571*C6592+$C$6575*C6593+$C$6579*C6594</f>
        <v>24.76992</v>
      </c>
      <c r="D6600" s="39" t="n">
        <f aca="false">$C$6571*D6592+$C$6575*D6593+$C$6579*D6594</f>
        <v>49.53984</v>
      </c>
      <c r="E6600" s="39" t="n">
        <f aca="false">$C$6571*E6592+$C$6575*E6593+$C$6579*E6594</f>
        <v>49.53984</v>
      </c>
      <c r="F6600" s="39" t="n">
        <f aca="false">$C$6571*F6592+$C$6575*F6593+$C$6579*F6594</f>
        <v>49.53984</v>
      </c>
      <c r="G6600" s="39" t="n">
        <f aca="false">$C$6571*G6592+$C$6575*G6593+$C$6579*G6594</f>
        <v>61.9248</v>
      </c>
      <c r="H6600" s="39" t="n">
        <f aca="false">$C$6571*H6592+$C$6575*H6593+$C$6579*H6594</f>
        <v>74.30976</v>
      </c>
      <c r="I6600" s="39" t="n">
        <f aca="false">$C$6571*I6592+$C$6575*I6593+$C$6579*I6594</f>
        <v>114.072</v>
      </c>
      <c r="J6600" s="39" t="n">
        <f aca="false">$C$6571*J6592+$C$6575*J6593+$C$6579*J6594</f>
        <v>153.83424</v>
      </c>
      <c r="K6600" s="39" t="n">
        <f aca="false">$C$6571*K6592+$C$6575*K6593+$C$6579*K6594</f>
        <v>153.83424</v>
      </c>
      <c r="L6600" s="39" t="n">
        <f aca="false">$C$6571*L6592+$C$6575*L6593+$C$6579*L6594</f>
        <v>153.83424</v>
      </c>
      <c r="M6600" s="39" t="n">
        <f aca="false">$C$6571*M6592+$C$6575*M6593+$C$6579*M6594</f>
        <v>153.83424</v>
      </c>
      <c r="N6600" s="39" t="n">
        <f aca="false">$C$6571*N6592+$C$6575*N6593+$C$6579*N6594</f>
        <v>153.83424</v>
      </c>
      <c r="P6600" s="40" t="n">
        <f aca="false">F6600</f>
        <v>49.53984</v>
      </c>
      <c r="Q6600" s="40" t="n">
        <f aca="false">J6600</f>
        <v>153.83424</v>
      </c>
      <c r="R6600" s="40" t="n">
        <f aca="false">N6600</f>
        <v>153.83424</v>
      </c>
      <c r="S6600" s="41" t="n">
        <f aca="false">R6600</f>
        <v>153.83424</v>
      </c>
    </row>
    <row r="6601" customFormat="false" ht="15" hidden="false" customHeight="false" outlineLevel="0" collapsed="false">
      <c r="A6601" s="4" t="s">
        <v>488</v>
      </c>
      <c r="B6601" s="36" t="s">
        <v>485</v>
      </c>
      <c r="C6601" s="39" t="n">
        <f aca="false">C6598+C6599+C6600</f>
        <v>551.88772352</v>
      </c>
      <c r="D6601" s="39" t="n">
        <f aca="false">D6598+D6599+D6600</f>
        <v>1103.77544704</v>
      </c>
      <c r="E6601" s="39" t="n">
        <f aca="false">E6598+E6599+E6600</f>
        <v>1103.77544704</v>
      </c>
      <c r="F6601" s="39" t="n">
        <f aca="false">F6598+F6599+F6600</f>
        <v>1103.77544704</v>
      </c>
      <c r="G6601" s="39" t="n">
        <f aca="false">G6598+G6599+G6600</f>
        <v>1493.49950176</v>
      </c>
      <c r="H6601" s="39" t="n">
        <f aca="false">H6598+H6599+H6600</f>
        <v>1883.22355648</v>
      </c>
      <c r="I6601" s="39" t="n">
        <f aca="false">I6598+I6599+I6600</f>
        <v>3167.61039616</v>
      </c>
      <c r="J6601" s="39" t="n">
        <f aca="false">J6598+J6599+J6600</f>
        <v>4451.99723584</v>
      </c>
      <c r="K6601" s="39" t="n">
        <f aca="false">K6598+K6599+K6600</f>
        <v>4451.99723584</v>
      </c>
      <c r="L6601" s="39" t="n">
        <f aca="false">L6598+L6599+L6600</f>
        <v>4451.99723584</v>
      </c>
      <c r="M6601" s="39" t="n">
        <f aca="false">M6598+M6599+M6600</f>
        <v>4451.99723584</v>
      </c>
      <c r="N6601" s="39" t="n">
        <f aca="false">N6598+N6599+N6600</f>
        <v>4451.99723584</v>
      </c>
      <c r="P6601" s="40" t="n">
        <f aca="false">F6601</f>
        <v>1103.77544704</v>
      </c>
      <c r="Q6601" s="40" t="n">
        <f aca="false">J6601</f>
        <v>4451.99723584</v>
      </c>
      <c r="R6601" s="40" t="n">
        <f aca="false">N6601</f>
        <v>4451.99723584</v>
      </c>
      <c r="S6601" s="41" t="n">
        <f aca="false">R6601</f>
        <v>4451.99723584</v>
      </c>
    </row>
    <row r="6602" customFormat="false" ht="15" hidden="false" customHeight="false" outlineLevel="0" collapsed="false">
      <c r="A6602" s="4" t="s">
        <v>489</v>
      </c>
      <c r="B6602" s="36" t="s">
        <v>485</v>
      </c>
      <c r="C6602" s="39" t="n">
        <f aca="false">$C$6572*C6592*C6595+$C$6576*C6593*C6596+$C$6580*C6594*C6597</f>
        <v>551.88772352</v>
      </c>
      <c r="D6602" s="39" t="n">
        <f aca="false">$C$6572*D6592*D6595+$C$6576*D6593*D6596+$C$6580*D6594*D6597</f>
        <v>1027.17879437302</v>
      </c>
      <c r="E6602" s="39" t="n">
        <f aca="false">$C$6572*E6592*E6595+$C$6576*E6593*E6596+$C$6580*E6594*E6597</f>
        <v>955.897577210165</v>
      </c>
      <c r="F6602" s="39" t="n">
        <f aca="false">$C$6572*F6592*F6595+$C$6576*F6593*F6596+$C$6580*F6594*F6597</f>
        <v>889.562930155704</v>
      </c>
      <c r="G6602" s="39" t="n">
        <f aca="false">$C$6572*G6592*G6595+$C$6576*G6593*G6596+$C$6580*G6594*G6597</f>
        <v>1217.55564</v>
      </c>
      <c r="H6602" s="39" t="n">
        <f aca="false">$C$6572*H6592*H6595+$C$6576*H6593*H6596+$C$6580*H6594*H6597</f>
        <v>1495.74229384257</v>
      </c>
      <c r="I6602" s="39" t="n">
        <f aca="false">$C$6572*I6592*I6595+$C$6576*I6593*I6596+$C$6580*I6594*I6597</f>
        <v>2676.33188629442</v>
      </c>
      <c r="J6602" s="39" t="n">
        <f aca="false">$C$6572*J6592*J6595+$C$6576*J6593*J6596+$C$6580*J6594*J6597</f>
        <v>3685.86409192847</v>
      </c>
      <c r="K6602" s="39" t="n">
        <f aca="false">$C$6572*K6592*K6595+$C$6576*K6593*K6596+$C$6580*K6594*K6597</f>
        <v>3430.08303393858</v>
      </c>
      <c r="L6602" s="39" t="n">
        <f aca="false">$C$6572*L6592*L6595+$C$6576*L6593*L6596+$C$6580*L6594*L6597</f>
        <v>3192.05193850692</v>
      </c>
      <c r="M6602" s="39" t="n">
        <f aca="false">$C$6572*M6592*M6595+$C$6576*M6593*M6596+$C$6580*M6594*M6597</f>
        <v>2970.53904448081</v>
      </c>
      <c r="N6602" s="39" t="n">
        <f aca="false">$C$6572*N6592*N6595+$C$6576*N6593*N6596+$C$6580*N6594*N6597</f>
        <v>2764.39806894635</v>
      </c>
      <c r="P6602" s="40"/>
      <c r="Q6602" s="40"/>
      <c r="R6602" s="40"/>
      <c r="S6602" s="41"/>
    </row>
    <row r="6603" customFormat="false" ht="15" hidden="false" customHeight="false" outlineLevel="0" collapsed="false">
      <c r="A6603" s="4" t="s">
        <v>490</v>
      </c>
      <c r="B6603" s="36" t="s">
        <v>491</v>
      </c>
      <c r="C6603" s="48" t="n">
        <f aca="false">$C$6584*Assumptions!$E$20*C6591*C6602</f>
        <v>6.62265268224</v>
      </c>
      <c r="D6603" s="48" t="n">
        <f aca="false">$C$6584*Assumptions!$E$20*D6591*D6602</f>
        <v>12.3261455324762</v>
      </c>
      <c r="E6603" s="48" t="n">
        <f aca="false">$C$6584*Assumptions!$E$20*E6591*E6602</f>
        <v>11.470770926522</v>
      </c>
      <c r="F6603" s="48" t="n">
        <f aca="false">$C$6584*Assumptions!$E$20*F6591*F6602</f>
        <v>10.6747551618685</v>
      </c>
      <c r="G6603" s="48" t="n">
        <f aca="false">$C$6584*Assumptions!$E$20*G6591*G6602</f>
        <v>14.61066768</v>
      </c>
      <c r="H6603" s="48" t="n">
        <f aca="false">$C$6584*Assumptions!$E$20*H6591*H6602</f>
        <v>17.9489075261109</v>
      </c>
      <c r="I6603" s="48" t="n">
        <f aca="false">$C$6584*Assumptions!$E$20*I6591*I6602</f>
        <v>32.115982635533</v>
      </c>
      <c r="J6603" s="48" t="n">
        <f aca="false">$C$6584*Assumptions!$E$20*J6591*J6602</f>
        <v>44.2303691031417</v>
      </c>
      <c r="K6603" s="48" t="n">
        <f aca="false">$C$6584*Assumptions!$E$20*K6591*K6602</f>
        <v>41.160996407263</v>
      </c>
      <c r="L6603" s="48" t="n">
        <f aca="false">$C$6584*Assumptions!$E$20*L6591*L6602</f>
        <v>38.304623262083</v>
      </c>
      <c r="M6603" s="48" t="n">
        <f aca="false">$C$6584*Assumptions!$E$20*M6591*M6602</f>
        <v>35.6464685337698</v>
      </c>
      <c r="N6603" s="48" t="n">
        <f aca="false">$C$6584*Assumptions!$E$20*N6591*N6602</f>
        <v>33.1727768273562</v>
      </c>
      <c r="P6603" s="49" t="n">
        <f aca="false">SUM(C6603:F6603)</f>
        <v>41.0943243031066</v>
      </c>
      <c r="Q6603" s="49" t="n">
        <f aca="false">SUM(G6603:J6603)</f>
        <v>108.905926944786</v>
      </c>
      <c r="R6603" s="49" t="n">
        <f aca="false">SUM(K6603:N6603)</f>
        <v>148.284865030472</v>
      </c>
      <c r="S6603" s="50" t="n">
        <f aca="false">SUM(P6603:R6603)</f>
        <v>298.285116278364</v>
      </c>
    </row>
    <row r="6604" customFormat="false" ht="15" hidden="false" customHeight="false" outlineLevel="0" collapsed="false">
      <c r="A6604" s="4" t="s">
        <v>492</v>
      </c>
      <c r="B6604" s="36" t="s">
        <v>321</v>
      </c>
      <c r="C6604" s="48" t="n">
        <f aca="false">Assumptions!$D$111</f>
        <v>0</v>
      </c>
      <c r="D6604" s="48" t="n">
        <f aca="false">Assumptions!$E$111</f>
        <v>0</v>
      </c>
      <c r="E6604" s="48" t="n">
        <f aca="false">Assumptions!$F$111</f>
        <v>0</v>
      </c>
      <c r="F6604" s="48" t="n">
        <f aca="false">Assumptions!$G$111</f>
        <v>0</v>
      </c>
      <c r="G6604" s="48" t="n">
        <f aca="false">Assumptions!$H$111</f>
        <v>0</v>
      </c>
      <c r="H6604" s="48" t="n">
        <f aca="false">Assumptions!$I$111</f>
        <v>0</v>
      </c>
      <c r="I6604" s="48" t="n">
        <f aca="false">Assumptions!$J$111</f>
        <v>0</v>
      </c>
      <c r="J6604" s="48" t="n">
        <f aca="false">Assumptions!$K$111</f>
        <v>0</v>
      </c>
      <c r="K6604" s="48" t="n">
        <f aca="false">Assumptions!$L$111</f>
        <v>0</v>
      </c>
      <c r="L6604" s="48" t="n">
        <f aca="false">Assumptions!$M$111</f>
        <v>0</v>
      </c>
      <c r="M6604" s="48" t="n">
        <f aca="false">Assumptions!$N$111</f>
        <v>0</v>
      </c>
      <c r="N6604" s="48" t="n">
        <f aca="false">Assumptions!$O$111</f>
        <v>0</v>
      </c>
      <c r="P6604" s="49" t="n">
        <f aca="false">F6604</f>
        <v>0</v>
      </c>
      <c r="Q6604" s="49" t="n">
        <f aca="false">J6604</f>
        <v>0</v>
      </c>
      <c r="R6604" s="49" t="n">
        <f aca="false">N6604</f>
        <v>0</v>
      </c>
      <c r="S6604" s="50" t="n">
        <f aca="false">R6604</f>
        <v>0</v>
      </c>
    </row>
    <row r="6605" customFormat="false" ht="15" hidden="false" customHeight="false" outlineLevel="0" collapsed="false">
      <c r="A6605" s="4" t="s">
        <v>493</v>
      </c>
      <c r="B6605" s="36" t="s">
        <v>321</v>
      </c>
      <c r="C6605" s="48" t="n">
        <f aca="false">0</f>
        <v>0</v>
      </c>
      <c r="D6605" s="48" t="n">
        <f aca="false">0.5*C6604</f>
        <v>0</v>
      </c>
      <c r="E6605" s="48" t="n">
        <f aca="false">C6604+0.5*(D6604-C6604)</f>
        <v>0</v>
      </c>
      <c r="F6605" s="48" t="n">
        <f aca="false">D6604+0.5*(E6604-D6604)</f>
        <v>0</v>
      </c>
      <c r="G6605" s="48" t="n">
        <f aca="false">E6604+0.5*(F6604-E6604)</f>
        <v>0</v>
      </c>
      <c r="H6605" s="48" t="n">
        <f aca="false">F6604+0.5*(G6604-F6604)</f>
        <v>0</v>
      </c>
      <c r="I6605" s="48" t="n">
        <f aca="false">G6604+0.5*(H6604-G6604)</f>
        <v>0</v>
      </c>
      <c r="J6605" s="48" t="n">
        <f aca="false">H6604+0.5*(I6604-H6604)</f>
        <v>0</v>
      </c>
      <c r="K6605" s="48" t="n">
        <f aca="false">I6604+0.5*(J6604-I6604)</f>
        <v>0</v>
      </c>
      <c r="L6605" s="48" t="n">
        <f aca="false">J6604+0.5*(K6604-J6604)</f>
        <v>0</v>
      </c>
      <c r="M6605" s="48" t="n">
        <f aca="false">K6604+0.5*(L6604-K6604)</f>
        <v>0</v>
      </c>
      <c r="N6605" s="48" t="n">
        <f aca="false">L6604+0.5*(M6604-L6604)</f>
        <v>0</v>
      </c>
      <c r="P6605" s="49" t="n">
        <f aca="false">F6605</f>
        <v>0</v>
      </c>
      <c r="Q6605" s="49" t="n">
        <f aca="false">J6605</f>
        <v>0</v>
      </c>
      <c r="R6605" s="49" t="n">
        <f aca="false">N6605</f>
        <v>0</v>
      </c>
      <c r="S6605" s="50" t="n">
        <f aca="false">R6605</f>
        <v>0</v>
      </c>
    </row>
    <row r="6606" customFormat="false" ht="15" hidden="false" customHeight="false" outlineLevel="0" collapsed="false">
      <c r="A6606" s="4" t="s">
        <v>494</v>
      </c>
      <c r="B6606" s="36" t="s">
        <v>485</v>
      </c>
      <c r="C6606" s="39" t="n">
        <f aca="false">MIN(C6605*Assumptions!$E$38,C6601*(1-$C$6584))</f>
        <v>0</v>
      </c>
      <c r="D6606" s="39" t="n">
        <f aca="false">MIN(D6605*Assumptions!$E$38,D6601*(1-$C$6584))</f>
        <v>0</v>
      </c>
      <c r="E6606" s="39" t="n">
        <f aca="false">MIN(E6605*Assumptions!$E$38,E6601*(1-$C$6584))</f>
        <v>0</v>
      </c>
      <c r="F6606" s="39" t="n">
        <f aca="false">MIN(F6605*Assumptions!$E$38,F6601*(1-$C$6584))</f>
        <v>0</v>
      </c>
      <c r="G6606" s="39" t="n">
        <f aca="false">MIN(G6605*Assumptions!$E$38,G6601*(1-$C$6584))</f>
        <v>0</v>
      </c>
      <c r="H6606" s="39" t="n">
        <f aca="false">MIN(H6605*Assumptions!$E$38,H6601*(1-$C$6584))</f>
        <v>0</v>
      </c>
      <c r="I6606" s="39" t="n">
        <f aca="false">MIN(I6605*Assumptions!$E$38,I6601*(1-$C$6584))</f>
        <v>0</v>
      </c>
      <c r="J6606" s="39" t="n">
        <f aca="false">MIN(J6605*Assumptions!$E$38,J6601*(1-$C$6584))</f>
        <v>0</v>
      </c>
      <c r="K6606" s="39" t="n">
        <f aca="false">MIN(K6605*Assumptions!$E$38,K6601*(1-$C$6584))</f>
        <v>0</v>
      </c>
      <c r="L6606" s="39" t="n">
        <f aca="false">MIN(L6605*Assumptions!$E$38,L6601*(1-$C$6584))</f>
        <v>0</v>
      </c>
      <c r="M6606" s="39" t="n">
        <f aca="false">MIN(M6605*Assumptions!$E$38,M6601*(1-$C$6584))</f>
        <v>0</v>
      </c>
      <c r="N6606" s="39" t="n">
        <f aca="false">MIN(N6605*Assumptions!$E$38,N6601*(1-$C$6584))</f>
        <v>0</v>
      </c>
      <c r="P6606" s="40" t="n">
        <f aca="false">SUM(C6606:F6606)</f>
        <v>0</v>
      </c>
      <c r="Q6606" s="40" t="n">
        <f aca="false">SUM(G6606:J6606)</f>
        <v>0</v>
      </c>
      <c r="R6606" s="40" t="n">
        <f aca="false">SUM(K6606:N6606)</f>
        <v>0</v>
      </c>
      <c r="S6606" s="41" t="n">
        <f aca="false">SUM(P6606:R6606)</f>
        <v>0</v>
      </c>
    </row>
    <row r="6607" customFormat="false" ht="15" hidden="false" customHeight="false" outlineLevel="0" collapsed="false">
      <c r="A6607" s="4" t="s">
        <v>495</v>
      </c>
      <c r="B6607" s="36" t="s">
        <v>491</v>
      </c>
      <c r="C6607" s="48" t="n">
        <f aca="false">C6606*Assumptions!$E$20*Assumptions!$E$39*IF(C6601&gt;0,C6602/C6601,0)*C6591</f>
        <v>0</v>
      </c>
      <c r="D6607" s="48" t="n">
        <f aca="false">D6606*Assumptions!$E$20*Assumptions!$E$39*IF(D6601&gt;0,D6602/D6601,0)*D6591</f>
        <v>0</v>
      </c>
      <c r="E6607" s="48" t="n">
        <f aca="false">E6606*Assumptions!$E$20*Assumptions!$E$39*IF(E6601&gt;0,E6602/E6601,0)*E6591</f>
        <v>0</v>
      </c>
      <c r="F6607" s="48" t="n">
        <f aca="false">F6606*Assumptions!$E$20*Assumptions!$E$39*IF(F6601&gt;0,F6602/F6601,0)*F6591</f>
        <v>0</v>
      </c>
      <c r="G6607" s="48" t="n">
        <f aca="false">G6606*Assumptions!$E$20*Assumptions!$E$39*IF(G6601&gt;0,G6602/G6601,0)*G6591</f>
        <v>0</v>
      </c>
      <c r="H6607" s="48" t="n">
        <f aca="false">H6606*Assumptions!$E$20*Assumptions!$E$39*IF(H6601&gt;0,H6602/H6601,0)*H6591</f>
        <v>0</v>
      </c>
      <c r="I6607" s="48" t="n">
        <f aca="false">I6606*Assumptions!$E$20*Assumptions!$E$39*IF(I6601&gt;0,I6602/I6601,0)*I6591</f>
        <v>0</v>
      </c>
      <c r="J6607" s="48" t="n">
        <f aca="false">J6606*Assumptions!$E$20*Assumptions!$E$39*IF(J6601&gt;0,J6602/J6601,0)*J6591</f>
        <v>0</v>
      </c>
      <c r="K6607" s="48" t="n">
        <f aca="false">K6606*Assumptions!$E$20*Assumptions!$E$39*IF(K6601&gt;0,K6602/K6601,0)*K6591</f>
        <v>0</v>
      </c>
      <c r="L6607" s="48" t="n">
        <f aca="false">L6606*Assumptions!$E$20*Assumptions!$E$39*IF(L6601&gt;0,L6602/L6601,0)*L6591</f>
        <v>0</v>
      </c>
      <c r="M6607" s="48" t="n">
        <f aca="false">M6606*Assumptions!$E$20*Assumptions!$E$39*IF(M6601&gt;0,M6602/M6601,0)*M6591</f>
        <v>0</v>
      </c>
      <c r="N6607" s="48" t="n">
        <f aca="false">N6606*Assumptions!$E$20*Assumptions!$E$39*IF(N6601&gt;0,N6602/N6601,0)*N6591</f>
        <v>0</v>
      </c>
      <c r="P6607" s="49" t="n">
        <f aca="false">SUM(C6607:F6607)</f>
        <v>0</v>
      </c>
      <c r="Q6607" s="49" t="n">
        <f aca="false">SUM(G6607:J6607)</f>
        <v>0</v>
      </c>
      <c r="R6607" s="49" t="n">
        <f aca="false">SUM(K6607:N6607)</f>
        <v>0</v>
      </c>
      <c r="S6607" s="50" t="n">
        <f aca="false">SUM(P6607:R6607)</f>
        <v>0</v>
      </c>
    </row>
    <row r="6608" customFormat="false" ht="15" hidden="false" customHeight="false" outlineLevel="0" collapsed="false">
      <c r="A6608" s="4" t="s">
        <v>496</v>
      </c>
      <c r="B6608" s="36" t="s">
        <v>497</v>
      </c>
      <c r="C6608" s="48" t="n">
        <f aca="false">IF(AND(C6601&gt;0,$C$6588&gt;0),C6601*Assumptions!$E$24*(1-EXP(-$C$6588/(Assumptions!$E$23*C6601*Assumptions!$E$24))),0)</f>
        <v>0</v>
      </c>
      <c r="D6608" s="48" t="n">
        <f aca="false">IF(AND(D6601&gt;0,$C$6588&gt;0),D6601*Assumptions!$E$24*(1-EXP(-$C$6588/(Assumptions!$E$23*D6601*Assumptions!$E$24))),0)</f>
        <v>0</v>
      </c>
      <c r="E6608" s="48" t="n">
        <f aca="false">IF(AND(E6601&gt;0,$C$6588&gt;0),E6601*Assumptions!$E$24*(1-EXP(-$C$6588/(Assumptions!$E$23*E6601*Assumptions!$E$24))),0)</f>
        <v>0</v>
      </c>
      <c r="F6608" s="48" t="n">
        <f aca="false">IF(AND(F6601&gt;0,$C$6588&gt;0),F6601*Assumptions!$E$24*(1-EXP(-$C$6588/(Assumptions!$E$23*F6601*Assumptions!$E$24))),0)</f>
        <v>0</v>
      </c>
      <c r="G6608" s="48" t="n">
        <f aca="false">IF(AND(G6601&gt;0,$C$6588&gt;0),G6601*Assumptions!$E$24*(1-EXP(-$C$6588/(Assumptions!$E$23*G6601*Assumptions!$E$24))),0)</f>
        <v>0</v>
      </c>
      <c r="H6608" s="48" t="n">
        <f aca="false">IF(AND(H6601&gt;0,$C$6588&gt;0),H6601*Assumptions!$E$24*(1-EXP(-$C$6588/(Assumptions!$E$23*H6601*Assumptions!$E$24))),0)</f>
        <v>0</v>
      </c>
      <c r="I6608" s="48" t="n">
        <f aca="false">IF(AND(I6601&gt;0,$C$6588&gt;0),I6601*Assumptions!$E$24*(1-EXP(-$C$6588/(Assumptions!$E$23*I6601*Assumptions!$E$24))),0)</f>
        <v>0</v>
      </c>
      <c r="J6608" s="48" t="n">
        <f aca="false">IF(AND(J6601&gt;0,$C$6588&gt;0),J6601*Assumptions!$E$24*(1-EXP(-$C$6588/(Assumptions!$E$23*J6601*Assumptions!$E$24))),0)</f>
        <v>0</v>
      </c>
      <c r="K6608" s="48" t="n">
        <f aca="false">IF(AND(K6601&gt;0,$C$6588&gt;0),K6601*Assumptions!$E$24*(1-EXP(-$C$6588/(Assumptions!$E$23*K6601*Assumptions!$E$24))),0)</f>
        <v>0</v>
      </c>
      <c r="L6608" s="48" t="n">
        <f aca="false">IF(AND(L6601&gt;0,$C$6588&gt;0),L6601*Assumptions!$E$24*(1-EXP(-$C$6588/(Assumptions!$E$23*L6601*Assumptions!$E$24))),0)</f>
        <v>0</v>
      </c>
      <c r="M6608" s="48" t="n">
        <f aca="false">IF(AND(M6601&gt;0,$C$6588&gt;0),M6601*Assumptions!$E$24*(1-EXP(-$C$6588/(Assumptions!$E$23*M6601*Assumptions!$E$24))),0)</f>
        <v>0</v>
      </c>
      <c r="N6608" s="48" t="n">
        <f aca="false">IF(AND(N6601&gt;0,$C$6588&gt;0),N6601*Assumptions!$E$24*(1-EXP(-$C$6588/(Assumptions!$E$23*N6601*Assumptions!$E$24))),0)</f>
        <v>0</v>
      </c>
      <c r="P6608" s="49" t="n">
        <f aca="false">SUM(C6608:F6608)</f>
        <v>0</v>
      </c>
      <c r="Q6608" s="49" t="n">
        <f aca="false">SUM(G6608:J6608)</f>
        <v>0</v>
      </c>
      <c r="R6608" s="49" t="n">
        <f aca="false">SUM(K6608:N6608)</f>
        <v>0</v>
      </c>
      <c r="S6608" s="50" t="n">
        <f aca="false">SUM(P6608:R6608)</f>
        <v>0</v>
      </c>
    </row>
    <row r="6609" customFormat="false" ht="15" hidden="false" customHeight="false" outlineLevel="0" collapsed="false">
      <c r="A6609" s="4" t="s">
        <v>498</v>
      </c>
      <c r="B6609" s="36" t="s">
        <v>497</v>
      </c>
      <c r="C6609" s="48" t="n">
        <f aca="false">(C6601*Assumptions!$E$22*MIN(1,Assumptions!$D$103/Assumptions!$E$78)+C6608)*C6591</f>
        <v>5.5188772352</v>
      </c>
      <c r="D6609" s="48" t="n">
        <f aca="false">(D6601*Assumptions!$E$22*MIN(1,Assumptions!$D$103/Assumptions!$E$78)+D6608)*D6591</f>
        <v>11.0377544704</v>
      </c>
      <c r="E6609" s="48" t="n">
        <f aca="false">(E6601*Assumptions!$E$22*MIN(1,Assumptions!$D$103/Assumptions!$E$78)+E6608)*E6591</f>
        <v>11.0377544704</v>
      </c>
      <c r="F6609" s="48" t="n">
        <f aca="false">(F6601*Assumptions!$E$22*MIN(1,Assumptions!$D$103/Assumptions!$E$78)+F6608)*F6591</f>
        <v>11.0377544704</v>
      </c>
      <c r="G6609" s="48" t="n">
        <f aca="false">(G6601*Assumptions!$E$22*MIN(1,Assumptions!$D$103/Assumptions!$E$78)+G6608)*G6591</f>
        <v>14.9349950176</v>
      </c>
      <c r="H6609" s="48" t="n">
        <f aca="false">(H6601*Assumptions!$E$22*MIN(1,Assumptions!$D$103/Assumptions!$E$78)+H6608)*H6591</f>
        <v>18.8322355648</v>
      </c>
      <c r="I6609" s="48" t="n">
        <f aca="false">(I6601*Assumptions!$E$22*MIN(1,Assumptions!$D$103/Assumptions!$E$78)+I6608)*I6591</f>
        <v>31.6761039616</v>
      </c>
      <c r="J6609" s="48" t="n">
        <f aca="false">(J6601*Assumptions!$E$22*MIN(1,Assumptions!$D$103/Assumptions!$E$78)+J6608)*J6591</f>
        <v>44.5199723584</v>
      </c>
      <c r="K6609" s="48" t="n">
        <f aca="false">(K6601*Assumptions!$E$22*MIN(1,Assumptions!$D$103/Assumptions!$E$78)+K6608)*K6591</f>
        <v>44.5199723584</v>
      </c>
      <c r="L6609" s="48" t="n">
        <f aca="false">(L6601*Assumptions!$E$22*MIN(1,Assumptions!$D$103/Assumptions!$E$78)+L6608)*L6591</f>
        <v>44.5199723584</v>
      </c>
      <c r="M6609" s="48" t="n">
        <f aca="false">(M6601*Assumptions!$E$22*MIN(1,Assumptions!$D$103/Assumptions!$E$78)+M6608)*M6591</f>
        <v>44.5199723584</v>
      </c>
      <c r="N6609" s="48" t="n">
        <f aca="false">(N6601*Assumptions!$E$22*MIN(1,Assumptions!$D$103/Assumptions!$E$78)+N6608)*N6591</f>
        <v>44.5199723584</v>
      </c>
      <c r="P6609" s="49" t="n">
        <f aca="false">SUM(C6609:F6609)</f>
        <v>38.6321406464</v>
      </c>
      <c r="Q6609" s="49" t="n">
        <f aca="false">SUM(G6609:J6609)</f>
        <v>109.9633069024</v>
      </c>
      <c r="R6609" s="49" t="n">
        <f aca="false">SUM(K6609:N6609)</f>
        <v>178.0798894336</v>
      </c>
      <c r="S6609" s="50" t="n">
        <f aca="false">SUM(P6609:R6609)</f>
        <v>326.6753369824</v>
      </c>
    </row>
    <row r="6610" customFormat="false" ht="15" hidden="false" customHeight="false" outlineLevel="0" collapsed="false">
      <c r="A6610" s="4" t="s">
        <v>499</v>
      </c>
      <c r="B6610" s="36" t="s">
        <v>500</v>
      </c>
      <c r="C6610" s="48" t="n">
        <f aca="false">C6591*MIN(Assumptions!$E$27,Assumptions!$E$25+Assumptions!$E$26*(C6590-1))*Assumptions!$D$107</f>
        <v>2</v>
      </c>
      <c r="D6610" s="48" t="n">
        <f aca="false">D6591*MIN(Assumptions!$E$27,Assumptions!$E$25+Assumptions!$E$26*(D6590-1))*Assumptions!$D$107</f>
        <v>3</v>
      </c>
      <c r="E6610" s="48" t="n">
        <f aca="false">E6591*MIN(Assumptions!$E$27,Assumptions!$E$25+Assumptions!$E$26*(E6590-1))*Assumptions!$D$107</f>
        <v>4</v>
      </c>
      <c r="F6610" s="48" t="n">
        <f aca="false">F6591*MIN(Assumptions!$E$27,Assumptions!$E$25+Assumptions!$E$26*(F6590-1))*Assumptions!$D$107</f>
        <v>5</v>
      </c>
      <c r="G6610" s="48" t="n">
        <f aca="false">G6591*MIN(Assumptions!$E$27,Assumptions!$E$25+Assumptions!$E$26*(G6590-1))*Assumptions!$D$107</f>
        <v>6</v>
      </c>
      <c r="H6610" s="48" t="n">
        <f aca="false">H6591*MIN(Assumptions!$E$27,Assumptions!$E$25+Assumptions!$E$26*(H6590-1))*Assumptions!$D$107</f>
        <v>7</v>
      </c>
      <c r="I6610" s="48" t="n">
        <f aca="false">I6591*MIN(Assumptions!$E$27,Assumptions!$E$25+Assumptions!$E$26*(I6590-1))*Assumptions!$D$107</f>
        <v>8</v>
      </c>
      <c r="J6610" s="48" t="n">
        <f aca="false">J6591*MIN(Assumptions!$E$27,Assumptions!$E$25+Assumptions!$E$26*(J6590-1))*Assumptions!$D$107</f>
        <v>9</v>
      </c>
      <c r="K6610" s="48" t="n">
        <f aca="false">K6591*MIN(Assumptions!$E$27,Assumptions!$E$25+Assumptions!$E$26*(K6590-1))*Assumptions!$D$107</f>
        <v>10</v>
      </c>
      <c r="L6610" s="48" t="n">
        <f aca="false">L6591*MIN(Assumptions!$E$27,Assumptions!$E$25+Assumptions!$E$26*(L6590-1))*Assumptions!$D$107</f>
        <v>10</v>
      </c>
      <c r="M6610" s="48" t="n">
        <f aca="false">M6591*MIN(Assumptions!$E$27,Assumptions!$E$25+Assumptions!$E$26*(M6590-1))*Assumptions!$D$107</f>
        <v>10</v>
      </c>
      <c r="N6610" s="48" t="n">
        <f aca="false">N6591*MIN(Assumptions!$E$27,Assumptions!$E$25+Assumptions!$E$26*(N6590-1))*Assumptions!$D$107</f>
        <v>10</v>
      </c>
      <c r="P6610" s="49" t="n">
        <f aca="false">F6610</f>
        <v>5</v>
      </c>
      <c r="Q6610" s="49" t="n">
        <f aca="false">J6610</f>
        <v>9</v>
      </c>
      <c r="R6610" s="49" t="n">
        <f aca="false">N6610</f>
        <v>10</v>
      </c>
      <c r="S6610" s="50" t="n">
        <f aca="false">R6610</f>
        <v>10</v>
      </c>
    </row>
    <row r="6611" customFormat="false" ht="15" hidden="false" customHeight="false" outlineLevel="0" collapsed="false">
      <c r="A6611" s="4" t="s">
        <v>501</v>
      </c>
      <c r="B6611" s="36" t="s">
        <v>502</v>
      </c>
      <c r="C6611" s="48" t="n">
        <f aca="false">C6610*Assumptions!$E$28</f>
        <v>6</v>
      </c>
      <c r="D6611" s="48" t="n">
        <f aca="false">D6610*Assumptions!$E$28</f>
        <v>9</v>
      </c>
      <c r="E6611" s="48" t="n">
        <f aca="false">E6610*Assumptions!$E$28</f>
        <v>12</v>
      </c>
      <c r="F6611" s="48" t="n">
        <f aca="false">F6610*Assumptions!$E$28</f>
        <v>15</v>
      </c>
      <c r="G6611" s="48" t="n">
        <f aca="false">G6610*Assumptions!$E$28</f>
        <v>18</v>
      </c>
      <c r="H6611" s="48" t="n">
        <f aca="false">H6610*Assumptions!$E$28</f>
        <v>21</v>
      </c>
      <c r="I6611" s="48" t="n">
        <f aca="false">I6610*Assumptions!$E$28</f>
        <v>24</v>
      </c>
      <c r="J6611" s="48" t="n">
        <f aca="false">J6610*Assumptions!$E$28</f>
        <v>27</v>
      </c>
      <c r="K6611" s="48" t="n">
        <f aca="false">K6610*Assumptions!$E$28</f>
        <v>30</v>
      </c>
      <c r="L6611" s="48" t="n">
        <f aca="false">L6610*Assumptions!$E$28</f>
        <v>30</v>
      </c>
      <c r="M6611" s="48" t="n">
        <f aca="false">M6610*Assumptions!$E$28</f>
        <v>30</v>
      </c>
      <c r="N6611" s="48" t="n">
        <f aca="false">N6610*Assumptions!$E$28</f>
        <v>30</v>
      </c>
      <c r="P6611" s="49" t="n">
        <f aca="false">SUM(C6611:F6611)</f>
        <v>42</v>
      </c>
      <c r="Q6611" s="49" t="n">
        <f aca="false">SUM(G6611:J6611)</f>
        <v>90</v>
      </c>
      <c r="R6611" s="49" t="n">
        <f aca="false">SUM(K6611:N6611)</f>
        <v>120</v>
      </c>
      <c r="S6611" s="50" t="n">
        <f aca="false">SUM(P6611:R6611)</f>
        <v>252</v>
      </c>
    </row>
    <row r="6612" customFormat="false" ht="15" hidden="false" customHeight="false" outlineLevel="0" collapsed="false">
      <c r="A6612" s="4" t="s">
        <v>503</v>
      </c>
      <c r="B6612" s="36" t="s">
        <v>504</v>
      </c>
      <c r="C6612" s="48" t="n">
        <f aca="false">(C6603+C6607)*Assumptions!$E$29</f>
        <v>2.649061072896</v>
      </c>
      <c r="D6612" s="48" t="n">
        <f aca="false">(D6603+D6607)*Assumptions!$E$29</f>
        <v>4.93045821299048</v>
      </c>
      <c r="E6612" s="48" t="n">
        <f aca="false">(E6603+E6607)*Assumptions!$E$29</f>
        <v>4.58830837060879</v>
      </c>
      <c r="F6612" s="48" t="n">
        <f aca="false">(F6603+F6607)*Assumptions!$E$29</f>
        <v>4.26990206474738</v>
      </c>
      <c r="G6612" s="48" t="n">
        <f aca="false">(G6603+G6607)*Assumptions!$E$29</f>
        <v>5.844267072</v>
      </c>
      <c r="H6612" s="48" t="n">
        <f aca="false">(H6603+H6607)*Assumptions!$E$29</f>
        <v>7.17956301044434</v>
      </c>
      <c r="I6612" s="48" t="n">
        <f aca="false">(I6603+I6607)*Assumptions!$E$29</f>
        <v>12.8463930542132</v>
      </c>
      <c r="J6612" s="48" t="n">
        <f aca="false">(J6603+J6607)*Assumptions!$E$29</f>
        <v>17.6921476412567</v>
      </c>
      <c r="K6612" s="48" t="n">
        <f aca="false">(K6603+K6607)*Assumptions!$E$29</f>
        <v>16.4643985629052</v>
      </c>
      <c r="L6612" s="48" t="n">
        <f aca="false">(L6603+L6607)*Assumptions!$E$29</f>
        <v>15.3218493048332</v>
      </c>
      <c r="M6612" s="48" t="n">
        <f aca="false">(M6603+M6607)*Assumptions!$E$29</f>
        <v>14.2585874135079</v>
      </c>
      <c r="N6612" s="48" t="n">
        <f aca="false">(N6603+N6607)*Assumptions!$E$29</f>
        <v>13.2691107309425</v>
      </c>
      <c r="P6612" s="49" t="n">
        <f aca="false">SUM(C6612:F6612)</f>
        <v>16.4377297212427</v>
      </c>
      <c r="Q6612" s="49" t="n">
        <f aca="false">SUM(G6612:J6612)</f>
        <v>43.5623707779142</v>
      </c>
      <c r="R6612" s="49" t="n">
        <f aca="false">SUM(K6612:N6612)</f>
        <v>59.3139460121888</v>
      </c>
      <c r="S6612" s="50" t="n">
        <f aca="false">SUM(P6612:R6612)</f>
        <v>119.314046511346</v>
      </c>
    </row>
    <row r="6613" customFormat="false" ht="15" hidden="false" customHeight="false" outlineLevel="0" collapsed="false">
      <c r="A6613" s="4" t="s">
        <v>505</v>
      </c>
      <c r="B6613" s="36" t="s">
        <v>504</v>
      </c>
      <c r="C6613" s="48" t="n">
        <f aca="false">C6609*Assumptions!$E$31</f>
        <v>0.883020357632</v>
      </c>
      <c r="D6613" s="48" t="n">
        <f aca="false">D6609*Assumptions!$E$31</f>
        <v>1.766040715264</v>
      </c>
      <c r="E6613" s="48" t="n">
        <f aca="false">E6609*Assumptions!$E$31</f>
        <v>1.766040715264</v>
      </c>
      <c r="F6613" s="48" t="n">
        <f aca="false">F6609*Assumptions!$E$31</f>
        <v>1.766040715264</v>
      </c>
      <c r="G6613" s="48" t="n">
        <f aca="false">G6609*Assumptions!$E$31</f>
        <v>2.389599202816</v>
      </c>
      <c r="H6613" s="48" t="n">
        <f aca="false">H6609*Assumptions!$E$31</f>
        <v>3.013157690368</v>
      </c>
      <c r="I6613" s="48" t="n">
        <f aca="false">I6609*Assumptions!$E$31</f>
        <v>5.068176633856</v>
      </c>
      <c r="J6613" s="48" t="n">
        <f aca="false">J6609*Assumptions!$E$31</f>
        <v>7.123195577344</v>
      </c>
      <c r="K6613" s="48" t="n">
        <f aca="false">K6609*Assumptions!$E$31</f>
        <v>7.123195577344</v>
      </c>
      <c r="L6613" s="48" t="n">
        <f aca="false">L6609*Assumptions!$E$31</f>
        <v>7.123195577344</v>
      </c>
      <c r="M6613" s="48" t="n">
        <f aca="false">M6609*Assumptions!$E$31</f>
        <v>7.123195577344</v>
      </c>
      <c r="N6613" s="48" t="n">
        <f aca="false">N6609*Assumptions!$E$31</f>
        <v>7.123195577344</v>
      </c>
      <c r="P6613" s="49" t="n">
        <f aca="false">SUM(C6613:F6613)</f>
        <v>6.181142503424</v>
      </c>
      <c r="Q6613" s="49" t="n">
        <f aca="false">SUM(G6613:J6613)</f>
        <v>17.594129104384</v>
      </c>
      <c r="R6613" s="49" t="n">
        <f aca="false">SUM(K6613:N6613)</f>
        <v>28.492782309376</v>
      </c>
      <c r="S6613" s="50" t="n">
        <f aca="false">SUM(P6613:R6613)</f>
        <v>52.268053917184</v>
      </c>
    </row>
    <row r="6614" customFormat="false" ht="15" hidden="false" customHeight="false" outlineLevel="0" collapsed="false">
      <c r="A6614" s="4" t="s">
        <v>506</v>
      </c>
      <c r="B6614" s="36" t="s">
        <v>504</v>
      </c>
      <c r="C6614" s="48" t="n">
        <f aca="false">C6611*Assumptions!$E$30</f>
        <v>3</v>
      </c>
      <c r="D6614" s="48" t="n">
        <f aca="false">D6611*Assumptions!$E$30</f>
        <v>4.5</v>
      </c>
      <c r="E6614" s="48" t="n">
        <f aca="false">E6611*Assumptions!$E$30</f>
        <v>6</v>
      </c>
      <c r="F6614" s="48" t="n">
        <f aca="false">F6611*Assumptions!$E$30</f>
        <v>7.5</v>
      </c>
      <c r="G6614" s="48" t="n">
        <f aca="false">G6611*Assumptions!$E$30</f>
        <v>9</v>
      </c>
      <c r="H6614" s="48" t="n">
        <f aca="false">H6611*Assumptions!$E$30</f>
        <v>10.5</v>
      </c>
      <c r="I6614" s="48" t="n">
        <f aca="false">I6611*Assumptions!$E$30</f>
        <v>12</v>
      </c>
      <c r="J6614" s="48" t="n">
        <f aca="false">J6611*Assumptions!$E$30</f>
        <v>13.5</v>
      </c>
      <c r="K6614" s="48" t="n">
        <f aca="false">K6611*Assumptions!$E$30</f>
        <v>15</v>
      </c>
      <c r="L6614" s="48" t="n">
        <f aca="false">L6611*Assumptions!$E$30</f>
        <v>15</v>
      </c>
      <c r="M6614" s="48" t="n">
        <f aca="false">M6611*Assumptions!$E$30</f>
        <v>15</v>
      </c>
      <c r="N6614" s="48" t="n">
        <f aca="false">N6611*Assumptions!$E$30</f>
        <v>15</v>
      </c>
      <c r="P6614" s="49" t="n">
        <f aca="false">SUM(C6614:F6614)</f>
        <v>21</v>
      </c>
      <c r="Q6614" s="49" t="n">
        <f aca="false">SUM(G6614:J6614)</f>
        <v>45</v>
      </c>
      <c r="R6614" s="49" t="n">
        <f aca="false">SUM(K6614:N6614)</f>
        <v>60</v>
      </c>
      <c r="S6614" s="50" t="n">
        <f aca="false">SUM(P6614:R6614)</f>
        <v>126</v>
      </c>
    </row>
    <row r="6615" customFormat="false" ht="15" hidden="false" customHeight="false" outlineLevel="0" collapsed="false">
      <c r="A6615" s="9" t="s">
        <v>507</v>
      </c>
      <c r="B6615" s="36" t="s">
        <v>504</v>
      </c>
      <c r="C6615" s="49" t="n">
        <f aca="false">C6612+C6613+C6614</f>
        <v>6.532081430528</v>
      </c>
      <c r="D6615" s="49" t="n">
        <f aca="false">D6612+D6613+D6614</f>
        <v>11.1964989282545</v>
      </c>
      <c r="E6615" s="49" t="n">
        <f aca="false">E6612+E6613+E6614</f>
        <v>12.3543490858728</v>
      </c>
      <c r="F6615" s="49" t="n">
        <f aca="false">F6612+F6613+F6614</f>
        <v>13.5359427800114</v>
      </c>
      <c r="G6615" s="49" t="n">
        <f aca="false">G6612+G6613+G6614</f>
        <v>17.233866274816</v>
      </c>
      <c r="H6615" s="49" t="n">
        <f aca="false">H6612+H6613+H6614</f>
        <v>20.6927207008123</v>
      </c>
      <c r="I6615" s="49" t="n">
        <f aca="false">I6612+I6613+I6614</f>
        <v>29.9145696880692</v>
      </c>
      <c r="J6615" s="49" t="n">
        <f aca="false">J6612+J6613+J6614</f>
        <v>38.3153432186007</v>
      </c>
      <c r="K6615" s="49" t="n">
        <f aca="false">K6612+K6613+K6614</f>
        <v>38.5875941402492</v>
      </c>
      <c r="L6615" s="49" t="n">
        <f aca="false">L6612+L6613+L6614</f>
        <v>37.4450448821772</v>
      </c>
      <c r="M6615" s="49" t="n">
        <f aca="false">M6612+M6613+M6614</f>
        <v>36.3817829908519</v>
      </c>
      <c r="N6615" s="49" t="n">
        <f aca="false">N6612+N6613+N6614</f>
        <v>35.3923063082865</v>
      </c>
      <c r="P6615" s="49" t="n">
        <f aca="false">SUM(C6615:F6615)</f>
        <v>43.6188722246667</v>
      </c>
      <c r="Q6615" s="49" t="n">
        <f aca="false">SUM(G6615:J6615)</f>
        <v>106.156499882298</v>
      </c>
      <c r="R6615" s="49" t="n">
        <f aca="false">SUM(K6615:N6615)</f>
        <v>147.806728321565</v>
      </c>
      <c r="S6615" s="50" t="n">
        <f aca="false">SUM(P6615:R6615)</f>
        <v>297.58210042853</v>
      </c>
    </row>
    <row r="6616" customFormat="false" ht="15" hidden="false" customHeight="false" outlineLevel="0" collapsed="false">
      <c r="A6616" s="4" t="s">
        <v>508</v>
      </c>
      <c r="B6616" s="36" t="s">
        <v>509</v>
      </c>
      <c r="C6616" s="48" t="n">
        <f aca="false">C6598</f>
        <v>421.51972352</v>
      </c>
      <c r="D6616" s="48" t="n">
        <f aca="false">D6598</f>
        <v>843.03944704</v>
      </c>
      <c r="E6616" s="48" t="n">
        <f aca="false">E6598</f>
        <v>843.03944704</v>
      </c>
      <c r="F6616" s="48" t="n">
        <f aca="false">F6598</f>
        <v>843.03944704</v>
      </c>
      <c r="G6616" s="48" t="n">
        <f aca="false">G6598</f>
        <v>1149.32798176</v>
      </c>
      <c r="H6616" s="48" t="n">
        <f aca="false">H6598</f>
        <v>1455.61651648</v>
      </c>
      <c r="I6616" s="48" t="n">
        <f aca="false">I6598</f>
        <v>2486.00303616</v>
      </c>
      <c r="J6616" s="48" t="n">
        <f aca="false">J6598</f>
        <v>3516.38955584</v>
      </c>
      <c r="K6616" s="48" t="n">
        <f aca="false">K6598</f>
        <v>3516.38955584</v>
      </c>
      <c r="L6616" s="48" t="n">
        <f aca="false">L6598</f>
        <v>3516.38955584</v>
      </c>
      <c r="M6616" s="48" t="n">
        <f aca="false">M6598</f>
        <v>3516.38955584</v>
      </c>
      <c r="N6616" s="48" t="n">
        <f aca="false">N6598</f>
        <v>3516.38955584</v>
      </c>
      <c r="P6616" s="49"/>
      <c r="Q6616" s="49"/>
      <c r="R6616" s="49"/>
      <c r="S6616" s="50"/>
    </row>
    <row r="6617" customFormat="false" ht="15" hidden="false" customHeight="false" outlineLevel="0" collapsed="false">
      <c r="A6617" s="4" t="s">
        <v>510</v>
      </c>
      <c r="B6617" s="36" t="s">
        <v>509</v>
      </c>
      <c r="C6617" s="48" t="n">
        <f aca="false">C6599*Assumptions!$E$18*Assumptions!$E$33</f>
        <v>211.19616</v>
      </c>
      <c r="D6617" s="48" t="n">
        <f aca="false">D6599*Assumptions!$E$18*Assumptions!$E$33</f>
        <v>422.39232</v>
      </c>
      <c r="E6617" s="48" t="n">
        <f aca="false">E6599*Assumptions!$E$18*Assumptions!$E$33</f>
        <v>422.39232</v>
      </c>
      <c r="F6617" s="48" t="n">
        <f aca="false">F6599*Assumptions!$E$18*Assumptions!$E$33</f>
        <v>422.39232</v>
      </c>
      <c r="G6617" s="48" t="n">
        <f aca="false">G6599*Assumptions!$E$18*Assumptions!$E$33</f>
        <v>564.49344</v>
      </c>
      <c r="H6617" s="48" t="n">
        <f aca="false">H6599*Assumptions!$E$18*Assumptions!$E$33</f>
        <v>706.59456</v>
      </c>
      <c r="I6617" s="48" t="n">
        <f aca="false">I6599*Assumptions!$E$18*Assumptions!$E$33</f>
        <v>1135.07072</v>
      </c>
      <c r="J6617" s="48" t="n">
        <f aca="false">J6599*Assumptions!$E$18*Assumptions!$E$33</f>
        <v>1563.54688</v>
      </c>
      <c r="K6617" s="48" t="n">
        <f aca="false">K6599*Assumptions!$E$18*Assumptions!$E$33</f>
        <v>1563.54688</v>
      </c>
      <c r="L6617" s="48" t="n">
        <f aca="false">L6599*Assumptions!$E$18*Assumptions!$E$33</f>
        <v>1563.54688</v>
      </c>
      <c r="M6617" s="48" t="n">
        <f aca="false">M6599*Assumptions!$E$18*Assumptions!$E$33</f>
        <v>1563.54688</v>
      </c>
      <c r="N6617" s="48" t="n">
        <f aca="false">N6599*Assumptions!$E$18*Assumptions!$E$33</f>
        <v>1563.54688</v>
      </c>
      <c r="P6617" s="49"/>
      <c r="Q6617" s="49"/>
      <c r="R6617" s="49"/>
      <c r="S6617" s="50"/>
    </row>
    <row r="6618" customFormat="false" ht="15" hidden="false" customHeight="false" outlineLevel="0" collapsed="false">
      <c r="A6618" s="4" t="s">
        <v>511</v>
      </c>
      <c r="B6618" s="36" t="s">
        <v>509</v>
      </c>
      <c r="C6618" s="48" t="n">
        <f aca="false">C6600*Assumptions!$E$19*Assumptions!$E$34</f>
        <v>34.677888</v>
      </c>
      <c r="D6618" s="48" t="n">
        <f aca="false">D6600*Assumptions!$E$19*Assumptions!$E$34</f>
        <v>69.355776</v>
      </c>
      <c r="E6618" s="48" t="n">
        <f aca="false">E6600*Assumptions!$E$19*Assumptions!$E$34</f>
        <v>69.355776</v>
      </c>
      <c r="F6618" s="48" t="n">
        <f aca="false">F6600*Assumptions!$E$19*Assumptions!$E$34</f>
        <v>69.355776</v>
      </c>
      <c r="G6618" s="48" t="n">
        <f aca="false">G6600*Assumptions!$E$19*Assumptions!$E$34</f>
        <v>86.69472</v>
      </c>
      <c r="H6618" s="48" t="n">
        <f aca="false">H6600*Assumptions!$E$19*Assumptions!$E$34</f>
        <v>104.033664</v>
      </c>
      <c r="I6618" s="48" t="n">
        <f aca="false">I6600*Assumptions!$E$19*Assumptions!$E$34</f>
        <v>159.7008</v>
      </c>
      <c r="J6618" s="48" t="n">
        <f aca="false">J6600*Assumptions!$E$19*Assumptions!$E$34</f>
        <v>215.367936</v>
      </c>
      <c r="K6618" s="48" t="n">
        <f aca="false">K6600*Assumptions!$E$19*Assumptions!$E$34</f>
        <v>215.367936</v>
      </c>
      <c r="L6618" s="48" t="n">
        <f aca="false">L6600*Assumptions!$E$19*Assumptions!$E$34</f>
        <v>215.367936</v>
      </c>
      <c r="M6618" s="48" t="n">
        <f aca="false">M6600*Assumptions!$E$19*Assumptions!$E$34</f>
        <v>215.367936</v>
      </c>
      <c r="N6618" s="48" t="n">
        <f aca="false">N6600*Assumptions!$E$19*Assumptions!$E$34</f>
        <v>215.367936</v>
      </c>
      <c r="P6618" s="49"/>
      <c r="Q6618" s="49"/>
      <c r="R6618" s="49"/>
      <c r="S6618" s="50"/>
    </row>
    <row r="6619" customFormat="false" ht="15" hidden="false" customHeight="false" outlineLevel="0" collapsed="false">
      <c r="A6619" s="4" t="s">
        <v>512</v>
      </c>
      <c r="B6619" s="36" t="s">
        <v>77</v>
      </c>
      <c r="C6619" s="51" t="n">
        <f aca="false">IFERROR(C6616/(C6616+C6617+C6618),0)</f>
        <v>0.631590736245533</v>
      </c>
      <c r="D6619" s="51" t="n">
        <f aca="false">IFERROR(D6616/(D6616+D6617+D6618),0)</f>
        <v>0.631590736245533</v>
      </c>
      <c r="E6619" s="51" t="n">
        <f aca="false">IFERROR(E6616/(E6616+E6617+E6618),0)</f>
        <v>0.631590736245533</v>
      </c>
      <c r="F6619" s="51" t="n">
        <f aca="false">IFERROR(F6616/(F6616+F6617+F6618),0)</f>
        <v>0.631590736245533</v>
      </c>
      <c r="G6619" s="51" t="n">
        <f aca="false">IFERROR(G6616/(G6616+G6617+G6618),0)</f>
        <v>0.638332506498128</v>
      </c>
      <c r="H6619" s="51" t="n">
        <f aca="false">IFERROR(H6616/(H6616+H6617+H6618),0)</f>
        <v>0.642303318118984</v>
      </c>
      <c r="I6619" s="51" t="n">
        <f aca="false">IFERROR(I6616/(I6616+I6617+I6618),0)</f>
        <v>0.657538025405288</v>
      </c>
      <c r="J6619" s="51" t="n">
        <f aca="false">IFERROR(J6616/(J6616+J6617+J6618),0)</f>
        <v>0.664058061428891</v>
      </c>
      <c r="K6619" s="51" t="n">
        <f aca="false">IFERROR(K6616/(K6616+K6617+K6618),0)</f>
        <v>0.664058061428891</v>
      </c>
      <c r="L6619" s="51" t="n">
        <f aca="false">IFERROR(L6616/(L6616+L6617+L6618),0)</f>
        <v>0.664058061428891</v>
      </c>
      <c r="M6619" s="51" t="n">
        <f aca="false">IFERROR(M6616/(M6616+M6617+M6618),0)</f>
        <v>0.664058061428891</v>
      </c>
      <c r="N6619" s="51" t="n">
        <f aca="false">IFERROR(N6616/(N6616+N6617+N6618),0)</f>
        <v>0.664058061428891</v>
      </c>
      <c r="P6619" s="52"/>
      <c r="Q6619" s="52"/>
      <c r="R6619" s="52"/>
      <c r="S6619" s="53"/>
    </row>
    <row r="6620" customFormat="false" ht="15" hidden="false" customHeight="false" outlineLevel="0" collapsed="false">
      <c r="A6620" s="4" t="s">
        <v>513</v>
      </c>
      <c r="B6620" s="36" t="s">
        <v>77</v>
      </c>
      <c r="C6620" s="51" t="n">
        <f aca="false">IFERROR(C6617/(C6616+C6617+C6618),0)</f>
        <v>0.316449102482628</v>
      </c>
      <c r="D6620" s="51" t="n">
        <f aca="false">IFERROR(D6617/(D6616+D6617+D6618),0)</f>
        <v>0.316449102482628</v>
      </c>
      <c r="E6620" s="51" t="n">
        <f aca="false">IFERROR(E6617/(E6616+E6617+E6618),0)</f>
        <v>0.316449102482628</v>
      </c>
      <c r="F6620" s="51" t="n">
        <f aca="false">IFERROR(F6617/(F6616+F6617+F6618),0)</f>
        <v>0.316449102482628</v>
      </c>
      <c r="G6620" s="51" t="n">
        <f aca="false">IFERROR(G6617/(G6616+G6617+G6618),0)</f>
        <v>0.313517566939561</v>
      </c>
      <c r="H6620" s="51" t="n">
        <f aca="false">IFERROR(H6617/(H6616+H6617+H6618),0)</f>
        <v>0.311790932099567</v>
      </c>
      <c r="I6620" s="51" t="n">
        <f aca="false">IFERROR(I6617/(I6616+I6617+I6618),0)</f>
        <v>0.300221741111391</v>
      </c>
      <c r="J6620" s="51" t="n">
        <f aca="false">IFERROR(J6617/(J6616+J6617+J6618),0)</f>
        <v>0.295270445324128</v>
      </c>
      <c r="K6620" s="51" t="n">
        <f aca="false">IFERROR(K6617/(K6616+K6617+K6618),0)</f>
        <v>0.295270445324128</v>
      </c>
      <c r="L6620" s="51" t="n">
        <f aca="false">IFERROR(L6617/(L6616+L6617+L6618),0)</f>
        <v>0.295270445324128</v>
      </c>
      <c r="M6620" s="51" t="n">
        <f aca="false">IFERROR(M6617/(M6616+M6617+M6618),0)</f>
        <v>0.295270445324128</v>
      </c>
      <c r="N6620" s="51" t="n">
        <f aca="false">IFERROR(N6617/(N6616+N6617+N6618),0)</f>
        <v>0.295270445324128</v>
      </c>
      <c r="P6620" s="52"/>
      <c r="Q6620" s="52"/>
      <c r="R6620" s="52"/>
      <c r="S6620" s="53"/>
    </row>
    <row r="6621" customFormat="false" ht="15" hidden="false" customHeight="false" outlineLevel="0" collapsed="false">
      <c r="A6621" s="4" t="s">
        <v>514</v>
      </c>
      <c r="B6621" s="36" t="s">
        <v>77</v>
      </c>
      <c r="C6621" s="51" t="n">
        <f aca="false">IFERROR(C6618/(C6616+C6617+C6618),0)</f>
        <v>0.0519601612718389</v>
      </c>
      <c r="D6621" s="51" t="n">
        <f aca="false">IFERROR(D6618/(D6616+D6617+D6618),0)</f>
        <v>0.0519601612718389</v>
      </c>
      <c r="E6621" s="51" t="n">
        <f aca="false">IFERROR(E6618/(E6616+E6617+E6618),0)</f>
        <v>0.0519601612718389</v>
      </c>
      <c r="F6621" s="51" t="n">
        <f aca="false">IFERROR(F6618/(F6616+F6617+F6618),0)</f>
        <v>0.0519601612718389</v>
      </c>
      <c r="G6621" s="51" t="n">
        <f aca="false">IFERROR(G6618/(G6616+G6617+G6618),0)</f>
        <v>0.0481499265623113</v>
      </c>
      <c r="H6621" s="51" t="n">
        <f aca="false">IFERROR(H6618/(H6616+H6617+H6618),0)</f>
        <v>0.0459057497814491</v>
      </c>
      <c r="I6621" s="51" t="n">
        <f aca="false">IFERROR(I6618/(I6616+I6617+I6618),0)</f>
        <v>0.0422402334833216</v>
      </c>
      <c r="J6621" s="51" t="n">
        <f aca="false">IFERROR(J6618/(J6616+J6617+J6618),0)</f>
        <v>0.0406714932469811</v>
      </c>
      <c r="K6621" s="51" t="n">
        <f aca="false">IFERROR(K6618/(K6616+K6617+K6618),0)</f>
        <v>0.0406714932469811</v>
      </c>
      <c r="L6621" s="51" t="n">
        <f aca="false">IFERROR(L6618/(L6616+L6617+L6618),0)</f>
        <v>0.0406714932469811</v>
      </c>
      <c r="M6621" s="51" t="n">
        <f aca="false">IFERROR(M6618/(M6616+M6617+M6618),0)</f>
        <v>0.0406714932469811</v>
      </c>
      <c r="N6621" s="51" t="n">
        <f aca="false">IFERROR(N6618/(N6616+N6617+N6618),0)</f>
        <v>0.0406714932469811</v>
      </c>
      <c r="P6621" s="52"/>
      <c r="Q6621" s="52"/>
      <c r="R6621" s="52"/>
      <c r="S6621" s="53"/>
    </row>
    <row r="6622" customFormat="false" ht="15" hidden="false" customHeight="false" outlineLevel="0" collapsed="false">
      <c r="A6622" s="4" t="s">
        <v>515</v>
      </c>
      <c r="B6622" s="36" t="s">
        <v>516</v>
      </c>
      <c r="C6622" s="48" t="n">
        <f aca="false">IF(C6590-Assumptions!$E$35&lt;1,0,INDEX($C$6615:$N$6615,1,C6590-Assumptions!$E$35)*INDEX($C$6619:$N$6619,1,C6590-Assumptions!$E$35)*Assumptions!$E$32)</f>
        <v>0</v>
      </c>
      <c r="D6622" s="48" t="n">
        <f aca="false">IF(D6590-Assumptions!$E$35&lt;1,0,INDEX($C$6615:$N$6615,1,D6590-Assumptions!$E$35)*INDEX($C$6619:$N$6619,1,D6590-Assumptions!$E$35)*Assumptions!$E$32)</f>
        <v>0.866376445183821</v>
      </c>
      <c r="E6622" s="48" t="n">
        <f aca="false">IF(E6590-Assumptions!$E$35&lt;1,0,INDEX($C$6615:$N$6615,1,E6590-Assumptions!$E$35)*INDEX($C$6619:$N$6619,1,E6590-Assumptions!$E$35)*Assumptions!$E$32)</f>
        <v>1.4850370503084</v>
      </c>
      <c r="F6622" s="48" t="n">
        <f aca="false">IF(F6590-Assumptions!$E$35&lt;1,0,INDEX($C$6615:$N$6615,1,F6590-Assumptions!$E$35)*INDEX($C$6619:$N$6619,1,F6590-Assumptions!$E$35)*Assumptions!$E$32)</f>
        <v>1.63860741134595</v>
      </c>
      <c r="G6622" s="48" t="n">
        <f aca="false">IF(G6590-Assumptions!$E$35&lt;1,0,INDEX($C$6615:$N$6615,1,G6590-Assumptions!$E$35)*INDEX($C$6619:$N$6619,1,G6590-Assumptions!$E$35)*Assumptions!$E$32)</f>
        <v>1.79532697390301</v>
      </c>
      <c r="H6622" s="48" t="n">
        <f aca="false">IF(H6590-Assumptions!$E$35&lt;1,0,INDEX($C$6615:$N$6615,1,H6590-Assumptions!$E$35)*INDEX($C$6619:$N$6619,1,H6590-Assumptions!$E$35)*Assumptions!$E$32)</f>
        <v>2.31019678172994</v>
      </c>
      <c r="I6622" s="48" t="n">
        <f aca="false">IF(I6590-Assumptions!$E$35&lt;1,0,INDEX($C$6615:$N$6615,1,I6590-Assumptions!$E$35)*INDEX($C$6619:$N$6619,1,I6590-Assumptions!$E$35)*Assumptions!$E$32)</f>
        <v>2.79111066507864</v>
      </c>
      <c r="J6622" s="48" t="n">
        <f aca="false">IF(J6590-Assumptions!$E$35&lt;1,0,INDEX($C$6615:$N$6615,1,J6590-Assumptions!$E$35)*INDEX($C$6619:$N$6619,1,J6590-Assumptions!$E$35)*Assumptions!$E$32)</f>
        <v>4.1306930875438</v>
      </c>
      <c r="K6622" s="48" t="n">
        <f aca="false">IF(K6590-Assumptions!$E$35&lt;1,0,INDEX($C$6615:$N$6615,1,K6590-Assumptions!$E$35)*INDEX($C$6619:$N$6619,1,K6590-Assumptions!$E$35)*Assumptions!$E$32)</f>
        <v>5.34315863355258</v>
      </c>
      <c r="L6622" s="48" t="n">
        <f aca="false">IF(L6590-Assumptions!$E$35&lt;1,0,INDEX($C$6615:$N$6615,1,L6590-Assumptions!$E$35)*INDEX($C$6619:$N$6619,1,L6590-Assumptions!$E$35)*Assumptions!$E$32)</f>
        <v>5.38112462159553</v>
      </c>
      <c r="M6622" s="48" t="n">
        <f aca="false">IF(M6590-Assumptions!$E$35&lt;1,0,INDEX($C$6615:$N$6615,1,M6590-Assumptions!$E$35)*INDEX($C$6619:$N$6619,1,M6590-Assumptions!$E$35)*Assumptions!$E$32)</f>
        <v>5.22179362206104</v>
      </c>
      <c r="N6622" s="48" t="n">
        <f aca="false">IF(N6590-Assumptions!$E$35&lt;1,0,INDEX($C$6615:$N$6615,1,N6590-Assumptions!$E$35)*INDEX($C$6619:$N$6619,1,N6590-Assumptions!$E$35)*Assumptions!$E$32)</f>
        <v>5.07351941968866</v>
      </c>
      <c r="P6622" s="49" t="n">
        <f aca="false">SUM(C6622:F6622)</f>
        <v>3.99002090683817</v>
      </c>
      <c r="Q6622" s="49" t="n">
        <f aca="false">SUM(G6622:J6622)</f>
        <v>11.0273275082554</v>
      </c>
      <c r="R6622" s="49" t="n">
        <f aca="false">SUM(K6622:N6622)</f>
        <v>21.0195962968978</v>
      </c>
      <c r="S6622" s="50" t="n">
        <f aca="false">SUM(P6622:R6622)</f>
        <v>36.0369447119914</v>
      </c>
    </row>
    <row r="6623" customFormat="false" ht="15" hidden="false" customHeight="false" outlineLevel="0" collapsed="false">
      <c r="A6623" s="4" t="s">
        <v>517</v>
      </c>
      <c r="B6623" s="36" t="s">
        <v>516</v>
      </c>
      <c r="C6623" s="48" t="n">
        <f aca="false">IF(C6590-Assumptions!$E$35&lt;1,0,INDEX($C$6615:$N$6615,1,C6590-Assumptions!$E$35)*INDEX($C$6620:$N$6620,1,C6590-Assumptions!$E$35)*Assumptions!$E$32)</f>
        <v>0</v>
      </c>
      <c r="D6623" s="48" t="n">
        <f aca="false">IF(D6590-Assumptions!$E$35&lt;1,0,INDEX($C$6615:$N$6615,1,D6590-Assumptions!$E$35)*INDEX($C$6620:$N$6620,1,D6590-Assumptions!$E$35)*Assumptions!$E$32)</f>
        <v>0.434084974267145</v>
      </c>
      <c r="E6623" s="48" t="n">
        <f aca="false">IF(E6590-Assumptions!$E$35&lt;1,0,INDEX($C$6615:$N$6615,1,E6590-Assumptions!$E$35)*INDEX($C$6620:$N$6620,1,E6590-Assumptions!$E$35)*Assumptions!$E$32)</f>
        <v>0.744055627726705</v>
      </c>
      <c r="F6623" s="48" t="n">
        <f aca="false">IF(F6590-Assumptions!$E$35&lt;1,0,INDEX($C$6615:$N$6615,1,F6590-Assumptions!$E$35)*INDEX($C$6620:$N$6620,1,F6590-Assumptions!$E$35)*Assumptions!$E$32)</f>
        <v>0.820999762796119</v>
      </c>
      <c r="G6623" s="48" t="n">
        <f aca="false">IF(G6590-Assumptions!$E$35&lt;1,0,INDEX($C$6615:$N$6615,1,G6590-Assumptions!$E$35)*INDEX($C$6620:$N$6620,1,G6590-Assumptions!$E$35)*Assumptions!$E$32)</f>
        <v>0.89952175823807</v>
      </c>
      <c r="H6623" s="48" t="n">
        <f aca="false">IF(H6590-Assumptions!$E$35&lt;1,0,INDEX($C$6615:$N$6615,1,H6590-Assumptions!$E$35)*INDEX($C$6620:$N$6620,1,H6590-Assumptions!$E$35)*Assumptions!$E$32)</f>
        <v>1.13465516292283</v>
      </c>
      <c r="I6623" s="48" t="n">
        <f aca="false">IF(I6590-Assumptions!$E$35&lt;1,0,INDEX($C$6615:$N$6615,1,I6590-Assumptions!$E$35)*INDEX($C$6620:$N$6620,1,I6590-Assumptions!$E$35)*Assumptions!$E$32)</f>
        <v>1.35487856174628</v>
      </c>
      <c r="J6623" s="48" t="n">
        <f aca="false">IF(J6590-Assumptions!$E$35&lt;1,0,INDEX($C$6615:$N$6615,1,J6590-Assumptions!$E$35)*INDEX($C$6620:$N$6620,1,J6590-Assumptions!$E$35)*Assumptions!$E$32)</f>
        <v>1.88601088123353</v>
      </c>
      <c r="K6623" s="48" t="n">
        <f aca="false">IF(K6590-Assumptions!$E$35&lt;1,0,INDEX($C$6615:$N$6615,1,K6590-Assumptions!$E$35)*INDEX($C$6620:$N$6620,1,K6590-Assumptions!$E$35)*Assumptions!$E$32)</f>
        <v>2.37581157552964</v>
      </c>
      <c r="L6623" s="48" t="n">
        <f aca="false">IF(L6590-Assumptions!$E$35&lt;1,0,INDEX($C$6615:$N$6615,1,L6590-Assumptions!$E$35)*INDEX($C$6620:$N$6620,1,L6590-Assumptions!$E$35)*Assumptions!$E$32)</f>
        <v>2.3926929822134</v>
      </c>
      <c r="M6623" s="48" t="n">
        <f aca="false">IF(M6590-Assumptions!$E$35&lt;1,0,INDEX($C$6615:$N$6615,1,M6590-Assumptions!$E$35)*INDEX($C$6620:$N$6620,1,M6590-Assumptions!$E$35)*Assumptions!$E$32)</f>
        <v>2.32184716628391</v>
      </c>
      <c r="N6623" s="48" t="n">
        <f aca="false">IF(N6590-Assumptions!$E$35&lt;1,0,INDEX($C$6615:$N$6615,1,N6590-Assumptions!$E$35)*INDEX($C$6620:$N$6620,1,N6590-Assumptions!$E$35)*Assumptions!$E$32)</f>
        <v>2.25591770573287</v>
      </c>
      <c r="P6623" s="49" t="n">
        <f aca="false">SUM(C6623:F6623)</f>
        <v>1.99914036478997</v>
      </c>
      <c r="Q6623" s="49" t="n">
        <f aca="false">SUM(G6623:J6623)</f>
        <v>5.27506636414072</v>
      </c>
      <c r="R6623" s="49" t="n">
        <f aca="false">SUM(K6623:N6623)</f>
        <v>9.34626942975982</v>
      </c>
      <c r="S6623" s="50" t="n">
        <f aca="false">SUM(P6623:R6623)</f>
        <v>16.6204761586905</v>
      </c>
    </row>
    <row r="6624" customFormat="false" ht="15" hidden="false" customHeight="false" outlineLevel="0" collapsed="false">
      <c r="A6624" s="4" t="s">
        <v>518</v>
      </c>
      <c r="B6624" s="36" t="s">
        <v>516</v>
      </c>
      <c r="C6624" s="48" t="n">
        <f aca="false">IF(C6590-Assumptions!$E$36&lt;1,0,INDEX($C$6615:$N$6615,1,C6590-Assumptions!$E$36)*INDEX($C$6621:$N$6621,1,C6590-Assumptions!$E$36)*Assumptions!$E$32)</f>
        <v>0</v>
      </c>
      <c r="D6624" s="48" t="n">
        <f aca="false">IF(D6590-Assumptions!$E$36&lt;1,0,INDEX($C$6615:$N$6615,1,D6590-Assumptions!$E$36)*INDEX($C$6621:$N$6621,1,D6590-Assumptions!$E$36)*Assumptions!$E$32)</f>
        <v>0</v>
      </c>
      <c r="E6624" s="48" t="n">
        <f aca="false">IF(E6590-Assumptions!$E$36&lt;1,0,INDEX($C$6615:$N$6615,1,E6590-Assumptions!$E$36)*INDEX($C$6621:$N$6621,1,E6590-Assumptions!$E$36)*Assumptions!$E$32)</f>
        <v>0.071275680959914</v>
      </c>
      <c r="F6624" s="48" t="n">
        <f aca="false">IF(F6590-Assumptions!$E$36&lt;1,0,INDEX($C$6615:$N$6615,1,F6590-Assumptions!$E$36)*INDEX($C$6621:$N$6621,1,F6590-Assumptions!$E$36)*Assumptions!$E$32)</f>
        <v>0.122172096898336</v>
      </c>
      <c r="G6624" s="48" t="n">
        <f aca="false">IF(G6590-Assumptions!$E$36&lt;1,0,INDEX($C$6615:$N$6615,1,G6590-Assumptions!$E$36)*INDEX($C$6621:$N$6621,1,G6590-Assumptions!$E$36)*Assumptions!$E$32)</f>
        <v>0.134806133891215</v>
      </c>
      <c r="H6624" s="48" t="n">
        <f aca="false">IF(H6590-Assumptions!$E$36&lt;1,0,INDEX($C$6615:$N$6615,1,H6590-Assumptions!$E$36)*INDEX($C$6621:$N$6621,1,H6590-Assumptions!$E$36)*Assumptions!$E$32)</f>
        <v>0.147699251661313</v>
      </c>
      <c r="I6624" s="48" t="n">
        <f aca="false">IF(I6590-Assumptions!$E$36&lt;1,0,INDEX($C$6615:$N$6615,1,I6590-Assumptions!$E$36)*INDEX($C$6621:$N$6621,1,I6590-Assumptions!$E$36)*Assumptions!$E$32)</f>
        <v>0.174259973058587</v>
      </c>
      <c r="J6624" s="48" t="n">
        <f aca="false">IF(J6590-Assumptions!$E$36&lt;1,0,INDEX($C$6615:$N$6615,1,J6590-Assumptions!$E$36)*INDEX($C$6621:$N$6621,1,J6590-Assumptions!$E$36)*Assumptions!$E$32)</f>
        <v>0.19948212034567</v>
      </c>
      <c r="K6624" s="48" t="n">
        <f aca="false">IF(K6590-Assumptions!$E$36&lt;1,0,INDEX($C$6615:$N$6615,1,K6590-Assumptions!$E$36)*INDEX($C$6621:$N$6621,1,K6590-Assumptions!$E$36)*Assumptions!$E$32)</f>
        <v>0.265355665717199</v>
      </c>
      <c r="L6624" s="48" t="n">
        <f aca="false">IF(L6590-Assumptions!$E$36&lt;1,0,INDEX($C$6615:$N$6615,1,L6590-Assumptions!$E$36)*INDEX($C$6621:$N$6621,1,L6590-Assumptions!$E$36)*Assumptions!$E$32)</f>
        <v>0.327251866823927</v>
      </c>
      <c r="M6624" s="48" t="n">
        <f aca="false">IF(M6590-Assumptions!$E$36&lt;1,0,INDEX($C$6615:$N$6615,1,M6590-Assumptions!$E$36)*INDEX($C$6621:$N$6621,1,M6590-Assumptions!$E$36)*Assumptions!$E$32)</f>
        <v>0.329577165643402</v>
      </c>
      <c r="N6624" s="48" t="n">
        <f aca="false">IF(N6590-Assumptions!$E$36&lt;1,0,INDEX($C$6615:$N$6615,1,N6590-Assumptions!$E$36)*INDEX($C$6621:$N$6621,1,N6590-Assumptions!$E$36)*Assumptions!$E$32)</f>
        <v>0.319818636912259</v>
      </c>
      <c r="P6624" s="49" t="n">
        <f aca="false">SUM(C6624:F6624)</f>
        <v>0.19344777785825</v>
      </c>
      <c r="Q6624" s="49" t="n">
        <f aca="false">SUM(G6624:J6624)</f>
        <v>0.656247478956785</v>
      </c>
      <c r="R6624" s="49" t="n">
        <f aca="false">SUM(K6624:N6624)</f>
        <v>1.24200333509679</v>
      </c>
      <c r="S6624" s="50" t="n">
        <f aca="false">SUM(P6624:R6624)</f>
        <v>2.09169859191182</v>
      </c>
    </row>
    <row r="6625" customFormat="false" ht="15" hidden="false" customHeight="false" outlineLevel="0" collapsed="false">
      <c r="A6625" s="4" t="s">
        <v>519</v>
      </c>
      <c r="B6625" s="36" t="s">
        <v>77</v>
      </c>
      <c r="C6625" s="51" t="n">
        <f aca="false">IF(C6590-Assumptions!$E$35&lt;1,0,IFERROR(INDEX($C$6614:$N$6614,1,C6590-Assumptions!$E$35)/INDEX($C$6615:$N$6615,1,C6590-Assumptions!$E$35),0))</f>
        <v>0</v>
      </c>
      <c r="D6625" s="51" t="n">
        <f aca="false">IF(D6590-Assumptions!$E$35&lt;1,0,IFERROR(INDEX($C$6614:$N$6614,1,D6590-Assumptions!$E$35)/INDEX($C$6615:$N$6615,1,D6590-Assumptions!$E$35),0))</f>
        <v>0.459271678087073</v>
      </c>
      <c r="E6625" s="51" t="n">
        <f aca="false">IF(E6590-Assumptions!$E$35&lt;1,0,IFERROR(INDEX($C$6614:$N$6614,1,E6590-Assumptions!$E$35)/INDEX($C$6615:$N$6615,1,E6590-Assumptions!$E$35),0))</f>
        <v>0.401911350042128</v>
      </c>
      <c r="F6625" s="51" t="n">
        <f aca="false">IF(F6590-Assumptions!$E$35&lt;1,0,IFERROR(INDEX($C$6614:$N$6614,1,F6590-Assumptions!$E$35)/INDEX($C$6615:$N$6615,1,F6590-Assumptions!$E$35),0))</f>
        <v>0.485658933408398</v>
      </c>
      <c r="G6625" s="51" t="n">
        <f aca="false">IF(G6590-Assumptions!$E$35&lt;1,0,IFERROR(INDEX($C$6614:$N$6614,1,G6590-Assumptions!$E$35)/INDEX($C$6615:$N$6615,1,G6590-Assumptions!$E$35),0))</f>
        <v>0.554080356417826</v>
      </c>
      <c r="H6625" s="51" t="n">
        <f aca="false">IF(H6590-Assumptions!$E$35&lt;1,0,IFERROR(INDEX($C$6614:$N$6614,1,H6590-Assumptions!$E$35)/INDEX($C$6615:$N$6615,1,H6590-Assumptions!$E$35),0))</f>
        <v>0.522227563825987</v>
      </c>
      <c r="I6625" s="51" t="n">
        <f aca="false">IF(I6590-Assumptions!$E$35&lt;1,0,IFERROR(INDEX($C$6614:$N$6614,1,I6590-Assumptions!$E$35)/INDEX($C$6615:$N$6615,1,I6590-Assumptions!$E$35),0))</f>
        <v>0.507424816282752</v>
      </c>
      <c r="J6625" s="51" t="n">
        <f aca="false">IF(J6590-Assumptions!$E$35&lt;1,0,IFERROR(INDEX($C$6614:$N$6614,1,J6590-Assumptions!$E$35)/INDEX($C$6615:$N$6615,1,J6590-Assumptions!$E$35),0))</f>
        <v>0.401142323795015</v>
      </c>
      <c r="K6625" s="51" t="n">
        <f aca="false">IF(K6590-Assumptions!$E$35&lt;1,0,IFERROR(INDEX($C$6614:$N$6614,1,K6590-Assumptions!$E$35)/INDEX($C$6615:$N$6615,1,K6590-Assumptions!$E$35),0))</f>
        <v>0.352339268448632</v>
      </c>
      <c r="L6625" s="51" t="n">
        <f aca="false">IF(L6590-Assumptions!$E$35&lt;1,0,IFERROR(INDEX($C$6614:$N$6614,1,L6590-Assumptions!$E$35)/INDEX($C$6615:$N$6615,1,L6590-Assumptions!$E$35),0))</f>
        <v>0.388725970981282</v>
      </c>
      <c r="M6625" s="51" t="n">
        <f aca="false">IF(M6590-Assumptions!$E$35&lt;1,0,IFERROR(INDEX($C$6614:$N$6614,1,M6590-Assumptions!$E$35)/INDEX($C$6615:$N$6615,1,M6590-Assumptions!$E$35),0))</f>
        <v>0.400587048224893</v>
      </c>
      <c r="N6625" s="51" t="n">
        <f aca="false">IF(N6590-Assumptions!$E$35&lt;1,0,IFERROR(INDEX($C$6614:$N$6614,1,N6590-Assumptions!$E$35)/INDEX($C$6615:$N$6615,1,N6590-Assumptions!$E$35),0))</f>
        <v>0.412294251872474</v>
      </c>
      <c r="P6625" s="52"/>
      <c r="Q6625" s="52"/>
      <c r="R6625" s="52"/>
      <c r="S6625" s="53"/>
    </row>
    <row r="6626" customFormat="false" ht="15" hidden="false" customHeight="false" outlineLevel="0" collapsed="false">
      <c r="A6626" s="4" t="s">
        <v>520</v>
      </c>
      <c r="B6626" s="36" t="s">
        <v>516</v>
      </c>
      <c r="C6626" s="48" t="n">
        <f aca="false">C6622*Assumptions!$E$37</f>
        <v>0</v>
      </c>
      <c r="D6626" s="48" t="n">
        <f aca="false">D6622*Assumptions!$E$37</f>
        <v>0.259912933555146</v>
      </c>
      <c r="E6626" s="48" t="n">
        <f aca="false">E6622*Assumptions!$E$37</f>
        <v>0.44551111509252</v>
      </c>
      <c r="F6626" s="48" t="n">
        <f aca="false">F6622*Assumptions!$E$37</f>
        <v>0.491582223403786</v>
      </c>
      <c r="G6626" s="48" t="n">
        <f aca="false">G6622*Assumptions!$E$37</f>
        <v>0.538598092170902</v>
      </c>
      <c r="H6626" s="48" t="n">
        <f aca="false">H6622*Assumptions!$E$37</f>
        <v>0.693059034518982</v>
      </c>
      <c r="I6626" s="48" t="n">
        <f aca="false">I6622*Assumptions!$E$37</f>
        <v>0.837333199523593</v>
      </c>
      <c r="J6626" s="48" t="n">
        <f aca="false">J6622*Assumptions!$E$37</f>
        <v>1.23920792626314</v>
      </c>
      <c r="K6626" s="48" t="n">
        <f aca="false">K6622*Assumptions!$E$37</f>
        <v>1.60294759006577</v>
      </c>
      <c r="L6626" s="48" t="n">
        <f aca="false">L6622*Assumptions!$E$37</f>
        <v>1.61433738647866</v>
      </c>
      <c r="M6626" s="48" t="n">
        <f aca="false">M6622*Assumptions!$E$37</f>
        <v>1.56653808661831</v>
      </c>
      <c r="N6626" s="48" t="n">
        <f aca="false">N6622*Assumptions!$E$37</f>
        <v>1.5220558259066</v>
      </c>
      <c r="P6626" s="49" t="n">
        <f aca="false">SUM(C6626:F6626)</f>
        <v>1.19700627205145</v>
      </c>
      <c r="Q6626" s="49" t="n">
        <f aca="false">SUM(G6626:J6626)</f>
        <v>3.30819825247662</v>
      </c>
      <c r="R6626" s="49" t="n">
        <f aca="false">SUM(K6626:N6626)</f>
        <v>6.30587888906934</v>
      </c>
      <c r="S6626" s="50" t="n">
        <f aca="false">SUM(P6626:R6626)</f>
        <v>10.8110834135974</v>
      </c>
    </row>
    <row r="6627" customFormat="false" ht="15" hidden="false" customHeight="false" outlineLevel="0" collapsed="false">
      <c r="A6627" s="4" t="s">
        <v>521</v>
      </c>
      <c r="B6627" s="36" t="s">
        <v>516</v>
      </c>
      <c r="C6627" s="48" t="n">
        <f aca="false">C6622*(1-Assumptions!$E$37)</f>
        <v>0</v>
      </c>
      <c r="D6627" s="48" t="n">
        <f aca="false">D6622*(1-Assumptions!$E$37)</f>
        <v>0.606463511628675</v>
      </c>
      <c r="E6627" s="48" t="n">
        <f aca="false">E6622*(1-Assumptions!$E$37)</f>
        <v>1.03952593521588</v>
      </c>
      <c r="F6627" s="48" t="n">
        <f aca="false">F6622*(1-Assumptions!$E$37)</f>
        <v>1.14702518794217</v>
      </c>
      <c r="G6627" s="48" t="n">
        <f aca="false">G6622*(1-Assumptions!$E$37)</f>
        <v>1.25672888173211</v>
      </c>
      <c r="H6627" s="48" t="n">
        <f aca="false">H6622*(1-Assumptions!$E$37)</f>
        <v>1.61713774721096</v>
      </c>
      <c r="I6627" s="48" t="n">
        <f aca="false">I6622*(1-Assumptions!$E$37)</f>
        <v>1.95377746555505</v>
      </c>
      <c r="J6627" s="48" t="n">
        <f aca="false">J6622*(1-Assumptions!$E$37)</f>
        <v>2.89148516128066</v>
      </c>
      <c r="K6627" s="48" t="n">
        <f aca="false">K6622*(1-Assumptions!$E$37)</f>
        <v>3.7402110434868</v>
      </c>
      <c r="L6627" s="48" t="n">
        <f aca="false">L6622*(1-Assumptions!$E$37)</f>
        <v>3.76678723511687</v>
      </c>
      <c r="M6627" s="48" t="n">
        <f aca="false">M6622*(1-Assumptions!$E$37)</f>
        <v>3.65525553544273</v>
      </c>
      <c r="N6627" s="48" t="n">
        <f aca="false">N6622*(1-Assumptions!$E$37)</f>
        <v>3.55146359378206</v>
      </c>
      <c r="P6627" s="49" t="n">
        <f aca="false">SUM(C6627:F6627)</f>
        <v>2.79301463478672</v>
      </c>
      <c r="Q6627" s="49" t="n">
        <f aca="false">SUM(G6627:J6627)</f>
        <v>7.71912925577877</v>
      </c>
      <c r="R6627" s="49" t="n">
        <f aca="false">SUM(K6627:N6627)</f>
        <v>14.7137174078285</v>
      </c>
      <c r="S6627" s="50" t="n">
        <f aca="false">SUM(P6627:R6627)</f>
        <v>25.225861298394</v>
      </c>
    </row>
    <row r="6628" customFormat="false" ht="15" hidden="false" customHeight="false" outlineLevel="0" collapsed="false">
      <c r="A6628" s="4" t="s">
        <v>522</v>
      </c>
      <c r="B6628" s="36" t="s">
        <v>125</v>
      </c>
      <c r="C6628" s="54" t="n">
        <f aca="false">C6627*$C$6581+C6623*$C$6582+C6624*$C$6583</f>
        <v>0</v>
      </c>
      <c r="D6628" s="54" t="n">
        <f aca="false">D6627*$C$6581+D6623*$C$6582+D6624*$C$6583</f>
        <v>7485.37917000042</v>
      </c>
      <c r="E6628" s="54" t="n">
        <f aca="false">E6627*$C$6581+E6623*$C$6582+E6624*$C$6583</f>
        <v>17233.8131620616</v>
      </c>
      <c r="F6628" s="54" t="n">
        <f aca="false">F6627*$C$6581+F6623*$C$6582+F6624*$C$6583</f>
        <v>21704.9328199195</v>
      </c>
      <c r="G6628" s="54" t="n">
        <f aca="false">G6627*$C$6581+G6623*$C$6582+G6624*$C$6583</f>
        <v>23839.4781169478</v>
      </c>
      <c r="H6628" s="54" t="n">
        <f aca="false">H6627*$C$6581+H6623*$C$6582+H6624*$C$6583</f>
        <v>28861.3828545359</v>
      </c>
      <c r="I6628" s="54" t="n">
        <f aca="false">I6627*$C$6581+I6623*$C$6582+I6624*$C$6583</f>
        <v>34454.8139810786</v>
      </c>
      <c r="J6628" s="54" t="n">
        <f aca="false">J6627*$C$6581+J6623*$C$6582+J6624*$C$6583</f>
        <v>46219.0265618748</v>
      </c>
      <c r="K6628" s="54" t="n">
        <f aca="false">K6627*$C$6581+K6623*$C$6582+K6624*$C$6583</f>
        <v>59614.7065475457</v>
      </c>
      <c r="L6628" s="54" t="n">
        <f aca="false">L6627*$C$6581+L6623*$C$6582+L6624*$C$6583</f>
        <v>63745.6576705911</v>
      </c>
      <c r="M6628" s="54" t="n">
        <f aca="false">M6627*$C$6581+M6623*$C$6582+M6624*$C$6583</f>
        <v>62600.461663715</v>
      </c>
      <c r="N6628" s="54" t="n">
        <f aca="false">N6627*$C$6581+N6623*$C$6582+N6624*$C$6583</f>
        <v>60798.1877142281</v>
      </c>
      <c r="P6628" s="55" t="n">
        <f aca="false">SUM(C6628:F6628)</f>
        <v>46424.1251519815</v>
      </c>
      <c r="Q6628" s="55" t="n">
        <f aca="false">SUM(G6628:J6628)</f>
        <v>133374.701514437</v>
      </c>
      <c r="R6628" s="55" t="n">
        <f aca="false">SUM(K6628:N6628)</f>
        <v>246759.01359608</v>
      </c>
      <c r="S6628" s="56" t="n">
        <f aca="false">SUM(P6628:R6628)</f>
        <v>426557.840262498</v>
      </c>
    </row>
    <row r="6629" customFormat="false" ht="15" hidden="false" customHeight="false" outlineLevel="0" collapsed="false">
      <c r="A6629" s="4" t="s">
        <v>523</v>
      </c>
      <c r="B6629" s="36" t="s">
        <v>125</v>
      </c>
      <c r="C6629" s="54" t="n">
        <f aca="false">(C6605+Assumptions!$D$104*C6591)*$C$6586</f>
        <v>306250</v>
      </c>
      <c r="D6629" s="54" t="n">
        <f aca="false">(D6605+Assumptions!$D$104*D6591)*$C$6586</f>
        <v>306250</v>
      </c>
      <c r="E6629" s="54" t="n">
        <f aca="false">(E6605+Assumptions!$D$104*E6591)*$C$6586</f>
        <v>306250</v>
      </c>
      <c r="F6629" s="54" t="n">
        <f aca="false">(F6605+Assumptions!$D$104*F6591)*$C$6586</f>
        <v>306250</v>
      </c>
      <c r="G6629" s="54" t="n">
        <f aca="false">(G6605+Assumptions!$D$104*G6591)*$C$6586</f>
        <v>306250</v>
      </c>
      <c r="H6629" s="54" t="n">
        <f aca="false">(H6605+Assumptions!$D$104*H6591)*$C$6586</f>
        <v>306250</v>
      </c>
      <c r="I6629" s="54" t="n">
        <f aca="false">(I6605+Assumptions!$D$104*I6591)*$C$6586</f>
        <v>306250</v>
      </c>
      <c r="J6629" s="54" t="n">
        <f aca="false">(J6605+Assumptions!$D$104*J6591)*$C$6586</f>
        <v>306250</v>
      </c>
      <c r="K6629" s="54" t="n">
        <f aca="false">(K6605+Assumptions!$D$104*K6591)*$C$6586</f>
        <v>306250</v>
      </c>
      <c r="L6629" s="54" t="n">
        <f aca="false">(L6605+Assumptions!$D$104*L6591)*$C$6586</f>
        <v>306250</v>
      </c>
      <c r="M6629" s="54" t="n">
        <f aca="false">(M6605+Assumptions!$D$104*M6591)*$C$6586</f>
        <v>306250</v>
      </c>
      <c r="N6629" s="54" t="n">
        <f aca="false">(N6605+Assumptions!$D$104*N6591)*$C$6586</f>
        <v>306250</v>
      </c>
      <c r="P6629" s="55" t="n">
        <f aca="false">SUM(C6629:F6629)</f>
        <v>1225000</v>
      </c>
      <c r="Q6629" s="55" t="n">
        <f aca="false">SUM(G6629:J6629)</f>
        <v>1225000</v>
      </c>
      <c r="R6629" s="55" t="n">
        <f aca="false">SUM(K6629:N6629)</f>
        <v>1225000</v>
      </c>
      <c r="S6629" s="56" t="n">
        <f aca="false">SUM(P6629:R6629)</f>
        <v>3675000</v>
      </c>
    </row>
    <row r="6630" customFormat="false" ht="15" hidden="false" customHeight="false" outlineLevel="0" collapsed="false">
      <c r="A6630" s="4" t="s">
        <v>524</v>
      </c>
      <c r="B6630" s="36" t="s">
        <v>77</v>
      </c>
      <c r="C6630" s="51" t="n">
        <f aca="false">IF(C6628&gt;0,MIN(1,C6629/C6628),1)</f>
        <v>1</v>
      </c>
      <c r="D6630" s="51" t="n">
        <f aca="false">IF(D6628&gt;0,MIN(1,D6629/D6628),1)</f>
        <v>1</v>
      </c>
      <c r="E6630" s="51" t="n">
        <f aca="false">IF(E6628&gt;0,MIN(1,E6629/E6628),1)</f>
        <v>1</v>
      </c>
      <c r="F6630" s="51" t="n">
        <f aca="false">IF(F6628&gt;0,MIN(1,F6629/F6628),1)</f>
        <v>1</v>
      </c>
      <c r="G6630" s="51" t="n">
        <f aca="false">IF(G6628&gt;0,MIN(1,G6629/G6628),1)</f>
        <v>1</v>
      </c>
      <c r="H6630" s="51" t="n">
        <f aca="false">IF(H6628&gt;0,MIN(1,H6629/H6628),1)</f>
        <v>1</v>
      </c>
      <c r="I6630" s="51" t="n">
        <f aca="false">IF(I6628&gt;0,MIN(1,I6629/I6628),1)</f>
        <v>1</v>
      </c>
      <c r="J6630" s="51" t="n">
        <f aca="false">IF(J6628&gt;0,MIN(1,J6629/J6628),1)</f>
        <v>1</v>
      </c>
      <c r="K6630" s="51" t="n">
        <f aca="false">IF(K6628&gt;0,MIN(1,K6629/K6628),1)</f>
        <v>1</v>
      </c>
      <c r="L6630" s="51" t="n">
        <f aca="false">IF(L6628&gt;0,MIN(1,L6629/L6628),1)</f>
        <v>1</v>
      </c>
      <c r="M6630" s="51" t="n">
        <f aca="false">IF(M6628&gt;0,MIN(1,M6629/M6628),1)</f>
        <v>1</v>
      </c>
      <c r="N6630" s="51" t="n">
        <f aca="false">IF(N6628&gt;0,MIN(1,N6629/N6628),1)</f>
        <v>1</v>
      </c>
      <c r="P6630" s="52"/>
      <c r="Q6630" s="52"/>
      <c r="R6630" s="52"/>
      <c r="S6630" s="53"/>
    </row>
    <row r="6631" customFormat="false" ht="15" hidden="false" customHeight="false" outlineLevel="0" collapsed="false">
      <c r="A6631" s="4" t="s">
        <v>525</v>
      </c>
      <c r="B6631" s="36" t="s">
        <v>125</v>
      </c>
      <c r="C6631" s="54" t="n">
        <f aca="false">C6628*(1-C6630)</f>
        <v>0</v>
      </c>
      <c r="D6631" s="54" t="n">
        <f aca="false">D6628*(1-D6630)</f>
        <v>0</v>
      </c>
      <c r="E6631" s="54" t="n">
        <f aca="false">E6628*(1-E6630)</f>
        <v>0</v>
      </c>
      <c r="F6631" s="54" t="n">
        <f aca="false">F6628*(1-F6630)</f>
        <v>0</v>
      </c>
      <c r="G6631" s="54" t="n">
        <f aca="false">G6628*(1-G6630)</f>
        <v>0</v>
      </c>
      <c r="H6631" s="54" t="n">
        <f aca="false">H6628*(1-H6630)</f>
        <v>0</v>
      </c>
      <c r="I6631" s="54" t="n">
        <f aca="false">I6628*(1-I6630)</f>
        <v>0</v>
      </c>
      <c r="J6631" s="54" t="n">
        <f aca="false">J6628*(1-J6630)</f>
        <v>0</v>
      </c>
      <c r="K6631" s="54" t="n">
        <f aca="false">K6628*(1-K6630)</f>
        <v>0</v>
      </c>
      <c r="L6631" s="54" t="n">
        <f aca="false">L6628*(1-L6630)</f>
        <v>0</v>
      </c>
      <c r="M6631" s="54" t="n">
        <f aca="false">M6628*(1-M6630)</f>
        <v>0</v>
      </c>
      <c r="N6631" s="54" t="n">
        <f aca="false">N6628*(1-N6630)</f>
        <v>0</v>
      </c>
      <c r="P6631" s="55" t="n">
        <f aca="false">SUM(C6631:F6631)</f>
        <v>0</v>
      </c>
      <c r="Q6631" s="55" t="n">
        <f aca="false">SUM(G6631:J6631)</f>
        <v>0</v>
      </c>
      <c r="R6631" s="55" t="n">
        <f aca="false">SUM(K6631:N6631)</f>
        <v>0</v>
      </c>
      <c r="S6631" s="56" t="n">
        <f aca="false">SUM(P6631:R6631)</f>
        <v>0</v>
      </c>
    </row>
    <row r="6632" customFormat="false" ht="15" hidden="false" customHeight="false" outlineLevel="0" collapsed="false">
      <c r="A6632" s="4" t="s">
        <v>526</v>
      </c>
      <c r="B6632" s="36" t="s">
        <v>527</v>
      </c>
      <c r="C6632" s="48" t="n">
        <f aca="false">C6626+C6627*C6630</f>
        <v>0</v>
      </c>
      <c r="D6632" s="48" t="n">
        <f aca="false">D6626+D6627*D6630</f>
        <v>0.866376445183821</v>
      </c>
      <c r="E6632" s="48" t="n">
        <f aca="false">E6626+E6627*E6630</f>
        <v>1.4850370503084</v>
      </c>
      <c r="F6632" s="48" t="n">
        <f aca="false">F6626+F6627*F6630</f>
        <v>1.63860741134595</v>
      </c>
      <c r="G6632" s="48" t="n">
        <f aca="false">G6626+G6627*G6630</f>
        <v>1.79532697390301</v>
      </c>
      <c r="H6632" s="48" t="n">
        <f aca="false">H6626+H6627*H6630</f>
        <v>2.31019678172994</v>
      </c>
      <c r="I6632" s="48" t="n">
        <f aca="false">I6626+I6627*I6630</f>
        <v>2.79111066507864</v>
      </c>
      <c r="J6632" s="48" t="n">
        <f aca="false">J6626+J6627*J6630</f>
        <v>4.1306930875438</v>
      </c>
      <c r="K6632" s="48" t="n">
        <f aca="false">K6626+K6627*K6630</f>
        <v>5.34315863355258</v>
      </c>
      <c r="L6632" s="48" t="n">
        <f aca="false">L6626+L6627*L6630</f>
        <v>5.38112462159553</v>
      </c>
      <c r="M6632" s="48" t="n">
        <f aca="false">M6626+M6627*M6630</f>
        <v>5.22179362206104</v>
      </c>
      <c r="N6632" s="48" t="n">
        <f aca="false">N6626+N6627*N6630</f>
        <v>5.07351941968866</v>
      </c>
      <c r="P6632" s="49" t="n">
        <f aca="false">SUM(C6632:F6632)</f>
        <v>3.99002090683817</v>
      </c>
      <c r="Q6632" s="49" t="n">
        <f aca="false">SUM(G6632:J6632)</f>
        <v>11.0273275082554</v>
      </c>
      <c r="R6632" s="49" t="n">
        <f aca="false">SUM(K6632:N6632)</f>
        <v>21.0195962968978</v>
      </c>
      <c r="S6632" s="50" t="n">
        <f aca="false">SUM(P6632:R6632)</f>
        <v>36.0369447119914</v>
      </c>
    </row>
    <row r="6633" customFormat="false" ht="15" hidden="false" customHeight="false" outlineLevel="0" collapsed="false">
      <c r="A6633" s="4" t="s">
        <v>528</v>
      </c>
      <c r="B6633" s="36" t="s">
        <v>527</v>
      </c>
      <c r="C6633" s="48" t="n">
        <f aca="false">C6623*C6630</f>
        <v>0</v>
      </c>
      <c r="D6633" s="48" t="n">
        <f aca="false">D6623*D6630</f>
        <v>0.434084974267145</v>
      </c>
      <c r="E6633" s="48" t="n">
        <f aca="false">E6623*E6630</f>
        <v>0.744055627726705</v>
      </c>
      <c r="F6633" s="48" t="n">
        <f aca="false">F6623*F6630</f>
        <v>0.820999762796119</v>
      </c>
      <c r="G6633" s="48" t="n">
        <f aca="false">G6623*G6630</f>
        <v>0.89952175823807</v>
      </c>
      <c r="H6633" s="48" t="n">
        <f aca="false">H6623*H6630</f>
        <v>1.13465516292283</v>
      </c>
      <c r="I6633" s="48" t="n">
        <f aca="false">I6623*I6630</f>
        <v>1.35487856174628</v>
      </c>
      <c r="J6633" s="48" t="n">
        <f aca="false">J6623*J6630</f>
        <v>1.88601088123353</v>
      </c>
      <c r="K6633" s="48" t="n">
        <f aca="false">K6623*K6630</f>
        <v>2.37581157552964</v>
      </c>
      <c r="L6633" s="48" t="n">
        <f aca="false">L6623*L6630</f>
        <v>2.3926929822134</v>
      </c>
      <c r="M6633" s="48" t="n">
        <f aca="false">M6623*M6630</f>
        <v>2.32184716628391</v>
      </c>
      <c r="N6633" s="48" t="n">
        <f aca="false">N6623*N6630</f>
        <v>2.25591770573287</v>
      </c>
      <c r="P6633" s="49" t="n">
        <f aca="false">SUM(C6633:F6633)</f>
        <v>1.99914036478997</v>
      </c>
      <c r="Q6633" s="49" t="n">
        <f aca="false">SUM(G6633:J6633)</f>
        <v>5.27506636414072</v>
      </c>
      <c r="R6633" s="49" t="n">
        <f aca="false">SUM(K6633:N6633)</f>
        <v>9.34626942975982</v>
      </c>
      <c r="S6633" s="50" t="n">
        <f aca="false">SUM(P6633:R6633)</f>
        <v>16.6204761586905</v>
      </c>
    </row>
    <row r="6634" customFormat="false" ht="15" hidden="false" customHeight="false" outlineLevel="0" collapsed="false">
      <c r="A6634" s="4" t="s">
        <v>529</v>
      </c>
      <c r="B6634" s="36" t="s">
        <v>527</v>
      </c>
      <c r="C6634" s="48" t="n">
        <f aca="false">C6624*C6630</f>
        <v>0</v>
      </c>
      <c r="D6634" s="48" t="n">
        <f aca="false">D6624*D6630</f>
        <v>0</v>
      </c>
      <c r="E6634" s="48" t="n">
        <f aca="false">E6624*E6630</f>
        <v>0.071275680959914</v>
      </c>
      <c r="F6634" s="48" t="n">
        <f aca="false">F6624*F6630</f>
        <v>0.122172096898336</v>
      </c>
      <c r="G6634" s="48" t="n">
        <f aca="false">G6624*G6630</f>
        <v>0.134806133891215</v>
      </c>
      <c r="H6634" s="48" t="n">
        <f aca="false">H6624*H6630</f>
        <v>0.147699251661313</v>
      </c>
      <c r="I6634" s="48" t="n">
        <f aca="false">I6624*I6630</f>
        <v>0.174259973058587</v>
      </c>
      <c r="J6634" s="48" t="n">
        <f aca="false">J6624*J6630</f>
        <v>0.19948212034567</v>
      </c>
      <c r="K6634" s="48" t="n">
        <f aca="false">K6624*K6630</f>
        <v>0.265355665717199</v>
      </c>
      <c r="L6634" s="48" t="n">
        <f aca="false">L6624*L6630</f>
        <v>0.327251866823927</v>
      </c>
      <c r="M6634" s="48" t="n">
        <f aca="false">M6624*M6630</f>
        <v>0.329577165643402</v>
      </c>
      <c r="N6634" s="48" t="n">
        <f aca="false">N6624*N6630</f>
        <v>0.319818636912259</v>
      </c>
      <c r="P6634" s="49" t="n">
        <f aca="false">SUM(C6634:F6634)</f>
        <v>0.19344777785825</v>
      </c>
      <c r="Q6634" s="49" t="n">
        <f aca="false">SUM(G6634:J6634)</f>
        <v>0.656247478956785</v>
      </c>
      <c r="R6634" s="49" t="n">
        <f aca="false">SUM(K6634:N6634)</f>
        <v>1.24200333509679</v>
      </c>
      <c r="S6634" s="50" t="n">
        <f aca="false">SUM(P6634:R6634)</f>
        <v>2.09169859191182</v>
      </c>
    </row>
    <row r="6635" customFormat="false" ht="15" hidden="false" customHeight="false" outlineLevel="0" collapsed="false">
      <c r="A6635" s="9" t="s">
        <v>530</v>
      </c>
      <c r="B6635" s="36" t="s">
        <v>527</v>
      </c>
      <c r="C6635" s="49" t="n">
        <f aca="false">C6632+C6633+C6634</f>
        <v>0</v>
      </c>
      <c r="D6635" s="49" t="n">
        <f aca="false">D6632+D6633+D6634</f>
        <v>1.30046141945097</v>
      </c>
      <c r="E6635" s="49" t="n">
        <f aca="false">E6632+E6633+E6634</f>
        <v>2.30036835899502</v>
      </c>
      <c r="F6635" s="49" t="n">
        <f aca="false">F6632+F6633+F6634</f>
        <v>2.58177927104041</v>
      </c>
      <c r="G6635" s="49" t="n">
        <f aca="false">G6632+G6633+G6634</f>
        <v>2.82965486603229</v>
      </c>
      <c r="H6635" s="49" t="n">
        <f aca="false">H6632+H6633+H6634</f>
        <v>3.59255119631409</v>
      </c>
      <c r="I6635" s="49" t="n">
        <f aca="false">I6632+I6633+I6634</f>
        <v>4.32024919988351</v>
      </c>
      <c r="J6635" s="49" t="n">
        <f aca="false">J6632+J6633+J6634</f>
        <v>6.216186089123</v>
      </c>
      <c r="K6635" s="49" t="n">
        <f aca="false">K6632+K6633+K6634</f>
        <v>7.98432587479941</v>
      </c>
      <c r="L6635" s="49" t="n">
        <f aca="false">L6632+L6633+L6634</f>
        <v>8.10106947063285</v>
      </c>
      <c r="M6635" s="49" t="n">
        <f aca="false">M6632+M6633+M6634</f>
        <v>7.87321795398836</v>
      </c>
      <c r="N6635" s="49" t="n">
        <f aca="false">N6632+N6633+N6634</f>
        <v>7.64925576233379</v>
      </c>
      <c r="P6635" s="49" t="n">
        <f aca="false">SUM(C6635:F6635)</f>
        <v>6.18260904948639</v>
      </c>
      <c r="Q6635" s="49" t="n">
        <f aca="false">SUM(G6635:J6635)</f>
        <v>16.9586413513529</v>
      </c>
      <c r="R6635" s="49" t="n">
        <f aca="false">SUM(K6635:N6635)</f>
        <v>31.6078690617544</v>
      </c>
      <c r="S6635" s="50" t="n">
        <f aca="false">SUM(P6635:R6635)</f>
        <v>54.7491194625937</v>
      </c>
    </row>
    <row r="6636" customFormat="false" ht="15" hidden="false" customHeight="false" outlineLevel="0" collapsed="false">
      <c r="A6636" s="35" t="s">
        <v>533</v>
      </c>
      <c r="B6636" s="35" t="s">
        <v>444</v>
      </c>
      <c r="C6636" s="6" t="s">
        <v>354</v>
      </c>
      <c r="D6636" s="6" t="s">
        <v>355</v>
      </c>
      <c r="E6636" s="6" t="s">
        <v>356</v>
      </c>
      <c r="F6636" s="6" t="s">
        <v>357</v>
      </c>
      <c r="G6636" s="6" t="s">
        <v>358</v>
      </c>
      <c r="H6636" s="6" t="s">
        <v>359</v>
      </c>
      <c r="I6636" s="6" t="s">
        <v>360</v>
      </c>
      <c r="J6636" s="6" t="s">
        <v>361</v>
      </c>
      <c r="K6636" s="6" t="s">
        <v>362</v>
      </c>
      <c r="L6636" s="6" t="s">
        <v>363</v>
      </c>
      <c r="M6636" s="6" t="s">
        <v>364</v>
      </c>
      <c r="N6636" s="6" t="s">
        <v>365</v>
      </c>
      <c r="P6636" s="6" t="s">
        <v>445</v>
      </c>
      <c r="Q6636" s="6" t="s">
        <v>446</v>
      </c>
      <c r="R6636" s="6" t="s">
        <v>447</v>
      </c>
      <c r="S6636" s="6" t="s">
        <v>448</v>
      </c>
    </row>
    <row r="6637" customFormat="false" ht="15" hidden="false" customHeight="false" outlineLevel="0" collapsed="false">
      <c r="A6637" s="4" t="s">
        <v>534</v>
      </c>
      <c r="B6637" s="36" t="s">
        <v>527</v>
      </c>
      <c r="C6637" s="48" t="n">
        <f aca="false">0*Assumptions!$E$59^(1/4)+C6632</f>
        <v>0</v>
      </c>
      <c r="D6637" s="48" t="n">
        <f aca="false">C6637*Assumptions!$E$59^(1/4)+D6632</f>
        <v>0.866376445183821</v>
      </c>
      <c r="E6637" s="48" t="n">
        <f aca="false">D6637*Assumptions!$E$59^(1/4)+E6632</f>
        <v>2.32416329488403</v>
      </c>
      <c r="F6637" s="48" t="n">
        <f aca="false">E6637*Assumptions!$E$59^(1/4)+F6632</f>
        <v>3.88966863104794</v>
      </c>
      <c r="G6637" s="48" t="n">
        <f aca="false">F6637*Assumptions!$E$59^(1/4)+G6632</f>
        <v>5.56265357789716</v>
      </c>
      <c r="H6637" s="48" t="n">
        <f aca="false">G6637*Assumptions!$E$59^(1/4)+H6632</f>
        <v>7.69788781678072</v>
      </c>
      <c r="I6637" s="48" t="n">
        <f aca="false">H6637*Assumptions!$E$59^(1/4)+I6632</f>
        <v>10.2468762630101</v>
      </c>
      <c r="J6637" s="48" t="n">
        <f aca="false">I6637*Assumptions!$E$59^(1/4)+J6632</f>
        <v>14.0552736148763</v>
      </c>
      <c r="K6637" s="48" t="n">
        <f aca="false">J6637*Assumptions!$E$59^(1/4)+K6632</f>
        <v>18.9563507170835</v>
      </c>
      <c r="L6637" s="48" t="n">
        <f aca="false">K6637*Assumptions!$E$59^(1/4)+L6632</f>
        <v>23.7412398769334</v>
      </c>
      <c r="M6637" s="48" t="n">
        <f aca="false">L6637*Assumptions!$E$59^(1/4)+M6632</f>
        <v>28.2162985745513</v>
      </c>
      <c r="N6637" s="48" t="n">
        <f aca="false">M6637*Assumptions!$E$59^(1/4)+N6632</f>
        <v>32.4023287268997</v>
      </c>
      <c r="P6637" s="49" t="n">
        <f aca="false">F6637</f>
        <v>3.88966863104794</v>
      </c>
      <c r="Q6637" s="49" t="n">
        <f aca="false">J6637</f>
        <v>14.0552736148763</v>
      </c>
      <c r="R6637" s="49" t="n">
        <f aca="false">N6637</f>
        <v>32.4023287268997</v>
      </c>
      <c r="S6637" s="50" t="n">
        <f aca="false">R6637</f>
        <v>32.4023287268997</v>
      </c>
    </row>
    <row r="6638" customFormat="false" ht="15" hidden="false" customHeight="false" outlineLevel="0" collapsed="false">
      <c r="A6638" s="4" t="s">
        <v>535</v>
      </c>
      <c r="B6638" s="36" t="s">
        <v>527</v>
      </c>
      <c r="C6638" s="48" t="n">
        <f aca="false">0*Assumptions!$E$60^(1/4)+C6633</f>
        <v>0</v>
      </c>
      <c r="D6638" s="48" t="n">
        <f aca="false">C6638*Assumptions!$E$60^(1/4)+D6633</f>
        <v>0.434084974267145</v>
      </c>
      <c r="E6638" s="48" t="n">
        <f aca="false">D6638*Assumptions!$E$60^(1/4)+E6633</f>
        <v>1.16685601892983</v>
      </c>
      <c r="F6638" s="48" t="n">
        <f aca="false">E6638*Assumptions!$E$60^(1/4)+F6633</f>
        <v>1.95752189677268</v>
      </c>
      <c r="G6638" s="48" t="n">
        <f aca="false">F6638*Assumptions!$E$60^(1/4)+G6633</f>
        <v>2.80615541940422</v>
      </c>
      <c r="H6638" s="48" t="n">
        <f aca="false">G6638*Assumptions!$E$60^(1/4)+H6633</f>
        <v>3.86786105447419</v>
      </c>
      <c r="I6638" s="48" t="n">
        <f aca="false">H6638*Assumptions!$E$60^(1/4)+I6633</f>
        <v>5.12218971945664</v>
      </c>
      <c r="J6638" s="48" t="n">
        <f aca="false">I6638*Assumptions!$E$60^(1/4)+J6633</f>
        <v>6.87504285788544</v>
      </c>
      <c r="K6638" s="48" t="n">
        <f aca="false">J6638*Assumptions!$E$60^(1/4)+K6633</f>
        <v>9.07212907594454</v>
      </c>
      <c r="L6638" s="48" t="n">
        <f aca="false">K6638*Assumptions!$E$60^(1/4)+L6633</f>
        <v>11.2289806902372</v>
      </c>
      <c r="M6638" s="48" t="n">
        <f aca="false">L6638*Assumptions!$E$60^(1/4)+M6633</f>
        <v>13.2589164271123</v>
      </c>
      <c r="N6638" s="48" t="n">
        <f aca="false">M6638*Assumptions!$E$60^(1/4)+N6633</f>
        <v>15.1701519792802</v>
      </c>
      <c r="P6638" s="49" t="n">
        <f aca="false">F6638</f>
        <v>1.95752189677268</v>
      </c>
      <c r="Q6638" s="49" t="n">
        <f aca="false">J6638</f>
        <v>6.87504285788544</v>
      </c>
      <c r="R6638" s="49" t="n">
        <f aca="false">N6638</f>
        <v>15.1701519792802</v>
      </c>
      <c r="S6638" s="50" t="n">
        <f aca="false">R6638</f>
        <v>15.1701519792802</v>
      </c>
    </row>
    <row r="6639" customFormat="false" ht="15" hidden="false" customHeight="false" outlineLevel="0" collapsed="false">
      <c r="A6639" s="4" t="s">
        <v>536</v>
      </c>
      <c r="B6639" s="36" t="s">
        <v>527</v>
      </c>
      <c r="C6639" s="48" t="n">
        <f aca="false">0*Assumptions!$E$61^(1/4)+C6634</f>
        <v>0</v>
      </c>
      <c r="D6639" s="48" t="n">
        <f aca="false">C6639*Assumptions!$E$61^(1/4)+D6634</f>
        <v>0</v>
      </c>
      <c r="E6639" s="48" t="n">
        <f aca="false">D6639*Assumptions!$E$61^(1/4)+E6634</f>
        <v>0.071275680959914</v>
      </c>
      <c r="F6639" s="48" t="n">
        <f aca="false">E6639*Assumptions!$E$61^(1/4)+F6634</f>
        <v>0.191977386314485</v>
      </c>
      <c r="G6639" s="48" t="n">
        <f aca="false">F6639*Assumptions!$E$61^(1/4)+G6634</f>
        <v>0.322823096094288</v>
      </c>
      <c r="H6639" s="48" t="n">
        <f aca="false">G6639*Assumptions!$E$61^(1/4)+H6634</f>
        <v>0.463862623930639</v>
      </c>
      <c r="I6639" s="48" t="n">
        <f aca="false">H6639*Assumptions!$E$61^(1/4)+I6634</f>
        <v>0.628553278667598</v>
      </c>
      <c r="J6639" s="48" t="n">
        <f aca="false">I6639*Assumptions!$E$61^(1/4)+J6634</f>
        <v>0.815068571993006</v>
      </c>
      <c r="K6639" s="48" t="n">
        <f aca="false">J6639*Assumptions!$E$61^(1/4)+K6634</f>
        <v>1.06360966758325</v>
      </c>
      <c r="L6639" s="48" t="n">
        <f aca="false">K6639*Assumptions!$E$61^(1/4)+L6634</f>
        <v>1.36891965128493</v>
      </c>
      <c r="M6639" s="48" t="n">
        <f aca="false">L6639*Assumptions!$E$61^(1/4)+M6634</f>
        <v>1.67025649916167</v>
      </c>
      <c r="N6639" s="48" t="n">
        <f aca="false">M6639*Assumptions!$E$61^(1/4)+N6634</f>
        <v>1.95561834801929</v>
      </c>
      <c r="P6639" s="49" t="n">
        <f aca="false">F6639</f>
        <v>0.191977386314485</v>
      </c>
      <c r="Q6639" s="49" t="n">
        <f aca="false">J6639</f>
        <v>0.815068571993006</v>
      </c>
      <c r="R6639" s="49" t="n">
        <f aca="false">N6639</f>
        <v>1.95561834801929</v>
      </c>
      <c r="S6639" s="50" t="n">
        <f aca="false">R6639</f>
        <v>1.95561834801929</v>
      </c>
    </row>
    <row r="6640" customFormat="false" ht="15" hidden="false" customHeight="false" outlineLevel="0" collapsed="false">
      <c r="A6640" s="9" t="s">
        <v>537</v>
      </c>
      <c r="B6640" s="36" t="s">
        <v>527</v>
      </c>
      <c r="C6640" s="49" t="n">
        <f aca="false">C6637+C6638+C6639</f>
        <v>0</v>
      </c>
      <c r="D6640" s="49" t="n">
        <f aca="false">D6637+D6638+D6639</f>
        <v>1.30046141945097</v>
      </c>
      <c r="E6640" s="49" t="n">
        <f aca="false">E6637+E6638+E6639</f>
        <v>3.56229499477378</v>
      </c>
      <c r="F6640" s="49" t="n">
        <f aca="false">F6637+F6638+F6639</f>
        <v>6.0391679141351</v>
      </c>
      <c r="G6640" s="49" t="n">
        <f aca="false">G6637+G6638+G6639</f>
        <v>8.69163209339566</v>
      </c>
      <c r="H6640" s="49" t="n">
        <f aca="false">H6637+H6638+H6639</f>
        <v>12.0296114951856</v>
      </c>
      <c r="I6640" s="49" t="n">
        <f aca="false">I6637+I6638+I6639</f>
        <v>15.9976192611344</v>
      </c>
      <c r="J6640" s="49" t="n">
        <f aca="false">J6637+J6638+J6639</f>
        <v>21.7453850447547</v>
      </c>
      <c r="K6640" s="49" t="n">
        <f aca="false">K6637+K6638+K6639</f>
        <v>29.0920894606113</v>
      </c>
      <c r="L6640" s="49" t="n">
        <f aca="false">L6637+L6638+L6639</f>
        <v>36.3391402184556</v>
      </c>
      <c r="M6640" s="49" t="n">
        <f aca="false">M6637+M6638+M6639</f>
        <v>43.1454715008253</v>
      </c>
      <c r="N6640" s="49" t="n">
        <f aca="false">N6637+N6638+N6639</f>
        <v>49.5280990541991</v>
      </c>
      <c r="P6640" s="49" t="n">
        <f aca="false">F6640</f>
        <v>6.0391679141351</v>
      </c>
      <c r="Q6640" s="49" t="n">
        <f aca="false">J6640</f>
        <v>21.7453850447547</v>
      </c>
      <c r="R6640" s="49" t="n">
        <f aca="false">N6640</f>
        <v>49.5280990541991</v>
      </c>
      <c r="S6640" s="50" t="n">
        <f aca="false">R6640</f>
        <v>49.5280990541991</v>
      </c>
    </row>
    <row r="6641" customFormat="false" ht="15" hidden="false" customHeight="false" outlineLevel="0" collapsed="false">
      <c r="A6641" s="4" t="s">
        <v>538</v>
      </c>
      <c r="B6641" s="36" t="s">
        <v>125</v>
      </c>
      <c r="C6641" s="54" t="n">
        <f aca="false">0*Assumptions!$E$62^(1/4)+C6632*$C$6581</f>
        <v>0</v>
      </c>
      <c r="D6641" s="54" t="n">
        <f aca="false">C6641*Assumptions!$E$62^(1/4)+D6632*$C$6581</f>
        <v>4636.84673462381</v>
      </c>
      <c r="E6641" s="54" t="n">
        <f aca="false">D6641*Assumptions!$E$62^(1/4)+E6632*$C$6581</f>
        <v>12584.7650278744</v>
      </c>
      <c r="F6641" s="54" t="n">
        <f aca="false">E6641*Assumptions!$E$62^(1/4)+F6632*$C$6581</f>
        <v>21354.5918933979</v>
      </c>
      <c r="G6641" s="54" t="n">
        <f aca="false">F6641*Assumptions!$E$62^(1/4)+G6632*$C$6581</f>
        <v>30963.1818577268</v>
      </c>
      <c r="H6641" s="54" t="n">
        <f aca="false">G6641*Assumptions!$E$62^(1/4)+H6632*$C$6581</f>
        <v>43327.3550335454</v>
      </c>
      <c r="I6641" s="54" t="n">
        <f aca="false">H6641*Assumptions!$E$62^(1/4)+I6632*$C$6581</f>
        <v>58265.3793130463</v>
      </c>
      <c r="J6641" s="54" t="n">
        <f aca="false">I6641*Assumptions!$E$62^(1/4)+J6632*$C$6581</f>
        <v>80372.8487175808</v>
      </c>
      <c r="K6641" s="54" t="n">
        <f aca="false">J6641*Assumptions!$E$62^(1/4)+K6632*$C$6581</f>
        <v>108969.433724354</v>
      </c>
      <c r="L6641" s="54" t="n">
        <f aca="false">K6641*Assumptions!$E$62^(1/4)+L6632*$C$6581</f>
        <v>137769.212699133</v>
      </c>
      <c r="M6641" s="54" t="n">
        <f aca="false">L6641*Assumptions!$E$62^(1/4)+M6632*$C$6581</f>
        <v>165716.252164404</v>
      </c>
      <c r="N6641" s="54" t="n">
        <f aca="false">M6641*Assumptions!$E$62^(1/4)+N6632*$C$6581</f>
        <v>192869.728098578</v>
      </c>
      <c r="P6641" s="55" t="n">
        <f aca="false">F6641</f>
        <v>21354.5918933979</v>
      </c>
      <c r="Q6641" s="55" t="n">
        <f aca="false">J6641</f>
        <v>80372.8487175808</v>
      </c>
      <c r="R6641" s="55" t="n">
        <f aca="false">N6641</f>
        <v>192869.728098578</v>
      </c>
      <c r="S6641" s="56" t="n">
        <f aca="false">R6641</f>
        <v>192869.728098578</v>
      </c>
    </row>
    <row r="6642" customFormat="false" ht="15" hidden="false" customHeight="false" outlineLevel="0" collapsed="false">
      <c r="A6642" s="4" t="s">
        <v>539</v>
      </c>
      <c r="B6642" s="36" t="s">
        <v>125</v>
      </c>
      <c r="C6642" s="54" t="n">
        <f aca="false">0*Assumptions!$E$63^(1/4)+C6633*$C$6582</f>
        <v>0</v>
      </c>
      <c r="D6642" s="54" t="n">
        <f aca="false">C6642*Assumptions!$E$63^(1/4)+D6633*$C$6582</f>
        <v>4239.58645576376</v>
      </c>
      <c r="E6642" s="54" t="n">
        <f aca="false">D6642*Assumptions!$E$63^(1/4)+E6633*$C$6582</f>
        <v>11568.780571464</v>
      </c>
      <c r="F6642" s="54" t="n">
        <f aca="false">E6642*Assumptions!$E$63^(1/4)+F6633*$C$6582</f>
        <v>19757.0139869302</v>
      </c>
      <c r="G6642" s="54" t="n">
        <f aca="false">F6642*Assumptions!$E$63^(1/4)+G6633*$C$6582</f>
        <v>28832.3026333607</v>
      </c>
      <c r="H6642" s="54" t="n">
        <f aca="false">G6642*Assumptions!$E$63^(1/4)+H6633*$C$6582</f>
        <v>40337.2428258018</v>
      </c>
      <c r="I6642" s="54" t="n">
        <f aca="false">H6642*Assumptions!$E$63^(1/4)+I6633*$C$6582</f>
        <v>54161.8650429175</v>
      </c>
      <c r="J6642" s="54" t="n">
        <f aca="false">I6642*Assumptions!$E$63^(1/4)+J6633*$C$6582</f>
        <v>73376.768355554</v>
      </c>
      <c r="K6642" s="54" t="n">
        <f aca="false">J6642*Assumptions!$E$63^(1/4)+K6633*$C$6582</f>
        <v>97657.3745036042</v>
      </c>
      <c r="L6642" s="54" t="n">
        <f aca="false">K6642*Assumptions!$E$63^(1/4)+L6633*$C$6582</f>
        <v>122459.146505613</v>
      </c>
      <c r="M6642" s="54" t="n">
        <f aca="false">L6642*Assumptions!$E$63^(1/4)+M6633*$C$6582</f>
        <v>146932.924638212</v>
      </c>
      <c r="N6642" s="54" t="n">
        <f aca="false">M6642*Assumptions!$E$63^(1/4)+N6633*$C$6582</f>
        <v>171121.912636854</v>
      </c>
      <c r="P6642" s="55" t="n">
        <f aca="false">F6642</f>
        <v>19757.0139869302</v>
      </c>
      <c r="Q6642" s="55" t="n">
        <f aca="false">J6642</f>
        <v>73376.768355554</v>
      </c>
      <c r="R6642" s="55" t="n">
        <f aca="false">N6642</f>
        <v>171121.912636854</v>
      </c>
      <c r="S6642" s="56" t="n">
        <f aca="false">R6642</f>
        <v>171121.912636854</v>
      </c>
    </row>
    <row r="6643" customFormat="false" ht="15" hidden="false" customHeight="false" outlineLevel="0" collapsed="false">
      <c r="A6643" s="4" t="s">
        <v>540</v>
      </c>
      <c r="B6643" s="36" t="s">
        <v>125</v>
      </c>
      <c r="C6643" s="54" t="n">
        <f aca="false">0*Assumptions!$E$64^(1/4)+C6634*$C$6583</f>
        <v>0</v>
      </c>
      <c r="D6643" s="54" t="n">
        <f aca="false">C6643*Assumptions!$E$64^(1/4)+D6634*$C$6583</f>
        <v>0</v>
      </c>
      <c r="E6643" s="54" t="n">
        <f aca="false">D6643*Assumptions!$E$64^(1/4)+E6634*$C$6583</f>
        <v>4403.28728055653</v>
      </c>
      <c r="F6643" s="54" t="n">
        <f aca="false">E6643*Assumptions!$E$64^(1/4)+F6634*$C$6583</f>
        <v>12107.4388108841</v>
      </c>
      <c r="G6643" s="54" t="n">
        <f aca="false">F6643*Assumptions!$E$64^(1/4)+G6634*$C$6583</f>
        <v>20866.0439239064</v>
      </c>
      <c r="H6643" s="54" t="n">
        <f aca="false">G6643*Assumptions!$E$64^(1/4)+H6634*$C$6583</f>
        <v>30732.6025192522</v>
      </c>
      <c r="I6643" s="54" t="n">
        <f aca="false">H6643*Assumptions!$E$64^(1/4)+I6634*$C$6583</f>
        <v>42590.8720102144</v>
      </c>
      <c r="J6643" s="54" t="n">
        <f aca="false">I6643*Assumptions!$E$64^(1/4)+J6634*$C$6583</f>
        <v>56428.9790305215</v>
      </c>
      <c r="K6643" s="54" t="n">
        <f aca="false">J6643*Assumptions!$E$64^(1/4)+K6634*$C$6583</f>
        <v>74828.6952807254</v>
      </c>
      <c r="L6643" s="54" t="n">
        <f aca="false">K6643*Assumptions!$E$64^(1/4)+L6634*$C$6583</f>
        <v>97706.5094169996</v>
      </c>
      <c r="M6643" s="54" t="n">
        <f aca="false">L6643*Assumptions!$E$64^(1/4)+M6634*$C$6583</f>
        <v>121541.467521117</v>
      </c>
      <c r="N6643" s="54" t="n">
        <f aca="false">M6643*Assumptions!$E$64^(1/4)+N6634*$C$6583</f>
        <v>145621.085996823</v>
      </c>
      <c r="P6643" s="55" t="n">
        <f aca="false">F6643</f>
        <v>12107.4388108841</v>
      </c>
      <c r="Q6643" s="55" t="n">
        <f aca="false">J6643</f>
        <v>56428.9790305215</v>
      </c>
      <c r="R6643" s="55" t="n">
        <f aca="false">N6643</f>
        <v>145621.085996823</v>
      </c>
      <c r="S6643" s="56" t="n">
        <f aca="false">R6643</f>
        <v>145621.085996823</v>
      </c>
    </row>
    <row r="6644" customFormat="false" ht="15" hidden="false" customHeight="false" outlineLevel="0" collapsed="false">
      <c r="A6644" s="9" t="s">
        <v>541</v>
      </c>
      <c r="B6644" s="36" t="s">
        <v>125</v>
      </c>
      <c r="C6644" s="55" t="n">
        <f aca="false">C6641+C6642+C6643</f>
        <v>0</v>
      </c>
      <c r="D6644" s="55" t="n">
        <f aca="false">D6641+D6642+D6643</f>
        <v>8876.43319038757</v>
      </c>
      <c r="E6644" s="55" t="n">
        <f aca="false">E6641+E6642+E6643</f>
        <v>28556.8328798949</v>
      </c>
      <c r="F6644" s="55" t="n">
        <f aca="false">F6641+F6642+F6643</f>
        <v>53219.0446912122</v>
      </c>
      <c r="G6644" s="55" t="n">
        <f aca="false">G6641+G6642+G6643</f>
        <v>80661.5284149939</v>
      </c>
      <c r="H6644" s="55" t="n">
        <f aca="false">H6641+H6642+H6643</f>
        <v>114397.200378599</v>
      </c>
      <c r="I6644" s="55" t="n">
        <f aca="false">I6641+I6642+I6643</f>
        <v>155018.116366178</v>
      </c>
      <c r="J6644" s="55" t="n">
        <f aca="false">J6641+J6642+J6643</f>
        <v>210178.596103656</v>
      </c>
      <c r="K6644" s="55" t="n">
        <f aca="false">K6641+K6642+K6643</f>
        <v>281455.503508684</v>
      </c>
      <c r="L6644" s="55" t="n">
        <f aca="false">L6641+L6642+L6643</f>
        <v>357934.868621746</v>
      </c>
      <c r="M6644" s="55" t="n">
        <f aca="false">M6641+M6642+M6643</f>
        <v>434190.644323734</v>
      </c>
      <c r="N6644" s="55" t="n">
        <f aca="false">N6641+N6642+N6643</f>
        <v>509612.726732255</v>
      </c>
      <c r="P6644" s="55" t="n">
        <f aca="false">F6644</f>
        <v>53219.0446912122</v>
      </c>
      <c r="Q6644" s="55" t="n">
        <f aca="false">J6644</f>
        <v>210178.596103656</v>
      </c>
      <c r="R6644" s="55" t="n">
        <f aca="false">N6644</f>
        <v>509612.726732255</v>
      </c>
      <c r="S6644" s="56" t="n">
        <f aca="false">R6644</f>
        <v>509612.726732255</v>
      </c>
    </row>
    <row r="6645" customFormat="false" ht="15" hidden="false" customHeight="false" outlineLevel="0" collapsed="false">
      <c r="A6645" s="4" t="s">
        <v>542</v>
      </c>
      <c r="B6645" s="36" t="s">
        <v>125</v>
      </c>
      <c r="C6645" s="54" t="n">
        <f aca="false">C6632*$C$6581+C6633*$C$6582+C6634*$C$6583</f>
        <v>0</v>
      </c>
      <c r="D6645" s="54" t="n">
        <f aca="false">D6632*$C$6581+D6633*$C$6582+D6634*$C$6583</f>
        <v>8876.43319038757</v>
      </c>
      <c r="E6645" s="54" t="n">
        <f aca="false">E6632*$C$6581+E6633*$C$6582+E6634*$C$6583</f>
        <v>19618.1886500368</v>
      </c>
      <c r="F6645" s="54" t="n">
        <f aca="false">F6632*$C$6581+F6633*$C$6582+F6634*$C$6583</f>
        <v>24335.8808795765</v>
      </c>
      <c r="G6645" s="54" t="n">
        <f aca="false">G6632*$C$6581+G6633*$C$6582+G6634*$C$6583</f>
        <v>26722.0551062465</v>
      </c>
      <c r="H6645" s="54" t="n">
        <f aca="false">H6632*$C$6581+H6633*$C$6582+H6634*$C$6583</f>
        <v>32570.6348072815</v>
      </c>
      <c r="I6645" s="54" t="n">
        <f aca="false">I6632*$C$6581+I6633*$C$6582+I6634*$C$6583</f>
        <v>38936.2212649288</v>
      </c>
      <c r="J6645" s="54" t="n">
        <f aca="false">J6632*$C$6581+J6633*$C$6582+J6634*$C$6583</f>
        <v>52851.2673832351</v>
      </c>
      <c r="K6645" s="54" t="n">
        <f aca="false">K6632*$C$6581+K6633*$C$6582+K6634*$C$6583</f>
        <v>68193.6820495777</v>
      </c>
      <c r="L6645" s="54" t="n">
        <f aca="false">L6632*$C$6581+L6633*$C$6582+L6634*$C$6583</f>
        <v>72385.5913630249</v>
      </c>
      <c r="M6645" s="54" t="n">
        <f aca="false">M6632*$C$6581+M6633*$C$6582+M6634*$C$6583</f>
        <v>70984.5735032962</v>
      </c>
      <c r="N6645" s="54" t="n">
        <f aca="false">N6632*$C$6581+N6633*$C$6582+N6634*$C$6583</f>
        <v>68944.2304944803</v>
      </c>
      <c r="P6645" s="55" t="n">
        <f aca="false">SUM(C6645:F6645)</f>
        <v>52830.5027200009</v>
      </c>
      <c r="Q6645" s="55" t="n">
        <f aca="false">SUM(G6645:J6645)</f>
        <v>151080.178561692</v>
      </c>
      <c r="R6645" s="55" t="n">
        <f aca="false">SUM(K6645:N6645)</f>
        <v>280508.077410379</v>
      </c>
      <c r="S6645" s="56" t="n">
        <f aca="false">SUM(P6645:R6645)</f>
        <v>484418.758692072</v>
      </c>
    </row>
    <row r="6646" customFormat="false" ht="15" hidden="false" customHeight="false" outlineLevel="0" collapsed="false">
      <c r="A6646" s="9" t="s">
        <v>543</v>
      </c>
      <c r="B6646" s="36" t="s">
        <v>125</v>
      </c>
      <c r="C6646" s="55" t="n">
        <f aca="false">(0+C6644)/8</f>
        <v>0</v>
      </c>
      <c r="D6646" s="55" t="n">
        <f aca="false">(C6644+D6644)/8</f>
        <v>1109.55414879845</v>
      </c>
      <c r="E6646" s="55" t="n">
        <f aca="false">(D6644+E6644)/8</f>
        <v>4679.15825878531</v>
      </c>
      <c r="F6646" s="55" t="n">
        <f aca="false">(E6644+F6644)/8</f>
        <v>10221.9846963884</v>
      </c>
      <c r="G6646" s="55" t="n">
        <f aca="false">(F6644+G6644)/8</f>
        <v>16735.0716382758</v>
      </c>
      <c r="H6646" s="55" t="n">
        <f aca="false">(G6644+H6644)/8</f>
        <v>24382.3410991992</v>
      </c>
      <c r="I6646" s="55" t="n">
        <f aca="false">(H6644+I6644)/8</f>
        <v>33676.9145930972</v>
      </c>
      <c r="J6646" s="55" t="n">
        <f aca="false">(I6644+J6644)/8</f>
        <v>45649.5890587293</v>
      </c>
      <c r="K6646" s="55" t="n">
        <f aca="false">(J6644+K6644)/8</f>
        <v>61454.2624515425</v>
      </c>
      <c r="L6646" s="55" t="n">
        <f aca="false">(K6644+L6644)/8</f>
        <v>79923.7965163037</v>
      </c>
      <c r="M6646" s="55" t="n">
        <f aca="false">(L6644+M6644)/8</f>
        <v>99015.6891181849</v>
      </c>
      <c r="N6646" s="55" t="n">
        <f aca="false">(M6644+N6644)/8</f>
        <v>117975.421381999</v>
      </c>
      <c r="P6646" s="55" t="n">
        <f aca="false">SUM(C6646:F6646)</f>
        <v>16010.6971039722</v>
      </c>
      <c r="Q6646" s="55" t="n">
        <f aca="false">SUM(G6646:J6646)</f>
        <v>120443.916389301</v>
      </c>
      <c r="R6646" s="55" t="n">
        <f aca="false">SUM(K6646:N6646)</f>
        <v>358369.16946803</v>
      </c>
      <c r="S6646" s="56" t="n">
        <f aca="false">SUM(P6646:R6646)</f>
        <v>494823.782961303</v>
      </c>
    </row>
    <row r="6647" customFormat="false" ht="15" hidden="false" customHeight="false" outlineLevel="0" collapsed="false">
      <c r="A6647" s="4" t="s">
        <v>544</v>
      </c>
      <c r="B6647" s="36" t="s">
        <v>125</v>
      </c>
      <c r="C6647" s="54" t="n">
        <f aca="false">C6646*Assumptions!$F$76</f>
        <v>0</v>
      </c>
      <c r="D6647" s="54" t="n">
        <f aca="false">D6646*Assumptions!$F$76</f>
        <v>798.878987134881</v>
      </c>
      <c r="E6647" s="54" t="n">
        <f aca="false">E6646*Assumptions!$F$76</f>
        <v>3368.99394632542</v>
      </c>
      <c r="F6647" s="54" t="n">
        <f aca="false">F6646*Assumptions!$F$76</f>
        <v>7359.82898139964</v>
      </c>
      <c r="G6647" s="54" t="n">
        <f aca="false">G6646*Assumptions!$F$76</f>
        <v>12049.2515795586</v>
      </c>
      <c r="H6647" s="54" t="n">
        <f aca="false">H6646*Assumptions!$F$76</f>
        <v>17555.2855914234</v>
      </c>
      <c r="I6647" s="54" t="n">
        <f aca="false">I6646*Assumptions!$F$76</f>
        <v>24247.37850703</v>
      </c>
      <c r="J6647" s="54" t="n">
        <f aca="false">J6646*Assumptions!$F$76</f>
        <v>32867.7041222851</v>
      </c>
      <c r="K6647" s="54" t="n">
        <f aca="false">K6646*Assumptions!$F$76</f>
        <v>44247.0689651106</v>
      </c>
      <c r="L6647" s="54" t="n">
        <f aca="false">L6646*Assumptions!$F$76</f>
        <v>57545.1334917387</v>
      </c>
      <c r="M6647" s="54" t="n">
        <f aca="false">M6646*Assumptions!$F$76</f>
        <v>71291.2961650932</v>
      </c>
      <c r="N6647" s="54" t="n">
        <f aca="false">N6646*Assumptions!$F$76</f>
        <v>84942.303395039</v>
      </c>
      <c r="P6647" s="55" t="n">
        <f aca="false">SUM(C6647:F6647)</f>
        <v>11527.70191486</v>
      </c>
      <c r="Q6647" s="55" t="n">
        <f aca="false">SUM(G6647:J6647)</f>
        <v>86719.6198002971</v>
      </c>
      <c r="R6647" s="55" t="n">
        <f aca="false">SUM(K6647:N6647)</f>
        <v>258025.802016981</v>
      </c>
      <c r="S6647" s="56" t="n">
        <f aca="false">SUM(P6647:R6647)</f>
        <v>356273.123732138</v>
      </c>
    </row>
    <row r="6648" customFormat="false" ht="15" hidden="false" customHeight="false" outlineLevel="0" collapsed="false">
      <c r="A6648" s="35" t="s">
        <v>547</v>
      </c>
      <c r="B6648" s="35" t="s">
        <v>444</v>
      </c>
      <c r="C6648" s="6" t="s">
        <v>354</v>
      </c>
      <c r="D6648" s="6" t="s">
        <v>355</v>
      </c>
      <c r="E6648" s="6" t="s">
        <v>356</v>
      </c>
      <c r="F6648" s="6" t="s">
        <v>357</v>
      </c>
      <c r="G6648" s="6" t="s">
        <v>358</v>
      </c>
      <c r="H6648" s="6" t="s">
        <v>359</v>
      </c>
      <c r="I6648" s="6" t="s">
        <v>360</v>
      </c>
      <c r="J6648" s="6" t="s">
        <v>361</v>
      </c>
      <c r="K6648" s="6" t="s">
        <v>362</v>
      </c>
      <c r="L6648" s="6" t="s">
        <v>363</v>
      </c>
      <c r="M6648" s="6" t="s">
        <v>364</v>
      </c>
      <c r="N6648" s="6" t="s">
        <v>365</v>
      </c>
      <c r="P6648" s="6" t="s">
        <v>445</v>
      </c>
      <c r="Q6648" s="6" t="s">
        <v>446</v>
      </c>
      <c r="R6648" s="6" t="s">
        <v>447</v>
      </c>
      <c r="S6648" s="6" t="s">
        <v>448</v>
      </c>
    </row>
    <row r="6649" customFormat="false" ht="15" hidden="false" customHeight="false" outlineLevel="0" collapsed="false">
      <c r="A6649" s="4" t="s">
        <v>548</v>
      </c>
      <c r="B6649" s="36" t="s">
        <v>321</v>
      </c>
      <c r="C6649" s="48" t="n">
        <f aca="false">Assumptions!$D$97*C6591</f>
        <v>1</v>
      </c>
      <c r="D6649" s="48" t="n">
        <f aca="false">Assumptions!$D$97*D6591</f>
        <v>1</v>
      </c>
      <c r="E6649" s="48" t="n">
        <f aca="false">Assumptions!$D$97*E6591</f>
        <v>1</v>
      </c>
      <c r="F6649" s="48" t="n">
        <f aca="false">Assumptions!$D$97*F6591</f>
        <v>1</v>
      </c>
      <c r="G6649" s="48" t="n">
        <f aca="false">Assumptions!$D$97*G6591</f>
        <v>1</v>
      </c>
      <c r="H6649" s="48" t="n">
        <f aca="false">Assumptions!$D$97*H6591</f>
        <v>1</v>
      </c>
      <c r="I6649" s="48" t="n">
        <f aca="false">Assumptions!$D$97*I6591</f>
        <v>1</v>
      </c>
      <c r="J6649" s="48" t="n">
        <f aca="false">Assumptions!$D$97*J6591</f>
        <v>1</v>
      </c>
      <c r="K6649" s="48" t="n">
        <f aca="false">Assumptions!$D$97*K6591</f>
        <v>1</v>
      </c>
      <c r="L6649" s="48" t="n">
        <f aca="false">Assumptions!$D$97*L6591</f>
        <v>1</v>
      </c>
      <c r="M6649" s="48" t="n">
        <f aca="false">Assumptions!$D$97*M6591</f>
        <v>1</v>
      </c>
      <c r="N6649" s="48" t="n">
        <f aca="false">Assumptions!$D$97*N6591</f>
        <v>1</v>
      </c>
      <c r="P6649" s="49" t="n">
        <f aca="false">AVERAGE(C6649:F6649)</f>
        <v>1</v>
      </c>
      <c r="Q6649" s="49" t="n">
        <f aca="false">AVERAGE(G6649:J6649)</f>
        <v>1</v>
      </c>
      <c r="R6649" s="49" t="n">
        <f aca="false">AVERAGE(K6649:N6649)</f>
        <v>1</v>
      </c>
      <c r="S6649" s="50"/>
    </row>
    <row r="6650" customFormat="false" ht="15" hidden="false" customHeight="false" outlineLevel="0" collapsed="false">
      <c r="A6650" s="4" t="s">
        <v>549</v>
      </c>
      <c r="B6650" s="36" t="s">
        <v>321</v>
      </c>
      <c r="C6650" s="48" t="n">
        <f aca="false">C6604*C6591</f>
        <v>0</v>
      </c>
      <c r="D6650" s="48" t="n">
        <f aca="false">D6604*D6591</f>
        <v>0</v>
      </c>
      <c r="E6650" s="48" t="n">
        <f aca="false">E6604*E6591</f>
        <v>0</v>
      </c>
      <c r="F6650" s="48" t="n">
        <f aca="false">F6604*F6591</f>
        <v>0</v>
      </c>
      <c r="G6650" s="48" t="n">
        <f aca="false">G6604*G6591</f>
        <v>0</v>
      </c>
      <c r="H6650" s="48" t="n">
        <f aca="false">H6604*H6591</f>
        <v>0</v>
      </c>
      <c r="I6650" s="48" t="n">
        <f aca="false">I6604*I6591</f>
        <v>0</v>
      </c>
      <c r="J6650" s="48" t="n">
        <f aca="false">J6604*J6591</f>
        <v>0</v>
      </c>
      <c r="K6650" s="48" t="n">
        <f aca="false">K6604*K6591</f>
        <v>0</v>
      </c>
      <c r="L6650" s="48" t="n">
        <f aca="false">L6604*L6591</f>
        <v>0</v>
      </c>
      <c r="M6650" s="48" t="n">
        <f aca="false">M6604*M6591</f>
        <v>0</v>
      </c>
      <c r="N6650" s="48" t="n">
        <f aca="false">N6604*N6591</f>
        <v>0</v>
      </c>
      <c r="P6650" s="49" t="n">
        <f aca="false">AVERAGE(C6650:F6650)</f>
        <v>0</v>
      </c>
      <c r="Q6650" s="49" t="n">
        <f aca="false">AVERAGE(G6650:J6650)</f>
        <v>0</v>
      </c>
      <c r="R6650" s="49" t="n">
        <f aca="false">AVERAGE(K6650:N6650)</f>
        <v>0</v>
      </c>
      <c r="S6650" s="50"/>
    </row>
    <row r="6651" customFormat="false" ht="15" hidden="false" customHeight="false" outlineLevel="0" collapsed="false">
      <c r="A6651" s="4" t="s">
        <v>550</v>
      </c>
      <c r="B6651" s="36" t="s">
        <v>321</v>
      </c>
      <c r="C6651" s="48" t="n">
        <f aca="false">IF(C6590&lt;=4,Assumptions!$D$98,Assumptions!$D$99)*C6591</f>
        <v>0</v>
      </c>
      <c r="D6651" s="48" t="n">
        <f aca="false">IF(D6590&lt;=4,Assumptions!$D$98,Assumptions!$D$99)*D6591</f>
        <v>0</v>
      </c>
      <c r="E6651" s="48" t="n">
        <f aca="false">IF(E6590&lt;=4,Assumptions!$D$98,Assumptions!$D$99)*E6591</f>
        <v>0</v>
      </c>
      <c r="F6651" s="48" t="n">
        <f aca="false">IF(F6590&lt;=4,Assumptions!$D$98,Assumptions!$D$99)*F6591</f>
        <v>0</v>
      </c>
      <c r="G6651" s="48" t="n">
        <f aca="false">IF(G6590&lt;=4,Assumptions!$D$98,Assumptions!$D$99)*G6591</f>
        <v>0.5</v>
      </c>
      <c r="H6651" s="48" t="n">
        <f aca="false">IF(H6590&lt;=4,Assumptions!$D$98,Assumptions!$D$99)*H6591</f>
        <v>0.5</v>
      </c>
      <c r="I6651" s="48" t="n">
        <f aca="false">IF(I6590&lt;=4,Assumptions!$D$98,Assumptions!$D$99)*I6591</f>
        <v>0.5</v>
      </c>
      <c r="J6651" s="48" t="n">
        <f aca="false">IF(J6590&lt;=4,Assumptions!$D$98,Assumptions!$D$99)*J6591</f>
        <v>0.5</v>
      </c>
      <c r="K6651" s="48" t="n">
        <f aca="false">IF(K6590&lt;=4,Assumptions!$D$98,Assumptions!$D$99)*K6591</f>
        <v>0.5</v>
      </c>
      <c r="L6651" s="48" t="n">
        <f aca="false">IF(L6590&lt;=4,Assumptions!$D$98,Assumptions!$D$99)*L6591</f>
        <v>0.5</v>
      </c>
      <c r="M6651" s="48" t="n">
        <f aca="false">IF(M6590&lt;=4,Assumptions!$D$98,Assumptions!$D$99)*M6591</f>
        <v>0.5</v>
      </c>
      <c r="N6651" s="48" t="n">
        <f aca="false">IF(N6590&lt;=4,Assumptions!$D$98,Assumptions!$D$99)*N6591</f>
        <v>0.5</v>
      </c>
      <c r="P6651" s="49" t="n">
        <f aca="false">AVERAGE(C6651:F6651)</f>
        <v>0</v>
      </c>
      <c r="Q6651" s="49" t="n">
        <f aca="false">AVERAGE(G6651:J6651)</f>
        <v>0.5</v>
      </c>
      <c r="R6651" s="49" t="n">
        <f aca="false">AVERAGE(K6651:N6651)</f>
        <v>0.5</v>
      </c>
      <c r="S6651" s="50"/>
    </row>
    <row r="6652" customFormat="false" ht="15" hidden="false" customHeight="false" outlineLevel="0" collapsed="false">
      <c r="A6652" s="4" t="s">
        <v>551</v>
      </c>
      <c r="B6652" s="36" t="s">
        <v>321</v>
      </c>
      <c r="C6652" s="48" t="n">
        <f aca="false">IF(C6590&lt;=4,Assumptions!$D$100,Assumptions!$D$101)*C6591</f>
        <v>1</v>
      </c>
      <c r="D6652" s="48" t="n">
        <f aca="false">IF(D6590&lt;=4,Assumptions!$D$100,Assumptions!$D$101)*D6591</f>
        <v>1</v>
      </c>
      <c r="E6652" s="48" t="n">
        <f aca="false">IF(E6590&lt;=4,Assumptions!$D$100,Assumptions!$D$101)*E6591</f>
        <v>1</v>
      </c>
      <c r="F6652" s="48" t="n">
        <f aca="false">IF(F6590&lt;=4,Assumptions!$D$100,Assumptions!$D$101)*F6591</f>
        <v>1</v>
      </c>
      <c r="G6652" s="48" t="n">
        <f aca="false">IF(G6590&lt;=4,Assumptions!$D$100,Assumptions!$D$101)*G6591</f>
        <v>0.5</v>
      </c>
      <c r="H6652" s="48" t="n">
        <f aca="false">IF(H6590&lt;=4,Assumptions!$D$100,Assumptions!$D$101)*H6591</f>
        <v>0.5</v>
      </c>
      <c r="I6652" s="48" t="n">
        <f aca="false">IF(I6590&lt;=4,Assumptions!$D$100,Assumptions!$D$101)*I6591</f>
        <v>0.5</v>
      </c>
      <c r="J6652" s="48" t="n">
        <f aca="false">IF(J6590&lt;=4,Assumptions!$D$100,Assumptions!$D$101)*J6591</f>
        <v>0.5</v>
      </c>
      <c r="K6652" s="48" t="n">
        <f aca="false">IF(K6590&lt;=4,Assumptions!$D$100,Assumptions!$D$101)*K6591</f>
        <v>0.5</v>
      </c>
      <c r="L6652" s="48" t="n">
        <f aca="false">IF(L6590&lt;=4,Assumptions!$D$100,Assumptions!$D$101)*L6591</f>
        <v>0.5</v>
      </c>
      <c r="M6652" s="48" t="n">
        <f aca="false">IF(M6590&lt;=4,Assumptions!$D$100,Assumptions!$D$101)*M6591</f>
        <v>0.5</v>
      </c>
      <c r="N6652" s="48" t="n">
        <f aca="false">IF(N6590&lt;=4,Assumptions!$D$100,Assumptions!$D$101)*N6591</f>
        <v>0.5</v>
      </c>
      <c r="P6652" s="49" t="n">
        <f aca="false">AVERAGE(C6652:F6652)</f>
        <v>1</v>
      </c>
      <c r="Q6652" s="49" t="n">
        <f aca="false">AVERAGE(G6652:J6652)</f>
        <v>0.5</v>
      </c>
      <c r="R6652" s="49" t="n">
        <f aca="false">AVERAGE(K6652:N6652)</f>
        <v>0.5</v>
      </c>
      <c r="S6652" s="50"/>
    </row>
    <row r="6653" customFormat="false" ht="15" hidden="false" customHeight="false" outlineLevel="0" collapsed="false">
      <c r="A6653" s="4" t="s">
        <v>552</v>
      </c>
      <c r="B6653" s="36" t="s">
        <v>321</v>
      </c>
      <c r="C6653" s="48" t="n">
        <f aca="false">Assumptions!$D$102*C6591</f>
        <v>0.25</v>
      </c>
      <c r="D6653" s="48" t="n">
        <f aca="false">Assumptions!$D$102*D6591</f>
        <v>0.25</v>
      </c>
      <c r="E6653" s="48" t="n">
        <f aca="false">Assumptions!$D$102*E6591</f>
        <v>0.25</v>
      </c>
      <c r="F6653" s="48" t="n">
        <f aca="false">Assumptions!$D$102*F6591</f>
        <v>0.25</v>
      </c>
      <c r="G6653" s="48" t="n">
        <f aca="false">Assumptions!$D$102*G6591</f>
        <v>0.25</v>
      </c>
      <c r="H6653" s="48" t="n">
        <f aca="false">Assumptions!$D$102*H6591</f>
        <v>0.25</v>
      </c>
      <c r="I6653" s="48" t="n">
        <f aca="false">Assumptions!$D$102*I6591</f>
        <v>0.25</v>
      </c>
      <c r="J6653" s="48" t="n">
        <f aca="false">Assumptions!$D$102*J6591</f>
        <v>0.25</v>
      </c>
      <c r="K6653" s="48" t="n">
        <f aca="false">Assumptions!$D$102*K6591</f>
        <v>0.25</v>
      </c>
      <c r="L6653" s="48" t="n">
        <f aca="false">Assumptions!$D$102*L6591</f>
        <v>0.25</v>
      </c>
      <c r="M6653" s="48" t="n">
        <f aca="false">Assumptions!$D$102*M6591</f>
        <v>0.25</v>
      </c>
      <c r="N6653" s="48" t="n">
        <f aca="false">Assumptions!$D$102*N6591</f>
        <v>0.25</v>
      </c>
      <c r="P6653" s="49" t="n">
        <f aca="false">AVERAGE(C6653:F6653)</f>
        <v>0.25</v>
      </c>
      <c r="Q6653" s="49" t="n">
        <f aca="false">AVERAGE(G6653:J6653)</f>
        <v>0.25</v>
      </c>
      <c r="R6653" s="49" t="n">
        <f aca="false">AVERAGE(K6653:N6653)</f>
        <v>0.25</v>
      </c>
      <c r="S6653" s="50"/>
    </row>
    <row r="6654" customFormat="false" ht="15" hidden="false" customHeight="false" outlineLevel="0" collapsed="false">
      <c r="A6654" s="4" t="s">
        <v>553</v>
      </c>
      <c r="B6654" s="36" t="s">
        <v>321</v>
      </c>
      <c r="C6654" s="48" t="n">
        <f aca="false">(C6638+C6639)/Assumptions!$E$74+C6637/Assumptions!$E$75</f>
        <v>0</v>
      </c>
      <c r="D6654" s="48" t="n">
        <f aca="false">(D6638+D6639)/Assumptions!$E$74+D6637/Assumptions!$E$75</f>
        <v>0.0143176301374139</v>
      </c>
      <c r="E6654" s="48" t="n">
        <f aca="false">(E6638+E6639)/Assumptions!$E$74+E6637/Assumptions!$E$75</f>
        <v>0.0402499456767798</v>
      </c>
      <c r="F6654" s="48" t="n">
        <f aca="false">(F6638+F6639)/Assumptions!$E$74+F6637/Assumptions!$E$75</f>
        <v>0.069296156601371</v>
      </c>
      <c r="G6654" s="48" t="n">
        <f aca="false">(G6638+G6639)/Assumptions!$E$74+G6637/Assumptions!$E$75</f>
        <v>0.100475077199051</v>
      </c>
      <c r="H6654" s="48" t="n">
        <f aca="false">(H6638+H6639)/Assumptions!$E$74+H6637/Assumptions!$E$75</f>
        <v>0.139084643227244</v>
      </c>
      <c r="I6654" s="48" t="n">
        <f aca="false">(I6638+I6639)/Assumptions!$E$74+I6637/Assumptions!$E$75</f>
        <v>0.184756080005146</v>
      </c>
      <c r="J6654" s="48" t="n">
        <f aca="false">(J6638+J6639)/Assumptions!$E$74+J6637/Assumptions!$E$75</f>
        <v>0.248473880206466</v>
      </c>
      <c r="K6654" s="48" t="n">
        <f aca="false">(K6638+K6639)/Assumptions!$E$74+K6637/Assumptions!$E$75</f>
        <v>0.329218871456529</v>
      </c>
      <c r="L6654" s="48" t="n">
        <f aca="false">(L6638+L6639)/Assumptions!$E$74+L6637/Assumptions!$E$75</f>
        <v>0.409912468045788</v>
      </c>
      <c r="M6654" s="48" t="n">
        <f aca="false">(M6638+M6639)/Assumptions!$E$74+M6637/Assumptions!$E$75</f>
        <v>0.486094517455055</v>
      </c>
      <c r="N6654" s="48" t="n">
        <f aca="false">(N6638+N6639)/Assumptions!$E$74+N6637/Assumptions!$E$75</f>
        <v>0.557753573090085</v>
      </c>
      <c r="P6654" s="49" t="n">
        <f aca="false">AVERAGE(C6654:F6654)</f>
        <v>0.0309659331038912</v>
      </c>
      <c r="Q6654" s="49" t="n">
        <f aca="false">AVERAGE(G6654:J6654)</f>
        <v>0.168197420159477</v>
      </c>
      <c r="R6654" s="49" t="n">
        <f aca="false">AVERAGE(K6654:N6654)</f>
        <v>0.445744857511864</v>
      </c>
      <c r="S6654" s="50"/>
    </row>
    <row r="6655" customFormat="false" ht="15" hidden="false" customHeight="false" outlineLevel="0" collapsed="false">
      <c r="A6655" s="4" t="s">
        <v>554</v>
      </c>
      <c r="B6655" s="36" t="s">
        <v>125</v>
      </c>
      <c r="C6655" s="54" t="n">
        <f aca="false">(C6649+C6651)*Assumptions!$E$70/Assumptions!$E$69/4</f>
        <v>66753.5714285714</v>
      </c>
      <c r="D6655" s="54" t="n">
        <f aca="false">(D6649+D6651)*Assumptions!$E$70/Assumptions!$E$69/4</f>
        <v>66753.5714285714</v>
      </c>
      <c r="E6655" s="54" t="n">
        <f aca="false">(E6649+E6651)*Assumptions!$E$70/Assumptions!$E$69/4</f>
        <v>66753.5714285714</v>
      </c>
      <c r="F6655" s="54" t="n">
        <f aca="false">(F6649+F6651)*Assumptions!$E$70/Assumptions!$E$69/4</f>
        <v>66753.5714285714</v>
      </c>
      <c r="G6655" s="54" t="n">
        <f aca="false">(G6649+G6651)*Assumptions!$E$70/Assumptions!$E$69/4</f>
        <v>100130.357142857</v>
      </c>
      <c r="H6655" s="54" t="n">
        <f aca="false">(H6649+H6651)*Assumptions!$E$70/Assumptions!$E$69/4</f>
        <v>100130.357142857</v>
      </c>
      <c r="I6655" s="54" t="n">
        <f aca="false">(I6649+I6651)*Assumptions!$E$70/Assumptions!$E$69/4</f>
        <v>100130.357142857</v>
      </c>
      <c r="J6655" s="54" t="n">
        <f aca="false">(J6649+J6651)*Assumptions!$E$70/Assumptions!$E$69/4</f>
        <v>100130.357142857</v>
      </c>
      <c r="K6655" s="54" t="n">
        <f aca="false">(K6649+K6651)*Assumptions!$E$70/Assumptions!$E$69/4</f>
        <v>100130.357142857</v>
      </c>
      <c r="L6655" s="54" t="n">
        <f aca="false">(L6649+L6651)*Assumptions!$E$70/Assumptions!$E$69/4</f>
        <v>100130.357142857</v>
      </c>
      <c r="M6655" s="54" t="n">
        <f aca="false">(M6649+M6651)*Assumptions!$E$70/Assumptions!$E$69/4</f>
        <v>100130.357142857</v>
      </c>
      <c r="N6655" s="54" t="n">
        <f aca="false">(N6649+N6651)*Assumptions!$E$70/Assumptions!$E$69/4</f>
        <v>100130.357142857</v>
      </c>
      <c r="P6655" s="55" t="n">
        <f aca="false">SUM(C6655:F6655)</f>
        <v>267014.285714286</v>
      </c>
      <c r="Q6655" s="55" t="n">
        <f aca="false">SUM(G6655:J6655)</f>
        <v>400521.428571429</v>
      </c>
      <c r="R6655" s="55" t="n">
        <f aca="false">SUM(K6655:N6655)</f>
        <v>400521.428571429</v>
      </c>
      <c r="S6655" s="56" t="n">
        <f aca="false">SUM(P6655:R6655)</f>
        <v>1068057.14285714</v>
      </c>
    </row>
    <row r="6656" customFormat="false" ht="15" hidden="false" customHeight="false" outlineLevel="0" collapsed="false">
      <c r="A6656" s="4" t="s">
        <v>555</v>
      </c>
      <c r="B6656" s="36" t="s">
        <v>125</v>
      </c>
      <c r="C6656" s="54" t="n">
        <f aca="false">C6650*$C$6585/4</f>
        <v>0</v>
      </c>
      <c r="D6656" s="54" t="n">
        <f aca="false">D6650*$C$6585/4</f>
        <v>0</v>
      </c>
      <c r="E6656" s="54" t="n">
        <f aca="false">E6650*$C$6585/4</f>
        <v>0</v>
      </c>
      <c r="F6656" s="54" t="n">
        <f aca="false">F6650*$C$6585/4</f>
        <v>0</v>
      </c>
      <c r="G6656" s="54" t="n">
        <f aca="false">G6650*$C$6585/4</f>
        <v>0</v>
      </c>
      <c r="H6656" s="54" t="n">
        <f aca="false">H6650*$C$6585/4</f>
        <v>0</v>
      </c>
      <c r="I6656" s="54" t="n">
        <f aca="false">I6650*$C$6585/4</f>
        <v>0</v>
      </c>
      <c r="J6656" s="54" t="n">
        <f aca="false">J6650*$C$6585/4</f>
        <v>0</v>
      </c>
      <c r="K6656" s="54" t="n">
        <f aca="false">K6650*$C$6585/4</f>
        <v>0</v>
      </c>
      <c r="L6656" s="54" t="n">
        <f aca="false">L6650*$C$6585/4</f>
        <v>0</v>
      </c>
      <c r="M6656" s="54" t="n">
        <f aca="false">M6650*$C$6585/4</f>
        <v>0</v>
      </c>
      <c r="N6656" s="54" t="n">
        <f aca="false">N6650*$C$6585/4</f>
        <v>0</v>
      </c>
      <c r="P6656" s="55" t="n">
        <f aca="false">SUM(C6656:F6656)</f>
        <v>0</v>
      </c>
      <c r="Q6656" s="55" t="n">
        <f aca="false">SUM(G6656:J6656)</f>
        <v>0</v>
      </c>
      <c r="R6656" s="55" t="n">
        <f aca="false">SUM(K6656:N6656)</f>
        <v>0</v>
      </c>
      <c r="S6656" s="56" t="n">
        <f aca="false">SUM(P6656:R6656)</f>
        <v>0</v>
      </c>
    </row>
    <row r="6657" customFormat="false" ht="15" hidden="false" customHeight="false" outlineLevel="0" collapsed="false">
      <c r="A6657" s="4" t="s">
        <v>556</v>
      </c>
      <c r="B6657" s="36" t="s">
        <v>125</v>
      </c>
      <c r="C6657" s="54" t="n">
        <f aca="false">MAX(0,(C6645-C6626*$C$6581)-C6605*$C$6586)*$C$6587*Assumptions!$D$105</f>
        <v>0</v>
      </c>
      <c r="D6657" s="54" t="n">
        <f aca="false">MAX(0,(D6645-D6626*$C$6581)-D6605*$C$6586)*$C$6587*Assumptions!$D$105</f>
        <v>3491.72206180778</v>
      </c>
      <c r="E6657" s="54" t="n">
        <f aca="false">MAX(0,(E6645-E6626*$C$6581)-E6605*$C$6586)*$C$6587*Assumptions!$D$105</f>
        <v>8039.09651874593</v>
      </c>
      <c r="F6657" s="54" t="n">
        <f aca="false">MAX(0,(F6645-F6626*$C$6581)-F6605*$C$6586)*$C$6587*Assumptions!$D$105</f>
        <v>10124.750003461</v>
      </c>
      <c r="G6657" s="54" t="n">
        <f aca="false">MAX(0,(G6645-G6626*$C$6581)-G6605*$C$6586)*$C$6587*Assumptions!$D$105</f>
        <v>11120.4562644655</v>
      </c>
      <c r="H6657" s="54" t="n">
        <f aca="false">MAX(0,(H6645-H6626*$C$6581)-H6605*$C$6586)*$C$6587*Assumptions!$D$105</f>
        <v>13463.0357338943</v>
      </c>
      <c r="I6657" s="54" t="n">
        <f aca="false">MAX(0,(I6645-I6626*$C$6581)-I6605*$C$6586)*$C$6587*Assumptions!$D$105</f>
        <v>16072.2164343224</v>
      </c>
      <c r="J6657" s="54" t="n">
        <f aca="false">MAX(0,(J6645-J6626*$C$6581)-J6605*$C$6586)*$C$6587*Assumptions!$D$105</f>
        <v>21559.8957723031</v>
      </c>
      <c r="K6657" s="54" t="n">
        <f aca="false">MAX(0,(K6645-K6626*$C$6581)-K6605*$C$6586)*$C$6587*Assumptions!$D$105</f>
        <v>27808.6094682429</v>
      </c>
      <c r="L6657" s="54" t="n">
        <f aca="false">MAX(0,(L6645-L6626*$C$6581)-L6605*$C$6586)*$C$6587*Assumptions!$D$105</f>
        <v>29735.5837530454</v>
      </c>
      <c r="M6657" s="54" t="n">
        <f aca="false">MAX(0,(M6645-M6626*$C$6581)-M6605*$C$6586)*$C$6587*Assumptions!$D$105</f>
        <v>29201.3815340945</v>
      </c>
      <c r="N6657" s="54" t="n">
        <f aca="false">MAX(0,(N6645-N6626*$C$6581)-N6605*$C$6586)*$C$6587*Assumptions!$D$105</f>
        <v>28360.6706538674</v>
      </c>
      <c r="P6657" s="55" t="n">
        <f aca="false">SUM(C6657:F6657)</f>
        <v>21655.5685840147</v>
      </c>
      <c r="Q6657" s="55" t="n">
        <f aca="false">SUM(G6657:J6657)</f>
        <v>62215.6042049852</v>
      </c>
      <c r="R6657" s="55" t="n">
        <f aca="false">SUM(K6657:N6657)</f>
        <v>115106.24540925</v>
      </c>
      <c r="S6657" s="56" t="n">
        <f aca="false">SUM(P6657:R6657)</f>
        <v>198977.41819825</v>
      </c>
    </row>
    <row r="6658" customFormat="false" ht="15" hidden="false" customHeight="false" outlineLevel="0" collapsed="false">
      <c r="A6658" s="4" t="s">
        <v>557</v>
      </c>
      <c r="B6658" s="36" t="s">
        <v>125</v>
      </c>
      <c r="C6658" s="54" t="n">
        <f aca="false">C6653*Assumptions!$E$71/Assumptions!$E$69/4</f>
        <v>18475.8928571429</v>
      </c>
      <c r="D6658" s="54" t="n">
        <f aca="false">D6653*Assumptions!$E$71/Assumptions!$E$69/4</f>
        <v>18475.8928571429</v>
      </c>
      <c r="E6658" s="54" t="n">
        <f aca="false">E6653*Assumptions!$E$71/Assumptions!$E$69/4</f>
        <v>18475.8928571429</v>
      </c>
      <c r="F6658" s="54" t="n">
        <f aca="false">F6653*Assumptions!$E$71/Assumptions!$E$69/4</f>
        <v>18475.8928571429</v>
      </c>
      <c r="G6658" s="54" t="n">
        <f aca="false">G6653*Assumptions!$E$71/Assumptions!$E$69/4</f>
        <v>18475.8928571429</v>
      </c>
      <c r="H6658" s="54" t="n">
        <f aca="false">H6653*Assumptions!$E$71/Assumptions!$E$69/4</f>
        <v>18475.8928571429</v>
      </c>
      <c r="I6658" s="54" t="n">
        <f aca="false">I6653*Assumptions!$E$71/Assumptions!$E$69/4</f>
        <v>18475.8928571429</v>
      </c>
      <c r="J6658" s="54" t="n">
        <f aca="false">J6653*Assumptions!$E$71/Assumptions!$E$69/4</f>
        <v>18475.8928571429</v>
      </c>
      <c r="K6658" s="54" t="n">
        <f aca="false">K6653*Assumptions!$E$71/Assumptions!$E$69/4</f>
        <v>18475.8928571429</v>
      </c>
      <c r="L6658" s="54" t="n">
        <f aca="false">L6653*Assumptions!$E$71/Assumptions!$E$69/4</f>
        <v>18475.8928571429</v>
      </c>
      <c r="M6658" s="54" t="n">
        <f aca="false">M6653*Assumptions!$E$71/Assumptions!$E$69/4</f>
        <v>18475.8928571429</v>
      </c>
      <c r="N6658" s="54" t="n">
        <f aca="false">N6653*Assumptions!$E$71/Assumptions!$E$69/4</f>
        <v>18475.8928571429</v>
      </c>
      <c r="P6658" s="55" t="n">
        <f aca="false">SUM(C6658:F6658)</f>
        <v>73903.5714285714</v>
      </c>
      <c r="Q6658" s="55" t="n">
        <f aca="false">SUM(G6658:J6658)</f>
        <v>73903.5714285714</v>
      </c>
      <c r="R6658" s="55" t="n">
        <f aca="false">SUM(K6658:N6658)</f>
        <v>73903.5714285714</v>
      </c>
      <c r="S6658" s="56" t="n">
        <f aca="false">SUM(P6658:R6658)</f>
        <v>221710.714285714</v>
      </c>
    </row>
    <row r="6659" customFormat="false" ht="15" hidden="false" customHeight="false" outlineLevel="0" collapsed="false">
      <c r="A6659" s="4" t="s">
        <v>558</v>
      </c>
      <c r="B6659" s="36" t="s">
        <v>125</v>
      </c>
      <c r="C6659" s="54" t="n">
        <f aca="false">(Assumptions!$D$103+Assumptions!$E$77*((C6590=Assumptions!$E$13)+(C6590=Assumptions!$E$14)+(C6590=Assumptions!$E$15)))*C6591</f>
        <v>65000</v>
      </c>
      <c r="D6659" s="54" t="n">
        <f aca="false">(Assumptions!$D$103+Assumptions!$E$77*((D6590=Assumptions!$E$13)+(D6590=Assumptions!$E$14)+(D6590=Assumptions!$E$15)))*D6591</f>
        <v>25000</v>
      </c>
      <c r="E6659" s="54" t="n">
        <f aca="false">(Assumptions!$D$103+Assumptions!$E$77*((E6590=Assumptions!$E$13)+(E6590=Assumptions!$E$14)+(E6590=Assumptions!$E$15)))*E6591</f>
        <v>25000</v>
      </c>
      <c r="F6659" s="54" t="n">
        <f aca="false">(Assumptions!$D$103+Assumptions!$E$77*((F6590=Assumptions!$E$13)+(F6590=Assumptions!$E$14)+(F6590=Assumptions!$E$15)))*F6591</f>
        <v>25000</v>
      </c>
      <c r="G6659" s="54" t="n">
        <f aca="false">(Assumptions!$D$103+Assumptions!$E$77*((G6590=Assumptions!$E$13)+(G6590=Assumptions!$E$14)+(G6590=Assumptions!$E$15)))*G6591</f>
        <v>65000</v>
      </c>
      <c r="H6659" s="54" t="n">
        <f aca="false">(Assumptions!$D$103+Assumptions!$E$77*((H6590=Assumptions!$E$13)+(H6590=Assumptions!$E$14)+(H6590=Assumptions!$E$15)))*H6591</f>
        <v>25000</v>
      </c>
      <c r="I6659" s="54" t="n">
        <f aca="false">(Assumptions!$D$103+Assumptions!$E$77*((I6590=Assumptions!$E$13)+(I6590=Assumptions!$E$14)+(I6590=Assumptions!$E$15)))*I6591</f>
        <v>65000</v>
      </c>
      <c r="J6659" s="54" t="n">
        <f aca="false">(Assumptions!$D$103+Assumptions!$E$77*((J6590=Assumptions!$E$13)+(J6590=Assumptions!$E$14)+(J6590=Assumptions!$E$15)))*J6591</f>
        <v>25000</v>
      </c>
      <c r="K6659" s="54" t="n">
        <f aca="false">(Assumptions!$D$103+Assumptions!$E$77*((K6590=Assumptions!$E$13)+(K6590=Assumptions!$E$14)+(K6590=Assumptions!$E$15)))*K6591</f>
        <v>25000</v>
      </c>
      <c r="L6659" s="54" t="n">
        <f aca="false">(Assumptions!$D$103+Assumptions!$E$77*((L6590=Assumptions!$E$13)+(L6590=Assumptions!$E$14)+(L6590=Assumptions!$E$15)))*L6591</f>
        <v>25000</v>
      </c>
      <c r="M6659" s="54" t="n">
        <f aca="false">(Assumptions!$D$103+Assumptions!$E$77*((M6590=Assumptions!$E$13)+(M6590=Assumptions!$E$14)+(M6590=Assumptions!$E$15)))*M6591</f>
        <v>25000</v>
      </c>
      <c r="N6659" s="54" t="n">
        <f aca="false">(Assumptions!$D$103+Assumptions!$E$77*((N6590=Assumptions!$E$13)+(N6590=Assumptions!$E$14)+(N6590=Assumptions!$E$15)))*N6591</f>
        <v>25000</v>
      </c>
      <c r="P6659" s="55" t="n">
        <f aca="false">SUM(C6659:F6659)</f>
        <v>140000</v>
      </c>
      <c r="Q6659" s="55" t="n">
        <f aca="false">SUM(G6659:J6659)</f>
        <v>180000</v>
      </c>
      <c r="R6659" s="55" t="n">
        <f aca="false">SUM(K6659:N6659)</f>
        <v>100000</v>
      </c>
      <c r="S6659" s="56" t="n">
        <f aca="false">SUM(P6659:R6659)</f>
        <v>420000</v>
      </c>
    </row>
    <row r="6660" customFormat="false" ht="15" hidden="false" customHeight="false" outlineLevel="0" collapsed="false">
      <c r="A6660" s="4" t="s">
        <v>559</v>
      </c>
      <c r="B6660" s="36" t="s">
        <v>125</v>
      </c>
      <c r="C6660" s="54" t="n">
        <f aca="false">C6645*C6625*Assumptions!$E$79</f>
        <v>0</v>
      </c>
      <c r="D6660" s="54" t="n">
        <f aca="false">D6645*D6625*Assumptions!$E$79</f>
        <v>815.338873355417</v>
      </c>
      <c r="E6660" s="54" t="n">
        <f aca="false">E6645*E6625*Assumptions!$E$79</f>
        <v>1576.95453714349</v>
      </c>
      <c r="F6660" s="54" t="n">
        <f aca="false">F6645*F6625*Assumptions!$E$79</f>
        <v>2363.78759030579</v>
      </c>
      <c r="G6660" s="54" t="n">
        <f aca="false">G6645*G6625*Assumptions!$E$79</f>
        <v>2961.23316349717</v>
      </c>
      <c r="H6660" s="54" t="n">
        <f aca="false">H6645*H6625*Assumptions!$E$79</f>
        <v>3401.8566535345</v>
      </c>
      <c r="I6660" s="54" t="n">
        <f aca="false">I6645*I6625*Assumptions!$E$79</f>
        <v>3951.44098442022</v>
      </c>
      <c r="J6660" s="54" t="n">
        <f aca="false">J6645*J6625*Assumptions!$E$79</f>
        <v>4240.17604272452</v>
      </c>
      <c r="K6660" s="54" t="n">
        <f aca="false">K6645*K6625*Assumptions!$E$79</f>
        <v>4805.46240923336</v>
      </c>
      <c r="L6660" s="54" t="n">
        <f aca="false">L6645*L6625*Assumptions!$E$79</f>
        <v>5627.63185752923</v>
      </c>
      <c r="M6660" s="54" t="n">
        <f aca="false">M6645*M6625*Assumptions!$E$79</f>
        <v>5687.10015383768</v>
      </c>
      <c r="N6660" s="54" t="n">
        <f aca="false">N6645*N6625*Assumptions!$E$79</f>
        <v>5685.06198652904</v>
      </c>
      <c r="P6660" s="55" t="n">
        <f aca="false">SUM(C6660:F6660)</f>
        <v>4756.0810008047</v>
      </c>
      <c r="Q6660" s="55" t="n">
        <f aca="false">SUM(G6660:J6660)</f>
        <v>14554.7068441764</v>
      </c>
      <c r="R6660" s="55" t="n">
        <f aca="false">SUM(K6660:N6660)</f>
        <v>21805.2564071293</v>
      </c>
      <c r="S6660" s="56" t="n">
        <f aca="false">SUM(P6660:R6660)</f>
        <v>41116.0442521104</v>
      </c>
    </row>
    <row r="6661" customFormat="false" ht="15" hidden="false" customHeight="false" outlineLevel="0" collapsed="false">
      <c r="A6661" s="4" t="s">
        <v>560</v>
      </c>
      <c r="B6661" s="36" t="s">
        <v>125</v>
      </c>
      <c r="C6661" s="54" t="n">
        <f aca="false">C6610*Assumptions!$E$80</f>
        <v>4000</v>
      </c>
      <c r="D6661" s="54" t="n">
        <f aca="false">D6610*Assumptions!$E$80</f>
        <v>6000</v>
      </c>
      <c r="E6661" s="54" t="n">
        <f aca="false">E6610*Assumptions!$E$80</f>
        <v>8000</v>
      </c>
      <c r="F6661" s="54" t="n">
        <f aca="false">F6610*Assumptions!$E$80</f>
        <v>10000</v>
      </c>
      <c r="G6661" s="54" t="n">
        <f aca="false">G6610*Assumptions!$E$80</f>
        <v>12000</v>
      </c>
      <c r="H6661" s="54" t="n">
        <f aca="false">H6610*Assumptions!$E$80</f>
        <v>14000</v>
      </c>
      <c r="I6661" s="54" t="n">
        <f aca="false">I6610*Assumptions!$E$80</f>
        <v>16000</v>
      </c>
      <c r="J6661" s="54" t="n">
        <f aca="false">J6610*Assumptions!$E$80</f>
        <v>18000</v>
      </c>
      <c r="K6661" s="54" t="n">
        <f aca="false">K6610*Assumptions!$E$80</f>
        <v>20000</v>
      </c>
      <c r="L6661" s="54" t="n">
        <f aca="false">L6610*Assumptions!$E$80</f>
        <v>20000</v>
      </c>
      <c r="M6661" s="54" t="n">
        <f aca="false">M6610*Assumptions!$E$80</f>
        <v>20000</v>
      </c>
      <c r="N6661" s="54" t="n">
        <f aca="false">N6610*Assumptions!$E$80</f>
        <v>20000</v>
      </c>
      <c r="P6661" s="55" t="n">
        <f aca="false">SUM(C6661:F6661)</f>
        <v>28000</v>
      </c>
      <c r="Q6661" s="55" t="n">
        <f aca="false">SUM(G6661:J6661)</f>
        <v>60000</v>
      </c>
      <c r="R6661" s="55" t="n">
        <f aca="false">SUM(K6661:N6661)</f>
        <v>80000</v>
      </c>
      <c r="S6661" s="56" t="n">
        <f aca="false">SUM(P6661:R6661)</f>
        <v>168000</v>
      </c>
    </row>
    <row r="6662" customFormat="false" ht="15" hidden="false" customHeight="false" outlineLevel="0" collapsed="false">
      <c r="A6662" s="4" t="s">
        <v>561</v>
      </c>
      <c r="B6662" s="36" t="s">
        <v>125</v>
      </c>
      <c r="C6662" s="54" t="n">
        <f aca="false">(C6633*$C$6582+C6634*$C$6583)*Assumptions!$E$81</f>
        <v>0</v>
      </c>
      <c r="D6662" s="54" t="n">
        <f aca="false">(D6633*$C$6582+D6634*$C$6583)*Assumptions!$E$81</f>
        <v>635.937968364564</v>
      </c>
      <c r="E6662" s="54" t="n">
        <f aca="false">(E6633*$C$6582+E6634*$C$6583)*Assumptions!$E$81</f>
        <v>1750.54055351793</v>
      </c>
      <c r="F6662" s="54" t="n">
        <f aca="false">(F6633*$C$6582+F6634*$C$6583)*Assumptions!$E$81</f>
        <v>2334.90810210795</v>
      </c>
      <c r="G6662" s="54" t="n">
        <f aca="false">(G6633*$C$6582+G6634*$C$6583)*Assumptions!$E$81</f>
        <v>2567.01977128764</v>
      </c>
      <c r="H6662" s="54" t="n">
        <f aca="false">(H6633*$C$6582+H6634*$C$6583)*Assumptions!$E$81</f>
        <v>3030.96924471942</v>
      </c>
      <c r="I6662" s="54" t="n">
        <f aca="false">(I6633*$C$6582+I6634*$C$6583)*Assumptions!$E$81</f>
        <v>3599.72954781419</v>
      </c>
      <c r="J6662" s="54" t="n">
        <f aca="false">(J6633*$C$6582+J6634*$C$6583)*Assumptions!$E$81</f>
        <v>4611.5696968051</v>
      </c>
      <c r="K6662" s="54" t="n">
        <f aca="false">(K6633*$C$6582+K6634*$C$6583)*Assumptions!$E$81</f>
        <v>5939.56455642065</v>
      </c>
      <c r="L6662" s="54" t="n">
        <f aca="false">(L6633*$C$6582+L6634*$C$6583)*Assumptions!$E$81</f>
        <v>6537.87185823684</v>
      </c>
      <c r="M6662" s="54" t="n">
        <f aca="false">(M6633*$C$6582+M6634*$C$6583)*Assumptions!$E$81</f>
        <v>6455.63010570383</v>
      </c>
      <c r="N6662" s="54" t="n">
        <f aca="false">(N6633*$C$6582+N6634*$C$6583)*Assumptions!$E$81</f>
        <v>6268.61318404599</v>
      </c>
      <c r="P6662" s="55" t="n">
        <f aca="false">SUM(C6662:F6662)</f>
        <v>4721.38662399044</v>
      </c>
      <c r="Q6662" s="55" t="n">
        <f aca="false">SUM(G6662:J6662)</f>
        <v>13809.2882606264</v>
      </c>
      <c r="R6662" s="55" t="n">
        <f aca="false">SUM(K6662:N6662)</f>
        <v>25201.6797044073</v>
      </c>
      <c r="S6662" s="56" t="n">
        <f aca="false">SUM(P6662:R6662)</f>
        <v>43732.3545890241</v>
      </c>
    </row>
    <row r="6663" customFormat="false" ht="15" hidden="false" customHeight="false" outlineLevel="0" collapsed="false">
      <c r="A6663" s="9" t="s">
        <v>562</v>
      </c>
      <c r="B6663" s="36" t="s">
        <v>125</v>
      </c>
      <c r="C6663" s="55" t="n">
        <f aca="false">C6655+C6656+C6657+C6658+C6659+C6660+C6661+C6662</f>
        <v>154229.464285714</v>
      </c>
      <c r="D6663" s="55" t="n">
        <f aca="false">D6655+D6656+D6657+D6658+D6659+D6660+D6661+D6662</f>
        <v>121172.463189242</v>
      </c>
      <c r="E6663" s="55" t="n">
        <f aca="false">E6655+E6656+E6657+E6658+E6659+E6660+E6661+E6662</f>
        <v>129596.055895122</v>
      </c>
      <c r="F6663" s="55" t="n">
        <f aca="false">F6655+F6656+F6657+F6658+F6659+F6660+F6661+F6662</f>
        <v>135052.909981589</v>
      </c>
      <c r="G6663" s="55" t="n">
        <f aca="false">G6655+G6656+G6657+G6658+G6659+G6660+G6661+G6662</f>
        <v>212254.95919925</v>
      </c>
      <c r="H6663" s="55" t="n">
        <f aca="false">H6655+H6656+H6657+H6658+H6659+H6660+H6661+H6662</f>
        <v>177502.111632148</v>
      </c>
      <c r="I6663" s="55" t="n">
        <f aca="false">I6655+I6656+I6657+I6658+I6659+I6660+I6661+I6662</f>
        <v>223229.636966557</v>
      </c>
      <c r="J6663" s="55" t="n">
        <f aca="false">J6655+J6656+J6657+J6658+J6659+J6660+J6661+J6662</f>
        <v>192017.891511833</v>
      </c>
      <c r="K6663" s="55" t="n">
        <f aca="false">K6655+K6656+K6657+K6658+K6659+K6660+K6661+K6662</f>
        <v>202159.886433897</v>
      </c>
      <c r="L6663" s="55" t="n">
        <f aca="false">L6655+L6656+L6657+L6658+L6659+L6660+L6661+L6662</f>
        <v>205507.337468812</v>
      </c>
      <c r="M6663" s="55" t="n">
        <f aca="false">M6655+M6656+M6657+M6658+M6659+M6660+M6661+M6662</f>
        <v>204950.361793636</v>
      </c>
      <c r="N6663" s="55" t="n">
        <f aca="false">N6655+N6656+N6657+N6658+N6659+N6660+N6661+N6662</f>
        <v>203920.595824442</v>
      </c>
      <c r="P6663" s="55" t="n">
        <f aca="false">SUM(C6663:F6663)</f>
        <v>540050.893351667</v>
      </c>
      <c r="Q6663" s="55" t="n">
        <f aca="false">SUM(G6663:J6663)</f>
        <v>805004.599309788</v>
      </c>
      <c r="R6663" s="55" t="n">
        <f aca="false">SUM(K6663:N6663)</f>
        <v>816538.181520787</v>
      </c>
      <c r="S6663" s="56" t="n">
        <f aca="false">SUM(P6663:R6663)</f>
        <v>2161593.67418224</v>
      </c>
    </row>
    <row r="6664" customFormat="false" ht="15" hidden="false" customHeight="false" outlineLevel="0" collapsed="false">
      <c r="A6664" s="4" t="s">
        <v>563</v>
      </c>
      <c r="B6664" s="36" t="s">
        <v>125</v>
      </c>
      <c r="C6664" s="54" t="n">
        <f aca="false">C6652*Assumptions!$E$72/Assumptions!$E$69/4</f>
        <v>56535.7142857143</v>
      </c>
      <c r="D6664" s="54" t="n">
        <f aca="false">D6652*Assumptions!$E$72/Assumptions!$E$69/4</f>
        <v>56535.7142857143</v>
      </c>
      <c r="E6664" s="54" t="n">
        <f aca="false">E6652*Assumptions!$E$72/Assumptions!$E$69/4</f>
        <v>56535.7142857143</v>
      </c>
      <c r="F6664" s="54" t="n">
        <f aca="false">F6652*Assumptions!$E$72/Assumptions!$E$69/4</f>
        <v>56535.7142857143</v>
      </c>
      <c r="G6664" s="54" t="n">
        <f aca="false">G6652*Assumptions!$E$72/Assumptions!$E$69/4</f>
        <v>28267.8571428571</v>
      </c>
      <c r="H6664" s="54" t="n">
        <f aca="false">H6652*Assumptions!$E$72/Assumptions!$E$69/4</f>
        <v>28267.8571428571</v>
      </c>
      <c r="I6664" s="54" t="n">
        <f aca="false">I6652*Assumptions!$E$72/Assumptions!$E$69/4</f>
        <v>28267.8571428571</v>
      </c>
      <c r="J6664" s="54" t="n">
        <f aca="false">J6652*Assumptions!$E$72/Assumptions!$E$69/4</f>
        <v>28267.8571428571</v>
      </c>
      <c r="K6664" s="54" t="n">
        <f aca="false">K6652*Assumptions!$E$72/Assumptions!$E$69/4</f>
        <v>28267.8571428571</v>
      </c>
      <c r="L6664" s="54" t="n">
        <f aca="false">L6652*Assumptions!$E$72/Assumptions!$E$69/4</f>
        <v>28267.8571428571</v>
      </c>
      <c r="M6664" s="54" t="n">
        <f aca="false">M6652*Assumptions!$E$72/Assumptions!$E$69/4</f>
        <v>28267.8571428571</v>
      </c>
      <c r="N6664" s="54" t="n">
        <f aca="false">N6652*Assumptions!$E$72/Assumptions!$E$69/4</f>
        <v>28267.8571428571</v>
      </c>
      <c r="P6664" s="55" t="n">
        <f aca="false">SUM(C6664:F6664)</f>
        <v>226142.857142857</v>
      </c>
      <c r="Q6664" s="55" t="n">
        <f aca="false">SUM(G6664:J6664)</f>
        <v>113071.428571429</v>
      </c>
      <c r="R6664" s="55" t="n">
        <f aca="false">SUM(K6664:N6664)</f>
        <v>113071.428571429</v>
      </c>
      <c r="S6664" s="56" t="n">
        <f aca="false">SUM(P6664:R6664)</f>
        <v>452285.714285714</v>
      </c>
    </row>
    <row r="6665" customFormat="false" ht="15" hidden="false" customHeight="false" outlineLevel="0" collapsed="false">
      <c r="A6665" s="4" t="s">
        <v>564</v>
      </c>
      <c r="B6665" s="36" t="s">
        <v>125</v>
      </c>
      <c r="C6665" s="54" t="n">
        <f aca="false">IF(C6590&lt;=Assumptions!$E$83,Assumptions!$E$82*Assumptions!$D$108/Assumptions!$E$83,0)</f>
        <v>62500</v>
      </c>
      <c r="D6665" s="54" t="n">
        <f aca="false">IF(D6590&lt;=Assumptions!$E$83,Assumptions!$E$82*Assumptions!$D$108/Assumptions!$E$83,0)</f>
        <v>62500</v>
      </c>
      <c r="E6665" s="54" t="n">
        <f aca="false">IF(E6590&lt;=Assumptions!$E$83,Assumptions!$E$82*Assumptions!$D$108/Assumptions!$E$83,0)</f>
        <v>62500</v>
      </c>
      <c r="F6665" s="54" t="n">
        <f aca="false">IF(F6590&lt;=Assumptions!$E$83,Assumptions!$E$82*Assumptions!$D$108/Assumptions!$E$83,0)</f>
        <v>62500</v>
      </c>
      <c r="G6665" s="54" t="n">
        <f aca="false">IF(G6590&lt;=Assumptions!$E$83,Assumptions!$E$82*Assumptions!$D$108/Assumptions!$E$83,0)</f>
        <v>0</v>
      </c>
      <c r="H6665" s="54" t="n">
        <f aca="false">IF(H6590&lt;=Assumptions!$E$83,Assumptions!$E$82*Assumptions!$D$108/Assumptions!$E$83,0)</f>
        <v>0</v>
      </c>
      <c r="I6665" s="54" t="n">
        <f aca="false">IF(I6590&lt;=Assumptions!$E$83,Assumptions!$E$82*Assumptions!$D$108/Assumptions!$E$83,0)</f>
        <v>0</v>
      </c>
      <c r="J6665" s="54" t="n">
        <f aca="false">IF(J6590&lt;=Assumptions!$E$83,Assumptions!$E$82*Assumptions!$D$108/Assumptions!$E$83,0)</f>
        <v>0</v>
      </c>
      <c r="K6665" s="54" t="n">
        <f aca="false">IF(K6590&lt;=Assumptions!$E$83,Assumptions!$E$82*Assumptions!$D$108/Assumptions!$E$83,0)</f>
        <v>0</v>
      </c>
      <c r="L6665" s="54" t="n">
        <f aca="false">IF(L6590&lt;=Assumptions!$E$83,Assumptions!$E$82*Assumptions!$D$108/Assumptions!$E$83,0)</f>
        <v>0</v>
      </c>
      <c r="M6665" s="54" t="n">
        <f aca="false">IF(M6590&lt;=Assumptions!$E$83,Assumptions!$E$82*Assumptions!$D$108/Assumptions!$E$83,0)</f>
        <v>0</v>
      </c>
      <c r="N6665" s="54" t="n">
        <f aca="false">IF(N6590&lt;=Assumptions!$E$83,Assumptions!$E$82*Assumptions!$D$108/Assumptions!$E$83,0)</f>
        <v>0</v>
      </c>
      <c r="P6665" s="55" t="n">
        <f aca="false">SUM(C6665:F6665)</f>
        <v>250000</v>
      </c>
      <c r="Q6665" s="55" t="n">
        <f aca="false">SUM(G6665:J6665)</f>
        <v>0</v>
      </c>
      <c r="R6665" s="55" t="n">
        <f aca="false">SUM(K6665:N6665)</f>
        <v>0</v>
      </c>
      <c r="S6665" s="56" t="n">
        <f aca="false">SUM(P6665:R6665)</f>
        <v>250000</v>
      </c>
    </row>
    <row r="6666" customFormat="false" ht="15" hidden="false" customHeight="false" outlineLevel="0" collapsed="false">
      <c r="A6666" s="4" t="s">
        <v>565</v>
      </c>
      <c r="B6666" s="36" t="s">
        <v>125</v>
      </c>
      <c r="C6666" s="54" t="n">
        <f aca="false">C6654*Assumptions!$E$73/Assumptions!$E$69/4</f>
        <v>0</v>
      </c>
      <c r="D6666" s="54" t="n">
        <f aca="false">D6654*Assumptions!$E$73/Assumptions!$E$69/4</f>
        <v>575.3130595573</v>
      </c>
      <c r="E6666" s="54" t="n">
        <f aca="false">E6654*Assumptions!$E$73/Assumptions!$E$69/4</f>
        <v>1617.32906717661</v>
      </c>
      <c r="F6666" s="54" t="n">
        <f aca="false">F6654*Assumptions!$E$73/Assumptions!$E$69/4</f>
        <v>2784.46806400723</v>
      </c>
      <c r="G6666" s="54" t="n">
        <f aca="false">G6654*Assumptions!$E$73/Assumptions!$E$69/4</f>
        <v>4037.30390559473</v>
      </c>
      <c r="H6666" s="54" t="n">
        <f aca="false">H6654*Assumptions!$E$73/Assumptions!$E$69/4</f>
        <v>5588.71900339185</v>
      </c>
      <c r="I6666" s="54" t="n">
        <f aca="false">I6654*Assumptions!$E$73/Assumptions!$E$69/4</f>
        <v>7423.89520049251</v>
      </c>
      <c r="J6666" s="54" t="n">
        <f aca="false">J6654*Assumptions!$E$73/Assumptions!$E$69/4</f>
        <v>9984.21295072483</v>
      </c>
      <c r="K6666" s="54" t="n">
        <f aca="false">K6654*Assumptions!$E$73/Assumptions!$E$69/4</f>
        <v>13228.7197241336</v>
      </c>
      <c r="L6666" s="54" t="n">
        <f aca="false">L6654*Assumptions!$E$73/Assumptions!$E$69/4</f>
        <v>16471.1613499398</v>
      </c>
      <c r="M6666" s="54" t="n">
        <f aca="false">M6654*Assumptions!$E$73/Assumptions!$E$69/4</f>
        <v>19532.3193424529</v>
      </c>
      <c r="N6666" s="54" t="n">
        <f aca="false">N6654*Assumptions!$E$73/Assumptions!$E$69/4</f>
        <v>22411.7337529877</v>
      </c>
      <c r="P6666" s="55" t="n">
        <f aca="false">SUM(C6666:F6666)</f>
        <v>4977.11019074114</v>
      </c>
      <c r="Q6666" s="55" t="n">
        <f aca="false">SUM(G6666:J6666)</f>
        <v>27034.1310602039</v>
      </c>
      <c r="R6666" s="55" t="n">
        <f aca="false">SUM(K6666:N6666)</f>
        <v>71643.934169514</v>
      </c>
      <c r="S6666" s="56" t="n">
        <f aca="false">SUM(P6666:R6666)</f>
        <v>103655.175420459</v>
      </c>
    </row>
    <row r="6667" customFormat="false" ht="15" hidden="false" customHeight="false" outlineLevel="0" collapsed="false">
      <c r="A6667" s="9" t="s">
        <v>566</v>
      </c>
      <c r="B6667" s="36" t="s">
        <v>125</v>
      </c>
      <c r="C6667" s="55" t="n">
        <f aca="false">C6663+C6664+C6665+C6666</f>
        <v>273265.178571429</v>
      </c>
      <c r="D6667" s="55" t="n">
        <f aca="false">D6663+D6664+D6665+D6666</f>
        <v>240783.490534514</v>
      </c>
      <c r="E6667" s="55" t="n">
        <f aca="false">E6663+E6664+E6665+E6666</f>
        <v>250249.099248013</v>
      </c>
      <c r="F6667" s="55" t="n">
        <f aca="false">F6663+F6664+F6665+F6666</f>
        <v>256873.092331311</v>
      </c>
      <c r="G6667" s="55" t="n">
        <f aca="false">G6663+G6664+G6665+G6666</f>
        <v>244560.120247702</v>
      </c>
      <c r="H6667" s="55" t="n">
        <f aca="false">H6663+H6664+H6665+H6666</f>
        <v>211358.687778397</v>
      </c>
      <c r="I6667" s="55" t="n">
        <f aca="false">I6663+I6664+I6665+I6666</f>
        <v>258921.389309906</v>
      </c>
      <c r="J6667" s="55" t="n">
        <f aca="false">J6663+J6664+J6665+J6666</f>
        <v>230269.961605415</v>
      </c>
      <c r="K6667" s="55" t="n">
        <f aca="false">K6663+K6664+K6665+K6666</f>
        <v>243656.463300888</v>
      </c>
      <c r="L6667" s="55" t="n">
        <f aca="false">L6663+L6664+L6665+L6666</f>
        <v>250246.355961609</v>
      </c>
      <c r="M6667" s="55" t="n">
        <f aca="false">M6663+M6664+M6665+M6666</f>
        <v>252750.538278946</v>
      </c>
      <c r="N6667" s="55" t="n">
        <f aca="false">N6663+N6664+N6665+N6666</f>
        <v>254600.186720287</v>
      </c>
      <c r="P6667" s="55" t="n">
        <f aca="false">SUM(C6667:F6667)</f>
        <v>1021170.86068527</v>
      </c>
      <c r="Q6667" s="55" t="n">
        <f aca="false">SUM(G6667:J6667)</f>
        <v>945110.158941421</v>
      </c>
      <c r="R6667" s="55" t="n">
        <f aca="false">SUM(K6667:N6667)</f>
        <v>1001253.54426173</v>
      </c>
      <c r="S6667" s="56" t="n">
        <f aca="false">SUM(P6667:R6667)</f>
        <v>2967534.56388842</v>
      </c>
    </row>
    <row r="6668" customFormat="false" ht="15" hidden="false" customHeight="false" outlineLevel="0" collapsed="false">
      <c r="A6668" s="35" t="s">
        <v>567</v>
      </c>
      <c r="B6668" s="35" t="s">
        <v>444</v>
      </c>
      <c r="C6668" s="6" t="s">
        <v>354</v>
      </c>
      <c r="D6668" s="6" t="s">
        <v>355</v>
      </c>
      <c r="E6668" s="6" t="s">
        <v>356</v>
      </c>
      <c r="F6668" s="6" t="s">
        <v>357</v>
      </c>
      <c r="G6668" s="6" t="s">
        <v>358</v>
      </c>
      <c r="H6668" s="6" t="s">
        <v>359</v>
      </c>
      <c r="I6668" s="6" t="s">
        <v>360</v>
      </c>
      <c r="J6668" s="6" t="s">
        <v>361</v>
      </c>
      <c r="K6668" s="6" t="s">
        <v>362</v>
      </c>
      <c r="L6668" s="6" t="s">
        <v>363</v>
      </c>
      <c r="M6668" s="6" t="s">
        <v>364</v>
      </c>
      <c r="N6668" s="6" t="s">
        <v>365</v>
      </c>
      <c r="P6668" s="6" t="s">
        <v>445</v>
      </c>
      <c r="Q6668" s="6" t="s">
        <v>446</v>
      </c>
      <c r="R6668" s="6" t="s">
        <v>447</v>
      </c>
      <c r="S6668" s="6" t="s">
        <v>448</v>
      </c>
    </row>
    <row r="6669" customFormat="false" ht="15" hidden="false" customHeight="false" outlineLevel="0" collapsed="false">
      <c r="A6669" s="9" t="s">
        <v>568</v>
      </c>
      <c r="B6669" s="36" t="s">
        <v>125</v>
      </c>
      <c r="C6669" s="55" t="n">
        <f aca="false">C6647-C6667</f>
        <v>-273265.178571429</v>
      </c>
      <c r="D6669" s="55" t="n">
        <f aca="false">D6647-D6667</f>
        <v>-239984.611547379</v>
      </c>
      <c r="E6669" s="55" t="n">
        <f aca="false">E6647-E6667</f>
        <v>-246880.105301687</v>
      </c>
      <c r="F6669" s="55" t="n">
        <f aca="false">F6647-F6667</f>
        <v>-249513.263349911</v>
      </c>
      <c r="G6669" s="55" t="n">
        <f aca="false">G6647-G6667</f>
        <v>-232510.868668144</v>
      </c>
      <c r="H6669" s="55" t="n">
        <f aca="false">H6647-H6667</f>
        <v>-193803.402186974</v>
      </c>
      <c r="I6669" s="55" t="n">
        <f aca="false">I6647-I6667</f>
        <v>-234674.010802876</v>
      </c>
      <c r="J6669" s="55" t="n">
        <f aca="false">J6647-J6667</f>
        <v>-197402.25748313</v>
      </c>
      <c r="K6669" s="55" t="n">
        <f aca="false">K6647-K6667</f>
        <v>-199409.394335777</v>
      </c>
      <c r="L6669" s="55" t="n">
        <f aca="false">L6647-L6667</f>
        <v>-192701.22246987</v>
      </c>
      <c r="M6669" s="55" t="n">
        <f aca="false">M6647-M6667</f>
        <v>-181459.242113853</v>
      </c>
      <c r="N6669" s="55" t="n">
        <f aca="false">N6647-N6667</f>
        <v>-169657.883325248</v>
      </c>
      <c r="P6669" s="55" t="n">
        <f aca="false">SUM(C6669:F6669)</f>
        <v>-1009643.15877041</v>
      </c>
      <c r="Q6669" s="55" t="n">
        <f aca="false">SUM(G6669:J6669)</f>
        <v>-858390.539141124</v>
      </c>
      <c r="R6669" s="55" t="n">
        <f aca="false">SUM(K6669:N6669)</f>
        <v>-743227.742244748</v>
      </c>
      <c r="S6669" s="56" t="n">
        <f aca="false">SUM(P6669:R6669)</f>
        <v>-2611261.44015628</v>
      </c>
    </row>
    <row r="6670" customFormat="false" ht="15" hidden="false" customHeight="false" outlineLevel="0" collapsed="false">
      <c r="A6670" s="9" t="s">
        <v>569</v>
      </c>
      <c r="B6670" s="36" t="s">
        <v>125</v>
      </c>
      <c r="C6670" s="55" t="n">
        <f aca="false">0+C6669</f>
        <v>-273265.178571429</v>
      </c>
      <c r="D6670" s="55" t="n">
        <f aca="false">C6670+D6669</f>
        <v>-513249.790118807</v>
      </c>
      <c r="E6670" s="55" t="n">
        <f aca="false">D6670+E6669</f>
        <v>-760129.895420495</v>
      </c>
      <c r="F6670" s="55" t="n">
        <f aca="false">E6670+F6669</f>
        <v>-1009643.15877041</v>
      </c>
      <c r="G6670" s="55" t="n">
        <f aca="false">F6670+G6669</f>
        <v>-1242154.02743855</v>
      </c>
      <c r="H6670" s="55" t="n">
        <f aca="false">G6670+H6669</f>
        <v>-1435957.42962552</v>
      </c>
      <c r="I6670" s="55" t="n">
        <f aca="false">H6670+I6669</f>
        <v>-1670631.4404284</v>
      </c>
      <c r="J6670" s="55" t="n">
        <f aca="false">I6670+J6669</f>
        <v>-1868033.69791153</v>
      </c>
      <c r="K6670" s="55" t="n">
        <f aca="false">J6670+K6669</f>
        <v>-2067443.09224731</v>
      </c>
      <c r="L6670" s="55" t="n">
        <f aca="false">K6670+L6669</f>
        <v>-2260144.31471718</v>
      </c>
      <c r="M6670" s="55" t="n">
        <f aca="false">L6670+M6669</f>
        <v>-2441603.55683103</v>
      </c>
      <c r="N6670" s="55" t="n">
        <f aca="false">M6670+N6669</f>
        <v>-2611261.44015628</v>
      </c>
      <c r="P6670" s="55" t="n">
        <f aca="false">F6670</f>
        <v>-1009643.15877041</v>
      </c>
      <c r="Q6670" s="55" t="n">
        <f aca="false">J6670</f>
        <v>-1868033.69791153</v>
      </c>
      <c r="R6670" s="55" t="n">
        <f aca="false">N6670</f>
        <v>-2611261.44015628</v>
      </c>
      <c r="S6670" s="56" t="n">
        <f aca="false">R6670</f>
        <v>-2611261.44015628</v>
      </c>
    </row>
    <row r="6671" customFormat="false" ht="15" hidden="false" customHeight="false" outlineLevel="0" collapsed="false">
      <c r="A6671" s="4" t="s">
        <v>570</v>
      </c>
      <c r="B6671" s="36" t="s">
        <v>107</v>
      </c>
      <c r="C6671" s="57" t="n">
        <f aca="false">1/(1+Assumptions!$E$87)^(C6590/4)</f>
        <v>0.972065420906982</v>
      </c>
      <c r="D6671" s="57" t="n">
        <f aca="false">1/(1+Assumptions!$E$87)^(D6590/4)</f>
        <v>0.944911182523068</v>
      </c>
      <c r="E6671" s="57" t="n">
        <f aca="false">1/(1+Assumptions!$E$87)^(E6590/4)</f>
        <v>0.918515486359</v>
      </c>
      <c r="F6671" s="57" t="n">
        <f aca="false">1/(1+Assumptions!$E$87)^(F6590/4)</f>
        <v>0.892857142857143</v>
      </c>
      <c r="G6671" s="57" t="n">
        <f aca="false">1/(1+Assumptions!$E$87)^(G6590/4)</f>
        <v>0.867915554381234</v>
      </c>
      <c r="H6671" s="57" t="n">
        <f aca="false">1/(1+Assumptions!$E$87)^(H6590/4)</f>
        <v>0.843670698681311</v>
      </c>
      <c r="I6671" s="57" t="n">
        <f aca="false">1/(1+Assumptions!$E$87)^(I6590/4)</f>
        <v>0.820103112820536</v>
      </c>
      <c r="J6671" s="57" t="n">
        <f aca="false">1/(1+Assumptions!$E$87)^(J6590/4)</f>
        <v>0.79719387755102</v>
      </c>
      <c r="K6671" s="57" t="n">
        <f aca="false">1/(1+Assumptions!$E$87)^(K6590/4)</f>
        <v>0.774924602126102</v>
      </c>
      <c r="L6671" s="57" t="n">
        <f aca="false">1/(1+Assumptions!$E$87)^(L6590/4)</f>
        <v>0.753277409536885</v>
      </c>
      <c r="M6671" s="57" t="n">
        <f aca="false">1/(1+Assumptions!$E$87)^(M6590/4)</f>
        <v>0.732234922161193</v>
      </c>
      <c r="N6671" s="57" t="n">
        <f aca="false">1/(1+Assumptions!$E$87)^(N6590/4)</f>
        <v>0.711780247813411</v>
      </c>
      <c r="P6671" s="58"/>
      <c r="Q6671" s="58"/>
      <c r="R6671" s="58"/>
      <c r="S6671" s="59"/>
    </row>
    <row r="6672" customFormat="false" ht="15" hidden="false" customHeight="false" outlineLevel="0" collapsed="false">
      <c r="A6672" s="4" t="s">
        <v>571</v>
      </c>
      <c r="B6672" s="36" t="s">
        <v>125</v>
      </c>
      <c r="C6672" s="54" t="n">
        <f aca="false">(C6647*(1-Assumptions!$E$88)-C6667)*C6671</f>
        <v>-265631.630827257</v>
      </c>
      <c r="D6672" s="54" t="n">
        <f aca="false">(D6647*(1-Assumptions!$E$88)-D6667)*D6671</f>
        <v>-226915.117022258</v>
      </c>
      <c r="E6672" s="54" t="n">
        <f aca="false">(E6647*(1-Assumptions!$E$88)-E6667)*E6671</f>
        <v>-227382.09461617</v>
      </c>
      <c r="F6672" s="54" t="n">
        <f aca="false">(F6647*(1-Assumptions!$E$88)-F6667)*F6671</f>
        <v>-224093.954594813</v>
      </c>
      <c r="G6672" s="54" t="n">
        <f aca="false">(G6647*(1-Assumptions!$E$88)-G6667)*G6671</f>
        <v>-203891.346052684</v>
      </c>
      <c r="H6672" s="54" t="n">
        <f aca="false">(H6647*(1-Assumptions!$E$88)-H6667)*H6671</f>
        <v>-166468.427741992</v>
      </c>
      <c r="I6672" s="54" t="n">
        <f aca="false">(I6647*(1-Assumptions!$E$88)-I6667)*I6671</f>
        <v>-196433.95687579</v>
      </c>
      <c r="J6672" s="54" t="n">
        <f aca="false">(J6647*(1-Assumptions!$E$88)-J6667)*J6671</f>
        <v>-162608.25757939</v>
      </c>
      <c r="K6672" s="54" t="n">
        <f aca="false">(K6647*(1-Assumptions!$E$88)-K6667)*K6671</f>
        <v>-161384.874028466</v>
      </c>
      <c r="L6672" s="54" t="n">
        <f aca="false">(L6647*(1-Assumptions!$E$88)-L6667)*L6671</f>
        <v>-153826.967494317</v>
      </c>
      <c r="M6672" s="54" t="n">
        <f aca="false">(M6647*(1-Assumptions!$E$88)-M6667)*M6671</f>
        <v>-143311.18936431</v>
      </c>
      <c r="N6672" s="54" t="n">
        <f aca="false">(N6647*(1-Assumptions!$E$88)-N6667)*N6671</f>
        <v>-132851.180988817</v>
      </c>
      <c r="P6672" s="55" t="n">
        <f aca="false">SUM(C6672:F6672)</f>
        <v>-944022.797060499</v>
      </c>
      <c r="Q6672" s="55" t="n">
        <f aca="false">SUM(G6672:J6672)</f>
        <v>-729401.988249856</v>
      </c>
      <c r="R6672" s="55" t="n">
        <f aca="false">SUM(K6672:N6672)</f>
        <v>-591374.211875909</v>
      </c>
      <c r="S6672" s="56" t="n">
        <f aca="false">SUM(P6672:R6672)</f>
        <v>-2264798.99718626</v>
      </c>
    </row>
    <row r="6673" customFormat="false" ht="15" hidden="false" customHeight="false" outlineLevel="0" collapsed="false">
      <c r="A6673" s="4" t="s">
        <v>572</v>
      </c>
      <c r="B6673" s="36" t="s">
        <v>125</v>
      </c>
      <c r="C6673" s="54" t="n">
        <f aca="false">(C6667-C6666)*12/(Assumptions!$E$89*Assumptions!$F$76)*Assumptions!$E$90</f>
        <v>170790.736607143</v>
      </c>
      <c r="D6673" s="54" t="n">
        <f aca="false">(D6667-D6666)*12/(Assumptions!$E$89*Assumptions!$F$76)*Assumptions!$E$90</f>
        <v>150130.110921848</v>
      </c>
      <c r="E6673" s="54" t="n">
        <f aca="false">(E6667-E6666)*12/(Assumptions!$E$89*Assumptions!$F$76)*Assumptions!$E$90</f>
        <v>155394.856363022</v>
      </c>
      <c r="F6673" s="54" t="n">
        <f aca="false">(F6667-F6666)*12/(Assumptions!$E$89*Assumptions!$F$76)*Assumptions!$E$90</f>
        <v>158805.390167065</v>
      </c>
      <c r="G6673" s="54" t="n">
        <f aca="false">(G6667-G6666)*12/(Assumptions!$E$89*Assumptions!$F$76)*Assumptions!$E$90</f>
        <v>150326.760213817</v>
      </c>
      <c r="H6673" s="54" t="n">
        <f aca="false">(H6667-H6666)*12/(Assumptions!$E$89*Assumptions!$F$76)*Assumptions!$E$90</f>
        <v>128606.230484378</v>
      </c>
      <c r="I6673" s="54" t="n">
        <f aca="false">(I6667-I6666)*12/(Assumptions!$E$89*Assumptions!$F$76)*Assumptions!$E$90</f>
        <v>157185.933818384</v>
      </c>
      <c r="J6673" s="54" t="n">
        <f aca="false">(J6667-J6666)*12/(Assumptions!$E$89*Assumptions!$F$76)*Assumptions!$E$90</f>
        <v>137678.592909181</v>
      </c>
      <c r="K6673" s="54" t="n">
        <f aca="false">(K6667-K6666)*12/(Assumptions!$E$89*Assumptions!$F$76)*Assumptions!$E$90</f>
        <v>144017.339735471</v>
      </c>
      <c r="L6673" s="54" t="n">
        <f aca="false">(L6667-L6666)*12/(Assumptions!$E$89*Assumptions!$F$76)*Assumptions!$E$90</f>
        <v>146109.496632293</v>
      </c>
      <c r="M6673" s="54" t="n">
        <f aca="false">(M6667-M6666)*12/(Assumptions!$E$89*Assumptions!$F$76)*Assumptions!$E$90</f>
        <v>145761.386835308</v>
      </c>
      <c r="N6673" s="54" t="n">
        <f aca="false">(N6667-N6666)*12/(Assumptions!$E$89*Assumptions!$F$76)*Assumptions!$E$90</f>
        <v>145117.783104562</v>
      </c>
      <c r="P6673" s="55" t="n">
        <f aca="false">SUM(C6673:F6673)</f>
        <v>635121.094059078</v>
      </c>
      <c r="Q6673" s="55" t="n">
        <f aca="false">SUM(G6673:J6673)</f>
        <v>573797.51742576</v>
      </c>
      <c r="R6673" s="55" t="n">
        <f aca="false">SUM(K6673:N6673)</f>
        <v>581006.006307635</v>
      </c>
      <c r="S6673" s="56" t="n">
        <f aca="false">SUM(P6673:R6673)</f>
        <v>1789924.61779247</v>
      </c>
    </row>
    <row r="6674" customFormat="false" ht="15" hidden="false" customHeight="false" outlineLevel="0" collapsed="false">
      <c r="A6674" s="4" t="s">
        <v>573</v>
      </c>
      <c r="B6674" s="36" t="s">
        <v>125</v>
      </c>
      <c r="C6674" s="54" t="n">
        <f aca="false">0*Assumptions!$E$92^(1/4)+C6673</f>
        <v>170790.736607143</v>
      </c>
      <c r="D6674" s="54" t="n">
        <f aca="false">C6674*Assumptions!$E$92^(1/4)+D6673</f>
        <v>321346.232483736</v>
      </c>
      <c r="E6674" s="54" t="n">
        <f aca="false">D6674*Assumptions!$E$92^(1/4)+E6673</f>
        <v>477541.45926074</v>
      </c>
      <c r="F6674" s="54" t="n">
        <f aca="false">E6674*Assumptions!$E$92^(1/4)+F6673</f>
        <v>637536.252062116</v>
      </c>
      <c r="G6674" s="54" t="n">
        <f aca="false">F6674*Assumptions!$E$92^(1/4)+G6673</f>
        <v>789450.910631075</v>
      </c>
      <c r="H6674" s="54" t="n">
        <f aca="false">G6674*Assumptions!$E$92^(1/4)+H6673</f>
        <v>920023.410168234</v>
      </c>
      <c r="I6674" s="54" t="n">
        <f aca="false">H6674*Assumptions!$E$92^(1/4)+I6673</f>
        <v>1079500.82726301</v>
      </c>
      <c r="J6674" s="54" t="n">
        <f aca="false">I6674*Assumptions!$E$92^(1/4)+J6673</f>
        <v>1219868.11055245</v>
      </c>
      <c r="K6674" s="54" t="n">
        <f aca="false">J6674*Assumptions!$E$92^(1/4)+K6673</f>
        <v>1366923.75055708</v>
      </c>
      <c r="L6674" s="54" t="n">
        <f aca="false">K6674*Assumptions!$E$92^(1/4)+L6673</f>
        <v>1516437.81589914</v>
      </c>
      <c r="M6674" s="54" t="n">
        <f aca="false">L6674*Assumptions!$E$92^(1/4)+M6673</f>
        <v>1665976.16303396</v>
      </c>
      <c r="N6674" s="54" t="n">
        <f aca="false">M6674*Assumptions!$E$92^(1/4)+N6673</f>
        <v>1815243.35850594</v>
      </c>
      <c r="P6674" s="55" t="n">
        <f aca="false">F6674</f>
        <v>637536.252062116</v>
      </c>
      <c r="Q6674" s="55" t="n">
        <f aca="false">J6674</f>
        <v>1219868.11055245</v>
      </c>
      <c r="R6674" s="55" t="n">
        <f aca="false">N6674</f>
        <v>1815243.35850594</v>
      </c>
      <c r="S6674" s="56" t="n">
        <f aca="false">R6674</f>
        <v>1815243.35850594</v>
      </c>
    </row>
    <row r="6675" customFormat="false" ht="15" hidden="false" customHeight="false" outlineLevel="0" collapsed="false">
      <c r="A6675" s="4" t="s">
        <v>574</v>
      </c>
      <c r="B6675" s="36" t="s">
        <v>125</v>
      </c>
      <c r="C6675" s="54" t="n">
        <f aca="false">(0+C6674)/8*Assumptions!$F$76-(C6667-C6666)-C6674*Assumptions!$E$93/4</f>
        <v>-260028.896484375</v>
      </c>
      <c r="D6675" s="54" t="n">
        <f aca="false">(C6674+D6674)/8*Assumptions!$F$76-(D6667-D6666)-D6674*Assumptions!$E$93/4</f>
        <v>-199932.678162824</v>
      </c>
      <c r="E6675" s="54" t="n">
        <f aca="false">(D6674+E6674)/8*Assumptions!$F$76-(E6667-E6666)-E6674*Assumptions!$E$93/4</f>
        <v>-182701.146164592</v>
      </c>
      <c r="F6675" s="54" t="n">
        <f aca="false">(E6674+F6674)/8*Assumptions!$F$76-(F6667-F6666)-F6674*Assumptions!$E$93/4</f>
        <v>-161700.833399023</v>
      </c>
      <c r="G6675" s="54" t="n">
        <f aca="false">(F6674+G6674)/8*Assumptions!$F$76-(G6667-G6666)-G6674*Assumptions!$E$93/4</f>
        <v>-121962.108082609</v>
      </c>
      <c r="H6675" s="54" t="n">
        <f aca="false">(G6674+H6674)/8*Assumptions!$F$76-(H6667-H6666)-H6674*Assumptions!$E$93/4</f>
        <v>-63417.5725301706</v>
      </c>
      <c r="I6675" s="54" t="n">
        <f aca="false">(H6674+I6674)/8*Assumptions!$F$76-(I6667-I6666)-I6674*Assumptions!$E$93/4</f>
        <v>-85034.0730813893</v>
      </c>
      <c r="J6675" s="54" t="n">
        <f aca="false">(I6674+J6674)/8*Assumptions!$F$76-(J6667-J6666)-J6674*Assumptions!$E$93/4</f>
        <v>-28590.8956332035</v>
      </c>
      <c r="K6675" s="54" t="n">
        <f aca="false">(J6674+K6674)/8*Assumptions!$F$76-(K6667-K6666)-K6674*Assumptions!$E$93/4</f>
        <v>-14703.0229588598</v>
      </c>
      <c r="L6675" s="54" t="n">
        <f aca="false">(K6674+L6674)/8*Assumptions!$F$76-(L6667-L6666)-L6674*Assumptions!$E$93/4</f>
        <v>6771.87367065129</v>
      </c>
      <c r="M6675" s="54" t="n">
        <f aca="false">(L6674+M6674)/8*Assumptions!$F$76-(M6667-M6666)-M6674*Assumptions!$E$93/4</f>
        <v>32374.3371295609</v>
      </c>
      <c r="N6675" s="54" t="n">
        <f aca="false">(M6674+N6674)/8*Assumptions!$F$76-(N6667-N6666)-N6674*Assumptions!$E$93/4</f>
        <v>58430.7619899672</v>
      </c>
      <c r="P6675" s="55" t="n">
        <f aca="false">SUM(C6675:F6675)</f>
        <v>-804363.554210814</v>
      </c>
      <c r="Q6675" s="55" t="n">
        <f aca="false">SUM(G6675:J6675)</f>
        <v>-299004.649327372</v>
      </c>
      <c r="R6675" s="55" t="n">
        <f aca="false">SUM(K6675:N6675)</f>
        <v>82873.9498313196</v>
      </c>
      <c r="S6675" s="56" t="n">
        <f aca="false">SUM(P6675:R6675)</f>
        <v>-1020494.25370687</v>
      </c>
    </row>
    <row r="6676" customFormat="false" ht="15" hidden="false" customHeight="false" outlineLevel="0" collapsed="false">
      <c r="A6676" s="4" t="s">
        <v>575</v>
      </c>
      <c r="B6676" s="36" t="s">
        <v>125</v>
      </c>
      <c r="C6676" s="54" t="n">
        <f aca="false">C6675*C6671</f>
        <v>-252765.098709062</v>
      </c>
      <c r="D6676" s="54" t="n">
        <f aca="false">D6675*D6671</f>
        <v>-188918.623347838</v>
      </c>
      <c r="E6676" s="54" t="n">
        <f aca="false">E6675*E6671</f>
        <v>-167813.832127717</v>
      </c>
      <c r="F6676" s="54" t="n">
        <f aca="false">F6675*F6671</f>
        <v>-144375.74410627</v>
      </c>
      <c r="G6676" s="54" t="n">
        <f aca="false">G6675*G6671</f>
        <v>-105852.810650021</v>
      </c>
      <c r="H6676" s="54" t="n">
        <f aca="false">H6675*H6671</f>
        <v>-53503.5477252017</v>
      </c>
      <c r="I6676" s="54" t="n">
        <f aca="false">I6675*I6671</f>
        <v>-69736.7080298563</v>
      </c>
      <c r="J6676" s="54" t="n">
        <f aca="false">J6675*J6671</f>
        <v>-22792.4869524901</v>
      </c>
      <c r="K6676" s="54" t="n">
        <f aca="false">K6675*K6671</f>
        <v>-11393.7342164454</v>
      </c>
      <c r="L6676" s="54" t="n">
        <f aca="false">L6675*L6671</f>
        <v>5101.09945633924</v>
      </c>
      <c r="M6676" s="54" t="n">
        <f aca="false">M6675*M6671</f>
        <v>23705.6202280842</v>
      </c>
      <c r="N6676" s="54" t="n">
        <f aca="false">N6675*N6671</f>
        <v>41589.8622491453</v>
      </c>
      <c r="P6676" s="55" t="n">
        <f aca="false">SUM(C6676:F6676)</f>
        <v>-753873.298290888</v>
      </c>
      <c r="Q6676" s="55" t="n">
        <f aca="false">SUM(G6676:J6676)</f>
        <v>-251885.553357569</v>
      </c>
      <c r="R6676" s="55" t="n">
        <f aca="false">SUM(K6676:N6676)</f>
        <v>59002.8477171234</v>
      </c>
      <c r="S6676" s="56" t="n">
        <f aca="false">SUM(P6676:R6676)</f>
        <v>-946756.003931334</v>
      </c>
    </row>
    <row r="6677" customFormat="false" ht="15" hidden="false" customHeight="false" outlineLevel="0" collapsed="false">
      <c r="A6677" s="4" t="s">
        <v>576</v>
      </c>
      <c r="B6677" s="36"/>
      <c r="C6677" s="37" t="n">
        <f aca="false">IFERROR((S6632*$C$6581*Assumptions!$E$59+S6633*$C$6582*Assumptions!$E$60+S6634*$C$6583*Assumptions!$E$61)/(S6632*$C$6581+S6633*$C$6582+S6634*$C$6583),0.9)</f>
        <v>0.897372181179546</v>
      </c>
    </row>
    <row r="6678" customFormat="false" ht="15" hidden="false" customHeight="false" outlineLevel="0" collapsed="false">
      <c r="A6678" s="4" t="s">
        <v>577</v>
      </c>
      <c r="B6678" s="36"/>
      <c r="C6678" s="37" t="n">
        <f aca="false">IFERROR(N6666*4/N6644,0)</f>
        <v>0.175911884278844</v>
      </c>
    </row>
    <row r="6679" customFormat="false" ht="15" hidden="false" customHeight="false" outlineLevel="0" collapsed="false">
      <c r="A6679" s="4" t="s">
        <v>578</v>
      </c>
      <c r="B6679" s="36"/>
      <c r="C6679" s="60" t="n">
        <f aca="false">$C$6677/(1+Assumptions!$E$87)</f>
        <v>0.801225161767451</v>
      </c>
    </row>
    <row r="6680" customFormat="false" ht="15" hidden="false" customHeight="false" outlineLevel="0" collapsed="false">
      <c r="A6680" s="4" t="s">
        <v>579</v>
      </c>
      <c r="B6680" s="36"/>
      <c r="C6680" s="60" t="n">
        <f aca="false">Assumptions!$E$91/(1+Assumptions!$E$87)</f>
        <v>0.803571428571429</v>
      </c>
    </row>
    <row r="6681" customFormat="false" ht="15" hidden="false" customHeight="false" outlineLevel="0" collapsed="false">
      <c r="A6681" s="35" t="s">
        <v>580</v>
      </c>
      <c r="B6681" s="35" t="s">
        <v>444</v>
      </c>
      <c r="C6681" s="6" t="s">
        <v>354</v>
      </c>
      <c r="D6681" s="6" t="s">
        <v>355</v>
      </c>
      <c r="E6681" s="6" t="s">
        <v>356</v>
      </c>
      <c r="F6681" s="6" t="s">
        <v>357</v>
      </c>
      <c r="G6681" s="6" t="s">
        <v>358</v>
      </c>
      <c r="H6681" s="6" t="s">
        <v>359</v>
      </c>
      <c r="I6681" s="6" t="s">
        <v>360</v>
      </c>
      <c r="J6681" s="6" t="s">
        <v>361</v>
      </c>
      <c r="K6681" s="6" t="s">
        <v>362</v>
      </c>
      <c r="L6681" s="6" t="s">
        <v>363</v>
      </c>
      <c r="M6681" s="6" t="s">
        <v>364</v>
      </c>
      <c r="N6681" s="6" t="s">
        <v>365</v>
      </c>
      <c r="P6681" s="6" t="s">
        <v>445</v>
      </c>
      <c r="Q6681" s="6" t="s">
        <v>446</v>
      </c>
      <c r="R6681" s="6" t="s">
        <v>447</v>
      </c>
      <c r="S6681" s="6" t="s">
        <v>448</v>
      </c>
    </row>
    <row r="6682" customFormat="false" ht="15" hidden="false" customHeight="false" outlineLevel="0" collapsed="false">
      <c r="A6682" s="9" t="s">
        <v>581</v>
      </c>
      <c r="C6682" s="61" t="n">
        <f aca="false">N6644</f>
        <v>509612.726732255</v>
      </c>
      <c r="D6682" s="61"/>
    </row>
    <row r="6683" customFormat="false" ht="15" hidden="false" customHeight="false" outlineLevel="0" collapsed="false">
      <c r="A6683" s="9" t="s">
        <v>582</v>
      </c>
      <c r="C6683" s="62" t="n">
        <f aca="false">N6640</f>
        <v>49.5280990541991</v>
      </c>
      <c r="D6683" s="62"/>
    </row>
    <row r="6684" customFormat="false" ht="15" hidden="false" customHeight="false" outlineLevel="0" collapsed="false">
      <c r="A6684" s="9" t="s">
        <v>583</v>
      </c>
      <c r="C6684" s="63" t="n">
        <f aca="false">S6635</f>
        <v>54.7491194625937</v>
      </c>
      <c r="D6684" s="63"/>
    </row>
    <row r="6685" customFormat="false" ht="15" hidden="false" customHeight="false" outlineLevel="0" collapsed="false">
      <c r="A6685" s="9" t="s">
        <v>584</v>
      </c>
      <c r="C6685" s="61" t="n">
        <f aca="false">S6646</f>
        <v>494823.782961303</v>
      </c>
      <c r="D6685" s="61"/>
    </row>
    <row r="6686" customFormat="false" ht="15" hidden="false" customHeight="false" outlineLevel="0" collapsed="false">
      <c r="A6686" s="9" t="s">
        <v>22</v>
      </c>
      <c r="C6686" s="61" t="n">
        <f aca="false">IFERROR(S6645/S6635,0)</f>
        <v>8847.97350983958</v>
      </c>
      <c r="D6686" s="61"/>
    </row>
    <row r="6687" customFormat="false" ht="15" hidden="false" customHeight="false" outlineLevel="0" collapsed="false">
      <c r="A6687" s="9" t="s">
        <v>585</v>
      </c>
      <c r="C6687" s="61" t="n">
        <f aca="false">IFERROR(S6663/S6635,0)</f>
        <v>39481.7979795841</v>
      </c>
      <c r="D6687" s="61"/>
    </row>
    <row r="6688" customFormat="false" ht="23.85" hidden="false" customHeight="false" outlineLevel="0" collapsed="false">
      <c r="A6688" s="9" t="s">
        <v>586</v>
      </c>
      <c r="C6688" s="61" t="n">
        <f aca="false">IFERROR((S6657+S6659+S6660+S6661+S6662)/S6635,0)</f>
        <v>15924.0153192791</v>
      </c>
      <c r="D6688" s="61"/>
    </row>
    <row r="6689" customFormat="false" ht="15" hidden="false" customHeight="false" outlineLevel="0" collapsed="false">
      <c r="A6689" s="9" t="s">
        <v>587</v>
      </c>
      <c r="C6689" s="64" t="n">
        <f aca="false">IFERROR('Engine Runs'!$C$6687/('Engine Runs'!$C$6686*Assumptions!$F$76/12),0)</f>
        <v>74.3706980581062</v>
      </c>
      <c r="D6689" s="64"/>
    </row>
    <row r="6690" customFormat="false" ht="15" hidden="false" customHeight="false" outlineLevel="0" collapsed="false">
      <c r="A6690" s="9" t="s">
        <v>588</v>
      </c>
      <c r="C6690" s="64" t="n">
        <f aca="false">IFERROR((R6663/R6635)/((R6645/R6635)*Assumptions!$F$76/12),0)</f>
        <v>48.5154289232941</v>
      </c>
      <c r="D6690" s="64"/>
    </row>
    <row r="6691" customFormat="false" ht="15" hidden="false" customHeight="false" outlineLevel="0" collapsed="false">
      <c r="A6691" s="9" t="s">
        <v>589</v>
      </c>
      <c r="C6691" s="61" t="n">
        <f aca="false">S6667</f>
        <v>2967534.56388842</v>
      </c>
      <c r="D6691" s="61"/>
    </row>
    <row r="6692" customFormat="false" ht="15" hidden="false" customHeight="false" outlineLevel="0" collapsed="false">
      <c r="A6692" s="9" t="s">
        <v>590</v>
      </c>
      <c r="C6692" s="61" t="n">
        <f aca="false">N6670</f>
        <v>-2611261.44015628</v>
      </c>
      <c r="D6692" s="61"/>
    </row>
    <row r="6693" customFormat="false" ht="15" hidden="false" customHeight="false" outlineLevel="0" collapsed="false">
      <c r="A6693" s="9" t="s">
        <v>591</v>
      </c>
      <c r="C6693" s="61" t="n">
        <f aca="false">MIN($C$6670:$N$6670)</f>
        <v>-2611261.44015628</v>
      </c>
      <c r="D6693" s="61"/>
    </row>
    <row r="6694" customFormat="false" ht="15" hidden="false" customHeight="false" outlineLevel="0" collapsed="false">
      <c r="A6694" s="9" t="s">
        <v>592</v>
      </c>
      <c r="C6694" s="61" t="n">
        <f aca="false">N6644*(Assumptions!$F$76-$C$6678)*$C$6677*(1-$C$6677^Assumptions!$E$85)/(1-$C$6677)</f>
        <v>1013623.75701804</v>
      </c>
      <c r="D6694" s="61"/>
    </row>
    <row r="6695" customFormat="false" ht="15" hidden="false" customHeight="false" outlineLevel="0" collapsed="false">
      <c r="A6695" s="9" t="s">
        <v>593</v>
      </c>
      <c r="C6695" s="61" t="n">
        <f aca="false">N6644*(Assumptions!$F$76-$C$6678)*(1-Assumptions!$E$88)/(1+Assumptions!$E$87)^2.5*$C$6679*(1-$C$6679^Assumptions!$E$85)/(1-$C$6679)</f>
        <v>451122.829929595</v>
      </c>
      <c r="D6695" s="61"/>
    </row>
    <row r="6696" customFormat="false" ht="15" hidden="false" customHeight="false" outlineLevel="0" collapsed="false">
      <c r="A6696" s="9" t="s">
        <v>594</v>
      </c>
      <c r="C6696" s="61" t="n">
        <f aca="false">SUM($C$6672:$N$6672)+'Engine Runs'!$C$6695</f>
        <v>-1813676.16725667</v>
      </c>
      <c r="D6696" s="61"/>
    </row>
    <row r="6697" customFormat="false" ht="15" hidden="false" customHeight="false" outlineLevel="0" collapsed="false">
      <c r="A6697" s="9" t="s">
        <v>595</v>
      </c>
      <c r="C6697" s="61" t="n">
        <f aca="false">SUM($C$6676:$N$6676)+N6674*(Assumptions!$F$76-Assumptions!$E$93)/(1+Assumptions!$E$87)^2.5*$C$6680*(1-$C$6680^Assumptions!$E$85)/(1-$C$6680)</f>
        <v>1545352.60770314</v>
      </c>
      <c r="D6697" s="61"/>
    </row>
    <row r="6698" customFormat="false" ht="15" hidden="false" customHeight="false" outlineLevel="0" collapsed="false">
      <c r="A6698" s="9" t="s">
        <v>596</v>
      </c>
      <c r="C6698" s="61" t="n">
        <f aca="false">'Engine Runs'!$C$6696-'Engine Runs'!$C$6697</f>
        <v>-3359028.77495981</v>
      </c>
      <c r="D6698" s="61"/>
    </row>
    <row r="6699" customFormat="false" ht="15" hidden="false" customHeight="false" outlineLevel="0" collapsed="false">
      <c r="A6699" s="9" t="s">
        <v>597</v>
      </c>
      <c r="C6699" s="61" t="n">
        <f aca="false">S6631</f>
        <v>0</v>
      </c>
      <c r="D6699" s="61"/>
    </row>
    <row r="6700" customFormat="false" ht="15" hidden="false" customHeight="false" outlineLevel="0" collapsed="false">
      <c r="A6700" s="9" t="s">
        <v>598</v>
      </c>
      <c r="C6700" s="63" t="n">
        <f aca="false">P6615</f>
        <v>43.6188722246667</v>
      </c>
      <c r="D6700" s="63"/>
    </row>
    <row r="6701" customFormat="false" ht="15" hidden="false" customHeight="false" outlineLevel="0" collapsed="false">
      <c r="A6701" s="9" t="s">
        <v>599</v>
      </c>
      <c r="C6701" s="63" t="n">
        <f aca="false">P6635</f>
        <v>6.18260904948639</v>
      </c>
      <c r="D6701" s="63"/>
    </row>
    <row r="6702" customFormat="false" ht="15" hidden="false" customHeight="false" outlineLevel="0" collapsed="false">
      <c r="A6702" s="9" t="s">
        <v>600</v>
      </c>
      <c r="C6702" s="63" t="n">
        <f aca="false">P6611</f>
        <v>42</v>
      </c>
      <c r="D6702" s="63"/>
    </row>
    <row r="6703" customFormat="false" ht="15" hidden="false" customHeight="false" outlineLevel="0" collapsed="false">
      <c r="A6703" s="9" t="s">
        <v>601</v>
      </c>
      <c r="C6703" s="61" t="n">
        <f aca="false">IFERROR(P6645/P6635,0)</f>
        <v>8545.01753177967</v>
      </c>
      <c r="D6703" s="61"/>
    </row>
    <row r="6706" customFormat="false" ht="15" hidden="false" customHeight="true" outlineLevel="0" collapsed="false">
      <c r="A6706" s="78" t="s">
        <v>885</v>
      </c>
      <c r="B6706" s="78"/>
      <c r="C6706" s="78"/>
      <c r="D6706" s="78"/>
      <c r="E6706" s="78"/>
      <c r="F6706" s="78"/>
      <c r="G6706" s="78"/>
      <c r="H6706" s="78"/>
      <c r="I6706" s="78"/>
      <c r="J6706" s="78"/>
      <c r="K6706" s="78"/>
      <c r="L6706" s="78"/>
      <c r="M6706" s="78"/>
      <c r="N6706" s="78"/>
    </row>
    <row r="6707" customFormat="false" ht="15" hidden="false" customHeight="true" outlineLevel="0" collapsed="false">
      <c r="A6707" s="79" t="s">
        <v>886</v>
      </c>
      <c r="B6707" s="79"/>
      <c r="C6707" s="79"/>
      <c r="D6707" s="79"/>
      <c r="E6707" s="79"/>
      <c r="F6707" s="79"/>
      <c r="G6707" s="79"/>
      <c r="H6707" s="79"/>
      <c r="I6707" s="79"/>
      <c r="J6707" s="79"/>
      <c r="K6707" s="79"/>
      <c r="L6707" s="79"/>
      <c r="M6707" s="79"/>
      <c r="N6707" s="79"/>
    </row>
    <row r="6708" customFormat="false" ht="15" hidden="false" customHeight="false" outlineLevel="0" collapsed="false">
      <c r="A6708" s="35" t="s">
        <v>887</v>
      </c>
      <c r="B6708" s="35" t="s">
        <v>444</v>
      </c>
      <c r="C6708" s="6" t="s">
        <v>354</v>
      </c>
      <c r="D6708" s="6" t="s">
        <v>355</v>
      </c>
      <c r="E6708" s="6" t="s">
        <v>356</v>
      </c>
      <c r="F6708" s="6" t="s">
        <v>357</v>
      </c>
      <c r="G6708" s="6" t="s">
        <v>358</v>
      </c>
      <c r="H6708" s="6" t="s">
        <v>359</v>
      </c>
      <c r="I6708" s="6" t="s">
        <v>360</v>
      </c>
      <c r="J6708" s="6" t="s">
        <v>361</v>
      </c>
      <c r="K6708" s="6" t="s">
        <v>362</v>
      </c>
      <c r="L6708" s="6" t="s">
        <v>363</v>
      </c>
      <c r="M6708" s="6" t="s">
        <v>364</v>
      </c>
      <c r="N6708" s="6" t="s">
        <v>365</v>
      </c>
      <c r="P6708" s="6" t="s">
        <v>445</v>
      </c>
      <c r="Q6708" s="6" t="s">
        <v>446</v>
      </c>
      <c r="R6708" s="6" t="s">
        <v>447</v>
      </c>
      <c r="S6708" s="6" t="s">
        <v>448</v>
      </c>
    </row>
    <row r="6709" customFormat="false" ht="15" hidden="false" customHeight="false" outlineLevel="0" collapsed="false">
      <c r="A6709" s="4" t="s">
        <v>449</v>
      </c>
      <c r="B6709" s="36" t="s">
        <v>450</v>
      </c>
      <c r="C6709" s="34" t="n">
        <f aca="false">'Market Sizing'!$C$17*Assumptions!$E$10*Assumptions!$E$11*(1-Assumptions!$E$12)</f>
        <v>843.03944704</v>
      </c>
    </row>
    <row r="6710" customFormat="false" ht="15" hidden="false" customHeight="false" outlineLevel="0" collapsed="false">
      <c r="A6710" s="4" t="s">
        <v>451</v>
      </c>
      <c r="B6710" s="36" t="s">
        <v>450</v>
      </c>
      <c r="C6710" s="34" t="n">
        <f aca="false">'Market Sizing'!$D$17*Assumptions!$E$10*Assumptions!$E$11*(1-Assumptions!$E$12)</f>
        <v>211.19616</v>
      </c>
    </row>
    <row r="6711" customFormat="false" ht="15" hidden="false" customHeight="false" outlineLevel="0" collapsed="false">
      <c r="A6711" s="4" t="s">
        <v>452</v>
      </c>
      <c r="B6711" s="36" t="s">
        <v>450</v>
      </c>
      <c r="C6711" s="34" t="n">
        <f aca="false">'Market Sizing'!$E$17*Assumptions!$E$10*Assumptions!$E$11*(1-Assumptions!$E$12)</f>
        <v>49.53984</v>
      </c>
    </row>
    <row r="6712" customFormat="false" ht="15" hidden="false" customHeight="false" outlineLevel="0" collapsed="false">
      <c r="A6712" s="4" t="s">
        <v>453</v>
      </c>
      <c r="B6712" s="36"/>
      <c r="C6712" s="34" t="n">
        <f aca="false">$C$6709+$C$6710+$C$6711</f>
        <v>1103.77544704</v>
      </c>
    </row>
    <row r="6713" customFormat="false" ht="15" hidden="false" customHeight="false" outlineLevel="0" collapsed="false">
      <c r="A6713" s="4" t="s">
        <v>454</v>
      </c>
      <c r="B6713" s="36" t="s">
        <v>450</v>
      </c>
      <c r="C6713" s="34" t="n">
        <f aca="false">'Market Sizing'!$C$18*Assumptions!$E$10*Assumptions!$E$11*(1-Assumptions!$E$12)</f>
        <v>612.57706944</v>
      </c>
    </row>
    <row r="6714" customFormat="false" ht="15" hidden="false" customHeight="false" outlineLevel="0" collapsed="false">
      <c r="A6714" s="4" t="s">
        <v>455</v>
      </c>
      <c r="B6714" s="36" t="s">
        <v>450</v>
      </c>
      <c r="C6714" s="34" t="n">
        <f aca="false">'Market Sizing'!$D$18*Assumptions!$E$10*Assumptions!$E$11*(1-Assumptions!$E$12)</f>
        <v>142.10112</v>
      </c>
    </row>
    <row r="6715" customFormat="false" ht="15" hidden="false" customHeight="false" outlineLevel="0" collapsed="false">
      <c r="A6715" s="4" t="s">
        <v>456</v>
      </c>
      <c r="B6715" s="36" t="s">
        <v>450</v>
      </c>
      <c r="C6715" s="34" t="n">
        <f aca="false">'Market Sizing'!$E$18*Assumptions!$E$10*Assumptions!$E$11*(1-Assumptions!$E$12)</f>
        <v>24.76992</v>
      </c>
    </row>
    <row r="6716" customFormat="false" ht="15" hidden="false" customHeight="false" outlineLevel="0" collapsed="false">
      <c r="A6716" s="4" t="s">
        <v>457</v>
      </c>
      <c r="B6716" s="36"/>
      <c r="C6716" s="34" t="n">
        <f aca="false">$C$6713+$C$6714+$C$6715</f>
        <v>779.44810944</v>
      </c>
    </row>
    <row r="6717" customFormat="false" ht="15" hidden="false" customHeight="false" outlineLevel="0" collapsed="false">
      <c r="A6717" s="4" t="s">
        <v>458</v>
      </c>
      <c r="B6717" s="36" t="s">
        <v>450</v>
      </c>
      <c r="C6717" s="34" t="n">
        <f aca="false">'Market Sizing'!$C$19*Assumptions!$E$10*Assumptions!$E$11*(1-Assumptions!$E$12)</f>
        <v>2060.77303936</v>
      </c>
    </row>
    <row r="6718" customFormat="false" ht="15" hidden="false" customHeight="false" outlineLevel="0" collapsed="false">
      <c r="A6718" s="4" t="s">
        <v>459</v>
      </c>
      <c r="B6718" s="36" t="s">
        <v>450</v>
      </c>
      <c r="C6718" s="34" t="n">
        <f aca="false">'Market Sizing'!$D$19*Assumptions!$E$10*Assumptions!$E$11*(1-Assumptions!$E$12)</f>
        <v>428.47616</v>
      </c>
    </row>
    <row r="6719" customFormat="false" ht="15" hidden="false" customHeight="false" outlineLevel="0" collapsed="false">
      <c r="A6719" s="4" t="s">
        <v>460</v>
      </c>
      <c r="B6719" s="36" t="s">
        <v>450</v>
      </c>
      <c r="C6719" s="34" t="n">
        <f aca="false">'Market Sizing'!$E$19*Assumptions!$E$10*Assumptions!$E$11*(1-Assumptions!$E$12)</f>
        <v>79.52448</v>
      </c>
    </row>
    <row r="6720" customFormat="false" ht="15" hidden="false" customHeight="false" outlineLevel="0" collapsed="false">
      <c r="A6720" s="4" t="s">
        <v>461</v>
      </c>
      <c r="B6720" s="36"/>
      <c r="C6720" s="34" t="n">
        <f aca="false">$C$6717+$C$6718+$C$6719</f>
        <v>2568.77367936</v>
      </c>
    </row>
    <row r="6721" customFormat="false" ht="15" hidden="false" customHeight="false" outlineLevel="0" collapsed="false">
      <c r="A6721" s="4" t="s">
        <v>462</v>
      </c>
      <c r="B6721" s="36" t="s">
        <v>463</v>
      </c>
      <c r="C6721" s="33" t="n">
        <f aca="false">MAX((Assumptions!$E$51+Assumptions!$E$53)*12,(((('Market Sizing'!$E$25*Assumptions!$E$41*Assumptions!$E$42*Assumptions!$E$43)*Assumptions!$E$44)*Assumptions!$E$45*Assumptions!$E$46+('Market Sizing'!$E$25*Assumptions!$E$41*Assumptions!$E$42*Assumptions!$E$43)*Assumptions!$E$47+('Market Sizing'!$E$25*Assumptions!$E$41*Assumptions!$E$42*Assumptions!$E$43)*Assumptions!$E$48*Assumptions!$E$49)*(Assumptions!$E$51*12/Assumptions!$E$52)+((('Market Sizing'!$E$25*Assumptions!$E$41*Assumptions!$E$42*Assumptions!$E$43)*Assumptions!$E$44)*Assumptions!$E$45+('Market Sizing'!$E$25*Assumptions!$E$41*Assumptions!$E$42*Assumptions!$E$43)+('Market Sizing'!$E$25*Assumptions!$E$41*Assumptions!$E$42*Assumptions!$E$43)*Assumptions!$E$48)*Assumptions!$E$50*(Assumptions!$E$53*12/Assumptions!$E$54)))</f>
        <v>5352</v>
      </c>
    </row>
    <row r="6722" customFormat="false" ht="15" hidden="false" customHeight="false" outlineLevel="0" collapsed="false">
      <c r="A6722" s="4" t="s">
        <v>464</v>
      </c>
      <c r="B6722" s="36" t="s">
        <v>463</v>
      </c>
      <c r="C6722" s="33" t="n">
        <f aca="false">MAX((Assumptions!$E$51+Assumptions!$E$53)*12,(((('Market Sizing'!$E$26*Assumptions!$E$41*Assumptions!$E$42*Assumptions!$E$43)*Assumptions!$E$44)*Assumptions!$E$45*Assumptions!$E$46+('Market Sizing'!$E$26*Assumptions!$E$41*Assumptions!$E$42*Assumptions!$E$43)*Assumptions!$E$47+('Market Sizing'!$E$26*Assumptions!$E$41*Assumptions!$E$42*Assumptions!$E$43)*Assumptions!$E$48*Assumptions!$E$49)*(Assumptions!$E$51*12/Assumptions!$E$52)+((('Market Sizing'!$E$26*Assumptions!$E$41*Assumptions!$E$42*Assumptions!$E$43)*Assumptions!$E$44)*Assumptions!$E$45+('Market Sizing'!$E$26*Assumptions!$E$41*Assumptions!$E$42*Assumptions!$E$43)+('Market Sizing'!$E$26*Assumptions!$E$41*Assumptions!$E$42*Assumptions!$E$43)*Assumptions!$E$48)*Assumptions!$E$50*(Assumptions!$E$53*12/Assumptions!$E$54)))</f>
        <v>9766.72012875208</v>
      </c>
    </row>
    <row r="6723" customFormat="false" ht="15" hidden="false" customHeight="false" outlineLevel="0" collapsed="false">
      <c r="A6723" s="4" t="s">
        <v>465</v>
      </c>
      <c r="B6723" s="36" t="s">
        <v>463</v>
      </c>
      <c r="C6723" s="33" t="n">
        <f aca="false">MAX(Assumptions!$E$55*(Assumptions!$E$51*12/Assumptions!$E$52)+Assumptions!$E$56*(Assumptions!$E$53*12/Assumptions!$E$54),(((('Market Sizing'!$E$27*Assumptions!$E$41*Assumptions!$E$42*Assumptions!$E$43)*Assumptions!$E$44)*Assumptions!$E$45*Assumptions!$E$46+('Market Sizing'!$E$27*Assumptions!$E$41*Assumptions!$E$42*Assumptions!$E$43)*Assumptions!$E$47+('Market Sizing'!$E$27*Assumptions!$E$41*Assumptions!$E$42*Assumptions!$E$43)*Assumptions!$E$48*Assumptions!$E$49)*(Assumptions!$E$51*12/Assumptions!$E$52)+((('Market Sizing'!$E$27*Assumptions!$E$41*Assumptions!$E$42*Assumptions!$E$43)*Assumptions!$E$44)*Assumptions!$E$45+('Market Sizing'!$E$27*Assumptions!$E$41*Assumptions!$E$42*Assumptions!$E$43)+('Market Sizing'!$E$27*Assumptions!$E$41*Assumptions!$E$42*Assumptions!$E$43)*Assumptions!$E$48)*Assumptions!$E$50*(Assumptions!$E$53*12/Assumptions!$E$54)))*(1-Assumptions!$E$57)</f>
        <v>61778.2562194386</v>
      </c>
    </row>
    <row r="6724" customFormat="false" ht="23.85" hidden="false" customHeight="false" outlineLevel="0" collapsed="false">
      <c r="A6724" s="4" t="s">
        <v>466</v>
      </c>
      <c r="B6724" s="36" t="s">
        <v>467</v>
      </c>
      <c r="C6724" s="37" t="n">
        <f aca="false">Assumptions!$E$17*Assumptions!$D$106</f>
        <v>0.4</v>
      </c>
    </row>
    <row r="6725" customFormat="false" ht="23.85" hidden="false" customHeight="false" outlineLevel="0" collapsed="false">
      <c r="A6725" s="4" t="s">
        <v>468</v>
      </c>
      <c r="B6725" s="36" t="s">
        <v>469</v>
      </c>
      <c r="C6725" s="33" t="n">
        <f aca="false">Assumptions!$E$68/Assumptions!$E$69</f>
        <v>285714.285714286</v>
      </c>
    </row>
    <row r="6726" customFormat="false" ht="23.85" hidden="false" customHeight="false" outlineLevel="0" collapsed="false">
      <c r="A6726" s="4" t="s">
        <v>470</v>
      </c>
      <c r="B6726" s="36" t="s">
        <v>471</v>
      </c>
      <c r="C6726" s="33" t="n">
        <f aca="false">Assumptions!$E$66*Assumptions!$E$67/4</f>
        <v>153125</v>
      </c>
    </row>
    <row r="6727" customFormat="false" ht="15" hidden="false" customHeight="false" outlineLevel="0" collapsed="false">
      <c r="A6727" s="4" t="s">
        <v>472</v>
      </c>
      <c r="B6727" s="36"/>
      <c r="C6727" s="38" t="n">
        <f aca="false">$C$6725/Assumptions!$E$66/Assumptions!$E$67</f>
        <v>0.466472303206997</v>
      </c>
    </row>
    <row r="6728" customFormat="false" ht="15" hidden="false" customHeight="false" outlineLevel="0" collapsed="false">
      <c r="A6728" s="4" t="s">
        <v>473</v>
      </c>
      <c r="B6728" s="36"/>
      <c r="C6728" s="33" t="n">
        <f aca="false">MAX(0,Assumptions!$D$103-Assumptions!$E$78)</f>
        <v>0</v>
      </c>
    </row>
    <row r="6729" customFormat="false" ht="15" hidden="false" customHeight="false" outlineLevel="0" collapsed="false">
      <c r="A6729" s="35" t="s">
        <v>474</v>
      </c>
      <c r="B6729" s="35" t="s">
        <v>444</v>
      </c>
      <c r="C6729" s="6" t="s">
        <v>354</v>
      </c>
      <c r="D6729" s="6" t="s">
        <v>355</v>
      </c>
      <c r="E6729" s="6" t="s">
        <v>356</v>
      </c>
      <c r="F6729" s="6" t="s">
        <v>357</v>
      </c>
      <c r="G6729" s="6" t="s">
        <v>358</v>
      </c>
      <c r="H6729" s="6" t="s">
        <v>359</v>
      </c>
      <c r="I6729" s="6" t="s">
        <v>360</v>
      </c>
      <c r="J6729" s="6" t="s">
        <v>361</v>
      </c>
      <c r="K6729" s="6" t="s">
        <v>362</v>
      </c>
      <c r="L6729" s="6" t="s">
        <v>363</v>
      </c>
      <c r="M6729" s="6" t="s">
        <v>364</v>
      </c>
      <c r="N6729" s="6" t="s">
        <v>365</v>
      </c>
      <c r="P6729" s="6" t="s">
        <v>445</v>
      </c>
      <c r="Q6729" s="6" t="s">
        <v>446</v>
      </c>
      <c r="R6729" s="6" t="s">
        <v>447</v>
      </c>
      <c r="S6729" s="6" t="s">
        <v>448</v>
      </c>
    </row>
    <row r="6730" customFormat="false" ht="15" hidden="false" customHeight="false" outlineLevel="0" collapsed="false">
      <c r="A6730" s="4" t="s">
        <v>475</v>
      </c>
      <c r="B6730" s="36" t="s">
        <v>133</v>
      </c>
      <c r="C6730" s="39" t="n">
        <v>1</v>
      </c>
      <c r="D6730" s="39" t="n">
        <v>2</v>
      </c>
      <c r="E6730" s="39" t="n">
        <v>3</v>
      </c>
      <c r="F6730" s="39" t="n">
        <v>4</v>
      </c>
      <c r="G6730" s="39" t="n">
        <v>5</v>
      </c>
      <c r="H6730" s="39" t="n">
        <v>6</v>
      </c>
      <c r="I6730" s="39" t="n">
        <v>7</v>
      </c>
      <c r="J6730" s="39" t="n">
        <v>8</v>
      </c>
      <c r="K6730" s="39" t="n">
        <v>9</v>
      </c>
      <c r="L6730" s="39" t="n">
        <v>10</v>
      </c>
      <c r="M6730" s="39" t="n">
        <v>11</v>
      </c>
      <c r="N6730" s="39" t="n">
        <v>12</v>
      </c>
      <c r="P6730" s="40"/>
      <c r="Q6730" s="40"/>
      <c r="R6730" s="40"/>
      <c r="S6730" s="41"/>
    </row>
    <row r="6731" customFormat="false" ht="15" hidden="false" customHeight="false" outlineLevel="0" collapsed="false">
      <c r="A6731" s="4" t="s">
        <v>476</v>
      </c>
      <c r="B6731" s="36" t="s">
        <v>343</v>
      </c>
      <c r="C6731" s="39" t="n">
        <f aca="false">IF(C6730&lt;=Assumptions!$E$84,1,0)</f>
        <v>1</v>
      </c>
      <c r="D6731" s="39" t="n">
        <f aca="false">IF(D6730&lt;=Assumptions!$E$84,1,0)</f>
        <v>1</v>
      </c>
      <c r="E6731" s="39" t="n">
        <f aca="false">IF(E6730&lt;=Assumptions!$E$84,1,0)</f>
        <v>1</v>
      </c>
      <c r="F6731" s="39" t="n">
        <f aca="false">IF(F6730&lt;=Assumptions!$E$84,1,0)</f>
        <v>1</v>
      </c>
      <c r="G6731" s="39" t="n">
        <f aca="false">IF(G6730&lt;=Assumptions!$E$84,1,0)</f>
        <v>1</v>
      </c>
      <c r="H6731" s="39" t="n">
        <f aca="false">IF(H6730&lt;=Assumptions!$E$84,1,0)</f>
        <v>1</v>
      </c>
      <c r="I6731" s="39" t="n">
        <f aca="false">IF(I6730&lt;=Assumptions!$E$84,1,0)</f>
        <v>1</v>
      </c>
      <c r="J6731" s="39" t="n">
        <f aca="false">IF(J6730&lt;=Assumptions!$E$84,1,0)</f>
        <v>1</v>
      </c>
      <c r="K6731" s="39" t="n">
        <f aca="false">IF(K6730&lt;=Assumptions!$E$84,1,0)</f>
        <v>1</v>
      </c>
      <c r="L6731" s="39" t="n">
        <f aca="false">IF(L6730&lt;=Assumptions!$E$84,1,0)</f>
        <v>1</v>
      </c>
      <c r="M6731" s="39" t="n">
        <f aca="false">IF(M6730&lt;=Assumptions!$E$84,1,0)</f>
        <v>1</v>
      </c>
      <c r="N6731" s="39" t="n">
        <f aca="false">IF(N6730&lt;=Assumptions!$E$84,1,0)</f>
        <v>1</v>
      </c>
      <c r="P6731" s="40"/>
      <c r="Q6731" s="40"/>
      <c r="R6731" s="40"/>
      <c r="S6731" s="41"/>
    </row>
    <row r="6732" customFormat="false" ht="15" hidden="false" customHeight="false" outlineLevel="0" collapsed="false">
      <c r="A6732" s="4" t="s">
        <v>477</v>
      </c>
      <c r="B6732" s="36" t="s">
        <v>478</v>
      </c>
      <c r="C6732" s="42" t="n">
        <f aca="false">IF(C6730=Assumptions!$E$13,0.5,IF(C6730&gt;Assumptions!$E$13,1,0))</f>
        <v>0.5</v>
      </c>
      <c r="D6732" s="42" t="n">
        <f aca="false">IF(D6730=Assumptions!$E$13,0.5,IF(D6730&gt;Assumptions!$E$13,1,0))</f>
        <v>1</v>
      </c>
      <c r="E6732" s="42" t="n">
        <f aca="false">IF(E6730=Assumptions!$E$13,0.5,IF(E6730&gt;Assumptions!$E$13,1,0))</f>
        <v>1</v>
      </c>
      <c r="F6732" s="42" t="n">
        <f aca="false">IF(F6730=Assumptions!$E$13,0.5,IF(F6730&gt;Assumptions!$E$13,1,0))</f>
        <v>1</v>
      </c>
      <c r="G6732" s="42" t="n">
        <f aca="false">IF(G6730=Assumptions!$E$13,0.5,IF(G6730&gt;Assumptions!$E$13,1,0))</f>
        <v>1</v>
      </c>
      <c r="H6732" s="42" t="n">
        <f aca="false">IF(H6730=Assumptions!$E$13,0.5,IF(H6730&gt;Assumptions!$E$13,1,0))</f>
        <v>1</v>
      </c>
      <c r="I6732" s="42" t="n">
        <f aca="false">IF(I6730=Assumptions!$E$13,0.5,IF(I6730&gt;Assumptions!$E$13,1,0))</f>
        <v>1</v>
      </c>
      <c r="J6732" s="42" t="n">
        <f aca="false">IF(J6730=Assumptions!$E$13,0.5,IF(J6730&gt;Assumptions!$E$13,1,0))</f>
        <v>1</v>
      </c>
      <c r="K6732" s="42" t="n">
        <f aca="false">IF(K6730=Assumptions!$E$13,0.5,IF(K6730&gt;Assumptions!$E$13,1,0))</f>
        <v>1</v>
      </c>
      <c r="L6732" s="42" t="n">
        <f aca="false">IF(L6730=Assumptions!$E$13,0.5,IF(L6730&gt;Assumptions!$E$13,1,0))</f>
        <v>1</v>
      </c>
      <c r="M6732" s="42" t="n">
        <f aca="false">IF(M6730=Assumptions!$E$13,0.5,IF(M6730&gt;Assumptions!$E$13,1,0))</f>
        <v>1</v>
      </c>
      <c r="N6732" s="42" t="n">
        <f aca="false">IF(N6730=Assumptions!$E$13,0.5,IF(N6730&gt;Assumptions!$E$13,1,0))</f>
        <v>1</v>
      </c>
      <c r="P6732" s="43"/>
      <c r="Q6732" s="43"/>
      <c r="R6732" s="43"/>
      <c r="S6732" s="44"/>
    </row>
    <row r="6733" customFormat="false" ht="15" hidden="false" customHeight="false" outlineLevel="0" collapsed="false">
      <c r="A6733" s="4" t="s">
        <v>479</v>
      </c>
      <c r="B6733" s="36" t="s">
        <v>478</v>
      </c>
      <c r="C6733" s="42" t="n">
        <f aca="false">IF(C6730=Assumptions!$D$14,0.5,IF(C6730&gt;Assumptions!$D$14,1,0))</f>
        <v>0</v>
      </c>
      <c r="D6733" s="42" t="n">
        <f aca="false">IF(D6730=Assumptions!$D$14,0.5,IF(D6730&gt;Assumptions!$D$14,1,0))</f>
        <v>0</v>
      </c>
      <c r="E6733" s="42" t="n">
        <f aca="false">IF(E6730=Assumptions!$D$14,0.5,IF(E6730&gt;Assumptions!$D$14,1,0))</f>
        <v>0</v>
      </c>
      <c r="F6733" s="42" t="n">
        <f aca="false">IF(F6730=Assumptions!$D$14,0.5,IF(F6730&gt;Assumptions!$D$14,1,0))</f>
        <v>0</v>
      </c>
      <c r="G6733" s="42" t="n">
        <f aca="false">IF(G6730=Assumptions!$D$14,0.5,IF(G6730&gt;Assumptions!$D$14,1,0))</f>
        <v>0</v>
      </c>
      <c r="H6733" s="42" t="n">
        <f aca="false">IF(H6730=Assumptions!$D$14,0.5,IF(H6730&gt;Assumptions!$D$14,1,0))</f>
        <v>0</v>
      </c>
      <c r="I6733" s="42" t="n">
        <f aca="false">IF(I6730=Assumptions!$D$14,0.5,IF(I6730&gt;Assumptions!$D$14,1,0))</f>
        <v>0.5</v>
      </c>
      <c r="J6733" s="42" t="n">
        <f aca="false">IF(J6730=Assumptions!$D$14,0.5,IF(J6730&gt;Assumptions!$D$14,1,0))</f>
        <v>1</v>
      </c>
      <c r="K6733" s="42" t="n">
        <f aca="false">IF(K6730=Assumptions!$D$14,0.5,IF(K6730&gt;Assumptions!$D$14,1,0))</f>
        <v>1</v>
      </c>
      <c r="L6733" s="42" t="n">
        <f aca="false">IF(L6730=Assumptions!$D$14,0.5,IF(L6730&gt;Assumptions!$D$14,1,0))</f>
        <v>1</v>
      </c>
      <c r="M6733" s="42" t="n">
        <f aca="false">IF(M6730=Assumptions!$D$14,0.5,IF(M6730&gt;Assumptions!$D$14,1,0))</f>
        <v>1</v>
      </c>
      <c r="N6733" s="42" t="n">
        <f aca="false">IF(N6730=Assumptions!$D$14,0.5,IF(N6730&gt;Assumptions!$D$14,1,0))</f>
        <v>1</v>
      </c>
      <c r="P6733" s="43"/>
      <c r="Q6733" s="43"/>
      <c r="R6733" s="43"/>
      <c r="S6733" s="44"/>
    </row>
    <row r="6734" customFormat="false" ht="15" hidden="false" customHeight="false" outlineLevel="0" collapsed="false">
      <c r="A6734" s="4" t="s">
        <v>480</v>
      </c>
      <c r="B6734" s="36" t="s">
        <v>478</v>
      </c>
      <c r="C6734" s="42" t="n">
        <f aca="false">IF(C6730=Assumptions!$D$15,0.5,IF(C6730&gt;Assumptions!$D$15,1,0))</f>
        <v>0</v>
      </c>
      <c r="D6734" s="42" t="n">
        <f aca="false">IF(D6730=Assumptions!$D$15,0.5,IF(D6730&gt;Assumptions!$D$15,1,0))</f>
        <v>0</v>
      </c>
      <c r="E6734" s="42" t="n">
        <f aca="false">IF(E6730=Assumptions!$D$15,0.5,IF(E6730&gt;Assumptions!$D$15,1,0))</f>
        <v>0</v>
      </c>
      <c r="F6734" s="42" t="n">
        <f aca="false">IF(F6730=Assumptions!$D$15,0.5,IF(F6730&gt;Assumptions!$D$15,1,0))</f>
        <v>0</v>
      </c>
      <c r="G6734" s="42" t="n">
        <f aca="false">IF(G6730=Assumptions!$D$15,0.5,IF(G6730&gt;Assumptions!$D$15,1,0))</f>
        <v>0</v>
      </c>
      <c r="H6734" s="42" t="n">
        <f aca="false">IF(H6730=Assumptions!$D$15,0.5,IF(H6730&gt;Assumptions!$D$15,1,0))</f>
        <v>0</v>
      </c>
      <c r="I6734" s="42" t="n">
        <f aca="false">IF(I6730=Assumptions!$D$15,0.5,IF(I6730&gt;Assumptions!$D$15,1,0))</f>
        <v>0</v>
      </c>
      <c r="J6734" s="42" t="n">
        <f aca="false">IF(J6730=Assumptions!$D$15,0.5,IF(J6730&gt;Assumptions!$D$15,1,0))</f>
        <v>0</v>
      </c>
      <c r="K6734" s="42" t="n">
        <f aca="false">IF(K6730=Assumptions!$D$15,0.5,IF(K6730&gt;Assumptions!$D$15,1,0))</f>
        <v>0</v>
      </c>
      <c r="L6734" s="42" t="n">
        <f aca="false">IF(L6730=Assumptions!$D$15,0.5,IF(L6730&gt;Assumptions!$D$15,1,0))</f>
        <v>0</v>
      </c>
      <c r="M6734" s="42" t="n">
        <f aca="false">IF(M6730=Assumptions!$D$15,0.5,IF(M6730&gt;Assumptions!$D$15,1,0))</f>
        <v>0</v>
      </c>
      <c r="N6734" s="42" t="n">
        <f aca="false">IF(N6730=Assumptions!$D$15,0.5,IF(N6730&gt;Assumptions!$D$15,1,0))</f>
        <v>0</v>
      </c>
      <c r="P6734" s="43"/>
      <c r="Q6734" s="43"/>
      <c r="R6734" s="43"/>
      <c r="S6734" s="44"/>
    </row>
    <row r="6735" customFormat="false" ht="15" hidden="false" customHeight="false" outlineLevel="0" collapsed="false">
      <c r="A6735" s="4" t="s">
        <v>481</v>
      </c>
      <c r="B6735" s="36" t="s">
        <v>478</v>
      </c>
      <c r="C6735" s="45" t="n">
        <f aca="false">Assumptions!$E$21^(MAX(0,C6730-Assumptions!$E$13)/4)</f>
        <v>1</v>
      </c>
      <c r="D6735" s="45" t="n">
        <f aca="false">Assumptions!$E$21^(MAX(0,D6730-Assumptions!$E$13)/4)</f>
        <v>0.9306048591021</v>
      </c>
      <c r="E6735" s="45" t="n">
        <f aca="false">Assumptions!$E$21^(MAX(0,E6730-Assumptions!$E$13)/4)</f>
        <v>0.866025403784439</v>
      </c>
      <c r="F6735" s="45" t="n">
        <f aca="false">Assumptions!$E$21^(MAX(0,F6730-Assumptions!$E$13)/4)</f>
        <v>0.805927448867656</v>
      </c>
      <c r="G6735" s="45" t="n">
        <f aca="false">Assumptions!$E$21^(MAX(0,G6730-Assumptions!$E$13)/4)</f>
        <v>0.75</v>
      </c>
      <c r="H6735" s="45" t="n">
        <f aca="false">Assumptions!$E$21^(MAX(0,H6730-Assumptions!$E$13)/4)</f>
        <v>0.697953644326575</v>
      </c>
      <c r="I6735" s="45" t="n">
        <f aca="false">Assumptions!$E$21^(MAX(0,I6730-Assumptions!$E$13)/4)</f>
        <v>0.649519052838329</v>
      </c>
      <c r="J6735" s="45" t="n">
        <f aca="false">Assumptions!$E$21^(MAX(0,J6730-Assumptions!$E$13)/4)</f>
        <v>0.604445586650742</v>
      </c>
      <c r="K6735" s="45" t="n">
        <f aca="false">Assumptions!$E$21^(MAX(0,K6730-Assumptions!$E$13)/4)</f>
        <v>0.5625</v>
      </c>
      <c r="L6735" s="45" t="n">
        <f aca="false">Assumptions!$E$21^(MAX(0,L6730-Assumptions!$E$13)/4)</f>
        <v>0.523465233244931</v>
      </c>
      <c r="M6735" s="45" t="n">
        <f aca="false">Assumptions!$E$21^(MAX(0,M6730-Assumptions!$E$13)/4)</f>
        <v>0.487139289628747</v>
      </c>
      <c r="N6735" s="45" t="n">
        <f aca="false">Assumptions!$E$21^(MAX(0,N6730-Assumptions!$E$13)/4)</f>
        <v>0.453334189988057</v>
      </c>
      <c r="P6735" s="46"/>
      <c r="Q6735" s="46"/>
      <c r="R6735" s="46"/>
      <c r="S6735" s="47"/>
    </row>
    <row r="6736" customFormat="false" ht="15" hidden="false" customHeight="false" outlineLevel="0" collapsed="false">
      <c r="A6736" s="4" t="s">
        <v>482</v>
      </c>
      <c r="B6736" s="36" t="s">
        <v>478</v>
      </c>
      <c r="C6736" s="45" t="n">
        <f aca="false">Assumptions!$E$21^(MAX(0,C6730-Assumptions!$D$14)/4)</f>
        <v>1</v>
      </c>
      <c r="D6736" s="45" t="n">
        <f aca="false">Assumptions!$E$21^(MAX(0,D6730-Assumptions!$D$14)/4)</f>
        <v>1</v>
      </c>
      <c r="E6736" s="45" t="n">
        <f aca="false">Assumptions!$E$21^(MAX(0,E6730-Assumptions!$D$14)/4)</f>
        <v>1</v>
      </c>
      <c r="F6736" s="45" t="n">
        <f aca="false">Assumptions!$E$21^(MAX(0,F6730-Assumptions!$D$14)/4)</f>
        <v>1</v>
      </c>
      <c r="G6736" s="45" t="n">
        <f aca="false">Assumptions!$E$21^(MAX(0,G6730-Assumptions!$D$14)/4)</f>
        <v>1</v>
      </c>
      <c r="H6736" s="45" t="n">
        <f aca="false">Assumptions!$E$21^(MAX(0,H6730-Assumptions!$D$14)/4)</f>
        <v>1</v>
      </c>
      <c r="I6736" s="45" t="n">
        <f aca="false">Assumptions!$E$21^(MAX(0,I6730-Assumptions!$D$14)/4)</f>
        <v>1</v>
      </c>
      <c r="J6736" s="45" t="n">
        <f aca="false">Assumptions!$E$21^(MAX(0,J6730-Assumptions!$D$14)/4)</f>
        <v>0.9306048591021</v>
      </c>
      <c r="K6736" s="45" t="n">
        <f aca="false">Assumptions!$E$21^(MAX(0,K6730-Assumptions!$D$14)/4)</f>
        <v>0.866025403784439</v>
      </c>
      <c r="L6736" s="45" t="n">
        <f aca="false">Assumptions!$E$21^(MAX(0,L6730-Assumptions!$D$14)/4)</f>
        <v>0.805927448867656</v>
      </c>
      <c r="M6736" s="45" t="n">
        <f aca="false">Assumptions!$E$21^(MAX(0,M6730-Assumptions!$D$14)/4)</f>
        <v>0.75</v>
      </c>
      <c r="N6736" s="45" t="n">
        <f aca="false">Assumptions!$E$21^(MAX(0,N6730-Assumptions!$D$14)/4)</f>
        <v>0.697953644326575</v>
      </c>
      <c r="P6736" s="46"/>
      <c r="Q6736" s="46"/>
      <c r="R6736" s="46"/>
      <c r="S6736" s="47"/>
    </row>
    <row r="6737" customFormat="false" ht="15" hidden="false" customHeight="false" outlineLevel="0" collapsed="false">
      <c r="A6737" s="4" t="s">
        <v>483</v>
      </c>
      <c r="B6737" s="36" t="s">
        <v>478</v>
      </c>
      <c r="C6737" s="45" t="n">
        <f aca="false">Assumptions!$E$21^(MAX(0,C6730-Assumptions!$D$15)/4)</f>
        <v>1</v>
      </c>
      <c r="D6737" s="45" t="n">
        <f aca="false">Assumptions!$E$21^(MAX(0,D6730-Assumptions!$D$15)/4)</f>
        <v>1</v>
      </c>
      <c r="E6737" s="45" t="n">
        <f aca="false">Assumptions!$E$21^(MAX(0,E6730-Assumptions!$D$15)/4)</f>
        <v>1</v>
      </c>
      <c r="F6737" s="45" t="n">
        <f aca="false">Assumptions!$E$21^(MAX(0,F6730-Assumptions!$D$15)/4)</f>
        <v>1</v>
      </c>
      <c r="G6737" s="45" t="n">
        <f aca="false">Assumptions!$E$21^(MAX(0,G6730-Assumptions!$D$15)/4)</f>
        <v>1</v>
      </c>
      <c r="H6737" s="45" t="n">
        <f aca="false">Assumptions!$E$21^(MAX(0,H6730-Assumptions!$D$15)/4)</f>
        <v>1</v>
      </c>
      <c r="I6737" s="45" t="n">
        <f aca="false">Assumptions!$E$21^(MAX(0,I6730-Assumptions!$D$15)/4)</f>
        <v>1</v>
      </c>
      <c r="J6737" s="45" t="n">
        <f aca="false">Assumptions!$E$21^(MAX(0,J6730-Assumptions!$D$15)/4)</f>
        <v>1</v>
      </c>
      <c r="K6737" s="45" t="n">
        <f aca="false">Assumptions!$E$21^(MAX(0,K6730-Assumptions!$D$15)/4)</f>
        <v>1</v>
      </c>
      <c r="L6737" s="45" t="n">
        <f aca="false">Assumptions!$E$21^(MAX(0,L6730-Assumptions!$D$15)/4)</f>
        <v>1</v>
      </c>
      <c r="M6737" s="45" t="n">
        <f aca="false">Assumptions!$E$21^(MAX(0,M6730-Assumptions!$D$15)/4)</f>
        <v>1</v>
      </c>
      <c r="N6737" s="45" t="n">
        <f aca="false">Assumptions!$E$21^(MAX(0,N6730-Assumptions!$D$15)/4)</f>
        <v>1</v>
      </c>
      <c r="P6737" s="46"/>
      <c r="Q6737" s="46"/>
      <c r="R6737" s="46"/>
      <c r="S6737" s="47"/>
    </row>
    <row r="6738" customFormat="false" ht="15" hidden="false" customHeight="false" outlineLevel="0" collapsed="false">
      <c r="A6738" s="4" t="s">
        <v>484</v>
      </c>
      <c r="B6738" s="36" t="s">
        <v>485</v>
      </c>
      <c r="C6738" s="39" t="n">
        <f aca="false">$C$6709*C6732+$C$6713*C6733+$C$6717*C6734</f>
        <v>421.51972352</v>
      </c>
      <c r="D6738" s="39" t="n">
        <f aca="false">$C$6709*D6732+$C$6713*D6733+$C$6717*D6734</f>
        <v>843.03944704</v>
      </c>
      <c r="E6738" s="39" t="n">
        <f aca="false">$C$6709*E6732+$C$6713*E6733+$C$6717*E6734</f>
        <v>843.03944704</v>
      </c>
      <c r="F6738" s="39" t="n">
        <f aca="false">$C$6709*F6732+$C$6713*F6733+$C$6717*F6734</f>
        <v>843.03944704</v>
      </c>
      <c r="G6738" s="39" t="n">
        <f aca="false">$C$6709*G6732+$C$6713*G6733+$C$6717*G6734</f>
        <v>843.03944704</v>
      </c>
      <c r="H6738" s="39" t="n">
        <f aca="false">$C$6709*H6732+$C$6713*H6733+$C$6717*H6734</f>
        <v>843.03944704</v>
      </c>
      <c r="I6738" s="39" t="n">
        <f aca="false">$C$6709*I6732+$C$6713*I6733+$C$6717*I6734</f>
        <v>1149.32798176</v>
      </c>
      <c r="J6738" s="39" t="n">
        <f aca="false">$C$6709*J6732+$C$6713*J6733+$C$6717*J6734</f>
        <v>1455.61651648</v>
      </c>
      <c r="K6738" s="39" t="n">
        <f aca="false">$C$6709*K6732+$C$6713*K6733+$C$6717*K6734</f>
        <v>1455.61651648</v>
      </c>
      <c r="L6738" s="39" t="n">
        <f aca="false">$C$6709*L6732+$C$6713*L6733+$C$6717*L6734</f>
        <v>1455.61651648</v>
      </c>
      <c r="M6738" s="39" t="n">
        <f aca="false">$C$6709*M6732+$C$6713*M6733+$C$6717*M6734</f>
        <v>1455.61651648</v>
      </c>
      <c r="N6738" s="39" t="n">
        <f aca="false">$C$6709*N6732+$C$6713*N6733+$C$6717*N6734</f>
        <v>1455.61651648</v>
      </c>
      <c r="P6738" s="40" t="n">
        <f aca="false">F6738</f>
        <v>843.03944704</v>
      </c>
      <c r="Q6738" s="40" t="n">
        <f aca="false">J6738</f>
        <v>1455.61651648</v>
      </c>
      <c r="R6738" s="40" t="n">
        <f aca="false">N6738</f>
        <v>1455.61651648</v>
      </c>
      <c r="S6738" s="41" t="n">
        <f aca="false">R6738</f>
        <v>1455.61651648</v>
      </c>
    </row>
    <row r="6739" customFormat="false" ht="15" hidden="false" customHeight="false" outlineLevel="0" collapsed="false">
      <c r="A6739" s="4" t="s">
        <v>486</v>
      </c>
      <c r="B6739" s="36" t="s">
        <v>485</v>
      </c>
      <c r="C6739" s="39" t="n">
        <f aca="false">$C$6710*C6732+$C$6714*C6733+$C$6718*C6734</f>
        <v>105.59808</v>
      </c>
      <c r="D6739" s="39" t="n">
        <f aca="false">$C$6710*D6732+$C$6714*D6733+$C$6718*D6734</f>
        <v>211.19616</v>
      </c>
      <c r="E6739" s="39" t="n">
        <f aca="false">$C$6710*E6732+$C$6714*E6733+$C$6718*E6734</f>
        <v>211.19616</v>
      </c>
      <c r="F6739" s="39" t="n">
        <f aca="false">$C$6710*F6732+$C$6714*F6733+$C$6718*F6734</f>
        <v>211.19616</v>
      </c>
      <c r="G6739" s="39" t="n">
        <f aca="false">$C$6710*G6732+$C$6714*G6733+$C$6718*G6734</f>
        <v>211.19616</v>
      </c>
      <c r="H6739" s="39" t="n">
        <f aca="false">$C$6710*H6732+$C$6714*H6733+$C$6718*H6734</f>
        <v>211.19616</v>
      </c>
      <c r="I6739" s="39" t="n">
        <f aca="false">$C$6710*I6732+$C$6714*I6733+$C$6718*I6734</f>
        <v>282.24672</v>
      </c>
      <c r="J6739" s="39" t="n">
        <f aca="false">$C$6710*J6732+$C$6714*J6733+$C$6718*J6734</f>
        <v>353.29728</v>
      </c>
      <c r="K6739" s="39" t="n">
        <f aca="false">$C$6710*K6732+$C$6714*K6733+$C$6718*K6734</f>
        <v>353.29728</v>
      </c>
      <c r="L6739" s="39" t="n">
        <f aca="false">$C$6710*L6732+$C$6714*L6733+$C$6718*L6734</f>
        <v>353.29728</v>
      </c>
      <c r="M6739" s="39" t="n">
        <f aca="false">$C$6710*M6732+$C$6714*M6733+$C$6718*M6734</f>
        <v>353.29728</v>
      </c>
      <c r="N6739" s="39" t="n">
        <f aca="false">$C$6710*N6732+$C$6714*N6733+$C$6718*N6734</f>
        <v>353.29728</v>
      </c>
      <c r="P6739" s="40" t="n">
        <f aca="false">F6739</f>
        <v>211.19616</v>
      </c>
      <c r="Q6739" s="40" t="n">
        <f aca="false">J6739</f>
        <v>353.29728</v>
      </c>
      <c r="R6739" s="40" t="n">
        <f aca="false">N6739</f>
        <v>353.29728</v>
      </c>
      <c r="S6739" s="41" t="n">
        <f aca="false">R6739</f>
        <v>353.29728</v>
      </c>
    </row>
    <row r="6740" customFormat="false" ht="15" hidden="false" customHeight="false" outlineLevel="0" collapsed="false">
      <c r="A6740" s="4" t="s">
        <v>487</v>
      </c>
      <c r="B6740" s="36" t="s">
        <v>485</v>
      </c>
      <c r="C6740" s="39" t="n">
        <f aca="false">$C$6711*C6732+$C$6715*C6733+$C$6719*C6734</f>
        <v>24.76992</v>
      </c>
      <c r="D6740" s="39" t="n">
        <f aca="false">$C$6711*D6732+$C$6715*D6733+$C$6719*D6734</f>
        <v>49.53984</v>
      </c>
      <c r="E6740" s="39" t="n">
        <f aca="false">$C$6711*E6732+$C$6715*E6733+$C$6719*E6734</f>
        <v>49.53984</v>
      </c>
      <c r="F6740" s="39" t="n">
        <f aca="false">$C$6711*F6732+$C$6715*F6733+$C$6719*F6734</f>
        <v>49.53984</v>
      </c>
      <c r="G6740" s="39" t="n">
        <f aca="false">$C$6711*G6732+$C$6715*G6733+$C$6719*G6734</f>
        <v>49.53984</v>
      </c>
      <c r="H6740" s="39" t="n">
        <f aca="false">$C$6711*H6732+$C$6715*H6733+$C$6719*H6734</f>
        <v>49.53984</v>
      </c>
      <c r="I6740" s="39" t="n">
        <f aca="false">$C$6711*I6732+$C$6715*I6733+$C$6719*I6734</f>
        <v>61.9248</v>
      </c>
      <c r="J6740" s="39" t="n">
        <f aca="false">$C$6711*J6732+$C$6715*J6733+$C$6719*J6734</f>
        <v>74.30976</v>
      </c>
      <c r="K6740" s="39" t="n">
        <f aca="false">$C$6711*K6732+$C$6715*K6733+$C$6719*K6734</f>
        <v>74.30976</v>
      </c>
      <c r="L6740" s="39" t="n">
        <f aca="false">$C$6711*L6732+$C$6715*L6733+$C$6719*L6734</f>
        <v>74.30976</v>
      </c>
      <c r="M6740" s="39" t="n">
        <f aca="false">$C$6711*M6732+$C$6715*M6733+$C$6719*M6734</f>
        <v>74.30976</v>
      </c>
      <c r="N6740" s="39" t="n">
        <f aca="false">$C$6711*N6732+$C$6715*N6733+$C$6719*N6734</f>
        <v>74.30976</v>
      </c>
      <c r="P6740" s="40" t="n">
        <f aca="false">F6740</f>
        <v>49.53984</v>
      </c>
      <c r="Q6740" s="40" t="n">
        <f aca="false">J6740</f>
        <v>74.30976</v>
      </c>
      <c r="R6740" s="40" t="n">
        <f aca="false">N6740</f>
        <v>74.30976</v>
      </c>
      <c r="S6740" s="41" t="n">
        <f aca="false">R6740</f>
        <v>74.30976</v>
      </c>
    </row>
    <row r="6741" customFormat="false" ht="15" hidden="false" customHeight="false" outlineLevel="0" collapsed="false">
      <c r="A6741" s="4" t="s">
        <v>488</v>
      </c>
      <c r="B6741" s="36" t="s">
        <v>485</v>
      </c>
      <c r="C6741" s="39" t="n">
        <f aca="false">C6738+C6739+C6740</f>
        <v>551.88772352</v>
      </c>
      <c r="D6741" s="39" t="n">
        <f aca="false">D6738+D6739+D6740</f>
        <v>1103.77544704</v>
      </c>
      <c r="E6741" s="39" t="n">
        <f aca="false">E6738+E6739+E6740</f>
        <v>1103.77544704</v>
      </c>
      <c r="F6741" s="39" t="n">
        <f aca="false">F6738+F6739+F6740</f>
        <v>1103.77544704</v>
      </c>
      <c r="G6741" s="39" t="n">
        <f aca="false">G6738+G6739+G6740</f>
        <v>1103.77544704</v>
      </c>
      <c r="H6741" s="39" t="n">
        <f aca="false">H6738+H6739+H6740</f>
        <v>1103.77544704</v>
      </c>
      <c r="I6741" s="39" t="n">
        <f aca="false">I6738+I6739+I6740</f>
        <v>1493.49950176</v>
      </c>
      <c r="J6741" s="39" t="n">
        <f aca="false">J6738+J6739+J6740</f>
        <v>1883.22355648</v>
      </c>
      <c r="K6741" s="39" t="n">
        <f aca="false">K6738+K6739+K6740</f>
        <v>1883.22355648</v>
      </c>
      <c r="L6741" s="39" t="n">
        <f aca="false">L6738+L6739+L6740</f>
        <v>1883.22355648</v>
      </c>
      <c r="M6741" s="39" t="n">
        <f aca="false">M6738+M6739+M6740</f>
        <v>1883.22355648</v>
      </c>
      <c r="N6741" s="39" t="n">
        <f aca="false">N6738+N6739+N6740</f>
        <v>1883.22355648</v>
      </c>
      <c r="P6741" s="40" t="n">
        <f aca="false">F6741</f>
        <v>1103.77544704</v>
      </c>
      <c r="Q6741" s="40" t="n">
        <f aca="false">J6741</f>
        <v>1883.22355648</v>
      </c>
      <c r="R6741" s="40" t="n">
        <f aca="false">N6741</f>
        <v>1883.22355648</v>
      </c>
      <c r="S6741" s="41" t="n">
        <f aca="false">R6741</f>
        <v>1883.22355648</v>
      </c>
    </row>
    <row r="6742" customFormat="false" ht="15" hidden="false" customHeight="false" outlineLevel="0" collapsed="false">
      <c r="A6742" s="4" t="s">
        <v>489</v>
      </c>
      <c r="B6742" s="36" t="s">
        <v>485</v>
      </c>
      <c r="C6742" s="39" t="n">
        <f aca="false">$C$6712*C6732*C6735+$C$6716*C6733*C6736+$C$6720*C6734*C6737</f>
        <v>551.88772352</v>
      </c>
      <c r="D6742" s="39" t="n">
        <f aca="false">$C$6712*D6732*D6735+$C$6716*D6733*D6736+$C$6720*D6734*D6737</f>
        <v>1027.17879437302</v>
      </c>
      <c r="E6742" s="39" t="n">
        <f aca="false">$C$6712*E6732*E6735+$C$6716*E6733*E6736+$C$6720*E6734*E6737</f>
        <v>955.897577210165</v>
      </c>
      <c r="F6742" s="39" t="n">
        <f aca="false">$C$6712*F6732*F6735+$C$6716*F6733*F6736+$C$6720*F6734*F6737</f>
        <v>889.562930155704</v>
      </c>
      <c r="G6742" s="39" t="n">
        <f aca="false">$C$6712*G6732*G6735+$C$6716*G6733*G6736+$C$6720*G6734*G6737</f>
        <v>827.83158528</v>
      </c>
      <c r="H6742" s="39" t="n">
        <f aca="false">$C$6712*H6732*H6735+$C$6716*H6733*H6736+$C$6720*H6734*H6737</f>
        <v>770.384095779762</v>
      </c>
      <c r="I6742" s="39" t="n">
        <f aca="false">$C$6712*I6732*I6735+$C$6716*I6733*I6736+$C$6720*I6734*I6737</f>
        <v>1106.64723762762</v>
      </c>
      <c r="J6742" s="39" t="n">
        <f aca="false">$C$6712*J6732*J6735+$C$6716*J6733*J6736+$C$6720*J6734*J6737</f>
        <v>1392.53039567959</v>
      </c>
      <c r="K6742" s="39" t="n">
        <f aca="false">$C$6712*K6732*K6735+$C$6716*K6733*K6736+$C$6720*K6734*K6737</f>
        <v>1295.89555266679</v>
      </c>
      <c r="L6742" s="39" t="n">
        <f aca="false">$C$6712*L6732*L6735+$C$6716*L6733*L6736+$C$6720*L6734*L6737</f>
        <v>1205.96669820052</v>
      </c>
      <c r="M6742" s="39" t="n">
        <f aca="false">$C$6712*M6732*M6735+$C$6716*M6733*M6736+$C$6720*M6734*M6737</f>
        <v>1122.27846926072</v>
      </c>
      <c r="N6742" s="39" t="n">
        <f aca="false">$C$6712*N6732*N6735+$C$6716*N6733*N6736+$C$6720*N6734*N6737</f>
        <v>1044.39779675969</v>
      </c>
      <c r="P6742" s="40"/>
      <c r="Q6742" s="40"/>
      <c r="R6742" s="40"/>
      <c r="S6742" s="41"/>
    </row>
    <row r="6743" customFormat="false" ht="15" hidden="false" customHeight="false" outlineLevel="0" collapsed="false">
      <c r="A6743" s="4" t="s">
        <v>490</v>
      </c>
      <c r="B6743" s="36" t="s">
        <v>491</v>
      </c>
      <c r="C6743" s="48" t="n">
        <f aca="false">$C$6724*Assumptions!$E$20*C6731*C6742</f>
        <v>6.62265268224</v>
      </c>
      <c r="D6743" s="48" t="n">
        <f aca="false">$C$6724*Assumptions!$E$20*D6731*D6742</f>
        <v>12.3261455324762</v>
      </c>
      <c r="E6743" s="48" t="n">
        <f aca="false">$C$6724*Assumptions!$E$20*E6731*E6742</f>
        <v>11.470770926522</v>
      </c>
      <c r="F6743" s="48" t="n">
        <f aca="false">$C$6724*Assumptions!$E$20*F6731*F6742</f>
        <v>10.6747551618685</v>
      </c>
      <c r="G6743" s="48" t="n">
        <f aca="false">$C$6724*Assumptions!$E$20*G6731*G6742</f>
        <v>9.93397902336</v>
      </c>
      <c r="H6743" s="48" t="n">
        <f aca="false">$C$6724*Assumptions!$E$20*H6731*H6742</f>
        <v>9.24460914935715</v>
      </c>
      <c r="I6743" s="48" t="n">
        <f aca="false">$C$6724*Assumptions!$E$20*I6731*I6742</f>
        <v>13.2797668515315</v>
      </c>
      <c r="J6743" s="48" t="n">
        <f aca="false">$C$6724*Assumptions!$E$20*J6731*J6742</f>
        <v>16.710364748155</v>
      </c>
      <c r="K6743" s="48" t="n">
        <f aca="false">$C$6724*Assumptions!$E$20*K6731*K6742</f>
        <v>15.5507466320015</v>
      </c>
      <c r="L6743" s="48" t="n">
        <f aca="false">$C$6724*Assumptions!$E$20*L6731*L6742</f>
        <v>14.4716003784062</v>
      </c>
      <c r="M6743" s="48" t="n">
        <f aca="false">$C$6724*Assumptions!$E$20*M6731*M6742</f>
        <v>13.4673416311286</v>
      </c>
      <c r="N6743" s="48" t="n">
        <f aca="false">$C$6724*Assumptions!$E$20*N6731*N6742</f>
        <v>12.5327735611163</v>
      </c>
      <c r="P6743" s="49" t="n">
        <f aca="false">SUM(C6743:F6743)</f>
        <v>41.0943243031066</v>
      </c>
      <c r="Q6743" s="49" t="n">
        <f aca="false">SUM(G6743:J6743)</f>
        <v>49.1687197724037</v>
      </c>
      <c r="R6743" s="49" t="n">
        <f aca="false">SUM(K6743:N6743)</f>
        <v>56.0224622026527</v>
      </c>
      <c r="S6743" s="50" t="n">
        <f aca="false">SUM(P6743:R6743)</f>
        <v>146.285506278163</v>
      </c>
    </row>
    <row r="6744" customFormat="false" ht="15" hidden="false" customHeight="false" outlineLevel="0" collapsed="false">
      <c r="A6744" s="4" t="s">
        <v>492</v>
      </c>
      <c r="B6744" s="36" t="s">
        <v>321</v>
      </c>
      <c r="C6744" s="48" t="n">
        <f aca="false">Assumptions!$D$111</f>
        <v>0</v>
      </c>
      <c r="D6744" s="48" t="n">
        <f aca="false">Assumptions!$E$111</f>
        <v>0</v>
      </c>
      <c r="E6744" s="48" t="n">
        <f aca="false">Assumptions!$F$111</f>
        <v>0</v>
      </c>
      <c r="F6744" s="48" t="n">
        <f aca="false">Assumptions!$G$111</f>
        <v>0</v>
      </c>
      <c r="G6744" s="48" t="n">
        <f aca="false">Assumptions!$H$111</f>
        <v>0</v>
      </c>
      <c r="H6744" s="48" t="n">
        <f aca="false">Assumptions!$I$111</f>
        <v>0</v>
      </c>
      <c r="I6744" s="48" t="n">
        <f aca="false">Assumptions!$J$111</f>
        <v>0</v>
      </c>
      <c r="J6744" s="48" t="n">
        <f aca="false">Assumptions!$K$111</f>
        <v>0</v>
      </c>
      <c r="K6744" s="48" t="n">
        <f aca="false">Assumptions!$L$111</f>
        <v>0</v>
      </c>
      <c r="L6744" s="48" t="n">
        <f aca="false">Assumptions!$M$111</f>
        <v>0</v>
      </c>
      <c r="M6744" s="48" t="n">
        <f aca="false">Assumptions!$N$111</f>
        <v>0</v>
      </c>
      <c r="N6744" s="48" t="n">
        <f aca="false">Assumptions!$O$111</f>
        <v>0</v>
      </c>
      <c r="P6744" s="49" t="n">
        <f aca="false">F6744</f>
        <v>0</v>
      </c>
      <c r="Q6744" s="49" t="n">
        <f aca="false">J6744</f>
        <v>0</v>
      </c>
      <c r="R6744" s="49" t="n">
        <f aca="false">N6744</f>
        <v>0</v>
      </c>
      <c r="S6744" s="50" t="n">
        <f aca="false">R6744</f>
        <v>0</v>
      </c>
    </row>
    <row r="6745" customFormat="false" ht="15" hidden="false" customHeight="false" outlineLevel="0" collapsed="false">
      <c r="A6745" s="4" t="s">
        <v>493</v>
      </c>
      <c r="B6745" s="36" t="s">
        <v>321</v>
      </c>
      <c r="C6745" s="48" t="n">
        <f aca="false">0</f>
        <v>0</v>
      </c>
      <c r="D6745" s="48" t="n">
        <f aca="false">0.5*C6744</f>
        <v>0</v>
      </c>
      <c r="E6745" s="48" t="n">
        <f aca="false">C6744+0.5*(D6744-C6744)</f>
        <v>0</v>
      </c>
      <c r="F6745" s="48" t="n">
        <f aca="false">D6744+0.5*(E6744-D6744)</f>
        <v>0</v>
      </c>
      <c r="G6745" s="48" t="n">
        <f aca="false">E6744+0.5*(F6744-E6744)</f>
        <v>0</v>
      </c>
      <c r="H6745" s="48" t="n">
        <f aca="false">F6744+0.5*(G6744-F6744)</f>
        <v>0</v>
      </c>
      <c r="I6745" s="48" t="n">
        <f aca="false">G6744+0.5*(H6744-G6744)</f>
        <v>0</v>
      </c>
      <c r="J6745" s="48" t="n">
        <f aca="false">H6744+0.5*(I6744-H6744)</f>
        <v>0</v>
      </c>
      <c r="K6745" s="48" t="n">
        <f aca="false">I6744+0.5*(J6744-I6744)</f>
        <v>0</v>
      </c>
      <c r="L6745" s="48" t="n">
        <f aca="false">J6744+0.5*(K6744-J6744)</f>
        <v>0</v>
      </c>
      <c r="M6745" s="48" t="n">
        <f aca="false">K6744+0.5*(L6744-K6744)</f>
        <v>0</v>
      </c>
      <c r="N6745" s="48" t="n">
        <f aca="false">L6744+0.5*(M6744-L6744)</f>
        <v>0</v>
      </c>
      <c r="P6745" s="49" t="n">
        <f aca="false">F6745</f>
        <v>0</v>
      </c>
      <c r="Q6745" s="49" t="n">
        <f aca="false">J6745</f>
        <v>0</v>
      </c>
      <c r="R6745" s="49" t="n">
        <f aca="false">N6745</f>
        <v>0</v>
      </c>
      <c r="S6745" s="50" t="n">
        <f aca="false">R6745</f>
        <v>0</v>
      </c>
    </row>
    <row r="6746" customFormat="false" ht="15" hidden="false" customHeight="false" outlineLevel="0" collapsed="false">
      <c r="A6746" s="4" t="s">
        <v>494</v>
      </c>
      <c r="B6746" s="36" t="s">
        <v>485</v>
      </c>
      <c r="C6746" s="39" t="n">
        <f aca="false">MIN(C6745*Assumptions!$E$38,C6741*(1-$C$6724))</f>
        <v>0</v>
      </c>
      <c r="D6746" s="39" t="n">
        <f aca="false">MIN(D6745*Assumptions!$E$38,D6741*(1-$C$6724))</f>
        <v>0</v>
      </c>
      <c r="E6746" s="39" t="n">
        <f aca="false">MIN(E6745*Assumptions!$E$38,E6741*(1-$C$6724))</f>
        <v>0</v>
      </c>
      <c r="F6746" s="39" t="n">
        <f aca="false">MIN(F6745*Assumptions!$E$38,F6741*(1-$C$6724))</f>
        <v>0</v>
      </c>
      <c r="G6746" s="39" t="n">
        <f aca="false">MIN(G6745*Assumptions!$E$38,G6741*(1-$C$6724))</f>
        <v>0</v>
      </c>
      <c r="H6746" s="39" t="n">
        <f aca="false">MIN(H6745*Assumptions!$E$38,H6741*(1-$C$6724))</f>
        <v>0</v>
      </c>
      <c r="I6746" s="39" t="n">
        <f aca="false">MIN(I6745*Assumptions!$E$38,I6741*(1-$C$6724))</f>
        <v>0</v>
      </c>
      <c r="J6746" s="39" t="n">
        <f aca="false">MIN(J6745*Assumptions!$E$38,J6741*(1-$C$6724))</f>
        <v>0</v>
      </c>
      <c r="K6746" s="39" t="n">
        <f aca="false">MIN(K6745*Assumptions!$E$38,K6741*(1-$C$6724))</f>
        <v>0</v>
      </c>
      <c r="L6746" s="39" t="n">
        <f aca="false">MIN(L6745*Assumptions!$E$38,L6741*(1-$C$6724))</f>
        <v>0</v>
      </c>
      <c r="M6746" s="39" t="n">
        <f aca="false">MIN(M6745*Assumptions!$E$38,M6741*(1-$C$6724))</f>
        <v>0</v>
      </c>
      <c r="N6746" s="39" t="n">
        <f aca="false">MIN(N6745*Assumptions!$E$38,N6741*(1-$C$6724))</f>
        <v>0</v>
      </c>
      <c r="P6746" s="40" t="n">
        <f aca="false">SUM(C6746:F6746)</f>
        <v>0</v>
      </c>
      <c r="Q6746" s="40" t="n">
        <f aca="false">SUM(G6746:J6746)</f>
        <v>0</v>
      </c>
      <c r="R6746" s="40" t="n">
        <f aca="false">SUM(K6746:N6746)</f>
        <v>0</v>
      </c>
      <c r="S6746" s="41" t="n">
        <f aca="false">SUM(P6746:R6746)</f>
        <v>0</v>
      </c>
    </row>
    <row r="6747" customFormat="false" ht="15" hidden="false" customHeight="false" outlineLevel="0" collapsed="false">
      <c r="A6747" s="4" t="s">
        <v>495</v>
      </c>
      <c r="B6747" s="36" t="s">
        <v>491</v>
      </c>
      <c r="C6747" s="48" t="n">
        <f aca="false">C6746*Assumptions!$E$20*Assumptions!$E$39*IF(C6741&gt;0,C6742/C6741,0)*C6731</f>
        <v>0</v>
      </c>
      <c r="D6747" s="48" t="n">
        <f aca="false">D6746*Assumptions!$E$20*Assumptions!$E$39*IF(D6741&gt;0,D6742/D6741,0)*D6731</f>
        <v>0</v>
      </c>
      <c r="E6747" s="48" t="n">
        <f aca="false">E6746*Assumptions!$E$20*Assumptions!$E$39*IF(E6741&gt;0,E6742/E6741,0)*E6731</f>
        <v>0</v>
      </c>
      <c r="F6747" s="48" t="n">
        <f aca="false">F6746*Assumptions!$E$20*Assumptions!$E$39*IF(F6741&gt;0,F6742/F6741,0)*F6731</f>
        <v>0</v>
      </c>
      <c r="G6747" s="48" t="n">
        <f aca="false">G6746*Assumptions!$E$20*Assumptions!$E$39*IF(G6741&gt;0,G6742/G6741,0)*G6731</f>
        <v>0</v>
      </c>
      <c r="H6747" s="48" t="n">
        <f aca="false">H6746*Assumptions!$E$20*Assumptions!$E$39*IF(H6741&gt;0,H6742/H6741,0)*H6731</f>
        <v>0</v>
      </c>
      <c r="I6747" s="48" t="n">
        <f aca="false">I6746*Assumptions!$E$20*Assumptions!$E$39*IF(I6741&gt;0,I6742/I6741,0)*I6731</f>
        <v>0</v>
      </c>
      <c r="J6747" s="48" t="n">
        <f aca="false">J6746*Assumptions!$E$20*Assumptions!$E$39*IF(J6741&gt;0,J6742/J6741,0)*J6731</f>
        <v>0</v>
      </c>
      <c r="K6747" s="48" t="n">
        <f aca="false">K6746*Assumptions!$E$20*Assumptions!$E$39*IF(K6741&gt;0,K6742/K6741,0)*K6731</f>
        <v>0</v>
      </c>
      <c r="L6747" s="48" t="n">
        <f aca="false">L6746*Assumptions!$E$20*Assumptions!$E$39*IF(L6741&gt;0,L6742/L6741,0)*L6731</f>
        <v>0</v>
      </c>
      <c r="M6747" s="48" t="n">
        <f aca="false">M6746*Assumptions!$E$20*Assumptions!$E$39*IF(M6741&gt;0,M6742/M6741,0)*M6731</f>
        <v>0</v>
      </c>
      <c r="N6747" s="48" t="n">
        <f aca="false">N6746*Assumptions!$E$20*Assumptions!$E$39*IF(N6741&gt;0,N6742/N6741,0)*N6731</f>
        <v>0</v>
      </c>
      <c r="P6747" s="49" t="n">
        <f aca="false">SUM(C6747:F6747)</f>
        <v>0</v>
      </c>
      <c r="Q6747" s="49" t="n">
        <f aca="false">SUM(G6747:J6747)</f>
        <v>0</v>
      </c>
      <c r="R6747" s="49" t="n">
        <f aca="false">SUM(K6747:N6747)</f>
        <v>0</v>
      </c>
      <c r="S6747" s="50" t="n">
        <f aca="false">SUM(P6747:R6747)</f>
        <v>0</v>
      </c>
    </row>
    <row r="6748" customFormat="false" ht="15" hidden="false" customHeight="false" outlineLevel="0" collapsed="false">
      <c r="A6748" s="4" t="s">
        <v>496</v>
      </c>
      <c r="B6748" s="36" t="s">
        <v>497</v>
      </c>
      <c r="C6748" s="48" t="n">
        <f aca="false">IF(AND(C6741&gt;0,$C$6728&gt;0),C6741*Assumptions!$E$24*(1-EXP(-$C$6728/(Assumptions!$E$23*C6741*Assumptions!$E$24))),0)</f>
        <v>0</v>
      </c>
      <c r="D6748" s="48" t="n">
        <f aca="false">IF(AND(D6741&gt;0,$C$6728&gt;0),D6741*Assumptions!$E$24*(1-EXP(-$C$6728/(Assumptions!$E$23*D6741*Assumptions!$E$24))),0)</f>
        <v>0</v>
      </c>
      <c r="E6748" s="48" t="n">
        <f aca="false">IF(AND(E6741&gt;0,$C$6728&gt;0),E6741*Assumptions!$E$24*(1-EXP(-$C$6728/(Assumptions!$E$23*E6741*Assumptions!$E$24))),0)</f>
        <v>0</v>
      </c>
      <c r="F6748" s="48" t="n">
        <f aca="false">IF(AND(F6741&gt;0,$C$6728&gt;0),F6741*Assumptions!$E$24*(1-EXP(-$C$6728/(Assumptions!$E$23*F6741*Assumptions!$E$24))),0)</f>
        <v>0</v>
      </c>
      <c r="G6748" s="48" t="n">
        <f aca="false">IF(AND(G6741&gt;0,$C$6728&gt;0),G6741*Assumptions!$E$24*(1-EXP(-$C$6728/(Assumptions!$E$23*G6741*Assumptions!$E$24))),0)</f>
        <v>0</v>
      </c>
      <c r="H6748" s="48" t="n">
        <f aca="false">IF(AND(H6741&gt;0,$C$6728&gt;0),H6741*Assumptions!$E$24*(1-EXP(-$C$6728/(Assumptions!$E$23*H6741*Assumptions!$E$24))),0)</f>
        <v>0</v>
      </c>
      <c r="I6748" s="48" t="n">
        <f aca="false">IF(AND(I6741&gt;0,$C$6728&gt;0),I6741*Assumptions!$E$24*(1-EXP(-$C$6728/(Assumptions!$E$23*I6741*Assumptions!$E$24))),0)</f>
        <v>0</v>
      </c>
      <c r="J6748" s="48" t="n">
        <f aca="false">IF(AND(J6741&gt;0,$C$6728&gt;0),J6741*Assumptions!$E$24*(1-EXP(-$C$6728/(Assumptions!$E$23*J6741*Assumptions!$E$24))),0)</f>
        <v>0</v>
      </c>
      <c r="K6748" s="48" t="n">
        <f aca="false">IF(AND(K6741&gt;0,$C$6728&gt;0),K6741*Assumptions!$E$24*(1-EXP(-$C$6728/(Assumptions!$E$23*K6741*Assumptions!$E$24))),0)</f>
        <v>0</v>
      </c>
      <c r="L6748" s="48" t="n">
        <f aca="false">IF(AND(L6741&gt;0,$C$6728&gt;0),L6741*Assumptions!$E$24*(1-EXP(-$C$6728/(Assumptions!$E$23*L6741*Assumptions!$E$24))),0)</f>
        <v>0</v>
      </c>
      <c r="M6748" s="48" t="n">
        <f aca="false">IF(AND(M6741&gt;0,$C$6728&gt;0),M6741*Assumptions!$E$24*(1-EXP(-$C$6728/(Assumptions!$E$23*M6741*Assumptions!$E$24))),0)</f>
        <v>0</v>
      </c>
      <c r="N6748" s="48" t="n">
        <f aca="false">IF(AND(N6741&gt;0,$C$6728&gt;0),N6741*Assumptions!$E$24*(1-EXP(-$C$6728/(Assumptions!$E$23*N6741*Assumptions!$E$24))),0)</f>
        <v>0</v>
      </c>
      <c r="P6748" s="49" t="n">
        <f aca="false">SUM(C6748:F6748)</f>
        <v>0</v>
      </c>
      <c r="Q6748" s="49" t="n">
        <f aca="false">SUM(G6748:J6748)</f>
        <v>0</v>
      </c>
      <c r="R6748" s="49" t="n">
        <f aca="false">SUM(K6748:N6748)</f>
        <v>0</v>
      </c>
      <c r="S6748" s="50" t="n">
        <f aca="false">SUM(P6748:R6748)</f>
        <v>0</v>
      </c>
    </row>
    <row r="6749" customFormat="false" ht="15" hidden="false" customHeight="false" outlineLevel="0" collapsed="false">
      <c r="A6749" s="4" t="s">
        <v>498</v>
      </c>
      <c r="B6749" s="36" t="s">
        <v>497</v>
      </c>
      <c r="C6749" s="48" t="n">
        <f aca="false">(C6741*Assumptions!$E$22*MIN(1,Assumptions!$D$103/Assumptions!$E$78)+C6748)*C6731</f>
        <v>5.5188772352</v>
      </c>
      <c r="D6749" s="48" t="n">
        <f aca="false">(D6741*Assumptions!$E$22*MIN(1,Assumptions!$D$103/Assumptions!$E$78)+D6748)*D6731</f>
        <v>11.0377544704</v>
      </c>
      <c r="E6749" s="48" t="n">
        <f aca="false">(E6741*Assumptions!$E$22*MIN(1,Assumptions!$D$103/Assumptions!$E$78)+E6748)*E6731</f>
        <v>11.0377544704</v>
      </c>
      <c r="F6749" s="48" t="n">
        <f aca="false">(F6741*Assumptions!$E$22*MIN(1,Assumptions!$D$103/Assumptions!$E$78)+F6748)*F6731</f>
        <v>11.0377544704</v>
      </c>
      <c r="G6749" s="48" t="n">
        <f aca="false">(G6741*Assumptions!$E$22*MIN(1,Assumptions!$D$103/Assumptions!$E$78)+G6748)*G6731</f>
        <v>11.0377544704</v>
      </c>
      <c r="H6749" s="48" t="n">
        <f aca="false">(H6741*Assumptions!$E$22*MIN(1,Assumptions!$D$103/Assumptions!$E$78)+H6748)*H6731</f>
        <v>11.0377544704</v>
      </c>
      <c r="I6749" s="48" t="n">
        <f aca="false">(I6741*Assumptions!$E$22*MIN(1,Assumptions!$D$103/Assumptions!$E$78)+I6748)*I6731</f>
        <v>14.9349950176</v>
      </c>
      <c r="J6749" s="48" t="n">
        <f aca="false">(J6741*Assumptions!$E$22*MIN(1,Assumptions!$D$103/Assumptions!$E$78)+J6748)*J6731</f>
        <v>18.8322355648</v>
      </c>
      <c r="K6749" s="48" t="n">
        <f aca="false">(K6741*Assumptions!$E$22*MIN(1,Assumptions!$D$103/Assumptions!$E$78)+K6748)*K6731</f>
        <v>18.8322355648</v>
      </c>
      <c r="L6749" s="48" t="n">
        <f aca="false">(L6741*Assumptions!$E$22*MIN(1,Assumptions!$D$103/Assumptions!$E$78)+L6748)*L6731</f>
        <v>18.8322355648</v>
      </c>
      <c r="M6749" s="48" t="n">
        <f aca="false">(M6741*Assumptions!$E$22*MIN(1,Assumptions!$D$103/Assumptions!$E$78)+M6748)*M6731</f>
        <v>18.8322355648</v>
      </c>
      <c r="N6749" s="48" t="n">
        <f aca="false">(N6741*Assumptions!$E$22*MIN(1,Assumptions!$D$103/Assumptions!$E$78)+N6748)*N6731</f>
        <v>18.8322355648</v>
      </c>
      <c r="P6749" s="49" t="n">
        <f aca="false">SUM(C6749:F6749)</f>
        <v>38.6321406464</v>
      </c>
      <c r="Q6749" s="49" t="n">
        <f aca="false">SUM(G6749:J6749)</f>
        <v>55.8427395232</v>
      </c>
      <c r="R6749" s="49" t="n">
        <f aca="false">SUM(K6749:N6749)</f>
        <v>75.3289422592</v>
      </c>
      <c r="S6749" s="50" t="n">
        <f aca="false">SUM(P6749:R6749)</f>
        <v>169.8038224288</v>
      </c>
    </row>
    <row r="6750" customFormat="false" ht="15" hidden="false" customHeight="false" outlineLevel="0" collapsed="false">
      <c r="A6750" s="4" t="s">
        <v>499</v>
      </c>
      <c r="B6750" s="36" t="s">
        <v>500</v>
      </c>
      <c r="C6750" s="48" t="n">
        <f aca="false">C6731*MIN(Assumptions!$E$27,Assumptions!$E$25+Assumptions!$E$26*(C6730-1))*Assumptions!$D$107</f>
        <v>2</v>
      </c>
      <c r="D6750" s="48" t="n">
        <f aca="false">D6731*MIN(Assumptions!$E$27,Assumptions!$E$25+Assumptions!$E$26*(D6730-1))*Assumptions!$D$107</f>
        <v>3</v>
      </c>
      <c r="E6750" s="48" t="n">
        <f aca="false">E6731*MIN(Assumptions!$E$27,Assumptions!$E$25+Assumptions!$E$26*(E6730-1))*Assumptions!$D$107</f>
        <v>4</v>
      </c>
      <c r="F6750" s="48" t="n">
        <f aca="false">F6731*MIN(Assumptions!$E$27,Assumptions!$E$25+Assumptions!$E$26*(F6730-1))*Assumptions!$D$107</f>
        <v>5</v>
      </c>
      <c r="G6750" s="48" t="n">
        <f aca="false">G6731*MIN(Assumptions!$E$27,Assumptions!$E$25+Assumptions!$E$26*(G6730-1))*Assumptions!$D$107</f>
        <v>6</v>
      </c>
      <c r="H6750" s="48" t="n">
        <f aca="false">H6731*MIN(Assumptions!$E$27,Assumptions!$E$25+Assumptions!$E$26*(H6730-1))*Assumptions!$D$107</f>
        <v>7</v>
      </c>
      <c r="I6750" s="48" t="n">
        <f aca="false">I6731*MIN(Assumptions!$E$27,Assumptions!$E$25+Assumptions!$E$26*(I6730-1))*Assumptions!$D$107</f>
        <v>8</v>
      </c>
      <c r="J6750" s="48" t="n">
        <f aca="false">J6731*MIN(Assumptions!$E$27,Assumptions!$E$25+Assumptions!$E$26*(J6730-1))*Assumptions!$D$107</f>
        <v>9</v>
      </c>
      <c r="K6750" s="48" t="n">
        <f aca="false">K6731*MIN(Assumptions!$E$27,Assumptions!$E$25+Assumptions!$E$26*(K6730-1))*Assumptions!$D$107</f>
        <v>10</v>
      </c>
      <c r="L6750" s="48" t="n">
        <f aca="false">L6731*MIN(Assumptions!$E$27,Assumptions!$E$25+Assumptions!$E$26*(L6730-1))*Assumptions!$D$107</f>
        <v>10</v>
      </c>
      <c r="M6750" s="48" t="n">
        <f aca="false">M6731*MIN(Assumptions!$E$27,Assumptions!$E$25+Assumptions!$E$26*(M6730-1))*Assumptions!$D$107</f>
        <v>10</v>
      </c>
      <c r="N6750" s="48" t="n">
        <f aca="false">N6731*MIN(Assumptions!$E$27,Assumptions!$E$25+Assumptions!$E$26*(N6730-1))*Assumptions!$D$107</f>
        <v>10</v>
      </c>
      <c r="P6750" s="49" t="n">
        <f aca="false">F6750</f>
        <v>5</v>
      </c>
      <c r="Q6750" s="49" t="n">
        <f aca="false">J6750</f>
        <v>9</v>
      </c>
      <c r="R6750" s="49" t="n">
        <f aca="false">N6750</f>
        <v>10</v>
      </c>
      <c r="S6750" s="50" t="n">
        <f aca="false">R6750</f>
        <v>10</v>
      </c>
    </row>
    <row r="6751" customFormat="false" ht="15" hidden="false" customHeight="false" outlineLevel="0" collapsed="false">
      <c r="A6751" s="4" t="s">
        <v>501</v>
      </c>
      <c r="B6751" s="36" t="s">
        <v>502</v>
      </c>
      <c r="C6751" s="48" t="n">
        <f aca="false">C6750*Assumptions!$E$28</f>
        <v>6</v>
      </c>
      <c r="D6751" s="48" t="n">
        <f aca="false">D6750*Assumptions!$E$28</f>
        <v>9</v>
      </c>
      <c r="E6751" s="48" t="n">
        <f aca="false">E6750*Assumptions!$E$28</f>
        <v>12</v>
      </c>
      <c r="F6751" s="48" t="n">
        <f aca="false">F6750*Assumptions!$E$28</f>
        <v>15</v>
      </c>
      <c r="G6751" s="48" t="n">
        <f aca="false">G6750*Assumptions!$E$28</f>
        <v>18</v>
      </c>
      <c r="H6751" s="48" t="n">
        <f aca="false">H6750*Assumptions!$E$28</f>
        <v>21</v>
      </c>
      <c r="I6751" s="48" t="n">
        <f aca="false">I6750*Assumptions!$E$28</f>
        <v>24</v>
      </c>
      <c r="J6751" s="48" t="n">
        <f aca="false">J6750*Assumptions!$E$28</f>
        <v>27</v>
      </c>
      <c r="K6751" s="48" t="n">
        <f aca="false">K6750*Assumptions!$E$28</f>
        <v>30</v>
      </c>
      <c r="L6751" s="48" t="n">
        <f aca="false">L6750*Assumptions!$E$28</f>
        <v>30</v>
      </c>
      <c r="M6751" s="48" t="n">
        <f aca="false">M6750*Assumptions!$E$28</f>
        <v>30</v>
      </c>
      <c r="N6751" s="48" t="n">
        <f aca="false">N6750*Assumptions!$E$28</f>
        <v>30</v>
      </c>
      <c r="P6751" s="49" t="n">
        <f aca="false">SUM(C6751:F6751)</f>
        <v>42</v>
      </c>
      <c r="Q6751" s="49" t="n">
        <f aca="false">SUM(G6751:J6751)</f>
        <v>90</v>
      </c>
      <c r="R6751" s="49" t="n">
        <f aca="false">SUM(K6751:N6751)</f>
        <v>120</v>
      </c>
      <c r="S6751" s="50" t="n">
        <f aca="false">SUM(P6751:R6751)</f>
        <v>252</v>
      </c>
    </row>
    <row r="6752" customFormat="false" ht="15" hidden="false" customHeight="false" outlineLevel="0" collapsed="false">
      <c r="A6752" s="4" t="s">
        <v>503</v>
      </c>
      <c r="B6752" s="36" t="s">
        <v>504</v>
      </c>
      <c r="C6752" s="48" t="n">
        <f aca="false">(C6743+C6747)*Assumptions!$E$29</f>
        <v>2.649061072896</v>
      </c>
      <c r="D6752" s="48" t="n">
        <f aca="false">(D6743+D6747)*Assumptions!$E$29</f>
        <v>4.93045821299048</v>
      </c>
      <c r="E6752" s="48" t="n">
        <f aca="false">(E6743+E6747)*Assumptions!$E$29</f>
        <v>4.58830837060879</v>
      </c>
      <c r="F6752" s="48" t="n">
        <f aca="false">(F6743+F6747)*Assumptions!$E$29</f>
        <v>4.26990206474738</v>
      </c>
      <c r="G6752" s="48" t="n">
        <f aca="false">(G6743+G6747)*Assumptions!$E$29</f>
        <v>3.973591609344</v>
      </c>
      <c r="H6752" s="48" t="n">
        <f aca="false">(H6743+H6747)*Assumptions!$E$29</f>
        <v>3.69784365974286</v>
      </c>
      <c r="I6752" s="48" t="n">
        <f aca="false">(I6743+I6747)*Assumptions!$E$29</f>
        <v>5.3119067406126</v>
      </c>
      <c r="J6752" s="48" t="n">
        <f aca="false">(J6743+J6747)*Assumptions!$E$29</f>
        <v>6.68414589926202</v>
      </c>
      <c r="K6752" s="48" t="n">
        <f aca="false">(K6743+K6747)*Assumptions!$E$29</f>
        <v>6.22029865280061</v>
      </c>
      <c r="L6752" s="48" t="n">
        <f aca="false">(L6743+L6747)*Assumptions!$E$29</f>
        <v>5.78864015136249</v>
      </c>
      <c r="M6752" s="48" t="n">
        <f aca="false">(M6743+M6747)*Assumptions!$E$29</f>
        <v>5.38693665245145</v>
      </c>
      <c r="N6752" s="48" t="n">
        <f aca="false">(N6743+N6747)*Assumptions!$E$29</f>
        <v>5.01310942444651</v>
      </c>
      <c r="P6752" s="49" t="n">
        <f aca="false">SUM(C6752:F6752)</f>
        <v>16.4377297212427</v>
      </c>
      <c r="Q6752" s="49" t="n">
        <f aca="false">SUM(G6752:J6752)</f>
        <v>19.6674879089615</v>
      </c>
      <c r="R6752" s="49" t="n">
        <f aca="false">SUM(K6752:N6752)</f>
        <v>22.4089848810611</v>
      </c>
      <c r="S6752" s="50" t="n">
        <f aca="false">SUM(P6752:R6752)</f>
        <v>58.5142025112652</v>
      </c>
    </row>
    <row r="6753" customFormat="false" ht="15" hidden="false" customHeight="false" outlineLevel="0" collapsed="false">
      <c r="A6753" s="4" t="s">
        <v>505</v>
      </c>
      <c r="B6753" s="36" t="s">
        <v>504</v>
      </c>
      <c r="C6753" s="48" t="n">
        <f aca="false">C6749*Assumptions!$E$31</f>
        <v>0.883020357632</v>
      </c>
      <c r="D6753" s="48" t="n">
        <f aca="false">D6749*Assumptions!$E$31</f>
        <v>1.766040715264</v>
      </c>
      <c r="E6753" s="48" t="n">
        <f aca="false">E6749*Assumptions!$E$31</f>
        <v>1.766040715264</v>
      </c>
      <c r="F6753" s="48" t="n">
        <f aca="false">F6749*Assumptions!$E$31</f>
        <v>1.766040715264</v>
      </c>
      <c r="G6753" s="48" t="n">
        <f aca="false">G6749*Assumptions!$E$31</f>
        <v>1.766040715264</v>
      </c>
      <c r="H6753" s="48" t="n">
        <f aca="false">H6749*Assumptions!$E$31</f>
        <v>1.766040715264</v>
      </c>
      <c r="I6753" s="48" t="n">
        <f aca="false">I6749*Assumptions!$E$31</f>
        <v>2.389599202816</v>
      </c>
      <c r="J6753" s="48" t="n">
        <f aca="false">J6749*Assumptions!$E$31</f>
        <v>3.013157690368</v>
      </c>
      <c r="K6753" s="48" t="n">
        <f aca="false">K6749*Assumptions!$E$31</f>
        <v>3.013157690368</v>
      </c>
      <c r="L6753" s="48" t="n">
        <f aca="false">L6749*Assumptions!$E$31</f>
        <v>3.013157690368</v>
      </c>
      <c r="M6753" s="48" t="n">
        <f aca="false">M6749*Assumptions!$E$31</f>
        <v>3.013157690368</v>
      </c>
      <c r="N6753" s="48" t="n">
        <f aca="false">N6749*Assumptions!$E$31</f>
        <v>3.013157690368</v>
      </c>
      <c r="P6753" s="49" t="n">
        <f aca="false">SUM(C6753:F6753)</f>
        <v>6.181142503424</v>
      </c>
      <c r="Q6753" s="49" t="n">
        <f aca="false">SUM(G6753:J6753)</f>
        <v>8.934838323712</v>
      </c>
      <c r="R6753" s="49" t="n">
        <f aca="false">SUM(K6753:N6753)</f>
        <v>12.052630761472</v>
      </c>
      <c r="S6753" s="50" t="n">
        <f aca="false">SUM(P6753:R6753)</f>
        <v>27.168611588608</v>
      </c>
    </row>
    <row r="6754" customFormat="false" ht="15" hidden="false" customHeight="false" outlineLevel="0" collapsed="false">
      <c r="A6754" s="4" t="s">
        <v>506</v>
      </c>
      <c r="B6754" s="36" t="s">
        <v>504</v>
      </c>
      <c r="C6754" s="48" t="n">
        <f aca="false">C6751*Assumptions!$E$30</f>
        <v>3</v>
      </c>
      <c r="D6754" s="48" t="n">
        <f aca="false">D6751*Assumptions!$E$30</f>
        <v>4.5</v>
      </c>
      <c r="E6754" s="48" t="n">
        <f aca="false">E6751*Assumptions!$E$30</f>
        <v>6</v>
      </c>
      <c r="F6754" s="48" t="n">
        <f aca="false">F6751*Assumptions!$E$30</f>
        <v>7.5</v>
      </c>
      <c r="G6754" s="48" t="n">
        <f aca="false">G6751*Assumptions!$E$30</f>
        <v>9</v>
      </c>
      <c r="H6754" s="48" t="n">
        <f aca="false">H6751*Assumptions!$E$30</f>
        <v>10.5</v>
      </c>
      <c r="I6754" s="48" t="n">
        <f aca="false">I6751*Assumptions!$E$30</f>
        <v>12</v>
      </c>
      <c r="J6754" s="48" t="n">
        <f aca="false">J6751*Assumptions!$E$30</f>
        <v>13.5</v>
      </c>
      <c r="K6754" s="48" t="n">
        <f aca="false">K6751*Assumptions!$E$30</f>
        <v>15</v>
      </c>
      <c r="L6754" s="48" t="n">
        <f aca="false">L6751*Assumptions!$E$30</f>
        <v>15</v>
      </c>
      <c r="M6754" s="48" t="n">
        <f aca="false">M6751*Assumptions!$E$30</f>
        <v>15</v>
      </c>
      <c r="N6754" s="48" t="n">
        <f aca="false">N6751*Assumptions!$E$30</f>
        <v>15</v>
      </c>
      <c r="P6754" s="49" t="n">
        <f aca="false">SUM(C6754:F6754)</f>
        <v>21</v>
      </c>
      <c r="Q6754" s="49" t="n">
        <f aca="false">SUM(G6754:J6754)</f>
        <v>45</v>
      </c>
      <c r="R6754" s="49" t="n">
        <f aca="false">SUM(K6754:N6754)</f>
        <v>60</v>
      </c>
      <c r="S6754" s="50" t="n">
        <f aca="false">SUM(P6754:R6754)</f>
        <v>126</v>
      </c>
    </row>
    <row r="6755" customFormat="false" ht="15" hidden="false" customHeight="false" outlineLevel="0" collapsed="false">
      <c r="A6755" s="9" t="s">
        <v>507</v>
      </c>
      <c r="B6755" s="36" t="s">
        <v>504</v>
      </c>
      <c r="C6755" s="49" t="n">
        <f aca="false">C6752+C6753+C6754</f>
        <v>6.532081430528</v>
      </c>
      <c r="D6755" s="49" t="n">
        <f aca="false">D6752+D6753+D6754</f>
        <v>11.1964989282545</v>
      </c>
      <c r="E6755" s="49" t="n">
        <f aca="false">E6752+E6753+E6754</f>
        <v>12.3543490858728</v>
      </c>
      <c r="F6755" s="49" t="n">
        <f aca="false">F6752+F6753+F6754</f>
        <v>13.5359427800114</v>
      </c>
      <c r="G6755" s="49" t="n">
        <f aca="false">G6752+G6753+G6754</f>
        <v>14.739632324608</v>
      </c>
      <c r="H6755" s="49" t="n">
        <f aca="false">H6752+H6753+H6754</f>
        <v>15.9638843750069</v>
      </c>
      <c r="I6755" s="49" t="n">
        <f aca="false">I6752+I6753+I6754</f>
        <v>19.7015059434286</v>
      </c>
      <c r="J6755" s="49" t="n">
        <f aca="false">J6752+J6753+J6754</f>
        <v>23.19730358963</v>
      </c>
      <c r="K6755" s="49" t="n">
        <f aca="false">K6752+K6753+K6754</f>
        <v>24.2334563431686</v>
      </c>
      <c r="L6755" s="49" t="n">
        <f aca="false">L6752+L6753+L6754</f>
        <v>23.8017978417305</v>
      </c>
      <c r="M6755" s="49" t="n">
        <f aca="false">M6752+M6753+M6754</f>
        <v>23.4000943428194</v>
      </c>
      <c r="N6755" s="49" t="n">
        <f aca="false">N6752+N6753+N6754</f>
        <v>23.0262671148145</v>
      </c>
      <c r="P6755" s="49" t="n">
        <f aca="false">SUM(C6755:F6755)</f>
        <v>43.6188722246667</v>
      </c>
      <c r="Q6755" s="49" t="n">
        <f aca="false">SUM(G6755:J6755)</f>
        <v>73.6023262326735</v>
      </c>
      <c r="R6755" s="49" t="n">
        <f aca="false">SUM(K6755:N6755)</f>
        <v>94.4616156425331</v>
      </c>
      <c r="S6755" s="50" t="n">
        <f aca="false">SUM(P6755:R6755)</f>
        <v>211.682814099873</v>
      </c>
    </row>
    <row r="6756" customFormat="false" ht="15" hidden="false" customHeight="false" outlineLevel="0" collapsed="false">
      <c r="A6756" s="4" t="s">
        <v>508</v>
      </c>
      <c r="B6756" s="36" t="s">
        <v>509</v>
      </c>
      <c r="C6756" s="48" t="n">
        <f aca="false">C6738</f>
        <v>421.51972352</v>
      </c>
      <c r="D6756" s="48" t="n">
        <f aca="false">D6738</f>
        <v>843.03944704</v>
      </c>
      <c r="E6756" s="48" t="n">
        <f aca="false">E6738</f>
        <v>843.03944704</v>
      </c>
      <c r="F6756" s="48" t="n">
        <f aca="false">F6738</f>
        <v>843.03944704</v>
      </c>
      <c r="G6756" s="48" t="n">
        <f aca="false">G6738</f>
        <v>843.03944704</v>
      </c>
      <c r="H6756" s="48" t="n">
        <f aca="false">H6738</f>
        <v>843.03944704</v>
      </c>
      <c r="I6756" s="48" t="n">
        <f aca="false">I6738</f>
        <v>1149.32798176</v>
      </c>
      <c r="J6756" s="48" t="n">
        <f aca="false">J6738</f>
        <v>1455.61651648</v>
      </c>
      <c r="K6756" s="48" t="n">
        <f aca="false">K6738</f>
        <v>1455.61651648</v>
      </c>
      <c r="L6756" s="48" t="n">
        <f aca="false">L6738</f>
        <v>1455.61651648</v>
      </c>
      <c r="M6756" s="48" t="n">
        <f aca="false">M6738</f>
        <v>1455.61651648</v>
      </c>
      <c r="N6756" s="48" t="n">
        <f aca="false">N6738</f>
        <v>1455.61651648</v>
      </c>
      <c r="P6756" s="49"/>
      <c r="Q6756" s="49"/>
      <c r="R6756" s="49"/>
      <c r="S6756" s="50"/>
    </row>
    <row r="6757" customFormat="false" ht="15" hidden="false" customHeight="false" outlineLevel="0" collapsed="false">
      <c r="A6757" s="4" t="s">
        <v>510</v>
      </c>
      <c r="B6757" s="36" t="s">
        <v>509</v>
      </c>
      <c r="C6757" s="48" t="n">
        <f aca="false">C6739*Assumptions!$E$18*Assumptions!$E$33</f>
        <v>211.19616</v>
      </c>
      <c r="D6757" s="48" t="n">
        <f aca="false">D6739*Assumptions!$E$18*Assumptions!$E$33</f>
        <v>422.39232</v>
      </c>
      <c r="E6757" s="48" t="n">
        <f aca="false">E6739*Assumptions!$E$18*Assumptions!$E$33</f>
        <v>422.39232</v>
      </c>
      <c r="F6757" s="48" t="n">
        <f aca="false">F6739*Assumptions!$E$18*Assumptions!$E$33</f>
        <v>422.39232</v>
      </c>
      <c r="G6757" s="48" t="n">
        <f aca="false">G6739*Assumptions!$E$18*Assumptions!$E$33</f>
        <v>422.39232</v>
      </c>
      <c r="H6757" s="48" t="n">
        <f aca="false">H6739*Assumptions!$E$18*Assumptions!$E$33</f>
        <v>422.39232</v>
      </c>
      <c r="I6757" s="48" t="n">
        <f aca="false">I6739*Assumptions!$E$18*Assumptions!$E$33</f>
        <v>564.49344</v>
      </c>
      <c r="J6757" s="48" t="n">
        <f aca="false">J6739*Assumptions!$E$18*Assumptions!$E$33</f>
        <v>706.59456</v>
      </c>
      <c r="K6757" s="48" t="n">
        <f aca="false">K6739*Assumptions!$E$18*Assumptions!$E$33</f>
        <v>706.59456</v>
      </c>
      <c r="L6757" s="48" t="n">
        <f aca="false">L6739*Assumptions!$E$18*Assumptions!$E$33</f>
        <v>706.59456</v>
      </c>
      <c r="M6757" s="48" t="n">
        <f aca="false">M6739*Assumptions!$E$18*Assumptions!$E$33</f>
        <v>706.59456</v>
      </c>
      <c r="N6757" s="48" t="n">
        <f aca="false">N6739*Assumptions!$E$18*Assumptions!$E$33</f>
        <v>706.59456</v>
      </c>
      <c r="P6757" s="49"/>
      <c r="Q6757" s="49"/>
      <c r="R6757" s="49"/>
      <c r="S6757" s="50"/>
    </row>
    <row r="6758" customFormat="false" ht="15" hidden="false" customHeight="false" outlineLevel="0" collapsed="false">
      <c r="A6758" s="4" t="s">
        <v>511</v>
      </c>
      <c r="B6758" s="36" t="s">
        <v>509</v>
      </c>
      <c r="C6758" s="48" t="n">
        <f aca="false">C6740*Assumptions!$E$19*Assumptions!$E$34</f>
        <v>34.677888</v>
      </c>
      <c r="D6758" s="48" t="n">
        <f aca="false">D6740*Assumptions!$E$19*Assumptions!$E$34</f>
        <v>69.355776</v>
      </c>
      <c r="E6758" s="48" t="n">
        <f aca="false">E6740*Assumptions!$E$19*Assumptions!$E$34</f>
        <v>69.355776</v>
      </c>
      <c r="F6758" s="48" t="n">
        <f aca="false">F6740*Assumptions!$E$19*Assumptions!$E$34</f>
        <v>69.355776</v>
      </c>
      <c r="G6758" s="48" t="n">
        <f aca="false">G6740*Assumptions!$E$19*Assumptions!$E$34</f>
        <v>69.355776</v>
      </c>
      <c r="H6758" s="48" t="n">
        <f aca="false">H6740*Assumptions!$E$19*Assumptions!$E$34</f>
        <v>69.355776</v>
      </c>
      <c r="I6758" s="48" t="n">
        <f aca="false">I6740*Assumptions!$E$19*Assumptions!$E$34</f>
        <v>86.69472</v>
      </c>
      <c r="J6758" s="48" t="n">
        <f aca="false">J6740*Assumptions!$E$19*Assumptions!$E$34</f>
        <v>104.033664</v>
      </c>
      <c r="K6758" s="48" t="n">
        <f aca="false">K6740*Assumptions!$E$19*Assumptions!$E$34</f>
        <v>104.033664</v>
      </c>
      <c r="L6758" s="48" t="n">
        <f aca="false">L6740*Assumptions!$E$19*Assumptions!$E$34</f>
        <v>104.033664</v>
      </c>
      <c r="M6758" s="48" t="n">
        <f aca="false">M6740*Assumptions!$E$19*Assumptions!$E$34</f>
        <v>104.033664</v>
      </c>
      <c r="N6758" s="48" t="n">
        <f aca="false">N6740*Assumptions!$E$19*Assumptions!$E$34</f>
        <v>104.033664</v>
      </c>
      <c r="P6758" s="49"/>
      <c r="Q6758" s="49"/>
      <c r="R6758" s="49"/>
      <c r="S6758" s="50"/>
    </row>
    <row r="6759" customFormat="false" ht="15" hidden="false" customHeight="false" outlineLevel="0" collapsed="false">
      <c r="A6759" s="4" t="s">
        <v>512</v>
      </c>
      <c r="B6759" s="36" t="s">
        <v>77</v>
      </c>
      <c r="C6759" s="51" t="n">
        <f aca="false">IFERROR(C6756/(C6756+C6757+C6758),0)</f>
        <v>0.631590736245533</v>
      </c>
      <c r="D6759" s="51" t="n">
        <f aca="false">IFERROR(D6756/(D6756+D6757+D6758),0)</f>
        <v>0.631590736245533</v>
      </c>
      <c r="E6759" s="51" t="n">
        <f aca="false">IFERROR(E6756/(E6756+E6757+E6758),0)</f>
        <v>0.631590736245533</v>
      </c>
      <c r="F6759" s="51" t="n">
        <f aca="false">IFERROR(F6756/(F6756+F6757+F6758),0)</f>
        <v>0.631590736245533</v>
      </c>
      <c r="G6759" s="51" t="n">
        <f aca="false">IFERROR(G6756/(G6756+G6757+G6758),0)</f>
        <v>0.631590736245533</v>
      </c>
      <c r="H6759" s="51" t="n">
        <f aca="false">IFERROR(H6756/(H6756+H6757+H6758),0)</f>
        <v>0.631590736245533</v>
      </c>
      <c r="I6759" s="51" t="n">
        <f aca="false">IFERROR(I6756/(I6756+I6757+I6758),0)</f>
        <v>0.638332506498128</v>
      </c>
      <c r="J6759" s="51" t="n">
        <f aca="false">IFERROR(J6756/(J6756+J6757+J6758),0)</f>
        <v>0.642303318118984</v>
      </c>
      <c r="K6759" s="51" t="n">
        <f aca="false">IFERROR(K6756/(K6756+K6757+K6758),0)</f>
        <v>0.642303318118984</v>
      </c>
      <c r="L6759" s="51" t="n">
        <f aca="false">IFERROR(L6756/(L6756+L6757+L6758),0)</f>
        <v>0.642303318118984</v>
      </c>
      <c r="M6759" s="51" t="n">
        <f aca="false">IFERROR(M6756/(M6756+M6757+M6758),0)</f>
        <v>0.642303318118984</v>
      </c>
      <c r="N6759" s="51" t="n">
        <f aca="false">IFERROR(N6756/(N6756+N6757+N6758),0)</f>
        <v>0.642303318118984</v>
      </c>
      <c r="P6759" s="52"/>
      <c r="Q6759" s="52"/>
      <c r="R6759" s="52"/>
      <c r="S6759" s="53"/>
    </row>
    <row r="6760" customFormat="false" ht="15" hidden="false" customHeight="false" outlineLevel="0" collapsed="false">
      <c r="A6760" s="4" t="s">
        <v>513</v>
      </c>
      <c r="B6760" s="36" t="s">
        <v>77</v>
      </c>
      <c r="C6760" s="51" t="n">
        <f aca="false">IFERROR(C6757/(C6756+C6757+C6758),0)</f>
        <v>0.316449102482628</v>
      </c>
      <c r="D6760" s="51" t="n">
        <f aca="false">IFERROR(D6757/(D6756+D6757+D6758),0)</f>
        <v>0.316449102482628</v>
      </c>
      <c r="E6760" s="51" t="n">
        <f aca="false">IFERROR(E6757/(E6756+E6757+E6758),0)</f>
        <v>0.316449102482628</v>
      </c>
      <c r="F6760" s="51" t="n">
        <f aca="false">IFERROR(F6757/(F6756+F6757+F6758),0)</f>
        <v>0.316449102482628</v>
      </c>
      <c r="G6760" s="51" t="n">
        <f aca="false">IFERROR(G6757/(G6756+G6757+G6758),0)</f>
        <v>0.316449102482628</v>
      </c>
      <c r="H6760" s="51" t="n">
        <f aca="false">IFERROR(H6757/(H6756+H6757+H6758),0)</f>
        <v>0.316449102482628</v>
      </c>
      <c r="I6760" s="51" t="n">
        <f aca="false">IFERROR(I6757/(I6756+I6757+I6758),0)</f>
        <v>0.313517566939561</v>
      </c>
      <c r="J6760" s="51" t="n">
        <f aca="false">IFERROR(J6757/(J6756+J6757+J6758),0)</f>
        <v>0.311790932099567</v>
      </c>
      <c r="K6760" s="51" t="n">
        <f aca="false">IFERROR(K6757/(K6756+K6757+K6758),0)</f>
        <v>0.311790932099567</v>
      </c>
      <c r="L6760" s="51" t="n">
        <f aca="false">IFERROR(L6757/(L6756+L6757+L6758),0)</f>
        <v>0.311790932099567</v>
      </c>
      <c r="M6760" s="51" t="n">
        <f aca="false">IFERROR(M6757/(M6756+M6757+M6758),0)</f>
        <v>0.311790932099567</v>
      </c>
      <c r="N6760" s="51" t="n">
        <f aca="false">IFERROR(N6757/(N6756+N6757+N6758),0)</f>
        <v>0.311790932099567</v>
      </c>
      <c r="P6760" s="52"/>
      <c r="Q6760" s="52"/>
      <c r="R6760" s="52"/>
      <c r="S6760" s="53"/>
    </row>
    <row r="6761" customFormat="false" ht="15" hidden="false" customHeight="false" outlineLevel="0" collapsed="false">
      <c r="A6761" s="4" t="s">
        <v>514</v>
      </c>
      <c r="B6761" s="36" t="s">
        <v>77</v>
      </c>
      <c r="C6761" s="51" t="n">
        <f aca="false">IFERROR(C6758/(C6756+C6757+C6758),0)</f>
        <v>0.0519601612718389</v>
      </c>
      <c r="D6761" s="51" t="n">
        <f aca="false">IFERROR(D6758/(D6756+D6757+D6758),0)</f>
        <v>0.0519601612718389</v>
      </c>
      <c r="E6761" s="51" t="n">
        <f aca="false">IFERROR(E6758/(E6756+E6757+E6758),0)</f>
        <v>0.0519601612718389</v>
      </c>
      <c r="F6761" s="51" t="n">
        <f aca="false">IFERROR(F6758/(F6756+F6757+F6758),0)</f>
        <v>0.0519601612718389</v>
      </c>
      <c r="G6761" s="51" t="n">
        <f aca="false">IFERROR(G6758/(G6756+G6757+G6758),0)</f>
        <v>0.0519601612718389</v>
      </c>
      <c r="H6761" s="51" t="n">
        <f aca="false">IFERROR(H6758/(H6756+H6757+H6758),0)</f>
        <v>0.0519601612718389</v>
      </c>
      <c r="I6761" s="51" t="n">
        <f aca="false">IFERROR(I6758/(I6756+I6757+I6758),0)</f>
        <v>0.0481499265623113</v>
      </c>
      <c r="J6761" s="51" t="n">
        <f aca="false">IFERROR(J6758/(J6756+J6757+J6758),0)</f>
        <v>0.0459057497814491</v>
      </c>
      <c r="K6761" s="51" t="n">
        <f aca="false">IFERROR(K6758/(K6756+K6757+K6758),0)</f>
        <v>0.0459057497814491</v>
      </c>
      <c r="L6761" s="51" t="n">
        <f aca="false">IFERROR(L6758/(L6756+L6757+L6758),0)</f>
        <v>0.0459057497814491</v>
      </c>
      <c r="M6761" s="51" t="n">
        <f aca="false">IFERROR(M6758/(M6756+M6757+M6758),0)</f>
        <v>0.0459057497814491</v>
      </c>
      <c r="N6761" s="51" t="n">
        <f aca="false">IFERROR(N6758/(N6756+N6757+N6758),0)</f>
        <v>0.0459057497814491</v>
      </c>
      <c r="P6761" s="52"/>
      <c r="Q6761" s="52"/>
      <c r="R6761" s="52"/>
      <c r="S6761" s="53"/>
    </row>
    <row r="6762" customFormat="false" ht="15" hidden="false" customHeight="false" outlineLevel="0" collapsed="false">
      <c r="A6762" s="4" t="s">
        <v>515</v>
      </c>
      <c r="B6762" s="36" t="s">
        <v>516</v>
      </c>
      <c r="C6762" s="48" t="n">
        <f aca="false">IF(C6730-Assumptions!$E$35&lt;1,0,INDEX($C$6755:$N$6755,1,C6730-Assumptions!$E$35)*INDEX($C$6759:$N$6759,1,C6730-Assumptions!$E$35)*Assumptions!$E$32)</f>
        <v>0</v>
      </c>
      <c r="D6762" s="48" t="n">
        <f aca="false">IF(D6730-Assumptions!$E$35&lt;1,0,INDEX($C$6755:$N$6755,1,D6730-Assumptions!$E$35)*INDEX($C$6759:$N$6759,1,D6730-Assumptions!$E$35)*Assumptions!$E$32)</f>
        <v>0.866376445183821</v>
      </c>
      <c r="E6762" s="48" t="n">
        <f aca="false">IF(E6730-Assumptions!$E$35&lt;1,0,INDEX($C$6755:$N$6755,1,E6730-Assumptions!$E$35)*INDEX($C$6759:$N$6759,1,E6730-Assumptions!$E$35)*Assumptions!$E$32)</f>
        <v>1.4850370503084</v>
      </c>
      <c r="F6762" s="48" t="n">
        <f aca="false">IF(F6730-Assumptions!$E$35&lt;1,0,INDEX($C$6755:$N$6755,1,F6730-Assumptions!$E$35)*INDEX($C$6759:$N$6759,1,F6730-Assumptions!$E$35)*Assumptions!$E$32)</f>
        <v>1.63860741134595</v>
      </c>
      <c r="G6762" s="48" t="n">
        <f aca="false">IF(G6730-Assumptions!$E$35&lt;1,0,INDEX($C$6755:$N$6755,1,G6730-Assumptions!$E$35)*INDEX($C$6759:$N$6759,1,G6730-Assumptions!$E$35)*Assumptions!$E$32)</f>
        <v>1.79532697390301</v>
      </c>
      <c r="H6762" s="48" t="n">
        <f aca="false">IF(H6730-Assumptions!$E$35&lt;1,0,INDEX($C$6755:$N$6755,1,H6730-Assumptions!$E$35)*INDEX($C$6759:$N$6759,1,H6730-Assumptions!$E$35)*Assumptions!$E$32)</f>
        <v>1.9549771986964</v>
      </c>
      <c r="I6762" s="48" t="n">
        <f aca="false">IF(I6730-Assumptions!$E$35&lt;1,0,INDEX($C$6755:$N$6755,1,I6730-Assumptions!$E$35)*INDEX($C$6759:$N$6759,1,I6730-Assumptions!$E$35)*Assumptions!$E$32)</f>
        <v>2.11735471200732</v>
      </c>
      <c r="J6762" s="48" t="n">
        <f aca="false">IF(J6730-Assumptions!$E$35&lt;1,0,INDEX($C$6755:$N$6755,1,J6730-Assumptions!$E$35)*INDEX($C$6759:$N$6759,1,J6730-Assumptions!$E$35)*Assumptions!$E$32)</f>
        <v>2.64098345083787</v>
      </c>
      <c r="K6762" s="48" t="n">
        <f aca="false">IF(K6730-Assumptions!$E$35&lt;1,0,INDEX($C$6755:$N$6755,1,K6730-Assumptions!$E$35)*INDEX($C$6759:$N$6759,1,K6730-Assumptions!$E$35)*Assumptions!$E$32)</f>
        <v>3.12893806407688</v>
      </c>
      <c r="L6762" s="48" t="n">
        <f aca="false">IF(L6730-Assumptions!$E$35&lt;1,0,INDEX($C$6755:$N$6755,1,L6730-Assumptions!$E$35)*INDEX($C$6759:$N$6759,1,L6730-Assumptions!$E$35)*Assumptions!$E$32)</f>
        <v>3.26869817792884</v>
      </c>
      <c r="M6762" s="48" t="n">
        <f aca="false">IF(M6730-Assumptions!$E$35&lt;1,0,INDEX($C$6755:$N$6755,1,M6730-Assumptions!$E$35)*INDEX($C$6759:$N$6759,1,M6730-Assumptions!$E$35)*Assumptions!$E$32)</f>
        <v>3.21047448349756</v>
      </c>
      <c r="N6762" s="48" t="n">
        <f aca="false">IF(N6730-Assumptions!$E$35&lt;1,0,INDEX($C$6755:$N$6755,1,N6730-Assumptions!$E$35)*INDEX($C$6759:$N$6759,1,N6730-Assumptions!$E$35)*Assumptions!$E$32)</f>
        <v>3.15629123054494</v>
      </c>
      <c r="P6762" s="49" t="n">
        <f aca="false">SUM(C6762:F6762)</f>
        <v>3.99002090683817</v>
      </c>
      <c r="Q6762" s="49" t="n">
        <f aca="false">SUM(G6762:J6762)</f>
        <v>8.50864233544461</v>
      </c>
      <c r="R6762" s="49" t="n">
        <f aca="false">SUM(K6762:N6762)</f>
        <v>12.7644019560482</v>
      </c>
      <c r="S6762" s="50" t="n">
        <f aca="false">SUM(P6762:R6762)</f>
        <v>25.263065198331</v>
      </c>
    </row>
    <row r="6763" customFormat="false" ht="15" hidden="false" customHeight="false" outlineLevel="0" collapsed="false">
      <c r="A6763" s="4" t="s">
        <v>517</v>
      </c>
      <c r="B6763" s="36" t="s">
        <v>516</v>
      </c>
      <c r="C6763" s="48" t="n">
        <f aca="false">IF(C6730-Assumptions!$E$35&lt;1,0,INDEX($C$6755:$N$6755,1,C6730-Assumptions!$E$35)*INDEX($C$6760:$N$6760,1,C6730-Assumptions!$E$35)*Assumptions!$E$32)</f>
        <v>0</v>
      </c>
      <c r="D6763" s="48" t="n">
        <f aca="false">IF(D6730-Assumptions!$E$35&lt;1,0,INDEX($C$6755:$N$6755,1,D6730-Assumptions!$E$35)*INDEX($C$6760:$N$6760,1,D6730-Assumptions!$E$35)*Assumptions!$E$32)</f>
        <v>0.434084974267145</v>
      </c>
      <c r="E6763" s="48" t="n">
        <f aca="false">IF(E6730-Assumptions!$E$35&lt;1,0,INDEX($C$6755:$N$6755,1,E6730-Assumptions!$E$35)*INDEX($C$6760:$N$6760,1,E6730-Assumptions!$E$35)*Assumptions!$E$32)</f>
        <v>0.744055627726705</v>
      </c>
      <c r="F6763" s="48" t="n">
        <f aca="false">IF(F6730-Assumptions!$E$35&lt;1,0,INDEX($C$6755:$N$6755,1,F6730-Assumptions!$E$35)*INDEX($C$6760:$N$6760,1,F6730-Assumptions!$E$35)*Assumptions!$E$32)</f>
        <v>0.820999762796119</v>
      </c>
      <c r="G6763" s="48" t="n">
        <f aca="false">IF(G6730-Assumptions!$E$35&lt;1,0,INDEX($C$6755:$N$6755,1,G6730-Assumptions!$E$35)*INDEX($C$6760:$N$6760,1,G6730-Assumptions!$E$35)*Assumptions!$E$32)</f>
        <v>0.89952175823807</v>
      </c>
      <c r="H6763" s="48" t="n">
        <f aca="false">IF(H6730-Assumptions!$E$35&lt;1,0,INDEX($C$6755:$N$6755,1,H6730-Assumptions!$E$35)*INDEX($C$6760:$N$6760,1,H6730-Assumptions!$E$35)*Assumptions!$E$32)</f>
        <v>0.979512118209688</v>
      </c>
      <c r="I6763" s="48" t="n">
        <f aca="false">IF(I6730-Assumptions!$E$35&lt;1,0,INDEX($C$6755:$N$6755,1,I6730-Assumptions!$E$35)*INDEX($C$6760:$N$6760,1,I6730-Assumptions!$E$35)*Assumptions!$E$32)</f>
        <v>1.06086894534755</v>
      </c>
      <c r="J6763" s="48" t="n">
        <f aca="false">IF(J6730-Assumptions!$E$35&lt;1,0,INDEX($C$6755:$N$6755,1,J6730-Assumptions!$E$35)*INDEX($C$6760:$N$6760,1,J6730-Assumptions!$E$35)*Assumptions!$E$32)</f>
        <v>1.2971213237701</v>
      </c>
      <c r="K6763" s="48" t="n">
        <f aca="false">IF(K6730-Assumptions!$E$35&lt;1,0,INDEX($C$6755:$N$6755,1,K6730-Assumptions!$E$35)*INDEX($C$6760:$N$6760,1,K6730-Assumptions!$E$35)*Assumptions!$E$32)</f>
        <v>1.51886887076555</v>
      </c>
      <c r="L6763" s="48" t="n">
        <f aca="false">IF(L6730-Assumptions!$E$35&lt;1,0,INDEX($C$6755:$N$6755,1,L6730-Assumptions!$E$35)*INDEX($C$6760:$N$6760,1,L6730-Assumptions!$E$35)*Assumptions!$E$32)</f>
        <v>1.58671210765845</v>
      </c>
      <c r="M6763" s="48" t="n">
        <f aca="false">IF(M6730-Assumptions!$E$35&lt;1,0,INDEX($C$6755:$N$6755,1,M6730-Assumptions!$E$35)*INDEX($C$6760:$N$6760,1,M6730-Assumptions!$E$35)*Assumptions!$E$32)</f>
        <v>1.55844879429091</v>
      </c>
      <c r="N6763" s="48" t="n">
        <f aca="false">IF(N6730-Assumptions!$E$35&lt;1,0,INDEX($C$6755:$N$6755,1,N6730-Assumptions!$E$35)*INDEX($C$6760:$N$6760,1,N6730-Assumptions!$E$35)*Assumptions!$E$32)</f>
        <v>1.53214681753675</v>
      </c>
      <c r="P6763" s="49" t="n">
        <f aca="false">SUM(C6763:F6763)</f>
        <v>1.99914036478997</v>
      </c>
      <c r="Q6763" s="49" t="n">
        <f aca="false">SUM(G6763:J6763)</f>
        <v>4.2370241455654</v>
      </c>
      <c r="R6763" s="49" t="n">
        <f aca="false">SUM(K6763:N6763)</f>
        <v>6.19617659025165</v>
      </c>
      <c r="S6763" s="50" t="n">
        <f aca="false">SUM(P6763:R6763)</f>
        <v>12.432341100607</v>
      </c>
    </row>
    <row r="6764" customFormat="false" ht="15" hidden="false" customHeight="false" outlineLevel="0" collapsed="false">
      <c r="A6764" s="4" t="s">
        <v>518</v>
      </c>
      <c r="B6764" s="36" t="s">
        <v>516</v>
      </c>
      <c r="C6764" s="48" t="n">
        <f aca="false">IF(C6730-Assumptions!$E$36&lt;1,0,INDEX($C$6755:$N$6755,1,C6730-Assumptions!$E$36)*INDEX($C$6761:$N$6761,1,C6730-Assumptions!$E$36)*Assumptions!$E$32)</f>
        <v>0</v>
      </c>
      <c r="D6764" s="48" t="n">
        <f aca="false">IF(D6730-Assumptions!$E$36&lt;1,0,INDEX($C$6755:$N$6755,1,D6730-Assumptions!$E$36)*INDEX($C$6761:$N$6761,1,D6730-Assumptions!$E$36)*Assumptions!$E$32)</f>
        <v>0</v>
      </c>
      <c r="E6764" s="48" t="n">
        <f aca="false">IF(E6730-Assumptions!$E$36&lt;1,0,INDEX($C$6755:$N$6755,1,E6730-Assumptions!$E$36)*INDEX($C$6761:$N$6761,1,E6730-Assumptions!$E$36)*Assumptions!$E$32)</f>
        <v>0.071275680959914</v>
      </c>
      <c r="F6764" s="48" t="n">
        <f aca="false">IF(F6730-Assumptions!$E$36&lt;1,0,INDEX($C$6755:$N$6755,1,F6730-Assumptions!$E$36)*INDEX($C$6761:$N$6761,1,F6730-Assumptions!$E$36)*Assumptions!$E$32)</f>
        <v>0.122172096898336</v>
      </c>
      <c r="G6764" s="48" t="n">
        <f aca="false">IF(G6730-Assumptions!$E$36&lt;1,0,INDEX($C$6755:$N$6755,1,G6730-Assumptions!$E$36)*INDEX($C$6761:$N$6761,1,G6730-Assumptions!$E$36)*Assumptions!$E$32)</f>
        <v>0.134806133891215</v>
      </c>
      <c r="H6764" s="48" t="n">
        <f aca="false">IF(H6730-Assumptions!$E$36&lt;1,0,INDEX($C$6755:$N$6755,1,H6730-Assumptions!$E$36)*INDEX($C$6761:$N$6761,1,H6730-Assumptions!$E$36)*Assumptions!$E$32)</f>
        <v>0.147699251661313</v>
      </c>
      <c r="I6764" s="48" t="n">
        <f aca="false">IF(I6730-Assumptions!$E$36&lt;1,0,INDEX($C$6755:$N$6755,1,I6730-Assumptions!$E$36)*INDEX($C$6761:$N$6761,1,I6730-Assumptions!$E$36)*Assumptions!$E$32)</f>
        <v>0.160833471261591</v>
      </c>
      <c r="J6764" s="48" t="n">
        <f aca="false">IF(J6730-Assumptions!$E$36&lt;1,0,INDEX($C$6755:$N$6755,1,J6730-Assumptions!$E$36)*INDEX($C$6761:$N$6761,1,J6730-Assumptions!$E$36)*Assumptions!$E$32)</f>
        <v>0.174192061396573</v>
      </c>
      <c r="K6764" s="48" t="n">
        <f aca="false">IF(K6730-Assumptions!$E$36&lt;1,0,INDEX($C$6755:$N$6755,1,K6730-Assumptions!$E$36)*INDEX($C$6761:$N$6761,1,K6730-Assumptions!$E$36)*Assumptions!$E$32)</f>
        <v>0.199211473512035</v>
      </c>
      <c r="L6764" s="48" t="n">
        <f aca="false">IF(L6730-Assumptions!$E$36&lt;1,0,INDEX($C$6755:$N$6755,1,L6730-Assumptions!$E$36)*INDEX($C$6761:$N$6761,1,L6730-Assumptions!$E$36)*Assumptions!$E$32)</f>
        <v>0.223626818979872</v>
      </c>
      <c r="M6764" s="48" t="n">
        <f aca="false">IF(M6730-Assumptions!$E$36&lt;1,0,INDEX($C$6755:$N$6755,1,M6730-Assumptions!$E$36)*INDEX($C$6761:$N$6761,1,M6730-Assumptions!$E$36)*Assumptions!$E$32)</f>
        <v>0.233615546478126</v>
      </c>
      <c r="N6764" s="48" t="n">
        <f aca="false">IF(N6730-Assumptions!$E$36&lt;1,0,INDEX($C$6755:$N$6755,1,N6730-Assumptions!$E$36)*INDEX($C$6761:$N$6761,1,N6730-Assumptions!$E$36)*Assumptions!$E$32)</f>
        <v>0.229454268974934</v>
      </c>
      <c r="P6764" s="49" t="n">
        <f aca="false">SUM(C6764:F6764)</f>
        <v>0.19344777785825</v>
      </c>
      <c r="Q6764" s="49" t="n">
        <f aca="false">SUM(G6764:J6764)</f>
        <v>0.617530918210691</v>
      </c>
      <c r="R6764" s="49" t="n">
        <f aca="false">SUM(K6764:N6764)</f>
        <v>0.885908107944967</v>
      </c>
      <c r="S6764" s="50" t="n">
        <f aca="false">SUM(P6764:R6764)</f>
        <v>1.69688680401391</v>
      </c>
    </row>
    <row r="6765" customFormat="false" ht="15" hidden="false" customHeight="false" outlineLevel="0" collapsed="false">
      <c r="A6765" s="4" t="s">
        <v>519</v>
      </c>
      <c r="B6765" s="36" t="s">
        <v>77</v>
      </c>
      <c r="C6765" s="51" t="n">
        <f aca="false">IF(C6730-Assumptions!$E$35&lt;1,0,IFERROR(INDEX($C$6754:$N$6754,1,C6730-Assumptions!$E$35)/INDEX($C$6755:$N$6755,1,C6730-Assumptions!$E$35),0))</f>
        <v>0</v>
      </c>
      <c r="D6765" s="51" t="n">
        <f aca="false">IF(D6730-Assumptions!$E$35&lt;1,0,IFERROR(INDEX($C$6754:$N$6754,1,D6730-Assumptions!$E$35)/INDEX($C$6755:$N$6755,1,D6730-Assumptions!$E$35),0))</f>
        <v>0.459271678087073</v>
      </c>
      <c r="E6765" s="51" t="n">
        <f aca="false">IF(E6730-Assumptions!$E$35&lt;1,0,IFERROR(INDEX($C$6754:$N$6754,1,E6730-Assumptions!$E$35)/INDEX($C$6755:$N$6755,1,E6730-Assumptions!$E$35),0))</f>
        <v>0.401911350042128</v>
      </c>
      <c r="F6765" s="51" t="n">
        <f aca="false">IF(F6730-Assumptions!$E$35&lt;1,0,IFERROR(INDEX($C$6754:$N$6754,1,F6730-Assumptions!$E$35)/INDEX($C$6755:$N$6755,1,F6730-Assumptions!$E$35),0))</f>
        <v>0.485658933408398</v>
      </c>
      <c r="G6765" s="51" t="n">
        <f aca="false">IF(G6730-Assumptions!$E$35&lt;1,0,IFERROR(INDEX($C$6754:$N$6754,1,G6730-Assumptions!$E$35)/INDEX($C$6755:$N$6755,1,G6730-Assumptions!$E$35),0))</f>
        <v>0.554080356417826</v>
      </c>
      <c r="H6765" s="51" t="n">
        <f aca="false">IF(H6730-Assumptions!$E$35&lt;1,0,IFERROR(INDEX($C$6754:$N$6754,1,H6730-Assumptions!$E$35)/INDEX($C$6755:$N$6755,1,H6730-Assumptions!$E$35),0))</f>
        <v>0.610598677212212</v>
      </c>
      <c r="I6765" s="51" t="n">
        <f aca="false">IF(I6730-Assumptions!$E$35&lt;1,0,IFERROR(INDEX($C$6754:$N$6754,1,I6730-Assumptions!$E$35)/INDEX($C$6755:$N$6755,1,I6730-Assumptions!$E$35),0))</f>
        <v>0.657734656136626</v>
      </c>
      <c r="J6765" s="51" t="n">
        <f aca="false">IF(J6730-Assumptions!$E$35&lt;1,0,IFERROR(INDEX($C$6754:$N$6754,1,J6730-Assumptions!$E$35)/INDEX($C$6755:$N$6755,1,J6730-Assumptions!$E$35),0))</f>
        <v>0.60909049462803</v>
      </c>
      <c r="K6765" s="51" t="n">
        <f aca="false">IF(K6730-Assumptions!$E$35&lt;1,0,IFERROR(INDEX($C$6754:$N$6754,1,K6730-Assumptions!$E$35)/INDEX($C$6755:$N$6755,1,K6730-Assumptions!$E$35),0))</f>
        <v>0.581964190270586</v>
      </c>
      <c r="L6765" s="51" t="n">
        <f aca="false">IF(L6730-Assumptions!$E$35&lt;1,0,IFERROR(INDEX($C$6754:$N$6754,1,L6730-Assumptions!$E$35)/INDEX($C$6755:$N$6755,1,L6730-Assumptions!$E$35),0))</f>
        <v>0.618978976320416</v>
      </c>
      <c r="M6765" s="51" t="n">
        <f aca="false">IF(M6730-Assumptions!$E$35&lt;1,0,IFERROR(INDEX($C$6754:$N$6754,1,M6730-Assumptions!$E$35)/INDEX($C$6755:$N$6755,1,M6730-Assumptions!$E$35),0))</f>
        <v>0.630204495464677</v>
      </c>
      <c r="N6765" s="51" t="n">
        <f aca="false">IF(N6730-Assumptions!$E$35&lt;1,0,IFERROR(INDEX($C$6754:$N$6754,1,N6730-Assumptions!$E$35)/INDEX($C$6755:$N$6755,1,N6730-Assumptions!$E$35),0))</f>
        <v>0.641023056584509</v>
      </c>
      <c r="P6765" s="52"/>
      <c r="Q6765" s="52"/>
      <c r="R6765" s="52"/>
      <c r="S6765" s="53"/>
    </row>
    <row r="6766" customFormat="false" ht="15" hidden="false" customHeight="false" outlineLevel="0" collapsed="false">
      <c r="A6766" s="4" t="s">
        <v>520</v>
      </c>
      <c r="B6766" s="36" t="s">
        <v>516</v>
      </c>
      <c r="C6766" s="48" t="n">
        <f aca="false">C6762*Assumptions!$E$37</f>
        <v>0</v>
      </c>
      <c r="D6766" s="48" t="n">
        <f aca="false">D6762*Assumptions!$E$37</f>
        <v>0.259912933555146</v>
      </c>
      <c r="E6766" s="48" t="n">
        <f aca="false">E6762*Assumptions!$E$37</f>
        <v>0.44551111509252</v>
      </c>
      <c r="F6766" s="48" t="n">
        <f aca="false">F6762*Assumptions!$E$37</f>
        <v>0.491582223403786</v>
      </c>
      <c r="G6766" s="48" t="n">
        <f aca="false">G6762*Assumptions!$E$37</f>
        <v>0.538598092170902</v>
      </c>
      <c r="H6766" s="48" t="n">
        <f aca="false">H6762*Assumptions!$E$37</f>
        <v>0.586493159608921</v>
      </c>
      <c r="I6766" s="48" t="n">
        <f aca="false">I6762*Assumptions!$E$37</f>
        <v>0.635206413602196</v>
      </c>
      <c r="J6766" s="48" t="n">
        <f aca="false">J6762*Assumptions!$E$37</f>
        <v>0.792295035251362</v>
      </c>
      <c r="K6766" s="48" t="n">
        <f aca="false">K6762*Assumptions!$E$37</f>
        <v>0.938681419223065</v>
      </c>
      <c r="L6766" s="48" t="n">
        <f aca="false">L6762*Assumptions!$E$37</f>
        <v>0.980609453378651</v>
      </c>
      <c r="M6766" s="48" t="n">
        <f aca="false">M6762*Assumptions!$E$37</f>
        <v>0.963142345049268</v>
      </c>
      <c r="N6766" s="48" t="n">
        <f aca="false">N6762*Assumptions!$E$37</f>
        <v>0.946887369163482</v>
      </c>
      <c r="P6766" s="49" t="n">
        <f aca="false">SUM(C6766:F6766)</f>
        <v>1.19700627205145</v>
      </c>
      <c r="Q6766" s="49" t="n">
        <f aca="false">SUM(G6766:J6766)</f>
        <v>2.55259270063338</v>
      </c>
      <c r="R6766" s="49" t="n">
        <f aca="false">SUM(K6766:N6766)</f>
        <v>3.82932058681447</v>
      </c>
      <c r="S6766" s="50" t="n">
        <f aca="false">SUM(P6766:R6766)</f>
        <v>7.5789195594993</v>
      </c>
    </row>
    <row r="6767" customFormat="false" ht="15" hidden="false" customHeight="false" outlineLevel="0" collapsed="false">
      <c r="A6767" s="4" t="s">
        <v>521</v>
      </c>
      <c r="B6767" s="36" t="s">
        <v>516</v>
      </c>
      <c r="C6767" s="48" t="n">
        <f aca="false">C6762*(1-Assumptions!$E$37)</f>
        <v>0</v>
      </c>
      <c r="D6767" s="48" t="n">
        <f aca="false">D6762*(1-Assumptions!$E$37)</f>
        <v>0.606463511628675</v>
      </c>
      <c r="E6767" s="48" t="n">
        <f aca="false">E6762*(1-Assumptions!$E$37)</f>
        <v>1.03952593521588</v>
      </c>
      <c r="F6767" s="48" t="n">
        <f aca="false">F6762*(1-Assumptions!$E$37)</f>
        <v>1.14702518794217</v>
      </c>
      <c r="G6767" s="48" t="n">
        <f aca="false">G6762*(1-Assumptions!$E$37)</f>
        <v>1.25672888173211</v>
      </c>
      <c r="H6767" s="48" t="n">
        <f aca="false">H6762*(1-Assumptions!$E$37)</f>
        <v>1.36848403908748</v>
      </c>
      <c r="I6767" s="48" t="n">
        <f aca="false">I6762*(1-Assumptions!$E$37)</f>
        <v>1.48214829840512</v>
      </c>
      <c r="J6767" s="48" t="n">
        <f aca="false">J6762*(1-Assumptions!$E$37)</f>
        <v>1.84868841558651</v>
      </c>
      <c r="K6767" s="48" t="n">
        <f aca="false">K6762*(1-Assumptions!$E$37)</f>
        <v>2.19025664485382</v>
      </c>
      <c r="L6767" s="48" t="n">
        <f aca="false">L6762*(1-Assumptions!$E$37)</f>
        <v>2.28808872455018</v>
      </c>
      <c r="M6767" s="48" t="n">
        <f aca="false">M6762*(1-Assumptions!$E$37)</f>
        <v>2.24733213844829</v>
      </c>
      <c r="N6767" s="48" t="n">
        <f aca="false">N6762*(1-Assumptions!$E$37)</f>
        <v>2.20940386138146</v>
      </c>
      <c r="P6767" s="49" t="n">
        <f aca="false">SUM(C6767:F6767)</f>
        <v>2.79301463478672</v>
      </c>
      <c r="Q6767" s="49" t="n">
        <f aca="false">SUM(G6767:J6767)</f>
        <v>5.95604963481122</v>
      </c>
      <c r="R6767" s="49" t="n">
        <f aca="false">SUM(K6767:N6767)</f>
        <v>8.93508136923375</v>
      </c>
      <c r="S6767" s="50" t="n">
        <f aca="false">SUM(P6767:R6767)</f>
        <v>17.6841456388317</v>
      </c>
    </row>
    <row r="6768" customFormat="false" ht="15" hidden="false" customHeight="false" outlineLevel="0" collapsed="false">
      <c r="A6768" s="4" t="s">
        <v>522</v>
      </c>
      <c r="B6768" s="36" t="s">
        <v>125</v>
      </c>
      <c r="C6768" s="54" t="n">
        <f aca="false">C6767*$C$6721+C6763*$C$6722+C6764*$C$6723</f>
        <v>0</v>
      </c>
      <c r="D6768" s="54" t="n">
        <f aca="false">D6767*$C$6721+D6763*$C$6722+D6764*$C$6723</f>
        <v>7485.37917000042</v>
      </c>
      <c r="E6768" s="54" t="n">
        <f aca="false">E6767*$C$6721+E6763*$C$6722+E6764*$C$6723</f>
        <v>17233.8131620616</v>
      </c>
      <c r="F6768" s="54" t="n">
        <f aca="false">F6767*$C$6721+F6763*$C$6722+F6764*$C$6723</f>
        <v>21704.9328199195</v>
      </c>
      <c r="G6768" s="54" t="n">
        <f aca="false">G6767*$C$6721+G6763*$C$6722+G6764*$C$6723</f>
        <v>23839.4781169478</v>
      </c>
      <c r="H6768" s="54" t="n">
        <f aca="false">H6767*$C$6721+H6763*$C$6722+H6764*$C$6723</f>
        <v>26015.3495110233</v>
      </c>
      <c r="I6768" s="54" t="n">
        <f aca="false">I6767*$C$6721+I6763*$C$6722+I6764*$C$6723</f>
        <v>28229.6791718184</v>
      </c>
      <c r="J6768" s="54" t="n">
        <f aca="false">J6767*$C$6721+J6763*$C$6722+J6764*$C$6723</f>
        <v>33324.0831428676</v>
      </c>
      <c r="K6768" s="54" t="n">
        <f aca="false">K6767*$C$6721+K6763*$C$6722+K6764*$C$6723</f>
        <v>38863.5581887769</v>
      </c>
      <c r="L6768" s="54" t="n">
        <f aca="false">L6767*$C$6721+L6763*$C$6722+L6764*$C$6723</f>
        <v>41558.0988546715</v>
      </c>
      <c r="M6768" s="54" t="n">
        <f aca="false">M6767*$C$6721+M6763*$C$6722+M6764*$C$6723</f>
        <v>41681.0159009755</v>
      </c>
      <c r="N6768" s="54" t="n">
        <f aca="false">N6767*$C$6721+N6763*$C$6722+N6764*$C$6723</f>
        <v>40964.0632485307</v>
      </c>
      <c r="P6768" s="55" t="n">
        <f aca="false">SUM(C6768:F6768)</f>
        <v>46424.1251519815</v>
      </c>
      <c r="Q6768" s="55" t="n">
        <f aca="false">SUM(G6768:J6768)</f>
        <v>111408.589942657</v>
      </c>
      <c r="R6768" s="55" t="n">
        <f aca="false">SUM(K6768:N6768)</f>
        <v>163066.736192955</v>
      </c>
      <c r="S6768" s="56" t="n">
        <f aca="false">SUM(P6768:R6768)</f>
        <v>320899.451287593</v>
      </c>
    </row>
    <row r="6769" customFormat="false" ht="15" hidden="false" customHeight="false" outlineLevel="0" collapsed="false">
      <c r="A6769" s="4" t="s">
        <v>523</v>
      </c>
      <c r="B6769" s="36" t="s">
        <v>125</v>
      </c>
      <c r="C6769" s="54" t="n">
        <f aca="false">(C6745+Assumptions!$D$104*C6731)*$C$6726</f>
        <v>306250</v>
      </c>
      <c r="D6769" s="54" t="n">
        <f aca="false">(D6745+Assumptions!$D$104*D6731)*$C$6726</f>
        <v>306250</v>
      </c>
      <c r="E6769" s="54" t="n">
        <f aca="false">(E6745+Assumptions!$D$104*E6731)*$C$6726</f>
        <v>306250</v>
      </c>
      <c r="F6769" s="54" t="n">
        <f aca="false">(F6745+Assumptions!$D$104*F6731)*$C$6726</f>
        <v>306250</v>
      </c>
      <c r="G6769" s="54" t="n">
        <f aca="false">(G6745+Assumptions!$D$104*G6731)*$C$6726</f>
        <v>306250</v>
      </c>
      <c r="H6769" s="54" t="n">
        <f aca="false">(H6745+Assumptions!$D$104*H6731)*$C$6726</f>
        <v>306250</v>
      </c>
      <c r="I6769" s="54" t="n">
        <f aca="false">(I6745+Assumptions!$D$104*I6731)*$C$6726</f>
        <v>306250</v>
      </c>
      <c r="J6769" s="54" t="n">
        <f aca="false">(J6745+Assumptions!$D$104*J6731)*$C$6726</f>
        <v>306250</v>
      </c>
      <c r="K6769" s="54" t="n">
        <f aca="false">(K6745+Assumptions!$D$104*K6731)*$C$6726</f>
        <v>306250</v>
      </c>
      <c r="L6769" s="54" t="n">
        <f aca="false">(L6745+Assumptions!$D$104*L6731)*$C$6726</f>
        <v>306250</v>
      </c>
      <c r="M6769" s="54" t="n">
        <f aca="false">(M6745+Assumptions!$D$104*M6731)*$C$6726</f>
        <v>306250</v>
      </c>
      <c r="N6769" s="54" t="n">
        <f aca="false">(N6745+Assumptions!$D$104*N6731)*$C$6726</f>
        <v>306250</v>
      </c>
      <c r="P6769" s="55" t="n">
        <f aca="false">SUM(C6769:F6769)</f>
        <v>1225000</v>
      </c>
      <c r="Q6769" s="55" t="n">
        <f aca="false">SUM(G6769:J6769)</f>
        <v>1225000</v>
      </c>
      <c r="R6769" s="55" t="n">
        <f aca="false">SUM(K6769:N6769)</f>
        <v>1225000</v>
      </c>
      <c r="S6769" s="56" t="n">
        <f aca="false">SUM(P6769:R6769)</f>
        <v>3675000</v>
      </c>
    </row>
    <row r="6770" customFormat="false" ht="15" hidden="false" customHeight="false" outlineLevel="0" collapsed="false">
      <c r="A6770" s="4" t="s">
        <v>524</v>
      </c>
      <c r="B6770" s="36" t="s">
        <v>77</v>
      </c>
      <c r="C6770" s="51" t="n">
        <f aca="false">IF(C6768&gt;0,MIN(1,C6769/C6768),1)</f>
        <v>1</v>
      </c>
      <c r="D6770" s="51" t="n">
        <f aca="false">IF(D6768&gt;0,MIN(1,D6769/D6768),1)</f>
        <v>1</v>
      </c>
      <c r="E6770" s="51" t="n">
        <f aca="false">IF(E6768&gt;0,MIN(1,E6769/E6768),1)</f>
        <v>1</v>
      </c>
      <c r="F6770" s="51" t="n">
        <f aca="false">IF(F6768&gt;0,MIN(1,F6769/F6768),1)</f>
        <v>1</v>
      </c>
      <c r="G6770" s="51" t="n">
        <f aca="false">IF(G6768&gt;0,MIN(1,G6769/G6768),1)</f>
        <v>1</v>
      </c>
      <c r="H6770" s="51" t="n">
        <f aca="false">IF(H6768&gt;0,MIN(1,H6769/H6768),1)</f>
        <v>1</v>
      </c>
      <c r="I6770" s="51" t="n">
        <f aca="false">IF(I6768&gt;0,MIN(1,I6769/I6768),1)</f>
        <v>1</v>
      </c>
      <c r="J6770" s="51" t="n">
        <f aca="false">IF(J6768&gt;0,MIN(1,J6769/J6768),1)</f>
        <v>1</v>
      </c>
      <c r="K6770" s="51" t="n">
        <f aca="false">IF(K6768&gt;0,MIN(1,K6769/K6768),1)</f>
        <v>1</v>
      </c>
      <c r="L6770" s="51" t="n">
        <f aca="false">IF(L6768&gt;0,MIN(1,L6769/L6768),1)</f>
        <v>1</v>
      </c>
      <c r="M6770" s="51" t="n">
        <f aca="false">IF(M6768&gt;0,MIN(1,M6769/M6768),1)</f>
        <v>1</v>
      </c>
      <c r="N6770" s="51" t="n">
        <f aca="false">IF(N6768&gt;0,MIN(1,N6769/N6768),1)</f>
        <v>1</v>
      </c>
      <c r="P6770" s="52"/>
      <c r="Q6770" s="52"/>
      <c r="R6770" s="52"/>
      <c r="S6770" s="53"/>
    </row>
    <row r="6771" customFormat="false" ht="15" hidden="false" customHeight="false" outlineLevel="0" collapsed="false">
      <c r="A6771" s="4" t="s">
        <v>525</v>
      </c>
      <c r="B6771" s="36" t="s">
        <v>125</v>
      </c>
      <c r="C6771" s="54" t="n">
        <f aca="false">C6768*(1-C6770)</f>
        <v>0</v>
      </c>
      <c r="D6771" s="54" t="n">
        <f aca="false">D6768*(1-D6770)</f>
        <v>0</v>
      </c>
      <c r="E6771" s="54" t="n">
        <f aca="false">E6768*(1-E6770)</f>
        <v>0</v>
      </c>
      <c r="F6771" s="54" t="n">
        <f aca="false">F6768*(1-F6770)</f>
        <v>0</v>
      </c>
      <c r="G6771" s="54" t="n">
        <f aca="false">G6768*(1-G6770)</f>
        <v>0</v>
      </c>
      <c r="H6771" s="54" t="n">
        <f aca="false">H6768*(1-H6770)</f>
        <v>0</v>
      </c>
      <c r="I6771" s="54" t="n">
        <f aca="false">I6768*(1-I6770)</f>
        <v>0</v>
      </c>
      <c r="J6771" s="54" t="n">
        <f aca="false">J6768*(1-J6770)</f>
        <v>0</v>
      </c>
      <c r="K6771" s="54" t="n">
        <f aca="false">K6768*(1-K6770)</f>
        <v>0</v>
      </c>
      <c r="L6771" s="54" t="n">
        <f aca="false">L6768*(1-L6770)</f>
        <v>0</v>
      </c>
      <c r="M6771" s="54" t="n">
        <f aca="false">M6768*(1-M6770)</f>
        <v>0</v>
      </c>
      <c r="N6771" s="54" t="n">
        <f aca="false">N6768*(1-N6770)</f>
        <v>0</v>
      </c>
      <c r="P6771" s="55" t="n">
        <f aca="false">SUM(C6771:F6771)</f>
        <v>0</v>
      </c>
      <c r="Q6771" s="55" t="n">
        <f aca="false">SUM(G6771:J6771)</f>
        <v>0</v>
      </c>
      <c r="R6771" s="55" t="n">
        <f aca="false">SUM(K6771:N6771)</f>
        <v>0</v>
      </c>
      <c r="S6771" s="56" t="n">
        <f aca="false">SUM(P6771:R6771)</f>
        <v>0</v>
      </c>
    </row>
    <row r="6772" customFormat="false" ht="15" hidden="false" customHeight="false" outlineLevel="0" collapsed="false">
      <c r="A6772" s="4" t="s">
        <v>526</v>
      </c>
      <c r="B6772" s="36" t="s">
        <v>527</v>
      </c>
      <c r="C6772" s="48" t="n">
        <f aca="false">C6766+C6767*C6770</f>
        <v>0</v>
      </c>
      <c r="D6772" s="48" t="n">
        <f aca="false">D6766+D6767*D6770</f>
        <v>0.866376445183821</v>
      </c>
      <c r="E6772" s="48" t="n">
        <f aca="false">E6766+E6767*E6770</f>
        <v>1.4850370503084</v>
      </c>
      <c r="F6772" s="48" t="n">
        <f aca="false">F6766+F6767*F6770</f>
        <v>1.63860741134595</v>
      </c>
      <c r="G6772" s="48" t="n">
        <f aca="false">G6766+G6767*G6770</f>
        <v>1.79532697390301</v>
      </c>
      <c r="H6772" s="48" t="n">
        <f aca="false">H6766+H6767*H6770</f>
        <v>1.9549771986964</v>
      </c>
      <c r="I6772" s="48" t="n">
        <f aca="false">I6766+I6767*I6770</f>
        <v>2.11735471200732</v>
      </c>
      <c r="J6772" s="48" t="n">
        <f aca="false">J6766+J6767*J6770</f>
        <v>2.64098345083787</v>
      </c>
      <c r="K6772" s="48" t="n">
        <f aca="false">K6766+K6767*K6770</f>
        <v>3.12893806407688</v>
      </c>
      <c r="L6772" s="48" t="n">
        <f aca="false">L6766+L6767*L6770</f>
        <v>3.26869817792884</v>
      </c>
      <c r="M6772" s="48" t="n">
        <f aca="false">M6766+M6767*M6770</f>
        <v>3.21047448349756</v>
      </c>
      <c r="N6772" s="48" t="n">
        <f aca="false">N6766+N6767*N6770</f>
        <v>3.15629123054494</v>
      </c>
      <c r="P6772" s="49" t="n">
        <f aca="false">SUM(C6772:F6772)</f>
        <v>3.99002090683817</v>
      </c>
      <c r="Q6772" s="49" t="n">
        <f aca="false">SUM(G6772:J6772)</f>
        <v>8.5086423354446</v>
      </c>
      <c r="R6772" s="49" t="n">
        <f aca="false">SUM(K6772:N6772)</f>
        <v>12.7644019560482</v>
      </c>
      <c r="S6772" s="50" t="n">
        <f aca="false">SUM(P6772:R6772)</f>
        <v>25.263065198331</v>
      </c>
    </row>
    <row r="6773" customFormat="false" ht="15" hidden="false" customHeight="false" outlineLevel="0" collapsed="false">
      <c r="A6773" s="4" t="s">
        <v>528</v>
      </c>
      <c r="B6773" s="36" t="s">
        <v>527</v>
      </c>
      <c r="C6773" s="48" t="n">
        <f aca="false">C6763*C6770</f>
        <v>0</v>
      </c>
      <c r="D6773" s="48" t="n">
        <f aca="false">D6763*D6770</f>
        <v>0.434084974267145</v>
      </c>
      <c r="E6773" s="48" t="n">
        <f aca="false">E6763*E6770</f>
        <v>0.744055627726705</v>
      </c>
      <c r="F6773" s="48" t="n">
        <f aca="false">F6763*F6770</f>
        <v>0.820999762796119</v>
      </c>
      <c r="G6773" s="48" t="n">
        <f aca="false">G6763*G6770</f>
        <v>0.89952175823807</v>
      </c>
      <c r="H6773" s="48" t="n">
        <f aca="false">H6763*H6770</f>
        <v>0.979512118209688</v>
      </c>
      <c r="I6773" s="48" t="n">
        <f aca="false">I6763*I6770</f>
        <v>1.06086894534755</v>
      </c>
      <c r="J6773" s="48" t="n">
        <f aca="false">J6763*J6770</f>
        <v>1.2971213237701</v>
      </c>
      <c r="K6773" s="48" t="n">
        <f aca="false">K6763*K6770</f>
        <v>1.51886887076555</v>
      </c>
      <c r="L6773" s="48" t="n">
        <f aca="false">L6763*L6770</f>
        <v>1.58671210765845</v>
      </c>
      <c r="M6773" s="48" t="n">
        <f aca="false">M6763*M6770</f>
        <v>1.55844879429091</v>
      </c>
      <c r="N6773" s="48" t="n">
        <f aca="false">N6763*N6770</f>
        <v>1.53214681753675</v>
      </c>
      <c r="P6773" s="49" t="n">
        <f aca="false">SUM(C6773:F6773)</f>
        <v>1.99914036478997</v>
      </c>
      <c r="Q6773" s="49" t="n">
        <f aca="false">SUM(G6773:J6773)</f>
        <v>4.2370241455654</v>
      </c>
      <c r="R6773" s="49" t="n">
        <f aca="false">SUM(K6773:N6773)</f>
        <v>6.19617659025165</v>
      </c>
      <c r="S6773" s="50" t="n">
        <f aca="false">SUM(P6773:R6773)</f>
        <v>12.432341100607</v>
      </c>
    </row>
    <row r="6774" customFormat="false" ht="15" hidden="false" customHeight="false" outlineLevel="0" collapsed="false">
      <c r="A6774" s="4" t="s">
        <v>529</v>
      </c>
      <c r="B6774" s="36" t="s">
        <v>527</v>
      </c>
      <c r="C6774" s="48" t="n">
        <f aca="false">C6764*C6770</f>
        <v>0</v>
      </c>
      <c r="D6774" s="48" t="n">
        <f aca="false">D6764*D6770</f>
        <v>0</v>
      </c>
      <c r="E6774" s="48" t="n">
        <f aca="false">E6764*E6770</f>
        <v>0.071275680959914</v>
      </c>
      <c r="F6774" s="48" t="n">
        <f aca="false">F6764*F6770</f>
        <v>0.122172096898336</v>
      </c>
      <c r="G6774" s="48" t="n">
        <f aca="false">G6764*G6770</f>
        <v>0.134806133891215</v>
      </c>
      <c r="H6774" s="48" t="n">
        <f aca="false">H6764*H6770</f>
        <v>0.147699251661313</v>
      </c>
      <c r="I6774" s="48" t="n">
        <f aca="false">I6764*I6770</f>
        <v>0.160833471261591</v>
      </c>
      <c r="J6774" s="48" t="n">
        <f aca="false">J6764*J6770</f>
        <v>0.174192061396573</v>
      </c>
      <c r="K6774" s="48" t="n">
        <f aca="false">K6764*K6770</f>
        <v>0.199211473512035</v>
      </c>
      <c r="L6774" s="48" t="n">
        <f aca="false">L6764*L6770</f>
        <v>0.223626818979872</v>
      </c>
      <c r="M6774" s="48" t="n">
        <f aca="false">M6764*M6770</f>
        <v>0.233615546478126</v>
      </c>
      <c r="N6774" s="48" t="n">
        <f aca="false">N6764*N6770</f>
        <v>0.229454268974934</v>
      </c>
      <c r="P6774" s="49" t="n">
        <f aca="false">SUM(C6774:F6774)</f>
        <v>0.19344777785825</v>
      </c>
      <c r="Q6774" s="49" t="n">
        <f aca="false">SUM(G6774:J6774)</f>
        <v>0.617530918210691</v>
      </c>
      <c r="R6774" s="49" t="n">
        <f aca="false">SUM(K6774:N6774)</f>
        <v>0.885908107944967</v>
      </c>
      <c r="S6774" s="50" t="n">
        <f aca="false">SUM(P6774:R6774)</f>
        <v>1.69688680401391</v>
      </c>
    </row>
    <row r="6775" customFormat="false" ht="15" hidden="false" customHeight="false" outlineLevel="0" collapsed="false">
      <c r="A6775" s="9" t="s">
        <v>530</v>
      </c>
      <c r="B6775" s="36" t="s">
        <v>527</v>
      </c>
      <c r="C6775" s="49" t="n">
        <f aca="false">C6772+C6773+C6774</f>
        <v>0</v>
      </c>
      <c r="D6775" s="49" t="n">
        <f aca="false">D6772+D6773+D6774</f>
        <v>1.30046141945097</v>
      </c>
      <c r="E6775" s="49" t="n">
        <f aca="false">E6772+E6773+E6774</f>
        <v>2.30036835899502</v>
      </c>
      <c r="F6775" s="49" t="n">
        <f aca="false">F6772+F6773+F6774</f>
        <v>2.58177927104041</v>
      </c>
      <c r="G6775" s="49" t="n">
        <f aca="false">G6772+G6773+G6774</f>
        <v>2.82965486603229</v>
      </c>
      <c r="H6775" s="49" t="n">
        <f aca="false">H6772+H6773+H6774</f>
        <v>3.0821885685674</v>
      </c>
      <c r="I6775" s="49" t="n">
        <f aca="false">I6772+I6773+I6774</f>
        <v>3.33905712861646</v>
      </c>
      <c r="J6775" s="49" t="n">
        <f aca="false">J6772+J6773+J6774</f>
        <v>4.11229683600454</v>
      </c>
      <c r="K6775" s="49" t="n">
        <f aca="false">K6772+K6773+K6774</f>
        <v>4.84701840835447</v>
      </c>
      <c r="L6775" s="49" t="n">
        <f aca="false">L6772+L6773+L6774</f>
        <v>5.07903710456715</v>
      </c>
      <c r="M6775" s="49" t="n">
        <f aca="false">M6772+M6773+M6774</f>
        <v>5.00253882426659</v>
      </c>
      <c r="N6775" s="49" t="n">
        <f aca="false">N6772+N6773+N6774</f>
        <v>4.91789231705663</v>
      </c>
      <c r="P6775" s="49" t="n">
        <f aca="false">SUM(C6775:F6775)</f>
        <v>6.18260904948639</v>
      </c>
      <c r="Q6775" s="49" t="n">
        <f aca="false">SUM(G6775:J6775)</f>
        <v>13.3631973992207</v>
      </c>
      <c r="R6775" s="49" t="n">
        <f aca="false">SUM(K6775:N6775)</f>
        <v>19.8464866542448</v>
      </c>
      <c r="S6775" s="50" t="n">
        <f aca="false">SUM(P6775:R6775)</f>
        <v>39.3922931029519</v>
      </c>
    </row>
    <row r="6776" customFormat="false" ht="15" hidden="false" customHeight="false" outlineLevel="0" collapsed="false">
      <c r="A6776" s="35" t="s">
        <v>533</v>
      </c>
      <c r="B6776" s="35" t="s">
        <v>444</v>
      </c>
      <c r="C6776" s="6" t="s">
        <v>354</v>
      </c>
      <c r="D6776" s="6" t="s">
        <v>355</v>
      </c>
      <c r="E6776" s="6" t="s">
        <v>356</v>
      </c>
      <c r="F6776" s="6" t="s">
        <v>357</v>
      </c>
      <c r="G6776" s="6" t="s">
        <v>358</v>
      </c>
      <c r="H6776" s="6" t="s">
        <v>359</v>
      </c>
      <c r="I6776" s="6" t="s">
        <v>360</v>
      </c>
      <c r="J6776" s="6" t="s">
        <v>361</v>
      </c>
      <c r="K6776" s="6" t="s">
        <v>362</v>
      </c>
      <c r="L6776" s="6" t="s">
        <v>363</v>
      </c>
      <c r="M6776" s="6" t="s">
        <v>364</v>
      </c>
      <c r="N6776" s="6" t="s">
        <v>365</v>
      </c>
      <c r="P6776" s="6" t="s">
        <v>445</v>
      </c>
      <c r="Q6776" s="6" t="s">
        <v>446</v>
      </c>
      <c r="R6776" s="6" t="s">
        <v>447</v>
      </c>
      <c r="S6776" s="6" t="s">
        <v>448</v>
      </c>
    </row>
    <row r="6777" customFormat="false" ht="15" hidden="false" customHeight="false" outlineLevel="0" collapsed="false">
      <c r="A6777" s="4" t="s">
        <v>534</v>
      </c>
      <c r="B6777" s="36" t="s">
        <v>527</v>
      </c>
      <c r="C6777" s="48" t="n">
        <f aca="false">0*Assumptions!$E$59^(1/4)+C6772</f>
        <v>0</v>
      </c>
      <c r="D6777" s="48" t="n">
        <f aca="false">C6777*Assumptions!$E$59^(1/4)+D6772</f>
        <v>0.866376445183821</v>
      </c>
      <c r="E6777" s="48" t="n">
        <f aca="false">D6777*Assumptions!$E$59^(1/4)+E6772</f>
        <v>2.32416329488403</v>
      </c>
      <c r="F6777" s="48" t="n">
        <f aca="false">E6777*Assumptions!$E$59^(1/4)+F6772</f>
        <v>3.88966863104794</v>
      </c>
      <c r="G6777" s="48" t="n">
        <f aca="false">F6777*Assumptions!$E$59^(1/4)+G6772</f>
        <v>5.56265357789716</v>
      </c>
      <c r="H6777" s="48" t="n">
        <f aca="false">G6777*Assumptions!$E$59^(1/4)+H6772</f>
        <v>7.34266823374719</v>
      </c>
      <c r="I6777" s="48" t="n">
        <f aca="false">H6777*Assumptions!$E$59^(1/4)+I6772</f>
        <v>9.22907347398471</v>
      </c>
      <c r="J6777" s="48" t="n">
        <f aca="false">I6777*Assumptions!$E$59^(1/4)+J6772</f>
        <v>11.5797742134309</v>
      </c>
      <c r="K6777" s="48" t="n">
        <f aca="false">J6777*Assumptions!$E$59^(1/4)+K6772</f>
        <v>14.3444928067827</v>
      </c>
      <c r="L6777" s="48" t="n">
        <f aca="false">K6777*Assumptions!$E$59^(1/4)+L6772</f>
        <v>17.1620126213332</v>
      </c>
      <c r="M6777" s="48" t="n">
        <f aca="false">L6777*Assumptions!$E$59^(1/4)+M6772</f>
        <v>19.8326890881934</v>
      </c>
      <c r="N6777" s="48" t="n">
        <f aca="false">M6777*Assumptions!$E$59^(1/4)+N6772</f>
        <v>22.3651813232122</v>
      </c>
      <c r="P6777" s="49" t="n">
        <f aca="false">F6777</f>
        <v>3.88966863104794</v>
      </c>
      <c r="Q6777" s="49" t="n">
        <f aca="false">J6777</f>
        <v>11.5797742134309</v>
      </c>
      <c r="R6777" s="49" t="n">
        <f aca="false">N6777</f>
        <v>22.3651813232122</v>
      </c>
      <c r="S6777" s="50" t="n">
        <f aca="false">R6777</f>
        <v>22.3651813232122</v>
      </c>
    </row>
    <row r="6778" customFormat="false" ht="15" hidden="false" customHeight="false" outlineLevel="0" collapsed="false">
      <c r="A6778" s="4" t="s">
        <v>535</v>
      </c>
      <c r="B6778" s="36" t="s">
        <v>527</v>
      </c>
      <c r="C6778" s="48" t="n">
        <f aca="false">0*Assumptions!$E$60^(1/4)+C6773</f>
        <v>0</v>
      </c>
      <c r="D6778" s="48" t="n">
        <f aca="false">C6778*Assumptions!$E$60^(1/4)+D6773</f>
        <v>0.434084974267145</v>
      </c>
      <c r="E6778" s="48" t="n">
        <f aca="false">D6778*Assumptions!$E$60^(1/4)+E6773</f>
        <v>1.16685601892983</v>
      </c>
      <c r="F6778" s="48" t="n">
        <f aca="false">E6778*Assumptions!$E$60^(1/4)+F6773</f>
        <v>1.95752189677268</v>
      </c>
      <c r="G6778" s="48" t="n">
        <f aca="false">F6778*Assumptions!$E$60^(1/4)+G6773</f>
        <v>2.80615541940422</v>
      </c>
      <c r="H6778" s="48" t="n">
        <f aca="false">G6778*Assumptions!$E$60^(1/4)+H6773</f>
        <v>3.71271800976104</v>
      </c>
      <c r="I6778" s="48" t="n">
        <f aca="false">H6778*Assumptions!$E$60^(1/4)+I6773</f>
        <v>4.67707019627548</v>
      </c>
      <c r="J6778" s="48" t="n">
        <f aca="false">I6778*Assumptions!$E$60^(1/4)+J6773</f>
        <v>5.85260521723651</v>
      </c>
      <c r="K6778" s="48" t="n">
        <f aca="false">J6778*Assumptions!$E$60^(1/4)+K6773</f>
        <v>7.21932827870214</v>
      </c>
      <c r="L6778" s="48" t="n">
        <f aca="false">K6778*Assumptions!$E$60^(1/4)+L6773</f>
        <v>8.61836489778842</v>
      </c>
      <c r="M6778" s="48" t="n">
        <f aca="false">L6778*Assumptions!$E$60^(1/4)+M6773</f>
        <v>9.9527684927971</v>
      </c>
      <c r="N6778" s="48" t="n">
        <f aca="false">M6778*Assumptions!$E$60^(1/4)+N6773</f>
        <v>11.2261806168248</v>
      </c>
      <c r="P6778" s="49" t="n">
        <f aca="false">F6778</f>
        <v>1.95752189677268</v>
      </c>
      <c r="Q6778" s="49" t="n">
        <f aca="false">J6778</f>
        <v>5.85260521723651</v>
      </c>
      <c r="R6778" s="49" t="n">
        <f aca="false">N6778</f>
        <v>11.2261806168248</v>
      </c>
      <c r="S6778" s="50" t="n">
        <f aca="false">R6778</f>
        <v>11.2261806168248</v>
      </c>
    </row>
    <row r="6779" customFormat="false" ht="15" hidden="false" customHeight="false" outlineLevel="0" collapsed="false">
      <c r="A6779" s="4" t="s">
        <v>536</v>
      </c>
      <c r="B6779" s="36" t="s">
        <v>527</v>
      </c>
      <c r="C6779" s="48" t="n">
        <f aca="false">0*Assumptions!$E$61^(1/4)+C6774</f>
        <v>0</v>
      </c>
      <c r="D6779" s="48" t="n">
        <f aca="false">C6779*Assumptions!$E$61^(1/4)+D6774</f>
        <v>0</v>
      </c>
      <c r="E6779" s="48" t="n">
        <f aca="false">D6779*Assumptions!$E$61^(1/4)+E6774</f>
        <v>0.071275680959914</v>
      </c>
      <c r="F6779" s="48" t="n">
        <f aca="false">E6779*Assumptions!$E$61^(1/4)+F6774</f>
        <v>0.191977386314485</v>
      </c>
      <c r="G6779" s="48" t="n">
        <f aca="false">F6779*Assumptions!$E$61^(1/4)+G6774</f>
        <v>0.322823096094288</v>
      </c>
      <c r="H6779" s="48" t="n">
        <f aca="false">G6779*Assumptions!$E$61^(1/4)+H6774</f>
        <v>0.463862623930639</v>
      </c>
      <c r="I6779" s="48" t="n">
        <f aca="false">H6779*Assumptions!$E$61^(1/4)+I6774</f>
        <v>0.615126776870601</v>
      </c>
      <c r="J6779" s="48" t="n">
        <f aca="false">I6779*Assumptions!$E$61^(1/4)+J6774</f>
        <v>0.776628995127511</v>
      </c>
      <c r="K6779" s="48" t="n">
        <f aca="false">J6779*Assumptions!$E$61^(1/4)+K6774</f>
        <v>0.959818893093739</v>
      </c>
      <c r="L6779" s="48" t="n">
        <f aca="false">K6779*Assumptions!$E$61^(1/4)+L6774</f>
        <v>1.16364499512578</v>
      </c>
      <c r="M6779" s="48" t="n">
        <f aca="false">L6779*Assumptions!$E$61^(1/4)+M6774</f>
        <v>1.37325496582078</v>
      </c>
      <c r="N6779" s="48" t="n">
        <f aca="false">M6779*Assumptions!$E$61^(1/4)+N6774</f>
        <v>1.57437948105668</v>
      </c>
      <c r="P6779" s="49" t="n">
        <f aca="false">F6779</f>
        <v>0.191977386314485</v>
      </c>
      <c r="Q6779" s="49" t="n">
        <f aca="false">J6779</f>
        <v>0.776628995127511</v>
      </c>
      <c r="R6779" s="49" t="n">
        <f aca="false">N6779</f>
        <v>1.57437948105668</v>
      </c>
      <c r="S6779" s="50" t="n">
        <f aca="false">R6779</f>
        <v>1.57437948105668</v>
      </c>
    </row>
    <row r="6780" customFormat="false" ht="15" hidden="false" customHeight="false" outlineLevel="0" collapsed="false">
      <c r="A6780" s="9" t="s">
        <v>537</v>
      </c>
      <c r="B6780" s="36" t="s">
        <v>527</v>
      </c>
      <c r="C6780" s="49" t="n">
        <f aca="false">C6777+C6778+C6779</f>
        <v>0</v>
      </c>
      <c r="D6780" s="49" t="n">
        <f aca="false">D6777+D6778+D6779</f>
        <v>1.30046141945097</v>
      </c>
      <c r="E6780" s="49" t="n">
        <f aca="false">E6777+E6778+E6779</f>
        <v>3.56229499477378</v>
      </c>
      <c r="F6780" s="49" t="n">
        <f aca="false">F6777+F6778+F6779</f>
        <v>6.0391679141351</v>
      </c>
      <c r="G6780" s="49" t="n">
        <f aca="false">G6777+G6778+G6779</f>
        <v>8.69163209339566</v>
      </c>
      <c r="H6780" s="49" t="n">
        <f aca="false">H6777+H6778+H6779</f>
        <v>11.5192488674389</v>
      </c>
      <c r="I6780" s="49" t="n">
        <f aca="false">I6777+I6778+I6779</f>
        <v>14.5212704471308</v>
      </c>
      <c r="J6780" s="49" t="n">
        <f aca="false">J6777+J6778+J6779</f>
        <v>18.209008425795</v>
      </c>
      <c r="K6780" s="49" t="n">
        <f aca="false">K6777+K6778+K6779</f>
        <v>22.5236399785786</v>
      </c>
      <c r="L6780" s="49" t="n">
        <f aca="false">L6777+L6778+L6779</f>
        <v>26.9440225142474</v>
      </c>
      <c r="M6780" s="49" t="n">
        <f aca="false">M6777+M6778+M6779</f>
        <v>31.1587125468112</v>
      </c>
      <c r="N6780" s="49" t="n">
        <f aca="false">N6777+N6778+N6779</f>
        <v>35.1657414210937</v>
      </c>
      <c r="P6780" s="49" t="n">
        <f aca="false">F6780</f>
        <v>6.0391679141351</v>
      </c>
      <c r="Q6780" s="49" t="n">
        <f aca="false">J6780</f>
        <v>18.209008425795</v>
      </c>
      <c r="R6780" s="49" t="n">
        <f aca="false">N6780</f>
        <v>35.1657414210937</v>
      </c>
      <c r="S6780" s="50" t="n">
        <f aca="false">R6780</f>
        <v>35.1657414210937</v>
      </c>
    </row>
    <row r="6781" customFormat="false" ht="15" hidden="false" customHeight="false" outlineLevel="0" collapsed="false">
      <c r="A6781" s="4" t="s">
        <v>538</v>
      </c>
      <c r="B6781" s="36" t="s">
        <v>125</v>
      </c>
      <c r="C6781" s="54" t="n">
        <f aca="false">0*Assumptions!$E$62^(1/4)+C6772*$C$6721</f>
        <v>0</v>
      </c>
      <c r="D6781" s="54" t="n">
        <f aca="false">C6781*Assumptions!$E$62^(1/4)+D6772*$C$6721</f>
        <v>4636.84673462381</v>
      </c>
      <c r="E6781" s="54" t="n">
        <f aca="false">D6781*Assumptions!$E$62^(1/4)+E6772*$C$6721</f>
        <v>12584.7650278744</v>
      </c>
      <c r="F6781" s="54" t="n">
        <f aca="false">E6781*Assumptions!$E$62^(1/4)+F6772*$C$6721</f>
        <v>21354.5918933979</v>
      </c>
      <c r="G6781" s="54" t="n">
        <f aca="false">F6781*Assumptions!$E$62^(1/4)+G6772*$C$6721</f>
        <v>30963.1818577268</v>
      </c>
      <c r="H6781" s="54" t="n">
        <f aca="false">G6781*Assumptions!$E$62^(1/4)+H6772*$C$6721</f>
        <v>41426.2198251499</v>
      </c>
      <c r="I6781" s="54" t="n">
        <f aca="false">H6781*Assumptions!$E$62^(1/4)+I6772*$C$6721</f>
        <v>52758.3022438131</v>
      </c>
      <c r="J6781" s="54" t="n">
        <f aca="false">I6781*Assumptions!$E$62^(1/4)+J6772*$C$6721</f>
        <v>66892.8456726974</v>
      </c>
      <c r="K6781" s="54" t="n">
        <f aca="false">J6781*Assumptions!$E$62^(1/4)+K6772*$C$6721</f>
        <v>83638.9221916369</v>
      </c>
      <c r="L6781" s="54" t="n">
        <f aca="false">K6781*Assumptions!$E$62^(1/4)+L6772*$C$6721</f>
        <v>101132.994839912</v>
      </c>
      <c r="M6781" s="54" t="n">
        <f aca="false">L6781*Assumptions!$E$62^(1/4)+M6772*$C$6721</f>
        <v>118315.454275591</v>
      </c>
      <c r="N6781" s="54" t="n">
        <f aca="false">M6781*Assumptions!$E$62^(1/4)+N6772*$C$6721</f>
        <v>135207.924941468</v>
      </c>
      <c r="P6781" s="55" t="n">
        <f aca="false">F6781</f>
        <v>21354.5918933979</v>
      </c>
      <c r="Q6781" s="55" t="n">
        <f aca="false">J6781</f>
        <v>66892.8456726974</v>
      </c>
      <c r="R6781" s="55" t="n">
        <f aca="false">N6781</f>
        <v>135207.924941468</v>
      </c>
      <c r="S6781" s="56" t="n">
        <f aca="false">R6781</f>
        <v>135207.924941468</v>
      </c>
    </row>
    <row r="6782" customFormat="false" ht="15" hidden="false" customHeight="false" outlineLevel="0" collapsed="false">
      <c r="A6782" s="4" t="s">
        <v>539</v>
      </c>
      <c r="B6782" s="36" t="s">
        <v>125</v>
      </c>
      <c r="C6782" s="54" t="n">
        <f aca="false">0*Assumptions!$E$63^(1/4)+C6773*$C$6722</f>
        <v>0</v>
      </c>
      <c r="D6782" s="54" t="n">
        <f aca="false">C6782*Assumptions!$E$63^(1/4)+D6773*$C$6722</f>
        <v>4239.58645576376</v>
      </c>
      <c r="E6782" s="54" t="n">
        <f aca="false">D6782*Assumptions!$E$63^(1/4)+E6773*$C$6722</f>
        <v>11568.780571464</v>
      </c>
      <c r="F6782" s="54" t="n">
        <f aca="false">E6782*Assumptions!$E$63^(1/4)+F6773*$C$6722</f>
        <v>19757.0139869302</v>
      </c>
      <c r="G6782" s="54" t="n">
        <f aca="false">F6782*Assumptions!$E$63^(1/4)+G6773*$C$6722</f>
        <v>28832.3026333607</v>
      </c>
      <c r="H6782" s="54" t="n">
        <f aca="false">G6782*Assumptions!$E$63^(1/4)+H6773*$C$6722</f>
        <v>38822.004128166</v>
      </c>
      <c r="I6782" s="54" t="n">
        <f aca="false">H6782*Assumptions!$E$63^(1/4)+I6773*$C$6722</f>
        <v>49752.8823271957</v>
      </c>
      <c r="J6782" s="54" t="n">
        <f aca="false">I6782*Assumptions!$E$63^(1/4)+J6773*$C$6722</f>
        <v>63151.5694112113</v>
      </c>
      <c r="K6782" s="54" t="n">
        <f aca="false">J6782*Assumptions!$E$63^(1/4)+K6773*$C$6722</f>
        <v>78912.6129991016</v>
      </c>
      <c r="L6782" s="54" t="n">
        <f aca="false">K6782*Assumptions!$E$63^(1/4)+L6773*$C$6722</f>
        <v>95567.5376234198</v>
      </c>
      <c r="M6782" s="54" t="n">
        <f aca="false">L6782*Assumptions!$E$63^(1/4)+M6773*$C$6722</f>
        <v>112190.814178054</v>
      </c>
      <c r="N6782" s="54" t="n">
        <f aca="false">M6782*Assumptions!$E$63^(1/4)+N6773*$C$6722</f>
        <v>128801.134089879</v>
      </c>
      <c r="P6782" s="55" t="n">
        <f aca="false">F6782</f>
        <v>19757.0139869302</v>
      </c>
      <c r="Q6782" s="55" t="n">
        <f aca="false">J6782</f>
        <v>63151.5694112113</v>
      </c>
      <c r="R6782" s="55" t="n">
        <f aca="false">N6782</f>
        <v>128801.134089879</v>
      </c>
      <c r="S6782" s="56" t="n">
        <f aca="false">R6782</f>
        <v>128801.134089879</v>
      </c>
    </row>
    <row r="6783" customFormat="false" ht="15" hidden="false" customHeight="false" outlineLevel="0" collapsed="false">
      <c r="A6783" s="4" t="s">
        <v>540</v>
      </c>
      <c r="B6783" s="36" t="s">
        <v>125</v>
      </c>
      <c r="C6783" s="54" t="n">
        <f aca="false">0*Assumptions!$E$64^(1/4)+C6774*$C$6723</f>
        <v>0</v>
      </c>
      <c r="D6783" s="54" t="n">
        <f aca="false">C6783*Assumptions!$E$64^(1/4)+D6774*$C$6723</f>
        <v>0</v>
      </c>
      <c r="E6783" s="54" t="n">
        <f aca="false">D6783*Assumptions!$E$64^(1/4)+E6774*$C$6723</f>
        <v>4403.28728055653</v>
      </c>
      <c r="F6783" s="54" t="n">
        <f aca="false">E6783*Assumptions!$E$64^(1/4)+F6774*$C$6723</f>
        <v>12107.4388108841</v>
      </c>
      <c r="G6783" s="54" t="n">
        <f aca="false">F6783*Assumptions!$E$64^(1/4)+G6774*$C$6723</f>
        <v>20866.0439239064</v>
      </c>
      <c r="H6783" s="54" t="n">
        <f aca="false">G6783*Assumptions!$E$64^(1/4)+H6774*$C$6723</f>
        <v>30732.6025192522</v>
      </c>
      <c r="I6783" s="54" t="n">
        <f aca="false">H6783*Assumptions!$E$64^(1/4)+I6774*$C$6723</f>
        <v>41761.4061420688</v>
      </c>
      <c r="J6783" s="54" t="n">
        <f aca="false">I6783*Assumptions!$E$64^(1/4)+J6774*$C$6723</f>
        <v>54007.6432101516</v>
      </c>
      <c r="K6783" s="54" t="n">
        <f aca="false">J6783*Assumptions!$E$64^(1/4)+K6774*$C$6723</f>
        <v>68234.9885629277</v>
      </c>
      <c r="L6783" s="54" t="n">
        <f aca="false">K6783*Assumptions!$E$64^(1/4)+L6774*$C$6723</f>
        <v>84476.5684158945</v>
      </c>
      <c r="M6783" s="54" t="n">
        <f aca="false">L6783*Assumptions!$E$64^(1/4)+M6774*$C$6723</f>
        <v>101912.753771875</v>
      </c>
      <c r="N6783" s="54" t="n">
        <f aca="false">M6783*Assumptions!$E$64^(1/4)+N6774*$C$6723</f>
        <v>119711.859870058</v>
      </c>
      <c r="P6783" s="55" t="n">
        <f aca="false">F6783</f>
        <v>12107.4388108841</v>
      </c>
      <c r="Q6783" s="55" t="n">
        <f aca="false">J6783</f>
        <v>54007.6432101516</v>
      </c>
      <c r="R6783" s="55" t="n">
        <f aca="false">N6783</f>
        <v>119711.859870058</v>
      </c>
      <c r="S6783" s="56" t="n">
        <f aca="false">R6783</f>
        <v>119711.859870058</v>
      </c>
    </row>
    <row r="6784" customFormat="false" ht="15" hidden="false" customHeight="false" outlineLevel="0" collapsed="false">
      <c r="A6784" s="9" t="s">
        <v>541</v>
      </c>
      <c r="B6784" s="36" t="s">
        <v>125</v>
      </c>
      <c r="C6784" s="55" t="n">
        <f aca="false">C6781+C6782+C6783</f>
        <v>0</v>
      </c>
      <c r="D6784" s="55" t="n">
        <f aca="false">D6781+D6782+D6783</f>
        <v>8876.43319038757</v>
      </c>
      <c r="E6784" s="55" t="n">
        <f aca="false">E6781+E6782+E6783</f>
        <v>28556.8328798949</v>
      </c>
      <c r="F6784" s="55" t="n">
        <f aca="false">F6781+F6782+F6783</f>
        <v>53219.0446912122</v>
      </c>
      <c r="G6784" s="55" t="n">
        <f aca="false">G6781+G6782+G6783</f>
        <v>80661.5284149939</v>
      </c>
      <c r="H6784" s="55" t="n">
        <f aca="false">H6781+H6782+H6783</f>
        <v>110980.826472568</v>
      </c>
      <c r="I6784" s="55" t="n">
        <f aca="false">I6781+I6782+I6783</f>
        <v>144272.590713078</v>
      </c>
      <c r="J6784" s="55" t="n">
        <f aca="false">J6781+J6782+J6783</f>
        <v>184052.05829406</v>
      </c>
      <c r="K6784" s="55" t="n">
        <f aca="false">K6781+K6782+K6783</f>
        <v>230786.523753666</v>
      </c>
      <c r="L6784" s="55" t="n">
        <f aca="false">L6781+L6782+L6783</f>
        <v>281177.100879226</v>
      </c>
      <c r="M6784" s="55" t="n">
        <f aca="false">M6781+M6782+M6783</f>
        <v>332419.02222552</v>
      </c>
      <c r="N6784" s="55" t="n">
        <f aca="false">N6781+N6782+N6783</f>
        <v>383720.918901404</v>
      </c>
      <c r="P6784" s="55" t="n">
        <f aca="false">F6784</f>
        <v>53219.0446912122</v>
      </c>
      <c r="Q6784" s="55" t="n">
        <f aca="false">J6784</f>
        <v>184052.05829406</v>
      </c>
      <c r="R6784" s="55" t="n">
        <f aca="false">N6784</f>
        <v>383720.918901404</v>
      </c>
      <c r="S6784" s="56" t="n">
        <f aca="false">R6784</f>
        <v>383720.918901404</v>
      </c>
    </row>
    <row r="6785" customFormat="false" ht="15" hidden="false" customHeight="false" outlineLevel="0" collapsed="false">
      <c r="A6785" s="4" t="s">
        <v>542</v>
      </c>
      <c r="B6785" s="36" t="s">
        <v>125</v>
      </c>
      <c r="C6785" s="54" t="n">
        <f aca="false">C6772*$C$6721+C6773*$C$6722+C6774*$C$6723</f>
        <v>0</v>
      </c>
      <c r="D6785" s="54" t="n">
        <f aca="false">D6772*$C$6721+D6773*$C$6722+D6774*$C$6723</f>
        <v>8876.43319038757</v>
      </c>
      <c r="E6785" s="54" t="n">
        <f aca="false">E6772*$C$6721+E6773*$C$6722+E6774*$C$6723</f>
        <v>19618.1886500368</v>
      </c>
      <c r="F6785" s="54" t="n">
        <f aca="false">F6772*$C$6721+F6773*$C$6722+F6774*$C$6723</f>
        <v>24335.8808795765</v>
      </c>
      <c r="G6785" s="54" t="n">
        <f aca="false">G6772*$C$6721+G6773*$C$6722+G6774*$C$6723</f>
        <v>26722.0551062465</v>
      </c>
      <c r="H6785" s="54" t="n">
        <f aca="false">H6772*$C$6721+H6773*$C$6722+H6774*$C$6723</f>
        <v>29154.2609012502</v>
      </c>
      <c r="I6785" s="54" t="n">
        <f aca="false">I6772*$C$6721+I6773*$C$6722+I6774*$C$6723</f>
        <v>31629.3038974173</v>
      </c>
      <c r="J6785" s="54" t="n">
        <f aca="false">J6772*$C$6721+J6773*$C$6722+J6774*$C$6723</f>
        <v>37564.4461715329</v>
      </c>
      <c r="K6785" s="54" t="n">
        <f aca="false">K6772*$C$6721+K6773*$C$6722+K6774*$C$6723</f>
        <v>43887.3811444587</v>
      </c>
      <c r="L6785" s="54" t="n">
        <f aca="false">L6772*$C$6721+L6773*$C$6722+L6774*$C$6723</f>
        <v>46806.3206491541</v>
      </c>
      <c r="M6785" s="54" t="n">
        <f aca="false">M6772*$C$6721+M6773*$C$6722+M6774*$C$6723</f>
        <v>46835.7537316792</v>
      </c>
      <c r="N6785" s="54" t="n">
        <f aca="false">N6772*$C$6721+N6773*$C$6722+N6774*$C$6723</f>
        <v>46031.8044482936</v>
      </c>
      <c r="P6785" s="55" t="n">
        <f aca="false">SUM(C6785:F6785)</f>
        <v>52830.5027200009</v>
      </c>
      <c r="Q6785" s="55" t="n">
        <f aca="false">SUM(G6785:J6785)</f>
        <v>125070.066076447</v>
      </c>
      <c r="R6785" s="55" t="n">
        <f aca="false">SUM(K6785:N6785)</f>
        <v>183561.259973586</v>
      </c>
      <c r="S6785" s="56" t="n">
        <f aca="false">SUM(P6785:R6785)</f>
        <v>361461.828770033</v>
      </c>
    </row>
    <row r="6786" customFormat="false" ht="15" hidden="false" customHeight="false" outlineLevel="0" collapsed="false">
      <c r="A6786" s="9" t="s">
        <v>543</v>
      </c>
      <c r="B6786" s="36" t="s">
        <v>125</v>
      </c>
      <c r="C6786" s="55" t="n">
        <f aca="false">(0+C6784)/8</f>
        <v>0</v>
      </c>
      <c r="D6786" s="55" t="n">
        <f aca="false">(C6784+D6784)/8</f>
        <v>1109.55414879845</v>
      </c>
      <c r="E6786" s="55" t="n">
        <f aca="false">(D6784+E6784)/8</f>
        <v>4679.15825878531</v>
      </c>
      <c r="F6786" s="55" t="n">
        <f aca="false">(E6784+F6784)/8</f>
        <v>10221.9846963884</v>
      </c>
      <c r="G6786" s="55" t="n">
        <f aca="false">(F6784+G6784)/8</f>
        <v>16735.0716382758</v>
      </c>
      <c r="H6786" s="55" t="n">
        <f aca="false">(G6784+H6784)/8</f>
        <v>23955.2943609453</v>
      </c>
      <c r="I6786" s="55" t="n">
        <f aca="false">(H6784+I6784)/8</f>
        <v>31906.6771482057</v>
      </c>
      <c r="J6786" s="55" t="n">
        <f aca="false">(I6784+J6784)/8</f>
        <v>41040.5811258922</v>
      </c>
      <c r="K6786" s="55" t="n">
        <f aca="false">(J6784+K6784)/8</f>
        <v>51854.8227559658</v>
      </c>
      <c r="L6786" s="55" t="n">
        <f aca="false">(K6784+L6784)/8</f>
        <v>63995.4530791116</v>
      </c>
      <c r="M6786" s="55" t="n">
        <f aca="false">(L6784+M6784)/8</f>
        <v>76699.5153880933</v>
      </c>
      <c r="N6786" s="55" t="n">
        <f aca="false">(M6784+N6784)/8</f>
        <v>89517.4926408655</v>
      </c>
      <c r="P6786" s="55" t="n">
        <f aca="false">SUM(C6786:F6786)</f>
        <v>16010.6971039722</v>
      </c>
      <c r="Q6786" s="55" t="n">
        <f aca="false">SUM(G6786:J6786)</f>
        <v>113637.624273319</v>
      </c>
      <c r="R6786" s="55" t="n">
        <f aca="false">SUM(K6786:N6786)</f>
        <v>282067.283864036</v>
      </c>
      <c r="S6786" s="56" t="n">
        <f aca="false">SUM(P6786:R6786)</f>
        <v>411715.605241327</v>
      </c>
    </row>
    <row r="6787" customFormat="false" ht="15" hidden="false" customHeight="false" outlineLevel="0" collapsed="false">
      <c r="A6787" s="4" t="s">
        <v>544</v>
      </c>
      <c r="B6787" s="36" t="s">
        <v>125</v>
      </c>
      <c r="C6787" s="54" t="n">
        <f aca="false">C6786*Assumptions!$E$76</f>
        <v>0</v>
      </c>
      <c r="D6787" s="54" t="n">
        <f aca="false">D6786*Assumptions!$E$76</f>
        <v>721.21019671899</v>
      </c>
      <c r="E6787" s="54" t="n">
        <f aca="false">E6786*Assumptions!$E$76</f>
        <v>3041.45286821045</v>
      </c>
      <c r="F6787" s="54" t="n">
        <f aca="false">F6786*Assumptions!$E$76</f>
        <v>6644.29005265246</v>
      </c>
      <c r="G6787" s="54" t="n">
        <f aca="false">G6786*Assumptions!$E$76</f>
        <v>10877.7965648792</v>
      </c>
      <c r="H6787" s="54" t="n">
        <f aca="false">H6786*Assumptions!$E$76</f>
        <v>15570.9413346144</v>
      </c>
      <c r="I6787" s="54" t="n">
        <f aca="false">I6786*Assumptions!$E$76</f>
        <v>20739.3401463337</v>
      </c>
      <c r="J6787" s="54" t="n">
        <f aca="false">J6786*Assumptions!$E$76</f>
        <v>26676.37773183</v>
      </c>
      <c r="K6787" s="54" t="n">
        <f aca="false">K6786*Assumptions!$E$76</f>
        <v>33705.6347913778</v>
      </c>
      <c r="L6787" s="54" t="n">
        <f aca="false">L6786*Assumptions!$E$76</f>
        <v>41597.0445014225</v>
      </c>
      <c r="M6787" s="54" t="n">
        <f aca="false">M6786*Assumptions!$E$76</f>
        <v>49854.6850022606</v>
      </c>
      <c r="N6787" s="54" t="n">
        <f aca="false">N6786*Assumptions!$E$76</f>
        <v>58186.3702165626</v>
      </c>
      <c r="P6787" s="55" t="n">
        <f aca="false">SUM(C6787:F6787)</f>
        <v>10406.9531175819</v>
      </c>
      <c r="Q6787" s="55" t="n">
        <f aca="false">SUM(G6787:J6787)</f>
        <v>73864.4557776574</v>
      </c>
      <c r="R6787" s="55" t="n">
        <f aca="false">SUM(K6787:N6787)</f>
        <v>183343.734511623</v>
      </c>
      <c r="S6787" s="56" t="n">
        <f aca="false">SUM(P6787:R6787)</f>
        <v>267615.143406863</v>
      </c>
    </row>
    <row r="6788" customFormat="false" ht="15" hidden="false" customHeight="false" outlineLevel="0" collapsed="false">
      <c r="A6788" s="35" t="s">
        <v>547</v>
      </c>
      <c r="B6788" s="35" t="s">
        <v>444</v>
      </c>
      <c r="C6788" s="6" t="s">
        <v>354</v>
      </c>
      <c r="D6788" s="6" t="s">
        <v>355</v>
      </c>
      <c r="E6788" s="6" t="s">
        <v>356</v>
      </c>
      <c r="F6788" s="6" t="s">
        <v>357</v>
      </c>
      <c r="G6788" s="6" t="s">
        <v>358</v>
      </c>
      <c r="H6788" s="6" t="s">
        <v>359</v>
      </c>
      <c r="I6788" s="6" t="s">
        <v>360</v>
      </c>
      <c r="J6788" s="6" t="s">
        <v>361</v>
      </c>
      <c r="K6788" s="6" t="s">
        <v>362</v>
      </c>
      <c r="L6788" s="6" t="s">
        <v>363</v>
      </c>
      <c r="M6788" s="6" t="s">
        <v>364</v>
      </c>
      <c r="N6788" s="6" t="s">
        <v>365</v>
      </c>
      <c r="P6788" s="6" t="s">
        <v>445</v>
      </c>
      <c r="Q6788" s="6" t="s">
        <v>446</v>
      </c>
      <c r="R6788" s="6" t="s">
        <v>447</v>
      </c>
      <c r="S6788" s="6" t="s">
        <v>448</v>
      </c>
    </row>
    <row r="6789" customFormat="false" ht="15" hidden="false" customHeight="false" outlineLevel="0" collapsed="false">
      <c r="A6789" s="4" t="s">
        <v>548</v>
      </c>
      <c r="B6789" s="36" t="s">
        <v>321</v>
      </c>
      <c r="C6789" s="48" t="n">
        <f aca="false">Assumptions!$D$97*C6731</f>
        <v>1</v>
      </c>
      <c r="D6789" s="48" t="n">
        <f aca="false">Assumptions!$D$97*D6731</f>
        <v>1</v>
      </c>
      <c r="E6789" s="48" t="n">
        <f aca="false">Assumptions!$D$97*E6731</f>
        <v>1</v>
      </c>
      <c r="F6789" s="48" t="n">
        <f aca="false">Assumptions!$D$97*F6731</f>
        <v>1</v>
      </c>
      <c r="G6789" s="48" t="n">
        <f aca="false">Assumptions!$D$97*G6731</f>
        <v>1</v>
      </c>
      <c r="H6789" s="48" t="n">
        <f aca="false">Assumptions!$D$97*H6731</f>
        <v>1</v>
      </c>
      <c r="I6789" s="48" t="n">
        <f aca="false">Assumptions!$D$97*I6731</f>
        <v>1</v>
      </c>
      <c r="J6789" s="48" t="n">
        <f aca="false">Assumptions!$D$97*J6731</f>
        <v>1</v>
      </c>
      <c r="K6789" s="48" t="n">
        <f aca="false">Assumptions!$D$97*K6731</f>
        <v>1</v>
      </c>
      <c r="L6789" s="48" t="n">
        <f aca="false">Assumptions!$D$97*L6731</f>
        <v>1</v>
      </c>
      <c r="M6789" s="48" t="n">
        <f aca="false">Assumptions!$D$97*M6731</f>
        <v>1</v>
      </c>
      <c r="N6789" s="48" t="n">
        <f aca="false">Assumptions!$D$97*N6731</f>
        <v>1</v>
      </c>
      <c r="P6789" s="49" t="n">
        <f aca="false">AVERAGE(C6789:F6789)</f>
        <v>1</v>
      </c>
      <c r="Q6789" s="49" t="n">
        <f aca="false">AVERAGE(G6789:J6789)</f>
        <v>1</v>
      </c>
      <c r="R6789" s="49" t="n">
        <f aca="false">AVERAGE(K6789:N6789)</f>
        <v>1</v>
      </c>
      <c r="S6789" s="50"/>
    </row>
    <row r="6790" customFormat="false" ht="15" hidden="false" customHeight="false" outlineLevel="0" collapsed="false">
      <c r="A6790" s="4" t="s">
        <v>549</v>
      </c>
      <c r="B6790" s="36" t="s">
        <v>321</v>
      </c>
      <c r="C6790" s="48" t="n">
        <f aca="false">C6744*C6731</f>
        <v>0</v>
      </c>
      <c r="D6790" s="48" t="n">
        <f aca="false">D6744*D6731</f>
        <v>0</v>
      </c>
      <c r="E6790" s="48" t="n">
        <f aca="false">E6744*E6731</f>
        <v>0</v>
      </c>
      <c r="F6790" s="48" t="n">
        <f aca="false">F6744*F6731</f>
        <v>0</v>
      </c>
      <c r="G6790" s="48" t="n">
        <f aca="false">G6744*G6731</f>
        <v>0</v>
      </c>
      <c r="H6790" s="48" t="n">
        <f aca="false">H6744*H6731</f>
        <v>0</v>
      </c>
      <c r="I6790" s="48" t="n">
        <f aca="false">I6744*I6731</f>
        <v>0</v>
      </c>
      <c r="J6790" s="48" t="n">
        <f aca="false">J6744*J6731</f>
        <v>0</v>
      </c>
      <c r="K6790" s="48" t="n">
        <f aca="false">K6744*K6731</f>
        <v>0</v>
      </c>
      <c r="L6790" s="48" t="n">
        <f aca="false">L6744*L6731</f>
        <v>0</v>
      </c>
      <c r="M6790" s="48" t="n">
        <f aca="false">M6744*M6731</f>
        <v>0</v>
      </c>
      <c r="N6790" s="48" t="n">
        <f aca="false">N6744*N6731</f>
        <v>0</v>
      </c>
      <c r="P6790" s="49" t="n">
        <f aca="false">AVERAGE(C6790:F6790)</f>
        <v>0</v>
      </c>
      <c r="Q6790" s="49" t="n">
        <f aca="false">AVERAGE(G6790:J6790)</f>
        <v>0</v>
      </c>
      <c r="R6790" s="49" t="n">
        <f aca="false">AVERAGE(K6790:N6790)</f>
        <v>0</v>
      </c>
      <c r="S6790" s="50"/>
    </row>
    <row r="6791" customFormat="false" ht="15" hidden="false" customHeight="false" outlineLevel="0" collapsed="false">
      <c r="A6791" s="4" t="s">
        <v>550</v>
      </c>
      <c r="B6791" s="36" t="s">
        <v>321</v>
      </c>
      <c r="C6791" s="48" t="n">
        <f aca="false">IF(C6730&lt;=4,Assumptions!$D$98,Assumptions!$D$99)*C6731</f>
        <v>0</v>
      </c>
      <c r="D6791" s="48" t="n">
        <f aca="false">IF(D6730&lt;=4,Assumptions!$D$98,Assumptions!$D$99)*D6731</f>
        <v>0</v>
      </c>
      <c r="E6791" s="48" t="n">
        <f aca="false">IF(E6730&lt;=4,Assumptions!$D$98,Assumptions!$D$99)*E6731</f>
        <v>0</v>
      </c>
      <c r="F6791" s="48" t="n">
        <f aca="false">IF(F6730&lt;=4,Assumptions!$D$98,Assumptions!$D$99)*F6731</f>
        <v>0</v>
      </c>
      <c r="G6791" s="48" t="n">
        <f aca="false">IF(G6730&lt;=4,Assumptions!$D$98,Assumptions!$D$99)*G6731</f>
        <v>0.5</v>
      </c>
      <c r="H6791" s="48" t="n">
        <f aca="false">IF(H6730&lt;=4,Assumptions!$D$98,Assumptions!$D$99)*H6731</f>
        <v>0.5</v>
      </c>
      <c r="I6791" s="48" t="n">
        <f aca="false">IF(I6730&lt;=4,Assumptions!$D$98,Assumptions!$D$99)*I6731</f>
        <v>0.5</v>
      </c>
      <c r="J6791" s="48" t="n">
        <f aca="false">IF(J6730&lt;=4,Assumptions!$D$98,Assumptions!$D$99)*J6731</f>
        <v>0.5</v>
      </c>
      <c r="K6791" s="48" t="n">
        <f aca="false">IF(K6730&lt;=4,Assumptions!$D$98,Assumptions!$D$99)*K6731</f>
        <v>0.5</v>
      </c>
      <c r="L6791" s="48" t="n">
        <f aca="false">IF(L6730&lt;=4,Assumptions!$D$98,Assumptions!$D$99)*L6731</f>
        <v>0.5</v>
      </c>
      <c r="M6791" s="48" t="n">
        <f aca="false">IF(M6730&lt;=4,Assumptions!$D$98,Assumptions!$D$99)*M6731</f>
        <v>0.5</v>
      </c>
      <c r="N6791" s="48" t="n">
        <f aca="false">IF(N6730&lt;=4,Assumptions!$D$98,Assumptions!$D$99)*N6731</f>
        <v>0.5</v>
      </c>
      <c r="P6791" s="49" t="n">
        <f aca="false">AVERAGE(C6791:F6791)</f>
        <v>0</v>
      </c>
      <c r="Q6791" s="49" t="n">
        <f aca="false">AVERAGE(G6791:J6791)</f>
        <v>0.5</v>
      </c>
      <c r="R6791" s="49" t="n">
        <f aca="false">AVERAGE(K6791:N6791)</f>
        <v>0.5</v>
      </c>
      <c r="S6791" s="50"/>
    </row>
    <row r="6792" customFormat="false" ht="15" hidden="false" customHeight="false" outlineLevel="0" collapsed="false">
      <c r="A6792" s="4" t="s">
        <v>551</v>
      </c>
      <c r="B6792" s="36" t="s">
        <v>321</v>
      </c>
      <c r="C6792" s="48" t="n">
        <f aca="false">IF(C6730&lt;=4,Assumptions!$D$100,Assumptions!$D$101)*C6731</f>
        <v>1</v>
      </c>
      <c r="D6792" s="48" t="n">
        <f aca="false">IF(D6730&lt;=4,Assumptions!$D$100,Assumptions!$D$101)*D6731</f>
        <v>1</v>
      </c>
      <c r="E6792" s="48" t="n">
        <f aca="false">IF(E6730&lt;=4,Assumptions!$D$100,Assumptions!$D$101)*E6731</f>
        <v>1</v>
      </c>
      <c r="F6792" s="48" t="n">
        <f aca="false">IF(F6730&lt;=4,Assumptions!$D$100,Assumptions!$D$101)*F6731</f>
        <v>1</v>
      </c>
      <c r="G6792" s="48" t="n">
        <f aca="false">IF(G6730&lt;=4,Assumptions!$D$100,Assumptions!$D$101)*G6731</f>
        <v>0.5</v>
      </c>
      <c r="H6792" s="48" t="n">
        <f aca="false">IF(H6730&lt;=4,Assumptions!$D$100,Assumptions!$D$101)*H6731</f>
        <v>0.5</v>
      </c>
      <c r="I6792" s="48" t="n">
        <f aca="false">IF(I6730&lt;=4,Assumptions!$D$100,Assumptions!$D$101)*I6731</f>
        <v>0.5</v>
      </c>
      <c r="J6792" s="48" t="n">
        <f aca="false">IF(J6730&lt;=4,Assumptions!$D$100,Assumptions!$D$101)*J6731</f>
        <v>0.5</v>
      </c>
      <c r="K6792" s="48" t="n">
        <f aca="false">IF(K6730&lt;=4,Assumptions!$D$100,Assumptions!$D$101)*K6731</f>
        <v>0.5</v>
      </c>
      <c r="L6792" s="48" t="n">
        <f aca="false">IF(L6730&lt;=4,Assumptions!$D$100,Assumptions!$D$101)*L6731</f>
        <v>0.5</v>
      </c>
      <c r="M6792" s="48" t="n">
        <f aca="false">IF(M6730&lt;=4,Assumptions!$D$100,Assumptions!$D$101)*M6731</f>
        <v>0.5</v>
      </c>
      <c r="N6792" s="48" t="n">
        <f aca="false">IF(N6730&lt;=4,Assumptions!$D$100,Assumptions!$D$101)*N6731</f>
        <v>0.5</v>
      </c>
      <c r="P6792" s="49" t="n">
        <f aca="false">AVERAGE(C6792:F6792)</f>
        <v>1</v>
      </c>
      <c r="Q6792" s="49" t="n">
        <f aca="false">AVERAGE(G6792:J6792)</f>
        <v>0.5</v>
      </c>
      <c r="R6792" s="49" t="n">
        <f aca="false">AVERAGE(K6792:N6792)</f>
        <v>0.5</v>
      </c>
      <c r="S6792" s="50"/>
    </row>
    <row r="6793" customFormat="false" ht="15" hidden="false" customHeight="false" outlineLevel="0" collapsed="false">
      <c r="A6793" s="4" t="s">
        <v>552</v>
      </c>
      <c r="B6793" s="36" t="s">
        <v>321</v>
      </c>
      <c r="C6793" s="48" t="n">
        <f aca="false">Assumptions!$D$102*C6731</f>
        <v>0.25</v>
      </c>
      <c r="D6793" s="48" t="n">
        <f aca="false">Assumptions!$D$102*D6731</f>
        <v>0.25</v>
      </c>
      <c r="E6793" s="48" t="n">
        <f aca="false">Assumptions!$D$102*E6731</f>
        <v>0.25</v>
      </c>
      <c r="F6793" s="48" t="n">
        <f aca="false">Assumptions!$D$102*F6731</f>
        <v>0.25</v>
      </c>
      <c r="G6793" s="48" t="n">
        <f aca="false">Assumptions!$D$102*G6731</f>
        <v>0.25</v>
      </c>
      <c r="H6793" s="48" t="n">
        <f aca="false">Assumptions!$D$102*H6731</f>
        <v>0.25</v>
      </c>
      <c r="I6793" s="48" t="n">
        <f aca="false">Assumptions!$D$102*I6731</f>
        <v>0.25</v>
      </c>
      <c r="J6793" s="48" t="n">
        <f aca="false">Assumptions!$D$102*J6731</f>
        <v>0.25</v>
      </c>
      <c r="K6793" s="48" t="n">
        <f aca="false">Assumptions!$D$102*K6731</f>
        <v>0.25</v>
      </c>
      <c r="L6793" s="48" t="n">
        <f aca="false">Assumptions!$D$102*L6731</f>
        <v>0.25</v>
      </c>
      <c r="M6793" s="48" t="n">
        <f aca="false">Assumptions!$D$102*M6731</f>
        <v>0.25</v>
      </c>
      <c r="N6793" s="48" t="n">
        <f aca="false">Assumptions!$D$102*N6731</f>
        <v>0.25</v>
      </c>
      <c r="P6793" s="49" t="n">
        <f aca="false">AVERAGE(C6793:F6793)</f>
        <v>0.25</v>
      </c>
      <c r="Q6793" s="49" t="n">
        <f aca="false">AVERAGE(G6793:J6793)</f>
        <v>0.25</v>
      </c>
      <c r="R6793" s="49" t="n">
        <f aca="false">AVERAGE(K6793:N6793)</f>
        <v>0.25</v>
      </c>
      <c r="S6793" s="50"/>
    </row>
    <row r="6794" customFormat="false" ht="15" hidden="false" customHeight="false" outlineLevel="0" collapsed="false">
      <c r="A6794" s="4" t="s">
        <v>553</v>
      </c>
      <c r="B6794" s="36" t="s">
        <v>321</v>
      </c>
      <c r="C6794" s="48" t="n">
        <f aca="false">(C6778+C6779)/Assumptions!$E$74+C6777/Assumptions!$E$75</f>
        <v>0</v>
      </c>
      <c r="D6794" s="48" t="n">
        <f aca="false">(D6778+D6779)/Assumptions!$E$74+D6777/Assumptions!$E$75</f>
        <v>0.0143176301374139</v>
      </c>
      <c r="E6794" s="48" t="n">
        <f aca="false">(E6778+E6779)/Assumptions!$E$74+E6777/Assumptions!$E$75</f>
        <v>0.0402499456767798</v>
      </c>
      <c r="F6794" s="48" t="n">
        <f aca="false">(F6778+F6779)/Assumptions!$E$74+F6777/Assumptions!$E$75</f>
        <v>0.069296156601371</v>
      </c>
      <c r="G6794" s="48" t="n">
        <f aca="false">(G6778+G6779)/Assumptions!$E$74+G6777/Assumptions!$E$75</f>
        <v>0.100475077199051</v>
      </c>
      <c r="H6794" s="48" t="n">
        <f aca="false">(H6778+H6779)/Assumptions!$E$74+H6777/Assumptions!$E$75</f>
        <v>0.133785188777281</v>
      </c>
      <c r="I6794" s="48" t="n">
        <f aca="false">(I6778+I6779)/Assumptions!$E$74+I6777/Assumptions!$E$75</f>
        <v>0.169221218224591</v>
      </c>
      <c r="J6794" s="48" t="n">
        <f aca="false">(J6778+J6779)/Assumptions!$E$74+J6777/Assumptions!$E$75</f>
        <v>0.212049952162824</v>
      </c>
      <c r="K6794" s="48" t="n">
        <f aca="false">(K6778+K6779)/Assumptions!$E$74+K6777/Assumptions!$E$75</f>
        <v>0.261856650522028</v>
      </c>
      <c r="L6794" s="48" t="n">
        <f aca="false">(L6778+L6779)/Assumptions!$E$74+L6777/Assumptions!$E$75</f>
        <v>0.313198297808188</v>
      </c>
      <c r="M6794" s="48" t="n">
        <f aca="false">(M6778+M6779)/Assumptions!$E$74+M6777/Assumptions!$E$75</f>
        <v>0.36248134281822</v>
      </c>
      <c r="N6794" s="48" t="n">
        <f aca="false">(N6778+N6779)/Assumptions!$E$74+N6777/Assumptions!$E$75</f>
        <v>0.409474727739885</v>
      </c>
      <c r="P6794" s="49" t="n">
        <f aca="false">AVERAGE(C6794:F6794)</f>
        <v>0.0309659331038912</v>
      </c>
      <c r="Q6794" s="49" t="n">
        <f aca="false">AVERAGE(G6794:J6794)</f>
        <v>0.153882859090937</v>
      </c>
      <c r="R6794" s="49" t="n">
        <f aca="false">AVERAGE(K6794:N6794)</f>
        <v>0.33675275472208</v>
      </c>
      <c r="S6794" s="50"/>
    </row>
    <row r="6795" customFormat="false" ht="15" hidden="false" customHeight="false" outlineLevel="0" collapsed="false">
      <c r="A6795" s="4" t="s">
        <v>554</v>
      </c>
      <c r="B6795" s="36" t="s">
        <v>125</v>
      </c>
      <c r="C6795" s="54" t="n">
        <f aca="false">(C6789+C6791)*Assumptions!$E$70/Assumptions!$E$69/4</f>
        <v>66753.5714285714</v>
      </c>
      <c r="D6795" s="54" t="n">
        <f aca="false">(D6789+D6791)*Assumptions!$E$70/Assumptions!$E$69/4</f>
        <v>66753.5714285714</v>
      </c>
      <c r="E6795" s="54" t="n">
        <f aca="false">(E6789+E6791)*Assumptions!$E$70/Assumptions!$E$69/4</f>
        <v>66753.5714285714</v>
      </c>
      <c r="F6795" s="54" t="n">
        <f aca="false">(F6789+F6791)*Assumptions!$E$70/Assumptions!$E$69/4</f>
        <v>66753.5714285714</v>
      </c>
      <c r="G6795" s="54" t="n">
        <f aca="false">(G6789+G6791)*Assumptions!$E$70/Assumptions!$E$69/4</f>
        <v>100130.357142857</v>
      </c>
      <c r="H6795" s="54" t="n">
        <f aca="false">(H6789+H6791)*Assumptions!$E$70/Assumptions!$E$69/4</f>
        <v>100130.357142857</v>
      </c>
      <c r="I6795" s="54" t="n">
        <f aca="false">(I6789+I6791)*Assumptions!$E$70/Assumptions!$E$69/4</f>
        <v>100130.357142857</v>
      </c>
      <c r="J6795" s="54" t="n">
        <f aca="false">(J6789+J6791)*Assumptions!$E$70/Assumptions!$E$69/4</f>
        <v>100130.357142857</v>
      </c>
      <c r="K6795" s="54" t="n">
        <f aca="false">(K6789+K6791)*Assumptions!$E$70/Assumptions!$E$69/4</f>
        <v>100130.357142857</v>
      </c>
      <c r="L6795" s="54" t="n">
        <f aca="false">(L6789+L6791)*Assumptions!$E$70/Assumptions!$E$69/4</f>
        <v>100130.357142857</v>
      </c>
      <c r="M6795" s="54" t="n">
        <f aca="false">(M6789+M6791)*Assumptions!$E$70/Assumptions!$E$69/4</f>
        <v>100130.357142857</v>
      </c>
      <c r="N6795" s="54" t="n">
        <f aca="false">(N6789+N6791)*Assumptions!$E$70/Assumptions!$E$69/4</f>
        <v>100130.357142857</v>
      </c>
      <c r="P6795" s="55" t="n">
        <f aca="false">SUM(C6795:F6795)</f>
        <v>267014.285714286</v>
      </c>
      <c r="Q6795" s="55" t="n">
        <f aca="false">SUM(G6795:J6795)</f>
        <v>400521.428571429</v>
      </c>
      <c r="R6795" s="55" t="n">
        <f aca="false">SUM(K6795:N6795)</f>
        <v>400521.428571429</v>
      </c>
      <c r="S6795" s="56" t="n">
        <f aca="false">SUM(P6795:R6795)</f>
        <v>1068057.14285714</v>
      </c>
    </row>
    <row r="6796" customFormat="false" ht="15" hidden="false" customHeight="false" outlineLevel="0" collapsed="false">
      <c r="A6796" s="4" t="s">
        <v>555</v>
      </c>
      <c r="B6796" s="36" t="s">
        <v>125</v>
      </c>
      <c r="C6796" s="54" t="n">
        <f aca="false">C6790*$C$6725/4</f>
        <v>0</v>
      </c>
      <c r="D6796" s="54" t="n">
        <f aca="false">D6790*$C$6725/4</f>
        <v>0</v>
      </c>
      <c r="E6796" s="54" t="n">
        <f aca="false">E6790*$C$6725/4</f>
        <v>0</v>
      </c>
      <c r="F6796" s="54" t="n">
        <f aca="false">F6790*$C$6725/4</f>
        <v>0</v>
      </c>
      <c r="G6796" s="54" t="n">
        <f aca="false">G6790*$C$6725/4</f>
        <v>0</v>
      </c>
      <c r="H6796" s="54" t="n">
        <f aca="false">H6790*$C$6725/4</f>
        <v>0</v>
      </c>
      <c r="I6796" s="54" t="n">
        <f aca="false">I6790*$C$6725/4</f>
        <v>0</v>
      </c>
      <c r="J6796" s="54" t="n">
        <f aca="false">J6790*$C$6725/4</f>
        <v>0</v>
      </c>
      <c r="K6796" s="54" t="n">
        <f aca="false">K6790*$C$6725/4</f>
        <v>0</v>
      </c>
      <c r="L6796" s="54" t="n">
        <f aca="false">L6790*$C$6725/4</f>
        <v>0</v>
      </c>
      <c r="M6796" s="54" t="n">
        <f aca="false">M6790*$C$6725/4</f>
        <v>0</v>
      </c>
      <c r="N6796" s="54" t="n">
        <f aca="false">N6790*$C$6725/4</f>
        <v>0</v>
      </c>
      <c r="P6796" s="55" t="n">
        <f aca="false">SUM(C6796:F6796)</f>
        <v>0</v>
      </c>
      <c r="Q6796" s="55" t="n">
        <f aca="false">SUM(G6796:J6796)</f>
        <v>0</v>
      </c>
      <c r="R6796" s="55" t="n">
        <f aca="false">SUM(K6796:N6796)</f>
        <v>0</v>
      </c>
      <c r="S6796" s="56" t="n">
        <f aca="false">SUM(P6796:R6796)</f>
        <v>0</v>
      </c>
    </row>
    <row r="6797" customFormat="false" ht="15" hidden="false" customHeight="false" outlineLevel="0" collapsed="false">
      <c r="A6797" s="4" t="s">
        <v>556</v>
      </c>
      <c r="B6797" s="36" t="s">
        <v>125</v>
      </c>
      <c r="C6797" s="54" t="n">
        <f aca="false">MAX(0,(C6785-C6766*$C$6721)-C6745*$C$6726)*$C$6727*Assumptions!$D$105</f>
        <v>0</v>
      </c>
      <c r="D6797" s="54" t="n">
        <f aca="false">MAX(0,(D6785-D6766*$C$6721)-D6745*$C$6726)*$C$6727*Assumptions!$D$105</f>
        <v>3491.72206180778</v>
      </c>
      <c r="E6797" s="54" t="n">
        <f aca="false">MAX(0,(E6785-E6766*$C$6721)-E6745*$C$6726)*$C$6727*Assumptions!$D$105</f>
        <v>8039.09651874593</v>
      </c>
      <c r="F6797" s="54" t="n">
        <f aca="false">MAX(0,(F6785-F6766*$C$6721)-F6745*$C$6726)*$C$6727*Assumptions!$D$105</f>
        <v>10124.750003461</v>
      </c>
      <c r="G6797" s="54" t="n">
        <f aca="false">MAX(0,(G6785-G6766*$C$6721)-G6745*$C$6726)*$C$6727*Assumptions!$D$105</f>
        <v>11120.4562644655</v>
      </c>
      <c r="H6797" s="54" t="n">
        <f aca="false">MAX(0,(H6785-H6766*$C$6721)-H6745*$C$6726)*$C$6727*Assumptions!$D$105</f>
        <v>12135.440005142</v>
      </c>
      <c r="I6797" s="54" t="n">
        <f aca="false">MAX(0,(I6785-I6766*$C$6721)-I6745*$C$6726)*$C$6727*Assumptions!$D$105</f>
        <v>13168.3634620727</v>
      </c>
      <c r="J6797" s="54" t="n">
        <f aca="false">MAX(0,(J6785-J6766*$C$6721)-J6745*$C$6726)*$C$6727*Assumptions!$D$105</f>
        <v>15544.7618159149</v>
      </c>
      <c r="K6797" s="54" t="n">
        <f aca="false">MAX(0,(K6785-K6766*$C$6721)-K6745*$C$6726)*$C$6727*Assumptions!$D$105</f>
        <v>18128.7734991379</v>
      </c>
      <c r="L6797" s="54" t="n">
        <f aca="false">MAX(0,(L6785-L6766*$C$6721)-L6745*$C$6726)*$C$6727*Assumptions!$D$105</f>
        <v>19385.7020896427</v>
      </c>
      <c r="M6797" s="54" t="n">
        <f aca="false">MAX(0,(M6785-M6766*$C$6721)-M6745*$C$6726)*$C$6727*Assumptions!$D$105</f>
        <v>19443.0394873355</v>
      </c>
      <c r="N6797" s="54" t="n">
        <f aca="false">MAX(0,(N6785-N6766*$C$6721)-N6745*$C$6726)*$C$6727*Assumptions!$D$105</f>
        <v>19108.6009322592</v>
      </c>
      <c r="P6797" s="55" t="n">
        <f aca="false">SUM(C6797:F6797)</f>
        <v>21655.5685840147</v>
      </c>
      <c r="Q6797" s="55" t="n">
        <f aca="false">SUM(G6797:J6797)</f>
        <v>51969.0215475951</v>
      </c>
      <c r="R6797" s="55" t="n">
        <f aca="false">SUM(K6797:N6797)</f>
        <v>76066.1160083753</v>
      </c>
      <c r="S6797" s="56" t="n">
        <f aca="false">SUM(P6797:R6797)</f>
        <v>149690.706139985</v>
      </c>
    </row>
    <row r="6798" customFormat="false" ht="15" hidden="false" customHeight="false" outlineLevel="0" collapsed="false">
      <c r="A6798" s="4" t="s">
        <v>557</v>
      </c>
      <c r="B6798" s="36" t="s">
        <v>125</v>
      </c>
      <c r="C6798" s="54" t="n">
        <f aca="false">C6793*Assumptions!$E$71/Assumptions!$E$69/4</f>
        <v>18475.8928571429</v>
      </c>
      <c r="D6798" s="54" t="n">
        <f aca="false">D6793*Assumptions!$E$71/Assumptions!$E$69/4</f>
        <v>18475.8928571429</v>
      </c>
      <c r="E6798" s="54" t="n">
        <f aca="false">E6793*Assumptions!$E$71/Assumptions!$E$69/4</f>
        <v>18475.8928571429</v>
      </c>
      <c r="F6798" s="54" t="n">
        <f aca="false">F6793*Assumptions!$E$71/Assumptions!$E$69/4</f>
        <v>18475.8928571429</v>
      </c>
      <c r="G6798" s="54" t="n">
        <f aca="false">G6793*Assumptions!$E$71/Assumptions!$E$69/4</f>
        <v>18475.8928571429</v>
      </c>
      <c r="H6798" s="54" t="n">
        <f aca="false">H6793*Assumptions!$E$71/Assumptions!$E$69/4</f>
        <v>18475.8928571429</v>
      </c>
      <c r="I6798" s="54" t="n">
        <f aca="false">I6793*Assumptions!$E$71/Assumptions!$E$69/4</f>
        <v>18475.8928571429</v>
      </c>
      <c r="J6798" s="54" t="n">
        <f aca="false">J6793*Assumptions!$E$71/Assumptions!$E$69/4</f>
        <v>18475.8928571429</v>
      </c>
      <c r="K6798" s="54" t="n">
        <f aca="false">K6793*Assumptions!$E$71/Assumptions!$E$69/4</f>
        <v>18475.8928571429</v>
      </c>
      <c r="L6798" s="54" t="n">
        <f aca="false">L6793*Assumptions!$E$71/Assumptions!$E$69/4</f>
        <v>18475.8928571429</v>
      </c>
      <c r="M6798" s="54" t="n">
        <f aca="false">M6793*Assumptions!$E$71/Assumptions!$E$69/4</f>
        <v>18475.8928571429</v>
      </c>
      <c r="N6798" s="54" t="n">
        <f aca="false">N6793*Assumptions!$E$71/Assumptions!$E$69/4</f>
        <v>18475.8928571429</v>
      </c>
      <c r="P6798" s="55" t="n">
        <f aca="false">SUM(C6798:F6798)</f>
        <v>73903.5714285714</v>
      </c>
      <c r="Q6798" s="55" t="n">
        <f aca="false">SUM(G6798:J6798)</f>
        <v>73903.5714285714</v>
      </c>
      <c r="R6798" s="55" t="n">
        <f aca="false">SUM(K6798:N6798)</f>
        <v>73903.5714285714</v>
      </c>
      <c r="S6798" s="56" t="n">
        <f aca="false">SUM(P6798:R6798)</f>
        <v>221710.714285714</v>
      </c>
    </row>
    <row r="6799" customFormat="false" ht="15" hidden="false" customHeight="false" outlineLevel="0" collapsed="false">
      <c r="A6799" s="4" t="s">
        <v>558</v>
      </c>
      <c r="B6799" s="36" t="s">
        <v>125</v>
      </c>
      <c r="C6799" s="54" t="n">
        <f aca="false">(Assumptions!$D$103+Assumptions!$E$77*((C6730=Assumptions!$E$13)+(C6730=Assumptions!$D$14)+(C6730=Assumptions!$D$15)))*C6731</f>
        <v>65000</v>
      </c>
      <c r="D6799" s="54" t="n">
        <f aca="false">(Assumptions!$D$103+Assumptions!$E$77*((D6730=Assumptions!$E$13)+(D6730=Assumptions!$D$14)+(D6730=Assumptions!$D$15)))*D6731</f>
        <v>25000</v>
      </c>
      <c r="E6799" s="54" t="n">
        <f aca="false">(Assumptions!$D$103+Assumptions!$E$77*((E6730=Assumptions!$E$13)+(E6730=Assumptions!$D$14)+(E6730=Assumptions!$D$15)))*E6731</f>
        <v>25000</v>
      </c>
      <c r="F6799" s="54" t="n">
        <f aca="false">(Assumptions!$D$103+Assumptions!$E$77*((F6730=Assumptions!$E$13)+(F6730=Assumptions!$D$14)+(F6730=Assumptions!$D$15)))*F6731</f>
        <v>25000</v>
      </c>
      <c r="G6799" s="54" t="n">
        <f aca="false">(Assumptions!$D$103+Assumptions!$E$77*((G6730=Assumptions!$E$13)+(G6730=Assumptions!$D$14)+(G6730=Assumptions!$D$15)))*G6731</f>
        <v>25000</v>
      </c>
      <c r="H6799" s="54" t="n">
        <f aca="false">(Assumptions!$D$103+Assumptions!$E$77*((H6730=Assumptions!$E$13)+(H6730=Assumptions!$D$14)+(H6730=Assumptions!$D$15)))*H6731</f>
        <v>25000</v>
      </c>
      <c r="I6799" s="54" t="n">
        <f aca="false">(Assumptions!$D$103+Assumptions!$E$77*((I6730=Assumptions!$E$13)+(I6730=Assumptions!$D$14)+(I6730=Assumptions!$D$15)))*I6731</f>
        <v>65000</v>
      </c>
      <c r="J6799" s="54" t="n">
        <f aca="false">(Assumptions!$D$103+Assumptions!$E$77*((J6730=Assumptions!$E$13)+(J6730=Assumptions!$D$14)+(J6730=Assumptions!$D$15)))*J6731</f>
        <v>25000</v>
      </c>
      <c r="K6799" s="54" t="n">
        <f aca="false">(Assumptions!$D$103+Assumptions!$E$77*((K6730=Assumptions!$E$13)+(K6730=Assumptions!$D$14)+(K6730=Assumptions!$D$15)))*K6731</f>
        <v>25000</v>
      </c>
      <c r="L6799" s="54" t="n">
        <f aca="false">(Assumptions!$D$103+Assumptions!$E$77*((L6730=Assumptions!$E$13)+(L6730=Assumptions!$D$14)+(L6730=Assumptions!$D$15)))*L6731</f>
        <v>25000</v>
      </c>
      <c r="M6799" s="54" t="n">
        <f aca="false">(Assumptions!$D$103+Assumptions!$E$77*((M6730=Assumptions!$E$13)+(M6730=Assumptions!$D$14)+(M6730=Assumptions!$D$15)))*M6731</f>
        <v>25000</v>
      </c>
      <c r="N6799" s="54" t="n">
        <f aca="false">(Assumptions!$D$103+Assumptions!$E$77*((N6730=Assumptions!$E$13)+(N6730=Assumptions!$D$14)+(N6730=Assumptions!$D$15)))*N6731</f>
        <v>25000</v>
      </c>
      <c r="P6799" s="55" t="n">
        <f aca="false">SUM(C6799:F6799)</f>
        <v>140000</v>
      </c>
      <c r="Q6799" s="55" t="n">
        <f aca="false">SUM(G6799:J6799)</f>
        <v>140000</v>
      </c>
      <c r="R6799" s="55" t="n">
        <f aca="false">SUM(K6799:N6799)</f>
        <v>100000</v>
      </c>
      <c r="S6799" s="56" t="n">
        <f aca="false">SUM(P6799:R6799)</f>
        <v>380000</v>
      </c>
    </row>
    <row r="6800" customFormat="false" ht="15" hidden="false" customHeight="false" outlineLevel="0" collapsed="false">
      <c r="A6800" s="4" t="s">
        <v>559</v>
      </c>
      <c r="B6800" s="36" t="s">
        <v>125</v>
      </c>
      <c r="C6800" s="54" t="n">
        <f aca="false">C6785*C6765*Assumptions!$E$79</f>
        <v>0</v>
      </c>
      <c r="D6800" s="54" t="n">
        <f aca="false">D6785*D6765*Assumptions!$E$79</f>
        <v>815.338873355417</v>
      </c>
      <c r="E6800" s="54" t="n">
        <f aca="false">E6785*E6765*Assumptions!$E$79</f>
        <v>1576.95453714349</v>
      </c>
      <c r="F6800" s="54" t="n">
        <f aca="false">F6785*F6765*Assumptions!$E$79</f>
        <v>2363.78759030579</v>
      </c>
      <c r="G6800" s="54" t="n">
        <f aca="false">G6785*G6765*Assumptions!$E$79</f>
        <v>2961.23316349717</v>
      </c>
      <c r="H6800" s="54" t="n">
        <f aca="false">H6785*H6765*Assumptions!$E$79</f>
        <v>3560.31062828061</v>
      </c>
      <c r="I6800" s="54" t="n">
        <f aca="false">I6785*I6765*Assumptions!$E$79</f>
        <v>4160.73786456173</v>
      </c>
      <c r="J6800" s="54" t="n">
        <f aca="false">J6785*J6765*Assumptions!$E$79</f>
        <v>4576.02941980939</v>
      </c>
      <c r="K6800" s="54" t="n">
        <f aca="false">K6785*K6765*Assumptions!$E$79</f>
        <v>5108.1768461663</v>
      </c>
      <c r="L6800" s="54" t="n">
        <f aca="false">L6785*L6765*Assumptions!$E$79</f>
        <v>5794.42568814771</v>
      </c>
      <c r="M6800" s="54" t="n">
        <f aca="false">M6785*M6765*Assumptions!$E$79</f>
        <v>5903.22051003615</v>
      </c>
      <c r="N6800" s="54" t="n">
        <f aca="false">N6785*N6765*Assumptions!$E$79</f>
        <v>5901.48959750912</v>
      </c>
      <c r="P6800" s="55" t="n">
        <f aca="false">SUM(C6800:F6800)</f>
        <v>4756.0810008047</v>
      </c>
      <c r="Q6800" s="55" t="n">
        <f aca="false">SUM(G6800:J6800)</f>
        <v>15258.3110761489</v>
      </c>
      <c r="R6800" s="55" t="n">
        <f aca="false">SUM(K6800:N6800)</f>
        <v>22707.3126418593</v>
      </c>
      <c r="S6800" s="56" t="n">
        <f aca="false">SUM(P6800:R6800)</f>
        <v>42721.7047188129</v>
      </c>
    </row>
    <row r="6801" customFormat="false" ht="15" hidden="false" customHeight="false" outlineLevel="0" collapsed="false">
      <c r="A6801" s="4" t="s">
        <v>560</v>
      </c>
      <c r="B6801" s="36" t="s">
        <v>125</v>
      </c>
      <c r="C6801" s="54" t="n">
        <f aca="false">C6750*Assumptions!$E$80</f>
        <v>4000</v>
      </c>
      <c r="D6801" s="54" t="n">
        <f aca="false">D6750*Assumptions!$E$80</f>
        <v>6000</v>
      </c>
      <c r="E6801" s="54" t="n">
        <f aca="false">E6750*Assumptions!$E$80</f>
        <v>8000</v>
      </c>
      <c r="F6801" s="54" t="n">
        <f aca="false">F6750*Assumptions!$E$80</f>
        <v>10000</v>
      </c>
      <c r="G6801" s="54" t="n">
        <f aca="false">G6750*Assumptions!$E$80</f>
        <v>12000</v>
      </c>
      <c r="H6801" s="54" t="n">
        <f aca="false">H6750*Assumptions!$E$80</f>
        <v>14000</v>
      </c>
      <c r="I6801" s="54" t="n">
        <f aca="false">I6750*Assumptions!$E$80</f>
        <v>16000</v>
      </c>
      <c r="J6801" s="54" t="n">
        <f aca="false">J6750*Assumptions!$E$80</f>
        <v>18000</v>
      </c>
      <c r="K6801" s="54" t="n">
        <f aca="false">K6750*Assumptions!$E$80</f>
        <v>20000</v>
      </c>
      <c r="L6801" s="54" t="n">
        <f aca="false">L6750*Assumptions!$E$80</f>
        <v>20000</v>
      </c>
      <c r="M6801" s="54" t="n">
        <f aca="false">M6750*Assumptions!$E$80</f>
        <v>20000</v>
      </c>
      <c r="N6801" s="54" t="n">
        <f aca="false">N6750*Assumptions!$E$80</f>
        <v>20000</v>
      </c>
      <c r="P6801" s="55" t="n">
        <f aca="false">SUM(C6801:F6801)</f>
        <v>28000</v>
      </c>
      <c r="Q6801" s="55" t="n">
        <f aca="false">SUM(G6801:J6801)</f>
        <v>60000</v>
      </c>
      <c r="R6801" s="55" t="n">
        <f aca="false">SUM(K6801:N6801)</f>
        <v>80000</v>
      </c>
      <c r="S6801" s="56" t="n">
        <f aca="false">SUM(P6801:R6801)</f>
        <v>168000</v>
      </c>
    </row>
    <row r="6802" customFormat="false" ht="15" hidden="false" customHeight="false" outlineLevel="0" collapsed="false">
      <c r="A6802" s="4" t="s">
        <v>561</v>
      </c>
      <c r="B6802" s="36" t="s">
        <v>125</v>
      </c>
      <c r="C6802" s="54" t="n">
        <f aca="false">(C6773*$C$6722+C6774*$C$6723)*Assumptions!$E$81</f>
        <v>0</v>
      </c>
      <c r="D6802" s="54" t="n">
        <f aca="false">(D6773*$C$6722+D6774*$C$6723)*Assumptions!$E$81</f>
        <v>635.937968364564</v>
      </c>
      <c r="E6802" s="54" t="n">
        <f aca="false">(E6773*$C$6722+E6774*$C$6723)*Assumptions!$E$81</f>
        <v>1750.54055351793</v>
      </c>
      <c r="F6802" s="54" t="n">
        <f aca="false">(F6773*$C$6722+F6774*$C$6723)*Assumptions!$E$81</f>
        <v>2334.90810210795</v>
      </c>
      <c r="G6802" s="54" t="n">
        <f aca="false">(G6773*$C$6722+G6774*$C$6723)*Assumptions!$E$81</f>
        <v>2567.01977128764</v>
      </c>
      <c r="H6802" s="54" t="n">
        <f aca="false">(H6773*$C$6722+H6774*$C$6723)*Assumptions!$E$81</f>
        <v>2803.68344007406</v>
      </c>
      <c r="I6802" s="54" t="n">
        <f aca="false">(I6773*$C$6722+I6774*$C$6723)*Assumptions!$E$81</f>
        <v>3044.58322181312</v>
      </c>
      <c r="J6802" s="54" t="n">
        <f aca="false">(J6773*$C$6722+J6774*$C$6723)*Assumptions!$E$81</f>
        <v>3514.48541139728</v>
      </c>
      <c r="K6802" s="54" t="n">
        <f aca="false">(K6773*$C$6722+K6774*$C$6723)*Assumptions!$E$81</f>
        <v>4071.19569382789</v>
      </c>
      <c r="L6802" s="54" t="n">
        <f aca="false">(L6773*$C$6722+L6774*$C$6723)*Assumptions!$E$81</f>
        <v>4396.83720013184</v>
      </c>
      <c r="M6802" s="54" t="n">
        <f aca="false">(M6773*$C$6722+M6774*$C$6723)*Assumptions!$E$81</f>
        <v>4447.99414440003</v>
      </c>
      <c r="N6802" s="54" t="n">
        <f aca="false">(N6773*$C$6722+N6774*$C$6723)*Assumptions!$E$81</f>
        <v>4370.90006736256</v>
      </c>
      <c r="P6802" s="55" t="n">
        <f aca="false">SUM(C6802:F6802)</f>
        <v>4721.38662399044</v>
      </c>
      <c r="Q6802" s="55" t="n">
        <f aca="false">SUM(G6802:J6802)</f>
        <v>11929.7718445721</v>
      </c>
      <c r="R6802" s="55" t="n">
        <f aca="false">SUM(K6802:N6802)</f>
        <v>17286.9271057223</v>
      </c>
      <c r="S6802" s="56" t="n">
        <f aca="false">SUM(P6802:R6802)</f>
        <v>33938.0855742849</v>
      </c>
    </row>
    <row r="6803" customFormat="false" ht="15" hidden="false" customHeight="false" outlineLevel="0" collapsed="false">
      <c r="A6803" s="9" t="s">
        <v>562</v>
      </c>
      <c r="B6803" s="36" t="s">
        <v>125</v>
      </c>
      <c r="C6803" s="55" t="n">
        <f aca="false">C6795+C6796+C6797+C6798+C6799+C6800+C6801+C6802</f>
        <v>154229.464285714</v>
      </c>
      <c r="D6803" s="55" t="n">
        <f aca="false">D6795+D6796+D6797+D6798+D6799+D6800+D6801+D6802</f>
        <v>121172.463189242</v>
      </c>
      <c r="E6803" s="55" t="n">
        <f aca="false">E6795+E6796+E6797+E6798+E6799+E6800+E6801+E6802</f>
        <v>129596.055895122</v>
      </c>
      <c r="F6803" s="55" t="n">
        <f aca="false">F6795+F6796+F6797+F6798+F6799+F6800+F6801+F6802</f>
        <v>135052.909981589</v>
      </c>
      <c r="G6803" s="55" t="n">
        <f aca="false">G6795+G6796+G6797+G6798+G6799+G6800+G6801+G6802</f>
        <v>172254.95919925</v>
      </c>
      <c r="H6803" s="55" t="n">
        <f aca="false">H6795+H6796+H6797+H6798+H6799+H6800+H6801+H6802</f>
        <v>176105.684073497</v>
      </c>
      <c r="I6803" s="55" t="n">
        <f aca="false">I6795+I6796+I6797+I6798+I6799+I6800+I6801+I6802</f>
        <v>219979.934548448</v>
      </c>
      <c r="J6803" s="55" t="n">
        <f aca="false">J6795+J6796+J6797+J6798+J6799+J6800+J6801+J6802</f>
        <v>185241.526647122</v>
      </c>
      <c r="K6803" s="55" t="n">
        <f aca="false">K6795+K6796+K6797+K6798+K6799+K6800+K6801+K6802</f>
        <v>190914.396039132</v>
      </c>
      <c r="L6803" s="55" t="n">
        <f aca="false">L6795+L6796+L6797+L6798+L6799+L6800+L6801+L6802</f>
        <v>193183.214977922</v>
      </c>
      <c r="M6803" s="55" t="n">
        <f aca="false">M6795+M6796+M6797+M6798+M6799+M6800+M6801+M6802</f>
        <v>193400.504141772</v>
      </c>
      <c r="N6803" s="55" t="n">
        <f aca="false">N6795+N6796+N6797+N6798+N6799+N6800+N6801+N6802</f>
        <v>192987.240597131</v>
      </c>
      <c r="P6803" s="55" t="n">
        <f aca="false">SUM(C6803:F6803)</f>
        <v>540050.893351667</v>
      </c>
      <c r="Q6803" s="55" t="n">
        <f aca="false">SUM(G6803:J6803)</f>
        <v>753582.104468316</v>
      </c>
      <c r="R6803" s="55" t="n">
        <f aca="false">SUM(K6803:N6803)</f>
        <v>770485.355755957</v>
      </c>
      <c r="S6803" s="56" t="n">
        <f aca="false">SUM(P6803:R6803)</f>
        <v>2064118.35357594</v>
      </c>
    </row>
    <row r="6804" customFormat="false" ht="15" hidden="false" customHeight="false" outlineLevel="0" collapsed="false">
      <c r="A6804" s="4" t="s">
        <v>563</v>
      </c>
      <c r="B6804" s="36" t="s">
        <v>125</v>
      </c>
      <c r="C6804" s="54" t="n">
        <f aca="false">C6792*Assumptions!$E$72/Assumptions!$E$69/4</f>
        <v>56535.7142857143</v>
      </c>
      <c r="D6804" s="54" t="n">
        <f aca="false">D6792*Assumptions!$E$72/Assumptions!$E$69/4</f>
        <v>56535.7142857143</v>
      </c>
      <c r="E6804" s="54" t="n">
        <f aca="false">E6792*Assumptions!$E$72/Assumptions!$E$69/4</f>
        <v>56535.7142857143</v>
      </c>
      <c r="F6804" s="54" t="n">
        <f aca="false">F6792*Assumptions!$E$72/Assumptions!$E$69/4</f>
        <v>56535.7142857143</v>
      </c>
      <c r="G6804" s="54" t="n">
        <f aca="false">G6792*Assumptions!$E$72/Assumptions!$E$69/4</f>
        <v>28267.8571428571</v>
      </c>
      <c r="H6804" s="54" t="n">
        <f aca="false">H6792*Assumptions!$E$72/Assumptions!$E$69/4</f>
        <v>28267.8571428571</v>
      </c>
      <c r="I6804" s="54" t="n">
        <f aca="false">I6792*Assumptions!$E$72/Assumptions!$E$69/4</f>
        <v>28267.8571428571</v>
      </c>
      <c r="J6804" s="54" t="n">
        <f aca="false">J6792*Assumptions!$E$72/Assumptions!$E$69/4</f>
        <v>28267.8571428571</v>
      </c>
      <c r="K6804" s="54" t="n">
        <f aca="false">K6792*Assumptions!$E$72/Assumptions!$E$69/4</f>
        <v>28267.8571428571</v>
      </c>
      <c r="L6804" s="54" t="n">
        <f aca="false">L6792*Assumptions!$E$72/Assumptions!$E$69/4</f>
        <v>28267.8571428571</v>
      </c>
      <c r="M6804" s="54" t="n">
        <f aca="false">M6792*Assumptions!$E$72/Assumptions!$E$69/4</f>
        <v>28267.8571428571</v>
      </c>
      <c r="N6804" s="54" t="n">
        <f aca="false">N6792*Assumptions!$E$72/Assumptions!$E$69/4</f>
        <v>28267.8571428571</v>
      </c>
      <c r="P6804" s="55" t="n">
        <f aca="false">SUM(C6804:F6804)</f>
        <v>226142.857142857</v>
      </c>
      <c r="Q6804" s="55" t="n">
        <f aca="false">SUM(G6804:J6804)</f>
        <v>113071.428571429</v>
      </c>
      <c r="R6804" s="55" t="n">
        <f aca="false">SUM(K6804:N6804)</f>
        <v>113071.428571429</v>
      </c>
      <c r="S6804" s="56" t="n">
        <f aca="false">SUM(P6804:R6804)</f>
        <v>452285.714285714</v>
      </c>
    </row>
    <row r="6805" customFormat="false" ht="15" hidden="false" customHeight="false" outlineLevel="0" collapsed="false">
      <c r="A6805" s="4" t="s">
        <v>564</v>
      </c>
      <c r="B6805" s="36" t="s">
        <v>125</v>
      </c>
      <c r="C6805" s="54" t="n">
        <f aca="false">IF(C6730&lt;=Assumptions!$E$83,Assumptions!$E$82*Assumptions!$D$108/Assumptions!$E$83,0)</f>
        <v>62500</v>
      </c>
      <c r="D6805" s="54" t="n">
        <f aca="false">IF(D6730&lt;=Assumptions!$E$83,Assumptions!$E$82*Assumptions!$D$108/Assumptions!$E$83,0)</f>
        <v>62500</v>
      </c>
      <c r="E6805" s="54" t="n">
        <f aca="false">IF(E6730&lt;=Assumptions!$E$83,Assumptions!$E$82*Assumptions!$D$108/Assumptions!$E$83,0)</f>
        <v>62500</v>
      </c>
      <c r="F6805" s="54" t="n">
        <f aca="false">IF(F6730&lt;=Assumptions!$E$83,Assumptions!$E$82*Assumptions!$D$108/Assumptions!$E$83,0)</f>
        <v>62500</v>
      </c>
      <c r="G6805" s="54" t="n">
        <f aca="false">IF(G6730&lt;=Assumptions!$E$83,Assumptions!$E$82*Assumptions!$D$108/Assumptions!$E$83,0)</f>
        <v>0</v>
      </c>
      <c r="H6805" s="54" t="n">
        <f aca="false">IF(H6730&lt;=Assumptions!$E$83,Assumptions!$E$82*Assumptions!$D$108/Assumptions!$E$83,0)</f>
        <v>0</v>
      </c>
      <c r="I6805" s="54" t="n">
        <f aca="false">IF(I6730&lt;=Assumptions!$E$83,Assumptions!$E$82*Assumptions!$D$108/Assumptions!$E$83,0)</f>
        <v>0</v>
      </c>
      <c r="J6805" s="54" t="n">
        <f aca="false">IF(J6730&lt;=Assumptions!$E$83,Assumptions!$E$82*Assumptions!$D$108/Assumptions!$E$83,0)</f>
        <v>0</v>
      </c>
      <c r="K6805" s="54" t="n">
        <f aca="false">IF(K6730&lt;=Assumptions!$E$83,Assumptions!$E$82*Assumptions!$D$108/Assumptions!$E$83,0)</f>
        <v>0</v>
      </c>
      <c r="L6805" s="54" t="n">
        <f aca="false">IF(L6730&lt;=Assumptions!$E$83,Assumptions!$E$82*Assumptions!$D$108/Assumptions!$E$83,0)</f>
        <v>0</v>
      </c>
      <c r="M6805" s="54" t="n">
        <f aca="false">IF(M6730&lt;=Assumptions!$E$83,Assumptions!$E$82*Assumptions!$D$108/Assumptions!$E$83,0)</f>
        <v>0</v>
      </c>
      <c r="N6805" s="54" t="n">
        <f aca="false">IF(N6730&lt;=Assumptions!$E$83,Assumptions!$E$82*Assumptions!$D$108/Assumptions!$E$83,0)</f>
        <v>0</v>
      </c>
      <c r="P6805" s="55" t="n">
        <f aca="false">SUM(C6805:F6805)</f>
        <v>250000</v>
      </c>
      <c r="Q6805" s="55" t="n">
        <f aca="false">SUM(G6805:J6805)</f>
        <v>0</v>
      </c>
      <c r="R6805" s="55" t="n">
        <f aca="false">SUM(K6805:N6805)</f>
        <v>0</v>
      </c>
      <c r="S6805" s="56" t="n">
        <f aca="false">SUM(P6805:R6805)</f>
        <v>250000</v>
      </c>
    </row>
    <row r="6806" customFormat="false" ht="15" hidden="false" customHeight="false" outlineLevel="0" collapsed="false">
      <c r="A6806" s="4" t="s">
        <v>565</v>
      </c>
      <c r="B6806" s="36" t="s">
        <v>125</v>
      </c>
      <c r="C6806" s="54" t="n">
        <f aca="false">C6794*Assumptions!$E$73/Assumptions!$E$69/4</f>
        <v>0</v>
      </c>
      <c r="D6806" s="54" t="n">
        <f aca="false">D6794*Assumptions!$E$73/Assumptions!$E$69/4</f>
        <v>575.3130595573</v>
      </c>
      <c r="E6806" s="54" t="n">
        <f aca="false">E6794*Assumptions!$E$73/Assumptions!$E$69/4</f>
        <v>1617.32906717661</v>
      </c>
      <c r="F6806" s="54" t="n">
        <f aca="false">F6794*Assumptions!$E$73/Assumptions!$E$69/4</f>
        <v>2784.46806400723</v>
      </c>
      <c r="G6806" s="54" t="n">
        <f aca="false">G6794*Assumptions!$E$73/Assumptions!$E$69/4</f>
        <v>4037.30390559473</v>
      </c>
      <c r="H6806" s="54" t="n">
        <f aca="false">H6794*Assumptions!$E$73/Assumptions!$E$69/4</f>
        <v>5375.77556761852</v>
      </c>
      <c r="I6806" s="54" t="n">
        <f aca="false">I6794*Assumptions!$E$73/Assumptions!$E$69/4</f>
        <v>6799.67116516025</v>
      </c>
      <c r="J6806" s="54" t="n">
        <f aca="false">J6794*Assumptions!$E$73/Assumptions!$E$69/4</f>
        <v>8520.62147065691</v>
      </c>
      <c r="K6806" s="54" t="n">
        <f aca="false">K6794*Assumptions!$E$73/Assumptions!$E$69/4</f>
        <v>10521.9613393691</v>
      </c>
      <c r="L6806" s="54" t="n">
        <f aca="false">L6794*Assumptions!$E$73/Assumptions!$E$69/4</f>
        <v>12584.9787451426</v>
      </c>
      <c r="M6806" s="54" t="n">
        <f aca="false">M6794*Assumptions!$E$73/Assumptions!$E$69/4</f>
        <v>14565.2771001707</v>
      </c>
      <c r="N6806" s="54" t="n">
        <f aca="false">N6794*Assumptions!$E$73/Assumptions!$E$69/4</f>
        <v>16453.5720064338</v>
      </c>
      <c r="P6806" s="55" t="n">
        <f aca="false">SUM(C6806:F6806)</f>
        <v>4977.11019074114</v>
      </c>
      <c r="Q6806" s="55" t="n">
        <f aca="false">SUM(G6806:J6806)</f>
        <v>24733.3721090304</v>
      </c>
      <c r="R6806" s="55" t="n">
        <f aca="false">SUM(K6806:N6806)</f>
        <v>54125.7891911161</v>
      </c>
      <c r="S6806" s="56" t="n">
        <f aca="false">SUM(P6806:R6806)</f>
        <v>83836.2714908877</v>
      </c>
    </row>
    <row r="6807" customFormat="false" ht="15" hidden="false" customHeight="false" outlineLevel="0" collapsed="false">
      <c r="A6807" s="9" t="s">
        <v>566</v>
      </c>
      <c r="B6807" s="36" t="s">
        <v>125</v>
      </c>
      <c r="C6807" s="55" t="n">
        <f aca="false">C6803+C6804+C6805+C6806</f>
        <v>273265.178571429</v>
      </c>
      <c r="D6807" s="55" t="n">
        <f aca="false">D6803+D6804+D6805+D6806</f>
        <v>240783.490534514</v>
      </c>
      <c r="E6807" s="55" t="n">
        <f aca="false">E6803+E6804+E6805+E6806</f>
        <v>250249.099248013</v>
      </c>
      <c r="F6807" s="55" t="n">
        <f aca="false">F6803+F6804+F6805+F6806</f>
        <v>256873.092331311</v>
      </c>
      <c r="G6807" s="55" t="n">
        <f aca="false">G6803+G6804+G6805+G6806</f>
        <v>204560.120247702</v>
      </c>
      <c r="H6807" s="55" t="n">
        <f aca="false">H6803+H6804+H6805+H6806</f>
        <v>209749.316783972</v>
      </c>
      <c r="I6807" s="55" t="n">
        <f aca="false">I6803+I6804+I6805+I6806</f>
        <v>255047.462856465</v>
      </c>
      <c r="J6807" s="55" t="n">
        <f aca="false">J6803+J6804+J6805+J6806</f>
        <v>222030.005260636</v>
      </c>
      <c r="K6807" s="55" t="n">
        <f aca="false">K6803+K6804+K6805+K6806</f>
        <v>229704.214521358</v>
      </c>
      <c r="L6807" s="55" t="n">
        <f aca="false">L6803+L6804+L6805+L6806</f>
        <v>234036.050865922</v>
      </c>
      <c r="M6807" s="55" t="n">
        <f aca="false">M6803+M6804+M6805+M6806</f>
        <v>236233.6383848</v>
      </c>
      <c r="N6807" s="55" t="n">
        <f aca="false">N6803+N6804+N6805+N6806</f>
        <v>237708.669746422</v>
      </c>
      <c r="P6807" s="55" t="n">
        <f aca="false">SUM(C6807:F6807)</f>
        <v>1021170.86068527</v>
      </c>
      <c r="Q6807" s="55" t="n">
        <f aca="false">SUM(G6807:J6807)</f>
        <v>891386.905148775</v>
      </c>
      <c r="R6807" s="55" t="n">
        <f aca="false">SUM(K6807:N6807)</f>
        <v>937682.573518502</v>
      </c>
      <c r="S6807" s="56" t="n">
        <f aca="false">SUM(P6807:R6807)</f>
        <v>2850240.33935254</v>
      </c>
    </row>
    <row r="6808" customFormat="false" ht="15" hidden="false" customHeight="false" outlineLevel="0" collapsed="false">
      <c r="A6808" s="35" t="s">
        <v>567</v>
      </c>
      <c r="B6808" s="35" t="s">
        <v>444</v>
      </c>
      <c r="C6808" s="6" t="s">
        <v>354</v>
      </c>
      <c r="D6808" s="6" t="s">
        <v>355</v>
      </c>
      <c r="E6808" s="6" t="s">
        <v>356</v>
      </c>
      <c r="F6808" s="6" t="s">
        <v>357</v>
      </c>
      <c r="G6808" s="6" t="s">
        <v>358</v>
      </c>
      <c r="H6808" s="6" t="s">
        <v>359</v>
      </c>
      <c r="I6808" s="6" t="s">
        <v>360</v>
      </c>
      <c r="J6808" s="6" t="s">
        <v>361</v>
      </c>
      <c r="K6808" s="6" t="s">
        <v>362</v>
      </c>
      <c r="L6808" s="6" t="s">
        <v>363</v>
      </c>
      <c r="M6808" s="6" t="s">
        <v>364</v>
      </c>
      <c r="N6808" s="6" t="s">
        <v>365</v>
      </c>
      <c r="P6808" s="6" t="s">
        <v>445</v>
      </c>
      <c r="Q6808" s="6" t="s">
        <v>446</v>
      </c>
      <c r="R6808" s="6" t="s">
        <v>447</v>
      </c>
      <c r="S6808" s="6" t="s">
        <v>448</v>
      </c>
    </row>
    <row r="6809" customFormat="false" ht="15" hidden="false" customHeight="false" outlineLevel="0" collapsed="false">
      <c r="A6809" s="9" t="s">
        <v>568</v>
      </c>
      <c r="B6809" s="36" t="s">
        <v>125</v>
      </c>
      <c r="C6809" s="55" t="n">
        <f aca="false">C6787-C6807</f>
        <v>-273265.178571429</v>
      </c>
      <c r="D6809" s="55" t="n">
        <f aca="false">D6787-D6807</f>
        <v>-240062.280337795</v>
      </c>
      <c r="E6809" s="55" t="n">
        <f aca="false">E6787-E6807</f>
        <v>-247207.646379802</v>
      </c>
      <c r="F6809" s="55" t="n">
        <f aca="false">F6787-F6807</f>
        <v>-250228.802278658</v>
      </c>
      <c r="G6809" s="55" t="n">
        <f aca="false">G6787-G6807</f>
        <v>-193682.323682823</v>
      </c>
      <c r="H6809" s="55" t="n">
        <f aca="false">H6787-H6807</f>
        <v>-194178.375449358</v>
      </c>
      <c r="I6809" s="55" t="n">
        <f aca="false">I6787-I6807</f>
        <v>-234308.122710131</v>
      </c>
      <c r="J6809" s="55" t="n">
        <f aca="false">J6787-J6807</f>
        <v>-195353.627528806</v>
      </c>
      <c r="K6809" s="55" t="n">
        <f aca="false">K6787-K6807</f>
        <v>-195998.579729981</v>
      </c>
      <c r="L6809" s="55" t="n">
        <f aca="false">L6787-L6807</f>
        <v>-192439.0063645</v>
      </c>
      <c r="M6809" s="55" t="n">
        <f aca="false">M6787-M6807</f>
        <v>-186378.953382539</v>
      </c>
      <c r="N6809" s="55" t="n">
        <f aca="false">N6787-N6807</f>
        <v>-179522.299529859</v>
      </c>
      <c r="P6809" s="55" t="n">
        <f aca="false">SUM(C6809:F6809)</f>
        <v>-1010763.90756768</v>
      </c>
      <c r="Q6809" s="55" t="n">
        <f aca="false">SUM(G6809:J6809)</f>
        <v>-817522.449371118</v>
      </c>
      <c r="R6809" s="55" t="n">
        <f aca="false">SUM(K6809:N6809)</f>
        <v>-754338.839006878</v>
      </c>
      <c r="S6809" s="56" t="n">
        <f aca="false">SUM(P6809:R6809)</f>
        <v>-2582625.19594568</v>
      </c>
    </row>
    <row r="6810" customFormat="false" ht="15" hidden="false" customHeight="false" outlineLevel="0" collapsed="false">
      <c r="A6810" s="9" t="s">
        <v>569</v>
      </c>
      <c r="B6810" s="36" t="s">
        <v>125</v>
      </c>
      <c r="C6810" s="55" t="n">
        <f aca="false">0+C6809</f>
        <v>-273265.178571429</v>
      </c>
      <c r="D6810" s="55" t="n">
        <f aca="false">C6810+D6809</f>
        <v>-513327.458909223</v>
      </c>
      <c r="E6810" s="55" t="n">
        <f aca="false">D6810+E6809</f>
        <v>-760535.105289025</v>
      </c>
      <c r="F6810" s="55" t="n">
        <f aca="false">E6810+F6809</f>
        <v>-1010763.90756768</v>
      </c>
      <c r="G6810" s="55" t="n">
        <f aca="false">F6810+G6809</f>
        <v>-1204446.23125051</v>
      </c>
      <c r="H6810" s="55" t="n">
        <f aca="false">G6810+H6809</f>
        <v>-1398624.60669986</v>
      </c>
      <c r="I6810" s="55" t="n">
        <f aca="false">H6810+I6809</f>
        <v>-1632932.72941</v>
      </c>
      <c r="J6810" s="55" t="n">
        <f aca="false">I6810+J6809</f>
        <v>-1828286.3569388</v>
      </c>
      <c r="K6810" s="55" t="n">
        <f aca="false">J6810+K6809</f>
        <v>-2024284.93666878</v>
      </c>
      <c r="L6810" s="55" t="n">
        <f aca="false">K6810+L6809</f>
        <v>-2216723.94303328</v>
      </c>
      <c r="M6810" s="55" t="n">
        <f aca="false">L6810+M6809</f>
        <v>-2403102.89641582</v>
      </c>
      <c r="N6810" s="55" t="n">
        <f aca="false">M6810+N6809</f>
        <v>-2582625.19594568</v>
      </c>
      <c r="P6810" s="55" t="n">
        <f aca="false">F6810</f>
        <v>-1010763.90756768</v>
      </c>
      <c r="Q6810" s="55" t="n">
        <f aca="false">J6810</f>
        <v>-1828286.3569388</v>
      </c>
      <c r="R6810" s="55" t="n">
        <f aca="false">N6810</f>
        <v>-2582625.19594568</v>
      </c>
      <c r="S6810" s="56" t="n">
        <f aca="false">R6810</f>
        <v>-2582625.19594568</v>
      </c>
    </row>
    <row r="6811" customFormat="false" ht="15" hidden="false" customHeight="false" outlineLevel="0" collapsed="false">
      <c r="A6811" s="4" t="s">
        <v>570</v>
      </c>
      <c r="B6811" s="36" t="s">
        <v>107</v>
      </c>
      <c r="C6811" s="57" t="n">
        <f aca="false">1/(1+Assumptions!$E$87)^(C6730/4)</f>
        <v>0.972065420906982</v>
      </c>
      <c r="D6811" s="57" t="n">
        <f aca="false">1/(1+Assumptions!$E$87)^(D6730/4)</f>
        <v>0.944911182523068</v>
      </c>
      <c r="E6811" s="57" t="n">
        <f aca="false">1/(1+Assumptions!$E$87)^(E6730/4)</f>
        <v>0.918515486359</v>
      </c>
      <c r="F6811" s="57" t="n">
        <f aca="false">1/(1+Assumptions!$E$87)^(F6730/4)</f>
        <v>0.892857142857143</v>
      </c>
      <c r="G6811" s="57" t="n">
        <f aca="false">1/(1+Assumptions!$E$87)^(G6730/4)</f>
        <v>0.867915554381234</v>
      </c>
      <c r="H6811" s="57" t="n">
        <f aca="false">1/(1+Assumptions!$E$87)^(H6730/4)</f>
        <v>0.843670698681311</v>
      </c>
      <c r="I6811" s="57" t="n">
        <f aca="false">1/(1+Assumptions!$E$87)^(I6730/4)</f>
        <v>0.820103112820536</v>
      </c>
      <c r="J6811" s="57" t="n">
        <f aca="false">1/(1+Assumptions!$E$87)^(J6730/4)</f>
        <v>0.79719387755102</v>
      </c>
      <c r="K6811" s="57" t="n">
        <f aca="false">1/(1+Assumptions!$E$87)^(K6730/4)</f>
        <v>0.774924602126102</v>
      </c>
      <c r="L6811" s="57" t="n">
        <f aca="false">1/(1+Assumptions!$E$87)^(L6730/4)</f>
        <v>0.753277409536885</v>
      </c>
      <c r="M6811" s="57" t="n">
        <f aca="false">1/(1+Assumptions!$E$87)^(M6730/4)</f>
        <v>0.732234922161193</v>
      </c>
      <c r="N6811" s="57" t="n">
        <f aca="false">1/(1+Assumptions!$E$87)^(N6730/4)</f>
        <v>0.711780247813411</v>
      </c>
      <c r="P6811" s="58"/>
      <c r="Q6811" s="58"/>
      <c r="R6811" s="58"/>
      <c r="S6811" s="59"/>
    </row>
    <row r="6812" customFormat="false" ht="15" hidden="false" customHeight="false" outlineLevel="0" collapsed="false">
      <c r="A6812" s="4" t="s">
        <v>571</v>
      </c>
      <c r="B6812" s="36" t="s">
        <v>125</v>
      </c>
      <c r="C6812" s="54" t="n">
        <f aca="false">(C6787*(1-Assumptions!$E$88)-C6807)*C6811</f>
        <v>-265631.630827257</v>
      </c>
      <c r="D6812" s="54" t="n">
        <f aca="false">(D6787*(1-Assumptions!$E$88)-D6807)*D6811</f>
        <v>-226973.829109136</v>
      </c>
      <c r="E6812" s="54" t="n">
        <f aca="false">(E6787*(1-Assumptions!$E$88)-E6807)*E6811</f>
        <v>-227622.775858304</v>
      </c>
      <c r="F6812" s="54" t="n">
        <f aca="false">(F6787*(1-Assumptions!$E$88)-F6807)*F6811</f>
        <v>-224605.053829633</v>
      </c>
      <c r="G6812" s="54" t="n">
        <f aca="false">(G6787*(1-Assumptions!$E$88)-G6807)*G6811</f>
        <v>-169988.103100234</v>
      </c>
      <c r="H6812" s="54" t="n">
        <f aca="false">(H6787*(1-Assumptions!$E$88)-H6807)*H6811</f>
        <v>-166449.955075142</v>
      </c>
      <c r="I6812" s="54" t="n">
        <f aca="false">(I6787*(1-Assumptions!$E$88)-I6807)*I6811</f>
        <v>-195558.500276085</v>
      </c>
      <c r="J6812" s="54" t="n">
        <f aca="false">(J6787*(1-Assumptions!$E$88)-J6807)*J6811</f>
        <v>-159987.964823957</v>
      </c>
      <c r="K6812" s="54" t="n">
        <f aca="false">(K6787*(1-Assumptions!$E$88)-K6807)*K6811</f>
        <v>-157107.986540559</v>
      </c>
      <c r="L6812" s="54" t="n">
        <f aca="false">(L6787*(1-Assumptions!$E$88)-L6807)*L6811</f>
        <v>-151226.778993387</v>
      </c>
      <c r="M6812" s="54" t="n">
        <f aca="false">(M6787*(1-Assumptions!$E$88)-M6807)*M6811</f>
        <v>-143774.246700948</v>
      </c>
      <c r="N6812" s="54" t="n">
        <f aca="false">(N6787*(1-Assumptions!$E$88)-N6807)*N6811</f>
        <v>-136063.608649818</v>
      </c>
      <c r="P6812" s="55" t="n">
        <f aca="false">SUM(C6812:F6812)</f>
        <v>-944833.28962433</v>
      </c>
      <c r="Q6812" s="55" t="n">
        <f aca="false">SUM(G6812:J6812)</f>
        <v>-691984.523275417</v>
      </c>
      <c r="R6812" s="55" t="n">
        <f aca="false">SUM(K6812:N6812)</f>
        <v>-588172.620884712</v>
      </c>
      <c r="S6812" s="56" t="n">
        <f aca="false">SUM(P6812:R6812)</f>
        <v>-2224990.43378446</v>
      </c>
    </row>
    <row r="6813" customFormat="false" ht="15" hidden="false" customHeight="false" outlineLevel="0" collapsed="false">
      <c r="A6813" s="4" t="s">
        <v>572</v>
      </c>
      <c r="B6813" s="36" t="s">
        <v>125</v>
      </c>
      <c r="C6813" s="54" t="n">
        <f aca="false">(C6807-C6806)*12/(Assumptions!$E$89*Assumptions!$E$76)*Assumptions!$E$90</f>
        <v>189183.585164835</v>
      </c>
      <c r="D6813" s="54" t="n">
        <f aca="false">(D6807-D6806)*12/(Assumptions!$E$89*Assumptions!$E$76)*Assumptions!$E$90</f>
        <v>166297.969021124</v>
      </c>
      <c r="E6813" s="54" t="n">
        <f aca="false">(E6807-E6806)*12/(Assumptions!$E$89*Assumptions!$E$76)*Assumptions!$E$90</f>
        <v>172129.687048271</v>
      </c>
      <c r="F6813" s="54" t="n">
        <f aca="false">(F6807-F6806)*12/(Assumptions!$E$89*Assumptions!$E$76)*Assumptions!$E$90</f>
        <v>175907.509108133</v>
      </c>
      <c r="G6813" s="54" t="n">
        <f aca="false">(G6807-G6806)*12/(Assumptions!$E$89*Assumptions!$E$76)*Assumptions!$E$90</f>
        <v>138823.488236844</v>
      </c>
      <c r="H6813" s="54" t="n">
        <f aca="false">(H6807-H6806)*12/(Assumptions!$E$89*Assumptions!$E$76)*Assumptions!$E$90</f>
        <v>141489.374688245</v>
      </c>
      <c r="I6813" s="54" t="n">
        <f aca="false">(I6807-I6806)*12/(Assumptions!$E$89*Assumptions!$E$76)*Assumptions!$E$90</f>
        <v>171863.855786288</v>
      </c>
      <c r="J6813" s="54" t="n">
        <f aca="false">(J6807-J6806)*12/(Assumptions!$E$89*Assumptions!$E$76)*Assumptions!$E$90</f>
        <v>147814.188777678</v>
      </c>
      <c r="K6813" s="54" t="n">
        <f aca="false">(K6807-K6806)*12/(Assumptions!$E$89*Assumptions!$E$76)*Assumptions!$E$90</f>
        <v>151741.559895223</v>
      </c>
      <c r="L6813" s="54" t="n">
        <f aca="false">(L6807-L6806)*12/(Assumptions!$E$89*Assumptions!$E$76)*Assumptions!$E$90</f>
        <v>153312.280699001</v>
      </c>
      <c r="M6813" s="54" t="n">
        <f aca="false">(M6807-M6806)*12/(Assumptions!$E$89*Assumptions!$E$76)*Assumptions!$E$90</f>
        <v>153462.711658589</v>
      </c>
      <c r="N6813" s="54" t="n">
        <f aca="false">(N6807-N6806)*12/(Assumptions!$E$89*Assumptions!$E$76)*Assumptions!$E$90</f>
        <v>153176.606127684</v>
      </c>
      <c r="P6813" s="55" t="n">
        <f aca="false">SUM(C6813:F6813)</f>
        <v>703518.750342363</v>
      </c>
      <c r="Q6813" s="55" t="n">
        <f aca="false">SUM(G6813:J6813)</f>
        <v>599990.907489054</v>
      </c>
      <c r="R6813" s="55" t="n">
        <f aca="false">SUM(K6813:N6813)</f>
        <v>611693.158380498</v>
      </c>
      <c r="S6813" s="56" t="n">
        <f aca="false">SUM(P6813:R6813)</f>
        <v>1915202.81621191</v>
      </c>
    </row>
    <row r="6814" customFormat="false" ht="15" hidden="false" customHeight="false" outlineLevel="0" collapsed="false">
      <c r="A6814" s="4" t="s">
        <v>573</v>
      </c>
      <c r="B6814" s="36" t="s">
        <v>125</v>
      </c>
      <c r="C6814" s="54" t="n">
        <f aca="false">0*Assumptions!$E$92^(1/4)+C6813</f>
        <v>189183.585164835</v>
      </c>
      <c r="D6814" s="54" t="n">
        <f aca="false">C6814*Assumptions!$E$92^(1/4)+D6813</f>
        <v>355952.749828138</v>
      </c>
      <c r="E6814" s="54" t="n">
        <f aca="false">D6814*Assumptions!$E$92^(1/4)+E6813</f>
        <v>528969.001027282</v>
      </c>
      <c r="F6814" s="54" t="n">
        <f aca="false">E6814*Assumptions!$E$92^(1/4)+F6813</f>
        <v>706194.00228419</v>
      </c>
      <c r="G6814" s="54" t="n">
        <f aca="false">F6814*Assumptions!$E$92^(1/4)+G6813</f>
        <v>846776.393314421</v>
      </c>
      <c r="H6814" s="54" t="n">
        <f aca="false">G6814*Assumptions!$E$92^(1/4)+H6813</f>
        <v>990374.81644935</v>
      </c>
      <c r="I6814" s="54" t="n">
        <f aca="false">H6814*Assumptions!$E$92^(1/4)+I6813</f>
        <v>1164705.37830439</v>
      </c>
      <c r="J6814" s="54" t="n">
        <f aca="false">I6814*Assumptions!$E$92^(1/4)+J6813</f>
        <v>1315420.47467509</v>
      </c>
      <c r="K6814" s="54" t="n">
        <f aca="false">J6814*Assumptions!$E$92^(1/4)+K6813</f>
        <v>1470438.32513622</v>
      </c>
      <c r="L6814" s="54" t="n">
        <f aca="false">K6814*Assumptions!$E$92^(1/4)+L6813</f>
        <v>1627412.99615463</v>
      </c>
      <c r="M6814" s="54" t="n">
        <f aca="false">L6814*Assumptions!$E$92^(1/4)+M6813</f>
        <v>1784929.07169859</v>
      </c>
      <c r="N6814" s="54" t="n">
        <f aca="false">M6814*Assumptions!$E$92^(1/4)+N6813</f>
        <v>1942551.36374269</v>
      </c>
      <c r="P6814" s="55" t="n">
        <f aca="false">F6814</f>
        <v>706194.00228419</v>
      </c>
      <c r="Q6814" s="55" t="n">
        <f aca="false">J6814</f>
        <v>1315420.47467509</v>
      </c>
      <c r="R6814" s="55" t="n">
        <f aca="false">N6814</f>
        <v>1942551.36374269</v>
      </c>
      <c r="S6814" s="56" t="n">
        <f aca="false">R6814</f>
        <v>1942551.36374269</v>
      </c>
    </row>
    <row r="6815" customFormat="false" ht="15" hidden="false" customHeight="false" outlineLevel="0" collapsed="false">
      <c r="A6815" s="4" t="s">
        <v>574</v>
      </c>
      <c r="B6815" s="36" t="s">
        <v>125</v>
      </c>
      <c r="C6815" s="54" t="n">
        <f aca="false">(0+C6814)/8*Assumptions!$E$76-(C6807-C6806)-C6814*Assumptions!$E$93/4</f>
        <v>-260258.807091346</v>
      </c>
      <c r="D6815" s="54" t="n">
        <f aca="false">(C6814+D6814)/8*Assumptions!$E$76-(D6807-D6806)-D6814*Assumptions!$E$93/4</f>
        <v>-200365.259629629</v>
      </c>
      <c r="E6815" s="54" t="n">
        <f aca="false">(D6814+E6814)/8*Assumptions!$E$76-(E6807-E6806)-E6814*Assumptions!$E$93/4</f>
        <v>-183343.990436674</v>
      </c>
      <c r="F6815" s="54" t="n">
        <f aca="false">(E6814+F6814)/8*Assumptions!$E$76-(F6807-F6806)-F6814*Assumptions!$E$93/4</f>
        <v>-162559.055276799</v>
      </c>
      <c r="G6815" s="54" t="n">
        <f aca="false">(F6814+G6814)/8*Assumptions!$E$76-(G6807-G6806)-G6814*Assumptions!$E$93/4</f>
        <v>-84928.6766161505</v>
      </c>
      <c r="H6815" s="54" t="n">
        <f aca="false">(G6814+H6814)/8*Assumptions!$E$76-(H6807-H6806)-H6814*Assumptions!$E$93/4</f>
        <v>-67484.6906286644</v>
      </c>
      <c r="I6815" s="54" t="n">
        <f aca="false">(H6814+I6814)/8*Assumptions!$E$76-(I6807-I6806)-I6814*Assumptions!$E$93/4</f>
        <v>-87706.3430963681</v>
      </c>
      <c r="J6815" s="54" t="n">
        <f aca="false">(I6814+J6814)/8*Assumptions!$E$76-(J6807-J6806)-J6814*Assumptions!$E$93/4</f>
        <v>-28441.9141688343</v>
      </c>
      <c r="K6815" s="54" t="n">
        <f aca="false">(J6814+K6814)/8*Assumptions!$E$76-(K6807-K6806)-K6814*Assumptions!$E$93/4</f>
        <v>-11211.7047615228</v>
      </c>
      <c r="L6815" s="54" t="n">
        <f aca="false">(K6814+L6814)/8*Assumptions!$E$76-(L6807-L6806)-L6814*Assumptions!$E$93/4</f>
        <v>9906.68528216914</v>
      </c>
      <c r="M6815" s="54" t="n">
        <f aca="false">(L6814+M6814)/8*Assumptions!$E$76-(M6807-M6806)-M6814*Assumptions!$E$93/4</f>
        <v>33272.8183322129</v>
      </c>
      <c r="N6815" s="54" t="n">
        <f aca="false">(M6814+N6814)/8*Assumptions!$E$76-(N6807-N6806)-N6814*Assumptions!$E$93/4</f>
        <v>57320.7955928326</v>
      </c>
      <c r="P6815" s="55" t="n">
        <f aca="false">SUM(C6815:F6815)</f>
        <v>-806527.112434448</v>
      </c>
      <c r="Q6815" s="55" t="n">
        <f aca="false">SUM(G6815:J6815)</f>
        <v>-268561.624510017</v>
      </c>
      <c r="R6815" s="55" t="n">
        <f aca="false">SUM(K6815:N6815)</f>
        <v>89288.5944456919</v>
      </c>
      <c r="S6815" s="56" t="n">
        <f aca="false">SUM(P6815:R6815)</f>
        <v>-985800.142498774</v>
      </c>
    </row>
    <row r="6816" customFormat="false" ht="15" hidden="false" customHeight="false" outlineLevel="0" collapsed="false">
      <c r="A6816" s="4" t="s">
        <v>575</v>
      </c>
      <c r="B6816" s="36" t="s">
        <v>125</v>
      </c>
      <c r="C6816" s="54" t="n">
        <f aca="false">C6815*C6811</f>
        <v>-252988.586859998</v>
      </c>
      <c r="D6816" s="54" t="n">
        <f aca="false">D6815*D6811</f>
        <v>-189327.374413174</v>
      </c>
      <c r="E6816" s="54" t="n">
        <f aca="false">E6815*E6811</f>
        <v>-168404.294546942</v>
      </c>
      <c r="F6816" s="54" t="n">
        <f aca="false">F6815*F6811</f>
        <v>-145142.013639999</v>
      </c>
      <c r="G6816" s="54" t="n">
        <f aca="false">G6815*G6811</f>
        <v>-73710.9194481708</v>
      </c>
      <c r="H6816" s="54" t="n">
        <f aca="false">H6815*H6811</f>
        <v>-56934.8560929774</v>
      </c>
      <c r="I6816" s="54" t="n">
        <f aca="false">I6815*I6811</f>
        <v>-71928.2449874374</v>
      </c>
      <c r="J6816" s="54" t="n">
        <f aca="false">J6815*J6811</f>
        <v>-22673.7198412263</v>
      </c>
      <c r="K6816" s="54" t="n">
        <f aca="false">K6815*K6811</f>
        <v>-8688.22585147835</v>
      </c>
      <c r="L6816" s="54" t="n">
        <f aca="false">L6815*L6811</f>
        <v>7462.48222644955</v>
      </c>
      <c r="M6816" s="54" t="n">
        <f aca="false">M6815*M6811</f>
        <v>24363.5195415714</v>
      </c>
      <c r="N6816" s="54" t="n">
        <f aca="false">N6815*N6811</f>
        <v>40799.8100919283</v>
      </c>
      <c r="P6816" s="55" t="n">
        <f aca="false">SUM(C6816:F6816)</f>
        <v>-755862.269460113</v>
      </c>
      <c r="Q6816" s="55" t="n">
        <f aca="false">SUM(G6816:J6816)</f>
        <v>-225247.740369812</v>
      </c>
      <c r="R6816" s="55" t="n">
        <f aca="false">SUM(K6816:N6816)</f>
        <v>63937.5860084709</v>
      </c>
      <c r="S6816" s="56" t="n">
        <f aca="false">SUM(P6816:R6816)</f>
        <v>-917172.423821454</v>
      </c>
    </row>
    <row r="6817" customFormat="false" ht="15" hidden="false" customHeight="false" outlineLevel="0" collapsed="false">
      <c r="A6817" s="4" t="s">
        <v>576</v>
      </c>
      <c r="B6817" s="36"/>
      <c r="C6817" s="37" t="n">
        <f aca="false">IFERROR((S6772*$C$6721*Assumptions!$E$59+S6773*$C$6722*Assumptions!$E$60+S6774*$C$6723*Assumptions!$E$61)/(S6772*$C$6721+S6773*$C$6722+S6774*$C$6723),0.9)</f>
        <v>0.898319201931165</v>
      </c>
    </row>
    <row r="6818" customFormat="false" ht="15" hidden="false" customHeight="false" outlineLevel="0" collapsed="false">
      <c r="A6818" s="4" t="s">
        <v>577</v>
      </c>
      <c r="B6818" s="36"/>
      <c r="C6818" s="37" t="n">
        <f aca="false">IFERROR(N6806*4/N6784,0)</f>
        <v>0.171516028404607</v>
      </c>
    </row>
    <row r="6819" customFormat="false" ht="15" hidden="false" customHeight="false" outlineLevel="0" collapsed="false">
      <c r="A6819" s="4" t="s">
        <v>578</v>
      </c>
      <c r="B6819" s="36"/>
      <c r="C6819" s="60" t="n">
        <f aca="false">$C$6817/(1+Assumptions!$E$87)</f>
        <v>0.802070716009969</v>
      </c>
    </row>
    <row r="6820" customFormat="false" ht="15" hidden="false" customHeight="false" outlineLevel="0" collapsed="false">
      <c r="A6820" s="4" t="s">
        <v>579</v>
      </c>
      <c r="B6820" s="36"/>
      <c r="C6820" s="60" t="n">
        <f aca="false">Assumptions!$E$91/(1+Assumptions!$E$87)</f>
        <v>0.803571428571429</v>
      </c>
    </row>
    <row r="6821" customFormat="false" ht="15" hidden="false" customHeight="false" outlineLevel="0" collapsed="false">
      <c r="A6821" s="35" t="s">
        <v>580</v>
      </c>
      <c r="B6821" s="35" t="s">
        <v>444</v>
      </c>
      <c r="C6821" s="6" t="s">
        <v>354</v>
      </c>
      <c r="D6821" s="6" t="s">
        <v>355</v>
      </c>
      <c r="E6821" s="6" t="s">
        <v>356</v>
      </c>
      <c r="F6821" s="6" t="s">
        <v>357</v>
      </c>
      <c r="G6821" s="6" t="s">
        <v>358</v>
      </c>
      <c r="H6821" s="6" t="s">
        <v>359</v>
      </c>
      <c r="I6821" s="6" t="s">
        <v>360</v>
      </c>
      <c r="J6821" s="6" t="s">
        <v>361</v>
      </c>
      <c r="K6821" s="6" t="s">
        <v>362</v>
      </c>
      <c r="L6821" s="6" t="s">
        <v>363</v>
      </c>
      <c r="M6821" s="6" t="s">
        <v>364</v>
      </c>
      <c r="N6821" s="6" t="s">
        <v>365</v>
      </c>
      <c r="P6821" s="6" t="s">
        <v>445</v>
      </c>
      <c r="Q6821" s="6" t="s">
        <v>446</v>
      </c>
      <c r="R6821" s="6" t="s">
        <v>447</v>
      </c>
      <c r="S6821" s="6" t="s">
        <v>448</v>
      </c>
    </row>
    <row r="6822" customFormat="false" ht="15" hidden="false" customHeight="false" outlineLevel="0" collapsed="false">
      <c r="A6822" s="9" t="s">
        <v>581</v>
      </c>
      <c r="C6822" s="61" t="n">
        <f aca="false">N6784</f>
        <v>383720.918901404</v>
      </c>
      <c r="D6822" s="61"/>
    </row>
    <row r="6823" customFormat="false" ht="15" hidden="false" customHeight="false" outlineLevel="0" collapsed="false">
      <c r="A6823" s="9" t="s">
        <v>582</v>
      </c>
      <c r="C6823" s="62" t="n">
        <f aca="false">N6780</f>
        <v>35.1657414210937</v>
      </c>
      <c r="D6823" s="62"/>
    </row>
    <row r="6824" customFormat="false" ht="15" hidden="false" customHeight="false" outlineLevel="0" collapsed="false">
      <c r="A6824" s="9" t="s">
        <v>583</v>
      </c>
      <c r="C6824" s="63" t="n">
        <f aca="false">S6775</f>
        <v>39.3922931029519</v>
      </c>
      <c r="D6824" s="63"/>
    </row>
    <row r="6825" customFormat="false" ht="15" hidden="false" customHeight="false" outlineLevel="0" collapsed="false">
      <c r="A6825" s="9" t="s">
        <v>584</v>
      </c>
      <c r="C6825" s="61" t="n">
        <f aca="false">S6786</f>
        <v>411715.605241327</v>
      </c>
      <c r="D6825" s="61"/>
    </row>
    <row r="6826" customFormat="false" ht="15" hidden="false" customHeight="false" outlineLevel="0" collapsed="false">
      <c r="A6826" s="9" t="s">
        <v>22</v>
      </c>
      <c r="C6826" s="61" t="n">
        <f aca="false">IFERROR(S6785/S6775,0)</f>
        <v>9175.9529668748</v>
      </c>
      <c r="D6826" s="61"/>
    </row>
    <row r="6827" customFormat="false" ht="15" hidden="false" customHeight="false" outlineLevel="0" collapsed="false">
      <c r="A6827" s="9" t="s">
        <v>585</v>
      </c>
      <c r="C6827" s="61" t="n">
        <f aca="false">IFERROR(S6803/S6775,0)</f>
        <v>52399.0402940331</v>
      </c>
      <c r="D6827" s="61"/>
    </row>
    <row r="6828" customFormat="false" ht="23.85" hidden="false" customHeight="false" outlineLevel="0" collapsed="false">
      <c r="A6828" s="9" t="s">
        <v>586</v>
      </c>
      <c r="C6828" s="61" t="n">
        <f aca="false">IFERROR((S6797+S6799+S6800+S6801+S6802)/S6775,0)</f>
        <v>19657.411017158</v>
      </c>
      <c r="D6828" s="61"/>
    </row>
    <row r="6829" customFormat="false" ht="15" hidden="false" customHeight="false" outlineLevel="0" collapsed="false">
      <c r="A6829" s="9" t="s">
        <v>587</v>
      </c>
      <c r="C6829" s="64" t="n">
        <f aca="false">IFERROR('Engine Runs'!$C$6827/('Engine Runs'!$C$6826*Assumptions!$E$76/12),0)</f>
        <v>105.424134281005</v>
      </c>
      <c r="D6829" s="64"/>
    </row>
    <row r="6830" customFormat="false" ht="15" hidden="false" customHeight="false" outlineLevel="0" collapsed="false">
      <c r="A6830" s="9" t="s">
        <v>588</v>
      </c>
      <c r="C6830" s="64" t="n">
        <f aca="false">IFERROR((R6803/R6775)/((R6785/R6775)*Assumptions!$E$76/12),0)</f>
        <v>77.4909969096291</v>
      </c>
      <c r="D6830" s="64"/>
    </row>
    <row r="6831" customFormat="false" ht="15" hidden="false" customHeight="false" outlineLevel="0" collapsed="false">
      <c r="A6831" s="9" t="s">
        <v>589</v>
      </c>
      <c r="C6831" s="61" t="n">
        <f aca="false">S6807</f>
        <v>2850240.33935254</v>
      </c>
      <c r="D6831" s="61"/>
    </row>
    <row r="6832" customFormat="false" ht="15" hidden="false" customHeight="false" outlineLevel="0" collapsed="false">
      <c r="A6832" s="9" t="s">
        <v>590</v>
      </c>
      <c r="C6832" s="61" t="n">
        <f aca="false">N6810</f>
        <v>-2582625.19594568</v>
      </c>
      <c r="D6832" s="61"/>
    </row>
    <row r="6833" customFormat="false" ht="15" hidden="false" customHeight="false" outlineLevel="0" collapsed="false">
      <c r="A6833" s="9" t="s">
        <v>591</v>
      </c>
      <c r="C6833" s="61" t="n">
        <f aca="false">MIN($C$6810:$N$6810)</f>
        <v>-2582625.19594568</v>
      </c>
      <c r="D6833" s="61"/>
    </row>
    <row r="6834" customFormat="false" ht="15" hidden="false" customHeight="false" outlineLevel="0" collapsed="false">
      <c r="A6834" s="9" t="s">
        <v>592</v>
      </c>
      <c r="C6834" s="61" t="n">
        <f aca="false">N6784*(Assumptions!$E$76-$C$6818)*$C$6817*(1-$C$6817^Assumptions!$E$85)/(1-$C$6817)</f>
        <v>673172.178346593</v>
      </c>
      <c r="D6834" s="61"/>
    </row>
    <row r="6835" customFormat="false" ht="15" hidden="false" customHeight="false" outlineLevel="0" collapsed="false">
      <c r="A6835" s="9" t="s">
        <v>593</v>
      </c>
      <c r="C6835" s="61" t="n">
        <f aca="false">N6784*(Assumptions!$E$76-$C$6818)*(1-Assumptions!$E$88)/(1+Assumptions!$E$87)^2.5*$C$6819*(1-$C$6819^Assumptions!$E$85)/(1-$C$6819)</f>
        <v>299532.555599639</v>
      </c>
      <c r="D6835" s="61"/>
    </row>
    <row r="6836" customFormat="false" ht="15" hidden="false" customHeight="false" outlineLevel="0" collapsed="false">
      <c r="A6836" s="9" t="s">
        <v>594</v>
      </c>
      <c r="C6836" s="61" t="n">
        <f aca="false">SUM($C$6812:$N$6812)+'Engine Runs'!$C$6835</f>
        <v>-1925457.87818482</v>
      </c>
      <c r="D6836" s="61"/>
    </row>
    <row r="6837" customFormat="false" ht="15" hidden="false" customHeight="false" outlineLevel="0" collapsed="false">
      <c r="A6837" s="9" t="s">
        <v>595</v>
      </c>
      <c r="C6837" s="61" t="n">
        <f aca="false">SUM($C$6816:$N$6816)+N6814*(Assumptions!$E$76-Assumptions!$E$93)/(1+Assumptions!$E$87)^2.5*$C$6820*(1-$C$6820^Assumptions!$E$85)/(1-$C$6820)</f>
        <v>1471084.62439888</v>
      </c>
      <c r="D6837" s="61"/>
    </row>
    <row r="6838" customFormat="false" ht="15" hidden="false" customHeight="false" outlineLevel="0" collapsed="false">
      <c r="A6838" s="9" t="s">
        <v>596</v>
      </c>
      <c r="C6838" s="61" t="n">
        <f aca="false">'Engine Runs'!$C$6836-'Engine Runs'!$C$6837</f>
        <v>-3396542.5025837</v>
      </c>
      <c r="D6838" s="61"/>
    </row>
    <row r="6839" customFormat="false" ht="15" hidden="false" customHeight="false" outlineLevel="0" collapsed="false">
      <c r="A6839" s="9" t="s">
        <v>597</v>
      </c>
      <c r="C6839" s="61" t="n">
        <f aca="false">S6771</f>
        <v>0</v>
      </c>
      <c r="D6839" s="61"/>
    </row>
    <row r="6840" customFormat="false" ht="15" hidden="false" customHeight="false" outlineLevel="0" collapsed="false">
      <c r="A6840" s="9" t="s">
        <v>598</v>
      </c>
      <c r="C6840" s="63" t="n">
        <f aca="false">P6755</f>
        <v>43.6188722246667</v>
      </c>
      <c r="D6840" s="63"/>
    </row>
    <row r="6841" customFormat="false" ht="15" hidden="false" customHeight="false" outlineLevel="0" collapsed="false">
      <c r="A6841" s="9" t="s">
        <v>599</v>
      </c>
      <c r="C6841" s="63" t="n">
        <f aca="false">P6775</f>
        <v>6.18260904948639</v>
      </c>
      <c r="D6841" s="63"/>
    </row>
    <row r="6842" customFormat="false" ht="15" hidden="false" customHeight="false" outlineLevel="0" collapsed="false">
      <c r="A6842" s="9" t="s">
        <v>600</v>
      </c>
      <c r="C6842" s="63" t="n">
        <f aca="false">P6751</f>
        <v>42</v>
      </c>
      <c r="D6842" s="63"/>
    </row>
    <row r="6843" customFormat="false" ht="15" hidden="false" customHeight="false" outlineLevel="0" collapsed="false">
      <c r="A6843" s="9" t="s">
        <v>601</v>
      </c>
      <c r="C6843" s="61" t="n">
        <f aca="false">IFERROR(P6785/P6775,0)</f>
        <v>8545.01753177967</v>
      </c>
      <c r="D6843" s="61"/>
    </row>
    <row r="6846" customFormat="false" ht="15" hidden="false" customHeight="true" outlineLevel="0" collapsed="false">
      <c r="A6846" s="78" t="s">
        <v>888</v>
      </c>
      <c r="B6846" s="78"/>
      <c r="C6846" s="78"/>
      <c r="D6846" s="78"/>
      <c r="E6846" s="78"/>
      <c r="F6846" s="78"/>
      <c r="G6846" s="78"/>
      <c r="H6846" s="78"/>
      <c r="I6846" s="78"/>
      <c r="J6846" s="78"/>
      <c r="K6846" s="78"/>
      <c r="L6846" s="78"/>
      <c r="M6846" s="78"/>
      <c r="N6846" s="78"/>
    </row>
    <row r="6847" customFormat="false" ht="15" hidden="false" customHeight="true" outlineLevel="0" collapsed="false">
      <c r="A6847" s="79" t="s">
        <v>889</v>
      </c>
      <c r="B6847" s="79"/>
      <c r="C6847" s="79"/>
      <c r="D6847" s="79"/>
      <c r="E6847" s="79"/>
      <c r="F6847" s="79"/>
      <c r="G6847" s="79"/>
      <c r="H6847" s="79"/>
      <c r="I6847" s="79"/>
      <c r="J6847" s="79"/>
      <c r="K6847" s="79"/>
      <c r="L6847" s="79"/>
      <c r="M6847" s="79"/>
      <c r="N6847" s="79"/>
    </row>
    <row r="6848" customFormat="false" ht="15" hidden="false" customHeight="false" outlineLevel="0" collapsed="false">
      <c r="A6848" s="35" t="s">
        <v>890</v>
      </c>
      <c r="B6848" s="35" t="s">
        <v>444</v>
      </c>
      <c r="C6848" s="6" t="s">
        <v>354</v>
      </c>
      <c r="D6848" s="6" t="s">
        <v>355</v>
      </c>
      <c r="E6848" s="6" t="s">
        <v>356</v>
      </c>
      <c r="F6848" s="6" t="s">
        <v>357</v>
      </c>
      <c r="G6848" s="6" t="s">
        <v>358</v>
      </c>
      <c r="H6848" s="6" t="s">
        <v>359</v>
      </c>
      <c r="I6848" s="6" t="s">
        <v>360</v>
      </c>
      <c r="J6848" s="6" t="s">
        <v>361</v>
      </c>
      <c r="K6848" s="6" t="s">
        <v>362</v>
      </c>
      <c r="L6848" s="6" t="s">
        <v>363</v>
      </c>
      <c r="M6848" s="6" t="s">
        <v>364</v>
      </c>
      <c r="N6848" s="6" t="s">
        <v>365</v>
      </c>
      <c r="P6848" s="6" t="s">
        <v>445</v>
      </c>
      <c r="Q6848" s="6" t="s">
        <v>446</v>
      </c>
      <c r="R6848" s="6" t="s">
        <v>447</v>
      </c>
      <c r="S6848" s="6" t="s">
        <v>448</v>
      </c>
    </row>
    <row r="6849" customFormat="false" ht="15" hidden="false" customHeight="false" outlineLevel="0" collapsed="false">
      <c r="A6849" s="4" t="s">
        <v>449</v>
      </c>
      <c r="B6849" s="36" t="s">
        <v>450</v>
      </c>
      <c r="C6849" s="34" t="n">
        <f aca="false">'Market Sizing'!$C$17*Assumptions!$E$10*Assumptions!$E$11*(1-Assumptions!$E$12)</f>
        <v>843.03944704</v>
      </c>
    </row>
    <row r="6850" customFormat="false" ht="15" hidden="false" customHeight="false" outlineLevel="0" collapsed="false">
      <c r="A6850" s="4" t="s">
        <v>451</v>
      </c>
      <c r="B6850" s="36" t="s">
        <v>450</v>
      </c>
      <c r="C6850" s="34" t="n">
        <f aca="false">'Market Sizing'!$D$17*Assumptions!$E$10*Assumptions!$E$11*(1-Assumptions!$E$12)</f>
        <v>211.19616</v>
      </c>
    </row>
    <row r="6851" customFormat="false" ht="15" hidden="false" customHeight="false" outlineLevel="0" collapsed="false">
      <c r="A6851" s="4" t="s">
        <v>452</v>
      </c>
      <c r="B6851" s="36" t="s">
        <v>450</v>
      </c>
      <c r="C6851" s="34" t="n">
        <f aca="false">'Market Sizing'!$E$17*Assumptions!$E$10*Assumptions!$E$11*(1-Assumptions!$E$12)</f>
        <v>49.53984</v>
      </c>
    </row>
    <row r="6852" customFormat="false" ht="15" hidden="false" customHeight="false" outlineLevel="0" collapsed="false">
      <c r="A6852" s="4" t="s">
        <v>453</v>
      </c>
      <c r="B6852" s="36"/>
      <c r="C6852" s="34" t="n">
        <f aca="false">$C$6849+$C$6850+$C$6851</f>
        <v>1103.77544704</v>
      </c>
    </row>
    <row r="6853" customFormat="false" ht="15" hidden="false" customHeight="false" outlineLevel="0" collapsed="false">
      <c r="A6853" s="4" t="s">
        <v>454</v>
      </c>
      <c r="B6853" s="36" t="s">
        <v>450</v>
      </c>
      <c r="C6853" s="34" t="n">
        <f aca="false">'Market Sizing'!$C$18*Assumptions!$E$10*Assumptions!$E$11*(1-Assumptions!$E$12)</f>
        <v>612.57706944</v>
      </c>
    </row>
    <row r="6854" customFormat="false" ht="15" hidden="false" customHeight="false" outlineLevel="0" collapsed="false">
      <c r="A6854" s="4" t="s">
        <v>455</v>
      </c>
      <c r="B6854" s="36" t="s">
        <v>450</v>
      </c>
      <c r="C6854" s="34" t="n">
        <f aca="false">'Market Sizing'!$D$18*Assumptions!$E$10*Assumptions!$E$11*(1-Assumptions!$E$12)</f>
        <v>142.10112</v>
      </c>
    </row>
    <row r="6855" customFormat="false" ht="15" hidden="false" customHeight="false" outlineLevel="0" collapsed="false">
      <c r="A6855" s="4" t="s">
        <v>456</v>
      </c>
      <c r="B6855" s="36" t="s">
        <v>450</v>
      </c>
      <c r="C6855" s="34" t="n">
        <f aca="false">'Market Sizing'!$E$18*Assumptions!$E$10*Assumptions!$E$11*(1-Assumptions!$E$12)</f>
        <v>24.76992</v>
      </c>
    </row>
    <row r="6856" customFormat="false" ht="15" hidden="false" customHeight="false" outlineLevel="0" collapsed="false">
      <c r="A6856" s="4" t="s">
        <v>457</v>
      </c>
      <c r="B6856" s="36"/>
      <c r="C6856" s="34" t="n">
        <f aca="false">$C$6853+$C$6854+$C$6855</f>
        <v>779.44810944</v>
      </c>
    </row>
    <row r="6857" customFormat="false" ht="15" hidden="false" customHeight="false" outlineLevel="0" collapsed="false">
      <c r="A6857" s="4" t="s">
        <v>458</v>
      </c>
      <c r="B6857" s="36" t="s">
        <v>450</v>
      </c>
      <c r="C6857" s="34" t="n">
        <f aca="false">'Market Sizing'!$C$19*Assumptions!$E$10*Assumptions!$E$11*(1-Assumptions!$E$12)</f>
        <v>2060.77303936</v>
      </c>
    </row>
    <row r="6858" customFormat="false" ht="15" hidden="false" customHeight="false" outlineLevel="0" collapsed="false">
      <c r="A6858" s="4" t="s">
        <v>459</v>
      </c>
      <c r="B6858" s="36" t="s">
        <v>450</v>
      </c>
      <c r="C6858" s="34" t="n">
        <f aca="false">'Market Sizing'!$D$19*Assumptions!$E$10*Assumptions!$E$11*(1-Assumptions!$E$12)</f>
        <v>428.47616</v>
      </c>
    </row>
    <row r="6859" customFormat="false" ht="15" hidden="false" customHeight="false" outlineLevel="0" collapsed="false">
      <c r="A6859" s="4" t="s">
        <v>460</v>
      </c>
      <c r="B6859" s="36" t="s">
        <v>450</v>
      </c>
      <c r="C6859" s="34" t="n">
        <f aca="false">'Market Sizing'!$E$19*Assumptions!$E$10*Assumptions!$E$11*(1-Assumptions!$E$12)</f>
        <v>79.52448</v>
      </c>
    </row>
    <row r="6860" customFormat="false" ht="15" hidden="false" customHeight="false" outlineLevel="0" collapsed="false">
      <c r="A6860" s="4" t="s">
        <v>461</v>
      </c>
      <c r="B6860" s="36"/>
      <c r="C6860" s="34" t="n">
        <f aca="false">$C$6857+$C$6858+$C$6859</f>
        <v>2568.77367936</v>
      </c>
    </row>
    <row r="6861" customFormat="false" ht="15" hidden="false" customHeight="false" outlineLevel="0" collapsed="false">
      <c r="A6861" s="4" t="s">
        <v>462</v>
      </c>
      <c r="B6861" s="36" t="s">
        <v>463</v>
      </c>
      <c r="C6861" s="33" t="n">
        <f aca="false">MAX((Assumptions!$E$51+Assumptions!$E$53)*12,(((('Market Sizing'!$E$25*Assumptions!$E$41*Assumptions!$E$42*Assumptions!$E$43)*Assumptions!$E$44)*Assumptions!$E$45*Assumptions!$E$46+('Market Sizing'!$E$25*Assumptions!$E$41*Assumptions!$E$42*Assumptions!$E$43)*Assumptions!$E$47+('Market Sizing'!$E$25*Assumptions!$E$41*Assumptions!$E$42*Assumptions!$E$43)*Assumptions!$E$48*Assumptions!$E$49)*(Assumptions!$E$51*12/Assumptions!$E$52)+((('Market Sizing'!$E$25*Assumptions!$E$41*Assumptions!$E$42*Assumptions!$E$43)*Assumptions!$E$44)*Assumptions!$E$45+('Market Sizing'!$E$25*Assumptions!$E$41*Assumptions!$E$42*Assumptions!$E$43)+('Market Sizing'!$E$25*Assumptions!$E$41*Assumptions!$E$42*Assumptions!$E$43)*Assumptions!$E$48)*Assumptions!$E$50*(Assumptions!$E$53*12/Assumptions!$E$54)))</f>
        <v>5352</v>
      </c>
    </row>
    <row r="6862" customFormat="false" ht="15" hidden="false" customHeight="false" outlineLevel="0" collapsed="false">
      <c r="A6862" s="4" t="s">
        <v>464</v>
      </c>
      <c r="B6862" s="36" t="s">
        <v>463</v>
      </c>
      <c r="C6862" s="33" t="n">
        <f aca="false">MAX((Assumptions!$E$51+Assumptions!$E$53)*12,(((('Market Sizing'!$E$26*Assumptions!$E$41*Assumptions!$E$42*Assumptions!$E$43)*Assumptions!$E$44)*Assumptions!$E$45*Assumptions!$E$46+('Market Sizing'!$E$26*Assumptions!$E$41*Assumptions!$E$42*Assumptions!$E$43)*Assumptions!$E$47+('Market Sizing'!$E$26*Assumptions!$E$41*Assumptions!$E$42*Assumptions!$E$43)*Assumptions!$E$48*Assumptions!$E$49)*(Assumptions!$E$51*12/Assumptions!$E$52)+((('Market Sizing'!$E$26*Assumptions!$E$41*Assumptions!$E$42*Assumptions!$E$43)*Assumptions!$E$44)*Assumptions!$E$45+('Market Sizing'!$E$26*Assumptions!$E$41*Assumptions!$E$42*Assumptions!$E$43)+('Market Sizing'!$E$26*Assumptions!$E$41*Assumptions!$E$42*Assumptions!$E$43)*Assumptions!$E$48)*Assumptions!$E$50*(Assumptions!$E$53*12/Assumptions!$E$54)))</f>
        <v>9766.72012875208</v>
      </c>
    </row>
    <row r="6863" customFormat="false" ht="15" hidden="false" customHeight="false" outlineLevel="0" collapsed="false">
      <c r="A6863" s="4" t="s">
        <v>465</v>
      </c>
      <c r="B6863" s="36" t="s">
        <v>463</v>
      </c>
      <c r="C6863" s="33" t="n">
        <f aca="false">MAX(Assumptions!$E$55*(Assumptions!$E$51*12/Assumptions!$E$52)+Assumptions!$E$56*(Assumptions!$E$53*12/Assumptions!$E$54),(((('Market Sizing'!$E$27*Assumptions!$E$41*Assumptions!$E$42*Assumptions!$E$43)*Assumptions!$E$44)*Assumptions!$E$45*Assumptions!$E$46+('Market Sizing'!$E$27*Assumptions!$E$41*Assumptions!$E$42*Assumptions!$E$43)*Assumptions!$E$47+('Market Sizing'!$E$27*Assumptions!$E$41*Assumptions!$E$42*Assumptions!$E$43)*Assumptions!$E$48*Assumptions!$E$49)*(Assumptions!$E$51*12/Assumptions!$E$52)+((('Market Sizing'!$E$27*Assumptions!$E$41*Assumptions!$E$42*Assumptions!$E$43)*Assumptions!$E$44)*Assumptions!$E$45+('Market Sizing'!$E$27*Assumptions!$E$41*Assumptions!$E$42*Assumptions!$E$43)+('Market Sizing'!$E$27*Assumptions!$E$41*Assumptions!$E$42*Assumptions!$E$43)*Assumptions!$E$48)*Assumptions!$E$50*(Assumptions!$E$53*12/Assumptions!$E$54)))*(1-Assumptions!$E$57)</f>
        <v>61778.2562194386</v>
      </c>
    </row>
    <row r="6864" customFormat="false" ht="23.85" hidden="false" customHeight="false" outlineLevel="0" collapsed="false">
      <c r="A6864" s="4" t="s">
        <v>466</v>
      </c>
      <c r="B6864" s="36" t="s">
        <v>467</v>
      </c>
      <c r="C6864" s="37" t="n">
        <f aca="false">Assumptions!$E$17*Assumptions!$D$106</f>
        <v>0.4</v>
      </c>
    </row>
    <row r="6865" customFormat="false" ht="23.85" hidden="false" customHeight="false" outlineLevel="0" collapsed="false">
      <c r="A6865" s="4" t="s">
        <v>468</v>
      </c>
      <c r="B6865" s="36" t="s">
        <v>469</v>
      </c>
      <c r="C6865" s="33" t="n">
        <f aca="false">Assumptions!$E$68/Assumptions!$E$69</f>
        <v>285714.285714286</v>
      </c>
    </row>
    <row r="6866" customFormat="false" ht="23.85" hidden="false" customHeight="false" outlineLevel="0" collapsed="false">
      <c r="A6866" s="4" t="s">
        <v>470</v>
      </c>
      <c r="B6866" s="36" t="s">
        <v>471</v>
      </c>
      <c r="C6866" s="33" t="n">
        <f aca="false">Assumptions!$E$66*Assumptions!$E$67/4</f>
        <v>153125</v>
      </c>
    </row>
    <row r="6867" customFormat="false" ht="15" hidden="false" customHeight="false" outlineLevel="0" collapsed="false">
      <c r="A6867" s="4" t="s">
        <v>472</v>
      </c>
      <c r="B6867" s="36"/>
      <c r="C6867" s="38" t="n">
        <f aca="false">$C$6865/Assumptions!$E$66/Assumptions!$E$67</f>
        <v>0.466472303206997</v>
      </c>
    </row>
    <row r="6868" customFormat="false" ht="15" hidden="false" customHeight="false" outlineLevel="0" collapsed="false">
      <c r="A6868" s="4" t="s">
        <v>473</v>
      </c>
      <c r="B6868" s="36"/>
      <c r="C6868" s="33" t="n">
        <f aca="false">MAX(0,Assumptions!$D$103-Assumptions!$E$78)</f>
        <v>0</v>
      </c>
    </row>
    <row r="6869" customFormat="false" ht="15" hidden="false" customHeight="false" outlineLevel="0" collapsed="false">
      <c r="A6869" s="35" t="s">
        <v>474</v>
      </c>
      <c r="B6869" s="35" t="s">
        <v>444</v>
      </c>
      <c r="C6869" s="6" t="s">
        <v>354</v>
      </c>
      <c r="D6869" s="6" t="s">
        <v>355</v>
      </c>
      <c r="E6869" s="6" t="s">
        <v>356</v>
      </c>
      <c r="F6869" s="6" t="s">
        <v>357</v>
      </c>
      <c r="G6869" s="6" t="s">
        <v>358</v>
      </c>
      <c r="H6869" s="6" t="s">
        <v>359</v>
      </c>
      <c r="I6869" s="6" t="s">
        <v>360</v>
      </c>
      <c r="J6869" s="6" t="s">
        <v>361</v>
      </c>
      <c r="K6869" s="6" t="s">
        <v>362</v>
      </c>
      <c r="L6869" s="6" t="s">
        <v>363</v>
      </c>
      <c r="M6869" s="6" t="s">
        <v>364</v>
      </c>
      <c r="N6869" s="6" t="s">
        <v>365</v>
      </c>
      <c r="P6869" s="6" t="s">
        <v>445</v>
      </c>
      <c r="Q6869" s="6" t="s">
        <v>446</v>
      </c>
      <c r="R6869" s="6" t="s">
        <v>447</v>
      </c>
      <c r="S6869" s="6" t="s">
        <v>448</v>
      </c>
    </row>
    <row r="6870" customFormat="false" ht="15" hidden="false" customHeight="false" outlineLevel="0" collapsed="false">
      <c r="A6870" s="4" t="s">
        <v>475</v>
      </c>
      <c r="B6870" s="36" t="s">
        <v>133</v>
      </c>
      <c r="C6870" s="39" t="n">
        <v>1</v>
      </c>
      <c r="D6870" s="39" t="n">
        <v>2</v>
      </c>
      <c r="E6870" s="39" t="n">
        <v>3</v>
      </c>
      <c r="F6870" s="39" t="n">
        <v>4</v>
      </c>
      <c r="G6870" s="39" t="n">
        <v>5</v>
      </c>
      <c r="H6870" s="39" t="n">
        <v>6</v>
      </c>
      <c r="I6870" s="39" t="n">
        <v>7</v>
      </c>
      <c r="J6870" s="39" t="n">
        <v>8</v>
      </c>
      <c r="K6870" s="39" t="n">
        <v>9</v>
      </c>
      <c r="L6870" s="39" t="n">
        <v>10</v>
      </c>
      <c r="M6870" s="39" t="n">
        <v>11</v>
      </c>
      <c r="N6870" s="39" t="n">
        <v>12</v>
      </c>
      <c r="P6870" s="40"/>
      <c r="Q6870" s="40"/>
      <c r="R6870" s="40"/>
      <c r="S6870" s="41"/>
    </row>
    <row r="6871" customFormat="false" ht="15" hidden="false" customHeight="false" outlineLevel="0" collapsed="false">
      <c r="A6871" s="4" t="s">
        <v>476</v>
      </c>
      <c r="B6871" s="36" t="s">
        <v>343</v>
      </c>
      <c r="C6871" s="39" t="n">
        <f aca="false">IF(C6870&lt;=Assumptions!$E$84,1,0)</f>
        <v>1</v>
      </c>
      <c r="D6871" s="39" t="n">
        <f aca="false">IF(D6870&lt;=Assumptions!$E$84,1,0)</f>
        <v>1</v>
      </c>
      <c r="E6871" s="39" t="n">
        <f aca="false">IF(E6870&lt;=Assumptions!$E$84,1,0)</f>
        <v>1</v>
      </c>
      <c r="F6871" s="39" t="n">
        <f aca="false">IF(F6870&lt;=Assumptions!$E$84,1,0)</f>
        <v>1</v>
      </c>
      <c r="G6871" s="39" t="n">
        <f aca="false">IF(G6870&lt;=Assumptions!$E$84,1,0)</f>
        <v>1</v>
      </c>
      <c r="H6871" s="39" t="n">
        <f aca="false">IF(H6870&lt;=Assumptions!$E$84,1,0)</f>
        <v>1</v>
      </c>
      <c r="I6871" s="39" t="n">
        <f aca="false">IF(I6870&lt;=Assumptions!$E$84,1,0)</f>
        <v>1</v>
      </c>
      <c r="J6871" s="39" t="n">
        <f aca="false">IF(J6870&lt;=Assumptions!$E$84,1,0)</f>
        <v>1</v>
      </c>
      <c r="K6871" s="39" t="n">
        <f aca="false">IF(K6870&lt;=Assumptions!$E$84,1,0)</f>
        <v>1</v>
      </c>
      <c r="L6871" s="39" t="n">
        <f aca="false">IF(L6870&lt;=Assumptions!$E$84,1,0)</f>
        <v>1</v>
      </c>
      <c r="M6871" s="39" t="n">
        <f aca="false">IF(M6870&lt;=Assumptions!$E$84,1,0)</f>
        <v>1</v>
      </c>
      <c r="N6871" s="39" t="n">
        <f aca="false">IF(N6870&lt;=Assumptions!$E$84,1,0)</f>
        <v>1</v>
      </c>
      <c r="P6871" s="40"/>
      <c r="Q6871" s="40"/>
      <c r="R6871" s="40"/>
      <c r="S6871" s="41"/>
    </row>
    <row r="6872" customFormat="false" ht="15" hidden="false" customHeight="false" outlineLevel="0" collapsed="false">
      <c r="A6872" s="4" t="s">
        <v>477</v>
      </c>
      <c r="B6872" s="36" t="s">
        <v>478</v>
      </c>
      <c r="C6872" s="42" t="n">
        <f aca="false">IF(C6870=Assumptions!$E$13,0.5,IF(C6870&gt;Assumptions!$E$13,1,0))</f>
        <v>0.5</v>
      </c>
      <c r="D6872" s="42" t="n">
        <f aca="false">IF(D6870=Assumptions!$E$13,0.5,IF(D6870&gt;Assumptions!$E$13,1,0))</f>
        <v>1</v>
      </c>
      <c r="E6872" s="42" t="n">
        <f aca="false">IF(E6870=Assumptions!$E$13,0.5,IF(E6870&gt;Assumptions!$E$13,1,0))</f>
        <v>1</v>
      </c>
      <c r="F6872" s="42" t="n">
        <f aca="false">IF(F6870=Assumptions!$E$13,0.5,IF(F6870&gt;Assumptions!$E$13,1,0))</f>
        <v>1</v>
      </c>
      <c r="G6872" s="42" t="n">
        <f aca="false">IF(G6870=Assumptions!$E$13,0.5,IF(G6870&gt;Assumptions!$E$13,1,0))</f>
        <v>1</v>
      </c>
      <c r="H6872" s="42" t="n">
        <f aca="false">IF(H6870=Assumptions!$E$13,0.5,IF(H6870&gt;Assumptions!$E$13,1,0))</f>
        <v>1</v>
      </c>
      <c r="I6872" s="42" t="n">
        <f aca="false">IF(I6870=Assumptions!$E$13,0.5,IF(I6870&gt;Assumptions!$E$13,1,0))</f>
        <v>1</v>
      </c>
      <c r="J6872" s="42" t="n">
        <f aca="false">IF(J6870=Assumptions!$E$13,0.5,IF(J6870&gt;Assumptions!$E$13,1,0))</f>
        <v>1</v>
      </c>
      <c r="K6872" s="42" t="n">
        <f aca="false">IF(K6870=Assumptions!$E$13,0.5,IF(K6870&gt;Assumptions!$E$13,1,0))</f>
        <v>1</v>
      </c>
      <c r="L6872" s="42" t="n">
        <f aca="false">IF(L6870=Assumptions!$E$13,0.5,IF(L6870&gt;Assumptions!$E$13,1,0))</f>
        <v>1</v>
      </c>
      <c r="M6872" s="42" t="n">
        <f aca="false">IF(M6870=Assumptions!$E$13,0.5,IF(M6870&gt;Assumptions!$E$13,1,0))</f>
        <v>1</v>
      </c>
      <c r="N6872" s="42" t="n">
        <f aca="false">IF(N6870=Assumptions!$E$13,0.5,IF(N6870&gt;Assumptions!$E$13,1,0))</f>
        <v>1</v>
      </c>
      <c r="P6872" s="43"/>
      <c r="Q6872" s="43"/>
      <c r="R6872" s="43"/>
      <c r="S6872" s="44"/>
    </row>
    <row r="6873" customFormat="false" ht="15" hidden="false" customHeight="false" outlineLevel="0" collapsed="false">
      <c r="A6873" s="4" t="s">
        <v>479</v>
      </c>
      <c r="B6873" s="36" t="s">
        <v>478</v>
      </c>
      <c r="C6873" s="42" t="n">
        <f aca="false">IF(C6870=Assumptions!$F$14,0.5,IF(C6870&gt;Assumptions!$F$14,1,0))</f>
        <v>0</v>
      </c>
      <c r="D6873" s="42" t="n">
        <f aca="false">IF(D6870=Assumptions!$F$14,0.5,IF(D6870&gt;Assumptions!$F$14,1,0))</f>
        <v>0</v>
      </c>
      <c r="E6873" s="42" t="n">
        <f aca="false">IF(E6870=Assumptions!$F$14,0.5,IF(E6870&gt;Assumptions!$F$14,1,0))</f>
        <v>0</v>
      </c>
      <c r="F6873" s="42" t="n">
        <f aca="false">IF(F6870=Assumptions!$F$14,0.5,IF(F6870&gt;Assumptions!$F$14,1,0))</f>
        <v>0.5</v>
      </c>
      <c r="G6873" s="42" t="n">
        <f aca="false">IF(G6870=Assumptions!$F$14,0.5,IF(G6870&gt;Assumptions!$F$14,1,0))</f>
        <v>1</v>
      </c>
      <c r="H6873" s="42" t="n">
        <f aca="false">IF(H6870=Assumptions!$F$14,0.5,IF(H6870&gt;Assumptions!$F$14,1,0))</f>
        <v>1</v>
      </c>
      <c r="I6873" s="42" t="n">
        <f aca="false">IF(I6870=Assumptions!$F$14,0.5,IF(I6870&gt;Assumptions!$F$14,1,0))</f>
        <v>1</v>
      </c>
      <c r="J6873" s="42" t="n">
        <f aca="false">IF(J6870=Assumptions!$F$14,0.5,IF(J6870&gt;Assumptions!$F$14,1,0))</f>
        <v>1</v>
      </c>
      <c r="K6873" s="42" t="n">
        <f aca="false">IF(K6870=Assumptions!$F$14,0.5,IF(K6870&gt;Assumptions!$F$14,1,0))</f>
        <v>1</v>
      </c>
      <c r="L6873" s="42" t="n">
        <f aca="false">IF(L6870=Assumptions!$F$14,0.5,IF(L6870&gt;Assumptions!$F$14,1,0))</f>
        <v>1</v>
      </c>
      <c r="M6873" s="42" t="n">
        <f aca="false">IF(M6870=Assumptions!$F$14,0.5,IF(M6870&gt;Assumptions!$F$14,1,0))</f>
        <v>1</v>
      </c>
      <c r="N6873" s="42" t="n">
        <f aca="false">IF(N6870=Assumptions!$F$14,0.5,IF(N6870&gt;Assumptions!$F$14,1,0))</f>
        <v>1</v>
      </c>
      <c r="P6873" s="43"/>
      <c r="Q6873" s="43"/>
      <c r="R6873" s="43"/>
      <c r="S6873" s="44"/>
    </row>
    <row r="6874" customFormat="false" ht="15" hidden="false" customHeight="false" outlineLevel="0" collapsed="false">
      <c r="A6874" s="4" t="s">
        <v>480</v>
      </c>
      <c r="B6874" s="36" t="s">
        <v>478</v>
      </c>
      <c r="C6874" s="42" t="n">
        <f aca="false">IF(C6870=Assumptions!$F$15,0.5,IF(C6870&gt;Assumptions!$F$15,1,0))</f>
        <v>0</v>
      </c>
      <c r="D6874" s="42" t="n">
        <f aca="false">IF(D6870=Assumptions!$F$15,0.5,IF(D6870&gt;Assumptions!$F$15,1,0))</f>
        <v>0</v>
      </c>
      <c r="E6874" s="42" t="n">
        <f aca="false">IF(E6870=Assumptions!$F$15,0.5,IF(E6870&gt;Assumptions!$F$15,1,0))</f>
        <v>0</v>
      </c>
      <c r="F6874" s="42" t="n">
        <f aca="false">IF(F6870=Assumptions!$F$15,0.5,IF(F6870&gt;Assumptions!$F$15,1,0))</f>
        <v>0</v>
      </c>
      <c r="G6874" s="42" t="n">
        <f aca="false">IF(G6870=Assumptions!$F$15,0.5,IF(G6870&gt;Assumptions!$F$15,1,0))</f>
        <v>0</v>
      </c>
      <c r="H6874" s="42" t="n">
        <f aca="false">IF(H6870=Assumptions!$F$15,0.5,IF(H6870&gt;Assumptions!$F$15,1,0))</f>
        <v>0.5</v>
      </c>
      <c r="I6874" s="42" t="n">
        <f aca="false">IF(I6870=Assumptions!$F$15,0.5,IF(I6870&gt;Assumptions!$F$15,1,0))</f>
        <v>1</v>
      </c>
      <c r="J6874" s="42" t="n">
        <f aca="false">IF(J6870=Assumptions!$F$15,0.5,IF(J6870&gt;Assumptions!$F$15,1,0))</f>
        <v>1</v>
      </c>
      <c r="K6874" s="42" t="n">
        <f aca="false">IF(K6870=Assumptions!$F$15,0.5,IF(K6870&gt;Assumptions!$F$15,1,0))</f>
        <v>1</v>
      </c>
      <c r="L6874" s="42" t="n">
        <f aca="false">IF(L6870=Assumptions!$F$15,0.5,IF(L6870&gt;Assumptions!$F$15,1,0))</f>
        <v>1</v>
      </c>
      <c r="M6874" s="42" t="n">
        <f aca="false">IF(M6870=Assumptions!$F$15,0.5,IF(M6870&gt;Assumptions!$F$15,1,0))</f>
        <v>1</v>
      </c>
      <c r="N6874" s="42" t="n">
        <f aca="false">IF(N6870=Assumptions!$F$15,0.5,IF(N6870&gt;Assumptions!$F$15,1,0))</f>
        <v>1</v>
      </c>
      <c r="P6874" s="43"/>
      <c r="Q6874" s="43"/>
      <c r="R6874" s="43"/>
      <c r="S6874" s="44"/>
    </row>
    <row r="6875" customFormat="false" ht="15" hidden="false" customHeight="false" outlineLevel="0" collapsed="false">
      <c r="A6875" s="4" t="s">
        <v>481</v>
      </c>
      <c r="B6875" s="36" t="s">
        <v>478</v>
      </c>
      <c r="C6875" s="45" t="n">
        <f aca="false">Assumptions!$E$21^(MAX(0,C6870-Assumptions!$E$13)/4)</f>
        <v>1</v>
      </c>
      <c r="D6875" s="45" t="n">
        <f aca="false">Assumptions!$E$21^(MAX(0,D6870-Assumptions!$E$13)/4)</f>
        <v>0.9306048591021</v>
      </c>
      <c r="E6875" s="45" t="n">
        <f aca="false">Assumptions!$E$21^(MAX(0,E6870-Assumptions!$E$13)/4)</f>
        <v>0.866025403784439</v>
      </c>
      <c r="F6875" s="45" t="n">
        <f aca="false">Assumptions!$E$21^(MAX(0,F6870-Assumptions!$E$13)/4)</f>
        <v>0.805927448867656</v>
      </c>
      <c r="G6875" s="45" t="n">
        <f aca="false">Assumptions!$E$21^(MAX(0,G6870-Assumptions!$E$13)/4)</f>
        <v>0.75</v>
      </c>
      <c r="H6875" s="45" t="n">
        <f aca="false">Assumptions!$E$21^(MAX(0,H6870-Assumptions!$E$13)/4)</f>
        <v>0.697953644326575</v>
      </c>
      <c r="I6875" s="45" t="n">
        <f aca="false">Assumptions!$E$21^(MAX(0,I6870-Assumptions!$E$13)/4)</f>
        <v>0.649519052838329</v>
      </c>
      <c r="J6875" s="45" t="n">
        <f aca="false">Assumptions!$E$21^(MAX(0,J6870-Assumptions!$E$13)/4)</f>
        <v>0.604445586650742</v>
      </c>
      <c r="K6875" s="45" t="n">
        <f aca="false">Assumptions!$E$21^(MAX(0,K6870-Assumptions!$E$13)/4)</f>
        <v>0.5625</v>
      </c>
      <c r="L6875" s="45" t="n">
        <f aca="false">Assumptions!$E$21^(MAX(0,L6870-Assumptions!$E$13)/4)</f>
        <v>0.523465233244931</v>
      </c>
      <c r="M6875" s="45" t="n">
        <f aca="false">Assumptions!$E$21^(MAX(0,M6870-Assumptions!$E$13)/4)</f>
        <v>0.487139289628747</v>
      </c>
      <c r="N6875" s="45" t="n">
        <f aca="false">Assumptions!$E$21^(MAX(0,N6870-Assumptions!$E$13)/4)</f>
        <v>0.453334189988057</v>
      </c>
      <c r="P6875" s="46"/>
      <c r="Q6875" s="46"/>
      <c r="R6875" s="46"/>
      <c r="S6875" s="47"/>
    </row>
    <row r="6876" customFormat="false" ht="15" hidden="false" customHeight="false" outlineLevel="0" collapsed="false">
      <c r="A6876" s="4" t="s">
        <v>482</v>
      </c>
      <c r="B6876" s="36" t="s">
        <v>478</v>
      </c>
      <c r="C6876" s="45" t="n">
        <f aca="false">Assumptions!$E$21^(MAX(0,C6870-Assumptions!$F$14)/4)</f>
        <v>1</v>
      </c>
      <c r="D6876" s="45" t="n">
        <f aca="false">Assumptions!$E$21^(MAX(0,D6870-Assumptions!$F$14)/4)</f>
        <v>1</v>
      </c>
      <c r="E6876" s="45" t="n">
        <f aca="false">Assumptions!$E$21^(MAX(0,E6870-Assumptions!$F$14)/4)</f>
        <v>1</v>
      </c>
      <c r="F6876" s="45" t="n">
        <f aca="false">Assumptions!$E$21^(MAX(0,F6870-Assumptions!$F$14)/4)</f>
        <v>1</v>
      </c>
      <c r="G6876" s="45" t="n">
        <f aca="false">Assumptions!$E$21^(MAX(0,G6870-Assumptions!$F$14)/4)</f>
        <v>0.9306048591021</v>
      </c>
      <c r="H6876" s="45" t="n">
        <f aca="false">Assumptions!$E$21^(MAX(0,H6870-Assumptions!$F$14)/4)</f>
        <v>0.866025403784439</v>
      </c>
      <c r="I6876" s="45" t="n">
        <f aca="false">Assumptions!$E$21^(MAX(0,I6870-Assumptions!$F$14)/4)</f>
        <v>0.805927448867656</v>
      </c>
      <c r="J6876" s="45" t="n">
        <f aca="false">Assumptions!$E$21^(MAX(0,J6870-Assumptions!$F$14)/4)</f>
        <v>0.75</v>
      </c>
      <c r="K6876" s="45" t="n">
        <f aca="false">Assumptions!$E$21^(MAX(0,K6870-Assumptions!$F$14)/4)</f>
        <v>0.697953644326575</v>
      </c>
      <c r="L6876" s="45" t="n">
        <f aca="false">Assumptions!$E$21^(MAX(0,L6870-Assumptions!$F$14)/4)</f>
        <v>0.649519052838329</v>
      </c>
      <c r="M6876" s="45" t="n">
        <f aca="false">Assumptions!$E$21^(MAX(0,M6870-Assumptions!$F$14)/4)</f>
        <v>0.604445586650742</v>
      </c>
      <c r="N6876" s="45" t="n">
        <f aca="false">Assumptions!$E$21^(MAX(0,N6870-Assumptions!$F$14)/4)</f>
        <v>0.5625</v>
      </c>
      <c r="P6876" s="46"/>
      <c r="Q6876" s="46"/>
      <c r="R6876" s="46"/>
      <c r="S6876" s="47"/>
    </row>
    <row r="6877" customFormat="false" ht="15" hidden="false" customHeight="false" outlineLevel="0" collapsed="false">
      <c r="A6877" s="4" t="s">
        <v>483</v>
      </c>
      <c r="B6877" s="36" t="s">
        <v>478</v>
      </c>
      <c r="C6877" s="45" t="n">
        <f aca="false">Assumptions!$E$21^(MAX(0,C6870-Assumptions!$F$15)/4)</f>
        <v>1</v>
      </c>
      <c r="D6877" s="45" t="n">
        <f aca="false">Assumptions!$E$21^(MAX(0,D6870-Assumptions!$F$15)/4)</f>
        <v>1</v>
      </c>
      <c r="E6877" s="45" t="n">
        <f aca="false">Assumptions!$E$21^(MAX(0,E6870-Assumptions!$F$15)/4)</f>
        <v>1</v>
      </c>
      <c r="F6877" s="45" t="n">
        <f aca="false">Assumptions!$E$21^(MAX(0,F6870-Assumptions!$F$15)/4)</f>
        <v>1</v>
      </c>
      <c r="G6877" s="45" t="n">
        <f aca="false">Assumptions!$E$21^(MAX(0,G6870-Assumptions!$F$15)/4)</f>
        <v>1</v>
      </c>
      <c r="H6877" s="45" t="n">
        <f aca="false">Assumptions!$E$21^(MAX(0,H6870-Assumptions!$F$15)/4)</f>
        <v>1</v>
      </c>
      <c r="I6877" s="45" t="n">
        <f aca="false">Assumptions!$E$21^(MAX(0,I6870-Assumptions!$F$15)/4)</f>
        <v>0.9306048591021</v>
      </c>
      <c r="J6877" s="45" t="n">
        <f aca="false">Assumptions!$E$21^(MAX(0,J6870-Assumptions!$F$15)/4)</f>
        <v>0.866025403784439</v>
      </c>
      <c r="K6877" s="45" t="n">
        <f aca="false">Assumptions!$E$21^(MAX(0,K6870-Assumptions!$F$15)/4)</f>
        <v>0.805927448867656</v>
      </c>
      <c r="L6877" s="45" t="n">
        <f aca="false">Assumptions!$E$21^(MAX(0,L6870-Assumptions!$F$15)/4)</f>
        <v>0.75</v>
      </c>
      <c r="M6877" s="45" t="n">
        <f aca="false">Assumptions!$E$21^(MAX(0,M6870-Assumptions!$F$15)/4)</f>
        <v>0.697953644326575</v>
      </c>
      <c r="N6877" s="45" t="n">
        <f aca="false">Assumptions!$E$21^(MAX(0,N6870-Assumptions!$F$15)/4)</f>
        <v>0.649519052838329</v>
      </c>
      <c r="P6877" s="46"/>
      <c r="Q6877" s="46"/>
      <c r="R6877" s="46"/>
      <c r="S6877" s="47"/>
    </row>
    <row r="6878" customFormat="false" ht="15" hidden="false" customHeight="false" outlineLevel="0" collapsed="false">
      <c r="A6878" s="4" t="s">
        <v>484</v>
      </c>
      <c r="B6878" s="36" t="s">
        <v>485</v>
      </c>
      <c r="C6878" s="39" t="n">
        <f aca="false">$C$6849*C6872+$C$6853*C6873+$C$6857*C6874</f>
        <v>421.51972352</v>
      </c>
      <c r="D6878" s="39" t="n">
        <f aca="false">$C$6849*D6872+$C$6853*D6873+$C$6857*D6874</f>
        <v>843.03944704</v>
      </c>
      <c r="E6878" s="39" t="n">
        <f aca="false">$C$6849*E6872+$C$6853*E6873+$C$6857*E6874</f>
        <v>843.03944704</v>
      </c>
      <c r="F6878" s="39" t="n">
        <f aca="false">$C$6849*F6872+$C$6853*F6873+$C$6857*F6874</f>
        <v>1149.32798176</v>
      </c>
      <c r="G6878" s="39" t="n">
        <f aca="false">$C$6849*G6872+$C$6853*G6873+$C$6857*G6874</f>
        <v>1455.61651648</v>
      </c>
      <c r="H6878" s="39" t="n">
        <f aca="false">$C$6849*H6872+$C$6853*H6873+$C$6857*H6874</f>
        <v>2486.00303616</v>
      </c>
      <c r="I6878" s="39" t="n">
        <f aca="false">$C$6849*I6872+$C$6853*I6873+$C$6857*I6874</f>
        <v>3516.38955584</v>
      </c>
      <c r="J6878" s="39" t="n">
        <f aca="false">$C$6849*J6872+$C$6853*J6873+$C$6857*J6874</f>
        <v>3516.38955584</v>
      </c>
      <c r="K6878" s="39" t="n">
        <f aca="false">$C$6849*K6872+$C$6853*K6873+$C$6857*K6874</f>
        <v>3516.38955584</v>
      </c>
      <c r="L6878" s="39" t="n">
        <f aca="false">$C$6849*L6872+$C$6853*L6873+$C$6857*L6874</f>
        <v>3516.38955584</v>
      </c>
      <c r="M6878" s="39" t="n">
        <f aca="false">$C$6849*M6872+$C$6853*M6873+$C$6857*M6874</f>
        <v>3516.38955584</v>
      </c>
      <c r="N6878" s="39" t="n">
        <f aca="false">$C$6849*N6872+$C$6853*N6873+$C$6857*N6874</f>
        <v>3516.38955584</v>
      </c>
      <c r="P6878" s="40" t="n">
        <f aca="false">F6878</f>
        <v>1149.32798176</v>
      </c>
      <c r="Q6878" s="40" t="n">
        <f aca="false">J6878</f>
        <v>3516.38955584</v>
      </c>
      <c r="R6878" s="40" t="n">
        <f aca="false">N6878</f>
        <v>3516.38955584</v>
      </c>
      <c r="S6878" s="41" t="n">
        <f aca="false">R6878</f>
        <v>3516.38955584</v>
      </c>
    </row>
    <row r="6879" customFormat="false" ht="15" hidden="false" customHeight="false" outlineLevel="0" collapsed="false">
      <c r="A6879" s="4" t="s">
        <v>486</v>
      </c>
      <c r="B6879" s="36" t="s">
        <v>485</v>
      </c>
      <c r="C6879" s="39" t="n">
        <f aca="false">$C$6850*C6872+$C$6854*C6873+$C$6858*C6874</f>
        <v>105.59808</v>
      </c>
      <c r="D6879" s="39" t="n">
        <f aca="false">$C$6850*D6872+$C$6854*D6873+$C$6858*D6874</f>
        <v>211.19616</v>
      </c>
      <c r="E6879" s="39" t="n">
        <f aca="false">$C$6850*E6872+$C$6854*E6873+$C$6858*E6874</f>
        <v>211.19616</v>
      </c>
      <c r="F6879" s="39" t="n">
        <f aca="false">$C$6850*F6872+$C$6854*F6873+$C$6858*F6874</f>
        <v>282.24672</v>
      </c>
      <c r="G6879" s="39" t="n">
        <f aca="false">$C$6850*G6872+$C$6854*G6873+$C$6858*G6874</f>
        <v>353.29728</v>
      </c>
      <c r="H6879" s="39" t="n">
        <f aca="false">$C$6850*H6872+$C$6854*H6873+$C$6858*H6874</f>
        <v>567.53536</v>
      </c>
      <c r="I6879" s="39" t="n">
        <f aca="false">$C$6850*I6872+$C$6854*I6873+$C$6858*I6874</f>
        <v>781.77344</v>
      </c>
      <c r="J6879" s="39" t="n">
        <f aca="false">$C$6850*J6872+$C$6854*J6873+$C$6858*J6874</f>
        <v>781.77344</v>
      </c>
      <c r="K6879" s="39" t="n">
        <f aca="false">$C$6850*K6872+$C$6854*K6873+$C$6858*K6874</f>
        <v>781.77344</v>
      </c>
      <c r="L6879" s="39" t="n">
        <f aca="false">$C$6850*L6872+$C$6854*L6873+$C$6858*L6874</f>
        <v>781.77344</v>
      </c>
      <c r="M6879" s="39" t="n">
        <f aca="false">$C$6850*M6872+$C$6854*M6873+$C$6858*M6874</f>
        <v>781.77344</v>
      </c>
      <c r="N6879" s="39" t="n">
        <f aca="false">$C$6850*N6872+$C$6854*N6873+$C$6858*N6874</f>
        <v>781.77344</v>
      </c>
      <c r="P6879" s="40" t="n">
        <f aca="false">F6879</f>
        <v>282.24672</v>
      </c>
      <c r="Q6879" s="40" t="n">
        <f aca="false">J6879</f>
        <v>781.77344</v>
      </c>
      <c r="R6879" s="40" t="n">
        <f aca="false">N6879</f>
        <v>781.77344</v>
      </c>
      <c r="S6879" s="41" t="n">
        <f aca="false">R6879</f>
        <v>781.77344</v>
      </c>
    </row>
    <row r="6880" customFormat="false" ht="15" hidden="false" customHeight="false" outlineLevel="0" collapsed="false">
      <c r="A6880" s="4" t="s">
        <v>487</v>
      </c>
      <c r="B6880" s="36" t="s">
        <v>485</v>
      </c>
      <c r="C6880" s="39" t="n">
        <f aca="false">$C$6851*C6872+$C$6855*C6873+$C$6859*C6874</f>
        <v>24.76992</v>
      </c>
      <c r="D6880" s="39" t="n">
        <f aca="false">$C$6851*D6872+$C$6855*D6873+$C$6859*D6874</f>
        <v>49.53984</v>
      </c>
      <c r="E6880" s="39" t="n">
        <f aca="false">$C$6851*E6872+$C$6855*E6873+$C$6859*E6874</f>
        <v>49.53984</v>
      </c>
      <c r="F6880" s="39" t="n">
        <f aca="false">$C$6851*F6872+$C$6855*F6873+$C$6859*F6874</f>
        <v>61.9248</v>
      </c>
      <c r="G6880" s="39" t="n">
        <f aca="false">$C$6851*G6872+$C$6855*G6873+$C$6859*G6874</f>
        <v>74.30976</v>
      </c>
      <c r="H6880" s="39" t="n">
        <f aca="false">$C$6851*H6872+$C$6855*H6873+$C$6859*H6874</f>
        <v>114.072</v>
      </c>
      <c r="I6880" s="39" t="n">
        <f aca="false">$C$6851*I6872+$C$6855*I6873+$C$6859*I6874</f>
        <v>153.83424</v>
      </c>
      <c r="J6880" s="39" t="n">
        <f aca="false">$C$6851*J6872+$C$6855*J6873+$C$6859*J6874</f>
        <v>153.83424</v>
      </c>
      <c r="K6880" s="39" t="n">
        <f aca="false">$C$6851*K6872+$C$6855*K6873+$C$6859*K6874</f>
        <v>153.83424</v>
      </c>
      <c r="L6880" s="39" t="n">
        <f aca="false">$C$6851*L6872+$C$6855*L6873+$C$6859*L6874</f>
        <v>153.83424</v>
      </c>
      <c r="M6880" s="39" t="n">
        <f aca="false">$C$6851*M6872+$C$6855*M6873+$C$6859*M6874</f>
        <v>153.83424</v>
      </c>
      <c r="N6880" s="39" t="n">
        <f aca="false">$C$6851*N6872+$C$6855*N6873+$C$6859*N6874</f>
        <v>153.83424</v>
      </c>
      <c r="P6880" s="40" t="n">
        <f aca="false">F6880</f>
        <v>61.9248</v>
      </c>
      <c r="Q6880" s="40" t="n">
        <f aca="false">J6880</f>
        <v>153.83424</v>
      </c>
      <c r="R6880" s="40" t="n">
        <f aca="false">N6880</f>
        <v>153.83424</v>
      </c>
      <c r="S6880" s="41" t="n">
        <f aca="false">R6880</f>
        <v>153.83424</v>
      </c>
    </row>
    <row r="6881" customFormat="false" ht="15" hidden="false" customHeight="false" outlineLevel="0" collapsed="false">
      <c r="A6881" s="4" t="s">
        <v>488</v>
      </c>
      <c r="B6881" s="36" t="s">
        <v>485</v>
      </c>
      <c r="C6881" s="39" t="n">
        <f aca="false">C6878+C6879+C6880</f>
        <v>551.88772352</v>
      </c>
      <c r="D6881" s="39" t="n">
        <f aca="false">D6878+D6879+D6880</f>
        <v>1103.77544704</v>
      </c>
      <c r="E6881" s="39" t="n">
        <f aca="false">E6878+E6879+E6880</f>
        <v>1103.77544704</v>
      </c>
      <c r="F6881" s="39" t="n">
        <f aca="false">F6878+F6879+F6880</f>
        <v>1493.49950176</v>
      </c>
      <c r="G6881" s="39" t="n">
        <f aca="false">G6878+G6879+G6880</f>
        <v>1883.22355648</v>
      </c>
      <c r="H6881" s="39" t="n">
        <f aca="false">H6878+H6879+H6880</f>
        <v>3167.61039616</v>
      </c>
      <c r="I6881" s="39" t="n">
        <f aca="false">I6878+I6879+I6880</f>
        <v>4451.99723584</v>
      </c>
      <c r="J6881" s="39" t="n">
        <f aca="false">J6878+J6879+J6880</f>
        <v>4451.99723584</v>
      </c>
      <c r="K6881" s="39" t="n">
        <f aca="false">K6878+K6879+K6880</f>
        <v>4451.99723584</v>
      </c>
      <c r="L6881" s="39" t="n">
        <f aca="false">L6878+L6879+L6880</f>
        <v>4451.99723584</v>
      </c>
      <c r="M6881" s="39" t="n">
        <f aca="false">M6878+M6879+M6880</f>
        <v>4451.99723584</v>
      </c>
      <c r="N6881" s="39" t="n">
        <f aca="false">N6878+N6879+N6880</f>
        <v>4451.99723584</v>
      </c>
      <c r="P6881" s="40" t="n">
        <f aca="false">F6881</f>
        <v>1493.49950176</v>
      </c>
      <c r="Q6881" s="40" t="n">
        <f aca="false">J6881</f>
        <v>4451.99723584</v>
      </c>
      <c r="R6881" s="40" t="n">
        <f aca="false">N6881</f>
        <v>4451.99723584</v>
      </c>
      <c r="S6881" s="41" t="n">
        <f aca="false">R6881</f>
        <v>4451.99723584</v>
      </c>
    </row>
    <row r="6882" customFormat="false" ht="15" hidden="false" customHeight="false" outlineLevel="0" collapsed="false">
      <c r="A6882" s="4" t="s">
        <v>489</v>
      </c>
      <c r="B6882" s="36" t="s">
        <v>485</v>
      </c>
      <c r="C6882" s="39" t="n">
        <f aca="false">$C$6852*C6872*C6875+$C$6856*C6873*C6876+$C$6860*C6874*C6877</f>
        <v>551.88772352</v>
      </c>
      <c r="D6882" s="39" t="n">
        <f aca="false">$C$6852*D6872*D6875+$C$6856*D6873*D6876+$C$6860*D6874*D6877</f>
        <v>1027.17879437302</v>
      </c>
      <c r="E6882" s="39" t="n">
        <f aca="false">$C$6852*E6872*E6875+$C$6856*E6873*E6876+$C$6860*E6874*E6877</f>
        <v>955.897577210165</v>
      </c>
      <c r="F6882" s="39" t="n">
        <f aca="false">$C$6852*F6872*F6875+$C$6856*F6873*F6876+$C$6860*F6874*F6877</f>
        <v>1279.2869848757</v>
      </c>
      <c r="G6882" s="39" t="n">
        <f aca="false">$C$6852*G6872*G6875+$C$6856*G6873*G6876+$C$6860*G6874*G6877</f>
        <v>1553.18978334281</v>
      </c>
      <c r="H6882" s="39" t="n">
        <f aca="false">$C$6852*H6872*H6875+$C$6856*H6873*H6876+$C$6860*H6874*H6877</f>
        <v>2729.79279916656</v>
      </c>
      <c r="I6882" s="39" t="n">
        <f aca="false">$C$6852*I6872*I6875+$C$6856*I6873*I6876+$C$6860*I6874*I6877</f>
        <v>3735.61507721932</v>
      </c>
      <c r="J6882" s="39" t="n">
        <f aca="false">$C$6852*J6872*J6875+$C$6856*J6873*J6876+$C$6860*J6874*J6877</f>
        <v>3476.38154259536</v>
      </c>
      <c r="K6882" s="39" t="n">
        <f aca="false">$C$6852*K6872*K6875+$C$6856*K6873*K6876+$C$6860*K6874*K6877</f>
        <v>3235.1375556321</v>
      </c>
      <c r="L6882" s="39" t="n">
        <f aca="false">$C$6852*L6872*L6875+$C$6856*L6873*L6876+$C$6860*L6874*L6877</f>
        <v>3010.63472913492</v>
      </c>
      <c r="M6882" s="39" t="n">
        <f aca="false">$C$6852*M6872*M6875+$C$6856*M6873*M6876+$C$6860*M6874*M6877</f>
        <v>2801.71130791449</v>
      </c>
      <c r="N6882" s="39" t="n">
        <f aca="false">$C$6852*N6872*N6875+$C$6856*N6873*N6876+$C$6860*N6874*N6877</f>
        <v>2607.28615694652</v>
      </c>
      <c r="P6882" s="40"/>
      <c r="Q6882" s="40"/>
      <c r="R6882" s="40"/>
      <c r="S6882" s="41"/>
    </row>
    <row r="6883" customFormat="false" ht="15" hidden="false" customHeight="false" outlineLevel="0" collapsed="false">
      <c r="A6883" s="4" t="s">
        <v>490</v>
      </c>
      <c r="B6883" s="36" t="s">
        <v>491</v>
      </c>
      <c r="C6883" s="48" t="n">
        <f aca="false">$C$6864*Assumptions!$E$20*C6871*C6882</f>
        <v>6.62265268224</v>
      </c>
      <c r="D6883" s="48" t="n">
        <f aca="false">$C$6864*Assumptions!$E$20*D6871*D6882</f>
        <v>12.3261455324762</v>
      </c>
      <c r="E6883" s="48" t="n">
        <f aca="false">$C$6864*Assumptions!$E$20*E6871*E6882</f>
        <v>11.470770926522</v>
      </c>
      <c r="F6883" s="48" t="n">
        <f aca="false">$C$6864*Assumptions!$E$20*F6871*F6882</f>
        <v>15.3514438185085</v>
      </c>
      <c r="G6883" s="48" t="n">
        <f aca="false">$C$6864*Assumptions!$E$20*G6871*G6882</f>
        <v>18.6382774001137</v>
      </c>
      <c r="H6883" s="48" t="n">
        <f aca="false">$C$6864*Assumptions!$E$20*H6871*H6882</f>
        <v>32.7575135899987</v>
      </c>
      <c r="I6883" s="48" t="n">
        <f aca="false">$C$6864*Assumptions!$E$20*I6871*I6882</f>
        <v>44.8273809266318</v>
      </c>
      <c r="J6883" s="48" t="n">
        <f aca="false">$C$6864*Assumptions!$E$20*J6871*J6882</f>
        <v>41.7165785111443</v>
      </c>
      <c r="K6883" s="48" t="n">
        <f aca="false">$C$6864*Assumptions!$E$20*K6871*K6882</f>
        <v>38.8216506675851</v>
      </c>
      <c r="L6883" s="48" t="n">
        <f aca="false">$C$6864*Assumptions!$E$20*L6871*L6882</f>
        <v>36.127616749619</v>
      </c>
      <c r="M6883" s="48" t="n">
        <f aca="false">$C$6864*Assumptions!$E$20*M6871*M6882</f>
        <v>33.6205356949739</v>
      </c>
      <c r="N6883" s="48" t="n">
        <f aca="false">$C$6864*Assumptions!$E$20*N6871*N6882</f>
        <v>31.2874338833582</v>
      </c>
      <c r="P6883" s="49" t="n">
        <f aca="false">SUM(C6883:F6883)</f>
        <v>45.7710129597466</v>
      </c>
      <c r="Q6883" s="49" t="n">
        <f aca="false">SUM(G6883:J6883)</f>
        <v>137.939750427889</v>
      </c>
      <c r="R6883" s="49" t="n">
        <f aca="false">SUM(K6883:N6883)</f>
        <v>139.857236995536</v>
      </c>
      <c r="S6883" s="50" t="n">
        <f aca="false">SUM(P6883:R6883)</f>
        <v>323.568000383171</v>
      </c>
    </row>
    <row r="6884" customFormat="false" ht="15" hidden="false" customHeight="false" outlineLevel="0" collapsed="false">
      <c r="A6884" s="4" t="s">
        <v>492</v>
      </c>
      <c r="B6884" s="36" t="s">
        <v>321</v>
      </c>
      <c r="C6884" s="48" t="n">
        <f aca="false">Assumptions!$D$111</f>
        <v>0</v>
      </c>
      <c r="D6884" s="48" t="n">
        <f aca="false">Assumptions!$E$111</f>
        <v>0</v>
      </c>
      <c r="E6884" s="48" t="n">
        <f aca="false">Assumptions!$F$111</f>
        <v>0</v>
      </c>
      <c r="F6884" s="48" t="n">
        <f aca="false">Assumptions!$G$111</f>
        <v>0</v>
      </c>
      <c r="G6884" s="48" t="n">
        <f aca="false">Assumptions!$H$111</f>
        <v>0</v>
      </c>
      <c r="H6884" s="48" t="n">
        <f aca="false">Assumptions!$I$111</f>
        <v>0</v>
      </c>
      <c r="I6884" s="48" t="n">
        <f aca="false">Assumptions!$J$111</f>
        <v>0</v>
      </c>
      <c r="J6884" s="48" t="n">
        <f aca="false">Assumptions!$K$111</f>
        <v>0</v>
      </c>
      <c r="K6884" s="48" t="n">
        <f aca="false">Assumptions!$L$111</f>
        <v>0</v>
      </c>
      <c r="L6884" s="48" t="n">
        <f aca="false">Assumptions!$M$111</f>
        <v>0</v>
      </c>
      <c r="M6884" s="48" t="n">
        <f aca="false">Assumptions!$N$111</f>
        <v>0</v>
      </c>
      <c r="N6884" s="48" t="n">
        <f aca="false">Assumptions!$O$111</f>
        <v>0</v>
      </c>
      <c r="P6884" s="49" t="n">
        <f aca="false">F6884</f>
        <v>0</v>
      </c>
      <c r="Q6884" s="49" t="n">
        <f aca="false">J6884</f>
        <v>0</v>
      </c>
      <c r="R6884" s="49" t="n">
        <f aca="false">N6884</f>
        <v>0</v>
      </c>
      <c r="S6884" s="50" t="n">
        <f aca="false">R6884</f>
        <v>0</v>
      </c>
    </row>
    <row r="6885" customFormat="false" ht="15" hidden="false" customHeight="false" outlineLevel="0" collapsed="false">
      <c r="A6885" s="4" t="s">
        <v>493</v>
      </c>
      <c r="B6885" s="36" t="s">
        <v>321</v>
      </c>
      <c r="C6885" s="48" t="n">
        <f aca="false">0</f>
        <v>0</v>
      </c>
      <c r="D6885" s="48" t="n">
        <f aca="false">0.5*C6884</f>
        <v>0</v>
      </c>
      <c r="E6885" s="48" t="n">
        <f aca="false">C6884+0.5*(D6884-C6884)</f>
        <v>0</v>
      </c>
      <c r="F6885" s="48" t="n">
        <f aca="false">D6884+0.5*(E6884-D6884)</f>
        <v>0</v>
      </c>
      <c r="G6885" s="48" t="n">
        <f aca="false">E6884+0.5*(F6884-E6884)</f>
        <v>0</v>
      </c>
      <c r="H6885" s="48" t="n">
        <f aca="false">F6884+0.5*(G6884-F6884)</f>
        <v>0</v>
      </c>
      <c r="I6885" s="48" t="n">
        <f aca="false">G6884+0.5*(H6884-G6884)</f>
        <v>0</v>
      </c>
      <c r="J6885" s="48" t="n">
        <f aca="false">H6884+0.5*(I6884-H6884)</f>
        <v>0</v>
      </c>
      <c r="K6885" s="48" t="n">
        <f aca="false">I6884+0.5*(J6884-I6884)</f>
        <v>0</v>
      </c>
      <c r="L6885" s="48" t="n">
        <f aca="false">J6884+0.5*(K6884-J6884)</f>
        <v>0</v>
      </c>
      <c r="M6885" s="48" t="n">
        <f aca="false">K6884+0.5*(L6884-K6884)</f>
        <v>0</v>
      </c>
      <c r="N6885" s="48" t="n">
        <f aca="false">L6884+0.5*(M6884-L6884)</f>
        <v>0</v>
      </c>
      <c r="P6885" s="49" t="n">
        <f aca="false">F6885</f>
        <v>0</v>
      </c>
      <c r="Q6885" s="49" t="n">
        <f aca="false">J6885</f>
        <v>0</v>
      </c>
      <c r="R6885" s="49" t="n">
        <f aca="false">N6885</f>
        <v>0</v>
      </c>
      <c r="S6885" s="50" t="n">
        <f aca="false">R6885</f>
        <v>0</v>
      </c>
    </row>
    <row r="6886" customFormat="false" ht="15" hidden="false" customHeight="false" outlineLevel="0" collapsed="false">
      <c r="A6886" s="4" t="s">
        <v>494</v>
      </c>
      <c r="B6886" s="36" t="s">
        <v>485</v>
      </c>
      <c r="C6886" s="39" t="n">
        <f aca="false">MIN(C6885*Assumptions!$E$38,C6881*(1-$C$6864))</f>
        <v>0</v>
      </c>
      <c r="D6886" s="39" t="n">
        <f aca="false">MIN(D6885*Assumptions!$E$38,D6881*(1-$C$6864))</f>
        <v>0</v>
      </c>
      <c r="E6886" s="39" t="n">
        <f aca="false">MIN(E6885*Assumptions!$E$38,E6881*(1-$C$6864))</f>
        <v>0</v>
      </c>
      <c r="F6886" s="39" t="n">
        <f aca="false">MIN(F6885*Assumptions!$E$38,F6881*(1-$C$6864))</f>
        <v>0</v>
      </c>
      <c r="G6886" s="39" t="n">
        <f aca="false">MIN(G6885*Assumptions!$E$38,G6881*(1-$C$6864))</f>
        <v>0</v>
      </c>
      <c r="H6886" s="39" t="n">
        <f aca="false">MIN(H6885*Assumptions!$E$38,H6881*(1-$C$6864))</f>
        <v>0</v>
      </c>
      <c r="I6886" s="39" t="n">
        <f aca="false">MIN(I6885*Assumptions!$E$38,I6881*(1-$C$6864))</f>
        <v>0</v>
      </c>
      <c r="J6886" s="39" t="n">
        <f aca="false">MIN(J6885*Assumptions!$E$38,J6881*(1-$C$6864))</f>
        <v>0</v>
      </c>
      <c r="K6886" s="39" t="n">
        <f aca="false">MIN(K6885*Assumptions!$E$38,K6881*(1-$C$6864))</f>
        <v>0</v>
      </c>
      <c r="L6886" s="39" t="n">
        <f aca="false">MIN(L6885*Assumptions!$E$38,L6881*(1-$C$6864))</f>
        <v>0</v>
      </c>
      <c r="M6886" s="39" t="n">
        <f aca="false">MIN(M6885*Assumptions!$E$38,M6881*(1-$C$6864))</f>
        <v>0</v>
      </c>
      <c r="N6886" s="39" t="n">
        <f aca="false">MIN(N6885*Assumptions!$E$38,N6881*(1-$C$6864))</f>
        <v>0</v>
      </c>
      <c r="P6886" s="40" t="n">
        <f aca="false">SUM(C6886:F6886)</f>
        <v>0</v>
      </c>
      <c r="Q6886" s="40" t="n">
        <f aca="false">SUM(G6886:J6886)</f>
        <v>0</v>
      </c>
      <c r="R6886" s="40" t="n">
        <f aca="false">SUM(K6886:N6886)</f>
        <v>0</v>
      </c>
      <c r="S6886" s="41" t="n">
        <f aca="false">SUM(P6886:R6886)</f>
        <v>0</v>
      </c>
    </row>
    <row r="6887" customFormat="false" ht="15" hidden="false" customHeight="false" outlineLevel="0" collapsed="false">
      <c r="A6887" s="4" t="s">
        <v>495</v>
      </c>
      <c r="B6887" s="36" t="s">
        <v>491</v>
      </c>
      <c r="C6887" s="48" t="n">
        <f aca="false">C6886*Assumptions!$E$20*Assumptions!$E$39*IF(C6881&gt;0,C6882/C6881,0)*C6871</f>
        <v>0</v>
      </c>
      <c r="D6887" s="48" t="n">
        <f aca="false">D6886*Assumptions!$E$20*Assumptions!$E$39*IF(D6881&gt;0,D6882/D6881,0)*D6871</f>
        <v>0</v>
      </c>
      <c r="E6887" s="48" t="n">
        <f aca="false">E6886*Assumptions!$E$20*Assumptions!$E$39*IF(E6881&gt;0,E6882/E6881,0)*E6871</f>
        <v>0</v>
      </c>
      <c r="F6887" s="48" t="n">
        <f aca="false">F6886*Assumptions!$E$20*Assumptions!$E$39*IF(F6881&gt;0,F6882/F6881,0)*F6871</f>
        <v>0</v>
      </c>
      <c r="G6887" s="48" t="n">
        <f aca="false">G6886*Assumptions!$E$20*Assumptions!$E$39*IF(G6881&gt;0,G6882/G6881,0)*G6871</f>
        <v>0</v>
      </c>
      <c r="H6887" s="48" t="n">
        <f aca="false">H6886*Assumptions!$E$20*Assumptions!$E$39*IF(H6881&gt;0,H6882/H6881,0)*H6871</f>
        <v>0</v>
      </c>
      <c r="I6887" s="48" t="n">
        <f aca="false">I6886*Assumptions!$E$20*Assumptions!$E$39*IF(I6881&gt;0,I6882/I6881,0)*I6871</f>
        <v>0</v>
      </c>
      <c r="J6887" s="48" t="n">
        <f aca="false">J6886*Assumptions!$E$20*Assumptions!$E$39*IF(J6881&gt;0,J6882/J6881,0)*J6871</f>
        <v>0</v>
      </c>
      <c r="K6887" s="48" t="n">
        <f aca="false">K6886*Assumptions!$E$20*Assumptions!$E$39*IF(K6881&gt;0,K6882/K6881,0)*K6871</f>
        <v>0</v>
      </c>
      <c r="L6887" s="48" t="n">
        <f aca="false">L6886*Assumptions!$E$20*Assumptions!$E$39*IF(L6881&gt;0,L6882/L6881,0)*L6871</f>
        <v>0</v>
      </c>
      <c r="M6887" s="48" t="n">
        <f aca="false">M6886*Assumptions!$E$20*Assumptions!$E$39*IF(M6881&gt;0,M6882/M6881,0)*M6871</f>
        <v>0</v>
      </c>
      <c r="N6887" s="48" t="n">
        <f aca="false">N6886*Assumptions!$E$20*Assumptions!$E$39*IF(N6881&gt;0,N6882/N6881,0)*N6871</f>
        <v>0</v>
      </c>
      <c r="P6887" s="49" t="n">
        <f aca="false">SUM(C6887:F6887)</f>
        <v>0</v>
      </c>
      <c r="Q6887" s="49" t="n">
        <f aca="false">SUM(G6887:J6887)</f>
        <v>0</v>
      </c>
      <c r="R6887" s="49" t="n">
        <f aca="false">SUM(K6887:N6887)</f>
        <v>0</v>
      </c>
      <c r="S6887" s="50" t="n">
        <f aca="false">SUM(P6887:R6887)</f>
        <v>0</v>
      </c>
    </row>
    <row r="6888" customFormat="false" ht="15" hidden="false" customHeight="false" outlineLevel="0" collapsed="false">
      <c r="A6888" s="4" t="s">
        <v>496</v>
      </c>
      <c r="B6888" s="36" t="s">
        <v>497</v>
      </c>
      <c r="C6888" s="48" t="n">
        <f aca="false">IF(AND(C6881&gt;0,$C$6868&gt;0),C6881*Assumptions!$E$24*(1-EXP(-$C$6868/(Assumptions!$E$23*C6881*Assumptions!$E$24))),0)</f>
        <v>0</v>
      </c>
      <c r="D6888" s="48" t="n">
        <f aca="false">IF(AND(D6881&gt;0,$C$6868&gt;0),D6881*Assumptions!$E$24*(1-EXP(-$C$6868/(Assumptions!$E$23*D6881*Assumptions!$E$24))),0)</f>
        <v>0</v>
      </c>
      <c r="E6888" s="48" t="n">
        <f aca="false">IF(AND(E6881&gt;0,$C$6868&gt;0),E6881*Assumptions!$E$24*(1-EXP(-$C$6868/(Assumptions!$E$23*E6881*Assumptions!$E$24))),0)</f>
        <v>0</v>
      </c>
      <c r="F6888" s="48" t="n">
        <f aca="false">IF(AND(F6881&gt;0,$C$6868&gt;0),F6881*Assumptions!$E$24*(1-EXP(-$C$6868/(Assumptions!$E$23*F6881*Assumptions!$E$24))),0)</f>
        <v>0</v>
      </c>
      <c r="G6888" s="48" t="n">
        <f aca="false">IF(AND(G6881&gt;0,$C$6868&gt;0),G6881*Assumptions!$E$24*(1-EXP(-$C$6868/(Assumptions!$E$23*G6881*Assumptions!$E$24))),0)</f>
        <v>0</v>
      </c>
      <c r="H6888" s="48" t="n">
        <f aca="false">IF(AND(H6881&gt;0,$C$6868&gt;0),H6881*Assumptions!$E$24*(1-EXP(-$C$6868/(Assumptions!$E$23*H6881*Assumptions!$E$24))),0)</f>
        <v>0</v>
      </c>
      <c r="I6888" s="48" t="n">
        <f aca="false">IF(AND(I6881&gt;0,$C$6868&gt;0),I6881*Assumptions!$E$24*(1-EXP(-$C$6868/(Assumptions!$E$23*I6881*Assumptions!$E$24))),0)</f>
        <v>0</v>
      </c>
      <c r="J6888" s="48" t="n">
        <f aca="false">IF(AND(J6881&gt;0,$C$6868&gt;0),J6881*Assumptions!$E$24*(1-EXP(-$C$6868/(Assumptions!$E$23*J6881*Assumptions!$E$24))),0)</f>
        <v>0</v>
      </c>
      <c r="K6888" s="48" t="n">
        <f aca="false">IF(AND(K6881&gt;0,$C$6868&gt;0),K6881*Assumptions!$E$24*(1-EXP(-$C$6868/(Assumptions!$E$23*K6881*Assumptions!$E$24))),0)</f>
        <v>0</v>
      </c>
      <c r="L6888" s="48" t="n">
        <f aca="false">IF(AND(L6881&gt;0,$C$6868&gt;0),L6881*Assumptions!$E$24*(1-EXP(-$C$6868/(Assumptions!$E$23*L6881*Assumptions!$E$24))),0)</f>
        <v>0</v>
      </c>
      <c r="M6888" s="48" t="n">
        <f aca="false">IF(AND(M6881&gt;0,$C$6868&gt;0),M6881*Assumptions!$E$24*(1-EXP(-$C$6868/(Assumptions!$E$23*M6881*Assumptions!$E$24))),0)</f>
        <v>0</v>
      </c>
      <c r="N6888" s="48" t="n">
        <f aca="false">IF(AND(N6881&gt;0,$C$6868&gt;0),N6881*Assumptions!$E$24*(1-EXP(-$C$6868/(Assumptions!$E$23*N6881*Assumptions!$E$24))),0)</f>
        <v>0</v>
      </c>
      <c r="P6888" s="49" t="n">
        <f aca="false">SUM(C6888:F6888)</f>
        <v>0</v>
      </c>
      <c r="Q6888" s="49" t="n">
        <f aca="false">SUM(G6888:J6888)</f>
        <v>0</v>
      </c>
      <c r="R6888" s="49" t="n">
        <f aca="false">SUM(K6888:N6888)</f>
        <v>0</v>
      </c>
      <c r="S6888" s="50" t="n">
        <f aca="false">SUM(P6888:R6888)</f>
        <v>0</v>
      </c>
    </row>
    <row r="6889" customFormat="false" ht="15" hidden="false" customHeight="false" outlineLevel="0" collapsed="false">
      <c r="A6889" s="4" t="s">
        <v>498</v>
      </c>
      <c r="B6889" s="36" t="s">
        <v>497</v>
      </c>
      <c r="C6889" s="48" t="n">
        <f aca="false">(C6881*Assumptions!$E$22*MIN(1,Assumptions!$D$103/Assumptions!$E$78)+C6888)*C6871</f>
        <v>5.5188772352</v>
      </c>
      <c r="D6889" s="48" t="n">
        <f aca="false">(D6881*Assumptions!$E$22*MIN(1,Assumptions!$D$103/Assumptions!$E$78)+D6888)*D6871</f>
        <v>11.0377544704</v>
      </c>
      <c r="E6889" s="48" t="n">
        <f aca="false">(E6881*Assumptions!$E$22*MIN(1,Assumptions!$D$103/Assumptions!$E$78)+E6888)*E6871</f>
        <v>11.0377544704</v>
      </c>
      <c r="F6889" s="48" t="n">
        <f aca="false">(F6881*Assumptions!$E$22*MIN(1,Assumptions!$D$103/Assumptions!$E$78)+F6888)*F6871</f>
        <v>14.9349950176</v>
      </c>
      <c r="G6889" s="48" t="n">
        <f aca="false">(G6881*Assumptions!$E$22*MIN(1,Assumptions!$D$103/Assumptions!$E$78)+G6888)*G6871</f>
        <v>18.8322355648</v>
      </c>
      <c r="H6889" s="48" t="n">
        <f aca="false">(H6881*Assumptions!$E$22*MIN(1,Assumptions!$D$103/Assumptions!$E$78)+H6888)*H6871</f>
        <v>31.6761039616</v>
      </c>
      <c r="I6889" s="48" t="n">
        <f aca="false">(I6881*Assumptions!$E$22*MIN(1,Assumptions!$D$103/Assumptions!$E$78)+I6888)*I6871</f>
        <v>44.5199723584</v>
      </c>
      <c r="J6889" s="48" t="n">
        <f aca="false">(J6881*Assumptions!$E$22*MIN(1,Assumptions!$D$103/Assumptions!$E$78)+J6888)*J6871</f>
        <v>44.5199723584</v>
      </c>
      <c r="K6889" s="48" t="n">
        <f aca="false">(K6881*Assumptions!$E$22*MIN(1,Assumptions!$D$103/Assumptions!$E$78)+K6888)*K6871</f>
        <v>44.5199723584</v>
      </c>
      <c r="L6889" s="48" t="n">
        <f aca="false">(L6881*Assumptions!$E$22*MIN(1,Assumptions!$D$103/Assumptions!$E$78)+L6888)*L6871</f>
        <v>44.5199723584</v>
      </c>
      <c r="M6889" s="48" t="n">
        <f aca="false">(M6881*Assumptions!$E$22*MIN(1,Assumptions!$D$103/Assumptions!$E$78)+M6888)*M6871</f>
        <v>44.5199723584</v>
      </c>
      <c r="N6889" s="48" t="n">
        <f aca="false">(N6881*Assumptions!$E$22*MIN(1,Assumptions!$D$103/Assumptions!$E$78)+N6888)*N6871</f>
        <v>44.5199723584</v>
      </c>
      <c r="P6889" s="49" t="n">
        <f aca="false">SUM(C6889:F6889)</f>
        <v>42.5293811936</v>
      </c>
      <c r="Q6889" s="49" t="n">
        <f aca="false">SUM(G6889:J6889)</f>
        <v>139.5482842432</v>
      </c>
      <c r="R6889" s="49" t="n">
        <f aca="false">SUM(K6889:N6889)</f>
        <v>178.0798894336</v>
      </c>
      <c r="S6889" s="50" t="n">
        <f aca="false">SUM(P6889:R6889)</f>
        <v>360.1575548704</v>
      </c>
    </row>
    <row r="6890" customFormat="false" ht="15" hidden="false" customHeight="false" outlineLevel="0" collapsed="false">
      <c r="A6890" s="4" t="s">
        <v>499</v>
      </c>
      <c r="B6890" s="36" t="s">
        <v>500</v>
      </c>
      <c r="C6890" s="48" t="n">
        <f aca="false">C6871*MIN(Assumptions!$E$27,Assumptions!$E$25+Assumptions!$E$26*(C6870-1))*Assumptions!$D$107</f>
        <v>2</v>
      </c>
      <c r="D6890" s="48" t="n">
        <f aca="false">D6871*MIN(Assumptions!$E$27,Assumptions!$E$25+Assumptions!$E$26*(D6870-1))*Assumptions!$D$107</f>
        <v>3</v>
      </c>
      <c r="E6890" s="48" t="n">
        <f aca="false">E6871*MIN(Assumptions!$E$27,Assumptions!$E$25+Assumptions!$E$26*(E6870-1))*Assumptions!$D$107</f>
        <v>4</v>
      </c>
      <c r="F6890" s="48" t="n">
        <f aca="false">F6871*MIN(Assumptions!$E$27,Assumptions!$E$25+Assumptions!$E$26*(F6870-1))*Assumptions!$D$107</f>
        <v>5</v>
      </c>
      <c r="G6890" s="48" t="n">
        <f aca="false">G6871*MIN(Assumptions!$E$27,Assumptions!$E$25+Assumptions!$E$26*(G6870-1))*Assumptions!$D$107</f>
        <v>6</v>
      </c>
      <c r="H6890" s="48" t="n">
        <f aca="false">H6871*MIN(Assumptions!$E$27,Assumptions!$E$25+Assumptions!$E$26*(H6870-1))*Assumptions!$D$107</f>
        <v>7</v>
      </c>
      <c r="I6890" s="48" t="n">
        <f aca="false">I6871*MIN(Assumptions!$E$27,Assumptions!$E$25+Assumptions!$E$26*(I6870-1))*Assumptions!$D$107</f>
        <v>8</v>
      </c>
      <c r="J6890" s="48" t="n">
        <f aca="false">J6871*MIN(Assumptions!$E$27,Assumptions!$E$25+Assumptions!$E$26*(J6870-1))*Assumptions!$D$107</f>
        <v>9</v>
      </c>
      <c r="K6890" s="48" t="n">
        <f aca="false">K6871*MIN(Assumptions!$E$27,Assumptions!$E$25+Assumptions!$E$26*(K6870-1))*Assumptions!$D$107</f>
        <v>10</v>
      </c>
      <c r="L6890" s="48" t="n">
        <f aca="false">L6871*MIN(Assumptions!$E$27,Assumptions!$E$25+Assumptions!$E$26*(L6870-1))*Assumptions!$D$107</f>
        <v>10</v>
      </c>
      <c r="M6890" s="48" t="n">
        <f aca="false">M6871*MIN(Assumptions!$E$27,Assumptions!$E$25+Assumptions!$E$26*(M6870-1))*Assumptions!$D$107</f>
        <v>10</v>
      </c>
      <c r="N6890" s="48" t="n">
        <f aca="false">N6871*MIN(Assumptions!$E$27,Assumptions!$E$25+Assumptions!$E$26*(N6870-1))*Assumptions!$D$107</f>
        <v>10</v>
      </c>
      <c r="P6890" s="49" t="n">
        <f aca="false">F6890</f>
        <v>5</v>
      </c>
      <c r="Q6890" s="49" t="n">
        <f aca="false">J6890</f>
        <v>9</v>
      </c>
      <c r="R6890" s="49" t="n">
        <f aca="false">N6890</f>
        <v>10</v>
      </c>
      <c r="S6890" s="50" t="n">
        <f aca="false">R6890</f>
        <v>10</v>
      </c>
    </row>
    <row r="6891" customFormat="false" ht="15" hidden="false" customHeight="false" outlineLevel="0" collapsed="false">
      <c r="A6891" s="4" t="s">
        <v>501</v>
      </c>
      <c r="B6891" s="36" t="s">
        <v>502</v>
      </c>
      <c r="C6891" s="48" t="n">
        <f aca="false">C6890*Assumptions!$E$28</f>
        <v>6</v>
      </c>
      <c r="D6891" s="48" t="n">
        <f aca="false">D6890*Assumptions!$E$28</f>
        <v>9</v>
      </c>
      <c r="E6891" s="48" t="n">
        <f aca="false">E6890*Assumptions!$E$28</f>
        <v>12</v>
      </c>
      <c r="F6891" s="48" t="n">
        <f aca="false">F6890*Assumptions!$E$28</f>
        <v>15</v>
      </c>
      <c r="G6891" s="48" t="n">
        <f aca="false">G6890*Assumptions!$E$28</f>
        <v>18</v>
      </c>
      <c r="H6891" s="48" t="n">
        <f aca="false">H6890*Assumptions!$E$28</f>
        <v>21</v>
      </c>
      <c r="I6891" s="48" t="n">
        <f aca="false">I6890*Assumptions!$E$28</f>
        <v>24</v>
      </c>
      <c r="J6891" s="48" t="n">
        <f aca="false">J6890*Assumptions!$E$28</f>
        <v>27</v>
      </c>
      <c r="K6891" s="48" t="n">
        <f aca="false">K6890*Assumptions!$E$28</f>
        <v>30</v>
      </c>
      <c r="L6891" s="48" t="n">
        <f aca="false">L6890*Assumptions!$E$28</f>
        <v>30</v>
      </c>
      <c r="M6891" s="48" t="n">
        <f aca="false">M6890*Assumptions!$E$28</f>
        <v>30</v>
      </c>
      <c r="N6891" s="48" t="n">
        <f aca="false">N6890*Assumptions!$E$28</f>
        <v>30</v>
      </c>
      <c r="P6891" s="49" t="n">
        <f aca="false">SUM(C6891:F6891)</f>
        <v>42</v>
      </c>
      <c r="Q6891" s="49" t="n">
        <f aca="false">SUM(G6891:J6891)</f>
        <v>90</v>
      </c>
      <c r="R6891" s="49" t="n">
        <f aca="false">SUM(K6891:N6891)</f>
        <v>120</v>
      </c>
      <c r="S6891" s="50" t="n">
        <f aca="false">SUM(P6891:R6891)</f>
        <v>252</v>
      </c>
    </row>
    <row r="6892" customFormat="false" ht="15" hidden="false" customHeight="false" outlineLevel="0" collapsed="false">
      <c r="A6892" s="4" t="s">
        <v>503</v>
      </c>
      <c r="B6892" s="36" t="s">
        <v>504</v>
      </c>
      <c r="C6892" s="48" t="n">
        <f aca="false">(C6883+C6887)*Assumptions!$E$29</f>
        <v>2.649061072896</v>
      </c>
      <c r="D6892" s="48" t="n">
        <f aca="false">(D6883+D6887)*Assumptions!$E$29</f>
        <v>4.93045821299048</v>
      </c>
      <c r="E6892" s="48" t="n">
        <f aca="false">(E6883+E6887)*Assumptions!$E$29</f>
        <v>4.58830837060879</v>
      </c>
      <c r="F6892" s="48" t="n">
        <f aca="false">(F6883+F6887)*Assumptions!$E$29</f>
        <v>6.14057752740338</v>
      </c>
      <c r="G6892" s="48" t="n">
        <f aca="false">(G6883+G6887)*Assumptions!$E$29</f>
        <v>7.45531096004549</v>
      </c>
      <c r="H6892" s="48" t="n">
        <f aca="false">(H6883+H6887)*Assumptions!$E$29</f>
        <v>13.1030054359995</v>
      </c>
      <c r="I6892" s="48" t="n">
        <f aca="false">(I6883+I6887)*Assumptions!$E$29</f>
        <v>17.9309523706527</v>
      </c>
      <c r="J6892" s="48" t="n">
        <f aca="false">(J6883+J6887)*Assumptions!$E$29</f>
        <v>16.6866314044577</v>
      </c>
      <c r="K6892" s="48" t="n">
        <f aca="false">(K6883+K6887)*Assumptions!$E$29</f>
        <v>15.5286602670341</v>
      </c>
      <c r="L6892" s="48" t="n">
        <f aca="false">(L6883+L6887)*Assumptions!$E$29</f>
        <v>14.4510466998476</v>
      </c>
      <c r="M6892" s="48" t="n">
        <f aca="false">(M6883+M6887)*Assumptions!$E$29</f>
        <v>13.4482142779895</v>
      </c>
      <c r="N6892" s="48" t="n">
        <f aca="false">(N6883+N6887)*Assumptions!$E$29</f>
        <v>12.5149735533433</v>
      </c>
      <c r="P6892" s="49" t="n">
        <f aca="false">SUM(C6892:F6892)</f>
        <v>18.3084051838987</v>
      </c>
      <c r="Q6892" s="49" t="n">
        <f aca="false">SUM(G6892:J6892)</f>
        <v>55.1759001711554</v>
      </c>
      <c r="R6892" s="49" t="n">
        <f aca="false">SUM(K6892:N6892)</f>
        <v>55.9428947982145</v>
      </c>
      <c r="S6892" s="50" t="n">
        <f aca="false">SUM(P6892:R6892)</f>
        <v>129.427200153269</v>
      </c>
    </row>
    <row r="6893" customFormat="false" ht="15" hidden="false" customHeight="false" outlineLevel="0" collapsed="false">
      <c r="A6893" s="4" t="s">
        <v>505</v>
      </c>
      <c r="B6893" s="36" t="s">
        <v>504</v>
      </c>
      <c r="C6893" s="48" t="n">
        <f aca="false">C6889*Assumptions!$E$31</f>
        <v>0.883020357632</v>
      </c>
      <c r="D6893" s="48" t="n">
        <f aca="false">D6889*Assumptions!$E$31</f>
        <v>1.766040715264</v>
      </c>
      <c r="E6893" s="48" t="n">
        <f aca="false">E6889*Assumptions!$E$31</f>
        <v>1.766040715264</v>
      </c>
      <c r="F6893" s="48" t="n">
        <f aca="false">F6889*Assumptions!$E$31</f>
        <v>2.389599202816</v>
      </c>
      <c r="G6893" s="48" t="n">
        <f aca="false">G6889*Assumptions!$E$31</f>
        <v>3.013157690368</v>
      </c>
      <c r="H6893" s="48" t="n">
        <f aca="false">H6889*Assumptions!$E$31</f>
        <v>5.068176633856</v>
      </c>
      <c r="I6893" s="48" t="n">
        <f aca="false">I6889*Assumptions!$E$31</f>
        <v>7.123195577344</v>
      </c>
      <c r="J6893" s="48" t="n">
        <f aca="false">J6889*Assumptions!$E$31</f>
        <v>7.123195577344</v>
      </c>
      <c r="K6893" s="48" t="n">
        <f aca="false">K6889*Assumptions!$E$31</f>
        <v>7.123195577344</v>
      </c>
      <c r="L6893" s="48" t="n">
        <f aca="false">L6889*Assumptions!$E$31</f>
        <v>7.123195577344</v>
      </c>
      <c r="M6893" s="48" t="n">
        <f aca="false">M6889*Assumptions!$E$31</f>
        <v>7.123195577344</v>
      </c>
      <c r="N6893" s="48" t="n">
        <f aca="false">N6889*Assumptions!$E$31</f>
        <v>7.123195577344</v>
      </c>
      <c r="P6893" s="49" t="n">
        <f aca="false">SUM(C6893:F6893)</f>
        <v>6.804700990976</v>
      </c>
      <c r="Q6893" s="49" t="n">
        <f aca="false">SUM(G6893:J6893)</f>
        <v>22.327725478912</v>
      </c>
      <c r="R6893" s="49" t="n">
        <f aca="false">SUM(K6893:N6893)</f>
        <v>28.492782309376</v>
      </c>
      <c r="S6893" s="50" t="n">
        <f aca="false">SUM(P6893:R6893)</f>
        <v>57.625208779264</v>
      </c>
    </row>
    <row r="6894" customFormat="false" ht="15" hidden="false" customHeight="false" outlineLevel="0" collapsed="false">
      <c r="A6894" s="4" t="s">
        <v>506</v>
      </c>
      <c r="B6894" s="36" t="s">
        <v>504</v>
      </c>
      <c r="C6894" s="48" t="n">
        <f aca="false">C6891*Assumptions!$E$30</f>
        <v>3</v>
      </c>
      <c r="D6894" s="48" t="n">
        <f aca="false">D6891*Assumptions!$E$30</f>
        <v>4.5</v>
      </c>
      <c r="E6894" s="48" t="n">
        <f aca="false">E6891*Assumptions!$E$30</f>
        <v>6</v>
      </c>
      <c r="F6894" s="48" t="n">
        <f aca="false">F6891*Assumptions!$E$30</f>
        <v>7.5</v>
      </c>
      <c r="G6894" s="48" t="n">
        <f aca="false">G6891*Assumptions!$E$30</f>
        <v>9</v>
      </c>
      <c r="H6894" s="48" t="n">
        <f aca="false">H6891*Assumptions!$E$30</f>
        <v>10.5</v>
      </c>
      <c r="I6894" s="48" t="n">
        <f aca="false">I6891*Assumptions!$E$30</f>
        <v>12</v>
      </c>
      <c r="J6894" s="48" t="n">
        <f aca="false">J6891*Assumptions!$E$30</f>
        <v>13.5</v>
      </c>
      <c r="K6894" s="48" t="n">
        <f aca="false">K6891*Assumptions!$E$30</f>
        <v>15</v>
      </c>
      <c r="L6894" s="48" t="n">
        <f aca="false">L6891*Assumptions!$E$30</f>
        <v>15</v>
      </c>
      <c r="M6894" s="48" t="n">
        <f aca="false">M6891*Assumptions!$E$30</f>
        <v>15</v>
      </c>
      <c r="N6894" s="48" t="n">
        <f aca="false">N6891*Assumptions!$E$30</f>
        <v>15</v>
      </c>
      <c r="P6894" s="49" t="n">
        <f aca="false">SUM(C6894:F6894)</f>
        <v>21</v>
      </c>
      <c r="Q6894" s="49" t="n">
        <f aca="false">SUM(G6894:J6894)</f>
        <v>45</v>
      </c>
      <c r="R6894" s="49" t="n">
        <f aca="false">SUM(K6894:N6894)</f>
        <v>60</v>
      </c>
      <c r="S6894" s="50" t="n">
        <f aca="false">SUM(P6894:R6894)</f>
        <v>126</v>
      </c>
    </row>
    <row r="6895" customFormat="false" ht="15" hidden="false" customHeight="false" outlineLevel="0" collapsed="false">
      <c r="A6895" s="9" t="s">
        <v>507</v>
      </c>
      <c r="B6895" s="36" t="s">
        <v>504</v>
      </c>
      <c r="C6895" s="49" t="n">
        <f aca="false">C6892+C6893+C6894</f>
        <v>6.532081430528</v>
      </c>
      <c r="D6895" s="49" t="n">
        <f aca="false">D6892+D6893+D6894</f>
        <v>11.1964989282545</v>
      </c>
      <c r="E6895" s="49" t="n">
        <f aca="false">E6892+E6893+E6894</f>
        <v>12.3543490858728</v>
      </c>
      <c r="F6895" s="49" t="n">
        <f aca="false">F6892+F6893+F6894</f>
        <v>16.0301767302194</v>
      </c>
      <c r="G6895" s="49" t="n">
        <f aca="false">G6892+G6893+G6894</f>
        <v>19.4684686504135</v>
      </c>
      <c r="H6895" s="49" t="n">
        <f aca="false">H6892+H6893+H6894</f>
        <v>28.6711820698555</v>
      </c>
      <c r="I6895" s="49" t="n">
        <f aca="false">I6892+I6893+I6894</f>
        <v>37.0541479479967</v>
      </c>
      <c r="J6895" s="49" t="n">
        <f aca="false">J6892+J6893+J6894</f>
        <v>37.3098269818017</v>
      </c>
      <c r="K6895" s="49" t="n">
        <f aca="false">K6892+K6893+K6894</f>
        <v>37.6518558443781</v>
      </c>
      <c r="L6895" s="49" t="n">
        <f aca="false">L6892+L6893+L6894</f>
        <v>36.5742422771916</v>
      </c>
      <c r="M6895" s="49" t="n">
        <f aca="false">M6892+M6893+M6894</f>
        <v>35.5714098553335</v>
      </c>
      <c r="N6895" s="49" t="n">
        <f aca="false">N6892+N6893+N6894</f>
        <v>34.6381691306873</v>
      </c>
      <c r="P6895" s="49" t="n">
        <f aca="false">SUM(C6895:F6895)</f>
        <v>46.1131061748747</v>
      </c>
      <c r="Q6895" s="49" t="n">
        <f aca="false">SUM(G6895:J6895)</f>
        <v>122.503625650067</v>
      </c>
      <c r="R6895" s="49" t="n">
        <f aca="false">SUM(K6895:N6895)</f>
        <v>144.435677107591</v>
      </c>
      <c r="S6895" s="50" t="n">
        <f aca="false">SUM(P6895:R6895)</f>
        <v>313.052408932533</v>
      </c>
    </row>
    <row r="6896" customFormat="false" ht="15" hidden="false" customHeight="false" outlineLevel="0" collapsed="false">
      <c r="A6896" s="4" t="s">
        <v>508</v>
      </c>
      <c r="B6896" s="36" t="s">
        <v>509</v>
      </c>
      <c r="C6896" s="48" t="n">
        <f aca="false">C6878</f>
        <v>421.51972352</v>
      </c>
      <c r="D6896" s="48" t="n">
        <f aca="false">D6878</f>
        <v>843.03944704</v>
      </c>
      <c r="E6896" s="48" t="n">
        <f aca="false">E6878</f>
        <v>843.03944704</v>
      </c>
      <c r="F6896" s="48" t="n">
        <f aca="false">F6878</f>
        <v>1149.32798176</v>
      </c>
      <c r="G6896" s="48" t="n">
        <f aca="false">G6878</f>
        <v>1455.61651648</v>
      </c>
      <c r="H6896" s="48" t="n">
        <f aca="false">H6878</f>
        <v>2486.00303616</v>
      </c>
      <c r="I6896" s="48" t="n">
        <f aca="false">I6878</f>
        <v>3516.38955584</v>
      </c>
      <c r="J6896" s="48" t="n">
        <f aca="false">J6878</f>
        <v>3516.38955584</v>
      </c>
      <c r="K6896" s="48" t="n">
        <f aca="false">K6878</f>
        <v>3516.38955584</v>
      </c>
      <c r="L6896" s="48" t="n">
        <f aca="false">L6878</f>
        <v>3516.38955584</v>
      </c>
      <c r="M6896" s="48" t="n">
        <f aca="false">M6878</f>
        <v>3516.38955584</v>
      </c>
      <c r="N6896" s="48" t="n">
        <f aca="false">N6878</f>
        <v>3516.38955584</v>
      </c>
      <c r="P6896" s="49"/>
      <c r="Q6896" s="49"/>
      <c r="R6896" s="49"/>
      <c r="S6896" s="50"/>
    </row>
    <row r="6897" customFormat="false" ht="15" hidden="false" customHeight="false" outlineLevel="0" collapsed="false">
      <c r="A6897" s="4" t="s">
        <v>510</v>
      </c>
      <c r="B6897" s="36" t="s">
        <v>509</v>
      </c>
      <c r="C6897" s="48" t="n">
        <f aca="false">C6879*Assumptions!$E$18*Assumptions!$E$33</f>
        <v>211.19616</v>
      </c>
      <c r="D6897" s="48" t="n">
        <f aca="false">D6879*Assumptions!$E$18*Assumptions!$E$33</f>
        <v>422.39232</v>
      </c>
      <c r="E6897" s="48" t="n">
        <f aca="false">E6879*Assumptions!$E$18*Assumptions!$E$33</f>
        <v>422.39232</v>
      </c>
      <c r="F6897" s="48" t="n">
        <f aca="false">F6879*Assumptions!$E$18*Assumptions!$E$33</f>
        <v>564.49344</v>
      </c>
      <c r="G6897" s="48" t="n">
        <f aca="false">G6879*Assumptions!$E$18*Assumptions!$E$33</f>
        <v>706.59456</v>
      </c>
      <c r="H6897" s="48" t="n">
        <f aca="false">H6879*Assumptions!$E$18*Assumptions!$E$33</f>
        <v>1135.07072</v>
      </c>
      <c r="I6897" s="48" t="n">
        <f aca="false">I6879*Assumptions!$E$18*Assumptions!$E$33</f>
        <v>1563.54688</v>
      </c>
      <c r="J6897" s="48" t="n">
        <f aca="false">J6879*Assumptions!$E$18*Assumptions!$E$33</f>
        <v>1563.54688</v>
      </c>
      <c r="K6897" s="48" t="n">
        <f aca="false">K6879*Assumptions!$E$18*Assumptions!$E$33</f>
        <v>1563.54688</v>
      </c>
      <c r="L6897" s="48" t="n">
        <f aca="false">L6879*Assumptions!$E$18*Assumptions!$E$33</f>
        <v>1563.54688</v>
      </c>
      <c r="M6897" s="48" t="n">
        <f aca="false">M6879*Assumptions!$E$18*Assumptions!$E$33</f>
        <v>1563.54688</v>
      </c>
      <c r="N6897" s="48" t="n">
        <f aca="false">N6879*Assumptions!$E$18*Assumptions!$E$33</f>
        <v>1563.54688</v>
      </c>
      <c r="P6897" s="49"/>
      <c r="Q6897" s="49"/>
      <c r="R6897" s="49"/>
      <c r="S6897" s="50"/>
    </row>
    <row r="6898" customFormat="false" ht="15" hidden="false" customHeight="false" outlineLevel="0" collapsed="false">
      <c r="A6898" s="4" t="s">
        <v>511</v>
      </c>
      <c r="B6898" s="36" t="s">
        <v>509</v>
      </c>
      <c r="C6898" s="48" t="n">
        <f aca="false">C6880*Assumptions!$E$19*Assumptions!$E$34</f>
        <v>34.677888</v>
      </c>
      <c r="D6898" s="48" t="n">
        <f aca="false">D6880*Assumptions!$E$19*Assumptions!$E$34</f>
        <v>69.355776</v>
      </c>
      <c r="E6898" s="48" t="n">
        <f aca="false">E6880*Assumptions!$E$19*Assumptions!$E$34</f>
        <v>69.355776</v>
      </c>
      <c r="F6898" s="48" t="n">
        <f aca="false">F6880*Assumptions!$E$19*Assumptions!$E$34</f>
        <v>86.69472</v>
      </c>
      <c r="G6898" s="48" t="n">
        <f aca="false">G6880*Assumptions!$E$19*Assumptions!$E$34</f>
        <v>104.033664</v>
      </c>
      <c r="H6898" s="48" t="n">
        <f aca="false">H6880*Assumptions!$E$19*Assumptions!$E$34</f>
        <v>159.7008</v>
      </c>
      <c r="I6898" s="48" t="n">
        <f aca="false">I6880*Assumptions!$E$19*Assumptions!$E$34</f>
        <v>215.367936</v>
      </c>
      <c r="J6898" s="48" t="n">
        <f aca="false">J6880*Assumptions!$E$19*Assumptions!$E$34</f>
        <v>215.367936</v>
      </c>
      <c r="K6898" s="48" t="n">
        <f aca="false">K6880*Assumptions!$E$19*Assumptions!$E$34</f>
        <v>215.367936</v>
      </c>
      <c r="L6898" s="48" t="n">
        <f aca="false">L6880*Assumptions!$E$19*Assumptions!$E$34</f>
        <v>215.367936</v>
      </c>
      <c r="M6898" s="48" t="n">
        <f aca="false">M6880*Assumptions!$E$19*Assumptions!$E$34</f>
        <v>215.367936</v>
      </c>
      <c r="N6898" s="48" t="n">
        <f aca="false">N6880*Assumptions!$E$19*Assumptions!$E$34</f>
        <v>215.367936</v>
      </c>
      <c r="P6898" s="49"/>
      <c r="Q6898" s="49"/>
      <c r="R6898" s="49"/>
      <c r="S6898" s="50"/>
    </row>
    <row r="6899" customFormat="false" ht="15" hidden="false" customHeight="false" outlineLevel="0" collapsed="false">
      <c r="A6899" s="4" t="s">
        <v>512</v>
      </c>
      <c r="B6899" s="36" t="s">
        <v>77</v>
      </c>
      <c r="C6899" s="51" t="n">
        <f aca="false">IFERROR(C6896/(C6896+C6897+C6898),0)</f>
        <v>0.631590736245533</v>
      </c>
      <c r="D6899" s="51" t="n">
        <f aca="false">IFERROR(D6896/(D6896+D6897+D6898),0)</f>
        <v>0.631590736245533</v>
      </c>
      <c r="E6899" s="51" t="n">
        <f aca="false">IFERROR(E6896/(E6896+E6897+E6898),0)</f>
        <v>0.631590736245533</v>
      </c>
      <c r="F6899" s="51" t="n">
        <f aca="false">IFERROR(F6896/(F6896+F6897+F6898),0)</f>
        <v>0.638332506498128</v>
      </c>
      <c r="G6899" s="51" t="n">
        <f aca="false">IFERROR(G6896/(G6896+G6897+G6898),0)</f>
        <v>0.642303318118984</v>
      </c>
      <c r="H6899" s="51" t="n">
        <f aca="false">IFERROR(H6896/(H6896+H6897+H6898),0)</f>
        <v>0.657538025405288</v>
      </c>
      <c r="I6899" s="51" t="n">
        <f aca="false">IFERROR(I6896/(I6896+I6897+I6898),0)</f>
        <v>0.664058061428891</v>
      </c>
      <c r="J6899" s="51" t="n">
        <f aca="false">IFERROR(J6896/(J6896+J6897+J6898),0)</f>
        <v>0.664058061428891</v>
      </c>
      <c r="K6899" s="51" t="n">
        <f aca="false">IFERROR(K6896/(K6896+K6897+K6898),0)</f>
        <v>0.664058061428891</v>
      </c>
      <c r="L6899" s="51" t="n">
        <f aca="false">IFERROR(L6896/(L6896+L6897+L6898),0)</f>
        <v>0.664058061428891</v>
      </c>
      <c r="M6899" s="51" t="n">
        <f aca="false">IFERROR(M6896/(M6896+M6897+M6898),0)</f>
        <v>0.664058061428891</v>
      </c>
      <c r="N6899" s="51" t="n">
        <f aca="false">IFERROR(N6896/(N6896+N6897+N6898),0)</f>
        <v>0.664058061428891</v>
      </c>
      <c r="P6899" s="52"/>
      <c r="Q6899" s="52"/>
      <c r="R6899" s="52"/>
      <c r="S6899" s="53"/>
    </row>
    <row r="6900" customFormat="false" ht="15" hidden="false" customHeight="false" outlineLevel="0" collapsed="false">
      <c r="A6900" s="4" t="s">
        <v>513</v>
      </c>
      <c r="B6900" s="36" t="s">
        <v>77</v>
      </c>
      <c r="C6900" s="51" t="n">
        <f aca="false">IFERROR(C6897/(C6896+C6897+C6898),0)</f>
        <v>0.316449102482628</v>
      </c>
      <c r="D6900" s="51" t="n">
        <f aca="false">IFERROR(D6897/(D6896+D6897+D6898),0)</f>
        <v>0.316449102482628</v>
      </c>
      <c r="E6900" s="51" t="n">
        <f aca="false">IFERROR(E6897/(E6896+E6897+E6898),0)</f>
        <v>0.316449102482628</v>
      </c>
      <c r="F6900" s="51" t="n">
        <f aca="false">IFERROR(F6897/(F6896+F6897+F6898),0)</f>
        <v>0.313517566939561</v>
      </c>
      <c r="G6900" s="51" t="n">
        <f aca="false">IFERROR(G6897/(G6896+G6897+G6898),0)</f>
        <v>0.311790932099567</v>
      </c>
      <c r="H6900" s="51" t="n">
        <f aca="false">IFERROR(H6897/(H6896+H6897+H6898),0)</f>
        <v>0.300221741111391</v>
      </c>
      <c r="I6900" s="51" t="n">
        <f aca="false">IFERROR(I6897/(I6896+I6897+I6898),0)</f>
        <v>0.295270445324128</v>
      </c>
      <c r="J6900" s="51" t="n">
        <f aca="false">IFERROR(J6897/(J6896+J6897+J6898),0)</f>
        <v>0.295270445324128</v>
      </c>
      <c r="K6900" s="51" t="n">
        <f aca="false">IFERROR(K6897/(K6896+K6897+K6898),0)</f>
        <v>0.295270445324128</v>
      </c>
      <c r="L6900" s="51" t="n">
        <f aca="false">IFERROR(L6897/(L6896+L6897+L6898),0)</f>
        <v>0.295270445324128</v>
      </c>
      <c r="M6900" s="51" t="n">
        <f aca="false">IFERROR(M6897/(M6896+M6897+M6898),0)</f>
        <v>0.295270445324128</v>
      </c>
      <c r="N6900" s="51" t="n">
        <f aca="false">IFERROR(N6897/(N6896+N6897+N6898),0)</f>
        <v>0.295270445324128</v>
      </c>
      <c r="P6900" s="52"/>
      <c r="Q6900" s="52"/>
      <c r="R6900" s="52"/>
      <c r="S6900" s="53"/>
    </row>
    <row r="6901" customFormat="false" ht="15" hidden="false" customHeight="false" outlineLevel="0" collapsed="false">
      <c r="A6901" s="4" t="s">
        <v>514</v>
      </c>
      <c r="B6901" s="36" t="s">
        <v>77</v>
      </c>
      <c r="C6901" s="51" t="n">
        <f aca="false">IFERROR(C6898/(C6896+C6897+C6898),0)</f>
        <v>0.0519601612718389</v>
      </c>
      <c r="D6901" s="51" t="n">
        <f aca="false">IFERROR(D6898/(D6896+D6897+D6898),0)</f>
        <v>0.0519601612718389</v>
      </c>
      <c r="E6901" s="51" t="n">
        <f aca="false">IFERROR(E6898/(E6896+E6897+E6898),0)</f>
        <v>0.0519601612718389</v>
      </c>
      <c r="F6901" s="51" t="n">
        <f aca="false">IFERROR(F6898/(F6896+F6897+F6898),0)</f>
        <v>0.0481499265623113</v>
      </c>
      <c r="G6901" s="51" t="n">
        <f aca="false">IFERROR(G6898/(G6896+G6897+G6898),0)</f>
        <v>0.0459057497814491</v>
      </c>
      <c r="H6901" s="51" t="n">
        <f aca="false">IFERROR(H6898/(H6896+H6897+H6898),0)</f>
        <v>0.0422402334833216</v>
      </c>
      <c r="I6901" s="51" t="n">
        <f aca="false">IFERROR(I6898/(I6896+I6897+I6898),0)</f>
        <v>0.0406714932469811</v>
      </c>
      <c r="J6901" s="51" t="n">
        <f aca="false">IFERROR(J6898/(J6896+J6897+J6898),0)</f>
        <v>0.0406714932469811</v>
      </c>
      <c r="K6901" s="51" t="n">
        <f aca="false">IFERROR(K6898/(K6896+K6897+K6898),0)</f>
        <v>0.0406714932469811</v>
      </c>
      <c r="L6901" s="51" t="n">
        <f aca="false">IFERROR(L6898/(L6896+L6897+L6898),0)</f>
        <v>0.0406714932469811</v>
      </c>
      <c r="M6901" s="51" t="n">
        <f aca="false">IFERROR(M6898/(M6896+M6897+M6898),0)</f>
        <v>0.0406714932469811</v>
      </c>
      <c r="N6901" s="51" t="n">
        <f aca="false">IFERROR(N6898/(N6896+N6897+N6898),0)</f>
        <v>0.0406714932469811</v>
      </c>
      <c r="P6901" s="52"/>
      <c r="Q6901" s="52"/>
      <c r="R6901" s="52"/>
      <c r="S6901" s="53"/>
    </row>
    <row r="6902" customFormat="false" ht="15" hidden="false" customHeight="false" outlineLevel="0" collapsed="false">
      <c r="A6902" s="4" t="s">
        <v>515</v>
      </c>
      <c r="B6902" s="36" t="s">
        <v>516</v>
      </c>
      <c r="C6902" s="48" t="n">
        <f aca="false">IF(C6870-Assumptions!$E$35&lt;1,0,INDEX($C$6895:$N$6895,1,C6870-Assumptions!$E$35)*INDEX($C$6899:$N$6899,1,C6870-Assumptions!$E$35)*Assumptions!$E$32)</f>
        <v>0</v>
      </c>
      <c r="D6902" s="48" t="n">
        <f aca="false">IF(D6870-Assumptions!$E$35&lt;1,0,INDEX($C$6895:$N$6895,1,D6870-Assumptions!$E$35)*INDEX($C$6899:$N$6899,1,D6870-Assumptions!$E$35)*Assumptions!$E$32)</f>
        <v>0.866376445183821</v>
      </c>
      <c r="E6902" s="48" t="n">
        <f aca="false">IF(E6870-Assumptions!$E$35&lt;1,0,INDEX($C$6895:$N$6895,1,E6870-Assumptions!$E$35)*INDEX($C$6899:$N$6899,1,E6870-Assumptions!$E$35)*Assumptions!$E$32)</f>
        <v>1.4850370503084</v>
      </c>
      <c r="F6902" s="48" t="n">
        <f aca="false">IF(F6870-Assumptions!$E$35&lt;1,0,INDEX($C$6895:$N$6895,1,F6870-Assumptions!$E$35)*INDEX($C$6899:$N$6899,1,F6870-Assumptions!$E$35)*Assumptions!$E$32)</f>
        <v>1.63860741134595</v>
      </c>
      <c r="G6902" s="48" t="n">
        <f aca="false">IF(G6870-Assumptions!$E$35&lt;1,0,INDEX($C$6895:$N$6895,1,G6870-Assumptions!$E$35)*INDEX($C$6899:$N$6899,1,G6870-Assumptions!$E$35)*Assumptions!$E$32)</f>
        <v>2.14884240727987</v>
      </c>
      <c r="H6902" s="48" t="n">
        <f aca="false">IF(H6870-Assumptions!$E$35&lt;1,0,INDEX($C$6895:$N$6895,1,H6870-Assumptions!$E$35)*INDEX($C$6899:$N$6899,1,H6870-Assumptions!$E$35)*Assumptions!$E$32)</f>
        <v>2.62597902269976</v>
      </c>
      <c r="I6902" s="48" t="n">
        <f aca="false">IF(I6870-Assumptions!$E$35&lt;1,0,INDEX($C$6895:$N$6895,1,I6870-Assumptions!$E$35)*INDEX($C$6899:$N$6899,1,I6870-Assumptions!$E$35)*Assumptions!$E$32)</f>
        <v>3.95900241329213</v>
      </c>
      <c r="J6902" s="48" t="n">
        <f aca="false">IF(J6870-Assumptions!$E$35&lt;1,0,INDEX($C$6895:$N$6895,1,J6870-Assumptions!$E$35)*INDEX($C$6899:$N$6899,1,J6870-Assumptions!$E$35)*Assumptions!$E$32)</f>
        <v>5.16728218739166</v>
      </c>
      <c r="K6902" s="48" t="n">
        <f aca="false">IF(K6870-Assumptions!$E$35&lt;1,0,INDEX($C$6895:$N$6895,1,K6870-Assumptions!$E$35)*INDEX($C$6899:$N$6899,1,K6870-Assumptions!$E$35)*Assumptions!$E$32)</f>
        <v>5.20293718933434</v>
      </c>
      <c r="L6902" s="48" t="n">
        <f aca="false">IF(L6870-Assumptions!$E$35&lt;1,0,INDEX($C$6895:$N$6895,1,L6870-Assumptions!$E$35)*INDEX($C$6899:$N$6899,1,L6870-Assumptions!$E$35)*Assumptions!$E$32)</f>
        <v>5.25063386425573</v>
      </c>
      <c r="M6902" s="48" t="n">
        <f aca="false">IF(M6870-Assumptions!$E$35&lt;1,0,INDEX($C$6895:$N$6895,1,M6870-Assumptions!$E$35)*INDEX($C$6899:$N$6899,1,M6870-Assumptions!$E$35)*Assumptions!$E$32)</f>
        <v>5.10035828921271</v>
      </c>
      <c r="N6902" s="48" t="n">
        <f aca="false">IF(N6870-Assumptions!$E$35&lt;1,0,INDEX($C$6895:$N$6895,1,N6870-Assumptions!$E$35)*INDEX($C$6899:$N$6899,1,N6870-Assumptions!$E$35)*Assumptions!$E$32)</f>
        <v>4.96051110887332</v>
      </c>
      <c r="P6902" s="49" t="n">
        <f aca="false">SUM(C6902:F6902)</f>
        <v>3.99002090683817</v>
      </c>
      <c r="Q6902" s="49" t="n">
        <f aca="false">SUM(G6902:J6902)</f>
        <v>13.9011060306634</v>
      </c>
      <c r="R6902" s="49" t="n">
        <f aca="false">SUM(K6902:N6902)</f>
        <v>20.5144404516761</v>
      </c>
      <c r="S6902" s="50" t="n">
        <f aca="false">SUM(P6902:R6902)</f>
        <v>38.4055673891777</v>
      </c>
    </row>
    <row r="6903" customFormat="false" ht="15" hidden="false" customHeight="false" outlineLevel="0" collapsed="false">
      <c r="A6903" s="4" t="s">
        <v>517</v>
      </c>
      <c r="B6903" s="36" t="s">
        <v>516</v>
      </c>
      <c r="C6903" s="48" t="n">
        <f aca="false">IF(C6870-Assumptions!$E$35&lt;1,0,INDEX($C$6895:$N$6895,1,C6870-Assumptions!$E$35)*INDEX($C$6900:$N$6900,1,C6870-Assumptions!$E$35)*Assumptions!$E$32)</f>
        <v>0</v>
      </c>
      <c r="D6903" s="48" t="n">
        <f aca="false">IF(D6870-Assumptions!$E$35&lt;1,0,INDEX($C$6895:$N$6895,1,D6870-Assumptions!$E$35)*INDEX($C$6900:$N$6900,1,D6870-Assumptions!$E$35)*Assumptions!$E$32)</f>
        <v>0.434084974267145</v>
      </c>
      <c r="E6903" s="48" t="n">
        <f aca="false">IF(E6870-Assumptions!$E$35&lt;1,0,INDEX($C$6895:$N$6895,1,E6870-Assumptions!$E$35)*INDEX($C$6900:$N$6900,1,E6870-Assumptions!$E$35)*Assumptions!$E$32)</f>
        <v>0.744055627726705</v>
      </c>
      <c r="F6903" s="48" t="n">
        <f aca="false">IF(F6870-Assumptions!$E$35&lt;1,0,INDEX($C$6895:$N$6895,1,F6870-Assumptions!$E$35)*INDEX($C$6900:$N$6900,1,F6870-Assumptions!$E$35)*Assumptions!$E$32)</f>
        <v>0.820999762796119</v>
      </c>
      <c r="G6903" s="48" t="n">
        <f aca="false">IF(G6870-Assumptions!$E$35&lt;1,0,INDEX($C$6895:$N$6895,1,G6870-Assumptions!$E$35)*INDEX($C$6900:$N$6900,1,G6870-Assumptions!$E$35)*Assumptions!$E$32)</f>
        <v>1.0554058212746</v>
      </c>
      <c r="H6903" s="48" t="n">
        <f aca="false">IF(H6870-Assumptions!$E$35&lt;1,0,INDEX($C$6895:$N$6895,1,H6870-Assumptions!$E$35)*INDEX($C$6900:$N$6900,1,H6870-Assumptions!$E$35)*Assumptions!$E$32)</f>
        <v>1.27471931728336</v>
      </c>
      <c r="I6903" s="48" t="n">
        <f aca="false">IF(I6870-Assumptions!$E$35&lt;1,0,INDEX($C$6895:$N$6895,1,I6870-Assumptions!$E$35)*INDEX($C$6900:$N$6900,1,I6870-Assumptions!$E$35)*Assumptions!$E$32)</f>
        <v>1.80761956215408</v>
      </c>
      <c r="J6903" s="48" t="n">
        <f aca="false">IF(J6870-Assumptions!$E$35&lt;1,0,INDEX($C$6895:$N$6895,1,J6870-Assumptions!$E$35)*INDEX($C$6900:$N$6900,1,J6870-Assumptions!$E$35)*Assumptions!$E$32)</f>
        <v>2.29760890079934</v>
      </c>
      <c r="K6903" s="48" t="n">
        <f aca="false">IF(K6870-Assumptions!$E$35&lt;1,0,INDEX($C$6895:$N$6895,1,K6870-Assumptions!$E$35)*INDEX($C$6900:$N$6900,1,K6870-Assumptions!$E$35)*Assumptions!$E$32)</f>
        <v>2.31346273785538</v>
      </c>
      <c r="L6903" s="48" t="n">
        <f aca="false">IF(L6870-Assumptions!$E$35&lt;1,0,INDEX($C$6895:$N$6895,1,L6870-Assumptions!$E$35)*INDEX($C$6900:$N$6900,1,L6870-Assumptions!$E$35)*Assumptions!$E$32)</f>
        <v>2.33467085091437</v>
      </c>
      <c r="M6903" s="48" t="n">
        <f aca="false">IF(M6870-Assumptions!$E$35&lt;1,0,INDEX($C$6895:$N$6895,1,M6870-Assumptions!$E$35)*INDEX($C$6900:$N$6900,1,M6870-Assumptions!$E$35)*Assumptions!$E$32)</f>
        <v>2.26785148896157</v>
      </c>
      <c r="N6903" s="48" t="n">
        <f aca="false">IF(N6870-Assumptions!$E$35&lt;1,0,INDEX($C$6895:$N$6895,1,N6870-Assumptions!$E$35)*INDEX($C$6900:$N$6900,1,N6870-Assumptions!$E$35)*Assumptions!$E$32)</f>
        <v>2.2056690660462</v>
      </c>
      <c r="P6903" s="49" t="n">
        <f aca="false">SUM(C6903:F6903)</f>
        <v>1.99914036478997</v>
      </c>
      <c r="Q6903" s="49" t="n">
        <f aca="false">SUM(G6903:J6903)</f>
        <v>6.43535360151137</v>
      </c>
      <c r="R6903" s="49" t="n">
        <f aca="false">SUM(K6903:N6903)</f>
        <v>9.12165414377753</v>
      </c>
      <c r="S6903" s="50" t="n">
        <f aca="false">SUM(P6903:R6903)</f>
        <v>17.5561481100789</v>
      </c>
    </row>
    <row r="6904" customFormat="false" ht="15" hidden="false" customHeight="false" outlineLevel="0" collapsed="false">
      <c r="A6904" s="4" t="s">
        <v>518</v>
      </c>
      <c r="B6904" s="36" t="s">
        <v>516</v>
      </c>
      <c r="C6904" s="48" t="n">
        <f aca="false">IF(C6870-Assumptions!$E$36&lt;1,0,INDEX($C$6895:$N$6895,1,C6870-Assumptions!$E$36)*INDEX($C$6901:$N$6901,1,C6870-Assumptions!$E$36)*Assumptions!$E$32)</f>
        <v>0</v>
      </c>
      <c r="D6904" s="48" t="n">
        <f aca="false">IF(D6870-Assumptions!$E$36&lt;1,0,INDEX($C$6895:$N$6895,1,D6870-Assumptions!$E$36)*INDEX($C$6901:$N$6901,1,D6870-Assumptions!$E$36)*Assumptions!$E$32)</f>
        <v>0</v>
      </c>
      <c r="E6904" s="48" t="n">
        <f aca="false">IF(E6870-Assumptions!$E$36&lt;1,0,INDEX($C$6895:$N$6895,1,E6870-Assumptions!$E$36)*INDEX($C$6901:$N$6901,1,E6870-Assumptions!$E$36)*Assumptions!$E$32)</f>
        <v>0.071275680959914</v>
      </c>
      <c r="F6904" s="48" t="n">
        <f aca="false">IF(F6870-Assumptions!$E$36&lt;1,0,INDEX($C$6895:$N$6895,1,F6870-Assumptions!$E$36)*INDEX($C$6901:$N$6901,1,F6870-Assumptions!$E$36)*Assumptions!$E$32)</f>
        <v>0.122172096898336</v>
      </c>
      <c r="G6904" s="48" t="n">
        <f aca="false">IF(G6870-Assumptions!$E$36&lt;1,0,INDEX($C$6895:$N$6895,1,G6870-Assumptions!$E$36)*INDEX($C$6901:$N$6901,1,G6870-Assumptions!$E$36)*Assumptions!$E$32)</f>
        <v>0.134806133891215</v>
      </c>
      <c r="H6904" s="48" t="n">
        <f aca="false">IF(H6870-Assumptions!$E$36&lt;1,0,INDEX($C$6895:$N$6895,1,H6870-Assumptions!$E$36)*INDEX($C$6901:$N$6901,1,H6870-Assumptions!$E$36)*Assumptions!$E$32)</f>
        <v>0.162088884791596</v>
      </c>
      <c r="I6904" s="48" t="n">
        <f aca="false">IF(I6870-Assumptions!$E$36&lt;1,0,INDEX($C$6895:$N$6895,1,I6870-Assumptions!$E$36)*INDEX($C$6901:$N$6901,1,I6870-Assumptions!$E$36)*Assumptions!$E$32)</f>
        <v>0.187680076603712</v>
      </c>
      <c r="J6904" s="48" t="n">
        <f aca="false">IF(J6870-Assumptions!$E$36&lt;1,0,INDEX($C$6895:$N$6895,1,J6870-Assumptions!$E$36)*INDEX($C$6901:$N$6901,1,J6870-Assumptions!$E$36)*Assumptions!$E$32)</f>
        <v>0.254326259223439</v>
      </c>
      <c r="K6904" s="48" t="n">
        <f aca="false">IF(K6870-Assumptions!$E$36&lt;1,0,INDEX($C$6895:$N$6895,1,K6870-Assumptions!$E$36)*INDEX($C$6901:$N$6901,1,K6870-Assumptions!$E$36)*Assumptions!$E$32)</f>
        <v>0.316479980888313</v>
      </c>
      <c r="L6904" s="48" t="n">
        <f aca="false">IF(L6870-Assumptions!$E$36&lt;1,0,INDEX($C$6895:$N$6895,1,L6870-Assumptions!$E$36)*INDEX($C$6901:$N$6901,1,L6870-Assumptions!$E$36)*Assumptions!$E$32)</f>
        <v>0.31866373898864</v>
      </c>
      <c r="M6904" s="48" t="n">
        <f aca="false">IF(M6870-Assumptions!$E$36&lt;1,0,INDEX($C$6895:$N$6895,1,M6870-Assumptions!$E$36)*INDEX($C$6901:$N$6901,1,M6870-Assumptions!$E$36)*Assumptions!$E$32)</f>
        <v>0.321585012149295</v>
      </c>
      <c r="N6904" s="48" t="n">
        <f aca="false">IF(N6870-Assumptions!$E$36&lt;1,0,INDEX($C$6895:$N$6895,1,N6870-Assumptions!$E$36)*INDEX($C$6901:$N$6901,1,N6870-Assumptions!$E$36)*Assumptions!$E$32)</f>
        <v>0.312381100035952</v>
      </c>
      <c r="P6904" s="49" t="n">
        <f aca="false">SUM(C6904:F6904)</f>
        <v>0.19344777785825</v>
      </c>
      <c r="Q6904" s="49" t="n">
        <f aca="false">SUM(G6904:J6904)</f>
        <v>0.738901354509962</v>
      </c>
      <c r="R6904" s="49" t="n">
        <f aca="false">SUM(K6904:N6904)</f>
        <v>1.2691098320622</v>
      </c>
      <c r="S6904" s="50" t="n">
        <f aca="false">SUM(P6904:R6904)</f>
        <v>2.20145896443041</v>
      </c>
    </row>
    <row r="6905" customFormat="false" ht="15" hidden="false" customHeight="false" outlineLevel="0" collapsed="false">
      <c r="A6905" s="4" t="s">
        <v>519</v>
      </c>
      <c r="B6905" s="36" t="s">
        <v>77</v>
      </c>
      <c r="C6905" s="51" t="n">
        <f aca="false">IF(C6870-Assumptions!$E$35&lt;1,0,IFERROR(INDEX($C$6894:$N$6894,1,C6870-Assumptions!$E$35)/INDEX($C$6895:$N$6895,1,C6870-Assumptions!$E$35),0))</f>
        <v>0</v>
      </c>
      <c r="D6905" s="51" t="n">
        <f aca="false">IF(D6870-Assumptions!$E$35&lt;1,0,IFERROR(INDEX($C$6894:$N$6894,1,D6870-Assumptions!$E$35)/INDEX($C$6895:$N$6895,1,D6870-Assumptions!$E$35),0))</f>
        <v>0.459271678087073</v>
      </c>
      <c r="E6905" s="51" t="n">
        <f aca="false">IF(E6870-Assumptions!$E$35&lt;1,0,IFERROR(INDEX($C$6894:$N$6894,1,E6870-Assumptions!$E$35)/INDEX($C$6895:$N$6895,1,E6870-Assumptions!$E$35),0))</f>
        <v>0.401911350042128</v>
      </c>
      <c r="F6905" s="51" t="n">
        <f aca="false">IF(F6870-Assumptions!$E$35&lt;1,0,IFERROR(INDEX($C$6894:$N$6894,1,F6870-Assumptions!$E$35)/INDEX($C$6895:$N$6895,1,F6870-Assumptions!$E$35),0))</f>
        <v>0.485658933408398</v>
      </c>
      <c r="G6905" s="51" t="n">
        <f aca="false">IF(G6870-Assumptions!$E$35&lt;1,0,IFERROR(INDEX($C$6894:$N$6894,1,G6870-Assumptions!$E$35)/INDEX($C$6895:$N$6895,1,G6870-Assumptions!$E$35),0))</f>
        <v>0.46786758039051</v>
      </c>
      <c r="H6905" s="51" t="n">
        <f aca="false">IF(H6870-Assumptions!$E$35&lt;1,0,IFERROR(INDEX($C$6894:$N$6894,1,H6870-Assumptions!$E$35)/INDEX($C$6895:$N$6895,1,H6870-Assumptions!$E$35),0))</f>
        <v>0.462285974393207</v>
      </c>
      <c r="I6905" s="51" t="n">
        <f aca="false">IF(I6870-Assumptions!$E$35&lt;1,0,IFERROR(INDEX($C$6894:$N$6894,1,I6870-Assumptions!$E$35)/INDEX($C$6895:$N$6895,1,I6870-Assumptions!$E$35),0))</f>
        <v>0.366221384748541</v>
      </c>
      <c r="J6905" s="51" t="n">
        <f aca="false">IF(J6870-Assumptions!$E$35&lt;1,0,IFERROR(INDEX($C$6894:$N$6894,1,J6870-Assumptions!$E$35)/INDEX($C$6895:$N$6895,1,J6870-Assumptions!$E$35),0))</f>
        <v>0.323850382873229</v>
      </c>
      <c r="K6905" s="51" t="n">
        <f aca="false">IF(K6870-Assumptions!$E$35&lt;1,0,IFERROR(INDEX($C$6894:$N$6894,1,K6870-Assumptions!$E$35)/INDEX($C$6895:$N$6895,1,K6870-Assumptions!$E$35),0))</f>
        <v>0.361834966605039</v>
      </c>
      <c r="L6905" s="51" t="n">
        <f aca="false">IF(L6870-Assumptions!$E$35&lt;1,0,IFERROR(INDEX($C$6894:$N$6894,1,L6870-Assumptions!$E$35)/INDEX($C$6895:$N$6895,1,L6870-Assumptions!$E$35),0))</f>
        <v>0.398386737216825</v>
      </c>
      <c r="M6905" s="51" t="n">
        <f aca="false">IF(M6870-Assumptions!$E$35&lt;1,0,IFERROR(INDEX($C$6894:$N$6894,1,M6870-Assumptions!$E$35)/INDEX($C$6895:$N$6895,1,M6870-Assumptions!$E$35),0))</f>
        <v>0.410124696126768</v>
      </c>
      <c r="N6905" s="51" t="n">
        <f aca="false">IF(N6870-Assumptions!$E$35&lt;1,0,IFERROR(INDEX($C$6894:$N$6894,1,N6870-Assumptions!$E$35)/INDEX($C$6895:$N$6895,1,N6870-Assumptions!$E$35),0))</f>
        <v>0.421686968860778</v>
      </c>
      <c r="P6905" s="52"/>
      <c r="Q6905" s="52"/>
      <c r="R6905" s="52"/>
      <c r="S6905" s="53"/>
    </row>
    <row r="6906" customFormat="false" ht="15" hidden="false" customHeight="false" outlineLevel="0" collapsed="false">
      <c r="A6906" s="4" t="s">
        <v>520</v>
      </c>
      <c r="B6906" s="36" t="s">
        <v>516</v>
      </c>
      <c r="C6906" s="48" t="n">
        <f aca="false">C6902*Assumptions!$E$37</f>
        <v>0</v>
      </c>
      <c r="D6906" s="48" t="n">
        <f aca="false">D6902*Assumptions!$E$37</f>
        <v>0.259912933555146</v>
      </c>
      <c r="E6906" s="48" t="n">
        <f aca="false">E6902*Assumptions!$E$37</f>
        <v>0.44551111509252</v>
      </c>
      <c r="F6906" s="48" t="n">
        <f aca="false">F6902*Assumptions!$E$37</f>
        <v>0.491582223403786</v>
      </c>
      <c r="G6906" s="48" t="n">
        <f aca="false">G6902*Assumptions!$E$37</f>
        <v>0.644652722183961</v>
      </c>
      <c r="H6906" s="48" t="n">
        <f aca="false">H6902*Assumptions!$E$37</f>
        <v>0.787793706809928</v>
      </c>
      <c r="I6906" s="48" t="n">
        <f aca="false">I6902*Assumptions!$E$37</f>
        <v>1.18770072398764</v>
      </c>
      <c r="J6906" s="48" t="n">
        <f aca="false">J6902*Assumptions!$E$37</f>
        <v>1.5501846562175</v>
      </c>
      <c r="K6906" s="48" t="n">
        <f aca="false">K6902*Assumptions!$E$37</f>
        <v>1.5608811568003</v>
      </c>
      <c r="L6906" s="48" t="n">
        <f aca="false">L6902*Assumptions!$E$37</f>
        <v>1.57519015927672</v>
      </c>
      <c r="M6906" s="48" t="n">
        <f aca="false">M6902*Assumptions!$E$37</f>
        <v>1.53010748676381</v>
      </c>
      <c r="N6906" s="48" t="n">
        <f aca="false">N6902*Assumptions!$E$37</f>
        <v>1.488153332662</v>
      </c>
      <c r="P6906" s="49" t="n">
        <f aca="false">SUM(C6906:F6906)</f>
        <v>1.19700627205145</v>
      </c>
      <c r="Q6906" s="49" t="n">
        <f aca="false">SUM(G6906:J6906)</f>
        <v>4.17033180919903</v>
      </c>
      <c r="R6906" s="49" t="n">
        <f aca="false">SUM(K6906:N6906)</f>
        <v>6.15433213550283</v>
      </c>
      <c r="S6906" s="50" t="n">
        <f aca="false">SUM(P6906:R6906)</f>
        <v>11.5216702167533</v>
      </c>
    </row>
    <row r="6907" customFormat="false" ht="15" hidden="false" customHeight="false" outlineLevel="0" collapsed="false">
      <c r="A6907" s="4" t="s">
        <v>521</v>
      </c>
      <c r="B6907" s="36" t="s">
        <v>516</v>
      </c>
      <c r="C6907" s="48" t="n">
        <f aca="false">C6902*(1-Assumptions!$E$37)</f>
        <v>0</v>
      </c>
      <c r="D6907" s="48" t="n">
        <f aca="false">D6902*(1-Assumptions!$E$37)</f>
        <v>0.606463511628675</v>
      </c>
      <c r="E6907" s="48" t="n">
        <f aca="false">E6902*(1-Assumptions!$E$37)</f>
        <v>1.03952593521588</v>
      </c>
      <c r="F6907" s="48" t="n">
        <f aca="false">F6902*(1-Assumptions!$E$37)</f>
        <v>1.14702518794217</v>
      </c>
      <c r="G6907" s="48" t="n">
        <f aca="false">G6902*(1-Assumptions!$E$37)</f>
        <v>1.50418968509591</v>
      </c>
      <c r="H6907" s="48" t="n">
        <f aca="false">H6902*(1-Assumptions!$E$37)</f>
        <v>1.83818531588983</v>
      </c>
      <c r="I6907" s="48" t="n">
        <f aca="false">I6902*(1-Assumptions!$E$37)</f>
        <v>2.77130168930449</v>
      </c>
      <c r="J6907" s="48" t="n">
        <f aca="false">J6902*(1-Assumptions!$E$37)</f>
        <v>3.61709753117416</v>
      </c>
      <c r="K6907" s="48" t="n">
        <f aca="false">K6902*(1-Assumptions!$E$37)</f>
        <v>3.64205603253404</v>
      </c>
      <c r="L6907" s="48" t="n">
        <f aca="false">L6902*(1-Assumptions!$E$37)</f>
        <v>3.67544370497901</v>
      </c>
      <c r="M6907" s="48" t="n">
        <f aca="false">M6902*(1-Assumptions!$E$37)</f>
        <v>3.5702508024489</v>
      </c>
      <c r="N6907" s="48" t="n">
        <f aca="false">N6902*(1-Assumptions!$E$37)</f>
        <v>3.47235777621132</v>
      </c>
      <c r="P6907" s="49" t="n">
        <f aca="false">SUM(C6907:F6907)</f>
        <v>2.79301463478672</v>
      </c>
      <c r="Q6907" s="49" t="n">
        <f aca="false">SUM(G6907:J6907)</f>
        <v>9.7307742214644</v>
      </c>
      <c r="R6907" s="49" t="n">
        <f aca="false">SUM(K6907:N6907)</f>
        <v>14.3601083161733</v>
      </c>
      <c r="S6907" s="50" t="n">
        <f aca="false">SUM(P6907:R6907)</f>
        <v>26.8838971724244</v>
      </c>
    </row>
    <row r="6908" customFormat="false" ht="15" hidden="false" customHeight="false" outlineLevel="0" collapsed="false">
      <c r="A6908" s="4" t="s">
        <v>522</v>
      </c>
      <c r="B6908" s="36" t="s">
        <v>125</v>
      </c>
      <c r="C6908" s="54" t="n">
        <f aca="false">C6907*$C$6861+C6903*$C$6862+C6904*$C$6863</f>
        <v>0</v>
      </c>
      <c r="D6908" s="54" t="n">
        <f aca="false">D6907*$C$6861+D6903*$C$6862+D6904*$C$6863</f>
        <v>7485.37917000042</v>
      </c>
      <c r="E6908" s="54" t="n">
        <f aca="false">E6907*$C$6861+E6903*$C$6862+E6904*$C$6863</f>
        <v>17233.8131620616</v>
      </c>
      <c r="F6908" s="54" t="n">
        <f aca="false">F6907*$C$6861+F6903*$C$6862+F6904*$C$6863</f>
        <v>21704.9328199195</v>
      </c>
      <c r="G6908" s="54" t="n">
        <f aca="false">G6907*$C$6861+G6903*$C$6862+G6904*$C$6863</f>
        <v>26686.3643527615</v>
      </c>
      <c r="H6908" s="54" t="n">
        <f aca="false">H6907*$C$6861+H6903*$C$6862+H6904*$C$6863</f>
        <v>32301.3632802412</v>
      </c>
      <c r="I6908" s="54" t="n">
        <f aca="false">I6907*$C$6861+I6903*$C$6862+I6904*$C$6863</f>
        <v>44081.0688636819</v>
      </c>
      <c r="J6908" s="54" t="n">
        <f aca="false">J6907*$C$6861+J6903*$C$6862+J6904*$C$6863</f>
        <v>57510.6418919179</v>
      </c>
      <c r="K6908" s="54" t="n">
        <f aca="false">K6907*$C$6861+K6903*$C$6862+K6904*$C$6863</f>
        <v>61638.8083226935</v>
      </c>
      <c r="L6908" s="54" t="n">
        <f aca="false">L6907*$C$6861+L6903*$C$6862+L6904*$C$6863</f>
        <v>62159.5416177683</v>
      </c>
      <c r="M6908" s="54" t="n">
        <f aca="false">M6907*$C$6861+M6903*$C$6862+M6904*$C$6863</f>
        <v>61124.4143578583</v>
      </c>
      <c r="N6908" s="54" t="n">
        <f aca="false">N6907*$C$6861+N6903*$C$6862+N6904*$C$6863</f>
        <v>59424.5709191333</v>
      </c>
      <c r="P6908" s="55" t="n">
        <f aca="false">SUM(C6908:F6908)</f>
        <v>46424.1251519815</v>
      </c>
      <c r="Q6908" s="55" t="n">
        <f aca="false">SUM(G6908:J6908)</f>
        <v>160579.438388602</v>
      </c>
      <c r="R6908" s="55" t="n">
        <f aca="false">SUM(K6908:N6908)</f>
        <v>244347.335217453</v>
      </c>
      <c r="S6908" s="56" t="n">
        <f aca="false">SUM(P6908:R6908)</f>
        <v>451350.898758037</v>
      </c>
    </row>
    <row r="6909" customFormat="false" ht="15" hidden="false" customHeight="false" outlineLevel="0" collapsed="false">
      <c r="A6909" s="4" t="s">
        <v>523</v>
      </c>
      <c r="B6909" s="36" t="s">
        <v>125</v>
      </c>
      <c r="C6909" s="54" t="n">
        <f aca="false">(C6885+Assumptions!$D$104*C6871)*$C$6866</f>
        <v>306250</v>
      </c>
      <c r="D6909" s="54" t="n">
        <f aca="false">(D6885+Assumptions!$D$104*D6871)*$C$6866</f>
        <v>306250</v>
      </c>
      <c r="E6909" s="54" t="n">
        <f aca="false">(E6885+Assumptions!$D$104*E6871)*$C$6866</f>
        <v>306250</v>
      </c>
      <c r="F6909" s="54" t="n">
        <f aca="false">(F6885+Assumptions!$D$104*F6871)*$C$6866</f>
        <v>306250</v>
      </c>
      <c r="G6909" s="54" t="n">
        <f aca="false">(G6885+Assumptions!$D$104*G6871)*$C$6866</f>
        <v>306250</v>
      </c>
      <c r="H6909" s="54" t="n">
        <f aca="false">(H6885+Assumptions!$D$104*H6871)*$C$6866</f>
        <v>306250</v>
      </c>
      <c r="I6909" s="54" t="n">
        <f aca="false">(I6885+Assumptions!$D$104*I6871)*$C$6866</f>
        <v>306250</v>
      </c>
      <c r="J6909" s="54" t="n">
        <f aca="false">(J6885+Assumptions!$D$104*J6871)*$C$6866</f>
        <v>306250</v>
      </c>
      <c r="K6909" s="54" t="n">
        <f aca="false">(K6885+Assumptions!$D$104*K6871)*$C$6866</f>
        <v>306250</v>
      </c>
      <c r="L6909" s="54" t="n">
        <f aca="false">(L6885+Assumptions!$D$104*L6871)*$C$6866</f>
        <v>306250</v>
      </c>
      <c r="M6909" s="54" t="n">
        <f aca="false">(M6885+Assumptions!$D$104*M6871)*$C$6866</f>
        <v>306250</v>
      </c>
      <c r="N6909" s="54" t="n">
        <f aca="false">(N6885+Assumptions!$D$104*N6871)*$C$6866</f>
        <v>306250</v>
      </c>
      <c r="P6909" s="55" t="n">
        <f aca="false">SUM(C6909:F6909)</f>
        <v>1225000</v>
      </c>
      <c r="Q6909" s="55" t="n">
        <f aca="false">SUM(G6909:J6909)</f>
        <v>1225000</v>
      </c>
      <c r="R6909" s="55" t="n">
        <f aca="false">SUM(K6909:N6909)</f>
        <v>1225000</v>
      </c>
      <c r="S6909" s="56" t="n">
        <f aca="false">SUM(P6909:R6909)</f>
        <v>3675000</v>
      </c>
    </row>
    <row r="6910" customFormat="false" ht="15" hidden="false" customHeight="false" outlineLevel="0" collapsed="false">
      <c r="A6910" s="4" t="s">
        <v>524</v>
      </c>
      <c r="B6910" s="36" t="s">
        <v>77</v>
      </c>
      <c r="C6910" s="51" t="n">
        <f aca="false">IF(C6908&gt;0,MIN(1,C6909/C6908),1)</f>
        <v>1</v>
      </c>
      <c r="D6910" s="51" t="n">
        <f aca="false">IF(D6908&gt;0,MIN(1,D6909/D6908),1)</f>
        <v>1</v>
      </c>
      <c r="E6910" s="51" t="n">
        <f aca="false">IF(E6908&gt;0,MIN(1,E6909/E6908),1)</f>
        <v>1</v>
      </c>
      <c r="F6910" s="51" t="n">
        <f aca="false">IF(F6908&gt;0,MIN(1,F6909/F6908),1)</f>
        <v>1</v>
      </c>
      <c r="G6910" s="51" t="n">
        <f aca="false">IF(G6908&gt;0,MIN(1,G6909/G6908),1)</f>
        <v>1</v>
      </c>
      <c r="H6910" s="51" t="n">
        <f aca="false">IF(H6908&gt;0,MIN(1,H6909/H6908),1)</f>
        <v>1</v>
      </c>
      <c r="I6910" s="51" t="n">
        <f aca="false">IF(I6908&gt;0,MIN(1,I6909/I6908),1)</f>
        <v>1</v>
      </c>
      <c r="J6910" s="51" t="n">
        <f aca="false">IF(J6908&gt;0,MIN(1,J6909/J6908),1)</f>
        <v>1</v>
      </c>
      <c r="K6910" s="51" t="n">
        <f aca="false">IF(K6908&gt;0,MIN(1,K6909/K6908),1)</f>
        <v>1</v>
      </c>
      <c r="L6910" s="51" t="n">
        <f aca="false">IF(L6908&gt;0,MIN(1,L6909/L6908),1)</f>
        <v>1</v>
      </c>
      <c r="M6910" s="51" t="n">
        <f aca="false">IF(M6908&gt;0,MIN(1,M6909/M6908),1)</f>
        <v>1</v>
      </c>
      <c r="N6910" s="51" t="n">
        <f aca="false">IF(N6908&gt;0,MIN(1,N6909/N6908),1)</f>
        <v>1</v>
      </c>
      <c r="P6910" s="52"/>
      <c r="Q6910" s="52"/>
      <c r="R6910" s="52"/>
      <c r="S6910" s="53"/>
    </row>
    <row r="6911" customFormat="false" ht="15" hidden="false" customHeight="false" outlineLevel="0" collapsed="false">
      <c r="A6911" s="4" t="s">
        <v>525</v>
      </c>
      <c r="B6911" s="36" t="s">
        <v>125</v>
      </c>
      <c r="C6911" s="54" t="n">
        <f aca="false">C6908*(1-C6910)</f>
        <v>0</v>
      </c>
      <c r="D6911" s="54" t="n">
        <f aca="false">D6908*(1-D6910)</f>
        <v>0</v>
      </c>
      <c r="E6911" s="54" t="n">
        <f aca="false">E6908*(1-E6910)</f>
        <v>0</v>
      </c>
      <c r="F6911" s="54" t="n">
        <f aca="false">F6908*(1-F6910)</f>
        <v>0</v>
      </c>
      <c r="G6911" s="54" t="n">
        <f aca="false">G6908*(1-G6910)</f>
        <v>0</v>
      </c>
      <c r="H6911" s="54" t="n">
        <f aca="false">H6908*(1-H6910)</f>
        <v>0</v>
      </c>
      <c r="I6911" s="54" t="n">
        <f aca="false">I6908*(1-I6910)</f>
        <v>0</v>
      </c>
      <c r="J6911" s="54" t="n">
        <f aca="false">J6908*(1-J6910)</f>
        <v>0</v>
      </c>
      <c r="K6911" s="54" t="n">
        <f aca="false">K6908*(1-K6910)</f>
        <v>0</v>
      </c>
      <c r="L6911" s="54" t="n">
        <f aca="false">L6908*(1-L6910)</f>
        <v>0</v>
      </c>
      <c r="M6911" s="54" t="n">
        <f aca="false">M6908*(1-M6910)</f>
        <v>0</v>
      </c>
      <c r="N6911" s="54" t="n">
        <f aca="false">N6908*(1-N6910)</f>
        <v>0</v>
      </c>
      <c r="P6911" s="55" t="n">
        <f aca="false">SUM(C6911:F6911)</f>
        <v>0</v>
      </c>
      <c r="Q6911" s="55" t="n">
        <f aca="false">SUM(G6911:J6911)</f>
        <v>0</v>
      </c>
      <c r="R6911" s="55" t="n">
        <f aca="false">SUM(K6911:N6911)</f>
        <v>0</v>
      </c>
      <c r="S6911" s="56" t="n">
        <f aca="false">SUM(P6911:R6911)</f>
        <v>0</v>
      </c>
    </row>
    <row r="6912" customFormat="false" ht="15" hidden="false" customHeight="false" outlineLevel="0" collapsed="false">
      <c r="A6912" s="4" t="s">
        <v>526</v>
      </c>
      <c r="B6912" s="36" t="s">
        <v>527</v>
      </c>
      <c r="C6912" s="48" t="n">
        <f aca="false">C6906+C6907*C6910</f>
        <v>0</v>
      </c>
      <c r="D6912" s="48" t="n">
        <f aca="false">D6906+D6907*D6910</f>
        <v>0.866376445183821</v>
      </c>
      <c r="E6912" s="48" t="n">
        <f aca="false">E6906+E6907*E6910</f>
        <v>1.4850370503084</v>
      </c>
      <c r="F6912" s="48" t="n">
        <f aca="false">F6906+F6907*F6910</f>
        <v>1.63860741134595</v>
      </c>
      <c r="G6912" s="48" t="n">
        <f aca="false">G6906+G6907*G6910</f>
        <v>2.14884240727987</v>
      </c>
      <c r="H6912" s="48" t="n">
        <f aca="false">H6906+H6907*H6910</f>
        <v>2.62597902269976</v>
      </c>
      <c r="I6912" s="48" t="n">
        <f aca="false">I6906+I6907*I6910</f>
        <v>3.95900241329213</v>
      </c>
      <c r="J6912" s="48" t="n">
        <f aca="false">J6906+J6907*J6910</f>
        <v>5.16728218739166</v>
      </c>
      <c r="K6912" s="48" t="n">
        <f aca="false">K6906+K6907*K6910</f>
        <v>5.20293718933434</v>
      </c>
      <c r="L6912" s="48" t="n">
        <f aca="false">L6906+L6907*L6910</f>
        <v>5.25063386425573</v>
      </c>
      <c r="M6912" s="48" t="n">
        <f aca="false">M6906+M6907*M6910</f>
        <v>5.10035828921271</v>
      </c>
      <c r="N6912" s="48" t="n">
        <f aca="false">N6906+N6907*N6910</f>
        <v>4.96051110887332</v>
      </c>
      <c r="P6912" s="49" t="n">
        <f aca="false">SUM(C6912:F6912)</f>
        <v>3.99002090683817</v>
      </c>
      <c r="Q6912" s="49" t="n">
        <f aca="false">SUM(G6912:J6912)</f>
        <v>13.9011060306634</v>
      </c>
      <c r="R6912" s="49" t="n">
        <f aca="false">SUM(K6912:N6912)</f>
        <v>20.5144404516761</v>
      </c>
      <c r="S6912" s="50" t="n">
        <f aca="false">SUM(P6912:R6912)</f>
        <v>38.4055673891777</v>
      </c>
    </row>
    <row r="6913" customFormat="false" ht="15" hidden="false" customHeight="false" outlineLevel="0" collapsed="false">
      <c r="A6913" s="4" t="s">
        <v>528</v>
      </c>
      <c r="B6913" s="36" t="s">
        <v>527</v>
      </c>
      <c r="C6913" s="48" t="n">
        <f aca="false">C6903*C6910</f>
        <v>0</v>
      </c>
      <c r="D6913" s="48" t="n">
        <f aca="false">D6903*D6910</f>
        <v>0.434084974267145</v>
      </c>
      <c r="E6913" s="48" t="n">
        <f aca="false">E6903*E6910</f>
        <v>0.744055627726705</v>
      </c>
      <c r="F6913" s="48" t="n">
        <f aca="false">F6903*F6910</f>
        <v>0.820999762796119</v>
      </c>
      <c r="G6913" s="48" t="n">
        <f aca="false">G6903*G6910</f>
        <v>1.0554058212746</v>
      </c>
      <c r="H6913" s="48" t="n">
        <f aca="false">H6903*H6910</f>
        <v>1.27471931728336</v>
      </c>
      <c r="I6913" s="48" t="n">
        <f aca="false">I6903*I6910</f>
        <v>1.80761956215408</v>
      </c>
      <c r="J6913" s="48" t="n">
        <f aca="false">J6903*J6910</f>
        <v>2.29760890079934</v>
      </c>
      <c r="K6913" s="48" t="n">
        <f aca="false">K6903*K6910</f>
        <v>2.31346273785538</v>
      </c>
      <c r="L6913" s="48" t="n">
        <f aca="false">L6903*L6910</f>
        <v>2.33467085091437</v>
      </c>
      <c r="M6913" s="48" t="n">
        <f aca="false">M6903*M6910</f>
        <v>2.26785148896157</v>
      </c>
      <c r="N6913" s="48" t="n">
        <f aca="false">N6903*N6910</f>
        <v>2.2056690660462</v>
      </c>
      <c r="P6913" s="49" t="n">
        <f aca="false">SUM(C6913:F6913)</f>
        <v>1.99914036478997</v>
      </c>
      <c r="Q6913" s="49" t="n">
        <f aca="false">SUM(G6913:J6913)</f>
        <v>6.43535360151137</v>
      </c>
      <c r="R6913" s="49" t="n">
        <f aca="false">SUM(K6913:N6913)</f>
        <v>9.12165414377753</v>
      </c>
      <c r="S6913" s="50" t="n">
        <f aca="false">SUM(P6913:R6913)</f>
        <v>17.5561481100789</v>
      </c>
    </row>
    <row r="6914" customFormat="false" ht="15" hidden="false" customHeight="false" outlineLevel="0" collapsed="false">
      <c r="A6914" s="4" t="s">
        <v>529</v>
      </c>
      <c r="B6914" s="36" t="s">
        <v>527</v>
      </c>
      <c r="C6914" s="48" t="n">
        <f aca="false">C6904*C6910</f>
        <v>0</v>
      </c>
      <c r="D6914" s="48" t="n">
        <f aca="false">D6904*D6910</f>
        <v>0</v>
      </c>
      <c r="E6914" s="48" t="n">
        <f aca="false">E6904*E6910</f>
        <v>0.071275680959914</v>
      </c>
      <c r="F6914" s="48" t="n">
        <f aca="false">F6904*F6910</f>
        <v>0.122172096898336</v>
      </c>
      <c r="G6914" s="48" t="n">
        <f aca="false">G6904*G6910</f>
        <v>0.134806133891215</v>
      </c>
      <c r="H6914" s="48" t="n">
        <f aca="false">H6904*H6910</f>
        <v>0.162088884791596</v>
      </c>
      <c r="I6914" s="48" t="n">
        <f aca="false">I6904*I6910</f>
        <v>0.187680076603712</v>
      </c>
      <c r="J6914" s="48" t="n">
        <f aca="false">J6904*J6910</f>
        <v>0.254326259223439</v>
      </c>
      <c r="K6914" s="48" t="n">
        <f aca="false">K6904*K6910</f>
        <v>0.316479980888313</v>
      </c>
      <c r="L6914" s="48" t="n">
        <f aca="false">L6904*L6910</f>
        <v>0.31866373898864</v>
      </c>
      <c r="M6914" s="48" t="n">
        <f aca="false">M6904*M6910</f>
        <v>0.321585012149295</v>
      </c>
      <c r="N6914" s="48" t="n">
        <f aca="false">N6904*N6910</f>
        <v>0.312381100035952</v>
      </c>
      <c r="P6914" s="49" t="n">
        <f aca="false">SUM(C6914:F6914)</f>
        <v>0.19344777785825</v>
      </c>
      <c r="Q6914" s="49" t="n">
        <f aca="false">SUM(G6914:J6914)</f>
        <v>0.738901354509962</v>
      </c>
      <c r="R6914" s="49" t="n">
        <f aca="false">SUM(K6914:N6914)</f>
        <v>1.2691098320622</v>
      </c>
      <c r="S6914" s="50" t="n">
        <f aca="false">SUM(P6914:R6914)</f>
        <v>2.20145896443041</v>
      </c>
    </row>
    <row r="6915" customFormat="false" ht="15" hidden="false" customHeight="false" outlineLevel="0" collapsed="false">
      <c r="A6915" s="9" t="s">
        <v>530</v>
      </c>
      <c r="B6915" s="36" t="s">
        <v>527</v>
      </c>
      <c r="C6915" s="49" t="n">
        <f aca="false">C6912+C6913+C6914</f>
        <v>0</v>
      </c>
      <c r="D6915" s="49" t="n">
        <f aca="false">D6912+D6913+D6914</f>
        <v>1.30046141945097</v>
      </c>
      <c r="E6915" s="49" t="n">
        <f aca="false">E6912+E6913+E6914</f>
        <v>2.30036835899502</v>
      </c>
      <c r="F6915" s="49" t="n">
        <f aca="false">F6912+F6913+F6914</f>
        <v>2.58177927104041</v>
      </c>
      <c r="G6915" s="49" t="n">
        <f aca="false">G6912+G6913+G6914</f>
        <v>3.33905436244569</v>
      </c>
      <c r="H6915" s="49" t="n">
        <f aca="false">H6912+H6913+H6914</f>
        <v>4.06278722477471</v>
      </c>
      <c r="I6915" s="49" t="n">
        <f aca="false">I6912+I6913+I6914</f>
        <v>5.95430205204992</v>
      </c>
      <c r="J6915" s="49" t="n">
        <f aca="false">J6912+J6913+J6914</f>
        <v>7.71921734741444</v>
      </c>
      <c r="K6915" s="49" t="n">
        <f aca="false">K6912+K6913+K6914</f>
        <v>7.83287990807804</v>
      </c>
      <c r="L6915" s="49" t="n">
        <f aca="false">L6912+L6913+L6914</f>
        <v>7.90396845415874</v>
      </c>
      <c r="M6915" s="49" t="n">
        <f aca="false">M6912+M6913+M6914</f>
        <v>7.68979479032358</v>
      </c>
      <c r="N6915" s="49" t="n">
        <f aca="false">N6912+N6913+N6914</f>
        <v>7.47856127495547</v>
      </c>
      <c r="P6915" s="49" t="n">
        <f aca="false">SUM(C6915:F6915)</f>
        <v>6.18260904948639</v>
      </c>
      <c r="Q6915" s="49" t="n">
        <f aca="false">SUM(G6915:J6915)</f>
        <v>21.0753609866848</v>
      </c>
      <c r="R6915" s="49" t="n">
        <f aca="false">SUM(K6915:N6915)</f>
        <v>30.9052044275158</v>
      </c>
      <c r="S6915" s="50" t="n">
        <f aca="false">SUM(P6915:R6915)</f>
        <v>58.163174463687</v>
      </c>
    </row>
    <row r="6916" customFormat="false" ht="15" hidden="false" customHeight="false" outlineLevel="0" collapsed="false">
      <c r="A6916" s="35" t="s">
        <v>533</v>
      </c>
      <c r="B6916" s="35" t="s">
        <v>444</v>
      </c>
      <c r="C6916" s="6" t="s">
        <v>354</v>
      </c>
      <c r="D6916" s="6" t="s">
        <v>355</v>
      </c>
      <c r="E6916" s="6" t="s">
        <v>356</v>
      </c>
      <c r="F6916" s="6" t="s">
        <v>357</v>
      </c>
      <c r="G6916" s="6" t="s">
        <v>358</v>
      </c>
      <c r="H6916" s="6" t="s">
        <v>359</v>
      </c>
      <c r="I6916" s="6" t="s">
        <v>360</v>
      </c>
      <c r="J6916" s="6" t="s">
        <v>361</v>
      </c>
      <c r="K6916" s="6" t="s">
        <v>362</v>
      </c>
      <c r="L6916" s="6" t="s">
        <v>363</v>
      </c>
      <c r="M6916" s="6" t="s">
        <v>364</v>
      </c>
      <c r="N6916" s="6" t="s">
        <v>365</v>
      </c>
      <c r="P6916" s="6" t="s">
        <v>445</v>
      </c>
      <c r="Q6916" s="6" t="s">
        <v>446</v>
      </c>
      <c r="R6916" s="6" t="s">
        <v>447</v>
      </c>
      <c r="S6916" s="6" t="s">
        <v>448</v>
      </c>
    </row>
    <row r="6917" customFormat="false" ht="15" hidden="false" customHeight="false" outlineLevel="0" collapsed="false">
      <c r="A6917" s="4" t="s">
        <v>534</v>
      </c>
      <c r="B6917" s="36" t="s">
        <v>527</v>
      </c>
      <c r="C6917" s="48" t="n">
        <f aca="false">0*Assumptions!$E$59^(1/4)+C6912</f>
        <v>0</v>
      </c>
      <c r="D6917" s="48" t="n">
        <f aca="false">C6917*Assumptions!$E$59^(1/4)+D6912</f>
        <v>0.866376445183821</v>
      </c>
      <c r="E6917" s="48" t="n">
        <f aca="false">D6917*Assumptions!$E$59^(1/4)+E6912</f>
        <v>2.32416329488403</v>
      </c>
      <c r="F6917" s="48" t="n">
        <f aca="false">E6917*Assumptions!$E$59^(1/4)+F6912</f>
        <v>3.88966863104794</v>
      </c>
      <c r="G6917" s="48" t="n">
        <f aca="false">F6917*Assumptions!$E$59^(1/4)+G6912</f>
        <v>5.91616901127402</v>
      </c>
      <c r="H6917" s="48" t="n">
        <f aca="false">G6917*Assumptions!$E$59^(1/4)+H6912</f>
        <v>8.35606634478962</v>
      </c>
      <c r="I6917" s="48" t="n">
        <f aca="false">H6917*Assumptions!$E$59^(1/4)+I6912</f>
        <v>12.0522448026791</v>
      </c>
      <c r="J6917" s="48" t="n">
        <f aca="false">I6917*Assumptions!$E$59^(1/4)+J6912</f>
        <v>16.8404468679394</v>
      </c>
      <c r="K6917" s="48" t="n">
        <f aca="false">J6917*Assumptions!$E$59^(1/4)+K6912</f>
        <v>21.513700271393</v>
      </c>
      <c r="L6917" s="48" t="n">
        <f aca="false">K6917*Assumptions!$E$59^(1/4)+L6912</f>
        <v>26.0876621745411</v>
      </c>
      <c r="M6917" s="48" t="n">
        <f aca="false">L6917*Assumptions!$E$59^(1/4)+M6912</f>
        <v>30.367483350116</v>
      </c>
      <c r="N6917" s="48" t="n">
        <f aca="false">M6917*Assumptions!$E$59^(1/4)+N6912</f>
        <v>34.3728438222693</v>
      </c>
      <c r="P6917" s="49" t="n">
        <f aca="false">F6917</f>
        <v>3.88966863104794</v>
      </c>
      <c r="Q6917" s="49" t="n">
        <f aca="false">J6917</f>
        <v>16.8404468679394</v>
      </c>
      <c r="R6917" s="49" t="n">
        <f aca="false">N6917</f>
        <v>34.3728438222693</v>
      </c>
      <c r="S6917" s="50" t="n">
        <f aca="false">R6917</f>
        <v>34.3728438222693</v>
      </c>
    </row>
    <row r="6918" customFormat="false" ht="15" hidden="false" customHeight="false" outlineLevel="0" collapsed="false">
      <c r="A6918" s="4" t="s">
        <v>535</v>
      </c>
      <c r="B6918" s="36" t="s">
        <v>527</v>
      </c>
      <c r="C6918" s="48" t="n">
        <f aca="false">0*Assumptions!$E$60^(1/4)+C6913</f>
        <v>0</v>
      </c>
      <c r="D6918" s="48" t="n">
        <f aca="false">C6918*Assumptions!$E$60^(1/4)+D6913</f>
        <v>0.434084974267145</v>
      </c>
      <c r="E6918" s="48" t="n">
        <f aca="false">D6918*Assumptions!$E$60^(1/4)+E6913</f>
        <v>1.16685601892983</v>
      </c>
      <c r="F6918" s="48" t="n">
        <f aca="false">E6918*Assumptions!$E$60^(1/4)+F6913</f>
        <v>1.95752189677268</v>
      </c>
      <c r="G6918" s="48" t="n">
        <f aca="false">F6918*Assumptions!$E$60^(1/4)+G6913</f>
        <v>2.96203948244075</v>
      </c>
      <c r="H6918" s="48" t="n">
        <f aca="false">G6918*Assumptions!$E$60^(1/4)+H6913</f>
        <v>4.1597568702403</v>
      </c>
      <c r="I6918" s="48" t="n">
        <f aca="false">H6918*Assumptions!$E$60^(1/4)+I6913</f>
        <v>5.85923833798649</v>
      </c>
      <c r="J6918" s="48" t="n">
        <f aca="false">I6918*Assumptions!$E$60^(1/4)+J6913</f>
        <v>8.00452899319691</v>
      </c>
      <c r="K6918" s="48" t="n">
        <f aca="false">J6918*Assumptions!$E$60^(1/4)+K6913</f>
        <v>10.1099039655991</v>
      </c>
      <c r="L6918" s="48" t="n">
        <f aca="false">K6918*Assumptions!$E$60^(1/4)+L6913</f>
        <v>12.1817551894078</v>
      </c>
      <c r="M6918" s="48" t="n">
        <f aca="false">L6918*Assumptions!$E$60^(1/4)+M6913</f>
        <v>14.1329266814806</v>
      </c>
      <c r="N6918" s="48" t="n">
        <f aca="false">M6918*Assumptions!$E$60^(1/4)+N6913</f>
        <v>15.9711926017623</v>
      </c>
      <c r="P6918" s="49" t="n">
        <f aca="false">F6918</f>
        <v>1.95752189677268</v>
      </c>
      <c r="Q6918" s="49" t="n">
        <f aca="false">J6918</f>
        <v>8.00452899319691</v>
      </c>
      <c r="R6918" s="49" t="n">
        <f aca="false">N6918</f>
        <v>15.9711926017623</v>
      </c>
      <c r="S6918" s="50" t="n">
        <f aca="false">R6918</f>
        <v>15.9711926017623</v>
      </c>
    </row>
    <row r="6919" customFormat="false" ht="15" hidden="false" customHeight="false" outlineLevel="0" collapsed="false">
      <c r="A6919" s="4" t="s">
        <v>536</v>
      </c>
      <c r="B6919" s="36" t="s">
        <v>527</v>
      </c>
      <c r="C6919" s="48" t="n">
        <f aca="false">0*Assumptions!$E$61^(1/4)+C6914</f>
        <v>0</v>
      </c>
      <c r="D6919" s="48" t="n">
        <f aca="false">C6919*Assumptions!$E$61^(1/4)+D6914</f>
        <v>0</v>
      </c>
      <c r="E6919" s="48" t="n">
        <f aca="false">D6919*Assumptions!$E$61^(1/4)+E6914</f>
        <v>0.071275680959914</v>
      </c>
      <c r="F6919" s="48" t="n">
        <f aca="false">E6919*Assumptions!$E$61^(1/4)+F6914</f>
        <v>0.191977386314485</v>
      </c>
      <c r="G6919" s="48" t="n">
        <f aca="false">F6919*Assumptions!$E$61^(1/4)+G6914</f>
        <v>0.322823096094288</v>
      </c>
      <c r="H6919" s="48" t="n">
        <f aca="false">G6919*Assumptions!$E$61^(1/4)+H6914</f>
        <v>0.478252257060922</v>
      </c>
      <c r="I6919" s="48" t="n">
        <f aca="false">H6919*Assumptions!$E$61^(1/4)+I6914</f>
        <v>0.656066162411015</v>
      </c>
      <c r="J6919" s="48" t="n">
        <f aca="false">I6919*Assumptions!$E$61^(1/4)+J6914</f>
        <v>0.896858013763948</v>
      </c>
      <c r="K6919" s="48" t="n">
        <f aca="false">J6919*Assumptions!$E$61^(1/4)+K6914</f>
        <v>1.194836137895</v>
      </c>
      <c r="L6919" s="48" t="n">
        <f aca="false">K6919*Assumptions!$E$61^(1/4)+L6914</f>
        <v>1.48885083909565</v>
      </c>
      <c r="M6919" s="48" t="n">
        <f aca="false">L6919*Assumptions!$E$61^(1/4)+M6914</f>
        <v>1.77972139640916</v>
      </c>
      <c r="N6919" s="48" t="n">
        <f aca="false">M6919*Assumptions!$E$61^(1/4)+N6914</f>
        <v>2.05538748711381</v>
      </c>
      <c r="P6919" s="49" t="n">
        <f aca="false">F6919</f>
        <v>0.191977386314485</v>
      </c>
      <c r="Q6919" s="49" t="n">
        <f aca="false">J6919</f>
        <v>0.896858013763948</v>
      </c>
      <c r="R6919" s="49" t="n">
        <f aca="false">N6919</f>
        <v>2.05538748711381</v>
      </c>
      <c r="S6919" s="50" t="n">
        <f aca="false">R6919</f>
        <v>2.05538748711381</v>
      </c>
    </row>
    <row r="6920" customFormat="false" ht="15" hidden="false" customHeight="false" outlineLevel="0" collapsed="false">
      <c r="A6920" s="9" t="s">
        <v>537</v>
      </c>
      <c r="B6920" s="36" t="s">
        <v>527</v>
      </c>
      <c r="C6920" s="49" t="n">
        <f aca="false">C6917+C6918+C6919</f>
        <v>0</v>
      </c>
      <c r="D6920" s="49" t="n">
        <f aca="false">D6917+D6918+D6919</f>
        <v>1.30046141945097</v>
      </c>
      <c r="E6920" s="49" t="n">
        <f aca="false">E6917+E6918+E6919</f>
        <v>3.56229499477378</v>
      </c>
      <c r="F6920" s="49" t="n">
        <f aca="false">F6917+F6918+F6919</f>
        <v>6.0391679141351</v>
      </c>
      <c r="G6920" s="49" t="n">
        <f aca="false">G6917+G6918+G6919</f>
        <v>9.20103158980906</v>
      </c>
      <c r="H6920" s="49" t="n">
        <f aca="false">H6917+H6918+H6919</f>
        <v>12.9940754720908</v>
      </c>
      <c r="I6920" s="49" t="n">
        <f aca="false">I6917+I6918+I6919</f>
        <v>18.5675493030766</v>
      </c>
      <c r="J6920" s="49" t="n">
        <f aca="false">J6917+J6918+J6919</f>
        <v>25.7418338749003</v>
      </c>
      <c r="K6920" s="49" t="n">
        <f aca="false">K6917+K6918+K6919</f>
        <v>32.8184403748871</v>
      </c>
      <c r="L6920" s="49" t="n">
        <f aca="false">L6917+L6918+L6919</f>
        <v>39.7582682030446</v>
      </c>
      <c r="M6920" s="49" t="n">
        <f aca="false">M6917+M6918+M6919</f>
        <v>46.2801314280058</v>
      </c>
      <c r="N6920" s="49" t="n">
        <f aca="false">N6917+N6918+N6919</f>
        <v>52.3994239111455</v>
      </c>
      <c r="P6920" s="49" t="n">
        <f aca="false">F6920</f>
        <v>6.0391679141351</v>
      </c>
      <c r="Q6920" s="49" t="n">
        <f aca="false">J6920</f>
        <v>25.7418338749003</v>
      </c>
      <c r="R6920" s="49" t="n">
        <f aca="false">N6920</f>
        <v>52.3994239111455</v>
      </c>
      <c r="S6920" s="50" t="n">
        <f aca="false">R6920</f>
        <v>52.3994239111455</v>
      </c>
    </row>
    <row r="6921" customFormat="false" ht="15" hidden="false" customHeight="false" outlineLevel="0" collapsed="false">
      <c r="A6921" s="4" t="s">
        <v>538</v>
      </c>
      <c r="B6921" s="36" t="s">
        <v>125</v>
      </c>
      <c r="C6921" s="54" t="n">
        <f aca="false">0*Assumptions!$E$62^(1/4)+C6912*$C$6861</f>
        <v>0</v>
      </c>
      <c r="D6921" s="54" t="n">
        <f aca="false">C6921*Assumptions!$E$62^(1/4)+D6912*$C$6861</f>
        <v>4636.84673462381</v>
      </c>
      <c r="E6921" s="54" t="n">
        <f aca="false">D6921*Assumptions!$E$62^(1/4)+E6912*$C$6861</f>
        <v>12584.7650278744</v>
      </c>
      <c r="F6921" s="54" t="n">
        <f aca="false">E6921*Assumptions!$E$62^(1/4)+F6912*$C$6861</f>
        <v>21354.5918933979</v>
      </c>
      <c r="G6921" s="54" t="n">
        <f aca="false">F6921*Assumptions!$E$62^(1/4)+G6912*$C$6861</f>
        <v>32855.1964571598</v>
      </c>
      <c r="H6921" s="54" t="n">
        <f aca="false">G6921*Assumptions!$E$62^(1/4)+H6912*$C$6861</f>
        <v>46909.4361866489</v>
      </c>
      <c r="I6921" s="54" t="n">
        <f aca="false">H6921*Assumptions!$E$62^(1/4)+I6912*$C$6861</f>
        <v>68098.0171025884</v>
      </c>
      <c r="J6921" s="54" t="n">
        <f aca="false">I6921*Assumptions!$E$62^(1/4)+J6912*$C$6861</f>
        <v>95753.3113695086</v>
      </c>
      <c r="K6921" s="54" t="n">
        <f aca="false">J6921*Assumptions!$E$62^(1/4)+K6912*$C$6861</f>
        <v>123599.431206826</v>
      </c>
      <c r="L6921" s="54" t="n">
        <f aca="false">K6921*Assumptions!$E$62^(1/4)+L6912*$C$6861</f>
        <v>151700.823648323</v>
      </c>
      <c r="M6921" s="54" t="n">
        <f aca="false">L6921*Assumptions!$E$62^(1/4)+M6912*$C$6861</f>
        <v>178997.941212189</v>
      </c>
      <c r="N6921" s="54" t="n">
        <f aca="false">M6921*Assumptions!$E$62^(1/4)+N6912*$C$6861</f>
        <v>205546.596666879</v>
      </c>
      <c r="P6921" s="55" t="n">
        <f aca="false">F6921</f>
        <v>21354.5918933979</v>
      </c>
      <c r="Q6921" s="55" t="n">
        <f aca="false">J6921</f>
        <v>95753.3113695086</v>
      </c>
      <c r="R6921" s="55" t="n">
        <f aca="false">N6921</f>
        <v>205546.596666879</v>
      </c>
      <c r="S6921" s="56" t="n">
        <f aca="false">R6921</f>
        <v>205546.596666879</v>
      </c>
    </row>
    <row r="6922" customFormat="false" ht="15" hidden="false" customHeight="false" outlineLevel="0" collapsed="false">
      <c r="A6922" s="4" t="s">
        <v>539</v>
      </c>
      <c r="B6922" s="36" t="s">
        <v>125</v>
      </c>
      <c r="C6922" s="54" t="n">
        <f aca="false">0*Assumptions!$E$63^(1/4)+C6913*$C$6862</f>
        <v>0</v>
      </c>
      <c r="D6922" s="54" t="n">
        <f aca="false">C6922*Assumptions!$E$63^(1/4)+D6913*$C$6862</f>
        <v>4239.58645576376</v>
      </c>
      <c r="E6922" s="54" t="n">
        <f aca="false">D6922*Assumptions!$E$63^(1/4)+E6913*$C$6862</f>
        <v>11568.780571464</v>
      </c>
      <c r="F6922" s="54" t="n">
        <f aca="false">E6922*Assumptions!$E$63^(1/4)+F6913*$C$6862</f>
        <v>19757.0139869302</v>
      </c>
      <c r="G6922" s="54" t="n">
        <f aca="false">F6922*Assumptions!$E$63^(1/4)+G6913*$C$6862</f>
        <v>30354.7786495713</v>
      </c>
      <c r="H6922" s="54" t="n">
        <f aca="false">G6922*Assumptions!$E$63^(1/4)+H6913*$C$6862</f>
        <v>43250.0268165793</v>
      </c>
      <c r="I6922" s="54" t="n">
        <f aca="false">H6922*Assumptions!$E$63^(1/4)+I6913*$C$6862</f>
        <v>61539.1854196924</v>
      </c>
      <c r="J6922" s="54" t="n">
        <f aca="false">I6922*Assumptions!$E$63^(1/4)+J6913*$C$6862</f>
        <v>84882.3050593224</v>
      </c>
      <c r="K6922" s="54" t="n">
        <f aca="false">J6922*Assumptions!$E$63^(1/4)+K6913*$C$6862</f>
        <v>108722.798035134</v>
      </c>
      <c r="L6922" s="54" t="n">
        <f aca="false">K6922*Assumptions!$E$63^(1/4)+L6913*$C$6862</f>
        <v>133120.256442164</v>
      </c>
      <c r="M6922" s="54" t="n">
        <f aca="false">L6922*Assumptions!$E$63^(1/4)+M6913*$C$6862</f>
        <v>157223.11339339</v>
      </c>
      <c r="N6922" s="54" t="n">
        <f aca="false">M6922*Assumptions!$E$63^(1/4)+N6913*$C$6862</f>
        <v>181072.333638202</v>
      </c>
      <c r="P6922" s="55" t="n">
        <f aca="false">F6922</f>
        <v>19757.0139869302</v>
      </c>
      <c r="Q6922" s="55" t="n">
        <f aca="false">J6922</f>
        <v>84882.3050593224</v>
      </c>
      <c r="R6922" s="55" t="n">
        <f aca="false">N6922</f>
        <v>181072.333638202</v>
      </c>
      <c r="S6922" s="56" t="n">
        <f aca="false">R6922</f>
        <v>181072.333638202</v>
      </c>
    </row>
    <row r="6923" customFormat="false" ht="15" hidden="false" customHeight="false" outlineLevel="0" collapsed="false">
      <c r="A6923" s="4" t="s">
        <v>540</v>
      </c>
      <c r="B6923" s="36" t="s">
        <v>125</v>
      </c>
      <c r="C6923" s="54" t="n">
        <f aca="false">0*Assumptions!$E$64^(1/4)+C6914*$C$6863</f>
        <v>0</v>
      </c>
      <c r="D6923" s="54" t="n">
        <f aca="false">C6923*Assumptions!$E$64^(1/4)+D6914*$C$6863</f>
        <v>0</v>
      </c>
      <c r="E6923" s="54" t="n">
        <f aca="false">D6923*Assumptions!$E$64^(1/4)+E6914*$C$6863</f>
        <v>4403.28728055653</v>
      </c>
      <c r="F6923" s="54" t="n">
        <f aca="false">E6923*Assumptions!$E$64^(1/4)+F6914*$C$6863</f>
        <v>12107.4388108841</v>
      </c>
      <c r="G6923" s="54" t="n">
        <f aca="false">F6923*Assumptions!$E$64^(1/4)+G6914*$C$6863</f>
        <v>20866.0439239064</v>
      </c>
      <c r="H6923" s="54" t="n">
        <f aca="false">G6923*Assumptions!$E$64^(1/4)+H6914*$C$6863</f>
        <v>31621.5689616786</v>
      </c>
      <c r="I6923" s="54" t="n">
        <f aca="false">H6923*Assumptions!$E$64^(1/4)+I6914*$C$6863</f>
        <v>44340.5189845678</v>
      </c>
      <c r="J6923" s="54" t="n">
        <f aca="false">I6923*Assumptions!$E$64^(1/4)+J6914*$C$6863</f>
        <v>61629.0153492852</v>
      </c>
      <c r="K6923" s="54" t="n">
        <f aca="false">J6923*Assumptions!$E$64^(1/4)+K6914*$C$6863</f>
        <v>83372.0059295753</v>
      </c>
      <c r="L6923" s="54" t="n">
        <f aca="false">K6923*Assumptions!$E$64^(1/4)+L6914*$C$6863</f>
        <v>106023.044196258</v>
      </c>
      <c r="M6923" s="54" t="n">
        <f aca="false">L6923*Assumptions!$E$64^(1/4)+M6914*$C$6863</f>
        <v>129659.98097265</v>
      </c>
      <c r="N6923" s="54" t="n">
        <f aca="false">M6923*Assumptions!$E$64^(1/4)+N6914*$C$6863</f>
        <v>153568.80011066</v>
      </c>
      <c r="P6923" s="55" t="n">
        <f aca="false">F6923</f>
        <v>12107.4388108841</v>
      </c>
      <c r="Q6923" s="55" t="n">
        <f aca="false">J6923</f>
        <v>61629.0153492852</v>
      </c>
      <c r="R6923" s="55" t="n">
        <f aca="false">N6923</f>
        <v>153568.80011066</v>
      </c>
      <c r="S6923" s="56" t="n">
        <f aca="false">R6923</f>
        <v>153568.80011066</v>
      </c>
    </row>
    <row r="6924" customFormat="false" ht="15" hidden="false" customHeight="false" outlineLevel="0" collapsed="false">
      <c r="A6924" s="9" t="s">
        <v>541</v>
      </c>
      <c r="B6924" s="36" t="s">
        <v>125</v>
      </c>
      <c r="C6924" s="55" t="n">
        <f aca="false">C6921+C6922+C6923</f>
        <v>0</v>
      </c>
      <c r="D6924" s="55" t="n">
        <f aca="false">D6921+D6922+D6923</f>
        <v>8876.43319038757</v>
      </c>
      <c r="E6924" s="55" t="n">
        <f aca="false">E6921+E6922+E6923</f>
        <v>28556.8328798949</v>
      </c>
      <c r="F6924" s="55" t="n">
        <f aca="false">F6921+F6922+F6923</f>
        <v>53219.0446912122</v>
      </c>
      <c r="G6924" s="55" t="n">
        <f aca="false">G6921+G6922+G6923</f>
        <v>84076.0190306375</v>
      </c>
      <c r="H6924" s="55" t="n">
        <f aca="false">H6921+H6922+H6923</f>
        <v>121781.031964907</v>
      </c>
      <c r="I6924" s="55" t="n">
        <f aca="false">I6921+I6922+I6923</f>
        <v>173977.721506849</v>
      </c>
      <c r="J6924" s="55" t="n">
        <f aca="false">J6921+J6922+J6923</f>
        <v>242264.631778116</v>
      </c>
      <c r="K6924" s="55" t="n">
        <f aca="false">K6921+K6922+K6923</f>
        <v>315694.235171535</v>
      </c>
      <c r="L6924" s="55" t="n">
        <f aca="false">L6921+L6922+L6923</f>
        <v>390844.124286745</v>
      </c>
      <c r="M6924" s="55" t="n">
        <f aca="false">M6921+M6922+M6923</f>
        <v>465881.035578229</v>
      </c>
      <c r="N6924" s="55" t="n">
        <f aca="false">N6921+N6922+N6923</f>
        <v>540187.730415741</v>
      </c>
      <c r="P6924" s="55" t="n">
        <f aca="false">F6924</f>
        <v>53219.0446912122</v>
      </c>
      <c r="Q6924" s="55" t="n">
        <f aca="false">J6924</f>
        <v>242264.631778116</v>
      </c>
      <c r="R6924" s="55" t="n">
        <f aca="false">N6924</f>
        <v>540187.730415741</v>
      </c>
      <c r="S6924" s="56" t="n">
        <f aca="false">R6924</f>
        <v>540187.730415741</v>
      </c>
    </row>
    <row r="6925" customFormat="false" ht="15" hidden="false" customHeight="false" outlineLevel="0" collapsed="false">
      <c r="A6925" s="4" t="s">
        <v>542</v>
      </c>
      <c r="B6925" s="36" t="s">
        <v>125</v>
      </c>
      <c r="C6925" s="54" t="n">
        <f aca="false">C6912*$C$6861+C6913*$C$6862+C6914*$C$6863</f>
        <v>0</v>
      </c>
      <c r="D6925" s="54" t="n">
        <f aca="false">D6912*$C$6861+D6913*$C$6862+D6914*$C$6863</f>
        <v>8876.43319038757</v>
      </c>
      <c r="E6925" s="54" t="n">
        <f aca="false">E6912*$C$6861+E6913*$C$6862+E6914*$C$6863</f>
        <v>19618.1886500368</v>
      </c>
      <c r="F6925" s="54" t="n">
        <f aca="false">F6912*$C$6861+F6913*$C$6862+F6914*$C$6863</f>
        <v>24335.8808795765</v>
      </c>
      <c r="G6925" s="54" t="n">
        <f aca="false">G6912*$C$6861+G6913*$C$6862+G6914*$C$6863</f>
        <v>30136.5457218901</v>
      </c>
      <c r="H6925" s="54" t="n">
        <f aca="false">H6912*$C$6861+H6913*$C$6862+H6914*$C$6863</f>
        <v>36517.6351990879</v>
      </c>
      <c r="I6925" s="54" t="n">
        <f aca="false">I6912*$C$6861+I6913*$C$6862+I6914*$C$6863</f>
        <v>50437.6431384637</v>
      </c>
      <c r="J6925" s="54" t="n">
        <f aca="false">J6912*$C$6861+J6913*$C$6862+J6914*$C$6863</f>
        <v>65807.230171994</v>
      </c>
      <c r="K6925" s="54" t="n">
        <f aca="false">K6912*$C$6861+K6913*$C$6862+K6914*$C$6863</f>
        <v>69992.6442738887</v>
      </c>
      <c r="L6925" s="54" t="n">
        <f aca="false">L6912*$C$6861+L6913*$C$6862+L6914*$C$6863</f>
        <v>70589.9593502173</v>
      </c>
      <c r="M6925" s="54" t="n">
        <f aca="false">M6912*$C$6861+M6913*$C$6862+M6914*$C$6863</f>
        <v>69313.5496270182</v>
      </c>
      <c r="N6925" s="54" t="n">
        <f aca="false">N6912*$C$6861+N6913*$C$6862+N6914*$C$6863</f>
        <v>67389.1675555403</v>
      </c>
      <c r="P6925" s="55" t="n">
        <f aca="false">SUM(C6925:F6925)</f>
        <v>52830.5027200009</v>
      </c>
      <c r="Q6925" s="55" t="n">
        <f aca="false">SUM(G6925:J6925)</f>
        <v>182899.054231436</v>
      </c>
      <c r="R6925" s="55" t="n">
        <f aca="false">SUM(K6925:N6925)</f>
        <v>277285.320806665</v>
      </c>
      <c r="S6925" s="56" t="n">
        <f aca="false">SUM(P6925:R6925)</f>
        <v>513014.877758101</v>
      </c>
    </row>
    <row r="6926" customFormat="false" ht="15" hidden="false" customHeight="false" outlineLevel="0" collapsed="false">
      <c r="A6926" s="9" t="s">
        <v>543</v>
      </c>
      <c r="B6926" s="36" t="s">
        <v>125</v>
      </c>
      <c r="C6926" s="55" t="n">
        <f aca="false">(0+C6924)/8</f>
        <v>0</v>
      </c>
      <c r="D6926" s="55" t="n">
        <f aca="false">(C6924+D6924)/8</f>
        <v>1109.55414879845</v>
      </c>
      <c r="E6926" s="55" t="n">
        <f aca="false">(D6924+E6924)/8</f>
        <v>4679.15825878531</v>
      </c>
      <c r="F6926" s="55" t="n">
        <f aca="false">(E6924+F6924)/8</f>
        <v>10221.9846963884</v>
      </c>
      <c r="G6926" s="55" t="n">
        <f aca="false">(F6924+G6924)/8</f>
        <v>17161.8829652312</v>
      </c>
      <c r="H6926" s="55" t="n">
        <f aca="false">(G6924+H6924)/8</f>
        <v>25732.131374443</v>
      </c>
      <c r="I6926" s="55" t="n">
        <f aca="false">(H6924+I6924)/8</f>
        <v>36969.8441839694</v>
      </c>
      <c r="J6926" s="55" t="n">
        <f aca="false">(I6924+J6924)/8</f>
        <v>52030.2941606206</v>
      </c>
      <c r="K6926" s="55" t="n">
        <f aca="false">(J6924+K6924)/8</f>
        <v>69744.8583687064</v>
      </c>
      <c r="L6926" s="55" t="n">
        <f aca="false">(K6924+L6924)/8</f>
        <v>88317.294932285</v>
      </c>
      <c r="M6926" s="55" t="n">
        <f aca="false">(L6924+M6924)/8</f>
        <v>107090.644983122</v>
      </c>
      <c r="N6926" s="55" t="n">
        <f aca="false">(M6924+N6924)/8</f>
        <v>125758.595749246</v>
      </c>
      <c r="P6926" s="55" t="n">
        <f aca="false">SUM(C6926:F6926)</f>
        <v>16010.6971039722</v>
      </c>
      <c r="Q6926" s="55" t="n">
        <f aca="false">SUM(G6926:J6926)</f>
        <v>131894.152684264</v>
      </c>
      <c r="R6926" s="55" t="n">
        <f aca="false">SUM(K6926:N6926)</f>
        <v>390911.394033359</v>
      </c>
      <c r="S6926" s="56" t="n">
        <f aca="false">SUM(P6926:R6926)</f>
        <v>538816.243821596</v>
      </c>
    </row>
    <row r="6927" customFormat="false" ht="15" hidden="false" customHeight="false" outlineLevel="0" collapsed="false">
      <c r="A6927" s="4" t="s">
        <v>544</v>
      </c>
      <c r="B6927" s="36" t="s">
        <v>125</v>
      </c>
      <c r="C6927" s="54" t="n">
        <f aca="false">C6926*Assumptions!$E$76</f>
        <v>0</v>
      </c>
      <c r="D6927" s="54" t="n">
        <f aca="false">D6926*Assumptions!$E$76</f>
        <v>721.21019671899</v>
      </c>
      <c r="E6927" s="54" t="n">
        <f aca="false">E6926*Assumptions!$E$76</f>
        <v>3041.45286821045</v>
      </c>
      <c r="F6927" s="54" t="n">
        <f aca="false">F6926*Assumptions!$E$76</f>
        <v>6644.29005265246</v>
      </c>
      <c r="G6927" s="54" t="n">
        <f aca="false">G6926*Assumptions!$E$76</f>
        <v>11155.2239274003</v>
      </c>
      <c r="H6927" s="54" t="n">
        <f aca="false">H6926*Assumptions!$E$76</f>
        <v>16725.885393388</v>
      </c>
      <c r="I6927" s="54" t="n">
        <f aca="false">I6926*Assumptions!$E$76</f>
        <v>24030.3987195801</v>
      </c>
      <c r="J6927" s="54" t="n">
        <f aca="false">J6926*Assumptions!$E$76</f>
        <v>33819.6912044034</v>
      </c>
      <c r="K6927" s="54" t="n">
        <f aca="false">K6926*Assumptions!$E$76</f>
        <v>45334.1579396592</v>
      </c>
      <c r="L6927" s="54" t="n">
        <f aca="false">L6926*Assumptions!$E$76</f>
        <v>57406.2417059852</v>
      </c>
      <c r="M6927" s="54" t="n">
        <f aca="false">M6926*Assumptions!$E$76</f>
        <v>69608.9192390291</v>
      </c>
      <c r="N6927" s="54" t="n">
        <f aca="false">N6926*Assumptions!$E$76</f>
        <v>81743.08723701</v>
      </c>
      <c r="P6927" s="55" t="n">
        <f aca="false">SUM(C6927:F6927)</f>
        <v>10406.9531175819</v>
      </c>
      <c r="Q6927" s="55" t="n">
        <f aca="false">SUM(G6927:J6927)</f>
        <v>85731.1992447718</v>
      </c>
      <c r="R6927" s="55" t="n">
        <f aca="false">SUM(K6927:N6927)</f>
        <v>254092.406121684</v>
      </c>
      <c r="S6927" s="56" t="n">
        <f aca="false">SUM(P6927:R6927)</f>
        <v>350230.558484037</v>
      </c>
    </row>
    <row r="6928" customFormat="false" ht="15" hidden="false" customHeight="false" outlineLevel="0" collapsed="false">
      <c r="A6928" s="35" t="s">
        <v>547</v>
      </c>
      <c r="B6928" s="35" t="s">
        <v>444</v>
      </c>
      <c r="C6928" s="6" t="s">
        <v>354</v>
      </c>
      <c r="D6928" s="6" t="s">
        <v>355</v>
      </c>
      <c r="E6928" s="6" t="s">
        <v>356</v>
      </c>
      <c r="F6928" s="6" t="s">
        <v>357</v>
      </c>
      <c r="G6928" s="6" t="s">
        <v>358</v>
      </c>
      <c r="H6928" s="6" t="s">
        <v>359</v>
      </c>
      <c r="I6928" s="6" t="s">
        <v>360</v>
      </c>
      <c r="J6928" s="6" t="s">
        <v>361</v>
      </c>
      <c r="K6928" s="6" t="s">
        <v>362</v>
      </c>
      <c r="L6928" s="6" t="s">
        <v>363</v>
      </c>
      <c r="M6928" s="6" t="s">
        <v>364</v>
      </c>
      <c r="N6928" s="6" t="s">
        <v>365</v>
      </c>
      <c r="P6928" s="6" t="s">
        <v>445</v>
      </c>
      <c r="Q6928" s="6" t="s">
        <v>446</v>
      </c>
      <c r="R6928" s="6" t="s">
        <v>447</v>
      </c>
      <c r="S6928" s="6" t="s">
        <v>448</v>
      </c>
    </row>
    <row r="6929" customFormat="false" ht="15" hidden="false" customHeight="false" outlineLevel="0" collapsed="false">
      <c r="A6929" s="4" t="s">
        <v>548</v>
      </c>
      <c r="B6929" s="36" t="s">
        <v>321</v>
      </c>
      <c r="C6929" s="48" t="n">
        <f aca="false">Assumptions!$D$97*C6871</f>
        <v>1</v>
      </c>
      <c r="D6929" s="48" t="n">
        <f aca="false">Assumptions!$D$97*D6871</f>
        <v>1</v>
      </c>
      <c r="E6929" s="48" t="n">
        <f aca="false">Assumptions!$D$97*E6871</f>
        <v>1</v>
      </c>
      <c r="F6929" s="48" t="n">
        <f aca="false">Assumptions!$D$97*F6871</f>
        <v>1</v>
      </c>
      <c r="G6929" s="48" t="n">
        <f aca="false">Assumptions!$D$97*G6871</f>
        <v>1</v>
      </c>
      <c r="H6929" s="48" t="n">
        <f aca="false">Assumptions!$D$97*H6871</f>
        <v>1</v>
      </c>
      <c r="I6929" s="48" t="n">
        <f aca="false">Assumptions!$D$97*I6871</f>
        <v>1</v>
      </c>
      <c r="J6929" s="48" t="n">
        <f aca="false">Assumptions!$D$97*J6871</f>
        <v>1</v>
      </c>
      <c r="K6929" s="48" t="n">
        <f aca="false">Assumptions!$D$97*K6871</f>
        <v>1</v>
      </c>
      <c r="L6929" s="48" t="n">
        <f aca="false">Assumptions!$D$97*L6871</f>
        <v>1</v>
      </c>
      <c r="M6929" s="48" t="n">
        <f aca="false">Assumptions!$D$97*M6871</f>
        <v>1</v>
      </c>
      <c r="N6929" s="48" t="n">
        <f aca="false">Assumptions!$D$97*N6871</f>
        <v>1</v>
      </c>
      <c r="P6929" s="49" t="n">
        <f aca="false">AVERAGE(C6929:F6929)</f>
        <v>1</v>
      </c>
      <c r="Q6929" s="49" t="n">
        <f aca="false">AVERAGE(G6929:J6929)</f>
        <v>1</v>
      </c>
      <c r="R6929" s="49" t="n">
        <f aca="false">AVERAGE(K6929:N6929)</f>
        <v>1</v>
      </c>
      <c r="S6929" s="50"/>
    </row>
    <row r="6930" customFormat="false" ht="15" hidden="false" customHeight="false" outlineLevel="0" collapsed="false">
      <c r="A6930" s="4" t="s">
        <v>549</v>
      </c>
      <c r="B6930" s="36" t="s">
        <v>321</v>
      </c>
      <c r="C6930" s="48" t="n">
        <f aca="false">C6884*C6871</f>
        <v>0</v>
      </c>
      <c r="D6930" s="48" t="n">
        <f aca="false">D6884*D6871</f>
        <v>0</v>
      </c>
      <c r="E6930" s="48" t="n">
        <f aca="false">E6884*E6871</f>
        <v>0</v>
      </c>
      <c r="F6930" s="48" t="n">
        <f aca="false">F6884*F6871</f>
        <v>0</v>
      </c>
      <c r="G6930" s="48" t="n">
        <f aca="false">G6884*G6871</f>
        <v>0</v>
      </c>
      <c r="H6930" s="48" t="n">
        <f aca="false">H6884*H6871</f>
        <v>0</v>
      </c>
      <c r="I6930" s="48" t="n">
        <f aca="false">I6884*I6871</f>
        <v>0</v>
      </c>
      <c r="J6930" s="48" t="n">
        <f aca="false">J6884*J6871</f>
        <v>0</v>
      </c>
      <c r="K6930" s="48" t="n">
        <f aca="false">K6884*K6871</f>
        <v>0</v>
      </c>
      <c r="L6930" s="48" t="n">
        <f aca="false">L6884*L6871</f>
        <v>0</v>
      </c>
      <c r="M6930" s="48" t="n">
        <f aca="false">M6884*M6871</f>
        <v>0</v>
      </c>
      <c r="N6930" s="48" t="n">
        <f aca="false">N6884*N6871</f>
        <v>0</v>
      </c>
      <c r="P6930" s="49" t="n">
        <f aca="false">AVERAGE(C6930:F6930)</f>
        <v>0</v>
      </c>
      <c r="Q6930" s="49" t="n">
        <f aca="false">AVERAGE(G6930:J6930)</f>
        <v>0</v>
      </c>
      <c r="R6930" s="49" t="n">
        <f aca="false">AVERAGE(K6930:N6930)</f>
        <v>0</v>
      </c>
      <c r="S6930" s="50"/>
    </row>
    <row r="6931" customFormat="false" ht="15" hidden="false" customHeight="false" outlineLevel="0" collapsed="false">
      <c r="A6931" s="4" t="s">
        <v>550</v>
      </c>
      <c r="B6931" s="36" t="s">
        <v>321</v>
      </c>
      <c r="C6931" s="48" t="n">
        <f aca="false">IF(C6870&lt;=4,Assumptions!$D$98,Assumptions!$D$99)*C6871</f>
        <v>0</v>
      </c>
      <c r="D6931" s="48" t="n">
        <f aca="false">IF(D6870&lt;=4,Assumptions!$D$98,Assumptions!$D$99)*D6871</f>
        <v>0</v>
      </c>
      <c r="E6931" s="48" t="n">
        <f aca="false">IF(E6870&lt;=4,Assumptions!$D$98,Assumptions!$D$99)*E6871</f>
        <v>0</v>
      </c>
      <c r="F6931" s="48" t="n">
        <f aca="false">IF(F6870&lt;=4,Assumptions!$D$98,Assumptions!$D$99)*F6871</f>
        <v>0</v>
      </c>
      <c r="G6931" s="48" t="n">
        <f aca="false">IF(G6870&lt;=4,Assumptions!$D$98,Assumptions!$D$99)*G6871</f>
        <v>0.5</v>
      </c>
      <c r="H6931" s="48" t="n">
        <f aca="false">IF(H6870&lt;=4,Assumptions!$D$98,Assumptions!$D$99)*H6871</f>
        <v>0.5</v>
      </c>
      <c r="I6931" s="48" t="n">
        <f aca="false">IF(I6870&lt;=4,Assumptions!$D$98,Assumptions!$D$99)*I6871</f>
        <v>0.5</v>
      </c>
      <c r="J6931" s="48" t="n">
        <f aca="false">IF(J6870&lt;=4,Assumptions!$D$98,Assumptions!$D$99)*J6871</f>
        <v>0.5</v>
      </c>
      <c r="K6931" s="48" t="n">
        <f aca="false">IF(K6870&lt;=4,Assumptions!$D$98,Assumptions!$D$99)*K6871</f>
        <v>0.5</v>
      </c>
      <c r="L6931" s="48" t="n">
        <f aca="false">IF(L6870&lt;=4,Assumptions!$D$98,Assumptions!$D$99)*L6871</f>
        <v>0.5</v>
      </c>
      <c r="M6931" s="48" t="n">
        <f aca="false">IF(M6870&lt;=4,Assumptions!$D$98,Assumptions!$D$99)*M6871</f>
        <v>0.5</v>
      </c>
      <c r="N6931" s="48" t="n">
        <f aca="false">IF(N6870&lt;=4,Assumptions!$D$98,Assumptions!$D$99)*N6871</f>
        <v>0.5</v>
      </c>
      <c r="P6931" s="49" t="n">
        <f aca="false">AVERAGE(C6931:F6931)</f>
        <v>0</v>
      </c>
      <c r="Q6931" s="49" t="n">
        <f aca="false">AVERAGE(G6931:J6931)</f>
        <v>0.5</v>
      </c>
      <c r="R6931" s="49" t="n">
        <f aca="false">AVERAGE(K6931:N6931)</f>
        <v>0.5</v>
      </c>
      <c r="S6931" s="50"/>
    </row>
    <row r="6932" customFormat="false" ht="15" hidden="false" customHeight="false" outlineLevel="0" collapsed="false">
      <c r="A6932" s="4" t="s">
        <v>551</v>
      </c>
      <c r="B6932" s="36" t="s">
        <v>321</v>
      </c>
      <c r="C6932" s="48" t="n">
        <f aca="false">IF(C6870&lt;=4,Assumptions!$D$100,Assumptions!$D$101)*C6871</f>
        <v>1</v>
      </c>
      <c r="D6932" s="48" t="n">
        <f aca="false">IF(D6870&lt;=4,Assumptions!$D$100,Assumptions!$D$101)*D6871</f>
        <v>1</v>
      </c>
      <c r="E6932" s="48" t="n">
        <f aca="false">IF(E6870&lt;=4,Assumptions!$D$100,Assumptions!$D$101)*E6871</f>
        <v>1</v>
      </c>
      <c r="F6932" s="48" t="n">
        <f aca="false">IF(F6870&lt;=4,Assumptions!$D$100,Assumptions!$D$101)*F6871</f>
        <v>1</v>
      </c>
      <c r="G6932" s="48" t="n">
        <f aca="false">IF(G6870&lt;=4,Assumptions!$D$100,Assumptions!$D$101)*G6871</f>
        <v>0.5</v>
      </c>
      <c r="H6932" s="48" t="n">
        <f aca="false">IF(H6870&lt;=4,Assumptions!$D$100,Assumptions!$D$101)*H6871</f>
        <v>0.5</v>
      </c>
      <c r="I6932" s="48" t="n">
        <f aca="false">IF(I6870&lt;=4,Assumptions!$D$100,Assumptions!$D$101)*I6871</f>
        <v>0.5</v>
      </c>
      <c r="J6932" s="48" t="n">
        <f aca="false">IF(J6870&lt;=4,Assumptions!$D$100,Assumptions!$D$101)*J6871</f>
        <v>0.5</v>
      </c>
      <c r="K6932" s="48" t="n">
        <f aca="false">IF(K6870&lt;=4,Assumptions!$D$100,Assumptions!$D$101)*K6871</f>
        <v>0.5</v>
      </c>
      <c r="L6932" s="48" t="n">
        <f aca="false">IF(L6870&lt;=4,Assumptions!$D$100,Assumptions!$D$101)*L6871</f>
        <v>0.5</v>
      </c>
      <c r="M6932" s="48" t="n">
        <f aca="false">IF(M6870&lt;=4,Assumptions!$D$100,Assumptions!$D$101)*M6871</f>
        <v>0.5</v>
      </c>
      <c r="N6932" s="48" t="n">
        <f aca="false">IF(N6870&lt;=4,Assumptions!$D$100,Assumptions!$D$101)*N6871</f>
        <v>0.5</v>
      </c>
      <c r="P6932" s="49" t="n">
        <f aca="false">AVERAGE(C6932:F6932)</f>
        <v>1</v>
      </c>
      <c r="Q6932" s="49" t="n">
        <f aca="false">AVERAGE(G6932:J6932)</f>
        <v>0.5</v>
      </c>
      <c r="R6932" s="49" t="n">
        <f aca="false">AVERAGE(K6932:N6932)</f>
        <v>0.5</v>
      </c>
      <c r="S6932" s="50"/>
    </row>
    <row r="6933" customFormat="false" ht="15" hidden="false" customHeight="false" outlineLevel="0" collapsed="false">
      <c r="A6933" s="4" t="s">
        <v>552</v>
      </c>
      <c r="B6933" s="36" t="s">
        <v>321</v>
      </c>
      <c r="C6933" s="48" t="n">
        <f aca="false">Assumptions!$D$102*C6871</f>
        <v>0.25</v>
      </c>
      <c r="D6933" s="48" t="n">
        <f aca="false">Assumptions!$D$102*D6871</f>
        <v>0.25</v>
      </c>
      <c r="E6933" s="48" t="n">
        <f aca="false">Assumptions!$D$102*E6871</f>
        <v>0.25</v>
      </c>
      <c r="F6933" s="48" t="n">
        <f aca="false">Assumptions!$D$102*F6871</f>
        <v>0.25</v>
      </c>
      <c r="G6933" s="48" t="n">
        <f aca="false">Assumptions!$D$102*G6871</f>
        <v>0.25</v>
      </c>
      <c r="H6933" s="48" t="n">
        <f aca="false">Assumptions!$D$102*H6871</f>
        <v>0.25</v>
      </c>
      <c r="I6933" s="48" t="n">
        <f aca="false">Assumptions!$D$102*I6871</f>
        <v>0.25</v>
      </c>
      <c r="J6933" s="48" t="n">
        <f aca="false">Assumptions!$D$102*J6871</f>
        <v>0.25</v>
      </c>
      <c r="K6933" s="48" t="n">
        <f aca="false">Assumptions!$D$102*K6871</f>
        <v>0.25</v>
      </c>
      <c r="L6933" s="48" t="n">
        <f aca="false">Assumptions!$D$102*L6871</f>
        <v>0.25</v>
      </c>
      <c r="M6933" s="48" t="n">
        <f aca="false">Assumptions!$D$102*M6871</f>
        <v>0.25</v>
      </c>
      <c r="N6933" s="48" t="n">
        <f aca="false">Assumptions!$D$102*N6871</f>
        <v>0.25</v>
      </c>
      <c r="P6933" s="49" t="n">
        <f aca="false">AVERAGE(C6933:F6933)</f>
        <v>0.25</v>
      </c>
      <c r="Q6933" s="49" t="n">
        <f aca="false">AVERAGE(G6933:J6933)</f>
        <v>0.25</v>
      </c>
      <c r="R6933" s="49" t="n">
        <f aca="false">AVERAGE(K6933:N6933)</f>
        <v>0.25</v>
      </c>
      <c r="S6933" s="50"/>
    </row>
    <row r="6934" customFormat="false" ht="15" hidden="false" customHeight="false" outlineLevel="0" collapsed="false">
      <c r="A6934" s="4" t="s">
        <v>553</v>
      </c>
      <c r="B6934" s="36" t="s">
        <v>321</v>
      </c>
      <c r="C6934" s="48" t="n">
        <f aca="false">(C6918+C6919)/Assumptions!$E$74+C6917/Assumptions!$E$75</f>
        <v>0</v>
      </c>
      <c r="D6934" s="48" t="n">
        <f aca="false">(D6918+D6919)/Assumptions!$E$74+D6917/Assumptions!$E$75</f>
        <v>0.0143176301374139</v>
      </c>
      <c r="E6934" s="48" t="n">
        <f aca="false">(E6918+E6919)/Assumptions!$E$74+E6917/Assumptions!$E$75</f>
        <v>0.0402499456767798</v>
      </c>
      <c r="F6934" s="48" t="n">
        <f aca="false">(F6918+F6919)/Assumptions!$E$74+F6917/Assumptions!$E$75</f>
        <v>0.069296156601371</v>
      </c>
      <c r="G6934" s="48" t="n">
        <f aca="false">(G6918+G6919)/Assumptions!$E$74+G6917/Assumptions!$E$75</f>
        <v>0.105786240508472</v>
      </c>
      <c r="H6934" s="48" t="n">
        <f aca="false">(H6918+H6919)/Assumptions!$E$74+H6917/Assumptions!$E$75</f>
        <v>0.149374493561689</v>
      </c>
      <c r="I6934" s="48" t="n">
        <f aca="false">(I6918+I6919)/Assumptions!$E$74+I6917/Assumptions!$E$75</f>
        <v>0.211091591720654</v>
      </c>
      <c r="J6934" s="48" t="n">
        <f aca="false">(J6918+J6919)/Assumptions!$E$74+J6917/Assumptions!$E$75</f>
        <v>0.289896462645779</v>
      </c>
      <c r="K6934" s="48" t="n">
        <f aca="false">(K6918+K6919)/Assumptions!$E$74+K6917/Assumptions!$E$75</f>
        <v>0.368673303672924</v>
      </c>
      <c r="L6934" s="48" t="n">
        <f aca="false">(L6918+L6919)/Assumptions!$E$74+L6917/Assumptions!$E$75</f>
        <v>0.446115799410752</v>
      </c>
      <c r="M6934" s="48" t="n">
        <f aca="false">(M6918+M6919)/Assumptions!$E$74+M6917/Assumptions!$E$75</f>
        <v>0.519286135347708</v>
      </c>
      <c r="N6934" s="48" t="n">
        <f aca="false">(N6918+N6919)/Assumptions!$E$74+N6917/Assumptions!$E$75</f>
        <v>0.588155877510981</v>
      </c>
      <c r="P6934" s="49" t="n">
        <f aca="false">AVERAGE(C6934:F6934)</f>
        <v>0.0309659331038912</v>
      </c>
      <c r="Q6934" s="49" t="n">
        <f aca="false">AVERAGE(G6934:J6934)</f>
        <v>0.189037197109149</v>
      </c>
      <c r="R6934" s="49" t="n">
        <f aca="false">AVERAGE(K6934:N6934)</f>
        <v>0.480557778985591</v>
      </c>
      <c r="S6934" s="50"/>
    </row>
    <row r="6935" customFormat="false" ht="15" hidden="false" customHeight="false" outlineLevel="0" collapsed="false">
      <c r="A6935" s="4" t="s">
        <v>554</v>
      </c>
      <c r="B6935" s="36" t="s">
        <v>125</v>
      </c>
      <c r="C6935" s="54" t="n">
        <f aca="false">(C6929+C6931)*Assumptions!$E$70/Assumptions!$E$69/4</f>
        <v>66753.5714285714</v>
      </c>
      <c r="D6935" s="54" t="n">
        <f aca="false">(D6929+D6931)*Assumptions!$E$70/Assumptions!$E$69/4</f>
        <v>66753.5714285714</v>
      </c>
      <c r="E6935" s="54" t="n">
        <f aca="false">(E6929+E6931)*Assumptions!$E$70/Assumptions!$E$69/4</f>
        <v>66753.5714285714</v>
      </c>
      <c r="F6935" s="54" t="n">
        <f aca="false">(F6929+F6931)*Assumptions!$E$70/Assumptions!$E$69/4</f>
        <v>66753.5714285714</v>
      </c>
      <c r="G6935" s="54" t="n">
        <f aca="false">(G6929+G6931)*Assumptions!$E$70/Assumptions!$E$69/4</f>
        <v>100130.357142857</v>
      </c>
      <c r="H6935" s="54" t="n">
        <f aca="false">(H6929+H6931)*Assumptions!$E$70/Assumptions!$E$69/4</f>
        <v>100130.357142857</v>
      </c>
      <c r="I6935" s="54" t="n">
        <f aca="false">(I6929+I6931)*Assumptions!$E$70/Assumptions!$E$69/4</f>
        <v>100130.357142857</v>
      </c>
      <c r="J6935" s="54" t="n">
        <f aca="false">(J6929+J6931)*Assumptions!$E$70/Assumptions!$E$69/4</f>
        <v>100130.357142857</v>
      </c>
      <c r="K6935" s="54" t="n">
        <f aca="false">(K6929+K6931)*Assumptions!$E$70/Assumptions!$E$69/4</f>
        <v>100130.357142857</v>
      </c>
      <c r="L6935" s="54" t="n">
        <f aca="false">(L6929+L6931)*Assumptions!$E$70/Assumptions!$E$69/4</f>
        <v>100130.357142857</v>
      </c>
      <c r="M6935" s="54" t="n">
        <f aca="false">(M6929+M6931)*Assumptions!$E$70/Assumptions!$E$69/4</f>
        <v>100130.357142857</v>
      </c>
      <c r="N6935" s="54" t="n">
        <f aca="false">(N6929+N6931)*Assumptions!$E$70/Assumptions!$E$69/4</f>
        <v>100130.357142857</v>
      </c>
      <c r="P6935" s="55" t="n">
        <f aca="false">SUM(C6935:F6935)</f>
        <v>267014.285714286</v>
      </c>
      <c r="Q6935" s="55" t="n">
        <f aca="false">SUM(G6935:J6935)</f>
        <v>400521.428571429</v>
      </c>
      <c r="R6935" s="55" t="n">
        <f aca="false">SUM(K6935:N6935)</f>
        <v>400521.428571429</v>
      </c>
      <c r="S6935" s="56" t="n">
        <f aca="false">SUM(P6935:R6935)</f>
        <v>1068057.14285714</v>
      </c>
    </row>
    <row r="6936" customFormat="false" ht="15" hidden="false" customHeight="false" outlineLevel="0" collapsed="false">
      <c r="A6936" s="4" t="s">
        <v>555</v>
      </c>
      <c r="B6936" s="36" t="s">
        <v>125</v>
      </c>
      <c r="C6936" s="54" t="n">
        <f aca="false">C6930*$C$6865/4</f>
        <v>0</v>
      </c>
      <c r="D6936" s="54" t="n">
        <f aca="false">D6930*$C$6865/4</f>
        <v>0</v>
      </c>
      <c r="E6936" s="54" t="n">
        <f aca="false">E6930*$C$6865/4</f>
        <v>0</v>
      </c>
      <c r="F6936" s="54" t="n">
        <f aca="false">F6930*$C$6865/4</f>
        <v>0</v>
      </c>
      <c r="G6936" s="54" t="n">
        <f aca="false">G6930*$C$6865/4</f>
        <v>0</v>
      </c>
      <c r="H6936" s="54" t="n">
        <f aca="false">H6930*$C$6865/4</f>
        <v>0</v>
      </c>
      <c r="I6936" s="54" t="n">
        <f aca="false">I6930*$C$6865/4</f>
        <v>0</v>
      </c>
      <c r="J6936" s="54" t="n">
        <f aca="false">J6930*$C$6865/4</f>
        <v>0</v>
      </c>
      <c r="K6936" s="54" t="n">
        <f aca="false">K6930*$C$6865/4</f>
        <v>0</v>
      </c>
      <c r="L6936" s="54" t="n">
        <f aca="false">L6930*$C$6865/4</f>
        <v>0</v>
      </c>
      <c r="M6936" s="54" t="n">
        <f aca="false">M6930*$C$6865/4</f>
        <v>0</v>
      </c>
      <c r="N6936" s="54" t="n">
        <f aca="false">N6930*$C$6865/4</f>
        <v>0</v>
      </c>
      <c r="P6936" s="55" t="n">
        <f aca="false">SUM(C6936:F6936)</f>
        <v>0</v>
      </c>
      <c r="Q6936" s="55" t="n">
        <f aca="false">SUM(G6936:J6936)</f>
        <v>0</v>
      </c>
      <c r="R6936" s="55" t="n">
        <f aca="false">SUM(K6936:N6936)</f>
        <v>0</v>
      </c>
      <c r="S6936" s="56" t="n">
        <f aca="false">SUM(P6936:R6936)</f>
        <v>0</v>
      </c>
    </row>
    <row r="6937" customFormat="false" ht="15" hidden="false" customHeight="false" outlineLevel="0" collapsed="false">
      <c r="A6937" s="4" t="s">
        <v>556</v>
      </c>
      <c r="B6937" s="36" t="s">
        <v>125</v>
      </c>
      <c r="C6937" s="54" t="n">
        <f aca="false">MAX(0,(C6925-C6906*$C$6861)-C6885*$C$6866)*$C$6867*Assumptions!$D$105</f>
        <v>0</v>
      </c>
      <c r="D6937" s="54" t="n">
        <f aca="false">MAX(0,(D6925-D6906*$C$6861)-D6885*$C$6866)*$C$6867*Assumptions!$D$105</f>
        <v>3491.72206180778</v>
      </c>
      <c r="E6937" s="54" t="n">
        <f aca="false">MAX(0,(E6925-E6906*$C$6861)-E6885*$C$6866)*$C$6867*Assumptions!$D$105</f>
        <v>8039.09651874593</v>
      </c>
      <c r="F6937" s="54" t="n">
        <f aca="false">MAX(0,(F6925-F6906*$C$6861)-F6885*$C$6866)*$C$6867*Assumptions!$D$105</f>
        <v>10124.750003461</v>
      </c>
      <c r="G6937" s="54" t="n">
        <f aca="false">MAX(0,(G6925-G6906*$C$6861)-G6885*$C$6866)*$C$6867*Assumptions!$D$105</f>
        <v>12448.4498438538</v>
      </c>
      <c r="H6937" s="54" t="n">
        <f aca="false">MAX(0,(H6925-H6906*$C$6861)-H6885*$C$6866)*$C$6867*Assumptions!$D$105</f>
        <v>15067.69132606</v>
      </c>
      <c r="I6937" s="54" t="n">
        <f aca="false">MAX(0,(I6925-I6906*$C$6861)-I6885*$C$6866)*$C$6867*Assumptions!$D$105</f>
        <v>20562.5977206679</v>
      </c>
      <c r="J6937" s="54" t="n">
        <f aca="false">MAX(0,(J6925-J6906*$C$6861)-J6885*$C$6866)*$C$6867*Assumptions!$D$105</f>
        <v>26827.1215822358</v>
      </c>
      <c r="K6937" s="54" t="n">
        <f aca="false">MAX(0,(K6925-K6906*$C$6861)-K6885*$C$6866)*$C$6867*Assumptions!$D$105</f>
        <v>28752.7968852214</v>
      </c>
      <c r="L6937" s="54" t="n">
        <f aca="false">MAX(0,(L6925-L6906*$C$6861)-L6885*$C$6866)*$C$6867*Assumptions!$D$105</f>
        <v>28995.7045447316</v>
      </c>
      <c r="M6937" s="54" t="n">
        <f aca="false">MAX(0,(M6925-M6906*$C$6861)-M6885*$C$6866)*$C$6867*Assumptions!$D$105</f>
        <v>28512.846347689</v>
      </c>
      <c r="N6937" s="54" t="n">
        <f aca="false">MAX(0,(N6925-N6906*$C$6861)-N6885*$C$6866)*$C$6867*Assumptions!$D$105</f>
        <v>27719.9164637357</v>
      </c>
      <c r="P6937" s="55" t="n">
        <f aca="false">SUM(C6937:F6937)</f>
        <v>21655.5685840147</v>
      </c>
      <c r="Q6937" s="55" t="n">
        <f aca="false">SUM(G6937:J6937)</f>
        <v>74905.8604728175</v>
      </c>
      <c r="R6937" s="55" t="n">
        <f aca="false">SUM(K6937:N6937)</f>
        <v>113981.264241378</v>
      </c>
      <c r="S6937" s="56" t="n">
        <f aca="false">SUM(P6937:R6937)</f>
        <v>210542.69329821</v>
      </c>
    </row>
    <row r="6938" customFormat="false" ht="15" hidden="false" customHeight="false" outlineLevel="0" collapsed="false">
      <c r="A6938" s="4" t="s">
        <v>557</v>
      </c>
      <c r="B6938" s="36" t="s">
        <v>125</v>
      </c>
      <c r="C6938" s="54" t="n">
        <f aca="false">C6933*Assumptions!$E$71/Assumptions!$E$69/4</f>
        <v>18475.8928571429</v>
      </c>
      <c r="D6938" s="54" t="n">
        <f aca="false">D6933*Assumptions!$E$71/Assumptions!$E$69/4</f>
        <v>18475.8928571429</v>
      </c>
      <c r="E6938" s="54" t="n">
        <f aca="false">E6933*Assumptions!$E$71/Assumptions!$E$69/4</f>
        <v>18475.8928571429</v>
      </c>
      <c r="F6938" s="54" t="n">
        <f aca="false">F6933*Assumptions!$E$71/Assumptions!$E$69/4</f>
        <v>18475.8928571429</v>
      </c>
      <c r="G6938" s="54" t="n">
        <f aca="false">G6933*Assumptions!$E$71/Assumptions!$E$69/4</f>
        <v>18475.8928571429</v>
      </c>
      <c r="H6938" s="54" t="n">
        <f aca="false">H6933*Assumptions!$E$71/Assumptions!$E$69/4</f>
        <v>18475.8928571429</v>
      </c>
      <c r="I6938" s="54" t="n">
        <f aca="false">I6933*Assumptions!$E$71/Assumptions!$E$69/4</f>
        <v>18475.8928571429</v>
      </c>
      <c r="J6938" s="54" t="n">
        <f aca="false">J6933*Assumptions!$E$71/Assumptions!$E$69/4</f>
        <v>18475.8928571429</v>
      </c>
      <c r="K6938" s="54" t="n">
        <f aca="false">K6933*Assumptions!$E$71/Assumptions!$E$69/4</f>
        <v>18475.8928571429</v>
      </c>
      <c r="L6938" s="54" t="n">
        <f aca="false">L6933*Assumptions!$E$71/Assumptions!$E$69/4</f>
        <v>18475.8928571429</v>
      </c>
      <c r="M6938" s="54" t="n">
        <f aca="false">M6933*Assumptions!$E$71/Assumptions!$E$69/4</f>
        <v>18475.8928571429</v>
      </c>
      <c r="N6938" s="54" t="n">
        <f aca="false">N6933*Assumptions!$E$71/Assumptions!$E$69/4</f>
        <v>18475.8928571429</v>
      </c>
      <c r="P6938" s="55" t="n">
        <f aca="false">SUM(C6938:F6938)</f>
        <v>73903.5714285714</v>
      </c>
      <c r="Q6938" s="55" t="n">
        <f aca="false">SUM(G6938:J6938)</f>
        <v>73903.5714285714</v>
      </c>
      <c r="R6938" s="55" t="n">
        <f aca="false">SUM(K6938:N6938)</f>
        <v>73903.5714285714</v>
      </c>
      <c r="S6938" s="56" t="n">
        <f aca="false">SUM(P6938:R6938)</f>
        <v>221710.714285714</v>
      </c>
    </row>
    <row r="6939" customFormat="false" ht="15" hidden="false" customHeight="false" outlineLevel="0" collapsed="false">
      <c r="A6939" s="4" t="s">
        <v>558</v>
      </c>
      <c r="B6939" s="36" t="s">
        <v>125</v>
      </c>
      <c r="C6939" s="54" t="n">
        <f aca="false">(Assumptions!$D$103+Assumptions!$E$77*((C6870=Assumptions!$E$13)+(C6870=Assumptions!$F$14)+(C6870=Assumptions!$F$15)))*C6871</f>
        <v>65000</v>
      </c>
      <c r="D6939" s="54" t="n">
        <f aca="false">(Assumptions!$D$103+Assumptions!$E$77*((D6870=Assumptions!$E$13)+(D6870=Assumptions!$F$14)+(D6870=Assumptions!$F$15)))*D6871</f>
        <v>25000</v>
      </c>
      <c r="E6939" s="54" t="n">
        <f aca="false">(Assumptions!$D$103+Assumptions!$E$77*((E6870=Assumptions!$E$13)+(E6870=Assumptions!$F$14)+(E6870=Assumptions!$F$15)))*E6871</f>
        <v>25000</v>
      </c>
      <c r="F6939" s="54" t="n">
        <f aca="false">(Assumptions!$D$103+Assumptions!$E$77*((F6870=Assumptions!$E$13)+(F6870=Assumptions!$F$14)+(F6870=Assumptions!$F$15)))*F6871</f>
        <v>65000</v>
      </c>
      <c r="G6939" s="54" t="n">
        <f aca="false">(Assumptions!$D$103+Assumptions!$E$77*((G6870=Assumptions!$E$13)+(G6870=Assumptions!$F$14)+(G6870=Assumptions!$F$15)))*G6871</f>
        <v>25000</v>
      </c>
      <c r="H6939" s="54" t="n">
        <f aca="false">(Assumptions!$D$103+Assumptions!$E$77*((H6870=Assumptions!$E$13)+(H6870=Assumptions!$F$14)+(H6870=Assumptions!$F$15)))*H6871</f>
        <v>65000</v>
      </c>
      <c r="I6939" s="54" t="n">
        <f aca="false">(Assumptions!$D$103+Assumptions!$E$77*((I6870=Assumptions!$E$13)+(I6870=Assumptions!$F$14)+(I6870=Assumptions!$F$15)))*I6871</f>
        <v>25000</v>
      </c>
      <c r="J6939" s="54" t="n">
        <f aca="false">(Assumptions!$D$103+Assumptions!$E$77*((J6870=Assumptions!$E$13)+(J6870=Assumptions!$F$14)+(J6870=Assumptions!$F$15)))*J6871</f>
        <v>25000</v>
      </c>
      <c r="K6939" s="54" t="n">
        <f aca="false">(Assumptions!$D$103+Assumptions!$E$77*((K6870=Assumptions!$E$13)+(K6870=Assumptions!$F$14)+(K6870=Assumptions!$F$15)))*K6871</f>
        <v>25000</v>
      </c>
      <c r="L6939" s="54" t="n">
        <f aca="false">(Assumptions!$D$103+Assumptions!$E$77*((L6870=Assumptions!$E$13)+(L6870=Assumptions!$F$14)+(L6870=Assumptions!$F$15)))*L6871</f>
        <v>25000</v>
      </c>
      <c r="M6939" s="54" t="n">
        <f aca="false">(Assumptions!$D$103+Assumptions!$E$77*((M6870=Assumptions!$E$13)+(M6870=Assumptions!$F$14)+(M6870=Assumptions!$F$15)))*M6871</f>
        <v>25000</v>
      </c>
      <c r="N6939" s="54" t="n">
        <f aca="false">(Assumptions!$D$103+Assumptions!$E$77*((N6870=Assumptions!$E$13)+(N6870=Assumptions!$F$14)+(N6870=Assumptions!$F$15)))*N6871</f>
        <v>25000</v>
      </c>
      <c r="P6939" s="55" t="n">
        <f aca="false">SUM(C6939:F6939)</f>
        <v>180000</v>
      </c>
      <c r="Q6939" s="55" t="n">
        <f aca="false">SUM(G6939:J6939)</f>
        <v>140000</v>
      </c>
      <c r="R6939" s="55" t="n">
        <f aca="false">SUM(K6939:N6939)</f>
        <v>100000</v>
      </c>
      <c r="S6939" s="56" t="n">
        <f aca="false">SUM(P6939:R6939)</f>
        <v>420000</v>
      </c>
    </row>
    <row r="6940" customFormat="false" ht="15" hidden="false" customHeight="false" outlineLevel="0" collapsed="false">
      <c r="A6940" s="4" t="s">
        <v>559</v>
      </c>
      <c r="B6940" s="36" t="s">
        <v>125</v>
      </c>
      <c r="C6940" s="54" t="n">
        <f aca="false">C6925*C6905*Assumptions!$E$79</f>
        <v>0</v>
      </c>
      <c r="D6940" s="54" t="n">
        <f aca="false">D6925*D6905*Assumptions!$E$79</f>
        <v>815.338873355417</v>
      </c>
      <c r="E6940" s="54" t="n">
        <f aca="false">E6925*E6905*Assumptions!$E$79</f>
        <v>1576.95453714349</v>
      </c>
      <c r="F6940" s="54" t="n">
        <f aca="false">F6925*F6905*Assumptions!$E$79</f>
        <v>2363.78759030579</v>
      </c>
      <c r="G6940" s="54" t="n">
        <f aca="false">G6925*G6905*Assumptions!$E$79</f>
        <v>2819.98254564574</v>
      </c>
      <c r="H6940" s="54" t="n">
        <f aca="false">H6925*H6905*Assumptions!$E$79</f>
        <v>3376.3181141092</v>
      </c>
      <c r="I6940" s="54" t="n">
        <f aca="false">I6925*I6905*Assumptions!$E$79</f>
        <v>3694.26870272418</v>
      </c>
      <c r="J6940" s="54" t="n">
        <f aca="false">J6925*J6905*Assumptions!$E$79</f>
        <v>4262.33933740539</v>
      </c>
      <c r="K6940" s="54" t="n">
        <f aca="false">K6925*K6905*Assumptions!$E$79</f>
        <v>5065.15722068817</v>
      </c>
      <c r="L6940" s="54" t="n">
        <f aca="false">L6925*L6905*Assumptions!$E$79</f>
        <v>5624.42071716027</v>
      </c>
      <c r="M6940" s="54" t="n">
        <f aca="false">M6925*M6905*Assumptions!$E$79</f>
        <v>5685.4396956497</v>
      </c>
      <c r="N6940" s="54" t="n">
        <f aca="false">N6925*N6905*Assumptions!$E$79</f>
        <v>5683.42676010938</v>
      </c>
      <c r="P6940" s="55" t="n">
        <f aca="false">SUM(C6940:F6940)</f>
        <v>4756.0810008047</v>
      </c>
      <c r="Q6940" s="55" t="n">
        <f aca="false">SUM(G6940:J6940)</f>
        <v>14152.9086998845</v>
      </c>
      <c r="R6940" s="55" t="n">
        <f aca="false">SUM(K6940:N6940)</f>
        <v>22058.4443936075</v>
      </c>
      <c r="S6940" s="56" t="n">
        <f aca="false">SUM(P6940:R6940)</f>
        <v>40967.4340942967</v>
      </c>
    </row>
    <row r="6941" customFormat="false" ht="15" hidden="false" customHeight="false" outlineLevel="0" collapsed="false">
      <c r="A6941" s="4" t="s">
        <v>560</v>
      </c>
      <c r="B6941" s="36" t="s">
        <v>125</v>
      </c>
      <c r="C6941" s="54" t="n">
        <f aca="false">C6890*Assumptions!$E$80</f>
        <v>4000</v>
      </c>
      <c r="D6941" s="54" t="n">
        <f aca="false">D6890*Assumptions!$E$80</f>
        <v>6000</v>
      </c>
      <c r="E6941" s="54" t="n">
        <f aca="false">E6890*Assumptions!$E$80</f>
        <v>8000</v>
      </c>
      <c r="F6941" s="54" t="n">
        <f aca="false">F6890*Assumptions!$E$80</f>
        <v>10000</v>
      </c>
      <c r="G6941" s="54" t="n">
        <f aca="false">G6890*Assumptions!$E$80</f>
        <v>12000</v>
      </c>
      <c r="H6941" s="54" t="n">
        <f aca="false">H6890*Assumptions!$E$80</f>
        <v>14000</v>
      </c>
      <c r="I6941" s="54" t="n">
        <f aca="false">I6890*Assumptions!$E$80</f>
        <v>16000</v>
      </c>
      <c r="J6941" s="54" t="n">
        <f aca="false">J6890*Assumptions!$E$80</f>
        <v>18000</v>
      </c>
      <c r="K6941" s="54" t="n">
        <f aca="false">K6890*Assumptions!$E$80</f>
        <v>20000</v>
      </c>
      <c r="L6941" s="54" t="n">
        <f aca="false">L6890*Assumptions!$E$80</f>
        <v>20000</v>
      </c>
      <c r="M6941" s="54" t="n">
        <f aca="false">M6890*Assumptions!$E$80</f>
        <v>20000</v>
      </c>
      <c r="N6941" s="54" t="n">
        <f aca="false">N6890*Assumptions!$E$80</f>
        <v>20000</v>
      </c>
      <c r="P6941" s="55" t="n">
        <f aca="false">SUM(C6941:F6941)</f>
        <v>28000</v>
      </c>
      <c r="Q6941" s="55" t="n">
        <f aca="false">SUM(G6941:J6941)</f>
        <v>60000</v>
      </c>
      <c r="R6941" s="55" t="n">
        <f aca="false">SUM(K6941:N6941)</f>
        <v>80000</v>
      </c>
      <c r="S6941" s="56" t="n">
        <f aca="false">SUM(P6941:R6941)</f>
        <v>168000</v>
      </c>
    </row>
    <row r="6942" customFormat="false" ht="15" hidden="false" customHeight="false" outlineLevel="0" collapsed="false">
      <c r="A6942" s="4" t="s">
        <v>561</v>
      </c>
      <c r="B6942" s="36" t="s">
        <v>125</v>
      </c>
      <c r="C6942" s="54" t="n">
        <f aca="false">(C6913*$C$6862+C6914*$C$6863)*Assumptions!$E$81</f>
        <v>0</v>
      </c>
      <c r="D6942" s="54" t="n">
        <f aca="false">(D6913*$C$6862+D6914*$C$6863)*Assumptions!$E$81</f>
        <v>635.937968364564</v>
      </c>
      <c r="E6942" s="54" t="n">
        <f aca="false">(E6913*$C$6862+E6914*$C$6863)*Assumptions!$E$81</f>
        <v>1750.54055351793</v>
      </c>
      <c r="F6942" s="54" t="n">
        <f aca="false">(F6913*$C$6862+F6914*$C$6863)*Assumptions!$E$81</f>
        <v>2334.90810210795</v>
      </c>
      <c r="G6942" s="54" t="n">
        <f aca="false">(G6913*$C$6862+G6914*$C$6863)*Assumptions!$E$81</f>
        <v>2795.39117371923</v>
      </c>
      <c r="H6942" s="54" t="n">
        <f aca="false">(H6913*$C$6862+H6914*$C$6863)*Assumptions!$E$81</f>
        <v>3369.50932043982</v>
      </c>
      <c r="I6942" s="54" t="n">
        <f aca="false">(I6913*$C$6862+I6914*$C$6863)*Assumptions!$E$81</f>
        <v>4387.35933337863</v>
      </c>
      <c r="J6942" s="54" t="n">
        <f aca="false">(J6913*$C$6862+J6914*$C$6863)*Assumptions!$E$81</f>
        <v>5722.79038576107</v>
      </c>
      <c r="K6942" s="54" t="n">
        <f aca="false">(K6913*$C$6862+K6914*$C$6863)*Assumptions!$E$81</f>
        <v>6321.97866548569</v>
      </c>
      <c r="L6942" s="54" t="n">
        <f aca="false">(L6913*$C$6862+L6914*$C$6863)*Assumptions!$E$81</f>
        <v>6373.2850363081</v>
      </c>
      <c r="M6942" s="54" t="n">
        <f aca="false">(M6913*$C$6862+M6914*$C$6863)*Assumptions!$E$81</f>
        <v>6302.46480947277</v>
      </c>
      <c r="N6942" s="54" t="n">
        <f aca="false">(N6913*$C$6862+N6914*$C$6863)*Assumptions!$E$81</f>
        <v>6126.07681512755</v>
      </c>
      <c r="P6942" s="55" t="n">
        <f aca="false">SUM(C6942:F6942)</f>
        <v>4721.38662399044</v>
      </c>
      <c r="Q6942" s="55" t="n">
        <f aca="false">SUM(G6942:J6942)</f>
        <v>16275.0502132987</v>
      </c>
      <c r="R6942" s="55" t="n">
        <f aca="false">SUM(K6942:N6942)</f>
        <v>25123.8053263941</v>
      </c>
      <c r="S6942" s="56" t="n">
        <f aca="false">SUM(P6942:R6942)</f>
        <v>46120.2421636833</v>
      </c>
    </row>
    <row r="6943" customFormat="false" ht="15" hidden="false" customHeight="false" outlineLevel="0" collapsed="false">
      <c r="A6943" s="9" t="s">
        <v>562</v>
      </c>
      <c r="B6943" s="36" t="s">
        <v>125</v>
      </c>
      <c r="C6943" s="55" t="n">
        <f aca="false">C6935+C6936+C6937+C6938+C6939+C6940+C6941+C6942</f>
        <v>154229.464285714</v>
      </c>
      <c r="D6943" s="55" t="n">
        <f aca="false">D6935+D6936+D6937+D6938+D6939+D6940+D6941+D6942</f>
        <v>121172.463189242</v>
      </c>
      <c r="E6943" s="55" t="n">
        <f aca="false">E6935+E6936+E6937+E6938+E6939+E6940+E6941+E6942</f>
        <v>129596.055895122</v>
      </c>
      <c r="F6943" s="55" t="n">
        <f aca="false">F6935+F6936+F6937+F6938+F6939+F6940+F6941+F6942</f>
        <v>175052.909981589</v>
      </c>
      <c r="G6943" s="55" t="n">
        <f aca="false">G6935+G6936+G6937+G6938+G6939+G6940+G6941+G6942</f>
        <v>173670.073563219</v>
      </c>
      <c r="H6943" s="55" t="n">
        <f aca="false">H6935+H6936+H6937+H6938+H6939+H6940+H6941+H6942</f>
        <v>219419.768760609</v>
      </c>
      <c r="I6943" s="55" t="n">
        <f aca="false">I6935+I6936+I6937+I6938+I6939+I6940+I6941+I6942</f>
        <v>188250.475756771</v>
      </c>
      <c r="J6943" s="55" t="n">
        <f aca="false">J6935+J6936+J6937+J6938+J6939+J6940+J6941+J6942</f>
        <v>198418.501305402</v>
      </c>
      <c r="K6943" s="55" t="n">
        <f aca="false">K6935+K6936+K6937+K6938+K6939+K6940+K6941+K6942</f>
        <v>203746.182771395</v>
      </c>
      <c r="L6943" s="55" t="n">
        <f aca="false">L6935+L6936+L6937+L6938+L6939+L6940+L6941+L6942</f>
        <v>204599.6602982</v>
      </c>
      <c r="M6943" s="55" t="n">
        <f aca="false">M6935+M6936+M6937+M6938+M6939+M6940+M6941+M6942</f>
        <v>204107.000852811</v>
      </c>
      <c r="N6943" s="55" t="n">
        <f aca="false">N6935+N6936+N6937+N6938+N6939+N6940+N6941+N6942</f>
        <v>203135.670038973</v>
      </c>
      <c r="P6943" s="55" t="n">
        <f aca="false">SUM(C6943:F6943)</f>
        <v>580050.893351667</v>
      </c>
      <c r="Q6943" s="55" t="n">
        <f aca="false">SUM(G6943:J6943)</f>
        <v>779758.819386001</v>
      </c>
      <c r="R6943" s="55" t="n">
        <f aca="false">SUM(K6943:N6943)</f>
        <v>815588.513961379</v>
      </c>
      <c r="S6943" s="56" t="n">
        <f aca="false">SUM(P6943:R6943)</f>
        <v>2175398.22669905</v>
      </c>
    </row>
    <row r="6944" customFormat="false" ht="15" hidden="false" customHeight="false" outlineLevel="0" collapsed="false">
      <c r="A6944" s="4" t="s">
        <v>563</v>
      </c>
      <c r="B6944" s="36" t="s">
        <v>125</v>
      </c>
      <c r="C6944" s="54" t="n">
        <f aca="false">C6932*Assumptions!$E$72/Assumptions!$E$69/4</f>
        <v>56535.7142857143</v>
      </c>
      <c r="D6944" s="54" t="n">
        <f aca="false">D6932*Assumptions!$E$72/Assumptions!$E$69/4</f>
        <v>56535.7142857143</v>
      </c>
      <c r="E6944" s="54" t="n">
        <f aca="false">E6932*Assumptions!$E$72/Assumptions!$E$69/4</f>
        <v>56535.7142857143</v>
      </c>
      <c r="F6944" s="54" t="n">
        <f aca="false">F6932*Assumptions!$E$72/Assumptions!$E$69/4</f>
        <v>56535.7142857143</v>
      </c>
      <c r="G6944" s="54" t="n">
        <f aca="false">G6932*Assumptions!$E$72/Assumptions!$E$69/4</f>
        <v>28267.8571428571</v>
      </c>
      <c r="H6944" s="54" t="n">
        <f aca="false">H6932*Assumptions!$E$72/Assumptions!$E$69/4</f>
        <v>28267.8571428571</v>
      </c>
      <c r="I6944" s="54" t="n">
        <f aca="false">I6932*Assumptions!$E$72/Assumptions!$E$69/4</f>
        <v>28267.8571428571</v>
      </c>
      <c r="J6944" s="54" t="n">
        <f aca="false">J6932*Assumptions!$E$72/Assumptions!$E$69/4</f>
        <v>28267.8571428571</v>
      </c>
      <c r="K6944" s="54" t="n">
        <f aca="false">K6932*Assumptions!$E$72/Assumptions!$E$69/4</f>
        <v>28267.8571428571</v>
      </c>
      <c r="L6944" s="54" t="n">
        <f aca="false">L6932*Assumptions!$E$72/Assumptions!$E$69/4</f>
        <v>28267.8571428571</v>
      </c>
      <c r="M6944" s="54" t="n">
        <f aca="false">M6932*Assumptions!$E$72/Assumptions!$E$69/4</f>
        <v>28267.8571428571</v>
      </c>
      <c r="N6944" s="54" t="n">
        <f aca="false">N6932*Assumptions!$E$72/Assumptions!$E$69/4</f>
        <v>28267.8571428571</v>
      </c>
      <c r="P6944" s="55" t="n">
        <f aca="false">SUM(C6944:F6944)</f>
        <v>226142.857142857</v>
      </c>
      <c r="Q6944" s="55" t="n">
        <f aca="false">SUM(G6944:J6944)</f>
        <v>113071.428571429</v>
      </c>
      <c r="R6944" s="55" t="n">
        <f aca="false">SUM(K6944:N6944)</f>
        <v>113071.428571429</v>
      </c>
      <c r="S6944" s="56" t="n">
        <f aca="false">SUM(P6944:R6944)</f>
        <v>452285.714285714</v>
      </c>
    </row>
    <row r="6945" customFormat="false" ht="15" hidden="false" customHeight="false" outlineLevel="0" collapsed="false">
      <c r="A6945" s="4" t="s">
        <v>564</v>
      </c>
      <c r="B6945" s="36" t="s">
        <v>125</v>
      </c>
      <c r="C6945" s="54" t="n">
        <f aca="false">IF(C6870&lt;=Assumptions!$E$83,Assumptions!$E$82*Assumptions!$D$108/Assumptions!$E$83,0)</f>
        <v>62500</v>
      </c>
      <c r="D6945" s="54" t="n">
        <f aca="false">IF(D6870&lt;=Assumptions!$E$83,Assumptions!$E$82*Assumptions!$D$108/Assumptions!$E$83,0)</f>
        <v>62500</v>
      </c>
      <c r="E6945" s="54" t="n">
        <f aca="false">IF(E6870&lt;=Assumptions!$E$83,Assumptions!$E$82*Assumptions!$D$108/Assumptions!$E$83,0)</f>
        <v>62500</v>
      </c>
      <c r="F6945" s="54" t="n">
        <f aca="false">IF(F6870&lt;=Assumptions!$E$83,Assumptions!$E$82*Assumptions!$D$108/Assumptions!$E$83,0)</f>
        <v>62500</v>
      </c>
      <c r="G6945" s="54" t="n">
        <f aca="false">IF(G6870&lt;=Assumptions!$E$83,Assumptions!$E$82*Assumptions!$D$108/Assumptions!$E$83,0)</f>
        <v>0</v>
      </c>
      <c r="H6945" s="54" t="n">
        <f aca="false">IF(H6870&lt;=Assumptions!$E$83,Assumptions!$E$82*Assumptions!$D$108/Assumptions!$E$83,0)</f>
        <v>0</v>
      </c>
      <c r="I6945" s="54" t="n">
        <f aca="false">IF(I6870&lt;=Assumptions!$E$83,Assumptions!$E$82*Assumptions!$D$108/Assumptions!$E$83,0)</f>
        <v>0</v>
      </c>
      <c r="J6945" s="54" t="n">
        <f aca="false">IF(J6870&lt;=Assumptions!$E$83,Assumptions!$E$82*Assumptions!$D$108/Assumptions!$E$83,0)</f>
        <v>0</v>
      </c>
      <c r="K6945" s="54" t="n">
        <f aca="false">IF(K6870&lt;=Assumptions!$E$83,Assumptions!$E$82*Assumptions!$D$108/Assumptions!$E$83,0)</f>
        <v>0</v>
      </c>
      <c r="L6945" s="54" t="n">
        <f aca="false">IF(L6870&lt;=Assumptions!$E$83,Assumptions!$E$82*Assumptions!$D$108/Assumptions!$E$83,0)</f>
        <v>0</v>
      </c>
      <c r="M6945" s="54" t="n">
        <f aca="false">IF(M6870&lt;=Assumptions!$E$83,Assumptions!$E$82*Assumptions!$D$108/Assumptions!$E$83,0)</f>
        <v>0</v>
      </c>
      <c r="N6945" s="54" t="n">
        <f aca="false">IF(N6870&lt;=Assumptions!$E$83,Assumptions!$E$82*Assumptions!$D$108/Assumptions!$E$83,0)</f>
        <v>0</v>
      </c>
      <c r="P6945" s="55" t="n">
        <f aca="false">SUM(C6945:F6945)</f>
        <v>250000</v>
      </c>
      <c r="Q6945" s="55" t="n">
        <f aca="false">SUM(G6945:J6945)</f>
        <v>0</v>
      </c>
      <c r="R6945" s="55" t="n">
        <f aca="false">SUM(K6945:N6945)</f>
        <v>0</v>
      </c>
      <c r="S6945" s="56" t="n">
        <f aca="false">SUM(P6945:R6945)</f>
        <v>250000</v>
      </c>
    </row>
    <row r="6946" customFormat="false" ht="15" hidden="false" customHeight="false" outlineLevel="0" collapsed="false">
      <c r="A6946" s="4" t="s">
        <v>565</v>
      </c>
      <c r="B6946" s="36" t="s">
        <v>125</v>
      </c>
      <c r="C6946" s="54" t="n">
        <f aca="false">C6934*Assumptions!$E$73/Assumptions!$E$69/4</f>
        <v>0</v>
      </c>
      <c r="D6946" s="54" t="n">
        <f aca="false">D6934*Assumptions!$E$73/Assumptions!$E$69/4</f>
        <v>575.3130595573</v>
      </c>
      <c r="E6946" s="54" t="n">
        <f aca="false">E6934*Assumptions!$E$73/Assumptions!$E$69/4</f>
        <v>1617.32906717661</v>
      </c>
      <c r="F6946" s="54" t="n">
        <f aca="false">F6934*Assumptions!$E$73/Assumptions!$E$69/4</f>
        <v>2784.46806400723</v>
      </c>
      <c r="G6946" s="54" t="n">
        <f aca="false">G6934*Assumptions!$E$73/Assumptions!$E$69/4</f>
        <v>4250.7178284315</v>
      </c>
      <c r="H6946" s="54" t="n">
        <f aca="false">H6934*Assumptions!$E$73/Assumptions!$E$69/4</f>
        <v>6002.18723950915</v>
      </c>
      <c r="I6946" s="54" t="n">
        <f aca="false">I6934*Assumptions!$E$73/Assumptions!$E$69/4</f>
        <v>8482.112494461</v>
      </c>
      <c r="J6946" s="54" t="n">
        <f aca="false">J6934*Assumptions!$E$73/Assumptions!$E$69/4</f>
        <v>11648.6610758131</v>
      </c>
      <c r="K6946" s="54" t="n">
        <f aca="false">K6934*Assumptions!$E$73/Assumptions!$E$69/4</f>
        <v>14814.0833558002</v>
      </c>
      <c r="L6946" s="54" t="n">
        <f aca="false">L6934*Assumptions!$E$73/Assumptions!$E$69/4</f>
        <v>17925.8887827513</v>
      </c>
      <c r="M6946" s="54" t="n">
        <f aca="false">M6934*Assumptions!$E$73/Assumptions!$E$69/4</f>
        <v>20866.0296742752</v>
      </c>
      <c r="N6946" s="54" t="n">
        <f aca="false">N6934*Assumptions!$E$73/Assumptions!$E$69/4</f>
        <v>23633.3634924145</v>
      </c>
      <c r="P6946" s="55" t="n">
        <f aca="false">SUM(C6946:F6946)</f>
        <v>4977.11019074114</v>
      </c>
      <c r="Q6946" s="55" t="n">
        <f aca="false">SUM(G6946:J6946)</f>
        <v>30383.6786382147</v>
      </c>
      <c r="R6946" s="55" t="n">
        <f aca="false">SUM(K6946:N6946)</f>
        <v>77239.3653052413</v>
      </c>
      <c r="S6946" s="56" t="n">
        <f aca="false">SUM(P6946:R6946)</f>
        <v>112600.154134197</v>
      </c>
    </row>
    <row r="6947" customFormat="false" ht="15" hidden="false" customHeight="false" outlineLevel="0" collapsed="false">
      <c r="A6947" s="9" t="s">
        <v>566</v>
      </c>
      <c r="B6947" s="36" t="s">
        <v>125</v>
      </c>
      <c r="C6947" s="55" t="n">
        <f aca="false">C6943+C6944+C6945+C6946</f>
        <v>273265.178571429</v>
      </c>
      <c r="D6947" s="55" t="n">
        <f aca="false">D6943+D6944+D6945+D6946</f>
        <v>240783.490534514</v>
      </c>
      <c r="E6947" s="55" t="n">
        <f aca="false">E6943+E6944+E6945+E6946</f>
        <v>250249.099248013</v>
      </c>
      <c r="F6947" s="55" t="n">
        <f aca="false">F6943+F6944+F6945+F6946</f>
        <v>296873.092331311</v>
      </c>
      <c r="G6947" s="55" t="n">
        <f aca="false">G6943+G6944+G6945+G6946</f>
        <v>206188.648534507</v>
      </c>
      <c r="H6947" s="55" t="n">
        <f aca="false">H6943+H6944+H6945+H6946</f>
        <v>253689.813142975</v>
      </c>
      <c r="I6947" s="55" t="n">
        <f aca="false">I6943+I6944+I6945+I6946</f>
        <v>225000.445394089</v>
      </c>
      <c r="J6947" s="55" t="n">
        <f aca="false">J6943+J6944+J6945+J6946</f>
        <v>238335.019524072</v>
      </c>
      <c r="K6947" s="55" t="n">
        <f aca="false">K6943+K6944+K6945+K6946</f>
        <v>246828.123270053</v>
      </c>
      <c r="L6947" s="55" t="n">
        <f aca="false">L6943+L6944+L6945+L6946</f>
        <v>250793.406223808</v>
      </c>
      <c r="M6947" s="55" t="n">
        <f aca="false">M6943+M6944+M6945+M6946</f>
        <v>253240.887669944</v>
      </c>
      <c r="N6947" s="55" t="n">
        <f aca="false">N6943+N6944+N6945+N6946</f>
        <v>255036.890674244</v>
      </c>
      <c r="P6947" s="55" t="n">
        <f aca="false">SUM(C6947:F6947)</f>
        <v>1061170.86068527</v>
      </c>
      <c r="Q6947" s="55" t="n">
        <f aca="false">SUM(G6947:J6947)</f>
        <v>923213.926595644</v>
      </c>
      <c r="R6947" s="55" t="n">
        <f aca="false">SUM(K6947:N6947)</f>
        <v>1005899.30783805</v>
      </c>
      <c r="S6947" s="56" t="n">
        <f aca="false">SUM(P6947:R6947)</f>
        <v>2990284.09511896</v>
      </c>
    </row>
    <row r="6948" customFormat="false" ht="15" hidden="false" customHeight="false" outlineLevel="0" collapsed="false">
      <c r="A6948" s="35" t="s">
        <v>567</v>
      </c>
      <c r="B6948" s="35" t="s">
        <v>444</v>
      </c>
      <c r="C6948" s="6" t="s">
        <v>354</v>
      </c>
      <c r="D6948" s="6" t="s">
        <v>355</v>
      </c>
      <c r="E6948" s="6" t="s">
        <v>356</v>
      </c>
      <c r="F6948" s="6" t="s">
        <v>357</v>
      </c>
      <c r="G6948" s="6" t="s">
        <v>358</v>
      </c>
      <c r="H6948" s="6" t="s">
        <v>359</v>
      </c>
      <c r="I6948" s="6" t="s">
        <v>360</v>
      </c>
      <c r="J6948" s="6" t="s">
        <v>361</v>
      </c>
      <c r="K6948" s="6" t="s">
        <v>362</v>
      </c>
      <c r="L6948" s="6" t="s">
        <v>363</v>
      </c>
      <c r="M6948" s="6" t="s">
        <v>364</v>
      </c>
      <c r="N6948" s="6" t="s">
        <v>365</v>
      </c>
      <c r="P6948" s="6" t="s">
        <v>445</v>
      </c>
      <c r="Q6948" s="6" t="s">
        <v>446</v>
      </c>
      <c r="R6948" s="6" t="s">
        <v>447</v>
      </c>
      <c r="S6948" s="6" t="s">
        <v>448</v>
      </c>
    </row>
    <row r="6949" customFormat="false" ht="15" hidden="false" customHeight="false" outlineLevel="0" collapsed="false">
      <c r="A6949" s="9" t="s">
        <v>568</v>
      </c>
      <c r="B6949" s="36" t="s">
        <v>125</v>
      </c>
      <c r="C6949" s="55" t="n">
        <f aca="false">C6927-C6947</f>
        <v>-273265.178571429</v>
      </c>
      <c r="D6949" s="55" t="n">
        <f aca="false">D6927-D6947</f>
        <v>-240062.280337795</v>
      </c>
      <c r="E6949" s="55" t="n">
        <f aca="false">E6927-E6947</f>
        <v>-247207.646379802</v>
      </c>
      <c r="F6949" s="55" t="n">
        <f aca="false">F6927-F6947</f>
        <v>-290228.802278658</v>
      </c>
      <c r="G6949" s="55" t="n">
        <f aca="false">G6927-G6947</f>
        <v>-195033.424607107</v>
      </c>
      <c r="H6949" s="55" t="n">
        <f aca="false">H6927-H6947</f>
        <v>-236963.927749587</v>
      </c>
      <c r="I6949" s="55" t="n">
        <f aca="false">I6927-I6947</f>
        <v>-200970.046674509</v>
      </c>
      <c r="J6949" s="55" t="n">
        <f aca="false">J6927-J6947</f>
        <v>-204515.328319669</v>
      </c>
      <c r="K6949" s="55" t="n">
        <f aca="false">K6927-K6947</f>
        <v>-201493.965330394</v>
      </c>
      <c r="L6949" s="55" t="n">
        <f aca="false">L6927-L6947</f>
        <v>-193387.164517823</v>
      </c>
      <c r="M6949" s="55" t="n">
        <f aca="false">M6927-M6947</f>
        <v>-183631.968430915</v>
      </c>
      <c r="N6949" s="55" t="n">
        <f aca="false">N6927-N6947</f>
        <v>-173293.803437234</v>
      </c>
      <c r="P6949" s="55" t="n">
        <f aca="false">SUM(C6949:F6949)</f>
        <v>-1050763.90756768</v>
      </c>
      <c r="Q6949" s="55" t="n">
        <f aca="false">SUM(G6949:J6949)</f>
        <v>-837482.727350872</v>
      </c>
      <c r="R6949" s="55" t="n">
        <f aca="false">SUM(K6949:N6949)</f>
        <v>-751806.901716366</v>
      </c>
      <c r="S6949" s="56" t="n">
        <f aca="false">SUM(P6949:R6949)</f>
        <v>-2640053.53663492</v>
      </c>
    </row>
    <row r="6950" customFormat="false" ht="15" hidden="false" customHeight="false" outlineLevel="0" collapsed="false">
      <c r="A6950" s="9" t="s">
        <v>569</v>
      </c>
      <c r="B6950" s="36" t="s">
        <v>125</v>
      </c>
      <c r="C6950" s="55" t="n">
        <f aca="false">0+C6949</f>
        <v>-273265.178571429</v>
      </c>
      <c r="D6950" s="55" t="n">
        <f aca="false">C6950+D6949</f>
        <v>-513327.458909223</v>
      </c>
      <c r="E6950" s="55" t="n">
        <f aca="false">D6950+E6949</f>
        <v>-760535.105289025</v>
      </c>
      <c r="F6950" s="55" t="n">
        <f aca="false">E6950+F6949</f>
        <v>-1050763.90756768</v>
      </c>
      <c r="G6950" s="55" t="n">
        <f aca="false">F6950+G6949</f>
        <v>-1245797.33217479</v>
      </c>
      <c r="H6950" s="55" t="n">
        <f aca="false">G6950+H6949</f>
        <v>-1482761.25992438</v>
      </c>
      <c r="I6950" s="55" t="n">
        <f aca="false">H6950+I6949</f>
        <v>-1683731.30659889</v>
      </c>
      <c r="J6950" s="55" t="n">
        <f aca="false">I6950+J6949</f>
        <v>-1888246.63491856</v>
      </c>
      <c r="K6950" s="55" t="n">
        <f aca="false">J6950+K6949</f>
        <v>-2089740.60024895</v>
      </c>
      <c r="L6950" s="55" t="n">
        <f aca="false">K6950+L6949</f>
        <v>-2283127.76476677</v>
      </c>
      <c r="M6950" s="55" t="n">
        <f aca="false">L6950+M6949</f>
        <v>-2466759.73319769</v>
      </c>
      <c r="N6950" s="55" t="n">
        <f aca="false">M6950+N6949</f>
        <v>-2640053.53663492</v>
      </c>
      <c r="P6950" s="55" t="n">
        <f aca="false">F6950</f>
        <v>-1050763.90756768</v>
      </c>
      <c r="Q6950" s="55" t="n">
        <f aca="false">J6950</f>
        <v>-1888246.63491856</v>
      </c>
      <c r="R6950" s="55" t="n">
        <f aca="false">N6950</f>
        <v>-2640053.53663492</v>
      </c>
      <c r="S6950" s="56" t="n">
        <f aca="false">R6950</f>
        <v>-2640053.53663492</v>
      </c>
    </row>
    <row r="6951" customFormat="false" ht="15" hidden="false" customHeight="false" outlineLevel="0" collapsed="false">
      <c r="A6951" s="4" t="s">
        <v>570</v>
      </c>
      <c r="B6951" s="36" t="s">
        <v>107</v>
      </c>
      <c r="C6951" s="57" t="n">
        <f aca="false">1/(1+Assumptions!$E$87)^(C6870/4)</f>
        <v>0.972065420906982</v>
      </c>
      <c r="D6951" s="57" t="n">
        <f aca="false">1/(1+Assumptions!$E$87)^(D6870/4)</f>
        <v>0.944911182523068</v>
      </c>
      <c r="E6951" s="57" t="n">
        <f aca="false">1/(1+Assumptions!$E$87)^(E6870/4)</f>
        <v>0.918515486359</v>
      </c>
      <c r="F6951" s="57" t="n">
        <f aca="false">1/(1+Assumptions!$E$87)^(F6870/4)</f>
        <v>0.892857142857143</v>
      </c>
      <c r="G6951" s="57" t="n">
        <f aca="false">1/(1+Assumptions!$E$87)^(G6870/4)</f>
        <v>0.867915554381234</v>
      </c>
      <c r="H6951" s="57" t="n">
        <f aca="false">1/(1+Assumptions!$E$87)^(H6870/4)</f>
        <v>0.843670698681311</v>
      </c>
      <c r="I6951" s="57" t="n">
        <f aca="false">1/(1+Assumptions!$E$87)^(I6870/4)</f>
        <v>0.820103112820536</v>
      </c>
      <c r="J6951" s="57" t="n">
        <f aca="false">1/(1+Assumptions!$E$87)^(J6870/4)</f>
        <v>0.79719387755102</v>
      </c>
      <c r="K6951" s="57" t="n">
        <f aca="false">1/(1+Assumptions!$E$87)^(K6870/4)</f>
        <v>0.774924602126102</v>
      </c>
      <c r="L6951" s="57" t="n">
        <f aca="false">1/(1+Assumptions!$E$87)^(L6870/4)</f>
        <v>0.753277409536885</v>
      </c>
      <c r="M6951" s="57" t="n">
        <f aca="false">1/(1+Assumptions!$E$87)^(M6870/4)</f>
        <v>0.732234922161193</v>
      </c>
      <c r="N6951" s="57" t="n">
        <f aca="false">1/(1+Assumptions!$E$87)^(N6870/4)</f>
        <v>0.711780247813411</v>
      </c>
      <c r="P6951" s="58"/>
      <c r="Q6951" s="58"/>
      <c r="R6951" s="58"/>
      <c r="S6951" s="59"/>
    </row>
    <row r="6952" customFormat="false" ht="15" hidden="false" customHeight="false" outlineLevel="0" collapsed="false">
      <c r="A6952" s="4" t="s">
        <v>571</v>
      </c>
      <c r="B6952" s="36" t="s">
        <v>125</v>
      </c>
      <c r="C6952" s="54" t="n">
        <f aca="false">(C6927*(1-Assumptions!$E$88)-C6947)*C6951</f>
        <v>-265631.630827257</v>
      </c>
      <c r="D6952" s="54" t="n">
        <f aca="false">(D6927*(1-Assumptions!$E$88)-D6947)*D6951</f>
        <v>-226973.829109136</v>
      </c>
      <c r="E6952" s="54" t="n">
        <f aca="false">(E6927*(1-Assumptions!$E$88)-E6947)*E6951</f>
        <v>-227622.775858304</v>
      </c>
      <c r="F6952" s="54" t="n">
        <f aca="false">(F6927*(1-Assumptions!$E$88)-F6947)*F6951</f>
        <v>-260319.339543918</v>
      </c>
      <c r="G6952" s="54" t="n">
        <f aca="false">(G6927*(1-Assumptions!$E$88)-G6947)*G6951</f>
        <v>-171208.901312587</v>
      </c>
      <c r="H6952" s="54" t="n">
        <f aca="false">(H6927*(1-Assumptions!$E$88)-H6947)*H6951</f>
        <v>-202741.750369943</v>
      </c>
      <c r="I6952" s="54" t="n">
        <f aca="false">(I6927*(1-Assumptions!$E$88)-I6947)*I6951</f>
        <v>-168757.641819902</v>
      </c>
      <c r="J6952" s="54" t="n">
        <f aca="false">(J6927*(1-Assumptions!$E$88)-J6947)*J6951</f>
        <v>-168430.53775554</v>
      </c>
      <c r="K6952" s="54" t="n">
        <f aca="false">(K6927*(1-Assumptions!$E$88)-K6947)*K6951</f>
        <v>-163168.741775288</v>
      </c>
      <c r="L6952" s="54" t="n">
        <f aca="false">(L6927*(1-Assumptions!$E$88)-L6947)*L6951</f>
        <v>-154322.747334376</v>
      </c>
      <c r="M6952" s="54" t="n">
        <f aca="false">(M6927*(1-Assumptions!$E$88)-M6947)*M6951</f>
        <v>-144655.75642246</v>
      </c>
      <c r="N6952" s="54" t="n">
        <f aca="false">(N6927*(1-Assumptions!$E$88)-N6947)*N6951</f>
        <v>-134983.729333202</v>
      </c>
      <c r="P6952" s="55" t="n">
        <f aca="false">SUM(C6952:F6952)</f>
        <v>-980547.575338616</v>
      </c>
      <c r="Q6952" s="55" t="n">
        <f aca="false">SUM(G6952:J6952)</f>
        <v>-711138.831257972</v>
      </c>
      <c r="R6952" s="55" t="n">
        <f aca="false">SUM(K6952:N6952)</f>
        <v>-597130.974865326</v>
      </c>
      <c r="S6952" s="56" t="n">
        <f aca="false">SUM(P6952:R6952)</f>
        <v>-2288817.38146191</v>
      </c>
    </row>
    <row r="6953" customFormat="false" ht="15" hidden="false" customHeight="false" outlineLevel="0" collapsed="false">
      <c r="A6953" s="4" t="s">
        <v>572</v>
      </c>
      <c r="B6953" s="36" t="s">
        <v>125</v>
      </c>
      <c r="C6953" s="54" t="n">
        <f aca="false">(C6947-C6946)*12/(Assumptions!$E$89*Assumptions!$E$76)*Assumptions!$E$90</f>
        <v>189183.585164835</v>
      </c>
      <c r="D6953" s="54" t="n">
        <f aca="false">(D6947-D6946)*12/(Assumptions!$E$89*Assumptions!$E$76)*Assumptions!$E$90</f>
        <v>166297.969021124</v>
      </c>
      <c r="E6953" s="54" t="n">
        <f aca="false">(E6947-E6946)*12/(Assumptions!$E$89*Assumptions!$E$76)*Assumptions!$E$90</f>
        <v>172129.687048271</v>
      </c>
      <c r="F6953" s="54" t="n">
        <f aca="false">(F6947-F6946)*12/(Assumptions!$E$89*Assumptions!$E$76)*Assumptions!$E$90</f>
        <v>203599.816800441</v>
      </c>
      <c r="G6953" s="54" t="n">
        <f aca="false">(G6947-G6946)*12/(Assumptions!$E$89*Assumptions!$E$76)*Assumptions!$E$90</f>
        <v>139803.182796514</v>
      </c>
      <c r="H6953" s="54" t="n">
        <f aca="false">(H6947-H6946)*12/(Assumptions!$E$89*Assumptions!$E$76)*Assumptions!$E$90</f>
        <v>171476.0487024</v>
      </c>
      <c r="I6953" s="54" t="n">
        <f aca="false">(I6947-I6946)*12/(Assumptions!$E$89*Assumptions!$E$76)*Assumptions!$E$90</f>
        <v>149897.30739205</v>
      </c>
      <c r="J6953" s="54" t="n">
        <f aca="false">(J6947-J6946)*12/(Assumptions!$E$89*Assumptions!$E$76)*Assumptions!$E$90</f>
        <v>156936.709694949</v>
      </c>
      <c r="K6953" s="54" t="n">
        <f aca="false">(K6947-K6946)*12/(Assumptions!$E$89*Assumptions!$E$76)*Assumptions!$E$90</f>
        <v>160625.104556021</v>
      </c>
      <c r="L6953" s="54" t="n">
        <f aca="false">(L6947-L6946)*12/(Assumptions!$E$89*Assumptions!$E$76)*Assumptions!$E$90</f>
        <v>161215.97361304</v>
      </c>
      <c r="M6953" s="54" t="n">
        <f aca="false">(M6947-M6946)*12/(Assumptions!$E$89*Assumptions!$E$76)*Assumptions!$E$90</f>
        <v>160874.901689309</v>
      </c>
      <c r="N6953" s="54" t="n">
        <f aca="false">(N6947-N6946)*12/(Assumptions!$E$89*Assumptions!$E$76)*Assumptions!$E$90</f>
        <v>160202.441895113</v>
      </c>
      <c r="P6953" s="55" t="n">
        <f aca="false">SUM(C6953:F6953)</f>
        <v>731211.058034671</v>
      </c>
      <c r="Q6953" s="55" t="n">
        <f aca="false">SUM(G6953:J6953)</f>
        <v>618113.248585913</v>
      </c>
      <c r="R6953" s="55" t="n">
        <f aca="false">SUM(K6953:N6953)</f>
        <v>642918.421753482</v>
      </c>
      <c r="S6953" s="56" t="n">
        <f aca="false">SUM(P6953:R6953)</f>
        <v>1992242.72837407</v>
      </c>
    </row>
    <row r="6954" customFormat="false" ht="15" hidden="false" customHeight="false" outlineLevel="0" collapsed="false">
      <c r="A6954" s="4" t="s">
        <v>573</v>
      </c>
      <c r="B6954" s="36" t="s">
        <v>125</v>
      </c>
      <c r="C6954" s="54" t="n">
        <f aca="false">0*Assumptions!$E$92^(1/4)+C6953</f>
        <v>189183.585164835</v>
      </c>
      <c r="D6954" s="54" t="n">
        <f aca="false">C6954*Assumptions!$E$92^(1/4)+D6953</f>
        <v>355952.749828138</v>
      </c>
      <c r="E6954" s="54" t="n">
        <f aca="false">D6954*Assumptions!$E$92^(1/4)+E6953</f>
        <v>528969.001027282</v>
      </c>
      <c r="F6954" s="54" t="n">
        <f aca="false">E6954*Assumptions!$E$92^(1/4)+F6953</f>
        <v>733886.309976498</v>
      </c>
      <c r="G6954" s="54" t="n">
        <f aca="false">F6954*Assumptions!$E$92^(1/4)+G6953</f>
        <v>875517.368224334</v>
      </c>
      <c r="H6954" s="54" t="n">
        <f aca="false">G6954*Assumptions!$E$92^(1/4)+H6953</f>
        <v>1049174.0499251</v>
      </c>
      <c r="I6954" s="54" t="n">
        <f aca="false">H6954*Assumptions!$E$92^(1/4)+I6953</f>
        <v>1201684.51342042</v>
      </c>
      <c r="J6954" s="54" t="n">
        <f aca="false">I6954*Assumptions!$E$92^(1/4)+J6953</f>
        <v>1361614.23387529</v>
      </c>
      <c r="K6954" s="54" t="n">
        <f aca="false">J6954*Assumptions!$E$92^(1/4)+K6953</f>
        <v>1525630.6828377</v>
      </c>
      <c r="L6954" s="54" t="n">
        <f aca="false">K6954*Assumptions!$E$92^(1/4)+L6953</f>
        <v>1690646.51323378</v>
      </c>
      <c r="M6954" s="54" t="n">
        <f aca="false">L6954*Assumptions!$E$92^(1/4)+M6953</f>
        <v>1855732.27322143</v>
      </c>
      <c r="N6954" s="54" t="n">
        <f aca="false">M6954*Assumptions!$E$92^(1/4)+N6953</f>
        <v>2020556.74910238</v>
      </c>
      <c r="P6954" s="55" t="n">
        <f aca="false">F6954</f>
        <v>733886.309976498</v>
      </c>
      <c r="Q6954" s="55" t="n">
        <f aca="false">J6954</f>
        <v>1361614.23387529</v>
      </c>
      <c r="R6954" s="55" t="n">
        <f aca="false">N6954</f>
        <v>2020556.74910238</v>
      </c>
      <c r="S6954" s="56" t="n">
        <f aca="false">R6954</f>
        <v>2020556.74910238</v>
      </c>
    </row>
    <row r="6955" customFormat="false" ht="15" hidden="false" customHeight="false" outlineLevel="0" collapsed="false">
      <c r="A6955" s="4" t="s">
        <v>574</v>
      </c>
      <c r="B6955" s="36" t="s">
        <v>125</v>
      </c>
      <c r="C6955" s="54" t="n">
        <f aca="false">(0+C6954)/8*Assumptions!$E$76-(C6947-C6946)-C6954*Assumptions!$E$93/4</f>
        <v>-260258.807091346</v>
      </c>
      <c r="D6955" s="54" t="n">
        <f aca="false">(C6954+D6954)/8*Assumptions!$E$76-(D6947-D6946)-D6954*Assumptions!$E$93/4</f>
        <v>-200365.259629629</v>
      </c>
      <c r="E6955" s="54" t="n">
        <f aca="false">(D6954+E6954)/8*Assumptions!$E$76-(E6947-E6946)-E6954*Assumptions!$E$93/4</f>
        <v>-183343.990436674</v>
      </c>
      <c r="F6955" s="54" t="n">
        <f aca="false">(E6954+F6954)/8*Assumptions!$E$76-(F6947-F6946)-F6954*Assumptions!$E$93/4</f>
        <v>-200655.209122952</v>
      </c>
      <c r="G6955" s="54" t="n">
        <f aca="false">(F6954+G6954)/8*Assumptions!$E$76-(G6947-G6946)-G6954*Assumptions!$E$93/4</f>
        <v>-82117.8489550624</v>
      </c>
      <c r="H6955" s="54" t="n">
        <f aca="false">(G6954+H6954)/8*Assumptions!$E$76-(H6947-H6946)-H6954*Assumptions!$E$93/4</f>
        <v>-104421.123802888</v>
      </c>
      <c r="I6955" s="54" t="n">
        <f aca="false">(H6954+I6954)/8*Assumptions!$E$76-(I6947-I6946)-I6954*Assumptions!$E$93/4</f>
        <v>-48657.1310455598</v>
      </c>
      <c r="J6955" s="54" t="n">
        <f aca="false">(I6954+J6954)/8*Assumptions!$E$76-(J6947-J6946)-J6954*Assumptions!$E$93/4</f>
        <v>-35438.5131539244</v>
      </c>
      <c r="K6955" s="54" t="n">
        <f aca="false">(J6954+K6954)/8*Assumptions!$E$76-(K6947-K6946)-K6954*Assumptions!$E$93/4</f>
        <v>-16495.7739667933</v>
      </c>
      <c r="L6955" s="54" t="n">
        <f aca="false">(K6954+L6954)/8*Assumptions!$E$76-(L6947-L6946)-L6954*Assumptions!$E$93/4</f>
        <v>7321.92332432886</v>
      </c>
      <c r="M6955" s="54" t="n">
        <f aca="false">(L6954+M6954)/8*Assumptions!$E$76-(M6947-M6946)-M6954*Assumptions!$E$93/4</f>
        <v>32571.7649885496</v>
      </c>
      <c r="N6955" s="54" t="n">
        <f aca="false">(M6954+N6954)/8*Assumptions!$E$76-(N6947-N6946)-N6954*Assumptions!$E$93/4</f>
        <v>58287.9965181999</v>
      </c>
      <c r="P6955" s="55" t="n">
        <f aca="false">SUM(C6955:F6955)</f>
        <v>-844623.266280602</v>
      </c>
      <c r="Q6955" s="55" t="n">
        <f aca="false">SUM(G6955:J6955)</f>
        <v>-270634.616957435</v>
      </c>
      <c r="R6955" s="55" t="n">
        <f aca="false">SUM(K6955:N6955)</f>
        <v>81685.910864285</v>
      </c>
      <c r="S6955" s="56" t="n">
        <f aca="false">SUM(P6955:R6955)</f>
        <v>-1033571.97237375</v>
      </c>
    </row>
    <row r="6956" customFormat="false" ht="15" hidden="false" customHeight="false" outlineLevel="0" collapsed="false">
      <c r="A6956" s="4" t="s">
        <v>575</v>
      </c>
      <c r="B6956" s="36" t="s">
        <v>125</v>
      </c>
      <c r="C6956" s="54" t="n">
        <f aca="false">C6955*C6951</f>
        <v>-252988.586859998</v>
      </c>
      <c r="D6956" s="54" t="n">
        <f aca="false">D6955*D6951</f>
        <v>-189327.374413174</v>
      </c>
      <c r="E6956" s="54" t="n">
        <f aca="false">E6955*E6951</f>
        <v>-168404.294546942</v>
      </c>
      <c r="F6956" s="54" t="n">
        <f aca="false">F6955*F6951</f>
        <v>-179156.436716922</v>
      </c>
      <c r="G6956" s="54" t="n">
        <f aca="false">G6955*G6951</f>
        <v>-71271.3584004274</v>
      </c>
      <c r="H6956" s="54" t="n">
        <f aca="false">H6955*H6951</f>
        <v>-88097.0424758706</v>
      </c>
      <c r="I6956" s="54" t="n">
        <f aca="false">I6955*I6951</f>
        <v>-39903.8646313803</v>
      </c>
      <c r="J6956" s="54" t="n">
        <f aca="false">J6955*J6951</f>
        <v>-28251.3657158198</v>
      </c>
      <c r="K6956" s="54" t="n">
        <f aca="false">K6955*K6951</f>
        <v>-12782.9810779794</v>
      </c>
      <c r="L6956" s="54" t="n">
        <f aca="false">L6955*L6951</f>
        <v>5515.43943457814</v>
      </c>
      <c r="M6956" s="54" t="n">
        <f aca="false">M6955*M6951</f>
        <v>23850.1838010433</v>
      </c>
      <c r="N6956" s="54" t="n">
        <f aca="false">N6955*N6951</f>
        <v>41488.2446062715</v>
      </c>
      <c r="P6956" s="55" t="n">
        <f aca="false">SUM(C6956:F6956)</f>
        <v>-789876.692537036</v>
      </c>
      <c r="Q6956" s="55" t="n">
        <f aca="false">SUM(G6956:J6956)</f>
        <v>-227523.631223498</v>
      </c>
      <c r="R6956" s="55" t="n">
        <f aca="false">SUM(K6956:N6956)</f>
        <v>58070.8867639135</v>
      </c>
      <c r="S6956" s="56" t="n">
        <f aca="false">SUM(P6956:R6956)</f>
        <v>-959329.436996621</v>
      </c>
    </row>
    <row r="6957" customFormat="false" ht="15" hidden="false" customHeight="false" outlineLevel="0" collapsed="false">
      <c r="A6957" s="4" t="s">
        <v>576</v>
      </c>
      <c r="B6957" s="36"/>
      <c r="C6957" s="37" t="n">
        <f aca="false">IFERROR((S6912*$C$6861*Assumptions!$E$59+S6913*$C$6862*Assumptions!$E$60+S6914*$C$6863*Assumptions!$E$61)/(S6912*$C$6861+S6913*$C$6862+S6914*$C$6863),0.9)</f>
        <v>0.897288799848861</v>
      </c>
    </row>
    <row r="6958" customFormat="false" ht="15" hidden="false" customHeight="false" outlineLevel="0" collapsed="false">
      <c r="A6958" s="4" t="s">
        <v>577</v>
      </c>
      <c r="B6958" s="36"/>
      <c r="C6958" s="37" t="n">
        <f aca="false">IFERROR(N6946*4/N6924,0)</f>
        <v>0.175001112848126</v>
      </c>
    </row>
    <row r="6959" customFormat="false" ht="15" hidden="false" customHeight="false" outlineLevel="0" collapsed="false">
      <c r="A6959" s="4" t="s">
        <v>578</v>
      </c>
      <c r="B6959" s="36"/>
      <c r="C6959" s="60" t="n">
        <f aca="false">$C$6957/(1+Assumptions!$E$87)</f>
        <v>0.801150714150769</v>
      </c>
    </row>
    <row r="6960" customFormat="false" ht="15" hidden="false" customHeight="false" outlineLevel="0" collapsed="false">
      <c r="A6960" s="4" t="s">
        <v>579</v>
      </c>
      <c r="B6960" s="36"/>
      <c r="C6960" s="60" t="n">
        <f aca="false">Assumptions!$E$91/(1+Assumptions!$E$87)</f>
        <v>0.803571428571429</v>
      </c>
    </row>
    <row r="6961" customFormat="false" ht="15" hidden="false" customHeight="false" outlineLevel="0" collapsed="false">
      <c r="A6961" s="35" t="s">
        <v>580</v>
      </c>
      <c r="B6961" s="35" t="s">
        <v>444</v>
      </c>
      <c r="C6961" s="6" t="s">
        <v>354</v>
      </c>
      <c r="D6961" s="6" t="s">
        <v>355</v>
      </c>
      <c r="E6961" s="6" t="s">
        <v>356</v>
      </c>
      <c r="F6961" s="6" t="s">
        <v>357</v>
      </c>
      <c r="G6961" s="6" t="s">
        <v>358</v>
      </c>
      <c r="H6961" s="6" t="s">
        <v>359</v>
      </c>
      <c r="I6961" s="6" t="s">
        <v>360</v>
      </c>
      <c r="J6961" s="6" t="s">
        <v>361</v>
      </c>
      <c r="K6961" s="6" t="s">
        <v>362</v>
      </c>
      <c r="L6961" s="6" t="s">
        <v>363</v>
      </c>
      <c r="M6961" s="6" t="s">
        <v>364</v>
      </c>
      <c r="N6961" s="6" t="s">
        <v>365</v>
      </c>
      <c r="P6961" s="6" t="s">
        <v>445</v>
      </c>
      <c r="Q6961" s="6" t="s">
        <v>446</v>
      </c>
      <c r="R6961" s="6" t="s">
        <v>447</v>
      </c>
      <c r="S6961" s="6" t="s">
        <v>448</v>
      </c>
    </row>
    <row r="6962" customFormat="false" ht="15" hidden="false" customHeight="false" outlineLevel="0" collapsed="false">
      <c r="A6962" s="9" t="s">
        <v>581</v>
      </c>
      <c r="C6962" s="61" t="n">
        <f aca="false">N6924</f>
        <v>540187.730415741</v>
      </c>
      <c r="D6962" s="61"/>
    </row>
    <row r="6963" customFormat="false" ht="15" hidden="false" customHeight="false" outlineLevel="0" collapsed="false">
      <c r="A6963" s="9" t="s">
        <v>582</v>
      </c>
      <c r="C6963" s="62" t="n">
        <f aca="false">N6920</f>
        <v>52.3994239111455</v>
      </c>
      <c r="D6963" s="62"/>
    </row>
    <row r="6964" customFormat="false" ht="15" hidden="false" customHeight="false" outlineLevel="0" collapsed="false">
      <c r="A6964" s="9" t="s">
        <v>583</v>
      </c>
      <c r="C6964" s="63" t="n">
        <f aca="false">S6915</f>
        <v>58.163174463687</v>
      </c>
      <c r="D6964" s="63"/>
    </row>
    <row r="6965" customFormat="false" ht="15" hidden="false" customHeight="false" outlineLevel="0" collapsed="false">
      <c r="A6965" s="9" t="s">
        <v>584</v>
      </c>
      <c r="C6965" s="61" t="n">
        <f aca="false">S6926</f>
        <v>538816.243821596</v>
      </c>
      <c r="D6965" s="61"/>
    </row>
    <row r="6966" customFormat="false" ht="15" hidden="false" customHeight="false" outlineLevel="0" collapsed="false">
      <c r="A6966" s="9" t="s">
        <v>22</v>
      </c>
      <c r="C6966" s="61" t="n">
        <f aca="false">IFERROR(S6925/S6915,0)</f>
        <v>8820.26956899321</v>
      </c>
      <c r="D6966" s="61"/>
    </row>
    <row r="6967" customFormat="false" ht="15" hidden="false" customHeight="false" outlineLevel="0" collapsed="false">
      <c r="A6967" s="9" t="s">
        <v>585</v>
      </c>
      <c r="C6967" s="61" t="n">
        <f aca="false">IFERROR(S6943/S6915,0)</f>
        <v>37401.6419625998</v>
      </c>
      <c r="D6967" s="61"/>
    </row>
    <row r="6968" customFormat="false" ht="23.85" hidden="false" customHeight="false" outlineLevel="0" collapsed="false">
      <c r="A6968" s="9" t="s">
        <v>586</v>
      </c>
      <c r="C6968" s="61" t="n">
        <f aca="false">IFERROR((S6937+S6939+S6940+S6941+S6942)/S6915,0)</f>
        <v>15226.6511881864</v>
      </c>
      <c r="D6968" s="61"/>
    </row>
    <row r="6969" customFormat="false" ht="15" hidden="false" customHeight="false" outlineLevel="0" collapsed="false">
      <c r="A6969" s="9" t="s">
        <v>587</v>
      </c>
      <c r="C6969" s="64" t="n">
        <f aca="false">IFERROR('Engine Runs'!$C$6967/('Engine Runs'!$C$6966*Assumptions!$E$76/12),0)</f>
        <v>78.2846653626759</v>
      </c>
      <c r="D6969" s="64"/>
    </row>
    <row r="6970" customFormat="false" ht="15" hidden="false" customHeight="false" outlineLevel="0" collapsed="false">
      <c r="A6970" s="9" t="s">
        <v>588</v>
      </c>
      <c r="C6970" s="64" t="n">
        <f aca="false">IFERROR((R6943/R6915)/((R6925/R6915)*Assumptions!$E$76/12),0)</f>
        <v>54.3015356005283</v>
      </c>
      <c r="D6970" s="64"/>
    </row>
    <row r="6971" customFormat="false" ht="15" hidden="false" customHeight="false" outlineLevel="0" collapsed="false">
      <c r="A6971" s="9" t="s">
        <v>589</v>
      </c>
      <c r="C6971" s="61" t="n">
        <f aca="false">S6947</f>
        <v>2990284.09511896</v>
      </c>
      <c r="D6971" s="61"/>
    </row>
    <row r="6972" customFormat="false" ht="15" hidden="false" customHeight="false" outlineLevel="0" collapsed="false">
      <c r="A6972" s="9" t="s">
        <v>590</v>
      </c>
      <c r="C6972" s="61" t="n">
        <f aca="false">N6950</f>
        <v>-2640053.53663492</v>
      </c>
      <c r="D6972" s="61"/>
    </row>
    <row r="6973" customFormat="false" ht="15" hidden="false" customHeight="false" outlineLevel="0" collapsed="false">
      <c r="A6973" s="9" t="s">
        <v>591</v>
      </c>
      <c r="C6973" s="61" t="n">
        <f aca="false">MIN($C$6950:$N$6950)</f>
        <v>-2640053.53663492</v>
      </c>
      <c r="D6973" s="61"/>
    </row>
    <row r="6974" customFormat="false" ht="15" hidden="false" customHeight="false" outlineLevel="0" collapsed="false">
      <c r="A6974" s="9" t="s">
        <v>592</v>
      </c>
      <c r="C6974" s="61" t="n">
        <f aca="false">N6924*(Assumptions!$E$76-$C$6958)*$C$6957*(1-$C$6957^Assumptions!$E$85)/(1-$C$6957)</f>
        <v>937761.107234908</v>
      </c>
      <c r="D6974" s="61"/>
    </row>
    <row r="6975" customFormat="false" ht="15" hidden="false" customHeight="false" outlineLevel="0" collapsed="false">
      <c r="A6975" s="9" t="s">
        <v>593</v>
      </c>
      <c r="C6975" s="61" t="n">
        <f aca="false">N6924*(Assumptions!$E$76-$C$6958)*(1-Assumptions!$E$88)/(1+Assumptions!$E$87)^2.5*$C$6959*(1-$C$6959^Assumptions!$E$85)/(1-$C$6959)</f>
        <v>417367.917909349</v>
      </c>
      <c r="D6975" s="61"/>
    </row>
    <row r="6976" customFormat="false" ht="15" hidden="false" customHeight="false" outlineLevel="0" collapsed="false">
      <c r="A6976" s="9" t="s">
        <v>594</v>
      </c>
      <c r="C6976" s="61" t="n">
        <f aca="false">SUM($C$6952:$N$6952)+'Engine Runs'!$C$6975</f>
        <v>-1871449.46355256</v>
      </c>
      <c r="D6976" s="61"/>
    </row>
    <row r="6977" customFormat="false" ht="15" hidden="false" customHeight="false" outlineLevel="0" collapsed="false">
      <c r="A6977" s="9" t="s">
        <v>595</v>
      </c>
      <c r="C6977" s="61" t="n">
        <f aca="false">SUM($C$6956:$N$6956)+N6954*(Assumptions!$E$76-Assumptions!$E$93)/(1+Assumptions!$E$87)^2.5*$C$6960*(1-$C$6960^Assumptions!$E$85)/(1-$C$6960)</f>
        <v>1524830.82122969</v>
      </c>
      <c r="D6977" s="61"/>
    </row>
    <row r="6978" customFormat="false" ht="15" hidden="false" customHeight="false" outlineLevel="0" collapsed="false">
      <c r="A6978" s="9" t="s">
        <v>596</v>
      </c>
      <c r="C6978" s="61" t="n">
        <f aca="false">'Engine Runs'!$C$6976-'Engine Runs'!$C$6977</f>
        <v>-3396280.28478226</v>
      </c>
      <c r="D6978" s="61"/>
    </row>
    <row r="6979" customFormat="false" ht="15" hidden="false" customHeight="false" outlineLevel="0" collapsed="false">
      <c r="A6979" s="9" t="s">
        <v>597</v>
      </c>
      <c r="C6979" s="61" t="n">
        <f aca="false">S6911</f>
        <v>0</v>
      </c>
      <c r="D6979" s="61"/>
    </row>
    <row r="6980" customFormat="false" ht="15" hidden="false" customHeight="false" outlineLevel="0" collapsed="false">
      <c r="A6980" s="9" t="s">
        <v>598</v>
      </c>
      <c r="C6980" s="63" t="n">
        <f aca="false">P6895</f>
        <v>46.1131061748747</v>
      </c>
      <c r="D6980" s="63"/>
    </row>
    <row r="6981" customFormat="false" ht="15" hidden="false" customHeight="false" outlineLevel="0" collapsed="false">
      <c r="A6981" s="9" t="s">
        <v>599</v>
      </c>
      <c r="C6981" s="63" t="n">
        <f aca="false">P6915</f>
        <v>6.18260904948639</v>
      </c>
      <c r="D6981" s="63"/>
    </row>
    <row r="6982" customFormat="false" ht="15" hidden="false" customHeight="false" outlineLevel="0" collapsed="false">
      <c r="A6982" s="9" t="s">
        <v>600</v>
      </c>
      <c r="C6982" s="63" t="n">
        <f aca="false">P6891</f>
        <v>42</v>
      </c>
      <c r="D6982" s="63"/>
    </row>
    <row r="6983" customFormat="false" ht="15" hidden="false" customHeight="false" outlineLevel="0" collapsed="false">
      <c r="A6983" s="9" t="s">
        <v>601</v>
      </c>
      <c r="C6983" s="61" t="n">
        <f aca="false">IFERROR(P6925/P6915,0)</f>
        <v>8545.01753177967</v>
      </c>
      <c r="D6983" s="61"/>
    </row>
    <row r="6986" customFormat="false" ht="15" hidden="false" customHeight="true" outlineLevel="0" collapsed="false">
      <c r="A6986" s="78" t="s">
        <v>891</v>
      </c>
      <c r="B6986" s="78"/>
      <c r="C6986" s="78"/>
      <c r="D6986" s="78"/>
      <c r="E6986" s="78"/>
      <c r="F6986" s="78"/>
      <c r="G6986" s="78"/>
      <c r="H6986" s="78"/>
      <c r="I6986" s="78"/>
      <c r="J6986" s="78"/>
      <c r="K6986" s="78"/>
      <c r="L6986" s="78"/>
      <c r="M6986" s="78"/>
      <c r="N6986" s="78"/>
    </row>
    <row r="6987" customFormat="false" ht="15" hidden="false" customHeight="true" outlineLevel="0" collapsed="false">
      <c r="A6987" s="79" t="s">
        <v>892</v>
      </c>
      <c r="B6987" s="79"/>
      <c r="C6987" s="79"/>
      <c r="D6987" s="79"/>
      <c r="E6987" s="79"/>
      <c r="F6987" s="79"/>
      <c r="G6987" s="79"/>
      <c r="H6987" s="79"/>
      <c r="I6987" s="79"/>
      <c r="J6987" s="79"/>
      <c r="K6987" s="79"/>
      <c r="L6987" s="79"/>
      <c r="M6987" s="79"/>
      <c r="N6987" s="79"/>
    </row>
    <row r="6988" customFormat="false" ht="23.85" hidden="false" customHeight="false" outlineLevel="0" collapsed="false">
      <c r="A6988" s="35" t="s">
        <v>893</v>
      </c>
      <c r="B6988" s="35" t="s">
        <v>444</v>
      </c>
      <c r="C6988" s="6" t="s">
        <v>354</v>
      </c>
      <c r="D6988" s="6" t="s">
        <v>355</v>
      </c>
      <c r="E6988" s="6" t="s">
        <v>356</v>
      </c>
      <c r="F6988" s="6" t="s">
        <v>357</v>
      </c>
      <c r="G6988" s="6" t="s">
        <v>358</v>
      </c>
      <c r="H6988" s="6" t="s">
        <v>359</v>
      </c>
      <c r="I6988" s="6" t="s">
        <v>360</v>
      </c>
      <c r="J6988" s="6" t="s">
        <v>361</v>
      </c>
      <c r="K6988" s="6" t="s">
        <v>362</v>
      </c>
      <c r="L6988" s="6" t="s">
        <v>363</v>
      </c>
      <c r="M6988" s="6" t="s">
        <v>364</v>
      </c>
      <c r="N6988" s="6" t="s">
        <v>365</v>
      </c>
      <c r="P6988" s="6" t="s">
        <v>445</v>
      </c>
      <c r="Q6988" s="6" t="s">
        <v>446</v>
      </c>
      <c r="R6988" s="6" t="s">
        <v>447</v>
      </c>
      <c r="S6988" s="6" t="s">
        <v>448</v>
      </c>
    </row>
    <row r="6989" customFormat="false" ht="15" hidden="false" customHeight="false" outlineLevel="0" collapsed="false">
      <c r="A6989" s="4" t="s">
        <v>449</v>
      </c>
      <c r="B6989" s="36" t="s">
        <v>450</v>
      </c>
      <c r="C6989" s="34" t="n">
        <f aca="false">'Market Sizing'!$C$17*Assumptions!$E$10*Assumptions!$E$11*(1-Assumptions!$E$12)</f>
        <v>843.03944704</v>
      </c>
    </row>
    <row r="6990" customFormat="false" ht="15" hidden="false" customHeight="false" outlineLevel="0" collapsed="false">
      <c r="A6990" s="4" t="s">
        <v>451</v>
      </c>
      <c r="B6990" s="36" t="s">
        <v>450</v>
      </c>
      <c r="C6990" s="34" t="n">
        <f aca="false">'Market Sizing'!$D$17*Assumptions!$E$10*Assumptions!$E$11*(1-Assumptions!$E$12)</f>
        <v>211.19616</v>
      </c>
    </row>
    <row r="6991" customFormat="false" ht="15" hidden="false" customHeight="false" outlineLevel="0" collapsed="false">
      <c r="A6991" s="4" t="s">
        <v>452</v>
      </c>
      <c r="B6991" s="36" t="s">
        <v>450</v>
      </c>
      <c r="C6991" s="34" t="n">
        <f aca="false">'Market Sizing'!$E$17*Assumptions!$E$10*Assumptions!$E$11*(1-Assumptions!$E$12)</f>
        <v>49.53984</v>
      </c>
    </row>
    <row r="6992" customFormat="false" ht="15" hidden="false" customHeight="false" outlineLevel="0" collapsed="false">
      <c r="A6992" s="4" t="s">
        <v>453</v>
      </c>
      <c r="B6992" s="36"/>
      <c r="C6992" s="34" t="n">
        <f aca="false">$C$6989+$C$6990+$C$6991</f>
        <v>1103.77544704</v>
      </c>
    </row>
    <row r="6993" customFormat="false" ht="15" hidden="false" customHeight="false" outlineLevel="0" collapsed="false">
      <c r="A6993" s="4" t="s">
        <v>454</v>
      </c>
      <c r="B6993" s="36" t="s">
        <v>450</v>
      </c>
      <c r="C6993" s="34" t="n">
        <f aca="false">'Market Sizing'!$C$18*Assumptions!$E$10*Assumptions!$E$11*(1-Assumptions!$E$12)</f>
        <v>612.57706944</v>
      </c>
    </row>
    <row r="6994" customFormat="false" ht="15" hidden="false" customHeight="false" outlineLevel="0" collapsed="false">
      <c r="A6994" s="4" t="s">
        <v>455</v>
      </c>
      <c r="B6994" s="36" t="s">
        <v>450</v>
      </c>
      <c r="C6994" s="34" t="n">
        <f aca="false">'Market Sizing'!$D$18*Assumptions!$E$10*Assumptions!$E$11*(1-Assumptions!$E$12)</f>
        <v>142.10112</v>
      </c>
    </row>
    <row r="6995" customFormat="false" ht="15" hidden="false" customHeight="false" outlineLevel="0" collapsed="false">
      <c r="A6995" s="4" t="s">
        <v>456</v>
      </c>
      <c r="B6995" s="36" t="s">
        <v>450</v>
      </c>
      <c r="C6995" s="34" t="n">
        <f aca="false">'Market Sizing'!$E$18*Assumptions!$E$10*Assumptions!$E$11*(1-Assumptions!$E$12)</f>
        <v>24.76992</v>
      </c>
    </row>
    <row r="6996" customFormat="false" ht="15" hidden="false" customHeight="false" outlineLevel="0" collapsed="false">
      <c r="A6996" s="4" t="s">
        <v>457</v>
      </c>
      <c r="B6996" s="36"/>
      <c r="C6996" s="34" t="n">
        <f aca="false">$C$6993+$C$6994+$C$6995</f>
        <v>779.44810944</v>
      </c>
    </row>
    <row r="6997" customFormat="false" ht="15" hidden="false" customHeight="false" outlineLevel="0" collapsed="false">
      <c r="A6997" s="4" t="s">
        <v>458</v>
      </c>
      <c r="B6997" s="36" t="s">
        <v>450</v>
      </c>
      <c r="C6997" s="34" t="n">
        <f aca="false">'Market Sizing'!$C$19*Assumptions!$E$10*Assumptions!$E$11*(1-Assumptions!$E$12)</f>
        <v>2060.77303936</v>
      </c>
    </row>
    <row r="6998" customFormat="false" ht="15" hidden="false" customHeight="false" outlineLevel="0" collapsed="false">
      <c r="A6998" s="4" t="s">
        <v>459</v>
      </c>
      <c r="B6998" s="36" t="s">
        <v>450</v>
      </c>
      <c r="C6998" s="34" t="n">
        <f aca="false">'Market Sizing'!$D$19*Assumptions!$E$10*Assumptions!$E$11*(1-Assumptions!$E$12)</f>
        <v>428.47616</v>
      </c>
    </row>
    <row r="6999" customFormat="false" ht="15" hidden="false" customHeight="false" outlineLevel="0" collapsed="false">
      <c r="A6999" s="4" t="s">
        <v>460</v>
      </c>
      <c r="B6999" s="36" t="s">
        <v>450</v>
      </c>
      <c r="C6999" s="34" t="n">
        <f aca="false">'Market Sizing'!$E$19*Assumptions!$E$10*Assumptions!$E$11*(1-Assumptions!$E$12)</f>
        <v>79.52448</v>
      </c>
    </row>
    <row r="7000" customFormat="false" ht="15" hidden="false" customHeight="false" outlineLevel="0" collapsed="false">
      <c r="A7000" s="4" t="s">
        <v>461</v>
      </c>
      <c r="B7000" s="36"/>
      <c r="C7000" s="34" t="n">
        <f aca="false">$C$6997+$C$6998+$C$6999</f>
        <v>2568.77367936</v>
      </c>
    </row>
    <row r="7001" customFormat="false" ht="15" hidden="false" customHeight="false" outlineLevel="0" collapsed="false">
      <c r="A7001" s="4" t="s">
        <v>462</v>
      </c>
      <c r="B7001" s="36" t="s">
        <v>463</v>
      </c>
      <c r="C7001" s="33" t="n">
        <f aca="false">MAX((Assumptions!$E$51+Assumptions!$E$53)*12,(((('Market Sizing'!$E$25*Assumptions!$E$41*Assumptions!$E$42*Assumptions!$E$43)*Assumptions!$E$44)*Assumptions!$E$45*Assumptions!$E$46+('Market Sizing'!$E$25*Assumptions!$E$41*Assumptions!$E$42*Assumptions!$E$43)*Assumptions!$E$47+('Market Sizing'!$E$25*Assumptions!$E$41*Assumptions!$E$42*Assumptions!$E$43)*Assumptions!$E$48*Assumptions!$E$49)*(Assumptions!$E$51*12/Assumptions!$E$52)+((('Market Sizing'!$E$25*Assumptions!$E$41*Assumptions!$E$42*Assumptions!$E$43)*Assumptions!$E$44)*Assumptions!$E$45+('Market Sizing'!$E$25*Assumptions!$E$41*Assumptions!$E$42*Assumptions!$E$43)+('Market Sizing'!$E$25*Assumptions!$E$41*Assumptions!$E$42*Assumptions!$E$43)*Assumptions!$E$48)*Assumptions!$E$50*(Assumptions!$E$53*12/Assumptions!$E$54)))</f>
        <v>5352</v>
      </c>
    </row>
    <row r="7002" customFormat="false" ht="15" hidden="false" customHeight="false" outlineLevel="0" collapsed="false">
      <c r="A7002" s="4" t="s">
        <v>464</v>
      </c>
      <c r="B7002" s="36" t="s">
        <v>463</v>
      </c>
      <c r="C7002" s="33" t="n">
        <f aca="false">MAX((Assumptions!$E$51+Assumptions!$E$53)*12,(((('Market Sizing'!$E$26*Assumptions!$E$41*Assumptions!$E$42*Assumptions!$E$43)*Assumptions!$E$44)*Assumptions!$E$45*Assumptions!$E$46+('Market Sizing'!$E$26*Assumptions!$E$41*Assumptions!$E$42*Assumptions!$E$43)*Assumptions!$E$47+('Market Sizing'!$E$26*Assumptions!$E$41*Assumptions!$E$42*Assumptions!$E$43)*Assumptions!$E$48*Assumptions!$E$49)*(Assumptions!$E$51*12/Assumptions!$E$52)+((('Market Sizing'!$E$26*Assumptions!$E$41*Assumptions!$E$42*Assumptions!$E$43)*Assumptions!$E$44)*Assumptions!$E$45+('Market Sizing'!$E$26*Assumptions!$E$41*Assumptions!$E$42*Assumptions!$E$43)+('Market Sizing'!$E$26*Assumptions!$E$41*Assumptions!$E$42*Assumptions!$E$43)*Assumptions!$E$48)*Assumptions!$E$50*(Assumptions!$E$53*12/Assumptions!$E$54)))</f>
        <v>9766.72012875208</v>
      </c>
    </row>
    <row r="7003" customFormat="false" ht="15" hidden="false" customHeight="false" outlineLevel="0" collapsed="false">
      <c r="A7003" s="4" t="s">
        <v>465</v>
      </c>
      <c r="B7003" s="36" t="s">
        <v>463</v>
      </c>
      <c r="C7003" s="33" t="n">
        <f aca="false">MAX(Assumptions!$E$55*(Assumptions!$E$51*12/Assumptions!$E$52)+Assumptions!$E$56*(Assumptions!$E$53*12/Assumptions!$E$54),(((('Market Sizing'!$E$27*Assumptions!$E$41*Assumptions!$E$42*Assumptions!$E$43)*Assumptions!$E$44)*Assumptions!$E$45*Assumptions!$E$46+('Market Sizing'!$E$27*Assumptions!$E$41*Assumptions!$E$42*Assumptions!$E$43)*Assumptions!$E$47+('Market Sizing'!$E$27*Assumptions!$E$41*Assumptions!$E$42*Assumptions!$E$43)*Assumptions!$E$48*Assumptions!$E$49)*(Assumptions!$E$51*12/Assumptions!$E$52)+((('Market Sizing'!$E$27*Assumptions!$E$41*Assumptions!$E$42*Assumptions!$E$43)*Assumptions!$E$44)*Assumptions!$E$45+('Market Sizing'!$E$27*Assumptions!$E$41*Assumptions!$E$42*Assumptions!$E$43)+('Market Sizing'!$E$27*Assumptions!$E$41*Assumptions!$E$42*Assumptions!$E$43)*Assumptions!$E$48)*Assumptions!$E$50*(Assumptions!$E$53*12/Assumptions!$E$54)))*(1-Assumptions!$E$57)</f>
        <v>61778.2562194386</v>
      </c>
    </row>
    <row r="7004" customFormat="false" ht="23.85" hidden="false" customHeight="false" outlineLevel="0" collapsed="false">
      <c r="A7004" s="4" t="s">
        <v>466</v>
      </c>
      <c r="B7004" s="36" t="s">
        <v>467</v>
      </c>
      <c r="C7004" s="37" t="n">
        <f aca="false">Assumptions!$E$17*Assumptions!$D$106</f>
        <v>0.4</v>
      </c>
    </row>
    <row r="7005" customFormat="false" ht="23.85" hidden="false" customHeight="false" outlineLevel="0" collapsed="false">
      <c r="A7005" s="4" t="s">
        <v>468</v>
      </c>
      <c r="B7005" s="36" t="s">
        <v>469</v>
      </c>
      <c r="C7005" s="33" t="n">
        <f aca="false">Assumptions!$E$68/Assumptions!$E$69</f>
        <v>285714.285714286</v>
      </c>
    </row>
    <row r="7006" customFormat="false" ht="23.85" hidden="false" customHeight="false" outlineLevel="0" collapsed="false">
      <c r="A7006" s="4" t="s">
        <v>470</v>
      </c>
      <c r="B7006" s="36" t="s">
        <v>471</v>
      </c>
      <c r="C7006" s="33" t="n">
        <f aca="false">Assumptions!$E$66*Assumptions!$E$67/4</f>
        <v>153125</v>
      </c>
    </row>
    <row r="7007" customFormat="false" ht="15" hidden="false" customHeight="false" outlineLevel="0" collapsed="false">
      <c r="A7007" s="4" t="s">
        <v>472</v>
      </c>
      <c r="B7007" s="36"/>
      <c r="C7007" s="38" t="n">
        <f aca="false">$C$7005/Assumptions!$E$66/Assumptions!$E$67</f>
        <v>0.466472303206997</v>
      </c>
    </row>
    <row r="7008" customFormat="false" ht="15" hidden="false" customHeight="false" outlineLevel="0" collapsed="false">
      <c r="A7008" s="4" t="s">
        <v>473</v>
      </c>
      <c r="B7008" s="36"/>
      <c r="C7008" s="33" t="n">
        <f aca="false">MAX(0,Assumptions!$D$103-Assumptions!$E$78)</f>
        <v>0</v>
      </c>
    </row>
    <row r="7009" customFormat="false" ht="15" hidden="false" customHeight="false" outlineLevel="0" collapsed="false">
      <c r="A7009" s="35" t="s">
        <v>474</v>
      </c>
      <c r="B7009" s="35" t="s">
        <v>444</v>
      </c>
      <c r="C7009" s="6" t="s">
        <v>354</v>
      </c>
      <c r="D7009" s="6" t="s">
        <v>355</v>
      </c>
      <c r="E7009" s="6" t="s">
        <v>356</v>
      </c>
      <c r="F7009" s="6" t="s">
        <v>357</v>
      </c>
      <c r="G7009" s="6" t="s">
        <v>358</v>
      </c>
      <c r="H7009" s="6" t="s">
        <v>359</v>
      </c>
      <c r="I7009" s="6" t="s">
        <v>360</v>
      </c>
      <c r="J7009" s="6" t="s">
        <v>361</v>
      </c>
      <c r="K7009" s="6" t="s">
        <v>362</v>
      </c>
      <c r="L7009" s="6" t="s">
        <v>363</v>
      </c>
      <c r="M7009" s="6" t="s">
        <v>364</v>
      </c>
      <c r="N7009" s="6" t="s">
        <v>365</v>
      </c>
      <c r="P7009" s="6" t="s">
        <v>445</v>
      </c>
      <c r="Q7009" s="6" t="s">
        <v>446</v>
      </c>
      <c r="R7009" s="6" t="s">
        <v>447</v>
      </c>
      <c r="S7009" s="6" t="s">
        <v>448</v>
      </c>
    </row>
    <row r="7010" customFormat="false" ht="15" hidden="false" customHeight="false" outlineLevel="0" collapsed="false">
      <c r="A7010" s="4" t="s">
        <v>475</v>
      </c>
      <c r="B7010" s="36" t="s">
        <v>133</v>
      </c>
      <c r="C7010" s="39" t="n">
        <v>1</v>
      </c>
      <c r="D7010" s="39" t="n">
        <v>2</v>
      </c>
      <c r="E7010" s="39" t="n">
        <v>3</v>
      </c>
      <c r="F7010" s="39" t="n">
        <v>4</v>
      </c>
      <c r="G7010" s="39" t="n">
        <v>5</v>
      </c>
      <c r="H7010" s="39" t="n">
        <v>6</v>
      </c>
      <c r="I7010" s="39" t="n">
        <v>7</v>
      </c>
      <c r="J7010" s="39" t="n">
        <v>8</v>
      </c>
      <c r="K7010" s="39" t="n">
        <v>9</v>
      </c>
      <c r="L7010" s="39" t="n">
        <v>10</v>
      </c>
      <c r="M7010" s="39" t="n">
        <v>11</v>
      </c>
      <c r="N7010" s="39" t="n">
        <v>12</v>
      </c>
      <c r="P7010" s="40"/>
      <c r="Q7010" s="40"/>
      <c r="R7010" s="40"/>
      <c r="S7010" s="41"/>
    </row>
    <row r="7011" customFormat="false" ht="15" hidden="false" customHeight="false" outlineLevel="0" collapsed="false">
      <c r="A7011" s="4" t="s">
        <v>476</v>
      </c>
      <c r="B7011" s="36" t="s">
        <v>343</v>
      </c>
      <c r="C7011" s="39" t="n">
        <f aca="false">IF(C7010&lt;=Assumptions!$E$84,1,0)</f>
        <v>1</v>
      </c>
      <c r="D7011" s="39" t="n">
        <f aca="false">IF(D7010&lt;=Assumptions!$E$84,1,0)</f>
        <v>1</v>
      </c>
      <c r="E7011" s="39" t="n">
        <f aca="false">IF(E7010&lt;=Assumptions!$E$84,1,0)</f>
        <v>1</v>
      </c>
      <c r="F7011" s="39" t="n">
        <f aca="false">IF(F7010&lt;=Assumptions!$E$84,1,0)</f>
        <v>1</v>
      </c>
      <c r="G7011" s="39" t="n">
        <f aca="false">IF(G7010&lt;=Assumptions!$E$84,1,0)</f>
        <v>1</v>
      </c>
      <c r="H7011" s="39" t="n">
        <f aca="false">IF(H7010&lt;=Assumptions!$E$84,1,0)</f>
        <v>1</v>
      </c>
      <c r="I7011" s="39" t="n">
        <f aca="false">IF(I7010&lt;=Assumptions!$E$84,1,0)</f>
        <v>1</v>
      </c>
      <c r="J7011" s="39" t="n">
        <f aca="false">IF(J7010&lt;=Assumptions!$E$84,1,0)</f>
        <v>1</v>
      </c>
      <c r="K7011" s="39" t="n">
        <f aca="false">IF(K7010&lt;=Assumptions!$E$84,1,0)</f>
        <v>1</v>
      </c>
      <c r="L7011" s="39" t="n">
        <f aca="false">IF(L7010&lt;=Assumptions!$E$84,1,0)</f>
        <v>1</v>
      </c>
      <c r="M7011" s="39" t="n">
        <f aca="false">IF(M7010&lt;=Assumptions!$E$84,1,0)</f>
        <v>1</v>
      </c>
      <c r="N7011" s="39" t="n">
        <f aca="false">IF(N7010&lt;=Assumptions!$E$84,1,0)</f>
        <v>1</v>
      </c>
      <c r="P7011" s="40"/>
      <c r="Q7011" s="40"/>
      <c r="R7011" s="40"/>
      <c r="S7011" s="41"/>
    </row>
    <row r="7012" customFormat="false" ht="15" hidden="false" customHeight="false" outlineLevel="0" collapsed="false">
      <c r="A7012" s="4" t="s">
        <v>477</v>
      </c>
      <c r="B7012" s="36" t="s">
        <v>478</v>
      </c>
      <c r="C7012" s="42" t="n">
        <f aca="false">IF(C7010=Assumptions!$E$13,0.5,IF(C7010&gt;Assumptions!$E$13,1,0))</f>
        <v>0.5</v>
      </c>
      <c r="D7012" s="42" t="n">
        <f aca="false">IF(D7010=Assumptions!$E$13,0.5,IF(D7010&gt;Assumptions!$E$13,1,0))</f>
        <v>1</v>
      </c>
      <c r="E7012" s="42" t="n">
        <f aca="false">IF(E7010=Assumptions!$E$13,0.5,IF(E7010&gt;Assumptions!$E$13,1,0))</f>
        <v>1</v>
      </c>
      <c r="F7012" s="42" t="n">
        <f aca="false">IF(F7010=Assumptions!$E$13,0.5,IF(F7010&gt;Assumptions!$E$13,1,0))</f>
        <v>1</v>
      </c>
      <c r="G7012" s="42" t="n">
        <f aca="false">IF(G7010=Assumptions!$E$13,0.5,IF(G7010&gt;Assumptions!$E$13,1,0))</f>
        <v>1</v>
      </c>
      <c r="H7012" s="42" t="n">
        <f aca="false">IF(H7010=Assumptions!$E$13,0.5,IF(H7010&gt;Assumptions!$E$13,1,0))</f>
        <v>1</v>
      </c>
      <c r="I7012" s="42" t="n">
        <f aca="false">IF(I7010=Assumptions!$E$13,0.5,IF(I7010&gt;Assumptions!$E$13,1,0))</f>
        <v>1</v>
      </c>
      <c r="J7012" s="42" t="n">
        <f aca="false">IF(J7010=Assumptions!$E$13,0.5,IF(J7010&gt;Assumptions!$E$13,1,0))</f>
        <v>1</v>
      </c>
      <c r="K7012" s="42" t="n">
        <f aca="false">IF(K7010=Assumptions!$E$13,0.5,IF(K7010&gt;Assumptions!$E$13,1,0))</f>
        <v>1</v>
      </c>
      <c r="L7012" s="42" t="n">
        <f aca="false">IF(L7010=Assumptions!$E$13,0.5,IF(L7010&gt;Assumptions!$E$13,1,0))</f>
        <v>1</v>
      </c>
      <c r="M7012" s="42" t="n">
        <f aca="false">IF(M7010=Assumptions!$E$13,0.5,IF(M7010&gt;Assumptions!$E$13,1,0))</f>
        <v>1</v>
      </c>
      <c r="N7012" s="42" t="n">
        <f aca="false">IF(N7010=Assumptions!$E$13,0.5,IF(N7010&gt;Assumptions!$E$13,1,0))</f>
        <v>1</v>
      </c>
      <c r="P7012" s="43"/>
      <c r="Q7012" s="43"/>
      <c r="R7012" s="43"/>
      <c r="S7012" s="44"/>
    </row>
    <row r="7013" customFormat="false" ht="15" hidden="false" customHeight="false" outlineLevel="0" collapsed="false">
      <c r="A7013" s="4" t="s">
        <v>479</v>
      </c>
      <c r="B7013" s="36" t="s">
        <v>478</v>
      </c>
      <c r="C7013" s="42" t="n">
        <f aca="false">IF(C7010=Assumptions!$E$14,0.5,IF(C7010&gt;Assumptions!$E$14,1,0))</f>
        <v>0</v>
      </c>
      <c r="D7013" s="42" t="n">
        <f aca="false">IF(D7010=Assumptions!$E$14,0.5,IF(D7010&gt;Assumptions!$E$14,1,0))</f>
        <v>0</v>
      </c>
      <c r="E7013" s="42" t="n">
        <f aca="false">IF(E7010=Assumptions!$E$14,0.5,IF(E7010&gt;Assumptions!$E$14,1,0))</f>
        <v>0</v>
      </c>
      <c r="F7013" s="42" t="n">
        <f aca="false">IF(F7010=Assumptions!$E$14,0.5,IF(F7010&gt;Assumptions!$E$14,1,0))</f>
        <v>0</v>
      </c>
      <c r="G7013" s="42" t="n">
        <f aca="false">IF(G7010=Assumptions!$E$14,0.5,IF(G7010&gt;Assumptions!$E$14,1,0))</f>
        <v>0.5</v>
      </c>
      <c r="H7013" s="42" t="n">
        <f aca="false">IF(H7010=Assumptions!$E$14,0.5,IF(H7010&gt;Assumptions!$E$14,1,0))</f>
        <v>1</v>
      </c>
      <c r="I7013" s="42" t="n">
        <f aca="false">IF(I7010=Assumptions!$E$14,0.5,IF(I7010&gt;Assumptions!$E$14,1,0))</f>
        <v>1</v>
      </c>
      <c r="J7013" s="42" t="n">
        <f aca="false">IF(J7010=Assumptions!$E$14,0.5,IF(J7010&gt;Assumptions!$E$14,1,0))</f>
        <v>1</v>
      </c>
      <c r="K7013" s="42" t="n">
        <f aca="false">IF(K7010=Assumptions!$E$14,0.5,IF(K7010&gt;Assumptions!$E$14,1,0))</f>
        <v>1</v>
      </c>
      <c r="L7013" s="42" t="n">
        <f aca="false">IF(L7010=Assumptions!$E$14,0.5,IF(L7010&gt;Assumptions!$E$14,1,0))</f>
        <v>1</v>
      </c>
      <c r="M7013" s="42" t="n">
        <f aca="false">IF(M7010=Assumptions!$E$14,0.5,IF(M7010&gt;Assumptions!$E$14,1,0))</f>
        <v>1</v>
      </c>
      <c r="N7013" s="42" t="n">
        <f aca="false">IF(N7010=Assumptions!$E$14,0.5,IF(N7010&gt;Assumptions!$E$14,1,0))</f>
        <v>1</v>
      </c>
      <c r="P7013" s="43"/>
      <c r="Q7013" s="43"/>
      <c r="R7013" s="43"/>
      <c r="S7013" s="44"/>
    </row>
    <row r="7014" customFormat="false" ht="15" hidden="false" customHeight="false" outlineLevel="0" collapsed="false">
      <c r="A7014" s="4" t="s">
        <v>480</v>
      </c>
      <c r="B7014" s="36" t="s">
        <v>478</v>
      </c>
      <c r="C7014" s="42" t="n">
        <f aca="false">IF(C7010=Assumptions!$E$15,0.5,IF(C7010&gt;Assumptions!$E$15,1,0))</f>
        <v>0</v>
      </c>
      <c r="D7014" s="42" t="n">
        <f aca="false">IF(D7010=Assumptions!$E$15,0.5,IF(D7010&gt;Assumptions!$E$15,1,0))</f>
        <v>0</v>
      </c>
      <c r="E7014" s="42" t="n">
        <f aca="false">IF(E7010=Assumptions!$E$15,0.5,IF(E7010&gt;Assumptions!$E$15,1,0))</f>
        <v>0</v>
      </c>
      <c r="F7014" s="42" t="n">
        <f aca="false">IF(F7010=Assumptions!$E$15,0.5,IF(F7010&gt;Assumptions!$E$15,1,0))</f>
        <v>0</v>
      </c>
      <c r="G7014" s="42" t="n">
        <f aca="false">IF(G7010=Assumptions!$E$15,0.5,IF(G7010&gt;Assumptions!$E$15,1,0))</f>
        <v>0</v>
      </c>
      <c r="H7014" s="42" t="n">
        <f aca="false">IF(H7010=Assumptions!$E$15,0.5,IF(H7010&gt;Assumptions!$E$15,1,0))</f>
        <v>0</v>
      </c>
      <c r="I7014" s="42" t="n">
        <f aca="false">IF(I7010=Assumptions!$E$15,0.5,IF(I7010&gt;Assumptions!$E$15,1,0))</f>
        <v>0.5</v>
      </c>
      <c r="J7014" s="42" t="n">
        <f aca="false">IF(J7010=Assumptions!$E$15,0.5,IF(J7010&gt;Assumptions!$E$15,1,0))</f>
        <v>1</v>
      </c>
      <c r="K7014" s="42" t="n">
        <f aca="false">IF(K7010=Assumptions!$E$15,0.5,IF(K7010&gt;Assumptions!$E$15,1,0))</f>
        <v>1</v>
      </c>
      <c r="L7014" s="42" t="n">
        <f aca="false">IF(L7010=Assumptions!$E$15,0.5,IF(L7010&gt;Assumptions!$E$15,1,0))</f>
        <v>1</v>
      </c>
      <c r="M7014" s="42" t="n">
        <f aca="false">IF(M7010=Assumptions!$E$15,0.5,IF(M7010&gt;Assumptions!$E$15,1,0))</f>
        <v>1</v>
      </c>
      <c r="N7014" s="42" t="n">
        <f aca="false">IF(N7010=Assumptions!$E$15,0.5,IF(N7010&gt;Assumptions!$E$15,1,0))</f>
        <v>1</v>
      </c>
      <c r="P7014" s="43"/>
      <c r="Q7014" s="43"/>
      <c r="R7014" s="43"/>
      <c r="S7014" s="44"/>
    </row>
    <row r="7015" customFormat="false" ht="15" hidden="false" customHeight="false" outlineLevel="0" collapsed="false">
      <c r="A7015" s="4" t="s">
        <v>481</v>
      </c>
      <c r="B7015" s="36" t="s">
        <v>478</v>
      </c>
      <c r="C7015" s="45" t="n">
        <f aca="false">Assumptions!$E$21^(MAX(0,C7010-Assumptions!$E$13)/4)</f>
        <v>1</v>
      </c>
      <c r="D7015" s="45" t="n">
        <f aca="false">Assumptions!$E$21^(MAX(0,D7010-Assumptions!$E$13)/4)</f>
        <v>0.9306048591021</v>
      </c>
      <c r="E7015" s="45" t="n">
        <f aca="false">Assumptions!$E$21^(MAX(0,E7010-Assumptions!$E$13)/4)</f>
        <v>0.866025403784439</v>
      </c>
      <c r="F7015" s="45" t="n">
        <f aca="false">Assumptions!$E$21^(MAX(0,F7010-Assumptions!$E$13)/4)</f>
        <v>0.805927448867656</v>
      </c>
      <c r="G7015" s="45" t="n">
        <f aca="false">Assumptions!$E$21^(MAX(0,G7010-Assumptions!$E$13)/4)</f>
        <v>0.75</v>
      </c>
      <c r="H7015" s="45" t="n">
        <f aca="false">Assumptions!$E$21^(MAX(0,H7010-Assumptions!$E$13)/4)</f>
        <v>0.697953644326575</v>
      </c>
      <c r="I7015" s="45" t="n">
        <f aca="false">Assumptions!$E$21^(MAX(0,I7010-Assumptions!$E$13)/4)</f>
        <v>0.649519052838329</v>
      </c>
      <c r="J7015" s="45" t="n">
        <f aca="false">Assumptions!$E$21^(MAX(0,J7010-Assumptions!$E$13)/4)</f>
        <v>0.604445586650742</v>
      </c>
      <c r="K7015" s="45" t="n">
        <f aca="false">Assumptions!$E$21^(MAX(0,K7010-Assumptions!$E$13)/4)</f>
        <v>0.5625</v>
      </c>
      <c r="L7015" s="45" t="n">
        <f aca="false">Assumptions!$E$21^(MAX(0,L7010-Assumptions!$E$13)/4)</f>
        <v>0.523465233244931</v>
      </c>
      <c r="M7015" s="45" t="n">
        <f aca="false">Assumptions!$E$21^(MAX(0,M7010-Assumptions!$E$13)/4)</f>
        <v>0.487139289628747</v>
      </c>
      <c r="N7015" s="45" t="n">
        <f aca="false">Assumptions!$E$21^(MAX(0,N7010-Assumptions!$E$13)/4)</f>
        <v>0.453334189988057</v>
      </c>
      <c r="P7015" s="46"/>
      <c r="Q7015" s="46"/>
      <c r="R7015" s="46"/>
      <c r="S7015" s="47"/>
    </row>
    <row r="7016" customFormat="false" ht="15" hidden="false" customHeight="false" outlineLevel="0" collapsed="false">
      <c r="A7016" s="4" t="s">
        <v>482</v>
      </c>
      <c r="B7016" s="36" t="s">
        <v>478</v>
      </c>
      <c r="C7016" s="45" t="n">
        <f aca="false">Assumptions!$E$21^(MAX(0,C7010-Assumptions!$E$14)/4)</f>
        <v>1</v>
      </c>
      <c r="D7016" s="45" t="n">
        <f aca="false">Assumptions!$E$21^(MAX(0,D7010-Assumptions!$E$14)/4)</f>
        <v>1</v>
      </c>
      <c r="E7016" s="45" t="n">
        <f aca="false">Assumptions!$E$21^(MAX(0,E7010-Assumptions!$E$14)/4)</f>
        <v>1</v>
      </c>
      <c r="F7016" s="45" t="n">
        <f aca="false">Assumptions!$E$21^(MAX(0,F7010-Assumptions!$E$14)/4)</f>
        <v>1</v>
      </c>
      <c r="G7016" s="45" t="n">
        <f aca="false">Assumptions!$E$21^(MAX(0,G7010-Assumptions!$E$14)/4)</f>
        <v>1</v>
      </c>
      <c r="H7016" s="45" t="n">
        <f aca="false">Assumptions!$E$21^(MAX(0,H7010-Assumptions!$E$14)/4)</f>
        <v>0.9306048591021</v>
      </c>
      <c r="I7016" s="45" t="n">
        <f aca="false">Assumptions!$E$21^(MAX(0,I7010-Assumptions!$E$14)/4)</f>
        <v>0.866025403784439</v>
      </c>
      <c r="J7016" s="45" t="n">
        <f aca="false">Assumptions!$E$21^(MAX(0,J7010-Assumptions!$E$14)/4)</f>
        <v>0.805927448867656</v>
      </c>
      <c r="K7016" s="45" t="n">
        <f aca="false">Assumptions!$E$21^(MAX(0,K7010-Assumptions!$E$14)/4)</f>
        <v>0.75</v>
      </c>
      <c r="L7016" s="45" t="n">
        <f aca="false">Assumptions!$E$21^(MAX(0,L7010-Assumptions!$E$14)/4)</f>
        <v>0.697953644326575</v>
      </c>
      <c r="M7016" s="45" t="n">
        <f aca="false">Assumptions!$E$21^(MAX(0,M7010-Assumptions!$E$14)/4)</f>
        <v>0.649519052838329</v>
      </c>
      <c r="N7016" s="45" t="n">
        <f aca="false">Assumptions!$E$21^(MAX(0,N7010-Assumptions!$E$14)/4)</f>
        <v>0.604445586650742</v>
      </c>
      <c r="P7016" s="46"/>
      <c r="Q7016" s="46"/>
      <c r="R7016" s="46"/>
      <c r="S7016" s="47"/>
    </row>
    <row r="7017" customFormat="false" ht="15" hidden="false" customHeight="false" outlineLevel="0" collapsed="false">
      <c r="A7017" s="4" t="s">
        <v>483</v>
      </c>
      <c r="B7017" s="36" t="s">
        <v>478</v>
      </c>
      <c r="C7017" s="45" t="n">
        <f aca="false">Assumptions!$E$21^(MAX(0,C7010-Assumptions!$E$15)/4)</f>
        <v>1</v>
      </c>
      <c r="D7017" s="45" t="n">
        <f aca="false">Assumptions!$E$21^(MAX(0,D7010-Assumptions!$E$15)/4)</f>
        <v>1</v>
      </c>
      <c r="E7017" s="45" t="n">
        <f aca="false">Assumptions!$E$21^(MAX(0,E7010-Assumptions!$E$15)/4)</f>
        <v>1</v>
      </c>
      <c r="F7017" s="45" t="n">
        <f aca="false">Assumptions!$E$21^(MAX(0,F7010-Assumptions!$E$15)/4)</f>
        <v>1</v>
      </c>
      <c r="G7017" s="45" t="n">
        <f aca="false">Assumptions!$E$21^(MAX(0,G7010-Assumptions!$E$15)/4)</f>
        <v>1</v>
      </c>
      <c r="H7017" s="45" t="n">
        <f aca="false">Assumptions!$E$21^(MAX(0,H7010-Assumptions!$E$15)/4)</f>
        <v>1</v>
      </c>
      <c r="I7017" s="45" t="n">
        <f aca="false">Assumptions!$E$21^(MAX(0,I7010-Assumptions!$E$15)/4)</f>
        <v>1</v>
      </c>
      <c r="J7017" s="45" t="n">
        <f aca="false">Assumptions!$E$21^(MAX(0,J7010-Assumptions!$E$15)/4)</f>
        <v>0.9306048591021</v>
      </c>
      <c r="K7017" s="45" t="n">
        <f aca="false">Assumptions!$E$21^(MAX(0,K7010-Assumptions!$E$15)/4)</f>
        <v>0.866025403784439</v>
      </c>
      <c r="L7017" s="45" t="n">
        <f aca="false">Assumptions!$E$21^(MAX(0,L7010-Assumptions!$E$15)/4)</f>
        <v>0.805927448867656</v>
      </c>
      <c r="M7017" s="45" t="n">
        <f aca="false">Assumptions!$E$21^(MAX(0,M7010-Assumptions!$E$15)/4)</f>
        <v>0.75</v>
      </c>
      <c r="N7017" s="45" t="n">
        <f aca="false">Assumptions!$E$21^(MAX(0,N7010-Assumptions!$E$15)/4)</f>
        <v>0.697953644326575</v>
      </c>
      <c r="P7017" s="46"/>
      <c r="Q7017" s="46"/>
      <c r="R7017" s="46"/>
      <c r="S7017" s="47"/>
    </row>
    <row r="7018" customFormat="false" ht="15" hidden="false" customHeight="false" outlineLevel="0" collapsed="false">
      <c r="A7018" s="4" t="s">
        <v>484</v>
      </c>
      <c r="B7018" s="36" t="s">
        <v>485</v>
      </c>
      <c r="C7018" s="39" t="n">
        <f aca="false">$C$6989*C7012+$C$6993*C7013+$C$6997*C7014</f>
        <v>421.51972352</v>
      </c>
      <c r="D7018" s="39" t="n">
        <f aca="false">$C$6989*D7012+$C$6993*D7013+$C$6997*D7014</f>
        <v>843.03944704</v>
      </c>
      <c r="E7018" s="39" t="n">
        <f aca="false">$C$6989*E7012+$C$6993*E7013+$C$6997*E7014</f>
        <v>843.03944704</v>
      </c>
      <c r="F7018" s="39" t="n">
        <f aca="false">$C$6989*F7012+$C$6993*F7013+$C$6997*F7014</f>
        <v>843.03944704</v>
      </c>
      <c r="G7018" s="39" t="n">
        <f aca="false">$C$6989*G7012+$C$6993*G7013+$C$6997*G7014</f>
        <v>1149.32798176</v>
      </c>
      <c r="H7018" s="39" t="n">
        <f aca="false">$C$6989*H7012+$C$6993*H7013+$C$6997*H7014</f>
        <v>1455.61651648</v>
      </c>
      <c r="I7018" s="39" t="n">
        <f aca="false">$C$6989*I7012+$C$6993*I7013+$C$6997*I7014</f>
        <v>2486.00303616</v>
      </c>
      <c r="J7018" s="39" t="n">
        <f aca="false">$C$6989*J7012+$C$6993*J7013+$C$6997*J7014</f>
        <v>3516.38955584</v>
      </c>
      <c r="K7018" s="39" t="n">
        <f aca="false">$C$6989*K7012+$C$6993*K7013+$C$6997*K7014</f>
        <v>3516.38955584</v>
      </c>
      <c r="L7018" s="39" t="n">
        <f aca="false">$C$6989*L7012+$C$6993*L7013+$C$6997*L7014</f>
        <v>3516.38955584</v>
      </c>
      <c r="M7018" s="39" t="n">
        <f aca="false">$C$6989*M7012+$C$6993*M7013+$C$6997*M7014</f>
        <v>3516.38955584</v>
      </c>
      <c r="N7018" s="39" t="n">
        <f aca="false">$C$6989*N7012+$C$6993*N7013+$C$6997*N7014</f>
        <v>3516.38955584</v>
      </c>
      <c r="P7018" s="40" t="n">
        <f aca="false">F7018</f>
        <v>843.03944704</v>
      </c>
      <c r="Q7018" s="40" t="n">
        <f aca="false">J7018</f>
        <v>3516.38955584</v>
      </c>
      <c r="R7018" s="40" t="n">
        <f aca="false">N7018</f>
        <v>3516.38955584</v>
      </c>
      <c r="S7018" s="41" t="n">
        <f aca="false">R7018</f>
        <v>3516.38955584</v>
      </c>
    </row>
    <row r="7019" customFormat="false" ht="15" hidden="false" customHeight="false" outlineLevel="0" collapsed="false">
      <c r="A7019" s="4" t="s">
        <v>486</v>
      </c>
      <c r="B7019" s="36" t="s">
        <v>485</v>
      </c>
      <c r="C7019" s="39" t="n">
        <f aca="false">$C$6990*C7012+$C$6994*C7013+$C$6998*C7014</f>
        <v>105.59808</v>
      </c>
      <c r="D7019" s="39" t="n">
        <f aca="false">$C$6990*D7012+$C$6994*D7013+$C$6998*D7014</f>
        <v>211.19616</v>
      </c>
      <c r="E7019" s="39" t="n">
        <f aca="false">$C$6990*E7012+$C$6994*E7013+$C$6998*E7014</f>
        <v>211.19616</v>
      </c>
      <c r="F7019" s="39" t="n">
        <f aca="false">$C$6990*F7012+$C$6994*F7013+$C$6998*F7014</f>
        <v>211.19616</v>
      </c>
      <c r="G7019" s="39" t="n">
        <f aca="false">$C$6990*G7012+$C$6994*G7013+$C$6998*G7014</f>
        <v>282.24672</v>
      </c>
      <c r="H7019" s="39" t="n">
        <f aca="false">$C$6990*H7012+$C$6994*H7013+$C$6998*H7014</f>
        <v>353.29728</v>
      </c>
      <c r="I7019" s="39" t="n">
        <f aca="false">$C$6990*I7012+$C$6994*I7013+$C$6998*I7014</f>
        <v>567.53536</v>
      </c>
      <c r="J7019" s="39" t="n">
        <f aca="false">$C$6990*J7012+$C$6994*J7013+$C$6998*J7014</f>
        <v>781.77344</v>
      </c>
      <c r="K7019" s="39" t="n">
        <f aca="false">$C$6990*K7012+$C$6994*K7013+$C$6998*K7014</f>
        <v>781.77344</v>
      </c>
      <c r="L7019" s="39" t="n">
        <f aca="false">$C$6990*L7012+$C$6994*L7013+$C$6998*L7014</f>
        <v>781.77344</v>
      </c>
      <c r="M7019" s="39" t="n">
        <f aca="false">$C$6990*M7012+$C$6994*M7013+$C$6998*M7014</f>
        <v>781.77344</v>
      </c>
      <c r="N7019" s="39" t="n">
        <f aca="false">$C$6990*N7012+$C$6994*N7013+$C$6998*N7014</f>
        <v>781.77344</v>
      </c>
      <c r="P7019" s="40" t="n">
        <f aca="false">F7019</f>
        <v>211.19616</v>
      </c>
      <c r="Q7019" s="40" t="n">
        <f aca="false">J7019</f>
        <v>781.77344</v>
      </c>
      <c r="R7019" s="40" t="n">
        <f aca="false">N7019</f>
        <v>781.77344</v>
      </c>
      <c r="S7019" s="41" t="n">
        <f aca="false">R7019</f>
        <v>781.77344</v>
      </c>
    </row>
    <row r="7020" customFormat="false" ht="15" hidden="false" customHeight="false" outlineLevel="0" collapsed="false">
      <c r="A7020" s="4" t="s">
        <v>487</v>
      </c>
      <c r="B7020" s="36" t="s">
        <v>485</v>
      </c>
      <c r="C7020" s="39" t="n">
        <f aca="false">$C$6991*C7012+$C$6995*C7013+$C$6999*C7014</f>
        <v>24.76992</v>
      </c>
      <c r="D7020" s="39" t="n">
        <f aca="false">$C$6991*D7012+$C$6995*D7013+$C$6999*D7014</f>
        <v>49.53984</v>
      </c>
      <c r="E7020" s="39" t="n">
        <f aca="false">$C$6991*E7012+$C$6995*E7013+$C$6999*E7014</f>
        <v>49.53984</v>
      </c>
      <c r="F7020" s="39" t="n">
        <f aca="false">$C$6991*F7012+$C$6995*F7013+$C$6999*F7014</f>
        <v>49.53984</v>
      </c>
      <c r="G7020" s="39" t="n">
        <f aca="false">$C$6991*G7012+$C$6995*G7013+$C$6999*G7014</f>
        <v>61.9248</v>
      </c>
      <c r="H7020" s="39" t="n">
        <f aca="false">$C$6991*H7012+$C$6995*H7013+$C$6999*H7014</f>
        <v>74.30976</v>
      </c>
      <c r="I7020" s="39" t="n">
        <f aca="false">$C$6991*I7012+$C$6995*I7013+$C$6999*I7014</f>
        <v>114.072</v>
      </c>
      <c r="J7020" s="39" t="n">
        <f aca="false">$C$6991*J7012+$C$6995*J7013+$C$6999*J7014</f>
        <v>153.83424</v>
      </c>
      <c r="K7020" s="39" t="n">
        <f aca="false">$C$6991*K7012+$C$6995*K7013+$C$6999*K7014</f>
        <v>153.83424</v>
      </c>
      <c r="L7020" s="39" t="n">
        <f aca="false">$C$6991*L7012+$C$6995*L7013+$C$6999*L7014</f>
        <v>153.83424</v>
      </c>
      <c r="M7020" s="39" t="n">
        <f aca="false">$C$6991*M7012+$C$6995*M7013+$C$6999*M7014</f>
        <v>153.83424</v>
      </c>
      <c r="N7020" s="39" t="n">
        <f aca="false">$C$6991*N7012+$C$6995*N7013+$C$6999*N7014</f>
        <v>153.83424</v>
      </c>
      <c r="P7020" s="40" t="n">
        <f aca="false">F7020</f>
        <v>49.53984</v>
      </c>
      <c r="Q7020" s="40" t="n">
        <f aca="false">J7020</f>
        <v>153.83424</v>
      </c>
      <c r="R7020" s="40" t="n">
        <f aca="false">N7020</f>
        <v>153.83424</v>
      </c>
      <c r="S7020" s="41" t="n">
        <f aca="false">R7020</f>
        <v>153.83424</v>
      </c>
    </row>
    <row r="7021" customFormat="false" ht="15" hidden="false" customHeight="false" outlineLevel="0" collapsed="false">
      <c r="A7021" s="4" t="s">
        <v>488</v>
      </c>
      <c r="B7021" s="36" t="s">
        <v>485</v>
      </c>
      <c r="C7021" s="39" t="n">
        <f aca="false">C7018+C7019+C7020</f>
        <v>551.88772352</v>
      </c>
      <c r="D7021" s="39" t="n">
        <f aca="false">D7018+D7019+D7020</f>
        <v>1103.77544704</v>
      </c>
      <c r="E7021" s="39" t="n">
        <f aca="false">E7018+E7019+E7020</f>
        <v>1103.77544704</v>
      </c>
      <c r="F7021" s="39" t="n">
        <f aca="false">F7018+F7019+F7020</f>
        <v>1103.77544704</v>
      </c>
      <c r="G7021" s="39" t="n">
        <f aca="false">G7018+G7019+G7020</f>
        <v>1493.49950176</v>
      </c>
      <c r="H7021" s="39" t="n">
        <f aca="false">H7018+H7019+H7020</f>
        <v>1883.22355648</v>
      </c>
      <c r="I7021" s="39" t="n">
        <f aca="false">I7018+I7019+I7020</f>
        <v>3167.61039616</v>
      </c>
      <c r="J7021" s="39" t="n">
        <f aca="false">J7018+J7019+J7020</f>
        <v>4451.99723584</v>
      </c>
      <c r="K7021" s="39" t="n">
        <f aca="false">K7018+K7019+K7020</f>
        <v>4451.99723584</v>
      </c>
      <c r="L7021" s="39" t="n">
        <f aca="false">L7018+L7019+L7020</f>
        <v>4451.99723584</v>
      </c>
      <c r="M7021" s="39" t="n">
        <f aca="false">M7018+M7019+M7020</f>
        <v>4451.99723584</v>
      </c>
      <c r="N7021" s="39" t="n">
        <f aca="false">N7018+N7019+N7020</f>
        <v>4451.99723584</v>
      </c>
      <c r="P7021" s="40" t="n">
        <f aca="false">F7021</f>
        <v>1103.77544704</v>
      </c>
      <c r="Q7021" s="40" t="n">
        <f aca="false">J7021</f>
        <v>4451.99723584</v>
      </c>
      <c r="R7021" s="40" t="n">
        <f aca="false">N7021</f>
        <v>4451.99723584</v>
      </c>
      <c r="S7021" s="41" t="n">
        <f aca="false">R7021</f>
        <v>4451.99723584</v>
      </c>
    </row>
    <row r="7022" customFormat="false" ht="15" hidden="false" customHeight="false" outlineLevel="0" collapsed="false">
      <c r="A7022" s="4" t="s">
        <v>489</v>
      </c>
      <c r="B7022" s="36" t="s">
        <v>485</v>
      </c>
      <c r="C7022" s="39" t="n">
        <f aca="false">$C$6992*C7012*C7015+$C$6996*C7013*C7016+$C$7000*C7014*C7017</f>
        <v>551.88772352</v>
      </c>
      <c r="D7022" s="39" t="n">
        <f aca="false">$C$6992*D7012*D7015+$C$6996*D7013*D7016+$C$7000*D7014*D7017</f>
        <v>1027.17879437302</v>
      </c>
      <c r="E7022" s="39" t="n">
        <f aca="false">$C$6992*E7012*E7015+$C$6996*E7013*E7016+$C$7000*E7014*E7017</f>
        <v>955.897577210165</v>
      </c>
      <c r="F7022" s="39" t="n">
        <f aca="false">$C$6992*F7012*F7015+$C$6996*F7013*F7016+$C$7000*F7014*F7017</f>
        <v>889.562930155704</v>
      </c>
      <c r="G7022" s="39" t="n">
        <f aca="false">$C$6992*G7012*G7015+$C$6996*G7013*G7016+$C$7000*G7014*G7017</f>
        <v>1217.55564</v>
      </c>
      <c r="H7022" s="39" t="n">
        <f aca="false">$C$6992*H7012*H7015+$C$6996*H7013*H7016+$C$7000*H7014*H7017</f>
        <v>1495.74229384257</v>
      </c>
      <c r="I7022" s="39" t="n">
        <f aca="false">$C$6992*I7012*I7015+$C$6996*I7013*I7016+$C$7000*I7014*I7017</f>
        <v>2676.33188629442</v>
      </c>
      <c r="J7022" s="39" t="n">
        <f aca="false">$C$6992*J7012*J7015+$C$6996*J7013*J7016+$C$7000*J7014*J7017</f>
        <v>3685.86409192847</v>
      </c>
      <c r="K7022" s="39" t="n">
        <f aca="false">$C$6992*K7012*K7015+$C$6996*K7013*K7016+$C$7000*K7014*K7017</f>
        <v>3430.08303393858</v>
      </c>
      <c r="L7022" s="39" t="n">
        <f aca="false">$C$6992*L7012*L7015+$C$6996*L7013*L7016+$C$7000*L7014*L7017</f>
        <v>3192.05193850692</v>
      </c>
      <c r="M7022" s="39" t="n">
        <f aca="false">$C$6992*M7012*M7015+$C$6996*M7013*M7016+$C$7000*M7014*M7017</f>
        <v>2970.53904448081</v>
      </c>
      <c r="N7022" s="39" t="n">
        <f aca="false">$C$6992*N7012*N7015+$C$6996*N7013*N7016+$C$7000*N7014*N7017</f>
        <v>2764.39806894635</v>
      </c>
      <c r="P7022" s="40"/>
      <c r="Q7022" s="40"/>
      <c r="R7022" s="40"/>
      <c r="S7022" s="41"/>
    </row>
    <row r="7023" customFormat="false" ht="15" hidden="false" customHeight="false" outlineLevel="0" collapsed="false">
      <c r="A7023" s="4" t="s">
        <v>490</v>
      </c>
      <c r="B7023" s="36" t="s">
        <v>491</v>
      </c>
      <c r="C7023" s="48" t="n">
        <f aca="false">$C$7004*Assumptions!$E$20*C7011*C7022</f>
        <v>6.62265268224</v>
      </c>
      <c r="D7023" s="48" t="n">
        <f aca="false">$C$7004*Assumptions!$E$20*D7011*D7022</f>
        <v>12.3261455324762</v>
      </c>
      <c r="E7023" s="48" t="n">
        <f aca="false">$C$7004*Assumptions!$E$20*E7011*E7022</f>
        <v>11.470770926522</v>
      </c>
      <c r="F7023" s="48" t="n">
        <f aca="false">$C$7004*Assumptions!$E$20*F7011*F7022</f>
        <v>10.6747551618685</v>
      </c>
      <c r="G7023" s="48" t="n">
        <f aca="false">$C$7004*Assumptions!$E$20*G7011*G7022</f>
        <v>14.61066768</v>
      </c>
      <c r="H7023" s="48" t="n">
        <f aca="false">$C$7004*Assumptions!$E$20*H7011*H7022</f>
        <v>17.9489075261109</v>
      </c>
      <c r="I7023" s="48" t="n">
        <f aca="false">$C$7004*Assumptions!$E$20*I7011*I7022</f>
        <v>32.115982635533</v>
      </c>
      <c r="J7023" s="48" t="n">
        <f aca="false">$C$7004*Assumptions!$E$20*J7011*J7022</f>
        <v>44.2303691031417</v>
      </c>
      <c r="K7023" s="48" t="n">
        <f aca="false">$C$7004*Assumptions!$E$20*K7011*K7022</f>
        <v>41.160996407263</v>
      </c>
      <c r="L7023" s="48" t="n">
        <f aca="false">$C$7004*Assumptions!$E$20*L7011*L7022</f>
        <v>38.304623262083</v>
      </c>
      <c r="M7023" s="48" t="n">
        <f aca="false">$C$7004*Assumptions!$E$20*M7011*M7022</f>
        <v>35.6464685337698</v>
      </c>
      <c r="N7023" s="48" t="n">
        <f aca="false">$C$7004*Assumptions!$E$20*N7011*N7022</f>
        <v>33.1727768273562</v>
      </c>
      <c r="P7023" s="49" t="n">
        <f aca="false">SUM(C7023:F7023)</f>
        <v>41.0943243031066</v>
      </c>
      <c r="Q7023" s="49" t="n">
        <f aca="false">SUM(G7023:J7023)</f>
        <v>108.905926944786</v>
      </c>
      <c r="R7023" s="49" t="n">
        <f aca="false">SUM(K7023:N7023)</f>
        <v>148.284865030472</v>
      </c>
      <c r="S7023" s="50" t="n">
        <f aca="false">SUM(P7023:R7023)</f>
        <v>298.285116278364</v>
      </c>
    </row>
    <row r="7024" customFormat="false" ht="15" hidden="false" customHeight="false" outlineLevel="0" collapsed="false">
      <c r="A7024" s="4" t="s">
        <v>492</v>
      </c>
      <c r="B7024" s="36" t="s">
        <v>321</v>
      </c>
      <c r="C7024" s="48" t="n">
        <f aca="false">Assumptions!$D$111</f>
        <v>0</v>
      </c>
      <c r="D7024" s="48" t="n">
        <f aca="false">Assumptions!$E$111</f>
        <v>0</v>
      </c>
      <c r="E7024" s="48" t="n">
        <f aca="false">Assumptions!$F$111</f>
        <v>0</v>
      </c>
      <c r="F7024" s="48" t="n">
        <f aca="false">Assumptions!$G$111</f>
        <v>0</v>
      </c>
      <c r="G7024" s="48" t="n">
        <f aca="false">Assumptions!$H$111</f>
        <v>0</v>
      </c>
      <c r="H7024" s="48" t="n">
        <f aca="false">Assumptions!$I$111</f>
        <v>0</v>
      </c>
      <c r="I7024" s="48" t="n">
        <f aca="false">Assumptions!$J$111</f>
        <v>0</v>
      </c>
      <c r="J7024" s="48" t="n">
        <f aca="false">Assumptions!$K$111</f>
        <v>0</v>
      </c>
      <c r="K7024" s="48" t="n">
        <f aca="false">Assumptions!$L$111</f>
        <v>0</v>
      </c>
      <c r="L7024" s="48" t="n">
        <f aca="false">Assumptions!$M$111</f>
        <v>0</v>
      </c>
      <c r="M7024" s="48" t="n">
        <f aca="false">Assumptions!$N$111</f>
        <v>0</v>
      </c>
      <c r="N7024" s="48" t="n">
        <f aca="false">Assumptions!$O$111</f>
        <v>0</v>
      </c>
      <c r="P7024" s="49" t="n">
        <f aca="false">F7024</f>
        <v>0</v>
      </c>
      <c r="Q7024" s="49" t="n">
        <f aca="false">J7024</f>
        <v>0</v>
      </c>
      <c r="R7024" s="49" t="n">
        <f aca="false">N7024</f>
        <v>0</v>
      </c>
      <c r="S7024" s="50" t="n">
        <f aca="false">R7024</f>
        <v>0</v>
      </c>
    </row>
    <row r="7025" customFormat="false" ht="15" hidden="false" customHeight="false" outlineLevel="0" collapsed="false">
      <c r="A7025" s="4" t="s">
        <v>493</v>
      </c>
      <c r="B7025" s="36" t="s">
        <v>321</v>
      </c>
      <c r="C7025" s="48" t="n">
        <f aca="false">0</f>
        <v>0</v>
      </c>
      <c r="D7025" s="48" t="n">
        <f aca="false">0.5*C7024</f>
        <v>0</v>
      </c>
      <c r="E7025" s="48" t="n">
        <f aca="false">C7024+0.5*(D7024-C7024)</f>
        <v>0</v>
      </c>
      <c r="F7025" s="48" t="n">
        <f aca="false">D7024+0.5*(E7024-D7024)</f>
        <v>0</v>
      </c>
      <c r="G7025" s="48" t="n">
        <f aca="false">E7024+0.5*(F7024-E7024)</f>
        <v>0</v>
      </c>
      <c r="H7025" s="48" t="n">
        <f aca="false">F7024+0.5*(G7024-F7024)</f>
        <v>0</v>
      </c>
      <c r="I7025" s="48" t="n">
        <f aca="false">G7024+0.5*(H7024-G7024)</f>
        <v>0</v>
      </c>
      <c r="J7025" s="48" t="n">
        <f aca="false">H7024+0.5*(I7024-H7024)</f>
        <v>0</v>
      </c>
      <c r="K7025" s="48" t="n">
        <f aca="false">I7024+0.5*(J7024-I7024)</f>
        <v>0</v>
      </c>
      <c r="L7025" s="48" t="n">
        <f aca="false">J7024+0.5*(K7024-J7024)</f>
        <v>0</v>
      </c>
      <c r="M7025" s="48" t="n">
        <f aca="false">K7024+0.5*(L7024-K7024)</f>
        <v>0</v>
      </c>
      <c r="N7025" s="48" t="n">
        <f aca="false">L7024+0.5*(M7024-L7024)</f>
        <v>0</v>
      </c>
      <c r="P7025" s="49" t="n">
        <f aca="false">F7025</f>
        <v>0</v>
      </c>
      <c r="Q7025" s="49" t="n">
        <f aca="false">J7025</f>
        <v>0</v>
      </c>
      <c r="R7025" s="49" t="n">
        <f aca="false">N7025</f>
        <v>0</v>
      </c>
      <c r="S7025" s="50" t="n">
        <f aca="false">R7025</f>
        <v>0</v>
      </c>
    </row>
    <row r="7026" customFormat="false" ht="15" hidden="false" customHeight="false" outlineLevel="0" collapsed="false">
      <c r="A7026" s="4" t="s">
        <v>494</v>
      </c>
      <c r="B7026" s="36" t="s">
        <v>485</v>
      </c>
      <c r="C7026" s="39" t="n">
        <f aca="false">MIN(C7025*Assumptions!$E$38,C7021*(1-$C$7004))</f>
        <v>0</v>
      </c>
      <c r="D7026" s="39" t="n">
        <f aca="false">MIN(D7025*Assumptions!$E$38,D7021*(1-$C$7004))</f>
        <v>0</v>
      </c>
      <c r="E7026" s="39" t="n">
        <f aca="false">MIN(E7025*Assumptions!$E$38,E7021*(1-$C$7004))</f>
        <v>0</v>
      </c>
      <c r="F7026" s="39" t="n">
        <f aca="false">MIN(F7025*Assumptions!$E$38,F7021*(1-$C$7004))</f>
        <v>0</v>
      </c>
      <c r="G7026" s="39" t="n">
        <f aca="false">MIN(G7025*Assumptions!$E$38,G7021*(1-$C$7004))</f>
        <v>0</v>
      </c>
      <c r="H7026" s="39" t="n">
        <f aca="false">MIN(H7025*Assumptions!$E$38,H7021*(1-$C$7004))</f>
        <v>0</v>
      </c>
      <c r="I7026" s="39" t="n">
        <f aca="false">MIN(I7025*Assumptions!$E$38,I7021*(1-$C$7004))</f>
        <v>0</v>
      </c>
      <c r="J7026" s="39" t="n">
        <f aca="false">MIN(J7025*Assumptions!$E$38,J7021*(1-$C$7004))</f>
        <v>0</v>
      </c>
      <c r="K7026" s="39" t="n">
        <f aca="false">MIN(K7025*Assumptions!$E$38,K7021*(1-$C$7004))</f>
        <v>0</v>
      </c>
      <c r="L7026" s="39" t="n">
        <f aca="false">MIN(L7025*Assumptions!$E$38,L7021*(1-$C$7004))</f>
        <v>0</v>
      </c>
      <c r="M7026" s="39" t="n">
        <f aca="false">MIN(M7025*Assumptions!$E$38,M7021*(1-$C$7004))</f>
        <v>0</v>
      </c>
      <c r="N7026" s="39" t="n">
        <f aca="false">MIN(N7025*Assumptions!$E$38,N7021*(1-$C$7004))</f>
        <v>0</v>
      </c>
      <c r="P7026" s="40" t="n">
        <f aca="false">SUM(C7026:F7026)</f>
        <v>0</v>
      </c>
      <c r="Q7026" s="40" t="n">
        <f aca="false">SUM(G7026:J7026)</f>
        <v>0</v>
      </c>
      <c r="R7026" s="40" t="n">
        <f aca="false">SUM(K7026:N7026)</f>
        <v>0</v>
      </c>
      <c r="S7026" s="41" t="n">
        <f aca="false">SUM(P7026:R7026)</f>
        <v>0</v>
      </c>
    </row>
    <row r="7027" customFormat="false" ht="15" hidden="false" customHeight="false" outlineLevel="0" collapsed="false">
      <c r="A7027" s="4" t="s">
        <v>495</v>
      </c>
      <c r="B7027" s="36" t="s">
        <v>491</v>
      </c>
      <c r="C7027" s="48" t="n">
        <f aca="false">C7026*Assumptions!$E$20*Assumptions!$E$39*IF(C7021&gt;0,C7022/C7021,0)*C7011</f>
        <v>0</v>
      </c>
      <c r="D7027" s="48" t="n">
        <f aca="false">D7026*Assumptions!$E$20*Assumptions!$E$39*IF(D7021&gt;0,D7022/D7021,0)*D7011</f>
        <v>0</v>
      </c>
      <c r="E7027" s="48" t="n">
        <f aca="false">E7026*Assumptions!$E$20*Assumptions!$E$39*IF(E7021&gt;0,E7022/E7021,0)*E7011</f>
        <v>0</v>
      </c>
      <c r="F7027" s="48" t="n">
        <f aca="false">F7026*Assumptions!$E$20*Assumptions!$E$39*IF(F7021&gt;0,F7022/F7021,0)*F7011</f>
        <v>0</v>
      </c>
      <c r="G7027" s="48" t="n">
        <f aca="false">G7026*Assumptions!$E$20*Assumptions!$E$39*IF(G7021&gt;0,G7022/G7021,0)*G7011</f>
        <v>0</v>
      </c>
      <c r="H7027" s="48" t="n">
        <f aca="false">H7026*Assumptions!$E$20*Assumptions!$E$39*IF(H7021&gt;0,H7022/H7021,0)*H7011</f>
        <v>0</v>
      </c>
      <c r="I7027" s="48" t="n">
        <f aca="false">I7026*Assumptions!$E$20*Assumptions!$E$39*IF(I7021&gt;0,I7022/I7021,0)*I7011</f>
        <v>0</v>
      </c>
      <c r="J7027" s="48" t="n">
        <f aca="false">J7026*Assumptions!$E$20*Assumptions!$E$39*IF(J7021&gt;0,J7022/J7021,0)*J7011</f>
        <v>0</v>
      </c>
      <c r="K7027" s="48" t="n">
        <f aca="false">K7026*Assumptions!$E$20*Assumptions!$E$39*IF(K7021&gt;0,K7022/K7021,0)*K7011</f>
        <v>0</v>
      </c>
      <c r="L7027" s="48" t="n">
        <f aca="false">L7026*Assumptions!$E$20*Assumptions!$E$39*IF(L7021&gt;0,L7022/L7021,0)*L7011</f>
        <v>0</v>
      </c>
      <c r="M7027" s="48" t="n">
        <f aca="false">M7026*Assumptions!$E$20*Assumptions!$E$39*IF(M7021&gt;0,M7022/M7021,0)*M7011</f>
        <v>0</v>
      </c>
      <c r="N7027" s="48" t="n">
        <f aca="false">N7026*Assumptions!$E$20*Assumptions!$E$39*IF(N7021&gt;0,N7022/N7021,0)*N7011</f>
        <v>0</v>
      </c>
      <c r="P7027" s="49" t="n">
        <f aca="false">SUM(C7027:F7027)</f>
        <v>0</v>
      </c>
      <c r="Q7027" s="49" t="n">
        <f aca="false">SUM(G7027:J7027)</f>
        <v>0</v>
      </c>
      <c r="R7027" s="49" t="n">
        <f aca="false">SUM(K7027:N7027)</f>
        <v>0</v>
      </c>
      <c r="S7027" s="50" t="n">
        <f aca="false">SUM(P7027:R7027)</f>
        <v>0</v>
      </c>
    </row>
    <row r="7028" customFormat="false" ht="15" hidden="false" customHeight="false" outlineLevel="0" collapsed="false">
      <c r="A7028" s="4" t="s">
        <v>496</v>
      </c>
      <c r="B7028" s="36" t="s">
        <v>497</v>
      </c>
      <c r="C7028" s="48" t="n">
        <f aca="false">IF(AND(C7021&gt;0,$C$7008&gt;0),C7021*Assumptions!$E$24*(1-EXP(-$C$7008/(Assumptions!$E$23*C7021*Assumptions!$E$24))),0)</f>
        <v>0</v>
      </c>
      <c r="D7028" s="48" t="n">
        <f aca="false">IF(AND(D7021&gt;0,$C$7008&gt;0),D7021*Assumptions!$E$24*(1-EXP(-$C$7008/(Assumptions!$E$23*D7021*Assumptions!$E$24))),0)</f>
        <v>0</v>
      </c>
      <c r="E7028" s="48" t="n">
        <f aca="false">IF(AND(E7021&gt;0,$C$7008&gt;0),E7021*Assumptions!$E$24*(1-EXP(-$C$7008/(Assumptions!$E$23*E7021*Assumptions!$E$24))),0)</f>
        <v>0</v>
      </c>
      <c r="F7028" s="48" t="n">
        <f aca="false">IF(AND(F7021&gt;0,$C$7008&gt;0),F7021*Assumptions!$E$24*(1-EXP(-$C$7008/(Assumptions!$E$23*F7021*Assumptions!$E$24))),0)</f>
        <v>0</v>
      </c>
      <c r="G7028" s="48" t="n">
        <f aca="false">IF(AND(G7021&gt;0,$C$7008&gt;0),G7021*Assumptions!$E$24*(1-EXP(-$C$7008/(Assumptions!$E$23*G7021*Assumptions!$E$24))),0)</f>
        <v>0</v>
      </c>
      <c r="H7028" s="48" t="n">
        <f aca="false">IF(AND(H7021&gt;0,$C$7008&gt;0),H7021*Assumptions!$E$24*(1-EXP(-$C$7008/(Assumptions!$E$23*H7021*Assumptions!$E$24))),0)</f>
        <v>0</v>
      </c>
      <c r="I7028" s="48" t="n">
        <f aca="false">IF(AND(I7021&gt;0,$C$7008&gt;0),I7021*Assumptions!$E$24*(1-EXP(-$C$7008/(Assumptions!$E$23*I7021*Assumptions!$E$24))),0)</f>
        <v>0</v>
      </c>
      <c r="J7028" s="48" t="n">
        <f aca="false">IF(AND(J7021&gt;0,$C$7008&gt;0),J7021*Assumptions!$E$24*(1-EXP(-$C$7008/(Assumptions!$E$23*J7021*Assumptions!$E$24))),0)</f>
        <v>0</v>
      </c>
      <c r="K7028" s="48" t="n">
        <f aca="false">IF(AND(K7021&gt;0,$C$7008&gt;0),K7021*Assumptions!$E$24*(1-EXP(-$C$7008/(Assumptions!$E$23*K7021*Assumptions!$E$24))),0)</f>
        <v>0</v>
      </c>
      <c r="L7028" s="48" t="n">
        <f aca="false">IF(AND(L7021&gt;0,$C$7008&gt;0),L7021*Assumptions!$E$24*(1-EXP(-$C$7008/(Assumptions!$E$23*L7021*Assumptions!$E$24))),0)</f>
        <v>0</v>
      </c>
      <c r="M7028" s="48" t="n">
        <f aca="false">IF(AND(M7021&gt;0,$C$7008&gt;0),M7021*Assumptions!$E$24*(1-EXP(-$C$7008/(Assumptions!$E$23*M7021*Assumptions!$E$24))),0)</f>
        <v>0</v>
      </c>
      <c r="N7028" s="48" t="n">
        <f aca="false">IF(AND(N7021&gt;0,$C$7008&gt;0),N7021*Assumptions!$E$24*(1-EXP(-$C$7008/(Assumptions!$E$23*N7021*Assumptions!$E$24))),0)</f>
        <v>0</v>
      </c>
      <c r="P7028" s="49" t="n">
        <f aca="false">SUM(C7028:F7028)</f>
        <v>0</v>
      </c>
      <c r="Q7028" s="49" t="n">
        <f aca="false">SUM(G7028:J7028)</f>
        <v>0</v>
      </c>
      <c r="R7028" s="49" t="n">
        <f aca="false">SUM(K7028:N7028)</f>
        <v>0</v>
      </c>
      <c r="S7028" s="50" t="n">
        <f aca="false">SUM(P7028:R7028)</f>
        <v>0</v>
      </c>
    </row>
    <row r="7029" customFormat="false" ht="15" hidden="false" customHeight="false" outlineLevel="0" collapsed="false">
      <c r="A7029" s="4" t="s">
        <v>498</v>
      </c>
      <c r="B7029" s="36" t="s">
        <v>497</v>
      </c>
      <c r="C7029" s="48" t="n">
        <f aca="false">(C7021*Assumptions!$E$22*MIN(1,Assumptions!$D$103/Assumptions!$E$78)+C7028)*C7011</f>
        <v>5.5188772352</v>
      </c>
      <c r="D7029" s="48" t="n">
        <f aca="false">(D7021*Assumptions!$E$22*MIN(1,Assumptions!$D$103/Assumptions!$E$78)+D7028)*D7011</f>
        <v>11.0377544704</v>
      </c>
      <c r="E7029" s="48" t="n">
        <f aca="false">(E7021*Assumptions!$E$22*MIN(1,Assumptions!$D$103/Assumptions!$E$78)+E7028)*E7011</f>
        <v>11.0377544704</v>
      </c>
      <c r="F7029" s="48" t="n">
        <f aca="false">(F7021*Assumptions!$E$22*MIN(1,Assumptions!$D$103/Assumptions!$E$78)+F7028)*F7011</f>
        <v>11.0377544704</v>
      </c>
      <c r="G7029" s="48" t="n">
        <f aca="false">(G7021*Assumptions!$E$22*MIN(1,Assumptions!$D$103/Assumptions!$E$78)+G7028)*G7011</f>
        <v>14.9349950176</v>
      </c>
      <c r="H7029" s="48" t="n">
        <f aca="false">(H7021*Assumptions!$E$22*MIN(1,Assumptions!$D$103/Assumptions!$E$78)+H7028)*H7011</f>
        <v>18.8322355648</v>
      </c>
      <c r="I7029" s="48" t="n">
        <f aca="false">(I7021*Assumptions!$E$22*MIN(1,Assumptions!$D$103/Assumptions!$E$78)+I7028)*I7011</f>
        <v>31.6761039616</v>
      </c>
      <c r="J7029" s="48" t="n">
        <f aca="false">(J7021*Assumptions!$E$22*MIN(1,Assumptions!$D$103/Assumptions!$E$78)+J7028)*J7011</f>
        <v>44.5199723584</v>
      </c>
      <c r="K7029" s="48" t="n">
        <f aca="false">(K7021*Assumptions!$E$22*MIN(1,Assumptions!$D$103/Assumptions!$E$78)+K7028)*K7011</f>
        <v>44.5199723584</v>
      </c>
      <c r="L7029" s="48" t="n">
        <f aca="false">(L7021*Assumptions!$E$22*MIN(1,Assumptions!$D$103/Assumptions!$E$78)+L7028)*L7011</f>
        <v>44.5199723584</v>
      </c>
      <c r="M7029" s="48" t="n">
        <f aca="false">(M7021*Assumptions!$E$22*MIN(1,Assumptions!$D$103/Assumptions!$E$78)+M7028)*M7011</f>
        <v>44.5199723584</v>
      </c>
      <c r="N7029" s="48" t="n">
        <f aca="false">(N7021*Assumptions!$E$22*MIN(1,Assumptions!$D$103/Assumptions!$E$78)+N7028)*N7011</f>
        <v>44.5199723584</v>
      </c>
      <c r="P7029" s="49" t="n">
        <f aca="false">SUM(C7029:F7029)</f>
        <v>38.6321406464</v>
      </c>
      <c r="Q7029" s="49" t="n">
        <f aca="false">SUM(G7029:J7029)</f>
        <v>109.9633069024</v>
      </c>
      <c r="R7029" s="49" t="n">
        <f aca="false">SUM(K7029:N7029)</f>
        <v>178.0798894336</v>
      </c>
      <c r="S7029" s="50" t="n">
        <f aca="false">SUM(P7029:R7029)</f>
        <v>326.6753369824</v>
      </c>
    </row>
    <row r="7030" customFormat="false" ht="15" hidden="false" customHeight="false" outlineLevel="0" collapsed="false">
      <c r="A7030" s="4" t="s">
        <v>499</v>
      </c>
      <c r="B7030" s="36" t="s">
        <v>500</v>
      </c>
      <c r="C7030" s="48" t="n">
        <f aca="false">C7011*MIN(Assumptions!$E$27,Assumptions!$E$25+Assumptions!$E$26*(C7010-1))*Assumptions!$D$107</f>
        <v>2</v>
      </c>
      <c r="D7030" s="48" t="n">
        <f aca="false">D7011*MIN(Assumptions!$E$27,Assumptions!$E$25+Assumptions!$E$26*(D7010-1))*Assumptions!$D$107</f>
        <v>3</v>
      </c>
      <c r="E7030" s="48" t="n">
        <f aca="false">E7011*MIN(Assumptions!$E$27,Assumptions!$E$25+Assumptions!$E$26*(E7010-1))*Assumptions!$D$107</f>
        <v>4</v>
      </c>
      <c r="F7030" s="48" t="n">
        <f aca="false">F7011*MIN(Assumptions!$E$27,Assumptions!$E$25+Assumptions!$E$26*(F7010-1))*Assumptions!$D$107</f>
        <v>5</v>
      </c>
      <c r="G7030" s="48" t="n">
        <f aca="false">G7011*MIN(Assumptions!$E$27,Assumptions!$E$25+Assumptions!$E$26*(G7010-1))*Assumptions!$D$107</f>
        <v>6</v>
      </c>
      <c r="H7030" s="48" t="n">
        <f aca="false">H7011*MIN(Assumptions!$E$27,Assumptions!$E$25+Assumptions!$E$26*(H7010-1))*Assumptions!$D$107</f>
        <v>7</v>
      </c>
      <c r="I7030" s="48" t="n">
        <f aca="false">I7011*MIN(Assumptions!$E$27,Assumptions!$E$25+Assumptions!$E$26*(I7010-1))*Assumptions!$D$107</f>
        <v>8</v>
      </c>
      <c r="J7030" s="48" t="n">
        <f aca="false">J7011*MIN(Assumptions!$E$27,Assumptions!$E$25+Assumptions!$E$26*(J7010-1))*Assumptions!$D$107</f>
        <v>9</v>
      </c>
      <c r="K7030" s="48" t="n">
        <f aca="false">K7011*MIN(Assumptions!$E$27,Assumptions!$E$25+Assumptions!$E$26*(K7010-1))*Assumptions!$D$107</f>
        <v>10</v>
      </c>
      <c r="L7030" s="48" t="n">
        <f aca="false">L7011*MIN(Assumptions!$E$27,Assumptions!$E$25+Assumptions!$E$26*(L7010-1))*Assumptions!$D$107</f>
        <v>10</v>
      </c>
      <c r="M7030" s="48" t="n">
        <f aca="false">M7011*MIN(Assumptions!$E$27,Assumptions!$E$25+Assumptions!$E$26*(M7010-1))*Assumptions!$D$107</f>
        <v>10</v>
      </c>
      <c r="N7030" s="48" t="n">
        <f aca="false">N7011*MIN(Assumptions!$E$27,Assumptions!$E$25+Assumptions!$E$26*(N7010-1))*Assumptions!$D$107</f>
        <v>10</v>
      </c>
      <c r="P7030" s="49" t="n">
        <f aca="false">F7030</f>
        <v>5</v>
      </c>
      <c r="Q7030" s="49" t="n">
        <f aca="false">J7030</f>
        <v>9</v>
      </c>
      <c r="R7030" s="49" t="n">
        <f aca="false">N7030</f>
        <v>10</v>
      </c>
      <c r="S7030" s="50" t="n">
        <f aca="false">R7030</f>
        <v>10</v>
      </c>
    </row>
    <row r="7031" customFormat="false" ht="15" hidden="false" customHeight="false" outlineLevel="0" collapsed="false">
      <c r="A7031" s="4" t="s">
        <v>501</v>
      </c>
      <c r="B7031" s="36" t="s">
        <v>502</v>
      </c>
      <c r="C7031" s="48" t="n">
        <f aca="false">C7030*Assumptions!$E$28</f>
        <v>6</v>
      </c>
      <c r="D7031" s="48" t="n">
        <f aca="false">D7030*Assumptions!$E$28</f>
        <v>9</v>
      </c>
      <c r="E7031" s="48" t="n">
        <f aca="false">E7030*Assumptions!$E$28</f>
        <v>12</v>
      </c>
      <c r="F7031" s="48" t="n">
        <f aca="false">F7030*Assumptions!$E$28</f>
        <v>15</v>
      </c>
      <c r="G7031" s="48" t="n">
        <f aca="false">G7030*Assumptions!$E$28</f>
        <v>18</v>
      </c>
      <c r="H7031" s="48" t="n">
        <f aca="false">H7030*Assumptions!$E$28</f>
        <v>21</v>
      </c>
      <c r="I7031" s="48" t="n">
        <f aca="false">I7030*Assumptions!$E$28</f>
        <v>24</v>
      </c>
      <c r="J7031" s="48" t="n">
        <f aca="false">J7030*Assumptions!$E$28</f>
        <v>27</v>
      </c>
      <c r="K7031" s="48" t="n">
        <f aca="false">K7030*Assumptions!$E$28</f>
        <v>30</v>
      </c>
      <c r="L7031" s="48" t="n">
        <f aca="false">L7030*Assumptions!$E$28</f>
        <v>30</v>
      </c>
      <c r="M7031" s="48" t="n">
        <f aca="false">M7030*Assumptions!$E$28</f>
        <v>30</v>
      </c>
      <c r="N7031" s="48" t="n">
        <f aca="false">N7030*Assumptions!$E$28</f>
        <v>30</v>
      </c>
      <c r="P7031" s="49" t="n">
        <f aca="false">SUM(C7031:F7031)</f>
        <v>42</v>
      </c>
      <c r="Q7031" s="49" t="n">
        <f aca="false">SUM(G7031:J7031)</f>
        <v>90</v>
      </c>
      <c r="R7031" s="49" t="n">
        <f aca="false">SUM(K7031:N7031)</f>
        <v>120</v>
      </c>
      <c r="S7031" s="50" t="n">
        <f aca="false">SUM(P7031:R7031)</f>
        <v>252</v>
      </c>
    </row>
    <row r="7032" customFormat="false" ht="15" hidden="false" customHeight="false" outlineLevel="0" collapsed="false">
      <c r="A7032" s="4" t="s">
        <v>503</v>
      </c>
      <c r="B7032" s="36" t="s">
        <v>504</v>
      </c>
      <c r="C7032" s="48" t="n">
        <f aca="false">(C7023+C7027)*Assumptions!$E$29</f>
        <v>2.649061072896</v>
      </c>
      <c r="D7032" s="48" t="n">
        <f aca="false">(D7023+D7027)*Assumptions!$E$29</f>
        <v>4.93045821299048</v>
      </c>
      <c r="E7032" s="48" t="n">
        <f aca="false">(E7023+E7027)*Assumptions!$E$29</f>
        <v>4.58830837060879</v>
      </c>
      <c r="F7032" s="48" t="n">
        <f aca="false">(F7023+F7027)*Assumptions!$E$29</f>
        <v>4.26990206474738</v>
      </c>
      <c r="G7032" s="48" t="n">
        <f aca="false">(G7023+G7027)*Assumptions!$E$29</f>
        <v>5.844267072</v>
      </c>
      <c r="H7032" s="48" t="n">
        <f aca="false">(H7023+H7027)*Assumptions!$E$29</f>
        <v>7.17956301044434</v>
      </c>
      <c r="I7032" s="48" t="n">
        <f aca="false">(I7023+I7027)*Assumptions!$E$29</f>
        <v>12.8463930542132</v>
      </c>
      <c r="J7032" s="48" t="n">
        <f aca="false">(J7023+J7027)*Assumptions!$E$29</f>
        <v>17.6921476412567</v>
      </c>
      <c r="K7032" s="48" t="n">
        <f aca="false">(K7023+K7027)*Assumptions!$E$29</f>
        <v>16.4643985629052</v>
      </c>
      <c r="L7032" s="48" t="n">
        <f aca="false">(L7023+L7027)*Assumptions!$E$29</f>
        <v>15.3218493048332</v>
      </c>
      <c r="M7032" s="48" t="n">
        <f aca="false">(M7023+M7027)*Assumptions!$E$29</f>
        <v>14.2585874135079</v>
      </c>
      <c r="N7032" s="48" t="n">
        <f aca="false">(N7023+N7027)*Assumptions!$E$29</f>
        <v>13.2691107309425</v>
      </c>
      <c r="P7032" s="49" t="n">
        <f aca="false">SUM(C7032:F7032)</f>
        <v>16.4377297212427</v>
      </c>
      <c r="Q7032" s="49" t="n">
        <f aca="false">SUM(G7032:J7032)</f>
        <v>43.5623707779142</v>
      </c>
      <c r="R7032" s="49" t="n">
        <f aca="false">SUM(K7032:N7032)</f>
        <v>59.3139460121888</v>
      </c>
      <c r="S7032" s="50" t="n">
        <f aca="false">SUM(P7032:R7032)</f>
        <v>119.314046511346</v>
      </c>
    </row>
    <row r="7033" customFormat="false" ht="15" hidden="false" customHeight="false" outlineLevel="0" collapsed="false">
      <c r="A7033" s="4" t="s">
        <v>505</v>
      </c>
      <c r="B7033" s="36" t="s">
        <v>504</v>
      </c>
      <c r="C7033" s="48" t="n">
        <f aca="false">C7029*Assumptions!$E$31</f>
        <v>0.883020357632</v>
      </c>
      <c r="D7033" s="48" t="n">
        <f aca="false">D7029*Assumptions!$E$31</f>
        <v>1.766040715264</v>
      </c>
      <c r="E7033" s="48" t="n">
        <f aca="false">E7029*Assumptions!$E$31</f>
        <v>1.766040715264</v>
      </c>
      <c r="F7033" s="48" t="n">
        <f aca="false">F7029*Assumptions!$E$31</f>
        <v>1.766040715264</v>
      </c>
      <c r="G7033" s="48" t="n">
        <f aca="false">G7029*Assumptions!$E$31</f>
        <v>2.389599202816</v>
      </c>
      <c r="H7033" s="48" t="n">
        <f aca="false">H7029*Assumptions!$E$31</f>
        <v>3.013157690368</v>
      </c>
      <c r="I7033" s="48" t="n">
        <f aca="false">I7029*Assumptions!$E$31</f>
        <v>5.068176633856</v>
      </c>
      <c r="J7033" s="48" t="n">
        <f aca="false">J7029*Assumptions!$E$31</f>
        <v>7.123195577344</v>
      </c>
      <c r="K7033" s="48" t="n">
        <f aca="false">K7029*Assumptions!$E$31</f>
        <v>7.123195577344</v>
      </c>
      <c r="L7033" s="48" t="n">
        <f aca="false">L7029*Assumptions!$E$31</f>
        <v>7.123195577344</v>
      </c>
      <c r="M7033" s="48" t="n">
        <f aca="false">M7029*Assumptions!$E$31</f>
        <v>7.123195577344</v>
      </c>
      <c r="N7033" s="48" t="n">
        <f aca="false">N7029*Assumptions!$E$31</f>
        <v>7.123195577344</v>
      </c>
      <c r="P7033" s="49" t="n">
        <f aca="false">SUM(C7033:F7033)</f>
        <v>6.181142503424</v>
      </c>
      <c r="Q7033" s="49" t="n">
        <f aca="false">SUM(G7033:J7033)</f>
        <v>17.594129104384</v>
      </c>
      <c r="R7033" s="49" t="n">
        <f aca="false">SUM(K7033:N7033)</f>
        <v>28.492782309376</v>
      </c>
      <c r="S7033" s="50" t="n">
        <f aca="false">SUM(P7033:R7033)</f>
        <v>52.268053917184</v>
      </c>
    </row>
    <row r="7034" customFormat="false" ht="15" hidden="false" customHeight="false" outlineLevel="0" collapsed="false">
      <c r="A7034" s="4" t="s">
        <v>506</v>
      </c>
      <c r="B7034" s="36" t="s">
        <v>504</v>
      </c>
      <c r="C7034" s="48" t="n">
        <f aca="false">C7031*Assumptions!$E$30</f>
        <v>3</v>
      </c>
      <c r="D7034" s="48" t="n">
        <f aca="false">D7031*Assumptions!$E$30</f>
        <v>4.5</v>
      </c>
      <c r="E7034" s="48" t="n">
        <f aca="false">E7031*Assumptions!$E$30</f>
        <v>6</v>
      </c>
      <c r="F7034" s="48" t="n">
        <f aca="false">F7031*Assumptions!$E$30</f>
        <v>7.5</v>
      </c>
      <c r="G7034" s="48" t="n">
        <f aca="false">G7031*Assumptions!$E$30</f>
        <v>9</v>
      </c>
      <c r="H7034" s="48" t="n">
        <f aca="false">H7031*Assumptions!$E$30</f>
        <v>10.5</v>
      </c>
      <c r="I7034" s="48" t="n">
        <f aca="false">I7031*Assumptions!$E$30</f>
        <v>12</v>
      </c>
      <c r="J7034" s="48" t="n">
        <f aca="false">J7031*Assumptions!$E$30</f>
        <v>13.5</v>
      </c>
      <c r="K7034" s="48" t="n">
        <f aca="false">K7031*Assumptions!$E$30</f>
        <v>15</v>
      </c>
      <c r="L7034" s="48" t="n">
        <f aca="false">L7031*Assumptions!$E$30</f>
        <v>15</v>
      </c>
      <c r="M7034" s="48" t="n">
        <f aca="false">M7031*Assumptions!$E$30</f>
        <v>15</v>
      </c>
      <c r="N7034" s="48" t="n">
        <f aca="false">N7031*Assumptions!$E$30</f>
        <v>15</v>
      </c>
      <c r="P7034" s="49" t="n">
        <f aca="false">SUM(C7034:F7034)</f>
        <v>21</v>
      </c>
      <c r="Q7034" s="49" t="n">
        <f aca="false">SUM(G7034:J7034)</f>
        <v>45</v>
      </c>
      <c r="R7034" s="49" t="n">
        <f aca="false">SUM(K7034:N7034)</f>
        <v>60</v>
      </c>
      <c r="S7034" s="50" t="n">
        <f aca="false">SUM(P7034:R7034)</f>
        <v>126</v>
      </c>
    </row>
    <row r="7035" customFormat="false" ht="15" hidden="false" customHeight="false" outlineLevel="0" collapsed="false">
      <c r="A7035" s="9" t="s">
        <v>507</v>
      </c>
      <c r="B7035" s="36" t="s">
        <v>504</v>
      </c>
      <c r="C7035" s="49" t="n">
        <f aca="false">C7032+C7033+C7034</f>
        <v>6.532081430528</v>
      </c>
      <c r="D7035" s="49" t="n">
        <f aca="false">D7032+D7033+D7034</f>
        <v>11.1964989282545</v>
      </c>
      <c r="E7035" s="49" t="n">
        <f aca="false">E7032+E7033+E7034</f>
        <v>12.3543490858728</v>
      </c>
      <c r="F7035" s="49" t="n">
        <f aca="false">F7032+F7033+F7034</f>
        <v>13.5359427800114</v>
      </c>
      <c r="G7035" s="49" t="n">
        <f aca="false">G7032+G7033+G7034</f>
        <v>17.233866274816</v>
      </c>
      <c r="H7035" s="49" t="n">
        <f aca="false">H7032+H7033+H7034</f>
        <v>20.6927207008123</v>
      </c>
      <c r="I7035" s="49" t="n">
        <f aca="false">I7032+I7033+I7034</f>
        <v>29.9145696880692</v>
      </c>
      <c r="J7035" s="49" t="n">
        <f aca="false">J7032+J7033+J7034</f>
        <v>38.3153432186007</v>
      </c>
      <c r="K7035" s="49" t="n">
        <f aca="false">K7032+K7033+K7034</f>
        <v>38.5875941402492</v>
      </c>
      <c r="L7035" s="49" t="n">
        <f aca="false">L7032+L7033+L7034</f>
        <v>37.4450448821772</v>
      </c>
      <c r="M7035" s="49" t="n">
        <f aca="false">M7032+M7033+M7034</f>
        <v>36.3817829908519</v>
      </c>
      <c r="N7035" s="49" t="n">
        <f aca="false">N7032+N7033+N7034</f>
        <v>35.3923063082865</v>
      </c>
      <c r="P7035" s="49" t="n">
        <f aca="false">SUM(C7035:F7035)</f>
        <v>43.6188722246667</v>
      </c>
      <c r="Q7035" s="49" t="n">
        <f aca="false">SUM(G7035:J7035)</f>
        <v>106.156499882298</v>
      </c>
      <c r="R7035" s="49" t="n">
        <f aca="false">SUM(K7035:N7035)</f>
        <v>147.806728321565</v>
      </c>
      <c r="S7035" s="50" t="n">
        <f aca="false">SUM(P7035:R7035)</f>
        <v>297.58210042853</v>
      </c>
    </row>
    <row r="7036" customFormat="false" ht="15" hidden="false" customHeight="false" outlineLevel="0" collapsed="false">
      <c r="A7036" s="4" t="s">
        <v>508</v>
      </c>
      <c r="B7036" s="36" t="s">
        <v>509</v>
      </c>
      <c r="C7036" s="48" t="n">
        <f aca="false">C7018</f>
        <v>421.51972352</v>
      </c>
      <c r="D7036" s="48" t="n">
        <f aca="false">D7018</f>
        <v>843.03944704</v>
      </c>
      <c r="E7036" s="48" t="n">
        <f aca="false">E7018</f>
        <v>843.03944704</v>
      </c>
      <c r="F7036" s="48" t="n">
        <f aca="false">F7018</f>
        <v>843.03944704</v>
      </c>
      <c r="G7036" s="48" t="n">
        <f aca="false">G7018</f>
        <v>1149.32798176</v>
      </c>
      <c r="H7036" s="48" t="n">
        <f aca="false">H7018</f>
        <v>1455.61651648</v>
      </c>
      <c r="I7036" s="48" t="n">
        <f aca="false">I7018</f>
        <v>2486.00303616</v>
      </c>
      <c r="J7036" s="48" t="n">
        <f aca="false">J7018</f>
        <v>3516.38955584</v>
      </c>
      <c r="K7036" s="48" t="n">
        <f aca="false">K7018</f>
        <v>3516.38955584</v>
      </c>
      <c r="L7036" s="48" t="n">
        <f aca="false">L7018</f>
        <v>3516.38955584</v>
      </c>
      <c r="M7036" s="48" t="n">
        <f aca="false">M7018</f>
        <v>3516.38955584</v>
      </c>
      <c r="N7036" s="48" t="n">
        <f aca="false">N7018</f>
        <v>3516.38955584</v>
      </c>
      <c r="P7036" s="49"/>
      <c r="Q7036" s="49"/>
      <c r="R7036" s="49"/>
      <c r="S7036" s="50"/>
    </row>
    <row r="7037" customFormat="false" ht="15" hidden="false" customHeight="false" outlineLevel="0" collapsed="false">
      <c r="A7037" s="4" t="s">
        <v>510</v>
      </c>
      <c r="B7037" s="36" t="s">
        <v>509</v>
      </c>
      <c r="C7037" s="48" t="n">
        <f aca="false">C7019*Assumptions!$E$18*Assumptions!$E$33</f>
        <v>211.19616</v>
      </c>
      <c r="D7037" s="48" t="n">
        <f aca="false">D7019*Assumptions!$E$18*Assumptions!$E$33</f>
        <v>422.39232</v>
      </c>
      <c r="E7037" s="48" t="n">
        <f aca="false">E7019*Assumptions!$E$18*Assumptions!$E$33</f>
        <v>422.39232</v>
      </c>
      <c r="F7037" s="48" t="n">
        <f aca="false">F7019*Assumptions!$E$18*Assumptions!$E$33</f>
        <v>422.39232</v>
      </c>
      <c r="G7037" s="48" t="n">
        <f aca="false">G7019*Assumptions!$E$18*Assumptions!$E$33</f>
        <v>564.49344</v>
      </c>
      <c r="H7037" s="48" t="n">
        <f aca="false">H7019*Assumptions!$E$18*Assumptions!$E$33</f>
        <v>706.59456</v>
      </c>
      <c r="I7037" s="48" t="n">
        <f aca="false">I7019*Assumptions!$E$18*Assumptions!$E$33</f>
        <v>1135.07072</v>
      </c>
      <c r="J7037" s="48" t="n">
        <f aca="false">J7019*Assumptions!$E$18*Assumptions!$E$33</f>
        <v>1563.54688</v>
      </c>
      <c r="K7037" s="48" t="n">
        <f aca="false">K7019*Assumptions!$E$18*Assumptions!$E$33</f>
        <v>1563.54688</v>
      </c>
      <c r="L7037" s="48" t="n">
        <f aca="false">L7019*Assumptions!$E$18*Assumptions!$E$33</f>
        <v>1563.54688</v>
      </c>
      <c r="M7037" s="48" t="n">
        <f aca="false">M7019*Assumptions!$E$18*Assumptions!$E$33</f>
        <v>1563.54688</v>
      </c>
      <c r="N7037" s="48" t="n">
        <f aca="false">N7019*Assumptions!$E$18*Assumptions!$E$33</f>
        <v>1563.54688</v>
      </c>
      <c r="P7037" s="49"/>
      <c r="Q7037" s="49"/>
      <c r="R7037" s="49"/>
      <c r="S7037" s="50"/>
    </row>
    <row r="7038" customFormat="false" ht="15" hidden="false" customHeight="false" outlineLevel="0" collapsed="false">
      <c r="A7038" s="4" t="s">
        <v>511</v>
      </c>
      <c r="B7038" s="36" t="s">
        <v>509</v>
      </c>
      <c r="C7038" s="48" t="n">
        <f aca="false">C7020*Assumptions!$E$19*Assumptions!$E$34</f>
        <v>34.677888</v>
      </c>
      <c r="D7038" s="48" t="n">
        <f aca="false">D7020*Assumptions!$E$19*Assumptions!$E$34</f>
        <v>69.355776</v>
      </c>
      <c r="E7038" s="48" t="n">
        <f aca="false">E7020*Assumptions!$E$19*Assumptions!$E$34</f>
        <v>69.355776</v>
      </c>
      <c r="F7038" s="48" t="n">
        <f aca="false">F7020*Assumptions!$E$19*Assumptions!$E$34</f>
        <v>69.355776</v>
      </c>
      <c r="G7038" s="48" t="n">
        <f aca="false">G7020*Assumptions!$E$19*Assumptions!$E$34</f>
        <v>86.69472</v>
      </c>
      <c r="H7038" s="48" t="n">
        <f aca="false">H7020*Assumptions!$E$19*Assumptions!$E$34</f>
        <v>104.033664</v>
      </c>
      <c r="I7038" s="48" t="n">
        <f aca="false">I7020*Assumptions!$E$19*Assumptions!$E$34</f>
        <v>159.7008</v>
      </c>
      <c r="J7038" s="48" t="n">
        <f aca="false">J7020*Assumptions!$E$19*Assumptions!$E$34</f>
        <v>215.367936</v>
      </c>
      <c r="K7038" s="48" t="n">
        <f aca="false">K7020*Assumptions!$E$19*Assumptions!$E$34</f>
        <v>215.367936</v>
      </c>
      <c r="L7038" s="48" t="n">
        <f aca="false">L7020*Assumptions!$E$19*Assumptions!$E$34</f>
        <v>215.367936</v>
      </c>
      <c r="M7038" s="48" t="n">
        <f aca="false">M7020*Assumptions!$E$19*Assumptions!$E$34</f>
        <v>215.367936</v>
      </c>
      <c r="N7038" s="48" t="n">
        <f aca="false">N7020*Assumptions!$E$19*Assumptions!$E$34</f>
        <v>215.367936</v>
      </c>
      <c r="P7038" s="49"/>
      <c r="Q7038" s="49"/>
      <c r="R7038" s="49"/>
      <c r="S7038" s="50"/>
    </row>
    <row r="7039" customFormat="false" ht="15" hidden="false" customHeight="false" outlineLevel="0" collapsed="false">
      <c r="A7039" s="4" t="s">
        <v>512</v>
      </c>
      <c r="B7039" s="36" t="s">
        <v>77</v>
      </c>
      <c r="C7039" s="51" t="n">
        <f aca="false">IFERROR(C7036/(C7036+C7037+C7038),0)</f>
        <v>0.631590736245533</v>
      </c>
      <c r="D7039" s="51" t="n">
        <f aca="false">IFERROR(D7036/(D7036+D7037+D7038),0)</f>
        <v>0.631590736245533</v>
      </c>
      <c r="E7039" s="51" t="n">
        <f aca="false">IFERROR(E7036/(E7036+E7037+E7038),0)</f>
        <v>0.631590736245533</v>
      </c>
      <c r="F7039" s="51" t="n">
        <f aca="false">IFERROR(F7036/(F7036+F7037+F7038),0)</f>
        <v>0.631590736245533</v>
      </c>
      <c r="G7039" s="51" t="n">
        <f aca="false">IFERROR(G7036/(G7036+G7037+G7038),0)</f>
        <v>0.638332506498128</v>
      </c>
      <c r="H7039" s="51" t="n">
        <f aca="false">IFERROR(H7036/(H7036+H7037+H7038),0)</f>
        <v>0.642303318118984</v>
      </c>
      <c r="I7039" s="51" t="n">
        <f aca="false">IFERROR(I7036/(I7036+I7037+I7038),0)</f>
        <v>0.657538025405288</v>
      </c>
      <c r="J7039" s="51" t="n">
        <f aca="false">IFERROR(J7036/(J7036+J7037+J7038),0)</f>
        <v>0.664058061428891</v>
      </c>
      <c r="K7039" s="51" t="n">
        <f aca="false">IFERROR(K7036/(K7036+K7037+K7038),0)</f>
        <v>0.664058061428891</v>
      </c>
      <c r="L7039" s="51" t="n">
        <f aca="false">IFERROR(L7036/(L7036+L7037+L7038),0)</f>
        <v>0.664058061428891</v>
      </c>
      <c r="M7039" s="51" t="n">
        <f aca="false">IFERROR(M7036/(M7036+M7037+M7038),0)</f>
        <v>0.664058061428891</v>
      </c>
      <c r="N7039" s="51" t="n">
        <f aca="false">IFERROR(N7036/(N7036+N7037+N7038),0)</f>
        <v>0.664058061428891</v>
      </c>
      <c r="P7039" s="52"/>
      <c r="Q7039" s="52"/>
      <c r="R7039" s="52"/>
      <c r="S7039" s="53"/>
    </row>
    <row r="7040" customFormat="false" ht="15" hidden="false" customHeight="false" outlineLevel="0" collapsed="false">
      <c r="A7040" s="4" t="s">
        <v>513</v>
      </c>
      <c r="B7040" s="36" t="s">
        <v>77</v>
      </c>
      <c r="C7040" s="51" t="n">
        <f aca="false">IFERROR(C7037/(C7036+C7037+C7038),0)</f>
        <v>0.316449102482628</v>
      </c>
      <c r="D7040" s="51" t="n">
        <f aca="false">IFERROR(D7037/(D7036+D7037+D7038),0)</f>
        <v>0.316449102482628</v>
      </c>
      <c r="E7040" s="51" t="n">
        <f aca="false">IFERROR(E7037/(E7036+E7037+E7038),0)</f>
        <v>0.316449102482628</v>
      </c>
      <c r="F7040" s="51" t="n">
        <f aca="false">IFERROR(F7037/(F7036+F7037+F7038),0)</f>
        <v>0.316449102482628</v>
      </c>
      <c r="G7040" s="51" t="n">
        <f aca="false">IFERROR(G7037/(G7036+G7037+G7038),0)</f>
        <v>0.313517566939561</v>
      </c>
      <c r="H7040" s="51" t="n">
        <f aca="false">IFERROR(H7037/(H7036+H7037+H7038),0)</f>
        <v>0.311790932099567</v>
      </c>
      <c r="I7040" s="51" t="n">
        <f aca="false">IFERROR(I7037/(I7036+I7037+I7038),0)</f>
        <v>0.300221741111391</v>
      </c>
      <c r="J7040" s="51" t="n">
        <f aca="false">IFERROR(J7037/(J7036+J7037+J7038),0)</f>
        <v>0.295270445324128</v>
      </c>
      <c r="K7040" s="51" t="n">
        <f aca="false">IFERROR(K7037/(K7036+K7037+K7038),0)</f>
        <v>0.295270445324128</v>
      </c>
      <c r="L7040" s="51" t="n">
        <f aca="false">IFERROR(L7037/(L7036+L7037+L7038),0)</f>
        <v>0.295270445324128</v>
      </c>
      <c r="M7040" s="51" t="n">
        <f aca="false">IFERROR(M7037/(M7036+M7037+M7038),0)</f>
        <v>0.295270445324128</v>
      </c>
      <c r="N7040" s="51" t="n">
        <f aca="false">IFERROR(N7037/(N7036+N7037+N7038),0)</f>
        <v>0.295270445324128</v>
      </c>
      <c r="P7040" s="52"/>
      <c r="Q7040" s="52"/>
      <c r="R7040" s="52"/>
      <c r="S7040" s="53"/>
    </row>
    <row r="7041" customFormat="false" ht="15" hidden="false" customHeight="false" outlineLevel="0" collapsed="false">
      <c r="A7041" s="4" t="s">
        <v>514</v>
      </c>
      <c r="B7041" s="36" t="s">
        <v>77</v>
      </c>
      <c r="C7041" s="51" t="n">
        <f aca="false">IFERROR(C7038/(C7036+C7037+C7038),0)</f>
        <v>0.0519601612718389</v>
      </c>
      <c r="D7041" s="51" t="n">
        <f aca="false">IFERROR(D7038/(D7036+D7037+D7038),0)</f>
        <v>0.0519601612718389</v>
      </c>
      <c r="E7041" s="51" t="n">
        <f aca="false">IFERROR(E7038/(E7036+E7037+E7038),0)</f>
        <v>0.0519601612718389</v>
      </c>
      <c r="F7041" s="51" t="n">
        <f aca="false">IFERROR(F7038/(F7036+F7037+F7038),0)</f>
        <v>0.0519601612718389</v>
      </c>
      <c r="G7041" s="51" t="n">
        <f aca="false">IFERROR(G7038/(G7036+G7037+G7038),0)</f>
        <v>0.0481499265623113</v>
      </c>
      <c r="H7041" s="51" t="n">
        <f aca="false">IFERROR(H7038/(H7036+H7037+H7038),0)</f>
        <v>0.0459057497814491</v>
      </c>
      <c r="I7041" s="51" t="n">
        <f aca="false">IFERROR(I7038/(I7036+I7037+I7038),0)</f>
        <v>0.0422402334833216</v>
      </c>
      <c r="J7041" s="51" t="n">
        <f aca="false">IFERROR(J7038/(J7036+J7037+J7038),0)</f>
        <v>0.0406714932469811</v>
      </c>
      <c r="K7041" s="51" t="n">
        <f aca="false">IFERROR(K7038/(K7036+K7037+K7038),0)</f>
        <v>0.0406714932469811</v>
      </c>
      <c r="L7041" s="51" t="n">
        <f aca="false">IFERROR(L7038/(L7036+L7037+L7038),0)</f>
        <v>0.0406714932469811</v>
      </c>
      <c r="M7041" s="51" t="n">
        <f aca="false">IFERROR(M7038/(M7036+M7037+M7038),0)</f>
        <v>0.0406714932469811</v>
      </c>
      <c r="N7041" s="51" t="n">
        <f aca="false">IFERROR(N7038/(N7036+N7037+N7038),0)</f>
        <v>0.0406714932469811</v>
      </c>
      <c r="P7041" s="52"/>
      <c r="Q7041" s="52"/>
      <c r="R7041" s="52"/>
      <c r="S7041" s="53"/>
    </row>
    <row r="7042" customFormat="false" ht="15" hidden="false" customHeight="false" outlineLevel="0" collapsed="false">
      <c r="A7042" s="4" t="s">
        <v>515</v>
      </c>
      <c r="B7042" s="36" t="s">
        <v>516</v>
      </c>
      <c r="C7042" s="48" t="n">
        <f aca="false">IF(C7010-Assumptions!$E$35&lt;1,0,INDEX($C$7035:$N$7035,1,C7010-Assumptions!$E$35)*INDEX($C$7039:$N$7039,1,C7010-Assumptions!$E$35)*Assumptions!$E$32)</f>
        <v>0</v>
      </c>
      <c r="D7042" s="48" t="n">
        <f aca="false">IF(D7010-Assumptions!$E$35&lt;1,0,INDEX($C$7035:$N$7035,1,D7010-Assumptions!$E$35)*INDEX($C$7039:$N$7039,1,D7010-Assumptions!$E$35)*Assumptions!$E$32)</f>
        <v>0.866376445183821</v>
      </c>
      <c r="E7042" s="48" t="n">
        <f aca="false">IF(E7010-Assumptions!$E$35&lt;1,0,INDEX($C$7035:$N$7035,1,E7010-Assumptions!$E$35)*INDEX($C$7039:$N$7039,1,E7010-Assumptions!$E$35)*Assumptions!$E$32)</f>
        <v>1.4850370503084</v>
      </c>
      <c r="F7042" s="48" t="n">
        <f aca="false">IF(F7010-Assumptions!$E$35&lt;1,0,INDEX($C$7035:$N$7035,1,F7010-Assumptions!$E$35)*INDEX($C$7039:$N$7039,1,F7010-Assumptions!$E$35)*Assumptions!$E$32)</f>
        <v>1.63860741134595</v>
      </c>
      <c r="G7042" s="48" t="n">
        <f aca="false">IF(G7010-Assumptions!$E$35&lt;1,0,INDEX($C$7035:$N$7035,1,G7010-Assumptions!$E$35)*INDEX($C$7039:$N$7039,1,G7010-Assumptions!$E$35)*Assumptions!$E$32)</f>
        <v>1.79532697390301</v>
      </c>
      <c r="H7042" s="48" t="n">
        <f aca="false">IF(H7010-Assumptions!$E$35&lt;1,0,INDEX($C$7035:$N$7035,1,H7010-Assumptions!$E$35)*INDEX($C$7039:$N$7039,1,H7010-Assumptions!$E$35)*Assumptions!$E$32)</f>
        <v>2.31019678172994</v>
      </c>
      <c r="I7042" s="48" t="n">
        <f aca="false">IF(I7010-Assumptions!$E$35&lt;1,0,INDEX($C$7035:$N$7035,1,I7010-Assumptions!$E$35)*INDEX($C$7039:$N$7039,1,I7010-Assumptions!$E$35)*Assumptions!$E$32)</f>
        <v>2.79111066507864</v>
      </c>
      <c r="J7042" s="48" t="n">
        <f aca="false">IF(J7010-Assumptions!$E$35&lt;1,0,INDEX($C$7035:$N$7035,1,J7010-Assumptions!$E$35)*INDEX($C$7039:$N$7039,1,J7010-Assumptions!$E$35)*Assumptions!$E$32)</f>
        <v>4.1306930875438</v>
      </c>
      <c r="K7042" s="48" t="n">
        <f aca="false">IF(K7010-Assumptions!$E$35&lt;1,0,INDEX($C$7035:$N$7035,1,K7010-Assumptions!$E$35)*INDEX($C$7039:$N$7039,1,K7010-Assumptions!$E$35)*Assumptions!$E$32)</f>
        <v>5.34315863355258</v>
      </c>
      <c r="L7042" s="48" t="n">
        <f aca="false">IF(L7010-Assumptions!$E$35&lt;1,0,INDEX($C$7035:$N$7035,1,L7010-Assumptions!$E$35)*INDEX($C$7039:$N$7039,1,L7010-Assumptions!$E$35)*Assumptions!$E$32)</f>
        <v>5.38112462159553</v>
      </c>
      <c r="M7042" s="48" t="n">
        <f aca="false">IF(M7010-Assumptions!$E$35&lt;1,0,INDEX($C$7035:$N$7035,1,M7010-Assumptions!$E$35)*INDEX($C$7039:$N$7039,1,M7010-Assumptions!$E$35)*Assumptions!$E$32)</f>
        <v>5.22179362206104</v>
      </c>
      <c r="N7042" s="48" t="n">
        <f aca="false">IF(N7010-Assumptions!$E$35&lt;1,0,INDEX($C$7035:$N$7035,1,N7010-Assumptions!$E$35)*INDEX($C$7039:$N$7039,1,N7010-Assumptions!$E$35)*Assumptions!$E$32)</f>
        <v>5.07351941968866</v>
      </c>
      <c r="P7042" s="49" t="n">
        <f aca="false">SUM(C7042:F7042)</f>
        <v>3.99002090683817</v>
      </c>
      <c r="Q7042" s="49" t="n">
        <f aca="false">SUM(G7042:J7042)</f>
        <v>11.0273275082554</v>
      </c>
      <c r="R7042" s="49" t="n">
        <f aca="false">SUM(K7042:N7042)</f>
        <v>21.0195962968978</v>
      </c>
      <c r="S7042" s="50" t="n">
        <f aca="false">SUM(P7042:R7042)</f>
        <v>36.0369447119914</v>
      </c>
    </row>
    <row r="7043" customFormat="false" ht="15" hidden="false" customHeight="false" outlineLevel="0" collapsed="false">
      <c r="A7043" s="4" t="s">
        <v>517</v>
      </c>
      <c r="B7043" s="36" t="s">
        <v>516</v>
      </c>
      <c r="C7043" s="48" t="n">
        <f aca="false">IF(C7010-Assumptions!$E$35&lt;1,0,INDEX($C$7035:$N$7035,1,C7010-Assumptions!$E$35)*INDEX($C$7040:$N$7040,1,C7010-Assumptions!$E$35)*Assumptions!$E$32)</f>
        <v>0</v>
      </c>
      <c r="D7043" s="48" t="n">
        <f aca="false">IF(D7010-Assumptions!$E$35&lt;1,0,INDEX($C$7035:$N$7035,1,D7010-Assumptions!$E$35)*INDEX($C$7040:$N$7040,1,D7010-Assumptions!$E$35)*Assumptions!$E$32)</f>
        <v>0.434084974267145</v>
      </c>
      <c r="E7043" s="48" t="n">
        <f aca="false">IF(E7010-Assumptions!$E$35&lt;1,0,INDEX($C$7035:$N$7035,1,E7010-Assumptions!$E$35)*INDEX($C$7040:$N$7040,1,E7010-Assumptions!$E$35)*Assumptions!$E$32)</f>
        <v>0.744055627726705</v>
      </c>
      <c r="F7043" s="48" t="n">
        <f aca="false">IF(F7010-Assumptions!$E$35&lt;1,0,INDEX($C$7035:$N$7035,1,F7010-Assumptions!$E$35)*INDEX($C$7040:$N$7040,1,F7010-Assumptions!$E$35)*Assumptions!$E$32)</f>
        <v>0.820999762796119</v>
      </c>
      <c r="G7043" s="48" t="n">
        <f aca="false">IF(G7010-Assumptions!$E$35&lt;1,0,INDEX($C$7035:$N$7035,1,G7010-Assumptions!$E$35)*INDEX($C$7040:$N$7040,1,G7010-Assumptions!$E$35)*Assumptions!$E$32)</f>
        <v>0.89952175823807</v>
      </c>
      <c r="H7043" s="48" t="n">
        <f aca="false">IF(H7010-Assumptions!$E$35&lt;1,0,INDEX($C$7035:$N$7035,1,H7010-Assumptions!$E$35)*INDEX($C$7040:$N$7040,1,H7010-Assumptions!$E$35)*Assumptions!$E$32)</f>
        <v>1.13465516292283</v>
      </c>
      <c r="I7043" s="48" t="n">
        <f aca="false">IF(I7010-Assumptions!$E$35&lt;1,0,INDEX($C$7035:$N$7035,1,I7010-Assumptions!$E$35)*INDEX($C$7040:$N$7040,1,I7010-Assumptions!$E$35)*Assumptions!$E$32)</f>
        <v>1.35487856174628</v>
      </c>
      <c r="J7043" s="48" t="n">
        <f aca="false">IF(J7010-Assumptions!$E$35&lt;1,0,INDEX($C$7035:$N$7035,1,J7010-Assumptions!$E$35)*INDEX($C$7040:$N$7040,1,J7010-Assumptions!$E$35)*Assumptions!$E$32)</f>
        <v>1.88601088123353</v>
      </c>
      <c r="K7043" s="48" t="n">
        <f aca="false">IF(K7010-Assumptions!$E$35&lt;1,0,INDEX($C$7035:$N$7035,1,K7010-Assumptions!$E$35)*INDEX($C$7040:$N$7040,1,K7010-Assumptions!$E$35)*Assumptions!$E$32)</f>
        <v>2.37581157552964</v>
      </c>
      <c r="L7043" s="48" t="n">
        <f aca="false">IF(L7010-Assumptions!$E$35&lt;1,0,INDEX($C$7035:$N$7035,1,L7010-Assumptions!$E$35)*INDEX($C$7040:$N$7040,1,L7010-Assumptions!$E$35)*Assumptions!$E$32)</f>
        <v>2.3926929822134</v>
      </c>
      <c r="M7043" s="48" t="n">
        <f aca="false">IF(M7010-Assumptions!$E$35&lt;1,0,INDEX($C$7035:$N$7035,1,M7010-Assumptions!$E$35)*INDEX($C$7040:$N$7040,1,M7010-Assumptions!$E$35)*Assumptions!$E$32)</f>
        <v>2.32184716628391</v>
      </c>
      <c r="N7043" s="48" t="n">
        <f aca="false">IF(N7010-Assumptions!$E$35&lt;1,0,INDEX($C$7035:$N$7035,1,N7010-Assumptions!$E$35)*INDEX($C$7040:$N$7040,1,N7010-Assumptions!$E$35)*Assumptions!$E$32)</f>
        <v>2.25591770573287</v>
      </c>
      <c r="P7043" s="49" t="n">
        <f aca="false">SUM(C7043:F7043)</f>
        <v>1.99914036478997</v>
      </c>
      <c r="Q7043" s="49" t="n">
        <f aca="false">SUM(G7043:J7043)</f>
        <v>5.27506636414072</v>
      </c>
      <c r="R7043" s="49" t="n">
        <f aca="false">SUM(K7043:N7043)</f>
        <v>9.34626942975982</v>
      </c>
      <c r="S7043" s="50" t="n">
        <f aca="false">SUM(P7043:R7043)</f>
        <v>16.6204761586905</v>
      </c>
    </row>
    <row r="7044" customFormat="false" ht="15" hidden="false" customHeight="false" outlineLevel="0" collapsed="false">
      <c r="A7044" s="4" t="s">
        <v>518</v>
      </c>
      <c r="B7044" s="36" t="s">
        <v>516</v>
      </c>
      <c r="C7044" s="48" t="n">
        <f aca="false">IF(C7010-Assumptions!$E$36&lt;1,0,INDEX($C$7035:$N$7035,1,C7010-Assumptions!$E$36)*INDEX($C$7041:$N$7041,1,C7010-Assumptions!$E$36)*Assumptions!$E$32)</f>
        <v>0</v>
      </c>
      <c r="D7044" s="48" t="n">
        <f aca="false">IF(D7010-Assumptions!$E$36&lt;1,0,INDEX($C$7035:$N$7035,1,D7010-Assumptions!$E$36)*INDEX($C$7041:$N$7041,1,D7010-Assumptions!$E$36)*Assumptions!$E$32)</f>
        <v>0</v>
      </c>
      <c r="E7044" s="48" t="n">
        <f aca="false">IF(E7010-Assumptions!$E$36&lt;1,0,INDEX($C$7035:$N$7035,1,E7010-Assumptions!$E$36)*INDEX($C$7041:$N$7041,1,E7010-Assumptions!$E$36)*Assumptions!$E$32)</f>
        <v>0.071275680959914</v>
      </c>
      <c r="F7044" s="48" t="n">
        <f aca="false">IF(F7010-Assumptions!$E$36&lt;1,0,INDEX($C$7035:$N$7035,1,F7010-Assumptions!$E$36)*INDEX($C$7041:$N$7041,1,F7010-Assumptions!$E$36)*Assumptions!$E$32)</f>
        <v>0.122172096898336</v>
      </c>
      <c r="G7044" s="48" t="n">
        <f aca="false">IF(G7010-Assumptions!$E$36&lt;1,0,INDEX($C$7035:$N$7035,1,G7010-Assumptions!$E$36)*INDEX($C$7041:$N$7041,1,G7010-Assumptions!$E$36)*Assumptions!$E$32)</f>
        <v>0.134806133891215</v>
      </c>
      <c r="H7044" s="48" t="n">
        <f aca="false">IF(H7010-Assumptions!$E$36&lt;1,0,INDEX($C$7035:$N$7035,1,H7010-Assumptions!$E$36)*INDEX($C$7041:$N$7041,1,H7010-Assumptions!$E$36)*Assumptions!$E$32)</f>
        <v>0.147699251661313</v>
      </c>
      <c r="I7044" s="48" t="n">
        <f aca="false">IF(I7010-Assumptions!$E$36&lt;1,0,INDEX($C$7035:$N$7035,1,I7010-Assumptions!$E$36)*INDEX($C$7041:$N$7041,1,I7010-Assumptions!$E$36)*Assumptions!$E$32)</f>
        <v>0.174259973058587</v>
      </c>
      <c r="J7044" s="48" t="n">
        <f aca="false">IF(J7010-Assumptions!$E$36&lt;1,0,INDEX($C$7035:$N$7035,1,J7010-Assumptions!$E$36)*INDEX($C$7041:$N$7041,1,J7010-Assumptions!$E$36)*Assumptions!$E$32)</f>
        <v>0.19948212034567</v>
      </c>
      <c r="K7044" s="48" t="n">
        <f aca="false">IF(K7010-Assumptions!$E$36&lt;1,0,INDEX($C$7035:$N$7035,1,K7010-Assumptions!$E$36)*INDEX($C$7041:$N$7041,1,K7010-Assumptions!$E$36)*Assumptions!$E$32)</f>
        <v>0.265355665717199</v>
      </c>
      <c r="L7044" s="48" t="n">
        <f aca="false">IF(L7010-Assumptions!$E$36&lt;1,0,INDEX($C$7035:$N$7035,1,L7010-Assumptions!$E$36)*INDEX($C$7041:$N$7041,1,L7010-Assumptions!$E$36)*Assumptions!$E$32)</f>
        <v>0.327251866823927</v>
      </c>
      <c r="M7044" s="48" t="n">
        <f aca="false">IF(M7010-Assumptions!$E$36&lt;1,0,INDEX($C$7035:$N$7035,1,M7010-Assumptions!$E$36)*INDEX($C$7041:$N$7041,1,M7010-Assumptions!$E$36)*Assumptions!$E$32)</f>
        <v>0.329577165643402</v>
      </c>
      <c r="N7044" s="48" t="n">
        <f aca="false">IF(N7010-Assumptions!$E$36&lt;1,0,INDEX($C$7035:$N$7035,1,N7010-Assumptions!$E$36)*INDEX($C$7041:$N$7041,1,N7010-Assumptions!$E$36)*Assumptions!$E$32)</f>
        <v>0.319818636912259</v>
      </c>
      <c r="P7044" s="49" t="n">
        <f aca="false">SUM(C7044:F7044)</f>
        <v>0.19344777785825</v>
      </c>
      <c r="Q7044" s="49" t="n">
        <f aca="false">SUM(G7044:J7044)</f>
        <v>0.656247478956785</v>
      </c>
      <c r="R7044" s="49" t="n">
        <f aca="false">SUM(K7044:N7044)</f>
        <v>1.24200333509679</v>
      </c>
      <c r="S7044" s="50" t="n">
        <f aca="false">SUM(P7044:R7044)</f>
        <v>2.09169859191182</v>
      </c>
    </row>
    <row r="7045" customFormat="false" ht="15" hidden="false" customHeight="false" outlineLevel="0" collapsed="false">
      <c r="A7045" s="4" t="s">
        <v>519</v>
      </c>
      <c r="B7045" s="36" t="s">
        <v>77</v>
      </c>
      <c r="C7045" s="51" t="n">
        <f aca="false">IF(C7010-Assumptions!$E$35&lt;1,0,IFERROR(INDEX($C$7034:$N$7034,1,C7010-Assumptions!$E$35)/INDEX($C$7035:$N$7035,1,C7010-Assumptions!$E$35),0))</f>
        <v>0</v>
      </c>
      <c r="D7045" s="51" t="n">
        <f aca="false">IF(D7010-Assumptions!$E$35&lt;1,0,IFERROR(INDEX($C$7034:$N$7034,1,D7010-Assumptions!$E$35)/INDEX($C$7035:$N$7035,1,D7010-Assumptions!$E$35),0))</f>
        <v>0.459271678087073</v>
      </c>
      <c r="E7045" s="51" t="n">
        <f aca="false">IF(E7010-Assumptions!$E$35&lt;1,0,IFERROR(INDEX($C$7034:$N$7034,1,E7010-Assumptions!$E$35)/INDEX($C$7035:$N$7035,1,E7010-Assumptions!$E$35),0))</f>
        <v>0.401911350042128</v>
      </c>
      <c r="F7045" s="51" t="n">
        <f aca="false">IF(F7010-Assumptions!$E$35&lt;1,0,IFERROR(INDEX($C$7034:$N$7034,1,F7010-Assumptions!$E$35)/INDEX($C$7035:$N$7035,1,F7010-Assumptions!$E$35),0))</f>
        <v>0.485658933408398</v>
      </c>
      <c r="G7045" s="51" t="n">
        <f aca="false">IF(G7010-Assumptions!$E$35&lt;1,0,IFERROR(INDEX($C$7034:$N$7034,1,G7010-Assumptions!$E$35)/INDEX($C$7035:$N$7035,1,G7010-Assumptions!$E$35),0))</f>
        <v>0.554080356417826</v>
      </c>
      <c r="H7045" s="51" t="n">
        <f aca="false">IF(H7010-Assumptions!$E$35&lt;1,0,IFERROR(INDEX($C$7034:$N$7034,1,H7010-Assumptions!$E$35)/INDEX($C$7035:$N$7035,1,H7010-Assumptions!$E$35),0))</f>
        <v>0.522227563825987</v>
      </c>
      <c r="I7045" s="51" t="n">
        <f aca="false">IF(I7010-Assumptions!$E$35&lt;1,0,IFERROR(INDEX($C$7034:$N$7034,1,I7010-Assumptions!$E$35)/INDEX($C$7035:$N$7035,1,I7010-Assumptions!$E$35),0))</f>
        <v>0.507424816282752</v>
      </c>
      <c r="J7045" s="51" t="n">
        <f aca="false">IF(J7010-Assumptions!$E$35&lt;1,0,IFERROR(INDEX($C$7034:$N$7034,1,J7010-Assumptions!$E$35)/INDEX($C$7035:$N$7035,1,J7010-Assumptions!$E$35),0))</f>
        <v>0.401142323795015</v>
      </c>
      <c r="K7045" s="51" t="n">
        <f aca="false">IF(K7010-Assumptions!$E$35&lt;1,0,IFERROR(INDEX($C$7034:$N$7034,1,K7010-Assumptions!$E$35)/INDEX($C$7035:$N$7035,1,K7010-Assumptions!$E$35),0))</f>
        <v>0.352339268448632</v>
      </c>
      <c r="L7045" s="51" t="n">
        <f aca="false">IF(L7010-Assumptions!$E$35&lt;1,0,IFERROR(INDEX($C$7034:$N$7034,1,L7010-Assumptions!$E$35)/INDEX($C$7035:$N$7035,1,L7010-Assumptions!$E$35),0))</f>
        <v>0.388725970981282</v>
      </c>
      <c r="M7045" s="51" t="n">
        <f aca="false">IF(M7010-Assumptions!$E$35&lt;1,0,IFERROR(INDEX($C$7034:$N$7034,1,M7010-Assumptions!$E$35)/INDEX($C$7035:$N$7035,1,M7010-Assumptions!$E$35),0))</f>
        <v>0.400587048224893</v>
      </c>
      <c r="N7045" s="51" t="n">
        <f aca="false">IF(N7010-Assumptions!$E$35&lt;1,0,IFERROR(INDEX($C$7034:$N$7034,1,N7010-Assumptions!$E$35)/INDEX($C$7035:$N$7035,1,N7010-Assumptions!$E$35),0))</f>
        <v>0.412294251872474</v>
      </c>
      <c r="P7045" s="52"/>
      <c r="Q7045" s="52"/>
      <c r="R7045" s="52"/>
      <c r="S7045" s="53"/>
    </row>
    <row r="7046" customFormat="false" ht="15" hidden="false" customHeight="false" outlineLevel="0" collapsed="false">
      <c r="A7046" s="4" t="s">
        <v>520</v>
      </c>
      <c r="B7046" s="36" t="s">
        <v>516</v>
      </c>
      <c r="C7046" s="48" t="n">
        <f aca="false">C7042*Assumptions!$E$37</f>
        <v>0</v>
      </c>
      <c r="D7046" s="48" t="n">
        <f aca="false">D7042*Assumptions!$E$37</f>
        <v>0.259912933555146</v>
      </c>
      <c r="E7046" s="48" t="n">
        <f aca="false">E7042*Assumptions!$E$37</f>
        <v>0.44551111509252</v>
      </c>
      <c r="F7046" s="48" t="n">
        <f aca="false">F7042*Assumptions!$E$37</f>
        <v>0.491582223403786</v>
      </c>
      <c r="G7046" s="48" t="n">
        <f aca="false">G7042*Assumptions!$E$37</f>
        <v>0.538598092170902</v>
      </c>
      <c r="H7046" s="48" t="n">
        <f aca="false">H7042*Assumptions!$E$37</f>
        <v>0.693059034518982</v>
      </c>
      <c r="I7046" s="48" t="n">
        <f aca="false">I7042*Assumptions!$E$37</f>
        <v>0.837333199523593</v>
      </c>
      <c r="J7046" s="48" t="n">
        <f aca="false">J7042*Assumptions!$E$37</f>
        <v>1.23920792626314</v>
      </c>
      <c r="K7046" s="48" t="n">
        <f aca="false">K7042*Assumptions!$E$37</f>
        <v>1.60294759006577</v>
      </c>
      <c r="L7046" s="48" t="n">
        <f aca="false">L7042*Assumptions!$E$37</f>
        <v>1.61433738647866</v>
      </c>
      <c r="M7046" s="48" t="n">
        <f aca="false">M7042*Assumptions!$E$37</f>
        <v>1.56653808661831</v>
      </c>
      <c r="N7046" s="48" t="n">
        <f aca="false">N7042*Assumptions!$E$37</f>
        <v>1.5220558259066</v>
      </c>
      <c r="P7046" s="49" t="n">
        <f aca="false">SUM(C7046:F7046)</f>
        <v>1.19700627205145</v>
      </c>
      <c r="Q7046" s="49" t="n">
        <f aca="false">SUM(G7046:J7046)</f>
        <v>3.30819825247662</v>
      </c>
      <c r="R7046" s="49" t="n">
        <f aca="false">SUM(K7046:N7046)</f>
        <v>6.30587888906934</v>
      </c>
      <c r="S7046" s="50" t="n">
        <f aca="false">SUM(P7046:R7046)</f>
        <v>10.8110834135974</v>
      </c>
    </row>
    <row r="7047" customFormat="false" ht="15" hidden="false" customHeight="false" outlineLevel="0" collapsed="false">
      <c r="A7047" s="4" t="s">
        <v>521</v>
      </c>
      <c r="B7047" s="36" t="s">
        <v>516</v>
      </c>
      <c r="C7047" s="48" t="n">
        <f aca="false">C7042*(1-Assumptions!$E$37)</f>
        <v>0</v>
      </c>
      <c r="D7047" s="48" t="n">
        <f aca="false">D7042*(1-Assumptions!$E$37)</f>
        <v>0.606463511628675</v>
      </c>
      <c r="E7047" s="48" t="n">
        <f aca="false">E7042*(1-Assumptions!$E$37)</f>
        <v>1.03952593521588</v>
      </c>
      <c r="F7047" s="48" t="n">
        <f aca="false">F7042*(1-Assumptions!$E$37)</f>
        <v>1.14702518794217</v>
      </c>
      <c r="G7047" s="48" t="n">
        <f aca="false">G7042*(1-Assumptions!$E$37)</f>
        <v>1.25672888173211</v>
      </c>
      <c r="H7047" s="48" t="n">
        <f aca="false">H7042*(1-Assumptions!$E$37)</f>
        <v>1.61713774721096</v>
      </c>
      <c r="I7047" s="48" t="n">
        <f aca="false">I7042*(1-Assumptions!$E$37)</f>
        <v>1.95377746555505</v>
      </c>
      <c r="J7047" s="48" t="n">
        <f aca="false">J7042*(1-Assumptions!$E$37)</f>
        <v>2.89148516128066</v>
      </c>
      <c r="K7047" s="48" t="n">
        <f aca="false">K7042*(1-Assumptions!$E$37)</f>
        <v>3.7402110434868</v>
      </c>
      <c r="L7047" s="48" t="n">
        <f aca="false">L7042*(1-Assumptions!$E$37)</f>
        <v>3.76678723511687</v>
      </c>
      <c r="M7047" s="48" t="n">
        <f aca="false">M7042*(1-Assumptions!$E$37)</f>
        <v>3.65525553544273</v>
      </c>
      <c r="N7047" s="48" t="n">
        <f aca="false">N7042*(1-Assumptions!$E$37)</f>
        <v>3.55146359378206</v>
      </c>
      <c r="P7047" s="49" t="n">
        <f aca="false">SUM(C7047:F7047)</f>
        <v>2.79301463478672</v>
      </c>
      <c r="Q7047" s="49" t="n">
        <f aca="false">SUM(G7047:J7047)</f>
        <v>7.71912925577877</v>
      </c>
      <c r="R7047" s="49" t="n">
        <f aca="false">SUM(K7047:N7047)</f>
        <v>14.7137174078285</v>
      </c>
      <c r="S7047" s="50" t="n">
        <f aca="false">SUM(P7047:R7047)</f>
        <v>25.225861298394</v>
      </c>
    </row>
    <row r="7048" customFormat="false" ht="15" hidden="false" customHeight="false" outlineLevel="0" collapsed="false">
      <c r="A7048" s="4" t="s">
        <v>522</v>
      </c>
      <c r="B7048" s="36" t="s">
        <v>125</v>
      </c>
      <c r="C7048" s="54" t="n">
        <f aca="false">C7047*$C$7001+C7043*$C$7002+C7044*$C$7003</f>
        <v>0</v>
      </c>
      <c r="D7048" s="54" t="n">
        <f aca="false">D7047*$C$7001+D7043*$C$7002+D7044*$C$7003</f>
        <v>7485.37917000042</v>
      </c>
      <c r="E7048" s="54" t="n">
        <f aca="false">E7047*$C$7001+E7043*$C$7002+E7044*$C$7003</f>
        <v>17233.8131620616</v>
      </c>
      <c r="F7048" s="54" t="n">
        <f aca="false">F7047*$C$7001+F7043*$C$7002+F7044*$C$7003</f>
        <v>21704.9328199195</v>
      </c>
      <c r="G7048" s="54" t="n">
        <f aca="false">G7047*$C$7001+G7043*$C$7002+G7044*$C$7003</f>
        <v>23839.4781169478</v>
      </c>
      <c r="H7048" s="54" t="n">
        <f aca="false">H7047*$C$7001+H7043*$C$7002+H7044*$C$7003</f>
        <v>28861.3828545359</v>
      </c>
      <c r="I7048" s="54" t="n">
        <f aca="false">I7047*$C$7001+I7043*$C$7002+I7044*$C$7003</f>
        <v>34454.8139810786</v>
      </c>
      <c r="J7048" s="54" t="n">
        <f aca="false">J7047*$C$7001+J7043*$C$7002+J7044*$C$7003</f>
        <v>46219.0265618748</v>
      </c>
      <c r="K7048" s="54" t="n">
        <f aca="false">K7047*$C$7001+K7043*$C$7002+K7044*$C$7003</f>
        <v>59614.7065475457</v>
      </c>
      <c r="L7048" s="54" t="n">
        <f aca="false">L7047*$C$7001+L7043*$C$7002+L7044*$C$7003</f>
        <v>63745.6576705911</v>
      </c>
      <c r="M7048" s="54" t="n">
        <f aca="false">M7047*$C$7001+M7043*$C$7002+M7044*$C$7003</f>
        <v>62600.461663715</v>
      </c>
      <c r="N7048" s="54" t="n">
        <f aca="false">N7047*$C$7001+N7043*$C$7002+N7044*$C$7003</f>
        <v>60798.1877142281</v>
      </c>
      <c r="P7048" s="55" t="n">
        <f aca="false">SUM(C7048:F7048)</f>
        <v>46424.1251519815</v>
      </c>
      <c r="Q7048" s="55" t="n">
        <f aca="false">SUM(G7048:J7048)</f>
        <v>133374.701514437</v>
      </c>
      <c r="R7048" s="55" t="n">
        <f aca="false">SUM(K7048:N7048)</f>
        <v>246759.01359608</v>
      </c>
      <c r="S7048" s="56" t="n">
        <f aca="false">SUM(P7048:R7048)</f>
        <v>426557.840262498</v>
      </c>
    </row>
    <row r="7049" customFormat="false" ht="15" hidden="false" customHeight="false" outlineLevel="0" collapsed="false">
      <c r="A7049" s="4" t="s">
        <v>523</v>
      </c>
      <c r="B7049" s="36" t="s">
        <v>125</v>
      </c>
      <c r="C7049" s="54" t="n">
        <f aca="false">(C7025+Assumptions!$D$104*C7011)*$C$7006</f>
        <v>306250</v>
      </c>
      <c r="D7049" s="54" t="n">
        <f aca="false">(D7025+Assumptions!$D$104*D7011)*$C$7006</f>
        <v>306250</v>
      </c>
      <c r="E7049" s="54" t="n">
        <f aca="false">(E7025+Assumptions!$D$104*E7011)*$C$7006</f>
        <v>306250</v>
      </c>
      <c r="F7049" s="54" t="n">
        <f aca="false">(F7025+Assumptions!$D$104*F7011)*$C$7006</f>
        <v>306250</v>
      </c>
      <c r="G7049" s="54" t="n">
        <f aca="false">(G7025+Assumptions!$D$104*G7011)*$C$7006</f>
        <v>306250</v>
      </c>
      <c r="H7049" s="54" t="n">
        <f aca="false">(H7025+Assumptions!$D$104*H7011)*$C$7006</f>
        <v>306250</v>
      </c>
      <c r="I7049" s="54" t="n">
        <f aca="false">(I7025+Assumptions!$D$104*I7011)*$C$7006</f>
        <v>306250</v>
      </c>
      <c r="J7049" s="54" t="n">
        <f aca="false">(J7025+Assumptions!$D$104*J7011)*$C$7006</f>
        <v>306250</v>
      </c>
      <c r="K7049" s="54" t="n">
        <f aca="false">(K7025+Assumptions!$D$104*K7011)*$C$7006</f>
        <v>306250</v>
      </c>
      <c r="L7049" s="54" t="n">
        <f aca="false">(L7025+Assumptions!$D$104*L7011)*$C$7006</f>
        <v>306250</v>
      </c>
      <c r="M7049" s="54" t="n">
        <f aca="false">(M7025+Assumptions!$D$104*M7011)*$C$7006</f>
        <v>306250</v>
      </c>
      <c r="N7049" s="54" t="n">
        <f aca="false">(N7025+Assumptions!$D$104*N7011)*$C$7006</f>
        <v>306250</v>
      </c>
      <c r="P7049" s="55" t="n">
        <f aca="false">SUM(C7049:F7049)</f>
        <v>1225000</v>
      </c>
      <c r="Q7049" s="55" t="n">
        <f aca="false">SUM(G7049:J7049)</f>
        <v>1225000</v>
      </c>
      <c r="R7049" s="55" t="n">
        <f aca="false">SUM(K7049:N7049)</f>
        <v>1225000</v>
      </c>
      <c r="S7049" s="56" t="n">
        <f aca="false">SUM(P7049:R7049)</f>
        <v>3675000</v>
      </c>
    </row>
    <row r="7050" customFormat="false" ht="15" hidden="false" customHeight="false" outlineLevel="0" collapsed="false">
      <c r="A7050" s="4" t="s">
        <v>524</v>
      </c>
      <c r="B7050" s="36" t="s">
        <v>77</v>
      </c>
      <c r="C7050" s="51" t="n">
        <f aca="false">IF(C7048&gt;0,MIN(1,C7049/C7048),1)</f>
        <v>1</v>
      </c>
      <c r="D7050" s="51" t="n">
        <f aca="false">IF(D7048&gt;0,MIN(1,D7049/D7048),1)</f>
        <v>1</v>
      </c>
      <c r="E7050" s="51" t="n">
        <f aca="false">IF(E7048&gt;0,MIN(1,E7049/E7048),1)</f>
        <v>1</v>
      </c>
      <c r="F7050" s="51" t="n">
        <f aca="false">IF(F7048&gt;0,MIN(1,F7049/F7048),1)</f>
        <v>1</v>
      </c>
      <c r="G7050" s="51" t="n">
        <f aca="false">IF(G7048&gt;0,MIN(1,G7049/G7048),1)</f>
        <v>1</v>
      </c>
      <c r="H7050" s="51" t="n">
        <f aca="false">IF(H7048&gt;0,MIN(1,H7049/H7048),1)</f>
        <v>1</v>
      </c>
      <c r="I7050" s="51" t="n">
        <f aca="false">IF(I7048&gt;0,MIN(1,I7049/I7048),1)</f>
        <v>1</v>
      </c>
      <c r="J7050" s="51" t="n">
        <f aca="false">IF(J7048&gt;0,MIN(1,J7049/J7048),1)</f>
        <v>1</v>
      </c>
      <c r="K7050" s="51" t="n">
        <f aca="false">IF(K7048&gt;0,MIN(1,K7049/K7048),1)</f>
        <v>1</v>
      </c>
      <c r="L7050" s="51" t="n">
        <f aca="false">IF(L7048&gt;0,MIN(1,L7049/L7048),1)</f>
        <v>1</v>
      </c>
      <c r="M7050" s="51" t="n">
        <f aca="false">IF(M7048&gt;0,MIN(1,M7049/M7048),1)</f>
        <v>1</v>
      </c>
      <c r="N7050" s="51" t="n">
        <f aca="false">IF(N7048&gt;0,MIN(1,N7049/N7048),1)</f>
        <v>1</v>
      </c>
      <c r="P7050" s="52"/>
      <c r="Q7050" s="52"/>
      <c r="R7050" s="52"/>
      <c r="S7050" s="53"/>
    </row>
    <row r="7051" customFormat="false" ht="15" hidden="false" customHeight="false" outlineLevel="0" collapsed="false">
      <c r="A7051" s="4" t="s">
        <v>525</v>
      </c>
      <c r="B7051" s="36" t="s">
        <v>125</v>
      </c>
      <c r="C7051" s="54" t="n">
        <f aca="false">C7048*(1-C7050)</f>
        <v>0</v>
      </c>
      <c r="D7051" s="54" t="n">
        <f aca="false">D7048*(1-D7050)</f>
        <v>0</v>
      </c>
      <c r="E7051" s="54" t="n">
        <f aca="false">E7048*(1-E7050)</f>
        <v>0</v>
      </c>
      <c r="F7051" s="54" t="n">
        <f aca="false">F7048*(1-F7050)</f>
        <v>0</v>
      </c>
      <c r="G7051" s="54" t="n">
        <f aca="false">G7048*(1-G7050)</f>
        <v>0</v>
      </c>
      <c r="H7051" s="54" t="n">
        <f aca="false">H7048*(1-H7050)</f>
        <v>0</v>
      </c>
      <c r="I7051" s="54" t="n">
        <f aca="false">I7048*(1-I7050)</f>
        <v>0</v>
      </c>
      <c r="J7051" s="54" t="n">
        <f aca="false">J7048*(1-J7050)</f>
        <v>0</v>
      </c>
      <c r="K7051" s="54" t="n">
        <f aca="false">K7048*(1-K7050)</f>
        <v>0</v>
      </c>
      <c r="L7051" s="54" t="n">
        <f aca="false">L7048*(1-L7050)</f>
        <v>0</v>
      </c>
      <c r="M7051" s="54" t="n">
        <f aca="false">M7048*(1-M7050)</f>
        <v>0</v>
      </c>
      <c r="N7051" s="54" t="n">
        <f aca="false">N7048*(1-N7050)</f>
        <v>0</v>
      </c>
      <c r="P7051" s="55" t="n">
        <f aca="false">SUM(C7051:F7051)</f>
        <v>0</v>
      </c>
      <c r="Q7051" s="55" t="n">
        <f aca="false">SUM(G7051:J7051)</f>
        <v>0</v>
      </c>
      <c r="R7051" s="55" t="n">
        <f aca="false">SUM(K7051:N7051)</f>
        <v>0</v>
      </c>
      <c r="S7051" s="56" t="n">
        <f aca="false">SUM(P7051:R7051)</f>
        <v>0</v>
      </c>
    </row>
    <row r="7052" customFormat="false" ht="15" hidden="false" customHeight="false" outlineLevel="0" collapsed="false">
      <c r="A7052" s="4" t="s">
        <v>526</v>
      </c>
      <c r="B7052" s="36" t="s">
        <v>527</v>
      </c>
      <c r="C7052" s="48" t="n">
        <f aca="false">C7046+C7047*C7050</f>
        <v>0</v>
      </c>
      <c r="D7052" s="48" t="n">
        <f aca="false">D7046+D7047*D7050</f>
        <v>0.866376445183821</v>
      </c>
      <c r="E7052" s="48" t="n">
        <f aca="false">E7046+E7047*E7050</f>
        <v>1.4850370503084</v>
      </c>
      <c r="F7052" s="48" t="n">
        <f aca="false">F7046+F7047*F7050</f>
        <v>1.63860741134595</v>
      </c>
      <c r="G7052" s="48" t="n">
        <f aca="false">G7046+G7047*G7050</f>
        <v>1.79532697390301</v>
      </c>
      <c r="H7052" s="48" t="n">
        <f aca="false">H7046+H7047*H7050</f>
        <v>2.31019678172994</v>
      </c>
      <c r="I7052" s="48" t="n">
        <f aca="false">I7046+I7047*I7050</f>
        <v>2.79111066507864</v>
      </c>
      <c r="J7052" s="48" t="n">
        <f aca="false">J7046+J7047*J7050</f>
        <v>4.1306930875438</v>
      </c>
      <c r="K7052" s="48" t="n">
        <f aca="false">K7046+K7047*K7050</f>
        <v>5.34315863355258</v>
      </c>
      <c r="L7052" s="48" t="n">
        <f aca="false">L7046+L7047*L7050</f>
        <v>5.38112462159553</v>
      </c>
      <c r="M7052" s="48" t="n">
        <f aca="false">M7046+M7047*M7050</f>
        <v>5.22179362206104</v>
      </c>
      <c r="N7052" s="48" t="n">
        <f aca="false">N7046+N7047*N7050</f>
        <v>5.07351941968866</v>
      </c>
      <c r="P7052" s="49" t="n">
        <f aca="false">SUM(C7052:F7052)</f>
        <v>3.99002090683817</v>
      </c>
      <c r="Q7052" s="49" t="n">
        <f aca="false">SUM(G7052:J7052)</f>
        <v>11.0273275082554</v>
      </c>
      <c r="R7052" s="49" t="n">
        <f aca="false">SUM(K7052:N7052)</f>
        <v>21.0195962968978</v>
      </c>
      <c r="S7052" s="50" t="n">
        <f aca="false">SUM(P7052:R7052)</f>
        <v>36.0369447119914</v>
      </c>
    </row>
    <row r="7053" customFormat="false" ht="15" hidden="false" customHeight="false" outlineLevel="0" collapsed="false">
      <c r="A7053" s="4" t="s">
        <v>528</v>
      </c>
      <c r="B7053" s="36" t="s">
        <v>527</v>
      </c>
      <c r="C7053" s="48" t="n">
        <f aca="false">C7043*C7050</f>
        <v>0</v>
      </c>
      <c r="D7053" s="48" t="n">
        <f aca="false">D7043*D7050</f>
        <v>0.434084974267145</v>
      </c>
      <c r="E7053" s="48" t="n">
        <f aca="false">E7043*E7050</f>
        <v>0.744055627726705</v>
      </c>
      <c r="F7053" s="48" t="n">
        <f aca="false">F7043*F7050</f>
        <v>0.820999762796119</v>
      </c>
      <c r="G7053" s="48" t="n">
        <f aca="false">G7043*G7050</f>
        <v>0.89952175823807</v>
      </c>
      <c r="H7053" s="48" t="n">
        <f aca="false">H7043*H7050</f>
        <v>1.13465516292283</v>
      </c>
      <c r="I7053" s="48" t="n">
        <f aca="false">I7043*I7050</f>
        <v>1.35487856174628</v>
      </c>
      <c r="J7053" s="48" t="n">
        <f aca="false">J7043*J7050</f>
        <v>1.88601088123353</v>
      </c>
      <c r="K7053" s="48" t="n">
        <f aca="false">K7043*K7050</f>
        <v>2.37581157552964</v>
      </c>
      <c r="L7053" s="48" t="n">
        <f aca="false">L7043*L7050</f>
        <v>2.3926929822134</v>
      </c>
      <c r="M7053" s="48" t="n">
        <f aca="false">M7043*M7050</f>
        <v>2.32184716628391</v>
      </c>
      <c r="N7053" s="48" t="n">
        <f aca="false">N7043*N7050</f>
        <v>2.25591770573287</v>
      </c>
      <c r="P7053" s="49" t="n">
        <f aca="false">SUM(C7053:F7053)</f>
        <v>1.99914036478997</v>
      </c>
      <c r="Q7053" s="49" t="n">
        <f aca="false">SUM(G7053:J7053)</f>
        <v>5.27506636414072</v>
      </c>
      <c r="R7053" s="49" t="n">
        <f aca="false">SUM(K7053:N7053)</f>
        <v>9.34626942975982</v>
      </c>
      <c r="S7053" s="50" t="n">
        <f aca="false">SUM(P7053:R7053)</f>
        <v>16.6204761586905</v>
      </c>
    </row>
    <row r="7054" customFormat="false" ht="15" hidden="false" customHeight="false" outlineLevel="0" collapsed="false">
      <c r="A7054" s="4" t="s">
        <v>529</v>
      </c>
      <c r="B7054" s="36" t="s">
        <v>527</v>
      </c>
      <c r="C7054" s="48" t="n">
        <f aca="false">C7044*C7050</f>
        <v>0</v>
      </c>
      <c r="D7054" s="48" t="n">
        <f aca="false">D7044*D7050</f>
        <v>0</v>
      </c>
      <c r="E7054" s="48" t="n">
        <f aca="false">E7044*E7050</f>
        <v>0.071275680959914</v>
      </c>
      <c r="F7054" s="48" t="n">
        <f aca="false">F7044*F7050</f>
        <v>0.122172096898336</v>
      </c>
      <c r="G7054" s="48" t="n">
        <f aca="false">G7044*G7050</f>
        <v>0.134806133891215</v>
      </c>
      <c r="H7054" s="48" t="n">
        <f aca="false">H7044*H7050</f>
        <v>0.147699251661313</v>
      </c>
      <c r="I7054" s="48" t="n">
        <f aca="false">I7044*I7050</f>
        <v>0.174259973058587</v>
      </c>
      <c r="J7054" s="48" t="n">
        <f aca="false">J7044*J7050</f>
        <v>0.19948212034567</v>
      </c>
      <c r="K7054" s="48" t="n">
        <f aca="false">K7044*K7050</f>
        <v>0.265355665717199</v>
      </c>
      <c r="L7054" s="48" t="n">
        <f aca="false">L7044*L7050</f>
        <v>0.327251866823927</v>
      </c>
      <c r="M7054" s="48" t="n">
        <f aca="false">M7044*M7050</f>
        <v>0.329577165643402</v>
      </c>
      <c r="N7054" s="48" t="n">
        <f aca="false">N7044*N7050</f>
        <v>0.319818636912259</v>
      </c>
      <c r="P7054" s="49" t="n">
        <f aca="false">SUM(C7054:F7054)</f>
        <v>0.19344777785825</v>
      </c>
      <c r="Q7054" s="49" t="n">
        <f aca="false">SUM(G7054:J7054)</f>
        <v>0.656247478956785</v>
      </c>
      <c r="R7054" s="49" t="n">
        <f aca="false">SUM(K7054:N7054)</f>
        <v>1.24200333509679</v>
      </c>
      <c r="S7054" s="50" t="n">
        <f aca="false">SUM(P7054:R7054)</f>
        <v>2.09169859191182</v>
      </c>
    </row>
    <row r="7055" customFormat="false" ht="15" hidden="false" customHeight="false" outlineLevel="0" collapsed="false">
      <c r="A7055" s="9" t="s">
        <v>530</v>
      </c>
      <c r="B7055" s="36" t="s">
        <v>527</v>
      </c>
      <c r="C7055" s="49" t="n">
        <f aca="false">C7052+C7053+C7054</f>
        <v>0</v>
      </c>
      <c r="D7055" s="49" t="n">
        <f aca="false">D7052+D7053+D7054</f>
        <v>1.30046141945097</v>
      </c>
      <c r="E7055" s="49" t="n">
        <f aca="false">E7052+E7053+E7054</f>
        <v>2.30036835899502</v>
      </c>
      <c r="F7055" s="49" t="n">
        <f aca="false">F7052+F7053+F7054</f>
        <v>2.58177927104041</v>
      </c>
      <c r="G7055" s="49" t="n">
        <f aca="false">G7052+G7053+G7054</f>
        <v>2.82965486603229</v>
      </c>
      <c r="H7055" s="49" t="n">
        <f aca="false">H7052+H7053+H7054</f>
        <v>3.59255119631409</v>
      </c>
      <c r="I7055" s="49" t="n">
        <f aca="false">I7052+I7053+I7054</f>
        <v>4.32024919988351</v>
      </c>
      <c r="J7055" s="49" t="n">
        <f aca="false">J7052+J7053+J7054</f>
        <v>6.216186089123</v>
      </c>
      <c r="K7055" s="49" t="n">
        <f aca="false">K7052+K7053+K7054</f>
        <v>7.98432587479941</v>
      </c>
      <c r="L7055" s="49" t="n">
        <f aca="false">L7052+L7053+L7054</f>
        <v>8.10106947063285</v>
      </c>
      <c r="M7055" s="49" t="n">
        <f aca="false">M7052+M7053+M7054</f>
        <v>7.87321795398836</v>
      </c>
      <c r="N7055" s="49" t="n">
        <f aca="false">N7052+N7053+N7054</f>
        <v>7.64925576233379</v>
      </c>
      <c r="P7055" s="49" t="n">
        <f aca="false">SUM(C7055:F7055)</f>
        <v>6.18260904948639</v>
      </c>
      <c r="Q7055" s="49" t="n">
        <f aca="false">SUM(G7055:J7055)</f>
        <v>16.9586413513529</v>
      </c>
      <c r="R7055" s="49" t="n">
        <f aca="false">SUM(K7055:N7055)</f>
        <v>31.6078690617544</v>
      </c>
      <c r="S7055" s="50" t="n">
        <f aca="false">SUM(P7055:R7055)</f>
        <v>54.7491194625937</v>
      </c>
    </row>
    <row r="7056" customFormat="false" ht="15" hidden="false" customHeight="false" outlineLevel="0" collapsed="false">
      <c r="A7056" s="35" t="s">
        <v>533</v>
      </c>
      <c r="B7056" s="35" t="s">
        <v>444</v>
      </c>
      <c r="C7056" s="6" t="s">
        <v>354</v>
      </c>
      <c r="D7056" s="6" t="s">
        <v>355</v>
      </c>
      <c r="E7056" s="6" t="s">
        <v>356</v>
      </c>
      <c r="F7056" s="6" t="s">
        <v>357</v>
      </c>
      <c r="G7056" s="6" t="s">
        <v>358</v>
      </c>
      <c r="H7056" s="6" t="s">
        <v>359</v>
      </c>
      <c r="I7056" s="6" t="s">
        <v>360</v>
      </c>
      <c r="J7056" s="6" t="s">
        <v>361</v>
      </c>
      <c r="K7056" s="6" t="s">
        <v>362</v>
      </c>
      <c r="L7056" s="6" t="s">
        <v>363</v>
      </c>
      <c r="M7056" s="6" t="s">
        <v>364</v>
      </c>
      <c r="N7056" s="6" t="s">
        <v>365</v>
      </c>
      <c r="P7056" s="6" t="s">
        <v>445</v>
      </c>
      <c r="Q7056" s="6" t="s">
        <v>446</v>
      </c>
      <c r="R7056" s="6" t="s">
        <v>447</v>
      </c>
      <c r="S7056" s="6" t="s">
        <v>448</v>
      </c>
    </row>
    <row r="7057" customFormat="false" ht="15" hidden="false" customHeight="false" outlineLevel="0" collapsed="false">
      <c r="A7057" s="4" t="s">
        <v>534</v>
      </c>
      <c r="B7057" s="36" t="s">
        <v>527</v>
      </c>
      <c r="C7057" s="48" t="n">
        <f aca="false">0*Assumptions!$E$59^(1/4)+C7052</f>
        <v>0</v>
      </c>
      <c r="D7057" s="48" t="n">
        <f aca="false">C7057*Assumptions!$E$59^(1/4)+D7052</f>
        <v>0.866376445183821</v>
      </c>
      <c r="E7057" s="48" t="n">
        <f aca="false">D7057*Assumptions!$E$59^(1/4)+E7052</f>
        <v>2.32416329488403</v>
      </c>
      <c r="F7057" s="48" t="n">
        <f aca="false">E7057*Assumptions!$E$59^(1/4)+F7052</f>
        <v>3.88966863104794</v>
      </c>
      <c r="G7057" s="48" t="n">
        <f aca="false">F7057*Assumptions!$E$59^(1/4)+G7052</f>
        <v>5.56265357789716</v>
      </c>
      <c r="H7057" s="48" t="n">
        <f aca="false">G7057*Assumptions!$E$59^(1/4)+H7052</f>
        <v>7.69788781678072</v>
      </c>
      <c r="I7057" s="48" t="n">
        <f aca="false">H7057*Assumptions!$E$59^(1/4)+I7052</f>
        <v>10.2468762630101</v>
      </c>
      <c r="J7057" s="48" t="n">
        <f aca="false">I7057*Assumptions!$E$59^(1/4)+J7052</f>
        <v>14.0552736148763</v>
      </c>
      <c r="K7057" s="48" t="n">
        <f aca="false">J7057*Assumptions!$E$59^(1/4)+K7052</f>
        <v>18.9563507170835</v>
      </c>
      <c r="L7057" s="48" t="n">
        <f aca="false">K7057*Assumptions!$E$59^(1/4)+L7052</f>
        <v>23.7412398769334</v>
      </c>
      <c r="M7057" s="48" t="n">
        <f aca="false">L7057*Assumptions!$E$59^(1/4)+M7052</f>
        <v>28.2162985745513</v>
      </c>
      <c r="N7057" s="48" t="n">
        <f aca="false">M7057*Assumptions!$E$59^(1/4)+N7052</f>
        <v>32.4023287268997</v>
      </c>
      <c r="P7057" s="49" t="n">
        <f aca="false">F7057</f>
        <v>3.88966863104794</v>
      </c>
      <c r="Q7057" s="49" t="n">
        <f aca="false">J7057</f>
        <v>14.0552736148763</v>
      </c>
      <c r="R7057" s="49" t="n">
        <f aca="false">N7057</f>
        <v>32.4023287268997</v>
      </c>
      <c r="S7057" s="50" t="n">
        <f aca="false">R7057</f>
        <v>32.4023287268997</v>
      </c>
    </row>
    <row r="7058" customFormat="false" ht="15" hidden="false" customHeight="false" outlineLevel="0" collapsed="false">
      <c r="A7058" s="4" t="s">
        <v>535</v>
      </c>
      <c r="B7058" s="36" t="s">
        <v>527</v>
      </c>
      <c r="C7058" s="48" t="n">
        <f aca="false">0*Assumptions!$E$60^(1/4)+C7053</f>
        <v>0</v>
      </c>
      <c r="D7058" s="48" t="n">
        <f aca="false">C7058*Assumptions!$E$60^(1/4)+D7053</f>
        <v>0.434084974267145</v>
      </c>
      <c r="E7058" s="48" t="n">
        <f aca="false">D7058*Assumptions!$E$60^(1/4)+E7053</f>
        <v>1.16685601892983</v>
      </c>
      <c r="F7058" s="48" t="n">
        <f aca="false">E7058*Assumptions!$E$60^(1/4)+F7053</f>
        <v>1.95752189677268</v>
      </c>
      <c r="G7058" s="48" t="n">
        <f aca="false">F7058*Assumptions!$E$60^(1/4)+G7053</f>
        <v>2.80615541940422</v>
      </c>
      <c r="H7058" s="48" t="n">
        <f aca="false">G7058*Assumptions!$E$60^(1/4)+H7053</f>
        <v>3.86786105447419</v>
      </c>
      <c r="I7058" s="48" t="n">
        <f aca="false">H7058*Assumptions!$E$60^(1/4)+I7053</f>
        <v>5.12218971945664</v>
      </c>
      <c r="J7058" s="48" t="n">
        <f aca="false">I7058*Assumptions!$E$60^(1/4)+J7053</f>
        <v>6.87504285788544</v>
      </c>
      <c r="K7058" s="48" t="n">
        <f aca="false">J7058*Assumptions!$E$60^(1/4)+K7053</f>
        <v>9.07212907594454</v>
      </c>
      <c r="L7058" s="48" t="n">
        <f aca="false">K7058*Assumptions!$E$60^(1/4)+L7053</f>
        <v>11.2289806902372</v>
      </c>
      <c r="M7058" s="48" t="n">
        <f aca="false">L7058*Assumptions!$E$60^(1/4)+M7053</f>
        <v>13.2589164271123</v>
      </c>
      <c r="N7058" s="48" t="n">
        <f aca="false">M7058*Assumptions!$E$60^(1/4)+N7053</f>
        <v>15.1701519792802</v>
      </c>
      <c r="P7058" s="49" t="n">
        <f aca="false">F7058</f>
        <v>1.95752189677268</v>
      </c>
      <c r="Q7058" s="49" t="n">
        <f aca="false">J7058</f>
        <v>6.87504285788544</v>
      </c>
      <c r="R7058" s="49" t="n">
        <f aca="false">N7058</f>
        <v>15.1701519792802</v>
      </c>
      <c r="S7058" s="50" t="n">
        <f aca="false">R7058</f>
        <v>15.1701519792802</v>
      </c>
    </row>
    <row r="7059" customFormat="false" ht="15" hidden="false" customHeight="false" outlineLevel="0" collapsed="false">
      <c r="A7059" s="4" t="s">
        <v>536</v>
      </c>
      <c r="B7059" s="36" t="s">
        <v>527</v>
      </c>
      <c r="C7059" s="48" t="n">
        <f aca="false">0*Assumptions!$E$61^(1/4)+C7054</f>
        <v>0</v>
      </c>
      <c r="D7059" s="48" t="n">
        <f aca="false">C7059*Assumptions!$E$61^(1/4)+D7054</f>
        <v>0</v>
      </c>
      <c r="E7059" s="48" t="n">
        <f aca="false">D7059*Assumptions!$E$61^(1/4)+E7054</f>
        <v>0.071275680959914</v>
      </c>
      <c r="F7059" s="48" t="n">
        <f aca="false">E7059*Assumptions!$E$61^(1/4)+F7054</f>
        <v>0.191977386314485</v>
      </c>
      <c r="G7059" s="48" t="n">
        <f aca="false">F7059*Assumptions!$E$61^(1/4)+G7054</f>
        <v>0.322823096094288</v>
      </c>
      <c r="H7059" s="48" t="n">
        <f aca="false">G7059*Assumptions!$E$61^(1/4)+H7054</f>
        <v>0.463862623930639</v>
      </c>
      <c r="I7059" s="48" t="n">
        <f aca="false">H7059*Assumptions!$E$61^(1/4)+I7054</f>
        <v>0.628553278667598</v>
      </c>
      <c r="J7059" s="48" t="n">
        <f aca="false">I7059*Assumptions!$E$61^(1/4)+J7054</f>
        <v>0.815068571993006</v>
      </c>
      <c r="K7059" s="48" t="n">
        <f aca="false">J7059*Assumptions!$E$61^(1/4)+K7054</f>
        <v>1.06360966758325</v>
      </c>
      <c r="L7059" s="48" t="n">
        <f aca="false">K7059*Assumptions!$E$61^(1/4)+L7054</f>
        <v>1.36891965128493</v>
      </c>
      <c r="M7059" s="48" t="n">
        <f aca="false">L7059*Assumptions!$E$61^(1/4)+M7054</f>
        <v>1.67025649916167</v>
      </c>
      <c r="N7059" s="48" t="n">
        <f aca="false">M7059*Assumptions!$E$61^(1/4)+N7054</f>
        <v>1.95561834801929</v>
      </c>
      <c r="P7059" s="49" t="n">
        <f aca="false">F7059</f>
        <v>0.191977386314485</v>
      </c>
      <c r="Q7059" s="49" t="n">
        <f aca="false">J7059</f>
        <v>0.815068571993006</v>
      </c>
      <c r="R7059" s="49" t="n">
        <f aca="false">N7059</f>
        <v>1.95561834801929</v>
      </c>
      <c r="S7059" s="50" t="n">
        <f aca="false">R7059</f>
        <v>1.95561834801929</v>
      </c>
    </row>
    <row r="7060" customFormat="false" ht="15" hidden="false" customHeight="false" outlineLevel="0" collapsed="false">
      <c r="A7060" s="9" t="s">
        <v>537</v>
      </c>
      <c r="B7060" s="36" t="s">
        <v>527</v>
      </c>
      <c r="C7060" s="49" t="n">
        <f aca="false">C7057+C7058+C7059</f>
        <v>0</v>
      </c>
      <c r="D7060" s="49" t="n">
        <f aca="false">D7057+D7058+D7059</f>
        <v>1.30046141945097</v>
      </c>
      <c r="E7060" s="49" t="n">
        <f aca="false">E7057+E7058+E7059</f>
        <v>3.56229499477378</v>
      </c>
      <c r="F7060" s="49" t="n">
        <f aca="false">F7057+F7058+F7059</f>
        <v>6.0391679141351</v>
      </c>
      <c r="G7060" s="49" t="n">
        <f aca="false">G7057+G7058+G7059</f>
        <v>8.69163209339566</v>
      </c>
      <c r="H7060" s="49" t="n">
        <f aca="false">H7057+H7058+H7059</f>
        <v>12.0296114951856</v>
      </c>
      <c r="I7060" s="49" t="n">
        <f aca="false">I7057+I7058+I7059</f>
        <v>15.9976192611344</v>
      </c>
      <c r="J7060" s="49" t="n">
        <f aca="false">J7057+J7058+J7059</f>
        <v>21.7453850447547</v>
      </c>
      <c r="K7060" s="49" t="n">
        <f aca="false">K7057+K7058+K7059</f>
        <v>29.0920894606113</v>
      </c>
      <c r="L7060" s="49" t="n">
        <f aca="false">L7057+L7058+L7059</f>
        <v>36.3391402184556</v>
      </c>
      <c r="M7060" s="49" t="n">
        <f aca="false">M7057+M7058+M7059</f>
        <v>43.1454715008253</v>
      </c>
      <c r="N7060" s="49" t="n">
        <f aca="false">N7057+N7058+N7059</f>
        <v>49.5280990541991</v>
      </c>
      <c r="P7060" s="49" t="n">
        <f aca="false">F7060</f>
        <v>6.0391679141351</v>
      </c>
      <c r="Q7060" s="49" t="n">
        <f aca="false">J7060</f>
        <v>21.7453850447547</v>
      </c>
      <c r="R7060" s="49" t="n">
        <f aca="false">N7060</f>
        <v>49.5280990541991</v>
      </c>
      <c r="S7060" s="50" t="n">
        <f aca="false">R7060</f>
        <v>49.5280990541991</v>
      </c>
    </row>
    <row r="7061" customFormat="false" ht="15" hidden="false" customHeight="false" outlineLevel="0" collapsed="false">
      <c r="A7061" s="4" t="s">
        <v>538</v>
      </c>
      <c r="B7061" s="36" t="s">
        <v>125</v>
      </c>
      <c r="C7061" s="54" t="n">
        <f aca="false">0*Assumptions!$E$62^(1/4)+C7052*$C$7001</f>
        <v>0</v>
      </c>
      <c r="D7061" s="54" t="n">
        <f aca="false">C7061*Assumptions!$E$62^(1/4)+D7052*$C$7001</f>
        <v>4636.84673462381</v>
      </c>
      <c r="E7061" s="54" t="n">
        <f aca="false">D7061*Assumptions!$E$62^(1/4)+E7052*$C$7001</f>
        <v>12584.7650278744</v>
      </c>
      <c r="F7061" s="54" t="n">
        <f aca="false">E7061*Assumptions!$E$62^(1/4)+F7052*$C$7001</f>
        <v>21354.5918933979</v>
      </c>
      <c r="G7061" s="54" t="n">
        <f aca="false">F7061*Assumptions!$E$62^(1/4)+G7052*$C$7001</f>
        <v>30963.1818577268</v>
      </c>
      <c r="H7061" s="54" t="n">
        <f aca="false">G7061*Assumptions!$E$62^(1/4)+H7052*$C$7001</f>
        <v>43327.3550335454</v>
      </c>
      <c r="I7061" s="54" t="n">
        <f aca="false">H7061*Assumptions!$E$62^(1/4)+I7052*$C$7001</f>
        <v>58265.3793130463</v>
      </c>
      <c r="J7061" s="54" t="n">
        <f aca="false">I7061*Assumptions!$E$62^(1/4)+J7052*$C$7001</f>
        <v>80372.8487175808</v>
      </c>
      <c r="K7061" s="54" t="n">
        <f aca="false">J7061*Assumptions!$E$62^(1/4)+K7052*$C$7001</f>
        <v>108969.433724354</v>
      </c>
      <c r="L7061" s="54" t="n">
        <f aca="false">K7061*Assumptions!$E$62^(1/4)+L7052*$C$7001</f>
        <v>137769.212699133</v>
      </c>
      <c r="M7061" s="54" t="n">
        <f aca="false">L7061*Assumptions!$E$62^(1/4)+M7052*$C$7001</f>
        <v>165716.252164404</v>
      </c>
      <c r="N7061" s="54" t="n">
        <f aca="false">M7061*Assumptions!$E$62^(1/4)+N7052*$C$7001</f>
        <v>192869.728098578</v>
      </c>
      <c r="P7061" s="55" t="n">
        <f aca="false">F7061</f>
        <v>21354.5918933979</v>
      </c>
      <c r="Q7061" s="55" t="n">
        <f aca="false">J7061</f>
        <v>80372.8487175808</v>
      </c>
      <c r="R7061" s="55" t="n">
        <f aca="false">N7061</f>
        <v>192869.728098578</v>
      </c>
      <c r="S7061" s="56" t="n">
        <f aca="false">R7061</f>
        <v>192869.728098578</v>
      </c>
    </row>
    <row r="7062" customFormat="false" ht="15" hidden="false" customHeight="false" outlineLevel="0" collapsed="false">
      <c r="A7062" s="4" t="s">
        <v>539</v>
      </c>
      <c r="B7062" s="36" t="s">
        <v>125</v>
      </c>
      <c r="C7062" s="54" t="n">
        <f aca="false">0*Assumptions!$E$63^(1/4)+C7053*$C$7002</f>
        <v>0</v>
      </c>
      <c r="D7062" s="54" t="n">
        <f aca="false">C7062*Assumptions!$E$63^(1/4)+D7053*$C$7002</f>
        <v>4239.58645576376</v>
      </c>
      <c r="E7062" s="54" t="n">
        <f aca="false">D7062*Assumptions!$E$63^(1/4)+E7053*$C$7002</f>
        <v>11568.780571464</v>
      </c>
      <c r="F7062" s="54" t="n">
        <f aca="false">E7062*Assumptions!$E$63^(1/4)+F7053*$C$7002</f>
        <v>19757.0139869302</v>
      </c>
      <c r="G7062" s="54" t="n">
        <f aca="false">F7062*Assumptions!$E$63^(1/4)+G7053*$C$7002</f>
        <v>28832.3026333607</v>
      </c>
      <c r="H7062" s="54" t="n">
        <f aca="false">G7062*Assumptions!$E$63^(1/4)+H7053*$C$7002</f>
        <v>40337.2428258018</v>
      </c>
      <c r="I7062" s="54" t="n">
        <f aca="false">H7062*Assumptions!$E$63^(1/4)+I7053*$C$7002</f>
        <v>54161.8650429175</v>
      </c>
      <c r="J7062" s="54" t="n">
        <f aca="false">I7062*Assumptions!$E$63^(1/4)+J7053*$C$7002</f>
        <v>73376.768355554</v>
      </c>
      <c r="K7062" s="54" t="n">
        <f aca="false">J7062*Assumptions!$E$63^(1/4)+K7053*$C$7002</f>
        <v>97657.3745036042</v>
      </c>
      <c r="L7062" s="54" t="n">
        <f aca="false">K7062*Assumptions!$E$63^(1/4)+L7053*$C$7002</f>
        <v>122459.146505613</v>
      </c>
      <c r="M7062" s="54" t="n">
        <f aca="false">L7062*Assumptions!$E$63^(1/4)+M7053*$C$7002</f>
        <v>146932.924638212</v>
      </c>
      <c r="N7062" s="54" t="n">
        <f aca="false">M7062*Assumptions!$E$63^(1/4)+N7053*$C$7002</f>
        <v>171121.912636854</v>
      </c>
      <c r="P7062" s="55" t="n">
        <f aca="false">F7062</f>
        <v>19757.0139869302</v>
      </c>
      <c r="Q7062" s="55" t="n">
        <f aca="false">J7062</f>
        <v>73376.768355554</v>
      </c>
      <c r="R7062" s="55" t="n">
        <f aca="false">N7062</f>
        <v>171121.912636854</v>
      </c>
      <c r="S7062" s="56" t="n">
        <f aca="false">R7062</f>
        <v>171121.912636854</v>
      </c>
    </row>
    <row r="7063" customFormat="false" ht="15" hidden="false" customHeight="false" outlineLevel="0" collapsed="false">
      <c r="A7063" s="4" t="s">
        <v>540</v>
      </c>
      <c r="B7063" s="36" t="s">
        <v>125</v>
      </c>
      <c r="C7063" s="54" t="n">
        <f aca="false">0*Assumptions!$E$64^(1/4)+C7054*$C$7003</f>
        <v>0</v>
      </c>
      <c r="D7063" s="54" t="n">
        <f aca="false">C7063*Assumptions!$E$64^(1/4)+D7054*$C$7003</f>
        <v>0</v>
      </c>
      <c r="E7063" s="54" t="n">
        <f aca="false">D7063*Assumptions!$E$64^(1/4)+E7054*$C$7003</f>
        <v>4403.28728055653</v>
      </c>
      <c r="F7063" s="54" t="n">
        <f aca="false">E7063*Assumptions!$E$64^(1/4)+F7054*$C$7003</f>
        <v>12107.4388108841</v>
      </c>
      <c r="G7063" s="54" t="n">
        <f aca="false">F7063*Assumptions!$E$64^(1/4)+G7054*$C$7003</f>
        <v>20866.0439239064</v>
      </c>
      <c r="H7063" s="54" t="n">
        <f aca="false">G7063*Assumptions!$E$64^(1/4)+H7054*$C$7003</f>
        <v>30732.6025192522</v>
      </c>
      <c r="I7063" s="54" t="n">
        <f aca="false">H7063*Assumptions!$E$64^(1/4)+I7054*$C$7003</f>
        <v>42590.8720102144</v>
      </c>
      <c r="J7063" s="54" t="n">
        <f aca="false">I7063*Assumptions!$E$64^(1/4)+J7054*$C$7003</f>
        <v>56428.9790305215</v>
      </c>
      <c r="K7063" s="54" t="n">
        <f aca="false">J7063*Assumptions!$E$64^(1/4)+K7054*$C$7003</f>
        <v>74828.6952807254</v>
      </c>
      <c r="L7063" s="54" t="n">
        <f aca="false">K7063*Assumptions!$E$64^(1/4)+L7054*$C$7003</f>
        <v>97706.5094169996</v>
      </c>
      <c r="M7063" s="54" t="n">
        <f aca="false">L7063*Assumptions!$E$64^(1/4)+M7054*$C$7003</f>
        <v>121541.467521117</v>
      </c>
      <c r="N7063" s="54" t="n">
        <f aca="false">M7063*Assumptions!$E$64^(1/4)+N7054*$C$7003</f>
        <v>145621.085996823</v>
      </c>
      <c r="P7063" s="55" t="n">
        <f aca="false">F7063</f>
        <v>12107.4388108841</v>
      </c>
      <c r="Q7063" s="55" t="n">
        <f aca="false">J7063</f>
        <v>56428.9790305215</v>
      </c>
      <c r="R7063" s="55" t="n">
        <f aca="false">N7063</f>
        <v>145621.085996823</v>
      </c>
      <c r="S7063" s="56" t="n">
        <f aca="false">R7063</f>
        <v>145621.085996823</v>
      </c>
    </row>
    <row r="7064" customFormat="false" ht="15" hidden="false" customHeight="false" outlineLevel="0" collapsed="false">
      <c r="A7064" s="9" t="s">
        <v>541</v>
      </c>
      <c r="B7064" s="36" t="s">
        <v>125</v>
      </c>
      <c r="C7064" s="55" t="n">
        <f aca="false">C7061+C7062+C7063</f>
        <v>0</v>
      </c>
      <c r="D7064" s="55" t="n">
        <f aca="false">D7061+D7062+D7063</f>
        <v>8876.43319038757</v>
      </c>
      <c r="E7064" s="55" t="n">
        <f aca="false">E7061+E7062+E7063</f>
        <v>28556.8328798949</v>
      </c>
      <c r="F7064" s="55" t="n">
        <f aca="false">F7061+F7062+F7063</f>
        <v>53219.0446912122</v>
      </c>
      <c r="G7064" s="55" t="n">
        <f aca="false">G7061+G7062+G7063</f>
        <v>80661.5284149939</v>
      </c>
      <c r="H7064" s="55" t="n">
        <f aca="false">H7061+H7062+H7063</f>
        <v>114397.200378599</v>
      </c>
      <c r="I7064" s="55" t="n">
        <f aca="false">I7061+I7062+I7063</f>
        <v>155018.116366178</v>
      </c>
      <c r="J7064" s="55" t="n">
        <f aca="false">J7061+J7062+J7063</f>
        <v>210178.596103656</v>
      </c>
      <c r="K7064" s="55" t="n">
        <f aca="false">K7061+K7062+K7063</f>
        <v>281455.503508684</v>
      </c>
      <c r="L7064" s="55" t="n">
        <f aca="false">L7061+L7062+L7063</f>
        <v>357934.868621746</v>
      </c>
      <c r="M7064" s="55" t="n">
        <f aca="false">M7061+M7062+M7063</f>
        <v>434190.644323734</v>
      </c>
      <c r="N7064" s="55" t="n">
        <f aca="false">N7061+N7062+N7063</f>
        <v>509612.726732255</v>
      </c>
      <c r="P7064" s="55" t="n">
        <f aca="false">F7064</f>
        <v>53219.0446912122</v>
      </c>
      <c r="Q7064" s="55" t="n">
        <f aca="false">J7064</f>
        <v>210178.596103656</v>
      </c>
      <c r="R7064" s="55" t="n">
        <f aca="false">N7064</f>
        <v>509612.726732255</v>
      </c>
      <c r="S7064" s="56" t="n">
        <f aca="false">R7064</f>
        <v>509612.726732255</v>
      </c>
    </row>
    <row r="7065" customFormat="false" ht="15" hidden="false" customHeight="false" outlineLevel="0" collapsed="false">
      <c r="A7065" s="4" t="s">
        <v>542</v>
      </c>
      <c r="B7065" s="36" t="s">
        <v>125</v>
      </c>
      <c r="C7065" s="54" t="n">
        <f aca="false">C7052*$C$7001+C7053*$C$7002+C7054*$C$7003</f>
        <v>0</v>
      </c>
      <c r="D7065" s="54" t="n">
        <f aca="false">D7052*$C$7001+D7053*$C$7002+D7054*$C$7003</f>
        <v>8876.43319038757</v>
      </c>
      <c r="E7065" s="54" t="n">
        <f aca="false">E7052*$C$7001+E7053*$C$7002+E7054*$C$7003</f>
        <v>19618.1886500368</v>
      </c>
      <c r="F7065" s="54" t="n">
        <f aca="false">F7052*$C$7001+F7053*$C$7002+F7054*$C$7003</f>
        <v>24335.8808795765</v>
      </c>
      <c r="G7065" s="54" t="n">
        <f aca="false">G7052*$C$7001+G7053*$C$7002+G7054*$C$7003</f>
        <v>26722.0551062465</v>
      </c>
      <c r="H7065" s="54" t="n">
        <f aca="false">H7052*$C$7001+H7053*$C$7002+H7054*$C$7003</f>
        <v>32570.6348072815</v>
      </c>
      <c r="I7065" s="54" t="n">
        <f aca="false">I7052*$C$7001+I7053*$C$7002+I7054*$C$7003</f>
        <v>38936.2212649288</v>
      </c>
      <c r="J7065" s="54" t="n">
        <f aca="false">J7052*$C$7001+J7053*$C$7002+J7054*$C$7003</f>
        <v>52851.2673832351</v>
      </c>
      <c r="K7065" s="54" t="n">
        <f aca="false">K7052*$C$7001+K7053*$C$7002+K7054*$C$7003</f>
        <v>68193.6820495777</v>
      </c>
      <c r="L7065" s="54" t="n">
        <f aca="false">L7052*$C$7001+L7053*$C$7002+L7054*$C$7003</f>
        <v>72385.5913630249</v>
      </c>
      <c r="M7065" s="54" t="n">
        <f aca="false">M7052*$C$7001+M7053*$C$7002+M7054*$C$7003</f>
        <v>70984.5735032962</v>
      </c>
      <c r="N7065" s="54" t="n">
        <f aca="false">N7052*$C$7001+N7053*$C$7002+N7054*$C$7003</f>
        <v>68944.2304944803</v>
      </c>
      <c r="P7065" s="55" t="n">
        <f aca="false">SUM(C7065:F7065)</f>
        <v>52830.5027200009</v>
      </c>
      <c r="Q7065" s="55" t="n">
        <f aca="false">SUM(G7065:J7065)</f>
        <v>151080.178561692</v>
      </c>
      <c r="R7065" s="55" t="n">
        <f aca="false">SUM(K7065:N7065)</f>
        <v>280508.077410379</v>
      </c>
      <c r="S7065" s="56" t="n">
        <f aca="false">SUM(P7065:R7065)</f>
        <v>484418.758692072</v>
      </c>
    </row>
    <row r="7066" customFormat="false" ht="15" hidden="false" customHeight="false" outlineLevel="0" collapsed="false">
      <c r="A7066" s="9" t="s">
        <v>543</v>
      </c>
      <c r="B7066" s="36" t="s">
        <v>125</v>
      </c>
      <c r="C7066" s="55" t="n">
        <f aca="false">(0+C7064)/8</f>
        <v>0</v>
      </c>
      <c r="D7066" s="55" t="n">
        <f aca="false">(C7064+D7064)/8</f>
        <v>1109.55414879845</v>
      </c>
      <c r="E7066" s="55" t="n">
        <f aca="false">(D7064+E7064)/8</f>
        <v>4679.15825878531</v>
      </c>
      <c r="F7066" s="55" t="n">
        <f aca="false">(E7064+F7064)/8</f>
        <v>10221.9846963884</v>
      </c>
      <c r="G7066" s="55" t="n">
        <f aca="false">(F7064+G7064)/8</f>
        <v>16735.0716382758</v>
      </c>
      <c r="H7066" s="55" t="n">
        <f aca="false">(G7064+H7064)/8</f>
        <v>24382.3410991992</v>
      </c>
      <c r="I7066" s="55" t="n">
        <f aca="false">(H7064+I7064)/8</f>
        <v>33676.9145930972</v>
      </c>
      <c r="J7066" s="55" t="n">
        <f aca="false">(I7064+J7064)/8</f>
        <v>45649.5890587293</v>
      </c>
      <c r="K7066" s="55" t="n">
        <f aca="false">(J7064+K7064)/8</f>
        <v>61454.2624515425</v>
      </c>
      <c r="L7066" s="55" t="n">
        <f aca="false">(K7064+L7064)/8</f>
        <v>79923.7965163037</v>
      </c>
      <c r="M7066" s="55" t="n">
        <f aca="false">(L7064+M7064)/8</f>
        <v>99015.6891181849</v>
      </c>
      <c r="N7066" s="55" t="n">
        <f aca="false">(M7064+N7064)/8</f>
        <v>117975.421381999</v>
      </c>
      <c r="P7066" s="55" t="n">
        <f aca="false">SUM(C7066:F7066)</f>
        <v>16010.6971039722</v>
      </c>
      <c r="Q7066" s="55" t="n">
        <f aca="false">SUM(G7066:J7066)</f>
        <v>120443.916389301</v>
      </c>
      <c r="R7066" s="55" t="n">
        <f aca="false">SUM(K7066:N7066)</f>
        <v>358369.16946803</v>
      </c>
      <c r="S7066" s="56" t="n">
        <f aca="false">SUM(P7066:R7066)</f>
        <v>494823.782961303</v>
      </c>
    </row>
    <row r="7067" customFormat="false" ht="15" hidden="false" customHeight="false" outlineLevel="0" collapsed="false">
      <c r="A7067" s="4" t="s">
        <v>544</v>
      </c>
      <c r="B7067" s="36" t="s">
        <v>125</v>
      </c>
      <c r="C7067" s="54" t="n">
        <f aca="false">C7066*Assumptions!$E$76</f>
        <v>0</v>
      </c>
      <c r="D7067" s="54" t="n">
        <f aca="false">D7066*Assumptions!$E$76</f>
        <v>721.21019671899</v>
      </c>
      <c r="E7067" s="54" t="n">
        <f aca="false">E7066*Assumptions!$E$76</f>
        <v>3041.45286821045</v>
      </c>
      <c r="F7067" s="54" t="n">
        <f aca="false">F7066*Assumptions!$E$76</f>
        <v>6644.29005265246</v>
      </c>
      <c r="G7067" s="54" t="n">
        <f aca="false">G7066*Assumptions!$E$76</f>
        <v>10877.7965648792</v>
      </c>
      <c r="H7067" s="54" t="n">
        <f aca="false">H7066*Assumptions!$E$76</f>
        <v>15848.5217144795</v>
      </c>
      <c r="I7067" s="54" t="n">
        <f aca="false">I7066*Assumptions!$E$76</f>
        <v>21889.9944855132</v>
      </c>
      <c r="J7067" s="54" t="n">
        <f aca="false">J7066*Assumptions!$E$76</f>
        <v>29672.2328881741</v>
      </c>
      <c r="K7067" s="54" t="n">
        <f aca="false">K7066*Assumptions!$E$76</f>
        <v>39945.2705935026</v>
      </c>
      <c r="L7067" s="54" t="n">
        <f aca="false">L7066*Assumptions!$E$76</f>
        <v>51950.4677355974</v>
      </c>
      <c r="M7067" s="54" t="n">
        <f aca="false">M7066*Assumptions!$E$76</f>
        <v>64360.1979268202</v>
      </c>
      <c r="N7067" s="54" t="n">
        <f aca="false">N7066*Assumptions!$E$76</f>
        <v>76684.0238982991</v>
      </c>
      <c r="P7067" s="55" t="n">
        <f aca="false">SUM(C7067:F7067)</f>
        <v>10406.9531175819</v>
      </c>
      <c r="Q7067" s="55" t="n">
        <f aca="false">SUM(G7067:J7067)</f>
        <v>78288.545653046</v>
      </c>
      <c r="R7067" s="55" t="n">
        <f aca="false">SUM(K7067:N7067)</f>
        <v>232939.960154219</v>
      </c>
      <c r="S7067" s="56" t="n">
        <f aca="false">SUM(P7067:R7067)</f>
        <v>321635.458924847</v>
      </c>
    </row>
    <row r="7068" customFormat="false" ht="15" hidden="false" customHeight="false" outlineLevel="0" collapsed="false">
      <c r="A7068" s="35" t="s">
        <v>547</v>
      </c>
      <c r="B7068" s="35" t="s">
        <v>444</v>
      </c>
      <c r="C7068" s="6" t="s">
        <v>354</v>
      </c>
      <c r="D7068" s="6" t="s">
        <v>355</v>
      </c>
      <c r="E7068" s="6" t="s">
        <v>356</v>
      </c>
      <c r="F7068" s="6" t="s">
        <v>357</v>
      </c>
      <c r="G7068" s="6" t="s">
        <v>358</v>
      </c>
      <c r="H7068" s="6" t="s">
        <v>359</v>
      </c>
      <c r="I7068" s="6" t="s">
        <v>360</v>
      </c>
      <c r="J7068" s="6" t="s">
        <v>361</v>
      </c>
      <c r="K7068" s="6" t="s">
        <v>362</v>
      </c>
      <c r="L7068" s="6" t="s">
        <v>363</v>
      </c>
      <c r="M7068" s="6" t="s">
        <v>364</v>
      </c>
      <c r="N7068" s="6" t="s">
        <v>365</v>
      </c>
      <c r="P7068" s="6" t="s">
        <v>445</v>
      </c>
      <c r="Q7068" s="6" t="s">
        <v>446</v>
      </c>
      <c r="R7068" s="6" t="s">
        <v>447</v>
      </c>
      <c r="S7068" s="6" t="s">
        <v>448</v>
      </c>
    </row>
    <row r="7069" customFormat="false" ht="15" hidden="false" customHeight="false" outlineLevel="0" collapsed="false">
      <c r="A7069" s="4" t="s">
        <v>548</v>
      </c>
      <c r="B7069" s="36" t="s">
        <v>321</v>
      </c>
      <c r="C7069" s="48" t="n">
        <f aca="false">Assumptions!$D$97*C7011</f>
        <v>1</v>
      </c>
      <c r="D7069" s="48" t="n">
        <f aca="false">Assumptions!$D$97*D7011</f>
        <v>1</v>
      </c>
      <c r="E7069" s="48" t="n">
        <f aca="false">Assumptions!$D$97*E7011</f>
        <v>1</v>
      </c>
      <c r="F7069" s="48" t="n">
        <f aca="false">Assumptions!$D$97*F7011</f>
        <v>1</v>
      </c>
      <c r="G7069" s="48" t="n">
        <f aca="false">Assumptions!$D$97*G7011</f>
        <v>1</v>
      </c>
      <c r="H7069" s="48" t="n">
        <f aca="false">Assumptions!$D$97*H7011</f>
        <v>1</v>
      </c>
      <c r="I7069" s="48" t="n">
        <f aca="false">Assumptions!$D$97*I7011</f>
        <v>1</v>
      </c>
      <c r="J7069" s="48" t="n">
        <f aca="false">Assumptions!$D$97*J7011</f>
        <v>1</v>
      </c>
      <c r="K7069" s="48" t="n">
        <f aca="false">Assumptions!$D$97*K7011</f>
        <v>1</v>
      </c>
      <c r="L7069" s="48" t="n">
        <f aca="false">Assumptions!$D$97*L7011</f>
        <v>1</v>
      </c>
      <c r="M7069" s="48" t="n">
        <f aca="false">Assumptions!$D$97*M7011</f>
        <v>1</v>
      </c>
      <c r="N7069" s="48" t="n">
        <f aca="false">Assumptions!$D$97*N7011</f>
        <v>1</v>
      </c>
      <c r="P7069" s="49" t="n">
        <f aca="false">AVERAGE(C7069:F7069)</f>
        <v>1</v>
      </c>
      <c r="Q7069" s="49" t="n">
        <f aca="false">AVERAGE(G7069:J7069)</f>
        <v>1</v>
      </c>
      <c r="R7069" s="49" t="n">
        <f aca="false">AVERAGE(K7069:N7069)</f>
        <v>1</v>
      </c>
      <c r="S7069" s="50"/>
    </row>
    <row r="7070" customFormat="false" ht="15" hidden="false" customHeight="false" outlineLevel="0" collapsed="false">
      <c r="A7070" s="4" t="s">
        <v>549</v>
      </c>
      <c r="B7070" s="36" t="s">
        <v>321</v>
      </c>
      <c r="C7070" s="48" t="n">
        <f aca="false">C7024*C7011</f>
        <v>0</v>
      </c>
      <c r="D7070" s="48" t="n">
        <f aca="false">D7024*D7011</f>
        <v>0</v>
      </c>
      <c r="E7070" s="48" t="n">
        <f aca="false">E7024*E7011</f>
        <v>0</v>
      </c>
      <c r="F7070" s="48" t="n">
        <f aca="false">F7024*F7011</f>
        <v>0</v>
      </c>
      <c r="G7070" s="48" t="n">
        <f aca="false">G7024*G7011</f>
        <v>0</v>
      </c>
      <c r="H7070" s="48" t="n">
        <f aca="false">H7024*H7011</f>
        <v>0</v>
      </c>
      <c r="I7070" s="48" t="n">
        <f aca="false">I7024*I7011</f>
        <v>0</v>
      </c>
      <c r="J7070" s="48" t="n">
        <f aca="false">J7024*J7011</f>
        <v>0</v>
      </c>
      <c r="K7070" s="48" t="n">
        <f aca="false">K7024*K7011</f>
        <v>0</v>
      </c>
      <c r="L7070" s="48" t="n">
        <f aca="false">L7024*L7011</f>
        <v>0</v>
      </c>
      <c r="M7070" s="48" t="n">
        <f aca="false">M7024*M7011</f>
        <v>0</v>
      </c>
      <c r="N7070" s="48" t="n">
        <f aca="false">N7024*N7011</f>
        <v>0</v>
      </c>
      <c r="P7070" s="49" t="n">
        <f aca="false">AVERAGE(C7070:F7070)</f>
        <v>0</v>
      </c>
      <c r="Q7070" s="49" t="n">
        <f aca="false">AVERAGE(G7070:J7070)</f>
        <v>0</v>
      </c>
      <c r="R7070" s="49" t="n">
        <f aca="false">AVERAGE(K7070:N7070)</f>
        <v>0</v>
      </c>
      <c r="S7070" s="50"/>
    </row>
    <row r="7071" customFormat="false" ht="15" hidden="false" customHeight="false" outlineLevel="0" collapsed="false">
      <c r="A7071" s="4" t="s">
        <v>550</v>
      </c>
      <c r="B7071" s="36" t="s">
        <v>321</v>
      </c>
      <c r="C7071" s="48" t="n">
        <f aca="false">IF(C7010&lt;=4,Assumptions!$D$98,Assumptions!$D$99)*C7011</f>
        <v>0</v>
      </c>
      <c r="D7071" s="48" t="n">
        <f aca="false">IF(D7010&lt;=4,Assumptions!$D$98,Assumptions!$D$99)*D7011</f>
        <v>0</v>
      </c>
      <c r="E7071" s="48" t="n">
        <f aca="false">IF(E7010&lt;=4,Assumptions!$D$98,Assumptions!$D$99)*E7011</f>
        <v>0</v>
      </c>
      <c r="F7071" s="48" t="n">
        <f aca="false">IF(F7010&lt;=4,Assumptions!$D$98,Assumptions!$D$99)*F7011</f>
        <v>0</v>
      </c>
      <c r="G7071" s="48" t="n">
        <f aca="false">IF(G7010&lt;=4,Assumptions!$D$98,Assumptions!$D$99)*G7011</f>
        <v>0.5</v>
      </c>
      <c r="H7071" s="48" t="n">
        <f aca="false">IF(H7010&lt;=4,Assumptions!$D$98,Assumptions!$D$99)*H7011</f>
        <v>0.5</v>
      </c>
      <c r="I7071" s="48" t="n">
        <f aca="false">IF(I7010&lt;=4,Assumptions!$D$98,Assumptions!$D$99)*I7011</f>
        <v>0.5</v>
      </c>
      <c r="J7071" s="48" t="n">
        <f aca="false">IF(J7010&lt;=4,Assumptions!$D$98,Assumptions!$D$99)*J7011</f>
        <v>0.5</v>
      </c>
      <c r="K7071" s="48" t="n">
        <f aca="false">IF(K7010&lt;=4,Assumptions!$D$98,Assumptions!$D$99)*K7011</f>
        <v>0.5</v>
      </c>
      <c r="L7071" s="48" t="n">
        <f aca="false">IF(L7010&lt;=4,Assumptions!$D$98,Assumptions!$D$99)*L7011</f>
        <v>0.5</v>
      </c>
      <c r="M7071" s="48" t="n">
        <f aca="false">IF(M7010&lt;=4,Assumptions!$D$98,Assumptions!$D$99)*M7011</f>
        <v>0.5</v>
      </c>
      <c r="N7071" s="48" t="n">
        <f aca="false">IF(N7010&lt;=4,Assumptions!$D$98,Assumptions!$D$99)*N7011</f>
        <v>0.5</v>
      </c>
      <c r="P7071" s="49" t="n">
        <f aca="false">AVERAGE(C7071:F7071)</f>
        <v>0</v>
      </c>
      <c r="Q7071" s="49" t="n">
        <f aca="false">AVERAGE(G7071:J7071)</f>
        <v>0.5</v>
      </c>
      <c r="R7071" s="49" t="n">
        <f aca="false">AVERAGE(K7071:N7071)</f>
        <v>0.5</v>
      </c>
      <c r="S7071" s="50"/>
    </row>
    <row r="7072" customFormat="false" ht="15" hidden="false" customHeight="false" outlineLevel="0" collapsed="false">
      <c r="A7072" s="4" t="s">
        <v>551</v>
      </c>
      <c r="B7072" s="36" t="s">
        <v>321</v>
      </c>
      <c r="C7072" s="48" t="n">
        <f aca="false">IF(C7010&lt;=4,Assumptions!$D$100,Assumptions!$D$101)*C7011</f>
        <v>1</v>
      </c>
      <c r="D7072" s="48" t="n">
        <f aca="false">IF(D7010&lt;=4,Assumptions!$D$100,Assumptions!$D$101)*D7011</f>
        <v>1</v>
      </c>
      <c r="E7072" s="48" t="n">
        <f aca="false">IF(E7010&lt;=4,Assumptions!$D$100,Assumptions!$D$101)*E7011</f>
        <v>1</v>
      </c>
      <c r="F7072" s="48" t="n">
        <f aca="false">IF(F7010&lt;=4,Assumptions!$D$100,Assumptions!$D$101)*F7011</f>
        <v>1</v>
      </c>
      <c r="G7072" s="48" t="n">
        <f aca="false">IF(G7010&lt;=4,Assumptions!$D$100,Assumptions!$D$101)*G7011</f>
        <v>0.5</v>
      </c>
      <c r="H7072" s="48" t="n">
        <f aca="false">IF(H7010&lt;=4,Assumptions!$D$100,Assumptions!$D$101)*H7011</f>
        <v>0.5</v>
      </c>
      <c r="I7072" s="48" t="n">
        <f aca="false">IF(I7010&lt;=4,Assumptions!$D$100,Assumptions!$D$101)*I7011</f>
        <v>0.5</v>
      </c>
      <c r="J7072" s="48" t="n">
        <f aca="false">IF(J7010&lt;=4,Assumptions!$D$100,Assumptions!$D$101)*J7011</f>
        <v>0.5</v>
      </c>
      <c r="K7072" s="48" t="n">
        <f aca="false">IF(K7010&lt;=4,Assumptions!$D$100,Assumptions!$D$101)*K7011</f>
        <v>0.5</v>
      </c>
      <c r="L7072" s="48" t="n">
        <f aca="false">IF(L7010&lt;=4,Assumptions!$D$100,Assumptions!$D$101)*L7011</f>
        <v>0.5</v>
      </c>
      <c r="M7072" s="48" t="n">
        <f aca="false">IF(M7010&lt;=4,Assumptions!$D$100,Assumptions!$D$101)*M7011</f>
        <v>0.5</v>
      </c>
      <c r="N7072" s="48" t="n">
        <f aca="false">IF(N7010&lt;=4,Assumptions!$D$100,Assumptions!$D$101)*N7011</f>
        <v>0.5</v>
      </c>
      <c r="P7072" s="49" t="n">
        <f aca="false">AVERAGE(C7072:F7072)</f>
        <v>1</v>
      </c>
      <c r="Q7072" s="49" t="n">
        <f aca="false">AVERAGE(G7072:J7072)</f>
        <v>0.5</v>
      </c>
      <c r="R7072" s="49" t="n">
        <f aca="false">AVERAGE(K7072:N7072)</f>
        <v>0.5</v>
      </c>
      <c r="S7072" s="50"/>
    </row>
    <row r="7073" customFormat="false" ht="15" hidden="false" customHeight="false" outlineLevel="0" collapsed="false">
      <c r="A7073" s="4" t="s">
        <v>552</v>
      </c>
      <c r="B7073" s="36" t="s">
        <v>321</v>
      </c>
      <c r="C7073" s="48" t="n">
        <f aca="false">Assumptions!$D$102*C7011</f>
        <v>0.25</v>
      </c>
      <c r="D7073" s="48" t="n">
        <f aca="false">Assumptions!$D$102*D7011</f>
        <v>0.25</v>
      </c>
      <c r="E7073" s="48" t="n">
        <f aca="false">Assumptions!$D$102*E7011</f>
        <v>0.25</v>
      </c>
      <c r="F7073" s="48" t="n">
        <f aca="false">Assumptions!$D$102*F7011</f>
        <v>0.25</v>
      </c>
      <c r="G7073" s="48" t="n">
        <f aca="false">Assumptions!$D$102*G7011</f>
        <v>0.25</v>
      </c>
      <c r="H7073" s="48" t="n">
        <f aca="false">Assumptions!$D$102*H7011</f>
        <v>0.25</v>
      </c>
      <c r="I7073" s="48" t="n">
        <f aca="false">Assumptions!$D$102*I7011</f>
        <v>0.25</v>
      </c>
      <c r="J7073" s="48" t="n">
        <f aca="false">Assumptions!$D$102*J7011</f>
        <v>0.25</v>
      </c>
      <c r="K7073" s="48" t="n">
        <f aca="false">Assumptions!$D$102*K7011</f>
        <v>0.25</v>
      </c>
      <c r="L7073" s="48" t="n">
        <f aca="false">Assumptions!$D$102*L7011</f>
        <v>0.25</v>
      </c>
      <c r="M7073" s="48" t="n">
        <f aca="false">Assumptions!$D$102*M7011</f>
        <v>0.25</v>
      </c>
      <c r="N7073" s="48" t="n">
        <f aca="false">Assumptions!$D$102*N7011</f>
        <v>0.25</v>
      </c>
      <c r="P7073" s="49" t="n">
        <f aca="false">AVERAGE(C7073:F7073)</f>
        <v>0.25</v>
      </c>
      <c r="Q7073" s="49" t="n">
        <f aca="false">AVERAGE(G7073:J7073)</f>
        <v>0.25</v>
      </c>
      <c r="R7073" s="49" t="n">
        <f aca="false">AVERAGE(K7073:N7073)</f>
        <v>0.25</v>
      </c>
      <c r="S7073" s="50"/>
    </row>
    <row r="7074" customFormat="false" ht="15" hidden="false" customHeight="false" outlineLevel="0" collapsed="false">
      <c r="A7074" s="4" t="s">
        <v>553</v>
      </c>
      <c r="B7074" s="36" t="s">
        <v>321</v>
      </c>
      <c r="C7074" s="48" t="n">
        <f aca="false">(C7058+C7059)/Assumptions!$E$74+C7057/Assumptions!$E$75</f>
        <v>0</v>
      </c>
      <c r="D7074" s="48" t="n">
        <f aca="false">(D7058+D7059)/Assumptions!$E$74+D7057/Assumptions!$E$75</f>
        <v>0.0143176301374139</v>
      </c>
      <c r="E7074" s="48" t="n">
        <f aca="false">(E7058+E7059)/Assumptions!$E$74+E7057/Assumptions!$E$75</f>
        <v>0.0402499456767798</v>
      </c>
      <c r="F7074" s="48" t="n">
        <f aca="false">(F7058+F7059)/Assumptions!$E$74+F7057/Assumptions!$E$75</f>
        <v>0.069296156601371</v>
      </c>
      <c r="G7074" s="48" t="n">
        <f aca="false">(G7058+G7059)/Assumptions!$E$74+G7057/Assumptions!$E$75</f>
        <v>0.100475077199051</v>
      </c>
      <c r="H7074" s="48" t="n">
        <f aca="false">(H7058+H7059)/Assumptions!$E$74+H7057/Assumptions!$E$75</f>
        <v>0.139084643227244</v>
      </c>
      <c r="I7074" s="48" t="n">
        <f aca="false">(I7058+I7059)/Assumptions!$E$74+I7057/Assumptions!$E$75</f>
        <v>0.184756080005146</v>
      </c>
      <c r="J7074" s="48" t="n">
        <f aca="false">(J7058+J7059)/Assumptions!$E$74+J7057/Assumptions!$E$75</f>
        <v>0.248473880206466</v>
      </c>
      <c r="K7074" s="48" t="n">
        <f aca="false">(K7058+K7059)/Assumptions!$E$74+K7057/Assumptions!$E$75</f>
        <v>0.329218871456529</v>
      </c>
      <c r="L7074" s="48" t="n">
        <f aca="false">(L7058+L7059)/Assumptions!$E$74+L7057/Assumptions!$E$75</f>
        <v>0.409912468045788</v>
      </c>
      <c r="M7074" s="48" t="n">
        <f aca="false">(M7058+M7059)/Assumptions!$E$74+M7057/Assumptions!$E$75</f>
        <v>0.486094517455055</v>
      </c>
      <c r="N7074" s="48" t="n">
        <f aca="false">(N7058+N7059)/Assumptions!$E$74+N7057/Assumptions!$E$75</f>
        <v>0.557753573090085</v>
      </c>
      <c r="P7074" s="49" t="n">
        <f aca="false">AVERAGE(C7074:F7074)</f>
        <v>0.0309659331038912</v>
      </c>
      <c r="Q7074" s="49" t="n">
        <f aca="false">AVERAGE(G7074:J7074)</f>
        <v>0.168197420159477</v>
      </c>
      <c r="R7074" s="49" t="n">
        <f aca="false">AVERAGE(K7074:N7074)</f>
        <v>0.445744857511864</v>
      </c>
      <c r="S7074" s="50"/>
    </row>
    <row r="7075" customFormat="false" ht="15" hidden="false" customHeight="false" outlineLevel="0" collapsed="false">
      <c r="A7075" s="4" t="s">
        <v>554</v>
      </c>
      <c r="B7075" s="36" t="s">
        <v>125</v>
      </c>
      <c r="C7075" s="54" t="n">
        <f aca="false">(C7069+C7071)*Assumptions!$E$70/Assumptions!$E$69/4</f>
        <v>66753.5714285714</v>
      </c>
      <c r="D7075" s="54" t="n">
        <f aca="false">(D7069+D7071)*Assumptions!$E$70/Assumptions!$E$69/4</f>
        <v>66753.5714285714</v>
      </c>
      <c r="E7075" s="54" t="n">
        <f aca="false">(E7069+E7071)*Assumptions!$E$70/Assumptions!$E$69/4</f>
        <v>66753.5714285714</v>
      </c>
      <c r="F7075" s="54" t="n">
        <f aca="false">(F7069+F7071)*Assumptions!$E$70/Assumptions!$E$69/4</f>
        <v>66753.5714285714</v>
      </c>
      <c r="G7075" s="54" t="n">
        <f aca="false">(G7069+G7071)*Assumptions!$E$70/Assumptions!$E$69/4</f>
        <v>100130.357142857</v>
      </c>
      <c r="H7075" s="54" t="n">
        <f aca="false">(H7069+H7071)*Assumptions!$E$70/Assumptions!$E$69/4</f>
        <v>100130.357142857</v>
      </c>
      <c r="I7075" s="54" t="n">
        <f aca="false">(I7069+I7071)*Assumptions!$E$70/Assumptions!$E$69/4</f>
        <v>100130.357142857</v>
      </c>
      <c r="J7075" s="54" t="n">
        <f aca="false">(J7069+J7071)*Assumptions!$E$70/Assumptions!$E$69/4</f>
        <v>100130.357142857</v>
      </c>
      <c r="K7075" s="54" t="n">
        <f aca="false">(K7069+K7071)*Assumptions!$E$70/Assumptions!$E$69/4</f>
        <v>100130.357142857</v>
      </c>
      <c r="L7075" s="54" t="n">
        <f aca="false">(L7069+L7071)*Assumptions!$E$70/Assumptions!$E$69/4</f>
        <v>100130.357142857</v>
      </c>
      <c r="M7075" s="54" t="n">
        <f aca="false">(M7069+M7071)*Assumptions!$E$70/Assumptions!$E$69/4</f>
        <v>100130.357142857</v>
      </c>
      <c r="N7075" s="54" t="n">
        <f aca="false">(N7069+N7071)*Assumptions!$E$70/Assumptions!$E$69/4</f>
        <v>100130.357142857</v>
      </c>
      <c r="P7075" s="55" t="n">
        <f aca="false">SUM(C7075:F7075)</f>
        <v>267014.285714286</v>
      </c>
      <c r="Q7075" s="55" t="n">
        <f aca="false">SUM(G7075:J7075)</f>
        <v>400521.428571429</v>
      </c>
      <c r="R7075" s="55" t="n">
        <f aca="false">SUM(K7075:N7075)</f>
        <v>400521.428571429</v>
      </c>
      <c r="S7075" s="56" t="n">
        <f aca="false">SUM(P7075:R7075)</f>
        <v>1068057.14285714</v>
      </c>
    </row>
    <row r="7076" customFormat="false" ht="15" hidden="false" customHeight="false" outlineLevel="0" collapsed="false">
      <c r="A7076" s="4" t="s">
        <v>555</v>
      </c>
      <c r="B7076" s="36" t="s">
        <v>125</v>
      </c>
      <c r="C7076" s="54" t="n">
        <f aca="false">C7070*$C$7005/4</f>
        <v>0</v>
      </c>
      <c r="D7076" s="54" t="n">
        <f aca="false">D7070*$C$7005/4</f>
        <v>0</v>
      </c>
      <c r="E7076" s="54" t="n">
        <f aca="false">E7070*$C$7005/4</f>
        <v>0</v>
      </c>
      <c r="F7076" s="54" t="n">
        <f aca="false">F7070*$C$7005/4</f>
        <v>0</v>
      </c>
      <c r="G7076" s="54" t="n">
        <f aca="false">G7070*$C$7005/4</f>
        <v>0</v>
      </c>
      <c r="H7076" s="54" t="n">
        <f aca="false">H7070*$C$7005/4</f>
        <v>0</v>
      </c>
      <c r="I7076" s="54" t="n">
        <f aca="false">I7070*$C$7005/4</f>
        <v>0</v>
      </c>
      <c r="J7076" s="54" t="n">
        <f aca="false">J7070*$C$7005/4</f>
        <v>0</v>
      </c>
      <c r="K7076" s="54" t="n">
        <f aca="false">K7070*$C$7005/4</f>
        <v>0</v>
      </c>
      <c r="L7076" s="54" t="n">
        <f aca="false">L7070*$C$7005/4</f>
        <v>0</v>
      </c>
      <c r="M7076" s="54" t="n">
        <f aca="false">M7070*$C$7005/4</f>
        <v>0</v>
      </c>
      <c r="N7076" s="54" t="n">
        <f aca="false">N7070*$C$7005/4</f>
        <v>0</v>
      </c>
      <c r="P7076" s="55" t="n">
        <f aca="false">SUM(C7076:F7076)</f>
        <v>0</v>
      </c>
      <c r="Q7076" s="55" t="n">
        <f aca="false">SUM(G7076:J7076)</f>
        <v>0</v>
      </c>
      <c r="R7076" s="55" t="n">
        <f aca="false">SUM(K7076:N7076)</f>
        <v>0</v>
      </c>
      <c r="S7076" s="56" t="n">
        <f aca="false">SUM(P7076:R7076)</f>
        <v>0</v>
      </c>
    </row>
    <row r="7077" customFormat="false" ht="15" hidden="false" customHeight="false" outlineLevel="0" collapsed="false">
      <c r="A7077" s="4" t="s">
        <v>556</v>
      </c>
      <c r="B7077" s="36" t="s">
        <v>125</v>
      </c>
      <c r="C7077" s="54" t="n">
        <f aca="false">MAX(0,(C7065-C7046*$C$7001)-C7025*$C$7006)*$C$7007*Assumptions!$D$105</f>
        <v>0</v>
      </c>
      <c r="D7077" s="54" t="n">
        <f aca="false">MAX(0,(D7065-D7046*$C$7001)-D7025*$C$7006)*$C$7007*Assumptions!$D$105</f>
        <v>3491.72206180778</v>
      </c>
      <c r="E7077" s="54" t="n">
        <f aca="false">MAX(0,(E7065-E7046*$C$7001)-E7025*$C$7006)*$C$7007*Assumptions!$D$105</f>
        <v>8039.09651874593</v>
      </c>
      <c r="F7077" s="54" t="n">
        <f aca="false">MAX(0,(F7065-F7046*$C$7001)-F7025*$C$7006)*$C$7007*Assumptions!$D$105</f>
        <v>10124.750003461</v>
      </c>
      <c r="G7077" s="54" t="n">
        <f aca="false">MAX(0,(G7065-G7046*$C$7001)-G7025*$C$7006)*$C$7007*Assumptions!$D$105</f>
        <v>11120.4562644655</v>
      </c>
      <c r="H7077" s="54" t="n">
        <f aca="false">MAX(0,(H7065-H7046*$C$7001)-H7025*$C$7006)*$C$7007*Assumptions!$D$105</f>
        <v>13463.0357338943</v>
      </c>
      <c r="I7077" s="54" t="n">
        <f aca="false">MAX(0,(I7065-I7046*$C$7001)-I7025*$C$7006)*$C$7007*Assumptions!$D$105</f>
        <v>16072.2164343224</v>
      </c>
      <c r="J7077" s="54" t="n">
        <f aca="false">MAX(0,(J7065-J7046*$C$7001)-J7025*$C$7006)*$C$7007*Assumptions!$D$105</f>
        <v>21559.8957723031</v>
      </c>
      <c r="K7077" s="54" t="n">
        <f aca="false">MAX(0,(K7065-K7046*$C$7001)-K7025*$C$7006)*$C$7007*Assumptions!$D$105</f>
        <v>27808.6094682429</v>
      </c>
      <c r="L7077" s="54" t="n">
        <f aca="false">MAX(0,(L7065-L7046*$C$7001)-L7025*$C$7006)*$C$7007*Assumptions!$D$105</f>
        <v>29735.5837530454</v>
      </c>
      <c r="M7077" s="54" t="n">
        <f aca="false">MAX(0,(M7065-M7046*$C$7001)-M7025*$C$7006)*$C$7007*Assumptions!$D$105</f>
        <v>29201.3815340945</v>
      </c>
      <c r="N7077" s="54" t="n">
        <f aca="false">MAX(0,(N7065-N7046*$C$7001)-N7025*$C$7006)*$C$7007*Assumptions!$D$105</f>
        <v>28360.6706538674</v>
      </c>
      <c r="P7077" s="55" t="n">
        <f aca="false">SUM(C7077:F7077)</f>
        <v>21655.5685840147</v>
      </c>
      <c r="Q7077" s="55" t="n">
        <f aca="false">SUM(G7077:J7077)</f>
        <v>62215.6042049852</v>
      </c>
      <c r="R7077" s="55" t="n">
        <f aca="false">SUM(K7077:N7077)</f>
        <v>115106.24540925</v>
      </c>
      <c r="S7077" s="56" t="n">
        <f aca="false">SUM(P7077:R7077)</f>
        <v>198977.41819825</v>
      </c>
    </row>
    <row r="7078" customFormat="false" ht="15" hidden="false" customHeight="false" outlineLevel="0" collapsed="false">
      <c r="A7078" s="4" t="s">
        <v>557</v>
      </c>
      <c r="B7078" s="36" t="s">
        <v>125</v>
      </c>
      <c r="C7078" s="54" t="n">
        <f aca="false">C7073*Assumptions!$E$71/Assumptions!$E$69/4</f>
        <v>18475.8928571429</v>
      </c>
      <c r="D7078" s="54" t="n">
        <f aca="false">D7073*Assumptions!$E$71/Assumptions!$E$69/4</f>
        <v>18475.8928571429</v>
      </c>
      <c r="E7078" s="54" t="n">
        <f aca="false">E7073*Assumptions!$E$71/Assumptions!$E$69/4</f>
        <v>18475.8928571429</v>
      </c>
      <c r="F7078" s="54" t="n">
        <f aca="false">F7073*Assumptions!$E$71/Assumptions!$E$69/4</f>
        <v>18475.8928571429</v>
      </c>
      <c r="G7078" s="54" t="n">
        <f aca="false">G7073*Assumptions!$E$71/Assumptions!$E$69/4</f>
        <v>18475.8928571429</v>
      </c>
      <c r="H7078" s="54" t="n">
        <f aca="false">H7073*Assumptions!$E$71/Assumptions!$E$69/4</f>
        <v>18475.8928571429</v>
      </c>
      <c r="I7078" s="54" t="n">
        <f aca="false">I7073*Assumptions!$E$71/Assumptions!$E$69/4</f>
        <v>18475.8928571429</v>
      </c>
      <c r="J7078" s="54" t="n">
        <f aca="false">J7073*Assumptions!$E$71/Assumptions!$E$69/4</f>
        <v>18475.8928571429</v>
      </c>
      <c r="K7078" s="54" t="n">
        <f aca="false">K7073*Assumptions!$E$71/Assumptions!$E$69/4</f>
        <v>18475.8928571429</v>
      </c>
      <c r="L7078" s="54" t="n">
        <f aca="false">L7073*Assumptions!$E$71/Assumptions!$E$69/4</f>
        <v>18475.8928571429</v>
      </c>
      <c r="M7078" s="54" t="n">
        <f aca="false">M7073*Assumptions!$E$71/Assumptions!$E$69/4</f>
        <v>18475.8928571429</v>
      </c>
      <c r="N7078" s="54" t="n">
        <f aca="false">N7073*Assumptions!$E$71/Assumptions!$E$69/4</f>
        <v>18475.8928571429</v>
      </c>
      <c r="P7078" s="55" t="n">
        <f aca="false">SUM(C7078:F7078)</f>
        <v>73903.5714285714</v>
      </c>
      <c r="Q7078" s="55" t="n">
        <f aca="false">SUM(G7078:J7078)</f>
        <v>73903.5714285714</v>
      </c>
      <c r="R7078" s="55" t="n">
        <f aca="false">SUM(K7078:N7078)</f>
        <v>73903.5714285714</v>
      </c>
      <c r="S7078" s="56" t="n">
        <f aca="false">SUM(P7078:R7078)</f>
        <v>221710.714285714</v>
      </c>
    </row>
    <row r="7079" customFormat="false" ht="15" hidden="false" customHeight="false" outlineLevel="0" collapsed="false">
      <c r="A7079" s="4" t="s">
        <v>558</v>
      </c>
      <c r="B7079" s="36" t="s">
        <v>125</v>
      </c>
      <c r="C7079" s="54" t="n">
        <f aca="false">(Assumptions!$D$103+Assumptions!$E$77*((C7010=Assumptions!$E$13)+(C7010=Assumptions!$E$14)+(C7010=Assumptions!$E$15)))*C7011</f>
        <v>65000</v>
      </c>
      <c r="D7079" s="54" t="n">
        <f aca="false">(Assumptions!$D$103+Assumptions!$E$77*((D7010=Assumptions!$E$13)+(D7010=Assumptions!$E$14)+(D7010=Assumptions!$E$15)))*D7011</f>
        <v>25000</v>
      </c>
      <c r="E7079" s="54" t="n">
        <f aca="false">(Assumptions!$D$103+Assumptions!$E$77*((E7010=Assumptions!$E$13)+(E7010=Assumptions!$E$14)+(E7010=Assumptions!$E$15)))*E7011</f>
        <v>25000</v>
      </c>
      <c r="F7079" s="54" t="n">
        <f aca="false">(Assumptions!$D$103+Assumptions!$E$77*((F7010=Assumptions!$E$13)+(F7010=Assumptions!$E$14)+(F7010=Assumptions!$E$15)))*F7011</f>
        <v>25000</v>
      </c>
      <c r="G7079" s="54" t="n">
        <f aca="false">(Assumptions!$D$103+Assumptions!$E$77*((G7010=Assumptions!$E$13)+(G7010=Assumptions!$E$14)+(G7010=Assumptions!$E$15)))*G7011</f>
        <v>65000</v>
      </c>
      <c r="H7079" s="54" t="n">
        <f aca="false">(Assumptions!$D$103+Assumptions!$E$77*((H7010=Assumptions!$E$13)+(H7010=Assumptions!$E$14)+(H7010=Assumptions!$E$15)))*H7011</f>
        <v>25000</v>
      </c>
      <c r="I7079" s="54" t="n">
        <f aca="false">(Assumptions!$D$103+Assumptions!$E$77*((I7010=Assumptions!$E$13)+(I7010=Assumptions!$E$14)+(I7010=Assumptions!$E$15)))*I7011</f>
        <v>65000</v>
      </c>
      <c r="J7079" s="54" t="n">
        <f aca="false">(Assumptions!$D$103+Assumptions!$E$77*((J7010=Assumptions!$E$13)+(J7010=Assumptions!$E$14)+(J7010=Assumptions!$E$15)))*J7011</f>
        <v>25000</v>
      </c>
      <c r="K7079" s="54" t="n">
        <f aca="false">(Assumptions!$D$103+Assumptions!$E$77*((K7010=Assumptions!$E$13)+(K7010=Assumptions!$E$14)+(K7010=Assumptions!$E$15)))*K7011</f>
        <v>25000</v>
      </c>
      <c r="L7079" s="54" t="n">
        <f aca="false">(Assumptions!$D$103+Assumptions!$E$77*((L7010=Assumptions!$E$13)+(L7010=Assumptions!$E$14)+(L7010=Assumptions!$E$15)))*L7011</f>
        <v>25000</v>
      </c>
      <c r="M7079" s="54" t="n">
        <f aca="false">(Assumptions!$D$103+Assumptions!$E$77*((M7010=Assumptions!$E$13)+(M7010=Assumptions!$E$14)+(M7010=Assumptions!$E$15)))*M7011</f>
        <v>25000</v>
      </c>
      <c r="N7079" s="54" t="n">
        <f aca="false">(Assumptions!$D$103+Assumptions!$E$77*((N7010=Assumptions!$E$13)+(N7010=Assumptions!$E$14)+(N7010=Assumptions!$E$15)))*N7011</f>
        <v>25000</v>
      </c>
      <c r="P7079" s="55" t="n">
        <f aca="false">SUM(C7079:F7079)</f>
        <v>140000</v>
      </c>
      <c r="Q7079" s="55" t="n">
        <f aca="false">SUM(G7079:J7079)</f>
        <v>180000</v>
      </c>
      <c r="R7079" s="55" t="n">
        <f aca="false">SUM(K7079:N7079)</f>
        <v>100000</v>
      </c>
      <c r="S7079" s="56" t="n">
        <f aca="false">SUM(P7079:R7079)</f>
        <v>420000</v>
      </c>
    </row>
    <row r="7080" customFormat="false" ht="15" hidden="false" customHeight="false" outlineLevel="0" collapsed="false">
      <c r="A7080" s="4" t="s">
        <v>559</v>
      </c>
      <c r="B7080" s="36" t="s">
        <v>125</v>
      </c>
      <c r="C7080" s="54" t="n">
        <f aca="false">C7065*C7045*Assumptions!$D$79</f>
        <v>0</v>
      </c>
      <c r="D7080" s="54" t="n">
        <f aca="false">D7065*D7045*Assumptions!$D$79</f>
        <v>1019.17359169427</v>
      </c>
      <c r="E7080" s="54" t="n">
        <f aca="false">E7065*E7045*Assumptions!$D$79</f>
        <v>1971.19317142936</v>
      </c>
      <c r="F7080" s="54" t="n">
        <f aca="false">F7065*F7045*Assumptions!$D$79</f>
        <v>2954.73448788224</v>
      </c>
      <c r="G7080" s="54" t="n">
        <f aca="false">G7065*G7045*Assumptions!$D$79</f>
        <v>3701.54145437146</v>
      </c>
      <c r="H7080" s="54" t="n">
        <f aca="false">H7065*H7045*Assumptions!$D$79</f>
        <v>4252.32081691812</v>
      </c>
      <c r="I7080" s="54" t="n">
        <f aca="false">I7065*I7045*Assumptions!$D$79</f>
        <v>4939.30123052527</v>
      </c>
      <c r="J7080" s="54" t="n">
        <f aca="false">J7065*J7045*Assumptions!$D$79</f>
        <v>5300.22005340565</v>
      </c>
      <c r="K7080" s="54" t="n">
        <f aca="false">K7065*K7045*Assumptions!$D$79</f>
        <v>6006.8280115417</v>
      </c>
      <c r="L7080" s="54" t="n">
        <f aca="false">L7065*L7045*Assumptions!$D$79</f>
        <v>7034.53982191154</v>
      </c>
      <c r="M7080" s="54" t="n">
        <f aca="false">M7065*M7045*Assumptions!$D$79</f>
        <v>7108.87519229709</v>
      </c>
      <c r="N7080" s="54" t="n">
        <f aca="false">N7065*N7045*Assumptions!$D$79</f>
        <v>7106.32748316129</v>
      </c>
      <c r="P7080" s="55" t="n">
        <f aca="false">SUM(C7080:F7080)</f>
        <v>5945.10125100587</v>
      </c>
      <c r="Q7080" s="55" t="n">
        <f aca="false">SUM(G7080:J7080)</f>
        <v>18193.3835552205</v>
      </c>
      <c r="R7080" s="55" t="n">
        <f aca="false">SUM(K7080:N7080)</f>
        <v>27256.5705089116</v>
      </c>
      <c r="S7080" s="56" t="n">
        <f aca="false">SUM(P7080:R7080)</f>
        <v>51395.055315138</v>
      </c>
    </row>
    <row r="7081" customFormat="false" ht="15" hidden="false" customHeight="false" outlineLevel="0" collapsed="false">
      <c r="A7081" s="4" t="s">
        <v>560</v>
      </c>
      <c r="B7081" s="36" t="s">
        <v>125</v>
      </c>
      <c r="C7081" s="54" t="n">
        <f aca="false">C7030*Assumptions!$E$80</f>
        <v>4000</v>
      </c>
      <c r="D7081" s="54" t="n">
        <f aca="false">D7030*Assumptions!$E$80</f>
        <v>6000</v>
      </c>
      <c r="E7081" s="54" t="n">
        <f aca="false">E7030*Assumptions!$E$80</f>
        <v>8000</v>
      </c>
      <c r="F7081" s="54" t="n">
        <f aca="false">F7030*Assumptions!$E$80</f>
        <v>10000</v>
      </c>
      <c r="G7081" s="54" t="n">
        <f aca="false">G7030*Assumptions!$E$80</f>
        <v>12000</v>
      </c>
      <c r="H7081" s="54" t="n">
        <f aca="false">H7030*Assumptions!$E$80</f>
        <v>14000</v>
      </c>
      <c r="I7081" s="54" t="n">
        <f aca="false">I7030*Assumptions!$E$80</f>
        <v>16000</v>
      </c>
      <c r="J7081" s="54" t="n">
        <f aca="false">J7030*Assumptions!$E$80</f>
        <v>18000</v>
      </c>
      <c r="K7081" s="54" t="n">
        <f aca="false">K7030*Assumptions!$E$80</f>
        <v>20000</v>
      </c>
      <c r="L7081" s="54" t="n">
        <f aca="false">L7030*Assumptions!$E$80</f>
        <v>20000</v>
      </c>
      <c r="M7081" s="54" t="n">
        <f aca="false">M7030*Assumptions!$E$80</f>
        <v>20000</v>
      </c>
      <c r="N7081" s="54" t="n">
        <f aca="false">N7030*Assumptions!$E$80</f>
        <v>20000</v>
      </c>
      <c r="P7081" s="55" t="n">
        <f aca="false">SUM(C7081:F7081)</f>
        <v>28000</v>
      </c>
      <c r="Q7081" s="55" t="n">
        <f aca="false">SUM(G7081:J7081)</f>
        <v>60000</v>
      </c>
      <c r="R7081" s="55" t="n">
        <f aca="false">SUM(K7081:N7081)</f>
        <v>80000</v>
      </c>
      <c r="S7081" s="56" t="n">
        <f aca="false">SUM(P7081:R7081)</f>
        <v>168000</v>
      </c>
    </row>
    <row r="7082" customFormat="false" ht="15" hidden="false" customHeight="false" outlineLevel="0" collapsed="false">
      <c r="A7082" s="4" t="s">
        <v>561</v>
      </c>
      <c r="B7082" s="36" t="s">
        <v>125</v>
      </c>
      <c r="C7082" s="54" t="n">
        <f aca="false">(C7053*$C$7002+C7054*$C$7003)*Assumptions!$D$81</f>
        <v>0</v>
      </c>
      <c r="D7082" s="54" t="n">
        <f aca="false">(D7053*$C$7002+D7054*$C$7003)*Assumptions!$D$81</f>
        <v>847.917291152752</v>
      </c>
      <c r="E7082" s="54" t="n">
        <f aca="false">(E7053*$C$7002+E7054*$C$7003)*Assumptions!$D$81</f>
        <v>2334.05407135724</v>
      </c>
      <c r="F7082" s="54" t="n">
        <f aca="false">(F7053*$C$7002+F7054*$C$7003)*Assumptions!$D$81</f>
        <v>3113.2108028106</v>
      </c>
      <c r="G7082" s="54" t="n">
        <f aca="false">(G7053*$C$7002+G7054*$C$7003)*Assumptions!$D$81</f>
        <v>3422.69302838352</v>
      </c>
      <c r="H7082" s="54" t="n">
        <f aca="false">(H7053*$C$7002+H7054*$C$7003)*Assumptions!$D$81</f>
        <v>4041.29232629256</v>
      </c>
      <c r="I7082" s="54" t="n">
        <f aca="false">(I7053*$C$7002+I7054*$C$7003)*Assumptions!$D$81</f>
        <v>4799.63939708559</v>
      </c>
      <c r="J7082" s="54" t="n">
        <f aca="false">(J7053*$C$7002+J7054*$C$7003)*Assumptions!$D$81</f>
        <v>6148.75959574014</v>
      </c>
      <c r="K7082" s="54" t="n">
        <f aca="false">(K7053*$C$7002+K7054*$C$7003)*Assumptions!$D$81</f>
        <v>7919.41940856086</v>
      </c>
      <c r="L7082" s="54" t="n">
        <f aca="false">(L7053*$C$7002+L7054*$C$7003)*Assumptions!$D$81</f>
        <v>8717.16247764912</v>
      </c>
      <c r="M7082" s="54" t="n">
        <f aca="false">(M7053*$C$7002+M7054*$C$7003)*Assumptions!$D$81</f>
        <v>8607.5068076051</v>
      </c>
      <c r="N7082" s="54" t="n">
        <f aca="false">(N7053*$C$7002+N7054*$C$7003)*Assumptions!$D$81</f>
        <v>8358.15091206131</v>
      </c>
      <c r="P7082" s="55" t="n">
        <f aca="false">SUM(C7082:F7082)</f>
        <v>6295.18216532059</v>
      </c>
      <c r="Q7082" s="55" t="n">
        <f aca="false">SUM(G7082:J7082)</f>
        <v>18412.3843475018</v>
      </c>
      <c r="R7082" s="55" t="n">
        <f aca="false">SUM(K7082:N7082)</f>
        <v>33602.2396058764</v>
      </c>
      <c r="S7082" s="56" t="n">
        <f aca="false">SUM(P7082:R7082)</f>
        <v>58309.8061186988</v>
      </c>
    </row>
    <row r="7083" customFormat="false" ht="15" hidden="false" customHeight="false" outlineLevel="0" collapsed="false">
      <c r="A7083" s="9" t="s">
        <v>562</v>
      </c>
      <c r="B7083" s="36" t="s">
        <v>125</v>
      </c>
      <c r="C7083" s="55" t="n">
        <f aca="false">C7075+C7076+C7077+C7078+C7079+C7080+C7081+C7082</f>
        <v>154229.464285714</v>
      </c>
      <c r="D7083" s="55" t="n">
        <f aca="false">D7075+D7076+D7077+D7078+D7079+D7080+D7081+D7082</f>
        <v>121588.277230369</v>
      </c>
      <c r="E7083" s="55" t="n">
        <f aca="false">E7075+E7076+E7077+E7078+E7079+E7080+E7081+E7082</f>
        <v>130573.808047247</v>
      </c>
      <c r="F7083" s="55" t="n">
        <f aca="false">F7075+F7076+F7077+F7078+F7079+F7080+F7081+F7082</f>
        <v>136422.159579868</v>
      </c>
      <c r="G7083" s="55" t="n">
        <f aca="false">G7075+G7076+G7077+G7078+G7079+G7080+G7081+G7082</f>
        <v>213850.94074722</v>
      </c>
      <c r="H7083" s="55" t="n">
        <f aca="false">H7075+H7076+H7077+H7078+H7079+H7080+H7081+H7082</f>
        <v>179362.898877105</v>
      </c>
      <c r="I7083" s="55" t="n">
        <f aca="false">I7075+I7076+I7077+I7078+I7079+I7080+I7081+I7082</f>
        <v>225417.407061933</v>
      </c>
      <c r="J7083" s="55" t="n">
        <f aca="false">J7075+J7076+J7077+J7078+J7079+J7080+J7081+J7082</f>
        <v>194615.125421449</v>
      </c>
      <c r="K7083" s="55" t="n">
        <f aca="false">K7075+K7076+K7077+K7078+K7079+K7080+K7081+K7082</f>
        <v>205341.106888345</v>
      </c>
      <c r="L7083" s="55" t="n">
        <f aca="false">L7075+L7076+L7077+L7078+L7079+L7080+L7081+L7082</f>
        <v>209093.536052606</v>
      </c>
      <c r="M7083" s="55" t="n">
        <f aca="false">M7075+M7076+M7077+M7078+M7079+M7080+M7081+M7082</f>
        <v>208524.013533997</v>
      </c>
      <c r="N7083" s="55" t="n">
        <f aca="false">N7075+N7076+N7077+N7078+N7079+N7080+N7081+N7082</f>
        <v>207431.39904909</v>
      </c>
      <c r="P7083" s="55" t="n">
        <f aca="false">SUM(C7083:F7083)</f>
        <v>542813.709143198</v>
      </c>
      <c r="Q7083" s="55" t="n">
        <f aca="false">SUM(G7083:J7083)</f>
        <v>813246.372107708</v>
      </c>
      <c r="R7083" s="55" t="n">
        <f aca="false">SUM(K7083:N7083)</f>
        <v>830390.055524038</v>
      </c>
      <c r="S7083" s="56" t="n">
        <f aca="false">SUM(P7083:R7083)</f>
        <v>2186450.13677494</v>
      </c>
    </row>
    <row r="7084" customFormat="false" ht="15" hidden="false" customHeight="false" outlineLevel="0" collapsed="false">
      <c r="A7084" s="4" t="s">
        <v>563</v>
      </c>
      <c r="B7084" s="36" t="s">
        <v>125</v>
      </c>
      <c r="C7084" s="54" t="n">
        <f aca="false">C7072*Assumptions!$E$72/Assumptions!$E$69/4</f>
        <v>56535.7142857143</v>
      </c>
      <c r="D7084" s="54" t="n">
        <f aca="false">D7072*Assumptions!$E$72/Assumptions!$E$69/4</f>
        <v>56535.7142857143</v>
      </c>
      <c r="E7084" s="54" t="n">
        <f aca="false">E7072*Assumptions!$E$72/Assumptions!$E$69/4</f>
        <v>56535.7142857143</v>
      </c>
      <c r="F7084" s="54" t="n">
        <f aca="false">F7072*Assumptions!$E$72/Assumptions!$E$69/4</f>
        <v>56535.7142857143</v>
      </c>
      <c r="G7084" s="54" t="n">
        <f aca="false">G7072*Assumptions!$E$72/Assumptions!$E$69/4</f>
        <v>28267.8571428571</v>
      </c>
      <c r="H7084" s="54" t="n">
        <f aca="false">H7072*Assumptions!$E$72/Assumptions!$E$69/4</f>
        <v>28267.8571428571</v>
      </c>
      <c r="I7084" s="54" t="n">
        <f aca="false">I7072*Assumptions!$E$72/Assumptions!$E$69/4</f>
        <v>28267.8571428571</v>
      </c>
      <c r="J7084" s="54" t="n">
        <f aca="false">J7072*Assumptions!$E$72/Assumptions!$E$69/4</f>
        <v>28267.8571428571</v>
      </c>
      <c r="K7084" s="54" t="n">
        <f aca="false">K7072*Assumptions!$E$72/Assumptions!$E$69/4</f>
        <v>28267.8571428571</v>
      </c>
      <c r="L7084" s="54" t="n">
        <f aca="false">L7072*Assumptions!$E$72/Assumptions!$E$69/4</f>
        <v>28267.8571428571</v>
      </c>
      <c r="M7084" s="54" t="n">
        <f aca="false">M7072*Assumptions!$E$72/Assumptions!$E$69/4</f>
        <v>28267.8571428571</v>
      </c>
      <c r="N7084" s="54" t="n">
        <f aca="false">N7072*Assumptions!$E$72/Assumptions!$E$69/4</f>
        <v>28267.8571428571</v>
      </c>
      <c r="P7084" s="55" t="n">
        <f aca="false">SUM(C7084:F7084)</f>
        <v>226142.857142857</v>
      </c>
      <c r="Q7084" s="55" t="n">
        <f aca="false">SUM(G7084:J7084)</f>
        <v>113071.428571429</v>
      </c>
      <c r="R7084" s="55" t="n">
        <f aca="false">SUM(K7084:N7084)</f>
        <v>113071.428571429</v>
      </c>
      <c r="S7084" s="56" t="n">
        <f aca="false">SUM(P7084:R7084)</f>
        <v>452285.714285714</v>
      </c>
    </row>
    <row r="7085" customFormat="false" ht="15" hidden="false" customHeight="false" outlineLevel="0" collapsed="false">
      <c r="A7085" s="4" t="s">
        <v>564</v>
      </c>
      <c r="B7085" s="36" t="s">
        <v>125</v>
      </c>
      <c r="C7085" s="54" t="n">
        <f aca="false">IF(C7010&lt;=Assumptions!$E$83,Assumptions!$E$82*Assumptions!$D$108/Assumptions!$E$83,0)</f>
        <v>62500</v>
      </c>
      <c r="D7085" s="54" t="n">
        <f aca="false">IF(D7010&lt;=Assumptions!$E$83,Assumptions!$E$82*Assumptions!$D$108/Assumptions!$E$83,0)</f>
        <v>62500</v>
      </c>
      <c r="E7085" s="54" t="n">
        <f aca="false">IF(E7010&lt;=Assumptions!$E$83,Assumptions!$E$82*Assumptions!$D$108/Assumptions!$E$83,0)</f>
        <v>62500</v>
      </c>
      <c r="F7085" s="54" t="n">
        <f aca="false">IF(F7010&lt;=Assumptions!$E$83,Assumptions!$E$82*Assumptions!$D$108/Assumptions!$E$83,0)</f>
        <v>62500</v>
      </c>
      <c r="G7085" s="54" t="n">
        <f aca="false">IF(G7010&lt;=Assumptions!$E$83,Assumptions!$E$82*Assumptions!$D$108/Assumptions!$E$83,0)</f>
        <v>0</v>
      </c>
      <c r="H7085" s="54" t="n">
        <f aca="false">IF(H7010&lt;=Assumptions!$E$83,Assumptions!$E$82*Assumptions!$D$108/Assumptions!$E$83,0)</f>
        <v>0</v>
      </c>
      <c r="I7085" s="54" t="n">
        <f aca="false">IF(I7010&lt;=Assumptions!$E$83,Assumptions!$E$82*Assumptions!$D$108/Assumptions!$E$83,0)</f>
        <v>0</v>
      </c>
      <c r="J7085" s="54" t="n">
        <f aca="false">IF(J7010&lt;=Assumptions!$E$83,Assumptions!$E$82*Assumptions!$D$108/Assumptions!$E$83,0)</f>
        <v>0</v>
      </c>
      <c r="K7085" s="54" t="n">
        <f aca="false">IF(K7010&lt;=Assumptions!$E$83,Assumptions!$E$82*Assumptions!$D$108/Assumptions!$E$83,0)</f>
        <v>0</v>
      </c>
      <c r="L7085" s="54" t="n">
        <f aca="false">IF(L7010&lt;=Assumptions!$E$83,Assumptions!$E$82*Assumptions!$D$108/Assumptions!$E$83,0)</f>
        <v>0</v>
      </c>
      <c r="M7085" s="54" t="n">
        <f aca="false">IF(M7010&lt;=Assumptions!$E$83,Assumptions!$E$82*Assumptions!$D$108/Assumptions!$E$83,0)</f>
        <v>0</v>
      </c>
      <c r="N7085" s="54" t="n">
        <f aca="false">IF(N7010&lt;=Assumptions!$E$83,Assumptions!$E$82*Assumptions!$D$108/Assumptions!$E$83,0)</f>
        <v>0</v>
      </c>
      <c r="P7085" s="55" t="n">
        <f aca="false">SUM(C7085:F7085)</f>
        <v>250000</v>
      </c>
      <c r="Q7085" s="55" t="n">
        <f aca="false">SUM(G7085:J7085)</f>
        <v>0</v>
      </c>
      <c r="R7085" s="55" t="n">
        <f aca="false">SUM(K7085:N7085)</f>
        <v>0</v>
      </c>
      <c r="S7085" s="56" t="n">
        <f aca="false">SUM(P7085:R7085)</f>
        <v>250000</v>
      </c>
    </row>
    <row r="7086" customFormat="false" ht="15" hidden="false" customHeight="false" outlineLevel="0" collapsed="false">
      <c r="A7086" s="4" t="s">
        <v>565</v>
      </c>
      <c r="B7086" s="36" t="s">
        <v>125</v>
      </c>
      <c r="C7086" s="54" t="n">
        <f aca="false">C7074*Assumptions!$E$73/Assumptions!$E$69/4</f>
        <v>0</v>
      </c>
      <c r="D7086" s="54" t="n">
        <f aca="false">D7074*Assumptions!$E$73/Assumptions!$E$69/4</f>
        <v>575.3130595573</v>
      </c>
      <c r="E7086" s="54" t="n">
        <f aca="false">E7074*Assumptions!$E$73/Assumptions!$E$69/4</f>
        <v>1617.32906717661</v>
      </c>
      <c r="F7086" s="54" t="n">
        <f aca="false">F7074*Assumptions!$E$73/Assumptions!$E$69/4</f>
        <v>2784.46806400723</v>
      </c>
      <c r="G7086" s="54" t="n">
        <f aca="false">G7074*Assumptions!$E$73/Assumptions!$E$69/4</f>
        <v>4037.30390559473</v>
      </c>
      <c r="H7086" s="54" t="n">
        <f aca="false">H7074*Assumptions!$E$73/Assumptions!$E$69/4</f>
        <v>5588.71900339185</v>
      </c>
      <c r="I7086" s="54" t="n">
        <f aca="false">I7074*Assumptions!$E$73/Assumptions!$E$69/4</f>
        <v>7423.89520049251</v>
      </c>
      <c r="J7086" s="54" t="n">
        <f aca="false">J7074*Assumptions!$E$73/Assumptions!$E$69/4</f>
        <v>9984.21295072483</v>
      </c>
      <c r="K7086" s="54" t="n">
        <f aca="false">K7074*Assumptions!$E$73/Assumptions!$E$69/4</f>
        <v>13228.7197241336</v>
      </c>
      <c r="L7086" s="54" t="n">
        <f aca="false">L7074*Assumptions!$E$73/Assumptions!$E$69/4</f>
        <v>16471.1613499398</v>
      </c>
      <c r="M7086" s="54" t="n">
        <f aca="false">M7074*Assumptions!$E$73/Assumptions!$E$69/4</f>
        <v>19532.3193424529</v>
      </c>
      <c r="N7086" s="54" t="n">
        <f aca="false">N7074*Assumptions!$E$73/Assumptions!$E$69/4</f>
        <v>22411.7337529877</v>
      </c>
      <c r="P7086" s="55" t="n">
        <f aca="false">SUM(C7086:F7086)</f>
        <v>4977.11019074114</v>
      </c>
      <c r="Q7086" s="55" t="n">
        <f aca="false">SUM(G7086:J7086)</f>
        <v>27034.1310602039</v>
      </c>
      <c r="R7086" s="55" t="n">
        <f aca="false">SUM(K7086:N7086)</f>
        <v>71643.934169514</v>
      </c>
      <c r="S7086" s="56" t="n">
        <f aca="false">SUM(P7086:R7086)</f>
        <v>103655.175420459</v>
      </c>
    </row>
    <row r="7087" customFormat="false" ht="15" hidden="false" customHeight="false" outlineLevel="0" collapsed="false">
      <c r="A7087" s="9" t="s">
        <v>566</v>
      </c>
      <c r="B7087" s="36" t="s">
        <v>125</v>
      </c>
      <c r="C7087" s="55" t="n">
        <f aca="false">C7083+C7084+C7085+C7086</f>
        <v>273265.178571429</v>
      </c>
      <c r="D7087" s="55" t="n">
        <f aca="false">D7083+D7084+D7085+D7086</f>
        <v>241199.304575641</v>
      </c>
      <c r="E7087" s="55" t="n">
        <f aca="false">E7083+E7084+E7085+E7086</f>
        <v>251226.851400138</v>
      </c>
      <c r="F7087" s="55" t="n">
        <f aca="false">F7083+F7084+F7085+F7086</f>
        <v>258242.34192959</v>
      </c>
      <c r="G7087" s="55" t="n">
        <f aca="false">G7083+G7084+G7085+G7086</f>
        <v>246156.101795672</v>
      </c>
      <c r="H7087" s="55" t="n">
        <f aca="false">H7083+H7084+H7085+H7086</f>
        <v>213219.475023354</v>
      </c>
      <c r="I7087" s="55" t="n">
        <f aca="false">I7083+I7084+I7085+I7086</f>
        <v>261109.159405283</v>
      </c>
      <c r="J7087" s="55" t="n">
        <f aca="false">J7083+J7084+J7085+J7086</f>
        <v>232867.195515031</v>
      </c>
      <c r="K7087" s="55" t="n">
        <f aca="false">K7083+K7084+K7085+K7086</f>
        <v>246837.683755336</v>
      </c>
      <c r="L7087" s="55" t="n">
        <f aca="false">L7083+L7084+L7085+L7086</f>
        <v>253832.554545403</v>
      </c>
      <c r="M7087" s="55" t="n">
        <f aca="false">M7083+M7084+M7085+M7086</f>
        <v>256324.190019307</v>
      </c>
      <c r="N7087" s="55" t="n">
        <f aca="false">N7083+N7084+N7085+N7086</f>
        <v>258110.989944935</v>
      </c>
      <c r="P7087" s="55" t="n">
        <f aca="false">SUM(C7087:F7087)</f>
        <v>1023933.6764768</v>
      </c>
      <c r="Q7087" s="55" t="n">
        <f aca="false">SUM(G7087:J7087)</f>
        <v>953351.93173934</v>
      </c>
      <c r="R7087" s="55" t="n">
        <f aca="false">SUM(K7087:N7087)</f>
        <v>1015105.41826498</v>
      </c>
      <c r="S7087" s="56" t="n">
        <f aca="false">SUM(P7087:R7087)</f>
        <v>2992391.02648112</v>
      </c>
    </row>
    <row r="7088" customFormat="false" ht="15" hidden="false" customHeight="false" outlineLevel="0" collapsed="false">
      <c r="A7088" s="35" t="s">
        <v>567</v>
      </c>
      <c r="B7088" s="35" t="s">
        <v>444</v>
      </c>
      <c r="C7088" s="6" t="s">
        <v>354</v>
      </c>
      <c r="D7088" s="6" t="s">
        <v>355</v>
      </c>
      <c r="E7088" s="6" t="s">
        <v>356</v>
      </c>
      <c r="F7088" s="6" t="s">
        <v>357</v>
      </c>
      <c r="G7088" s="6" t="s">
        <v>358</v>
      </c>
      <c r="H7088" s="6" t="s">
        <v>359</v>
      </c>
      <c r="I7088" s="6" t="s">
        <v>360</v>
      </c>
      <c r="J7088" s="6" t="s">
        <v>361</v>
      </c>
      <c r="K7088" s="6" t="s">
        <v>362</v>
      </c>
      <c r="L7088" s="6" t="s">
        <v>363</v>
      </c>
      <c r="M7088" s="6" t="s">
        <v>364</v>
      </c>
      <c r="N7088" s="6" t="s">
        <v>365</v>
      </c>
      <c r="P7088" s="6" t="s">
        <v>445</v>
      </c>
      <c r="Q7088" s="6" t="s">
        <v>446</v>
      </c>
      <c r="R7088" s="6" t="s">
        <v>447</v>
      </c>
      <c r="S7088" s="6" t="s">
        <v>448</v>
      </c>
    </row>
    <row r="7089" customFormat="false" ht="15" hidden="false" customHeight="false" outlineLevel="0" collapsed="false">
      <c r="A7089" s="9" t="s">
        <v>568</v>
      </c>
      <c r="B7089" s="36" t="s">
        <v>125</v>
      </c>
      <c r="C7089" s="55" t="n">
        <f aca="false">C7067-C7087</f>
        <v>-273265.178571429</v>
      </c>
      <c r="D7089" s="55" t="n">
        <f aca="false">D7067-D7087</f>
        <v>-240478.094378922</v>
      </c>
      <c r="E7089" s="55" t="n">
        <f aca="false">E7067-E7087</f>
        <v>-248185.398531927</v>
      </c>
      <c r="F7089" s="55" t="n">
        <f aca="false">F7067-F7087</f>
        <v>-251598.051876937</v>
      </c>
      <c r="G7089" s="55" t="n">
        <f aca="false">G7067-G7087</f>
        <v>-235278.305230793</v>
      </c>
      <c r="H7089" s="55" t="n">
        <f aca="false">H7067-H7087</f>
        <v>-197370.953308875</v>
      </c>
      <c r="I7089" s="55" t="n">
        <f aca="false">I7067-I7087</f>
        <v>-239219.16491977</v>
      </c>
      <c r="J7089" s="55" t="n">
        <f aca="false">J7067-J7087</f>
        <v>-203194.962626857</v>
      </c>
      <c r="K7089" s="55" t="n">
        <f aca="false">K7067-K7087</f>
        <v>-206892.413161834</v>
      </c>
      <c r="L7089" s="55" t="n">
        <f aca="false">L7067-L7087</f>
        <v>-201882.086809806</v>
      </c>
      <c r="M7089" s="55" t="n">
        <f aca="false">M7067-M7087</f>
        <v>-191963.992092487</v>
      </c>
      <c r="N7089" s="55" t="n">
        <f aca="false">N7067-N7087</f>
        <v>-181426.966046636</v>
      </c>
      <c r="P7089" s="55" t="n">
        <f aca="false">SUM(C7089:F7089)</f>
        <v>-1013526.72335921</v>
      </c>
      <c r="Q7089" s="55" t="n">
        <f aca="false">SUM(G7089:J7089)</f>
        <v>-875063.386086294</v>
      </c>
      <c r="R7089" s="55" t="n">
        <f aca="false">SUM(K7089:N7089)</f>
        <v>-782165.458110762</v>
      </c>
      <c r="S7089" s="56" t="n">
        <f aca="false">SUM(P7089:R7089)</f>
        <v>-2670755.56755627</v>
      </c>
    </row>
    <row r="7090" customFormat="false" ht="15" hidden="false" customHeight="false" outlineLevel="0" collapsed="false">
      <c r="A7090" s="9" t="s">
        <v>569</v>
      </c>
      <c r="B7090" s="36" t="s">
        <v>125</v>
      </c>
      <c r="C7090" s="55" t="n">
        <f aca="false">0+C7089</f>
        <v>-273265.178571429</v>
      </c>
      <c r="D7090" s="55" t="n">
        <f aca="false">C7090+D7089</f>
        <v>-513743.27295035</v>
      </c>
      <c r="E7090" s="55" t="n">
        <f aca="false">D7090+E7089</f>
        <v>-761928.671482278</v>
      </c>
      <c r="F7090" s="55" t="n">
        <f aca="false">E7090+F7089</f>
        <v>-1013526.72335921</v>
      </c>
      <c r="G7090" s="55" t="n">
        <f aca="false">F7090+G7089</f>
        <v>-1248805.02859001</v>
      </c>
      <c r="H7090" s="55" t="n">
        <f aca="false">G7090+H7089</f>
        <v>-1446175.98189888</v>
      </c>
      <c r="I7090" s="55" t="n">
        <f aca="false">H7090+I7089</f>
        <v>-1685395.14681865</v>
      </c>
      <c r="J7090" s="55" t="n">
        <f aca="false">I7090+J7089</f>
        <v>-1888590.10944551</v>
      </c>
      <c r="K7090" s="55" t="n">
        <f aca="false">J7090+K7089</f>
        <v>-2095482.52260734</v>
      </c>
      <c r="L7090" s="55" t="n">
        <f aca="false">K7090+L7089</f>
        <v>-2297364.60941715</v>
      </c>
      <c r="M7090" s="55" t="n">
        <f aca="false">L7090+M7089</f>
        <v>-2489328.60150963</v>
      </c>
      <c r="N7090" s="55" t="n">
        <f aca="false">M7090+N7089</f>
        <v>-2670755.56755627</v>
      </c>
      <c r="P7090" s="55" t="n">
        <f aca="false">F7090</f>
        <v>-1013526.72335921</v>
      </c>
      <c r="Q7090" s="55" t="n">
        <f aca="false">J7090</f>
        <v>-1888590.10944551</v>
      </c>
      <c r="R7090" s="55" t="n">
        <f aca="false">N7090</f>
        <v>-2670755.56755627</v>
      </c>
      <c r="S7090" s="56" t="n">
        <f aca="false">R7090</f>
        <v>-2670755.56755627</v>
      </c>
    </row>
    <row r="7091" customFormat="false" ht="15" hidden="false" customHeight="false" outlineLevel="0" collapsed="false">
      <c r="A7091" s="4" t="s">
        <v>570</v>
      </c>
      <c r="B7091" s="36" t="s">
        <v>107</v>
      </c>
      <c r="C7091" s="57" t="n">
        <f aca="false">1/(1+Assumptions!$E$87)^(C7010/4)</f>
        <v>0.972065420906982</v>
      </c>
      <c r="D7091" s="57" t="n">
        <f aca="false">1/(1+Assumptions!$E$87)^(D7010/4)</f>
        <v>0.944911182523068</v>
      </c>
      <c r="E7091" s="57" t="n">
        <f aca="false">1/(1+Assumptions!$E$87)^(E7010/4)</f>
        <v>0.918515486359</v>
      </c>
      <c r="F7091" s="57" t="n">
        <f aca="false">1/(1+Assumptions!$E$87)^(F7010/4)</f>
        <v>0.892857142857143</v>
      </c>
      <c r="G7091" s="57" t="n">
        <f aca="false">1/(1+Assumptions!$E$87)^(G7010/4)</f>
        <v>0.867915554381234</v>
      </c>
      <c r="H7091" s="57" t="n">
        <f aca="false">1/(1+Assumptions!$E$87)^(H7010/4)</f>
        <v>0.843670698681311</v>
      </c>
      <c r="I7091" s="57" t="n">
        <f aca="false">1/(1+Assumptions!$E$87)^(I7010/4)</f>
        <v>0.820103112820536</v>
      </c>
      <c r="J7091" s="57" t="n">
        <f aca="false">1/(1+Assumptions!$E$87)^(J7010/4)</f>
        <v>0.79719387755102</v>
      </c>
      <c r="K7091" s="57" t="n">
        <f aca="false">1/(1+Assumptions!$E$87)^(K7010/4)</f>
        <v>0.774924602126102</v>
      </c>
      <c r="L7091" s="57" t="n">
        <f aca="false">1/(1+Assumptions!$E$87)^(L7010/4)</f>
        <v>0.753277409536885</v>
      </c>
      <c r="M7091" s="57" t="n">
        <f aca="false">1/(1+Assumptions!$E$87)^(M7010/4)</f>
        <v>0.732234922161193</v>
      </c>
      <c r="N7091" s="57" t="n">
        <f aca="false">1/(1+Assumptions!$E$87)^(N7010/4)</f>
        <v>0.711780247813411</v>
      </c>
      <c r="P7091" s="58"/>
      <c r="Q7091" s="58"/>
      <c r="R7091" s="58"/>
      <c r="S7091" s="59"/>
    </row>
    <row r="7092" customFormat="false" ht="15" hidden="false" customHeight="false" outlineLevel="0" collapsed="false">
      <c r="A7092" s="4" t="s">
        <v>571</v>
      </c>
      <c r="B7092" s="36" t="s">
        <v>125</v>
      </c>
      <c r="C7092" s="54" t="n">
        <f aca="false">(C7067*(1-Assumptions!$E$88)-C7087)*C7091</f>
        <v>-265631.630827257</v>
      </c>
      <c r="D7092" s="54" t="n">
        <f aca="false">(D7067*(1-Assumptions!$E$88)-D7087)*D7091</f>
        <v>-227366.736446447</v>
      </c>
      <c r="E7092" s="54" t="n">
        <f aca="false">(E7067*(1-Assumptions!$E$88)-E7087)*E7091</f>
        <v>-228520.856351852</v>
      </c>
      <c r="F7092" s="54" t="n">
        <f aca="false">(F7067*(1-Assumptions!$E$88)-F7087)*F7091</f>
        <v>-225827.59811381</v>
      </c>
      <c r="G7092" s="54" t="n">
        <f aca="false">(G7067*(1-Assumptions!$E$88)-G7087)*G7091</f>
        <v>-206089.902485472</v>
      </c>
      <c r="H7092" s="54" t="n">
        <f aca="false">(H7067*(1-Assumptions!$E$88)-H7087)*H7091</f>
        <v>-169190.276755079</v>
      </c>
      <c r="I7092" s="54" t="n">
        <f aca="false">(I7067*(1-Assumptions!$E$88)-I7087)*I7091</f>
        <v>-199774.792320471</v>
      </c>
      <c r="J7092" s="54" t="n">
        <f aca="false">(J7067*(1-Assumptions!$E$88)-J7087)*J7091</f>
        <v>-166716.684633683</v>
      </c>
      <c r="K7092" s="54" t="n">
        <f aca="false">(K7067*(1-Assumptions!$E$88)-K7087)*K7091</f>
        <v>-166516.935536641</v>
      </c>
      <c r="L7092" s="54" t="n">
        <f aca="false">(L7067*(1-Assumptions!$E$88)-L7087)*L7091</f>
        <v>-159899.838136011</v>
      </c>
      <c r="M7092" s="54" t="n">
        <f aca="false">(M7067*(1-Assumptions!$E$88)-M7087)*M7091</f>
        <v>-149988.095711439</v>
      </c>
      <c r="N7092" s="54" t="n">
        <f aca="false">(N7067*(1-Assumptions!$E$88)-N7087)*N7091</f>
        <v>-140052.565559442</v>
      </c>
      <c r="P7092" s="55" t="n">
        <f aca="false">SUM(C7092:F7092)</f>
        <v>-947346.821739366</v>
      </c>
      <c r="Q7092" s="55" t="n">
        <f aca="false">SUM(G7092:J7092)</f>
        <v>-741771.656194704</v>
      </c>
      <c r="R7092" s="55" t="n">
        <f aca="false">SUM(K7092:N7092)</f>
        <v>-616457.434943532</v>
      </c>
      <c r="S7092" s="56" t="n">
        <f aca="false">SUM(P7092:R7092)</f>
        <v>-2305575.9128776</v>
      </c>
    </row>
    <row r="7093" customFormat="false" ht="15" hidden="false" customHeight="false" outlineLevel="0" collapsed="false">
      <c r="A7093" s="4" t="s">
        <v>572</v>
      </c>
      <c r="B7093" s="36" t="s">
        <v>125</v>
      </c>
      <c r="C7093" s="54" t="n">
        <f aca="false">(C7087-C7086)*12/(Assumptions!$E$89*Assumptions!$E$76)*Assumptions!$E$90</f>
        <v>189183.585164835</v>
      </c>
      <c r="D7093" s="54" t="n">
        <f aca="false">(D7087-D7086)*12/(Assumptions!$E$89*Assumptions!$E$76)*Assumptions!$E$90</f>
        <v>166585.840280365</v>
      </c>
      <c r="E7093" s="54" t="n">
        <f aca="false">(E7087-E7086)*12/(Assumptions!$E$89*Assumptions!$E$76)*Assumptions!$E$90</f>
        <v>172806.592384358</v>
      </c>
      <c r="F7093" s="54" t="n">
        <f aca="false">(F7087-F7086)*12/(Assumptions!$E$89*Assumptions!$E$76)*Assumptions!$E$90</f>
        <v>176855.451137711</v>
      </c>
      <c r="G7093" s="54" t="n">
        <f aca="false">(G7087-G7086)*12/(Assumptions!$E$89*Assumptions!$E$76)*Assumptions!$E$90</f>
        <v>167620.706231592</v>
      </c>
      <c r="H7093" s="54" t="n">
        <f aca="false">(H7087-H7086)*12/(Assumptions!$E$89*Assumptions!$E$76)*Assumptions!$E$90</f>
        <v>143744.369552281</v>
      </c>
      <c r="I7093" s="54" t="n">
        <f aca="false">(I7087-I7086)*12/(Assumptions!$E$89*Assumptions!$E$76)*Assumptions!$E$90</f>
        <v>175628.259834086</v>
      </c>
      <c r="J7093" s="54" t="n">
        <f aca="false">(J7087-J7086)*12/(Assumptions!$E$89*Assumptions!$E$76)*Assumptions!$E$90</f>
        <v>154303.60331375</v>
      </c>
      <c r="K7093" s="54" t="n">
        <f aca="false">(K7087-K7086)*12/(Assumptions!$E$89*Assumptions!$E$76)*Assumptions!$E$90</f>
        <v>161729.282790833</v>
      </c>
      <c r="L7093" s="54" t="n">
        <f aca="false">(L7087-L7086)*12/(Assumptions!$E$89*Assumptions!$E$76)*Assumptions!$E$90</f>
        <v>164327.11836609</v>
      </c>
      <c r="M7093" s="54" t="n">
        <f aca="false">(M7087-M7086)*12/(Assumptions!$E$89*Assumptions!$E$76)*Assumptions!$E$90</f>
        <v>163932.833545514</v>
      </c>
      <c r="N7093" s="54" t="n">
        <f aca="false">(N7087-N7086)*12/(Assumptions!$E$89*Assumptions!$E$76)*Assumptions!$E$90</f>
        <v>163176.408132886</v>
      </c>
      <c r="P7093" s="55" t="n">
        <f aca="false">SUM(C7093:F7093)</f>
        <v>705431.468967269</v>
      </c>
      <c r="Q7093" s="55" t="n">
        <f aca="false">SUM(G7093:J7093)</f>
        <v>641296.93893171</v>
      </c>
      <c r="R7093" s="55" t="n">
        <f aca="false">SUM(K7093:N7093)</f>
        <v>653165.642835323</v>
      </c>
      <c r="S7093" s="56" t="n">
        <f aca="false">SUM(P7093:R7093)</f>
        <v>1999894.0507343</v>
      </c>
    </row>
    <row r="7094" customFormat="false" ht="15" hidden="false" customHeight="false" outlineLevel="0" collapsed="false">
      <c r="A7094" s="4" t="s">
        <v>573</v>
      </c>
      <c r="B7094" s="36" t="s">
        <v>125</v>
      </c>
      <c r="C7094" s="54" t="n">
        <f aca="false">0*Assumptions!$E$92^(1/4)+C7093</f>
        <v>189183.585164835</v>
      </c>
      <c r="D7094" s="54" t="n">
        <f aca="false">C7094*Assumptions!$E$92^(1/4)+D7093</f>
        <v>356240.62108738</v>
      </c>
      <c r="E7094" s="54" t="n">
        <f aca="false">D7094*Assumptions!$E$92^(1/4)+E7093</f>
        <v>529934.494617601</v>
      </c>
      <c r="F7094" s="54" t="n">
        <f aca="false">E7094*Assumptions!$E$92^(1/4)+F7093</f>
        <v>708109.842639001</v>
      </c>
      <c r="G7094" s="54" t="n">
        <f aca="false">F7094*Assumptions!$E$92^(1/4)+G7093</f>
        <v>877494.223407921</v>
      </c>
      <c r="H7094" s="54" t="n">
        <f aca="false">G7094*Assumptions!$E$92^(1/4)+H7093</f>
        <v>1023424.14967088</v>
      </c>
      <c r="I7094" s="54" t="n">
        <f aca="false">H7094*Assumptions!$E$92^(1/4)+I7093</f>
        <v>1201601.43086433</v>
      </c>
      <c r="J7094" s="54" t="n">
        <f aca="false">I7094*Assumptions!$E$92^(1/4)+J7093</f>
        <v>1358897.83800599</v>
      </c>
      <c r="K7094" s="54" t="n">
        <f aca="false">J7094*Assumptions!$E$92^(1/4)+K7093</f>
        <v>1524011.69953222</v>
      </c>
      <c r="L7094" s="54" t="n">
        <f aca="false">K7094*Assumptions!$E$92^(1/4)+L7093</f>
        <v>1692134.64231312</v>
      </c>
      <c r="M7094" s="54" t="n">
        <f aca="false">L7094*Assumptions!$E$92^(1/4)+M7093</f>
        <v>1860282.04060929</v>
      </c>
      <c r="N7094" s="54" t="n">
        <f aca="false">M7094*Assumptions!$E$92^(1/4)+N7093</f>
        <v>2028091.81473952</v>
      </c>
      <c r="P7094" s="55" t="n">
        <f aca="false">F7094</f>
        <v>708109.842639001</v>
      </c>
      <c r="Q7094" s="55" t="n">
        <f aca="false">J7094</f>
        <v>1358897.83800599</v>
      </c>
      <c r="R7094" s="55" t="n">
        <f aca="false">N7094</f>
        <v>2028091.81473952</v>
      </c>
      <c r="S7094" s="56" t="n">
        <f aca="false">R7094</f>
        <v>2028091.81473952</v>
      </c>
    </row>
    <row r="7095" customFormat="false" ht="15" hidden="false" customHeight="false" outlineLevel="0" collapsed="false">
      <c r="A7095" s="4" t="s">
        <v>574</v>
      </c>
      <c r="B7095" s="36" t="s">
        <v>125</v>
      </c>
      <c r="C7095" s="54" t="n">
        <f aca="false">(0+C7094)/8*Assumptions!$E$76-(C7087-C7086)-C7094*Assumptions!$E$93/4</f>
        <v>-260258.807091346</v>
      </c>
      <c r="D7095" s="54" t="n">
        <f aca="false">(C7094+D7094)/8*Assumptions!$E$76-(D7087-D7086)-D7094*Assumptions!$E$93/4</f>
        <v>-200761.282521683</v>
      </c>
      <c r="E7095" s="54" t="n">
        <f aca="false">(D7094+E7094)/8*Assumptions!$E$76-(E7087-E7086)-E7094*Assumptions!$E$93/4</f>
        <v>-184231.975364651</v>
      </c>
      <c r="F7095" s="54" t="n">
        <f aca="false">(E7094+F7094)/8*Assumptions!$E$76-(F7087-F7086)-F7094*Assumptions!$E$93/4</f>
        <v>-163718.144496471</v>
      </c>
      <c r="G7095" s="54" t="n">
        <f aca="false">(F7094+G7094)/8*Assumptions!$E$76-(G7087-G7086)-G7094*Assumptions!$E$93/4</f>
        <v>-124257.145316364</v>
      </c>
      <c r="H7095" s="54" t="n">
        <f aca="false">(G7094+H7094)/8*Assumptions!$E$76-(H7087-H7086)-H7094*Assumptions!$E$93/4</f>
        <v>-65973.9400781955</v>
      </c>
      <c r="I7095" s="54" t="n">
        <f aca="false">(H7094+I7094)/8*Assumptions!$E$76-(I7087-I7086)-I7094*Assumptions!$E$93/4</f>
        <v>-87921.9536721087</v>
      </c>
      <c r="J7095" s="54" t="n">
        <f aca="false">(I7094+J7094)/8*Assumptions!$E$76-(J7087-J7086)-J7094*Assumptions!$E$93/4</f>
        <v>-31828.6399436674</v>
      </c>
      <c r="K7095" s="54" t="n">
        <f aca="false">(J7094+K7094)/8*Assumptions!$E$76-(K7087-K7086)-K7094*Assumptions!$E$93/4</f>
        <v>-18422.7103503756</v>
      </c>
      <c r="L7095" s="54" t="n">
        <f aca="false">(K7094+L7094)/8*Assumptions!$E$76-(L7087-L7086)-L7094*Assumptions!$E$93/4</f>
        <v>2798.81405055667</v>
      </c>
      <c r="M7095" s="54" t="n">
        <f aca="false">(L7094+M7094)/8*Assumptions!$E$76-(M7087-M7086)-M7094*Assumptions!$E$93/4</f>
        <v>28588.4593029757</v>
      </c>
      <c r="N7095" s="54" t="n">
        <f aca="false">(M7094+N7094)/8*Assumptions!$E$76-(N7087-N7086)-N7094*Assumptions!$E$93/4</f>
        <v>54879.9718708999</v>
      </c>
      <c r="P7095" s="55" t="n">
        <f aca="false">SUM(C7095:F7095)</f>
        <v>-808970.209474152</v>
      </c>
      <c r="Q7095" s="55" t="n">
        <f aca="false">SUM(G7095:J7095)</f>
        <v>-309981.679010336</v>
      </c>
      <c r="R7095" s="55" t="n">
        <f aca="false">SUM(K7095:N7095)</f>
        <v>67844.5348740568</v>
      </c>
      <c r="S7095" s="56" t="n">
        <f aca="false">SUM(P7095:R7095)</f>
        <v>-1051107.35361043</v>
      </c>
    </row>
    <row r="7096" customFormat="false" ht="15" hidden="false" customHeight="false" outlineLevel="0" collapsed="false">
      <c r="A7096" s="4" t="s">
        <v>575</v>
      </c>
      <c r="B7096" s="36" t="s">
        <v>125</v>
      </c>
      <c r="C7096" s="54" t="n">
        <f aca="false">C7095*C7091</f>
        <v>-252988.586859998</v>
      </c>
      <c r="D7096" s="54" t="n">
        <f aca="false">D7095*D7091</f>
        <v>-189701.580872411</v>
      </c>
      <c r="E7096" s="54" t="n">
        <f aca="false">E7095*E7091</f>
        <v>-169219.922454942</v>
      </c>
      <c r="F7096" s="54" t="n">
        <f aca="false">F7095*F7091</f>
        <v>-146176.914728992</v>
      </c>
      <c r="G7096" s="54" t="n">
        <f aca="false">G7095*G7091</f>
        <v>-107844.709163082</v>
      </c>
      <c r="H7096" s="54" t="n">
        <f aca="false">H7095*H7091</f>
        <v>-55660.2801205301</v>
      </c>
      <c r="I7096" s="54" t="n">
        <f aca="false">I7095*I7091</f>
        <v>-72105.0678917593</v>
      </c>
      <c r="J7096" s="54" t="n">
        <f aca="false">J7095*J7091</f>
        <v>-25373.5968938675</v>
      </c>
      <c r="K7096" s="54" t="n">
        <f aca="false">K7095*K7091</f>
        <v>-14276.2114883492</v>
      </c>
      <c r="L7096" s="54" t="n">
        <f aca="false">L7095*L7091</f>
        <v>2108.28339777876</v>
      </c>
      <c r="M7096" s="54" t="n">
        <f aca="false">M7095*M7091</f>
        <v>20933.4682724229</v>
      </c>
      <c r="N7096" s="54" t="n">
        <f aca="false">N7095*N7091</f>
        <v>39062.4799782622</v>
      </c>
      <c r="P7096" s="55" t="n">
        <f aca="false">SUM(C7096:F7096)</f>
        <v>-758087.004916344</v>
      </c>
      <c r="Q7096" s="55" t="n">
        <f aca="false">SUM(G7096:J7096)</f>
        <v>-260983.654069239</v>
      </c>
      <c r="R7096" s="55" t="n">
        <f aca="false">SUM(K7096:N7096)</f>
        <v>47828.0201601146</v>
      </c>
      <c r="S7096" s="56" t="n">
        <f aca="false">SUM(P7096:R7096)</f>
        <v>-971242.638825468</v>
      </c>
    </row>
    <row r="7097" customFormat="false" ht="15" hidden="false" customHeight="false" outlineLevel="0" collapsed="false">
      <c r="A7097" s="4" t="s">
        <v>576</v>
      </c>
      <c r="B7097" s="36"/>
      <c r="C7097" s="37" t="n">
        <f aca="false">IFERROR((S7052*$C$7001*Assumptions!$E$59+S7053*$C$7002*Assumptions!$E$60+S7054*$C$7003*Assumptions!$E$61)/(S7052*$C$7001+S7053*$C$7002+S7054*$C$7003),0.9)</f>
        <v>0.897372181179546</v>
      </c>
    </row>
    <row r="7098" customFormat="false" ht="15" hidden="false" customHeight="false" outlineLevel="0" collapsed="false">
      <c r="A7098" s="4" t="s">
        <v>577</v>
      </c>
      <c r="B7098" s="36"/>
      <c r="C7098" s="37" t="n">
        <f aca="false">IFERROR(N7086*4/N7064,0)</f>
        <v>0.175911884278844</v>
      </c>
    </row>
    <row r="7099" customFormat="false" ht="15" hidden="false" customHeight="false" outlineLevel="0" collapsed="false">
      <c r="A7099" s="4" t="s">
        <v>578</v>
      </c>
      <c r="B7099" s="36"/>
      <c r="C7099" s="60" t="n">
        <f aca="false">$C$7097/(1+Assumptions!$E$87)</f>
        <v>0.801225161767451</v>
      </c>
    </row>
    <row r="7100" customFormat="false" ht="15" hidden="false" customHeight="false" outlineLevel="0" collapsed="false">
      <c r="A7100" s="4" t="s">
        <v>579</v>
      </c>
      <c r="B7100" s="36"/>
      <c r="C7100" s="60" t="n">
        <f aca="false">Assumptions!$E$91/(1+Assumptions!$E$87)</f>
        <v>0.803571428571429</v>
      </c>
    </row>
    <row r="7101" customFormat="false" ht="15" hidden="false" customHeight="false" outlineLevel="0" collapsed="false">
      <c r="A7101" s="35" t="s">
        <v>580</v>
      </c>
      <c r="B7101" s="35" t="s">
        <v>444</v>
      </c>
      <c r="C7101" s="6" t="s">
        <v>354</v>
      </c>
      <c r="D7101" s="6" t="s">
        <v>355</v>
      </c>
      <c r="E7101" s="6" t="s">
        <v>356</v>
      </c>
      <c r="F7101" s="6" t="s">
        <v>357</v>
      </c>
      <c r="G7101" s="6" t="s">
        <v>358</v>
      </c>
      <c r="H7101" s="6" t="s">
        <v>359</v>
      </c>
      <c r="I7101" s="6" t="s">
        <v>360</v>
      </c>
      <c r="J7101" s="6" t="s">
        <v>361</v>
      </c>
      <c r="K7101" s="6" t="s">
        <v>362</v>
      </c>
      <c r="L7101" s="6" t="s">
        <v>363</v>
      </c>
      <c r="M7101" s="6" t="s">
        <v>364</v>
      </c>
      <c r="N7101" s="6" t="s">
        <v>365</v>
      </c>
      <c r="P7101" s="6" t="s">
        <v>445</v>
      </c>
      <c r="Q7101" s="6" t="s">
        <v>446</v>
      </c>
      <c r="R7101" s="6" t="s">
        <v>447</v>
      </c>
      <c r="S7101" s="6" t="s">
        <v>448</v>
      </c>
    </row>
    <row r="7102" customFormat="false" ht="15" hidden="false" customHeight="false" outlineLevel="0" collapsed="false">
      <c r="A7102" s="9" t="s">
        <v>581</v>
      </c>
      <c r="C7102" s="61" t="n">
        <f aca="false">N7064</f>
        <v>509612.726732255</v>
      </c>
      <c r="D7102" s="61"/>
    </row>
    <row r="7103" customFormat="false" ht="15" hidden="false" customHeight="false" outlineLevel="0" collapsed="false">
      <c r="A7103" s="9" t="s">
        <v>582</v>
      </c>
      <c r="C7103" s="62" t="n">
        <f aca="false">N7060</f>
        <v>49.5280990541991</v>
      </c>
      <c r="D7103" s="62"/>
    </row>
    <row r="7104" customFormat="false" ht="15" hidden="false" customHeight="false" outlineLevel="0" collapsed="false">
      <c r="A7104" s="9" t="s">
        <v>583</v>
      </c>
      <c r="C7104" s="63" t="n">
        <f aca="false">S7055</f>
        <v>54.7491194625937</v>
      </c>
      <c r="D7104" s="63"/>
    </row>
    <row r="7105" customFormat="false" ht="15" hidden="false" customHeight="false" outlineLevel="0" collapsed="false">
      <c r="A7105" s="9" t="s">
        <v>584</v>
      </c>
      <c r="C7105" s="61" t="n">
        <f aca="false">S7066</f>
        <v>494823.782961303</v>
      </c>
      <c r="D7105" s="61"/>
    </row>
    <row r="7106" customFormat="false" ht="15" hidden="false" customHeight="false" outlineLevel="0" collapsed="false">
      <c r="A7106" s="9" t="s">
        <v>22</v>
      </c>
      <c r="C7106" s="61" t="n">
        <f aca="false">IFERROR(S7065/S7055,0)</f>
        <v>8847.97350983958</v>
      </c>
      <c r="D7106" s="61"/>
    </row>
    <row r="7107" customFormat="false" ht="15" hidden="false" customHeight="false" outlineLevel="0" collapsed="false">
      <c r="A7107" s="9" t="s">
        <v>585</v>
      </c>
      <c r="C7107" s="61" t="n">
        <f aca="false">IFERROR(S7083/S7055,0)</f>
        <v>39935.8045980775</v>
      </c>
      <c r="D7107" s="61"/>
    </row>
    <row r="7108" customFormat="false" ht="23.85" hidden="false" customHeight="false" outlineLevel="0" collapsed="false">
      <c r="A7108" s="9" t="s">
        <v>586</v>
      </c>
      <c r="C7108" s="61" t="n">
        <f aca="false">IFERROR((S7077+S7079+S7080+S7081+S7082)/S7055,0)</f>
        <v>16378.0219377725</v>
      </c>
      <c r="D7108" s="61"/>
    </row>
    <row r="7109" customFormat="false" ht="15" hidden="false" customHeight="false" outlineLevel="0" collapsed="false">
      <c r="A7109" s="9" t="s">
        <v>587</v>
      </c>
      <c r="C7109" s="64" t="n">
        <f aca="false">IFERROR('Engine Runs'!$C$7107/('Engine Runs'!$C$7106*Assumptions!$E$76/12),0)</f>
        <v>83.3271473699586</v>
      </c>
      <c r="D7109" s="64"/>
    </row>
    <row r="7110" customFormat="false" ht="15" hidden="false" customHeight="false" outlineLevel="0" collapsed="false">
      <c r="A7110" s="9" t="s">
        <v>588</v>
      </c>
      <c r="C7110" s="64" t="n">
        <f aca="false">IFERROR((R7083/R7055)/((R7065/R7055)*Assumptions!$E$76/12),0)</f>
        <v>54.6518235398553</v>
      </c>
      <c r="D7110" s="64"/>
    </row>
    <row r="7111" customFormat="false" ht="15" hidden="false" customHeight="false" outlineLevel="0" collapsed="false">
      <c r="A7111" s="9" t="s">
        <v>589</v>
      </c>
      <c r="C7111" s="61" t="n">
        <f aca="false">S7087</f>
        <v>2992391.02648112</v>
      </c>
      <c r="D7111" s="61"/>
    </row>
    <row r="7112" customFormat="false" ht="15" hidden="false" customHeight="false" outlineLevel="0" collapsed="false">
      <c r="A7112" s="9" t="s">
        <v>590</v>
      </c>
      <c r="C7112" s="61" t="n">
        <f aca="false">N7090</f>
        <v>-2670755.56755627</v>
      </c>
      <c r="D7112" s="61"/>
    </row>
    <row r="7113" customFormat="false" ht="15" hidden="false" customHeight="false" outlineLevel="0" collapsed="false">
      <c r="A7113" s="9" t="s">
        <v>591</v>
      </c>
      <c r="C7113" s="61" t="n">
        <f aca="false">MIN($C$7090:$N$7090)</f>
        <v>-2670755.56755627</v>
      </c>
      <c r="D7113" s="61"/>
    </row>
    <row r="7114" customFormat="false" ht="15" hidden="false" customHeight="false" outlineLevel="0" collapsed="false">
      <c r="A7114" s="9" t="s">
        <v>592</v>
      </c>
      <c r="C7114" s="61" t="n">
        <f aca="false">N7064*(Assumptions!$E$76-$C$7098)*$C$7097*(1-$C$7097^Assumptions!$E$85)/(1-$C$7097)</f>
        <v>883215.352678571</v>
      </c>
      <c r="D7114" s="61"/>
    </row>
    <row r="7115" customFormat="false" ht="15" hidden="false" customHeight="false" outlineLevel="0" collapsed="false">
      <c r="A7115" s="9" t="s">
        <v>593</v>
      </c>
      <c r="C7115" s="61" t="n">
        <f aca="false">N7064*(Assumptions!$E$76-$C$7098)*(1-Assumptions!$E$88)/(1+Assumptions!$E$87)^2.5*$C$7099*(1-$C$7099^Assumptions!$E$85)/(1-$C$7099)</f>
        <v>393083.337460226</v>
      </c>
      <c r="D7115" s="61"/>
    </row>
    <row r="7116" customFormat="false" ht="15" hidden="false" customHeight="false" outlineLevel="0" collapsed="false">
      <c r="A7116" s="9" t="s">
        <v>594</v>
      </c>
      <c r="C7116" s="61" t="n">
        <f aca="false">SUM($C$7092:$N$7092)+'Engine Runs'!$C$7115</f>
        <v>-1912492.57541738</v>
      </c>
      <c r="D7116" s="61"/>
    </row>
    <row r="7117" customFormat="false" ht="15" hidden="false" customHeight="false" outlineLevel="0" collapsed="false">
      <c r="A7117" s="9" t="s">
        <v>595</v>
      </c>
      <c r="C7117" s="61" t="n">
        <f aca="false">SUM($C$7096:$N$7096)+N7094*(Assumptions!$E$76-Assumptions!$E$93)/(1+Assumptions!$E$87)^2.5*$C$7100*(1-$C$7100^Assumptions!$E$85)/(1-$C$7100)</f>
        <v>1522181.55648514</v>
      </c>
      <c r="D7117" s="61"/>
    </row>
    <row r="7118" customFormat="false" ht="15" hidden="false" customHeight="false" outlineLevel="0" collapsed="false">
      <c r="A7118" s="9" t="s">
        <v>596</v>
      </c>
      <c r="C7118" s="61" t="n">
        <f aca="false">'Engine Runs'!$C$7116-'Engine Runs'!$C$7117</f>
        <v>-3434674.13190252</v>
      </c>
      <c r="D7118" s="61"/>
    </row>
    <row r="7119" customFormat="false" ht="15" hidden="false" customHeight="false" outlineLevel="0" collapsed="false">
      <c r="A7119" s="9" t="s">
        <v>597</v>
      </c>
      <c r="C7119" s="61" t="n">
        <f aca="false">S7051</f>
        <v>0</v>
      </c>
      <c r="D7119" s="61"/>
    </row>
    <row r="7120" customFormat="false" ht="15" hidden="false" customHeight="false" outlineLevel="0" collapsed="false">
      <c r="A7120" s="9" t="s">
        <v>598</v>
      </c>
      <c r="C7120" s="63" t="n">
        <f aca="false">P7035</f>
        <v>43.6188722246667</v>
      </c>
      <c r="D7120" s="63"/>
    </row>
    <row r="7121" customFormat="false" ht="15" hidden="false" customHeight="false" outlineLevel="0" collapsed="false">
      <c r="A7121" s="9" t="s">
        <v>599</v>
      </c>
      <c r="C7121" s="63" t="n">
        <f aca="false">P7055</f>
        <v>6.18260904948639</v>
      </c>
      <c r="D7121" s="63"/>
    </row>
    <row r="7122" customFormat="false" ht="15" hidden="false" customHeight="false" outlineLevel="0" collapsed="false">
      <c r="A7122" s="9" t="s">
        <v>600</v>
      </c>
      <c r="C7122" s="63" t="n">
        <f aca="false">P7031</f>
        <v>42</v>
      </c>
      <c r="D7122" s="63"/>
    </row>
    <row r="7123" customFormat="false" ht="15" hidden="false" customHeight="false" outlineLevel="0" collapsed="false">
      <c r="A7123" s="9" t="s">
        <v>601</v>
      </c>
      <c r="C7123" s="61" t="n">
        <f aca="false">IFERROR(P7065/P7055,0)</f>
        <v>8545.01753177967</v>
      </c>
      <c r="D7123" s="61"/>
    </row>
    <row r="7126" customFormat="false" ht="15" hidden="false" customHeight="true" outlineLevel="0" collapsed="false">
      <c r="A7126" s="78" t="s">
        <v>894</v>
      </c>
      <c r="B7126" s="78"/>
      <c r="C7126" s="78"/>
      <c r="D7126" s="78"/>
      <c r="E7126" s="78"/>
      <c r="F7126" s="78"/>
      <c r="G7126" s="78"/>
      <c r="H7126" s="78"/>
      <c r="I7126" s="78"/>
      <c r="J7126" s="78"/>
      <c r="K7126" s="78"/>
      <c r="L7126" s="78"/>
      <c r="M7126" s="78"/>
      <c r="N7126" s="78"/>
    </row>
    <row r="7127" customFormat="false" ht="15" hidden="false" customHeight="true" outlineLevel="0" collapsed="false">
      <c r="A7127" s="79" t="s">
        <v>895</v>
      </c>
      <c r="B7127" s="79"/>
      <c r="C7127" s="79"/>
      <c r="D7127" s="79"/>
      <c r="E7127" s="79"/>
      <c r="F7127" s="79"/>
      <c r="G7127" s="79"/>
      <c r="H7127" s="79"/>
      <c r="I7127" s="79"/>
      <c r="J7127" s="79"/>
      <c r="K7127" s="79"/>
      <c r="L7127" s="79"/>
      <c r="M7127" s="79"/>
      <c r="N7127" s="79"/>
    </row>
    <row r="7128" customFormat="false" ht="23.85" hidden="false" customHeight="false" outlineLevel="0" collapsed="false">
      <c r="A7128" s="35" t="s">
        <v>896</v>
      </c>
      <c r="B7128" s="35" t="s">
        <v>444</v>
      </c>
      <c r="C7128" s="6" t="s">
        <v>354</v>
      </c>
      <c r="D7128" s="6" t="s">
        <v>355</v>
      </c>
      <c r="E7128" s="6" t="s">
        <v>356</v>
      </c>
      <c r="F7128" s="6" t="s">
        <v>357</v>
      </c>
      <c r="G7128" s="6" t="s">
        <v>358</v>
      </c>
      <c r="H7128" s="6" t="s">
        <v>359</v>
      </c>
      <c r="I7128" s="6" t="s">
        <v>360</v>
      </c>
      <c r="J7128" s="6" t="s">
        <v>361</v>
      </c>
      <c r="K7128" s="6" t="s">
        <v>362</v>
      </c>
      <c r="L7128" s="6" t="s">
        <v>363</v>
      </c>
      <c r="M7128" s="6" t="s">
        <v>364</v>
      </c>
      <c r="N7128" s="6" t="s">
        <v>365</v>
      </c>
      <c r="P7128" s="6" t="s">
        <v>445</v>
      </c>
      <c r="Q7128" s="6" t="s">
        <v>446</v>
      </c>
      <c r="R7128" s="6" t="s">
        <v>447</v>
      </c>
      <c r="S7128" s="6" t="s">
        <v>448</v>
      </c>
    </row>
    <row r="7129" customFormat="false" ht="15" hidden="false" customHeight="false" outlineLevel="0" collapsed="false">
      <c r="A7129" s="4" t="s">
        <v>449</v>
      </c>
      <c r="B7129" s="36" t="s">
        <v>450</v>
      </c>
      <c r="C7129" s="34" t="n">
        <f aca="false">'Market Sizing'!$C$17*Assumptions!$E$10*Assumptions!$E$11*(1-Assumptions!$E$12)</f>
        <v>843.03944704</v>
      </c>
    </row>
    <row r="7130" customFormat="false" ht="15" hidden="false" customHeight="false" outlineLevel="0" collapsed="false">
      <c r="A7130" s="4" t="s">
        <v>451</v>
      </c>
      <c r="B7130" s="36" t="s">
        <v>450</v>
      </c>
      <c r="C7130" s="34" t="n">
        <f aca="false">'Market Sizing'!$D$17*Assumptions!$E$10*Assumptions!$E$11*(1-Assumptions!$E$12)</f>
        <v>211.19616</v>
      </c>
    </row>
    <row r="7131" customFormat="false" ht="15" hidden="false" customHeight="false" outlineLevel="0" collapsed="false">
      <c r="A7131" s="4" t="s">
        <v>452</v>
      </c>
      <c r="B7131" s="36" t="s">
        <v>450</v>
      </c>
      <c r="C7131" s="34" t="n">
        <f aca="false">'Market Sizing'!$E$17*Assumptions!$E$10*Assumptions!$E$11*(1-Assumptions!$E$12)</f>
        <v>49.53984</v>
      </c>
    </row>
    <row r="7132" customFormat="false" ht="15" hidden="false" customHeight="false" outlineLevel="0" collapsed="false">
      <c r="A7132" s="4" t="s">
        <v>453</v>
      </c>
      <c r="B7132" s="36"/>
      <c r="C7132" s="34" t="n">
        <f aca="false">$C$7129+$C$7130+$C$7131</f>
        <v>1103.77544704</v>
      </c>
    </row>
    <row r="7133" customFormat="false" ht="15" hidden="false" customHeight="false" outlineLevel="0" collapsed="false">
      <c r="A7133" s="4" t="s">
        <v>454</v>
      </c>
      <c r="B7133" s="36" t="s">
        <v>450</v>
      </c>
      <c r="C7133" s="34" t="n">
        <f aca="false">'Market Sizing'!$C$18*Assumptions!$E$10*Assumptions!$E$11*(1-Assumptions!$E$12)</f>
        <v>612.57706944</v>
      </c>
    </row>
    <row r="7134" customFormat="false" ht="15" hidden="false" customHeight="false" outlineLevel="0" collapsed="false">
      <c r="A7134" s="4" t="s">
        <v>455</v>
      </c>
      <c r="B7134" s="36" t="s">
        <v>450</v>
      </c>
      <c r="C7134" s="34" t="n">
        <f aca="false">'Market Sizing'!$D$18*Assumptions!$E$10*Assumptions!$E$11*(1-Assumptions!$E$12)</f>
        <v>142.10112</v>
      </c>
    </row>
    <row r="7135" customFormat="false" ht="15" hidden="false" customHeight="false" outlineLevel="0" collapsed="false">
      <c r="A7135" s="4" t="s">
        <v>456</v>
      </c>
      <c r="B7135" s="36" t="s">
        <v>450</v>
      </c>
      <c r="C7135" s="34" t="n">
        <f aca="false">'Market Sizing'!$E$18*Assumptions!$E$10*Assumptions!$E$11*(1-Assumptions!$E$12)</f>
        <v>24.76992</v>
      </c>
    </row>
    <row r="7136" customFormat="false" ht="15" hidden="false" customHeight="false" outlineLevel="0" collapsed="false">
      <c r="A7136" s="4" t="s">
        <v>457</v>
      </c>
      <c r="B7136" s="36"/>
      <c r="C7136" s="34" t="n">
        <f aca="false">$C$7133+$C$7134+$C$7135</f>
        <v>779.44810944</v>
      </c>
    </row>
    <row r="7137" customFormat="false" ht="15" hidden="false" customHeight="false" outlineLevel="0" collapsed="false">
      <c r="A7137" s="4" t="s">
        <v>458</v>
      </c>
      <c r="B7137" s="36" t="s">
        <v>450</v>
      </c>
      <c r="C7137" s="34" t="n">
        <f aca="false">'Market Sizing'!$C$19*Assumptions!$E$10*Assumptions!$E$11*(1-Assumptions!$E$12)</f>
        <v>2060.77303936</v>
      </c>
    </row>
    <row r="7138" customFormat="false" ht="15" hidden="false" customHeight="false" outlineLevel="0" collapsed="false">
      <c r="A7138" s="4" t="s">
        <v>459</v>
      </c>
      <c r="B7138" s="36" t="s">
        <v>450</v>
      </c>
      <c r="C7138" s="34" t="n">
        <f aca="false">'Market Sizing'!$D$19*Assumptions!$E$10*Assumptions!$E$11*(1-Assumptions!$E$12)</f>
        <v>428.47616</v>
      </c>
    </row>
    <row r="7139" customFormat="false" ht="15" hidden="false" customHeight="false" outlineLevel="0" collapsed="false">
      <c r="A7139" s="4" t="s">
        <v>460</v>
      </c>
      <c r="B7139" s="36" t="s">
        <v>450</v>
      </c>
      <c r="C7139" s="34" t="n">
        <f aca="false">'Market Sizing'!$E$19*Assumptions!$E$10*Assumptions!$E$11*(1-Assumptions!$E$12)</f>
        <v>79.52448</v>
      </c>
    </row>
    <row r="7140" customFormat="false" ht="15" hidden="false" customHeight="false" outlineLevel="0" collapsed="false">
      <c r="A7140" s="4" t="s">
        <v>461</v>
      </c>
      <c r="B7140" s="36"/>
      <c r="C7140" s="34" t="n">
        <f aca="false">$C$7137+$C$7138+$C$7139</f>
        <v>2568.77367936</v>
      </c>
    </row>
    <row r="7141" customFormat="false" ht="15" hidden="false" customHeight="false" outlineLevel="0" collapsed="false">
      <c r="A7141" s="4" t="s">
        <v>462</v>
      </c>
      <c r="B7141" s="36" t="s">
        <v>463</v>
      </c>
      <c r="C7141" s="33" t="n">
        <f aca="false">MAX((Assumptions!$E$51+Assumptions!$E$53)*12,(((('Market Sizing'!$E$25*Assumptions!$E$41*Assumptions!$E$42*Assumptions!$E$43)*Assumptions!$E$44)*Assumptions!$E$45*Assumptions!$E$46+('Market Sizing'!$E$25*Assumptions!$E$41*Assumptions!$E$42*Assumptions!$E$43)*Assumptions!$E$47+('Market Sizing'!$E$25*Assumptions!$E$41*Assumptions!$E$42*Assumptions!$E$43)*Assumptions!$E$48*Assumptions!$E$49)*(Assumptions!$E$51*12/Assumptions!$E$52)+((('Market Sizing'!$E$25*Assumptions!$E$41*Assumptions!$E$42*Assumptions!$E$43)*Assumptions!$E$44)*Assumptions!$E$45+('Market Sizing'!$E$25*Assumptions!$E$41*Assumptions!$E$42*Assumptions!$E$43)+('Market Sizing'!$E$25*Assumptions!$E$41*Assumptions!$E$42*Assumptions!$E$43)*Assumptions!$E$48)*Assumptions!$E$50*(Assumptions!$E$53*12/Assumptions!$E$54)))</f>
        <v>5352</v>
      </c>
    </row>
    <row r="7142" customFormat="false" ht="15" hidden="false" customHeight="false" outlineLevel="0" collapsed="false">
      <c r="A7142" s="4" t="s">
        <v>464</v>
      </c>
      <c r="B7142" s="36" t="s">
        <v>463</v>
      </c>
      <c r="C7142" s="33" t="n">
        <f aca="false">MAX((Assumptions!$E$51+Assumptions!$E$53)*12,(((('Market Sizing'!$E$26*Assumptions!$E$41*Assumptions!$E$42*Assumptions!$E$43)*Assumptions!$E$44)*Assumptions!$E$45*Assumptions!$E$46+('Market Sizing'!$E$26*Assumptions!$E$41*Assumptions!$E$42*Assumptions!$E$43)*Assumptions!$E$47+('Market Sizing'!$E$26*Assumptions!$E$41*Assumptions!$E$42*Assumptions!$E$43)*Assumptions!$E$48*Assumptions!$E$49)*(Assumptions!$E$51*12/Assumptions!$E$52)+((('Market Sizing'!$E$26*Assumptions!$E$41*Assumptions!$E$42*Assumptions!$E$43)*Assumptions!$E$44)*Assumptions!$E$45+('Market Sizing'!$E$26*Assumptions!$E$41*Assumptions!$E$42*Assumptions!$E$43)+('Market Sizing'!$E$26*Assumptions!$E$41*Assumptions!$E$42*Assumptions!$E$43)*Assumptions!$E$48)*Assumptions!$E$50*(Assumptions!$E$53*12/Assumptions!$E$54)))</f>
        <v>9766.72012875208</v>
      </c>
    </row>
    <row r="7143" customFormat="false" ht="15" hidden="false" customHeight="false" outlineLevel="0" collapsed="false">
      <c r="A7143" s="4" t="s">
        <v>465</v>
      </c>
      <c r="B7143" s="36" t="s">
        <v>463</v>
      </c>
      <c r="C7143" s="33" t="n">
        <f aca="false">MAX(Assumptions!$E$55*(Assumptions!$E$51*12/Assumptions!$E$52)+Assumptions!$E$56*(Assumptions!$E$53*12/Assumptions!$E$54),(((('Market Sizing'!$E$27*Assumptions!$E$41*Assumptions!$E$42*Assumptions!$E$43)*Assumptions!$E$44)*Assumptions!$E$45*Assumptions!$E$46+('Market Sizing'!$E$27*Assumptions!$E$41*Assumptions!$E$42*Assumptions!$E$43)*Assumptions!$E$47+('Market Sizing'!$E$27*Assumptions!$E$41*Assumptions!$E$42*Assumptions!$E$43)*Assumptions!$E$48*Assumptions!$E$49)*(Assumptions!$E$51*12/Assumptions!$E$52)+((('Market Sizing'!$E$27*Assumptions!$E$41*Assumptions!$E$42*Assumptions!$E$43)*Assumptions!$E$44)*Assumptions!$E$45+('Market Sizing'!$E$27*Assumptions!$E$41*Assumptions!$E$42*Assumptions!$E$43)+('Market Sizing'!$E$27*Assumptions!$E$41*Assumptions!$E$42*Assumptions!$E$43)*Assumptions!$E$48)*Assumptions!$E$50*(Assumptions!$E$53*12/Assumptions!$E$54)))*(1-Assumptions!$E$57)</f>
        <v>61778.2562194386</v>
      </c>
    </row>
    <row r="7144" customFormat="false" ht="23.85" hidden="false" customHeight="false" outlineLevel="0" collapsed="false">
      <c r="A7144" s="4" t="s">
        <v>466</v>
      </c>
      <c r="B7144" s="36" t="s">
        <v>467</v>
      </c>
      <c r="C7144" s="37" t="n">
        <f aca="false">Assumptions!$E$17*Assumptions!$D$106</f>
        <v>0.4</v>
      </c>
    </row>
    <row r="7145" customFormat="false" ht="23.85" hidden="false" customHeight="false" outlineLevel="0" collapsed="false">
      <c r="A7145" s="4" t="s">
        <v>468</v>
      </c>
      <c r="B7145" s="36" t="s">
        <v>469</v>
      </c>
      <c r="C7145" s="33" t="n">
        <f aca="false">Assumptions!$E$68/Assumptions!$E$69</f>
        <v>285714.285714286</v>
      </c>
    </row>
    <row r="7146" customFormat="false" ht="23.85" hidden="false" customHeight="false" outlineLevel="0" collapsed="false">
      <c r="A7146" s="4" t="s">
        <v>470</v>
      </c>
      <c r="B7146" s="36" t="s">
        <v>471</v>
      </c>
      <c r="C7146" s="33" t="n">
        <f aca="false">Assumptions!$E$66*Assumptions!$E$67/4</f>
        <v>153125</v>
      </c>
    </row>
    <row r="7147" customFormat="false" ht="15" hidden="false" customHeight="false" outlineLevel="0" collapsed="false">
      <c r="A7147" s="4" t="s">
        <v>472</v>
      </c>
      <c r="B7147" s="36"/>
      <c r="C7147" s="38" t="n">
        <f aca="false">$C$7145/Assumptions!$E$66/Assumptions!$E$67</f>
        <v>0.466472303206997</v>
      </c>
    </row>
    <row r="7148" customFormat="false" ht="15" hidden="false" customHeight="false" outlineLevel="0" collapsed="false">
      <c r="A7148" s="4" t="s">
        <v>473</v>
      </c>
      <c r="B7148" s="36"/>
      <c r="C7148" s="33" t="n">
        <f aca="false">MAX(0,Assumptions!$D$103-Assumptions!$E$78)</f>
        <v>0</v>
      </c>
    </row>
    <row r="7149" customFormat="false" ht="15" hidden="false" customHeight="false" outlineLevel="0" collapsed="false">
      <c r="A7149" s="35" t="s">
        <v>474</v>
      </c>
      <c r="B7149" s="35" t="s">
        <v>444</v>
      </c>
      <c r="C7149" s="6" t="s">
        <v>354</v>
      </c>
      <c r="D7149" s="6" t="s">
        <v>355</v>
      </c>
      <c r="E7149" s="6" t="s">
        <v>356</v>
      </c>
      <c r="F7149" s="6" t="s">
        <v>357</v>
      </c>
      <c r="G7149" s="6" t="s">
        <v>358</v>
      </c>
      <c r="H7149" s="6" t="s">
        <v>359</v>
      </c>
      <c r="I7149" s="6" t="s">
        <v>360</v>
      </c>
      <c r="J7149" s="6" t="s">
        <v>361</v>
      </c>
      <c r="K7149" s="6" t="s">
        <v>362</v>
      </c>
      <c r="L7149" s="6" t="s">
        <v>363</v>
      </c>
      <c r="M7149" s="6" t="s">
        <v>364</v>
      </c>
      <c r="N7149" s="6" t="s">
        <v>365</v>
      </c>
      <c r="P7149" s="6" t="s">
        <v>445</v>
      </c>
      <c r="Q7149" s="6" t="s">
        <v>446</v>
      </c>
      <c r="R7149" s="6" t="s">
        <v>447</v>
      </c>
      <c r="S7149" s="6" t="s">
        <v>448</v>
      </c>
    </row>
    <row r="7150" customFormat="false" ht="15" hidden="false" customHeight="false" outlineLevel="0" collapsed="false">
      <c r="A7150" s="4" t="s">
        <v>475</v>
      </c>
      <c r="B7150" s="36" t="s">
        <v>133</v>
      </c>
      <c r="C7150" s="39" t="n">
        <v>1</v>
      </c>
      <c r="D7150" s="39" t="n">
        <v>2</v>
      </c>
      <c r="E7150" s="39" t="n">
        <v>3</v>
      </c>
      <c r="F7150" s="39" t="n">
        <v>4</v>
      </c>
      <c r="G7150" s="39" t="n">
        <v>5</v>
      </c>
      <c r="H7150" s="39" t="n">
        <v>6</v>
      </c>
      <c r="I7150" s="39" t="n">
        <v>7</v>
      </c>
      <c r="J7150" s="39" t="n">
        <v>8</v>
      </c>
      <c r="K7150" s="39" t="n">
        <v>9</v>
      </c>
      <c r="L7150" s="39" t="n">
        <v>10</v>
      </c>
      <c r="M7150" s="39" t="n">
        <v>11</v>
      </c>
      <c r="N7150" s="39" t="n">
        <v>12</v>
      </c>
      <c r="P7150" s="40"/>
      <c r="Q7150" s="40"/>
      <c r="R7150" s="40"/>
      <c r="S7150" s="41"/>
    </row>
    <row r="7151" customFormat="false" ht="15" hidden="false" customHeight="false" outlineLevel="0" collapsed="false">
      <c r="A7151" s="4" t="s">
        <v>476</v>
      </c>
      <c r="B7151" s="36" t="s">
        <v>343</v>
      </c>
      <c r="C7151" s="39" t="n">
        <f aca="false">IF(C7150&lt;=Assumptions!$E$84,1,0)</f>
        <v>1</v>
      </c>
      <c r="D7151" s="39" t="n">
        <f aca="false">IF(D7150&lt;=Assumptions!$E$84,1,0)</f>
        <v>1</v>
      </c>
      <c r="E7151" s="39" t="n">
        <f aca="false">IF(E7150&lt;=Assumptions!$E$84,1,0)</f>
        <v>1</v>
      </c>
      <c r="F7151" s="39" t="n">
        <f aca="false">IF(F7150&lt;=Assumptions!$E$84,1,0)</f>
        <v>1</v>
      </c>
      <c r="G7151" s="39" t="n">
        <f aca="false">IF(G7150&lt;=Assumptions!$E$84,1,0)</f>
        <v>1</v>
      </c>
      <c r="H7151" s="39" t="n">
        <f aca="false">IF(H7150&lt;=Assumptions!$E$84,1,0)</f>
        <v>1</v>
      </c>
      <c r="I7151" s="39" t="n">
        <f aca="false">IF(I7150&lt;=Assumptions!$E$84,1,0)</f>
        <v>1</v>
      </c>
      <c r="J7151" s="39" t="n">
        <f aca="false">IF(J7150&lt;=Assumptions!$E$84,1,0)</f>
        <v>1</v>
      </c>
      <c r="K7151" s="39" t="n">
        <f aca="false">IF(K7150&lt;=Assumptions!$E$84,1,0)</f>
        <v>1</v>
      </c>
      <c r="L7151" s="39" t="n">
        <f aca="false">IF(L7150&lt;=Assumptions!$E$84,1,0)</f>
        <v>1</v>
      </c>
      <c r="M7151" s="39" t="n">
        <f aca="false">IF(M7150&lt;=Assumptions!$E$84,1,0)</f>
        <v>1</v>
      </c>
      <c r="N7151" s="39" t="n">
        <f aca="false">IF(N7150&lt;=Assumptions!$E$84,1,0)</f>
        <v>1</v>
      </c>
      <c r="P7151" s="40"/>
      <c r="Q7151" s="40"/>
      <c r="R7151" s="40"/>
      <c r="S7151" s="41"/>
    </row>
    <row r="7152" customFormat="false" ht="15" hidden="false" customHeight="false" outlineLevel="0" collapsed="false">
      <c r="A7152" s="4" t="s">
        <v>477</v>
      </c>
      <c r="B7152" s="36" t="s">
        <v>478</v>
      </c>
      <c r="C7152" s="42" t="n">
        <f aca="false">IF(C7150=Assumptions!$E$13,0.5,IF(C7150&gt;Assumptions!$E$13,1,0))</f>
        <v>0.5</v>
      </c>
      <c r="D7152" s="42" t="n">
        <f aca="false">IF(D7150=Assumptions!$E$13,0.5,IF(D7150&gt;Assumptions!$E$13,1,0))</f>
        <v>1</v>
      </c>
      <c r="E7152" s="42" t="n">
        <f aca="false">IF(E7150=Assumptions!$E$13,0.5,IF(E7150&gt;Assumptions!$E$13,1,0))</f>
        <v>1</v>
      </c>
      <c r="F7152" s="42" t="n">
        <f aca="false">IF(F7150=Assumptions!$E$13,0.5,IF(F7150&gt;Assumptions!$E$13,1,0))</f>
        <v>1</v>
      </c>
      <c r="G7152" s="42" t="n">
        <f aca="false">IF(G7150=Assumptions!$E$13,0.5,IF(G7150&gt;Assumptions!$E$13,1,0))</f>
        <v>1</v>
      </c>
      <c r="H7152" s="42" t="n">
        <f aca="false">IF(H7150=Assumptions!$E$13,0.5,IF(H7150&gt;Assumptions!$E$13,1,0))</f>
        <v>1</v>
      </c>
      <c r="I7152" s="42" t="n">
        <f aca="false">IF(I7150=Assumptions!$E$13,0.5,IF(I7150&gt;Assumptions!$E$13,1,0))</f>
        <v>1</v>
      </c>
      <c r="J7152" s="42" t="n">
        <f aca="false">IF(J7150=Assumptions!$E$13,0.5,IF(J7150&gt;Assumptions!$E$13,1,0))</f>
        <v>1</v>
      </c>
      <c r="K7152" s="42" t="n">
        <f aca="false">IF(K7150=Assumptions!$E$13,0.5,IF(K7150&gt;Assumptions!$E$13,1,0))</f>
        <v>1</v>
      </c>
      <c r="L7152" s="42" t="n">
        <f aca="false">IF(L7150=Assumptions!$E$13,0.5,IF(L7150&gt;Assumptions!$E$13,1,0))</f>
        <v>1</v>
      </c>
      <c r="M7152" s="42" t="n">
        <f aca="false">IF(M7150=Assumptions!$E$13,0.5,IF(M7150&gt;Assumptions!$E$13,1,0))</f>
        <v>1</v>
      </c>
      <c r="N7152" s="42" t="n">
        <f aca="false">IF(N7150=Assumptions!$E$13,0.5,IF(N7150&gt;Assumptions!$E$13,1,0))</f>
        <v>1</v>
      </c>
      <c r="P7152" s="43"/>
      <c r="Q7152" s="43"/>
      <c r="R7152" s="43"/>
      <c r="S7152" s="44"/>
    </row>
    <row r="7153" customFormat="false" ht="15" hidden="false" customHeight="false" outlineLevel="0" collapsed="false">
      <c r="A7153" s="4" t="s">
        <v>479</v>
      </c>
      <c r="B7153" s="36" t="s">
        <v>478</v>
      </c>
      <c r="C7153" s="42" t="n">
        <f aca="false">IF(C7150=Assumptions!$E$14,0.5,IF(C7150&gt;Assumptions!$E$14,1,0))</f>
        <v>0</v>
      </c>
      <c r="D7153" s="42" t="n">
        <f aca="false">IF(D7150=Assumptions!$E$14,0.5,IF(D7150&gt;Assumptions!$E$14,1,0))</f>
        <v>0</v>
      </c>
      <c r="E7153" s="42" t="n">
        <f aca="false">IF(E7150=Assumptions!$E$14,0.5,IF(E7150&gt;Assumptions!$E$14,1,0))</f>
        <v>0</v>
      </c>
      <c r="F7153" s="42" t="n">
        <f aca="false">IF(F7150=Assumptions!$E$14,0.5,IF(F7150&gt;Assumptions!$E$14,1,0))</f>
        <v>0</v>
      </c>
      <c r="G7153" s="42" t="n">
        <f aca="false">IF(G7150=Assumptions!$E$14,0.5,IF(G7150&gt;Assumptions!$E$14,1,0))</f>
        <v>0.5</v>
      </c>
      <c r="H7153" s="42" t="n">
        <f aca="false">IF(H7150=Assumptions!$E$14,0.5,IF(H7150&gt;Assumptions!$E$14,1,0))</f>
        <v>1</v>
      </c>
      <c r="I7153" s="42" t="n">
        <f aca="false">IF(I7150=Assumptions!$E$14,0.5,IF(I7150&gt;Assumptions!$E$14,1,0))</f>
        <v>1</v>
      </c>
      <c r="J7153" s="42" t="n">
        <f aca="false">IF(J7150=Assumptions!$E$14,0.5,IF(J7150&gt;Assumptions!$E$14,1,0))</f>
        <v>1</v>
      </c>
      <c r="K7153" s="42" t="n">
        <f aca="false">IF(K7150=Assumptions!$E$14,0.5,IF(K7150&gt;Assumptions!$E$14,1,0))</f>
        <v>1</v>
      </c>
      <c r="L7153" s="42" t="n">
        <f aca="false">IF(L7150=Assumptions!$E$14,0.5,IF(L7150&gt;Assumptions!$E$14,1,0))</f>
        <v>1</v>
      </c>
      <c r="M7153" s="42" t="n">
        <f aca="false">IF(M7150=Assumptions!$E$14,0.5,IF(M7150&gt;Assumptions!$E$14,1,0))</f>
        <v>1</v>
      </c>
      <c r="N7153" s="42" t="n">
        <f aca="false">IF(N7150=Assumptions!$E$14,0.5,IF(N7150&gt;Assumptions!$E$14,1,0))</f>
        <v>1</v>
      </c>
      <c r="P7153" s="43"/>
      <c r="Q7153" s="43"/>
      <c r="R7153" s="43"/>
      <c r="S7153" s="44"/>
    </row>
    <row r="7154" customFormat="false" ht="15" hidden="false" customHeight="false" outlineLevel="0" collapsed="false">
      <c r="A7154" s="4" t="s">
        <v>480</v>
      </c>
      <c r="B7154" s="36" t="s">
        <v>478</v>
      </c>
      <c r="C7154" s="42" t="n">
        <f aca="false">IF(C7150=Assumptions!$E$15,0.5,IF(C7150&gt;Assumptions!$E$15,1,0))</f>
        <v>0</v>
      </c>
      <c r="D7154" s="42" t="n">
        <f aca="false">IF(D7150=Assumptions!$E$15,0.5,IF(D7150&gt;Assumptions!$E$15,1,0))</f>
        <v>0</v>
      </c>
      <c r="E7154" s="42" t="n">
        <f aca="false">IF(E7150=Assumptions!$E$15,0.5,IF(E7150&gt;Assumptions!$E$15,1,0))</f>
        <v>0</v>
      </c>
      <c r="F7154" s="42" t="n">
        <f aca="false">IF(F7150=Assumptions!$E$15,0.5,IF(F7150&gt;Assumptions!$E$15,1,0))</f>
        <v>0</v>
      </c>
      <c r="G7154" s="42" t="n">
        <f aca="false">IF(G7150=Assumptions!$E$15,0.5,IF(G7150&gt;Assumptions!$E$15,1,0))</f>
        <v>0</v>
      </c>
      <c r="H7154" s="42" t="n">
        <f aca="false">IF(H7150=Assumptions!$E$15,0.5,IF(H7150&gt;Assumptions!$E$15,1,0))</f>
        <v>0</v>
      </c>
      <c r="I7154" s="42" t="n">
        <f aca="false">IF(I7150=Assumptions!$E$15,0.5,IF(I7150&gt;Assumptions!$E$15,1,0))</f>
        <v>0.5</v>
      </c>
      <c r="J7154" s="42" t="n">
        <f aca="false">IF(J7150=Assumptions!$E$15,0.5,IF(J7150&gt;Assumptions!$E$15,1,0))</f>
        <v>1</v>
      </c>
      <c r="K7154" s="42" t="n">
        <f aca="false">IF(K7150=Assumptions!$E$15,0.5,IF(K7150&gt;Assumptions!$E$15,1,0))</f>
        <v>1</v>
      </c>
      <c r="L7154" s="42" t="n">
        <f aca="false">IF(L7150=Assumptions!$E$15,0.5,IF(L7150&gt;Assumptions!$E$15,1,0))</f>
        <v>1</v>
      </c>
      <c r="M7154" s="42" t="n">
        <f aca="false">IF(M7150=Assumptions!$E$15,0.5,IF(M7150&gt;Assumptions!$E$15,1,0))</f>
        <v>1</v>
      </c>
      <c r="N7154" s="42" t="n">
        <f aca="false">IF(N7150=Assumptions!$E$15,0.5,IF(N7150&gt;Assumptions!$E$15,1,0))</f>
        <v>1</v>
      </c>
      <c r="P7154" s="43"/>
      <c r="Q7154" s="43"/>
      <c r="R7154" s="43"/>
      <c r="S7154" s="44"/>
    </row>
    <row r="7155" customFormat="false" ht="15" hidden="false" customHeight="false" outlineLevel="0" collapsed="false">
      <c r="A7155" s="4" t="s">
        <v>481</v>
      </c>
      <c r="B7155" s="36" t="s">
        <v>478</v>
      </c>
      <c r="C7155" s="45" t="n">
        <f aca="false">Assumptions!$E$21^(MAX(0,C7150-Assumptions!$E$13)/4)</f>
        <v>1</v>
      </c>
      <c r="D7155" s="45" t="n">
        <f aca="false">Assumptions!$E$21^(MAX(0,D7150-Assumptions!$E$13)/4)</f>
        <v>0.9306048591021</v>
      </c>
      <c r="E7155" s="45" t="n">
        <f aca="false">Assumptions!$E$21^(MAX(0,E7150-Assumptions!$E$13)/4)</f>
        <v>0.866025403784439</v>
      </c>
      <c r="F7155" s="45" t="n">
        <f aca="false">Assumptions!$E$21^(MAX(0,F7150-Assumptions!$E$13)/4)</f>
        <v>0.805927448867656</v>
      </c>
      <c r="G7155" s="45" t="n">
        <f aca="false">Assumptions!$E$21^(MAX(0,G7150-Assumptions!$E$13)/4)</f>
        <v>0.75</v>
      </c>
      <c r="H7155" s="45" t="n">
        <f aca="false">Assumptions!$E$21^(MAX(0,H7150-Assumptions!$E$13)/4)</f>
        <v>0.697953644326575</v>
      </c>
      <c r="I7155" s="45" t="n">
        <f aca="false">Assumptions!$E$21^(MAX(0,I7150-Assumptions!$E$13)/4)</f>
        <v>0.649519052838329</v>
      </c>
      <c r="J7155" s="45" t="n">
        <f aca="false">Assumptions!$E$21^(MAX(0,J7150-Assumptions!$E$13)/4)</f>
        <v>0.604445586650742</v>
      </c>
      <c r="K7155" s="45" t="n">
        <f aca="false">Assumptions!$E$21^(MAX(0,K7150-Assumptions!$E$13)/4)</f>
        <v>0.5625</v>
      </c>
      <c r="L7155" s="45" t="n">
        <f aca="false">Assumptions!$E$21^(MAX(0,L7150-Assumptions!$E$13)/4)</f>
        <v>0.523465233244931</v>
      </c>
      <c r="M7155" s="45" t="n">
        <f aca="false">Assumptions!$E$21^(MAX(0,M7150-Assumptions!$E$13)/4)</f>
        <v>0.487139289628747</v>
      </c>
      <c r="N7155" s="45" t="n">
        <f aca="false">Assumptions!$E$21^(MAX(0,N7150-Assumptions!$E$13)/4)</f>
        <v>0.453334189988057</v>
      </c>
      <c r="P7155" s="46"/>
      <c r="Q7155" s="46"/>
      <c r="R7155" s="46"/>
      <c r="S7155" s="47"/>
    </row>
    <row r="7156" customFormat="false" ht="15" hidden="false" customHeight="false" outlineLevel="0" collapsed="false">
      <c r="A7156" s="4" t="s">
        <v>482</v>
      </c>
      <c r="B7156" s="36" t="s">
        <v>478</v>
      </c>
      <c r="C7156" s="45" t="n">
        <f aca="false">Assumptions!$E$21^(MAX(0,C7150-Assumptions!$E$14)/4)</f>
        <v>1</v>
      </c>
      <c r="D7156" s="45" t="n">
        <f aca="false">Assumptions!$E$21^(MAX(0,D7150-Assumptions!$E$14)/4)</f>
        <v>1</v>
      </c>
      <c r="E7156" s="45" t="n">
        <f aca="false">Assumptions!$E$21^(MAX(0,E7150-Assumptions!$E$14)/4)</f>
        <v>1</v>
      </c>
      <c r="F7156" s="45" t="n">
        <f aca="false">Assumptions!$E$21^(MAX(0,F7150-Assumptions!$E$14)/4)</f>
        <v>1</v>
      </c>
      <c r="G7156" s="45" t="n">
        <f aca="false">Assumptions!$E$21^(MAX(0,G7150-Assumptions!$E$14)/4)</f>
        <v>1</v>
      </c>
      <c r="H7156" s="45" t="n">
        <f aca="false">Assumptions!$E$21^(MAX(0,H7150-Assumptions!$E$14)/4)</f>
        <v>0.9306048591021</v>
      </c>
      <c r="I7156" s="45" t="n">
        <f aca="false">Assumptions!$E$21^(MAX(0,I7150-Assumptions!$E$14)/4)</f>
        <v>0.866025403784439</v>
      </c>
      <c r="J7156" s="45" t="n">
        <f aca="false">Assumptions!$E$21^(MAX(0,J7150-Assumptions!$E$14)/4)</f>
        <v>0.805927448867656</v>
      </c>
      <c r="K7156" s="45" t="n">
        <f aca="false">Assumptions!$E$21^(MAX(0,K7150-Assumptions!$E$14)/4)</f>
        <v>0.75</v>
      </c>
      <c r="L7156" s="45" t="n">
        <f aca="false">Assumptions!$E$21^(MAX(0,L7150-Assumptions!$E$14)/4)</f>
        <v>0.697953644326575</v>
      </c>
      <c r="M7156" s="45" t="n">
        <f aca="false">Assumptions!$E$21^(MAX(0,M7150-Assumptions!$E$14)/4)</f>
        <v>0.649519052838329</v>
      </c>
      <c r="N7156" s="45" t="n">
        <f aca="false">Assumptions!$E$21^(MAX(0,N7150-Assumptions!$E$14)/4)</f>
        <v>0.604445586650742</v>
      </c>
      <c r="P7156" s="46"/>
      <c r="Q7156" s="46"/>
      <c r="R7156" s="46"/>
      <c r="S7156" s="47"/>
    </row>
    <row r="7157" customFormat="false" ht="15" hidden="false" customHeight="false" outlineLevel="0" collapsed="false">
      <c r="A7157" s="4" t="s">
        <v>483</v>
      </c>
      <c r="B7157" s="36" t="s">
        <v>478</v>
      </c>
      <c r="C7157" s="45" t="n">
        <f aca="false">Assumptions!$E$21^(MAX(0,C7150-Assumptions!$E$15)/4)</f>
        <v>1</v>
      </c>
      <c r="D7157" s="45" t="n">
        <f aca="false">Assumptions!$E$21^(MAX(0,D7150-Assumptions!$E$15)/4)</f>
        <v>1</v>
      </c>
      <c r="E7157" s="45" t="n">
        <f aca="false">Assumptions!$E$21^(MAX(0,E7150-Assumptions!$E$15)/4)</f>
        <v>1</v>
      </c>
      <c r="F7157" s="45" t="n">
        <f aca="false">Assumptions!$E$21^(MAX(0,F7150-Assumptions!$E$15)/4)</f>
        <v>1</v>
      </c>
      <c r="G7157" s="45" t="n">
        <f aca="false">Assumptions!$E$21^(MAX(0,G7150-Assumptions!$E$15)/4)</f>
        <v>1</v>
      </c>
      <c r="H7157" s="45" t="n">
        <f aca="false">Assumptions!$E$21^(MAX(0,H7150-Assumptions!$E$15)/4)</f>
        <v>1</v>
      </c>
      <c r="I7157" s="45" t="n">
        <f aca="false">Assumptions!$E$21^(MAX(0,I7150-Assumptions!$E$15)/4)</f>
        <v>1</v>
      </c>
      <c r="J7157" s="45" t="n">
        <f aca="false">Assumptions!$E$21^(MAX(0,J7150-Assumptions!$E$15)/4)</f>
        <v>0.9306048591021</v>
      </c>
      <c r="K7157" s="45" t="n">
        <f aca="false">Assumptions!$E$21^(MAX(0,K7150-Assumptions!$E$15)/4)</f>
        <v>0.866025403784439</v>
      </c>
      <c r="L7157" s="45" t="n">
        <f aca="false">Assumptions!$E$21^(MAX(0,L7150-Assumptions!$E$15)/4)</f>
        <v>0.805927448867656</v>
      </c>
      <c r="M7157" s="45" t="n">
        <f aca="false">Assumptions!$E$21^(MAX(0,M7150-Assumptions!$E$15)/4)</f>
        <v>0.75</v>
      </c>
      <c r="N7157" s="45" t="n">
        <f aca="false">Assumptions!$E$21^(MAX(0,N7150-Assumptions!$E$15)/4)</f>
        <v>0.697953644326575</v>
      </c>
      <c r="P7157" s="46"/>
      <c r="Q7157" s="46"/>
      <c r="R7157" s="46"/>
      <c r="S7157" s="47"/>
    </row>
    <row r="7158" customFormat="false" ht="15" hidden="false" customHeight="false" outlineLevel="0" collapsed="false">
      <c r="A7158" s="4" t="s">
        <v>484</v>
      </c>
      <c r="B7158" s="36" t="s">
        <v>485</v>
      </c>
      <c r="C7158" s="39" t="n">
        <f aca="false">$C$7129*C7152+$C$7133*C7153+$C$7137*C7154</f>
        <v>421.51972352</v>
      </c>
      <c r="D7158" s="39" t="n">
        <f aca="false">$C$7129*D7152+$C$7133*D7153+$C$7137*D7154</f>
        <v>843.03944704</v>
      </c>
      <c r="E7158" s="39" t="n">
        <f aca="false">$C$7129*E7152+$C$7133*E7153+$C$7137*E7154</f>
        <v>843.03944704</v>
      </c>
      <c r="F7158" s="39" t="n">
        <f aca="false">$C$7129*F7152+$C$7133*F7153+$C$7137*F7154</f>
        <v>843.03944704</v>
      </c>
      <c r="G7158" s="39" t="n">
        <f aca="false">$C$7129*G7152+$C$7133*G7153+$C$7137*G7154</f>
        <v>1149.32798176</v>
      </c>
      <c r="H7158" s="39" t="n">
        <f aca="false">$C$7129*H7152+$C$7133*H7153+$C$7137*H7154</f>
        <v>1455.61651648</v>
      </c>
      <c r="I7158" s="39" t="n">
        <f aca="false">$C$7129*I7152+$C$7133*I7153+$C$7137*I7154</f>
        <v>2486.00303616</v>
      </c>
      <c r="J7158" s="39" t="n">
        <f aca="false">$C$7129*J7152+$C$7133*J7153+$C$7137*J7154</f>
        <v>3516.38955584</v>
      </c>
      <c r="K7158" s="39" t="n">
        <f aca="false">$C$7129*K7152+$C$7133*K7153+$C$7137*K7154</f>
        <v>3516.38955584</v>
      </c>
      <c r="L7158" s="39" t="n">
        <f aca="false">$C$7129*L7152+$C$7133*L7153+$C$7137*L7154</f>
        <v>3516.38955584</v>
      </c>
      <c r="M7158" s="39" t="n">
        <f aca="false">$C$7129*M7152+$C$7133*M7153+$C$7137*M7154</f>
        <v>3516.38955584</v>
      </c>
      <c r="N7158" s="39" t="n">
        <f aca="false">$C$7129*N7152+$C$7133*N7153+$C$7137*N7154</f>
        <v>3516.38955584</v>
      </c>
      <c r="P7158" s="40" t="n">
        <f aca="false">F7158</f>
        <v>843.03944704</v>
      </c>
      <c r="Q7158" s="40" t="n">
        <f aca="false">J7158</f>
        <v>3516.38955584</v>
      </c>
      <c r="R7158" s="40" t="n">
        <f aca="false">N7158</f>
        <v>3516.38955584</v>
      </c>
      <c r="S7158" s="41" t="n">
        <f aca="false">R7158</f>
        <v>3516.38955584</v>
      </c>
    </row>
    <row r="7159" customFormat="false" ht="15" hidden="false" customHeight="false" outlineLevel="0" collapsed="false">
      <c r="A7159" s="4" t="s">
        <v>486</v>
      </c>
      <c r="B7159" s="36" t="s">
        <v>485</v>
      </c>
      <c r="C7159" s="39" t="n">
        <f aca="false">$C$7130*C7152+$C$7134*C7153+$C$7138*C7154</f>
        <v>105.59808</v>
      </c>
      <c r="D7159" s="39" t="n">
        <f aca="false">$C$7130*D7152+$C$7134*D7153+$C$7138*D7154</f>
        <v>211.19616</v>
      </c>
      <c r="E7159" s="39" t="n">
        <f aca="false">$C$7130*E7152+$C$7134*E7153+$C$7138*E7154</f>
        <v>211.19616</v>
      </c>
      <c r="F7159" s="39" t="n">
        <f aca="false">$C$7130*F7152+$C$7134*F7153+$C$7138*F7154</f>
        <v>211.19616</v>
      </c>
      <c r="G7159" s="39" t="n">
        <f aca="false">$C$7130*G7152+$C$7134*G7153+$C$7138*G7154</f>
        <v>282.24672</v>
      </c>
      <c r="H7159" s="39" t="n">
        <f aca="false">$C$7130*H7152+$C$7134*H7153+$C$7138*H7154</f>
        <v>353.29728</v>
      </c>
      <c r="I7159" s="39" t="n">
        <f aca="false">$C$7130*I7152+$C$7134*I7153+$C$7138*I7154</f>
        <v>567.53536</v>
      </c>
      <c r="J7159" s="39" t="n">
        <f aca="false">$C$7130*J7152+$C$7134*J7153+$C$7138*J7154</f>
        <v>781.77344</v>
      </c>
      <c r="K7159" s="39" t="n">
        <f aca="false">$C$7130*K7152+$C$7134*K7153+$C$7138*K7154</f>
        <v>781.77344</v>
      </c>
      <c r="L7159" s="39" t="n">
        <f aca="false">$C$7130*L7152+$C$7134*L7153+$C$7138*L7154</f>
        <v>781.77344</v>
      </c>
      <c r="M7159" s="39" t="n">
        <f aca="false">$C$7130*M7152+$C$7134*M7153+$C$7138*M7154</f>
        <v>781.77344</v>
      </c>
      <c r="N7159" s="39" t="n">
        <f aca="false">$C$7130*N7152+$C$7134*N7153+$C$7138*N7154</f>
        <v>781.77344</v>
      </c>
      <c r="P7159" s="40" t="n">
        <f aca="false">F7159</f>
        <v>211.19616</v>
      </c>
      <c r="Q7159" s="40" t="n">
        <f aca="false">J7159</f>
        <v>781.77344</v>
      </c>
      <c r="R7159" s="40" t="n">
        <f aca="false">N7159</f>
        <v>781.77344</v>
      </c>
      <c r="S7159" s="41" t="n">
        <f aca="false">R7159</f>
        <v>781.77344</v>
      </c>
    </row>
    <row r="7160" customFormat="false" ht="15" hidden="false" customHeight="false" outlineLevel="0" collapsed="false">
      <c r="A7160" s="4" t="s">
        <v>487</v>
      </c>
      <c r="B7160" s="36" t="s">
        <v>485</v>
      </c>
      <c r="C7160" s="39" t="n">
        <f aca="false">$C$7131*C7152+$C$7135*C7153+$C$7139*C7154</f>
        <v>24.76992</v>
      </c>
      <c r="D7160" s="39" t="n">
        <f aca="false">$C$7131*D7152+$C$7135*D7153+$C$7139*D7154</f>
        <v>49.53984</v>
      </c>
      <c r="E7160" s="39" t="n">
        <f aca="false">$C$7131*E7152+$C$7135*E7153+$C$7139*E7154</f>
        <v>49.53984</v>
      </c>
      <c r="F7160" s="39" t="n">
        <f aca="false">$C$7131*F7152+$C$7135*F7153+$C$7139*F7154</f>
        <v>49.53984</v>
      </c>
      <c r="G7160" s="39" t="n">
        <f aca="false">$C$7131*G7152+$C$7135*G7153+$C$7139*G7154</f>
        <v>61.9248</v>
      </c>
      <c r="H7160" s="39" t="n">
        <f aca="false">$C$7131*H7152+$C$7135*H7153+$C$7139*H7154</f>
        <v>74.30976</v>
      </c>
      <c r="I7160" s="39" t="n">
        <f aca="false">$C$7131*I7152+$C$7135*I7153+$C$7139*I7154</f>
        <v>114.072</v>
      </c>
      <c r="J7160" s="39" t="n">
        <f aca="false">$C$7131*J7152+$C$7135*J7153+$C$7139*J7154</f>
        <v>153.83424</v>
      </c>
      <c r="K7160" s="39" t="n">
        <f aca="false">$C$7131*K7152+$C$7135*K7153+$C$7139*K7154</f>
        <v>153.83424</v>
      </c>
      <c r="L7160" s="39" t="n">
        <f aca="false">$C$7131*L7152+$C$7135*L7153+$C$7139*L7154</f>
        <v>153.83424</v>
      </c>
      <c r="M7160" s="39" t="n">
        <f aca="false">$C$7131*M7152+$C$7135*M7153+$C$7139*M7154</f>
        <v>153.83424</v>
      </c>
      <c r="N7160" s="39" t="n">
        <f aca="false">$C$7131*N7152+$C$7135*N7153+$C$7139*N7154</f>
        <v>153.83424</v>
      </c>
      <c r="P7160" s="40" t="n">
        <f aca="false">F7160</f>
        <v>49.53984</v>
      </c>
      <c r="Q7160" s="40" t="n">
        <f aca="false">J7160</f>
        <v>153.83424</v>
      </c>
      <c r="R7160" s="40" t="n">
        <f aca="false">N7160</f>
        <v>153.83424</v>
      </c>
      <c r="S7160" s="41" t="n">
        <f aca="false">R7160</f>
        <v>153.83424</v>
      </c>
    </row>
    <row r="7161" customFormat="false" ht="15" hidden="false" customHeight="false" outlineLevel="0" collapsed="false">
      <c r="A7161" s="4" t="s">
        <v>488</v>
      </c>
      <c r="B7161" s="36" t="s">
        <v>485</v>
      </c>
      <c r="C7161" s="39" t="n">
        <f aca="false">C7158+C7159+C7160</f>
        <v>551.88772352</v>
      </c>
      <c r="D7161" s="39" t="n">
        <f aca="false">D7158+D7159+D7160</f>
        <v>1103.77544704</v>
      </c>
      <c r="E7161" s="39" t="n">
        <f aca="false">E7158+E7159+E7160</f>
        <v>1103.77544704</v>
      </c>
      <c r="F7161" s="39" t="n">
        <f aca="false">F7158+F7159+F7160</f>
        <v>1103.77544704</v>
      </c>
      <c r="G7161" s="39" t="n">
        <f aca="false">G7158+G7159+G7160</f>
        <v>1493.49950176</v>
      </c>
      <c r="H7161" s="39" t="n">
        <f aca="false">H7158+H7159+H7160</f>
        <v>1883.22355648</v>
      </c>
      <c r="I7161" s="39" t="n">
        <f aca="false">I7158+I7159+I7160</f>
        <v>3167.61039616</v>
      </c>
      <c r="J7161" s="39" t="n">
        <f aca="false">J7158+J7159+J7160</f>
        <v>4451.99723584</v>
      </c>
      <c r="K7161" s="39" t="n">
        <f aca="false">K7158+K7159+K7160</f>
        <v>4451.99723584</v>
      </c>
      <c r="L7161" s="39" t="n">
        <f aca="false">L7158+L7159+L7160</f>
        <v>4451.99723584</v>
      </c>
      <c r="M7161" s="39" t="n">
        <f aca="false">M7158+M7159+M7160</f>
        <v>4451.99723584</v>
      </c>
      <c r="N7161" s="39" t="n">
        <f aca="false">N7158+N7159+N7160</f>
        <v>4451.99723584</v>
      </c>
      <c r="P7161" s="40" t="n">
        <f aca="false">F7161</f>
        <v>1103.77544704</v>
      </c>
      <c r="Q7161" s="40" t="n">
        <f aca="false">J7161</f>
        <v>4451.99723584</v>
      </c>
      <c r="R7161" s="40" t="n">
        <f aca="false">N7161</f>
        <v>4451.99723584</v>
      </c>
      <c r="S7161" s="41" t="n">
        <f aca="false">R7161</f>
        <v>4451.99723584</v>
      </c>
    </row>
    <row r="7162" customFormat="false" ht="15" hidden="false" customHeight="false" outlineLevel="0" collapsed="false">
      <c r="A7162" s="4" t="s">
        <v>489</v>
      </c>
      <c r="B7162" s="36" t="s">
        <v>485</v>
      </c>
      <c r="C7162" s="39" t="n">
        <f aca="false">$C$7132*C7152*C7155+$C$7136*C7153*C7156+$C$7140*C7154*C7157</f>
        <v>551.88772352</v>
      </c>
      <c r="D7162" s="39" t="n">
        <f aca="false">$C$7132*D7152*D7155+$C$7136*D7153*D7156+$C$7140*D7154*D7157</f>
        <v>1027.17879437302</v>
      </c>
      <c r="E7162" s="39" t="n">
        <f aca="false">$C$7132*E7152*E7155+$C$7136*E7153*E7156+$C$7140*E7154*E7157</f>
        <v>955.897577210165</v>
      </c>
      <c r="F7162" s="39" t="n">
        <f aca="false">$C$7132*F7152*F7155+$C$7136*F7153*F7156+$C$7140*F7154*F7157</f>
        <v>889.562930155704</v>
      </c>
      <c r="G7162" s="39" t="n">
        <f aca="false">$C$7132*G7152*G7155+$C$7136*G7153*G7156+$C$7140*G7154*G7157</f>
        <v>1217.55564</v>
      </c>
      <c r="H7162" s="39" t="n">
        <f aca="false">$C$7132*H7152*H7155+$C$7136*H7153*H7156+$C$7140*H7154*H7157</f>
        <v>1495.74229384257</v>
      </c>
      <c r="I7162" s="39" t="n">
        <f aca="false">$C$7132*I7152*I7155+$C$7136*I7153*I7156+$C$7140*I7154*I7157</f>
        <v>2676.33188629442</v>
      </c>
      <c r="J7162" s="39" t="n">
        <f aca="false">$C$7132*J7152*J7155+$C$7136*J7153*J7156+$C$7140*J7154*J7157</f>
        <v>3685.86409192847</v>
      </c>
      <c r="K7162" s="39" t="n">
        <f aca="false">$C$7132*K7152*K7155+$C$7136*K7153*K7156+$C$7140*K7154*K7157</f>
        <v>3430.08303393858</v>
      </c>
      <c r="L7162" s="39" t="n">
        <f aca="false">$C$7132*L7152*L7155+$C$7136*L7153*L7156+$C$7140*L7154*L7157</f>
        <v>3192.05193850692</v>
      </c>
      <c r="M7162" s="39" t="n">
        <f aca="false">$C$7132*M7152*M7155+$C$7136*M7153*M7156+$C$7140*M7154*M7157</f>
        <v>2970.53904448081</v>
      </c>
      <c r="N7162" s="39" t="n">
        <f aca="false">$C$7132*N7152*N7155+$C$7136*N7153*N7156+$C$7140*N7154*N7157</f>
        <v>2764.39806894635</v>
      </c>
      <c r="P7162" s="40"/>
      <c r="Q7162" s="40"/>
      <c r="R7162" s="40"/>
      <c r="S7162" s="41"/>
    </row>
    <row r="7163" customFormat="false" ht="15" hidden="false" customHeight="false" outlineLevel="0" collapsed="false">
      <c r="A7163" s="4" t="s">
        <v>490</v>
      </c>
      <c r="B7163" s="36" t="s">
        <v>491</v>
      </c>
      <c r="C7163" s="48" t="n">
        <f aca="false">$C$7144*Assumptions!$E$20*C7151*C7162</f>
        <v>6.62265268224</v>
      </c>
      <c r="D7163" s="48" t="n">
        <f aca="false">$C$7144*Assumptions!$E$20*D7151*D7162</f>
        <v>12.3261455324762</v>
      </c>
      <c r="E7163" s="48" t="n">
        <f aca="false">$C$7144*Assumptions!$E$20*E7151*E7162</f>
        <v>11.470770926522</v>
      </c>
      <c r="F7163" s="48" t="n">
        <f aca="false">$C$7144*Assumptions!$E$20*F7151*F7162</f>
        <v>10.6747551618685</v>
      </c>
      <c r="G7163" s="48" t="n">
        <f aca="false">$C$7144*Assumptions!$E$20*G7151*G7162</f>
        <v>14.61066768</v>
      </c>
      <c r="H7163" s="48" t="n">
        <f aca="false">$C$7144*Assumptions!$E$20*H7151*H7162</f>
        <v>17.9489075261109</v>
      </c>
      <c r="I7163" s="48" t="n">
        <f aca="false">$C$7144*Assumptions!$E$20*I7151*I7162</f>
        <v>32.115982635533</v>
      </c>
      <c r="J7163" s="48" t="n">
        <f aca="false">$C$7144*Assumptions!$E$20*J7151*J7162</f>
        <v>44.2303691031417</v>
      </c>
      <c r="K7163" s="48" t="n">
        <f aca="false">$C$7144*Assumptions!$E$20*K7151*K7162</f>
        <v>41.160996407263</v>
      </c>
      <c r="L7163" s="48" t="n">
        <f aca="false">$C$7144*Assumptions!$E$20*L7151*L7162</f>
        <v>38.304623262083</v>
      </c>
      <c r="M7163" s="48" t="n">
        <f aca="false">$C$7144*Assumptions!$E$20*M7151*M7162</f>
        <v>35.6464685337698</v>
      </c>
      <c r="N7163" s="48" t="n">
        <f aca="false">$C$7144*Assumptions!$E$20*N7151*N7162</f>
        <v>33.1727768273562</v>
      </c>
      <c r="P7163" s="49" t="n">
        <f aca="false">SUM(C7163:F7163)</f>
        <v>41.0943243031066</v>
      </c>
      <c r="Q7163" s="49" t="n">
        <f aca="false">SUM(G7163:J7163)</f>
        <v>108.905926944786</v>
      </c>
      <c r="R7163" s="49" t="n">
        <f aca="false">SUM(K7163:N7163)</f>
        <v>148.284865030472</v>
      </c>
      <c r="S7163" s="50" t="n">
        <f aca="false">SUM(P7163:R7163)</f>
        <v>298.285116278364</v>
      </c>
    </row>
    <row r="7164" customFormat="false" ht="15" hidden="false" customHeight="false" outlineLevel="0" collapsed="false">
      <c r="A7164" s="4" t="s">
        <v>492</v>
      </c>
      <c r="B7164" s="36" t="s">
        <v>321</v>
      </c>
      <c r="C7164" s="48" t="n">
        <f aca="false">Assumptions!$D$111</f>
        <v>0</v>
      </c>
      <c r="D7164" s="48" t="n">
        <f aca="false">Assumptions!$E$111</f>
        <v>0</v>
      </c>
      <c r="E7164" s="48" t="n">
        <f aca="false">Assumptions!$F$111</f>
        <v>0</v>
      </c>
      <c r="F7164" s="48" t="n">
        <f aca="false">Assumptions!$G$111</f>
        <v>0</v>
      </c>
      <c r="G7164" s="48" t="n">
        <f aca="false">Assumptions!$H$111</f>
        <v>0</v>
      </c>
      <c r="H7164" s="48" t="n">
        <f aca="false">Assumptions!$I$111</f>
        <v>0</v>
      </c>
      <c r="I7164" s="48" t="n">
        <f aca="false">Assumptions!$J$111</f>
        <v>0</v>
      </c>
      <c r="J7164" s="48" t="n">
        <f aca="false">Assumptions!$K$111</f>
        <v>0</v>
      </c>
      <c r="K7164" s="48" t="n">
        <f aca="false">Assumptions!$L$111</f>
        <v>0</v>
      </c>
      <c r="L7164" s="48" t="n">
        <f aca="false">Assumptions!$M$111</f>
        <v>0</v>
      </c>
      <c r="M7164" s="48" t="n">
        <f aca="false">Assumptions!$N$111</f>
        <v>0</v>
      </c>
      <c r="N7164" s="48" t="n">
        <f aca="false">Assumptions!$O$111</f>
        <v>0</v>
      </c>
      <c r="P7164" s="49" t="n">
        <f aca="false">F7164</f>
        <v>0</v>
      </c>
      <c r="Q7164" s="49" t="n">
        <f aca="false">J7164</f>
        <v>0</v>
      </c>
      <c r="R7164" s="49" t="n">
        <f aca="false">N7164</f>
        <v>0</v>
      </c>
      <c r="S7164" s="50" t="n">
        <f aca="false">R7164</f>
        <v>0</v>
      </c>
    </row>
    <row r="7165" customFormat="false" ht="15" hidden="false" customHeight="false" outlineLevel="0" collapsed="false">
      <c r="A7165" s="4" t="s">
        <v>493</v>
      </c>
      <c r="B7165" s="36" t="s">
        <v>321</v>
      </c>
      <c r="C7165" s="48" t="n">
        <f aca="false">0</f>
        <v>0</v>
      </c>
      <c r="D7165" s="48" t="n">
        <f aca="false">0.5*C7164</f>
        <v>0</v>
      </c>
      <c r="E7165" s="48" t="n">
        <f aca="false">C7164+0.5*(D7164-C7164)</f>
        <v>0</v>
      </c>
      <c r="F7165" s="48" t="n">
        <f aca="false">D7164+0.5*(E7164-D7164)</f>
        <v>0</v>
      </c>
      <c r="G7165" s="48" t="n">
        <f aca="false">E7164+0.5*(F7164-E7164)</f>
        <v>0</v>
      </c>
      <c r="H7165" s="48" t="n">
        <f aca="false">F7164+0.5*(G7164-F7164)</f>
        <v>0</v>
      </c>
      <c r="I7165" s="48" t="n">
        <f aca="false">G7164+0.5*(H7164-G7164)</f>
        <v>0</v>
      </c>
      <c r="J7165" s="48" t="n">
        <f aca="false">H7164+0.5*(I7164-H7164)</f>
        <v>0</v>
      </c>
      <c r="K7165" s="48" t="n">
        <f aca="false">I7164+0.5*(J7164-I7164)</f>
        <v>0</v>
      </c>
      <c r="L7165" s="48" t="n">
        <f aca="false">J7164+0.5*(K7164-J7164)</f>
        <v>0</v>
      </c>
      <c r="M7165" s="48" t="n">
        <f aca="false">K7164+0.5*(L7164-K7164)</f>
        <v>0</v>
      </c>
      <c r="N7165" s="48" t="n">
        <f aca="false">L7164+0.5*(M7164-L7164)</f>
        <v>0</v>
      </c>
      <c r="P7165" s="49" t="n">
        <f aca="false">F7165</f>
        <v>0</v>
      </c>
      <c r="Q7165" s="49" t="n">
        <f aca="false">J7165</f>
        <v>0</v>
      </c>
      <c r="R7165" s="49" t="n">
        <f aca="false">N7165</f>
        <v>0</v>
      </c>
      <c r="S7165" s="50" t="n">
        <f aca="false">R7165</f>
        <v>0</v>
      </c>
    </row>
    <row r="7166" customFormat="false" ht="15" hidden="false" customHeight="false" outlineLevel="0" collapsed="false">
      <c r="A7166" s="4" t="s">
        <v>494</v>
      </c>
      <c r="B7166" s="36" t="s">
        <v>485</v>
      </c>
      <c r="C7166" s="39" t="n">
        <f aca="false">MIN(C7165*Assumptions!$E$38,C7161*(1-$C$7144))</f>
        <v>0</v>
      </c>
      <c r="D7166" s="39" t="n">
        <f aca="false">MIN(D7165*Assumptions!$E$38,D7161*(1-$C$7144))</f>
        <v>0</v>
      </c>
      <c r="E7166" s="39" t="n">
        <f aca="false">MIN(E7165*Assumptions!$E$38,E7161*(1-$C$7144))</f>
        <v>0</v>
      </c>
      <c r="F7166" s="39" t="n">
        <f aca="false">MIN(F7165*Assumptions!$E$38,F7161*(1-$C$7144))</f>
        <v>0</v>
      </c>
      <c r="G7166" s="39" t="n">
        <f aca="false">MIN(G7165*Assumptions!$E$38,G7161*(1-$C$7144))</f>
        <v>0</v>
      </c>
      <c r="H7166" s="39" t="n">
        <f aca="false">MIN(H7165*Assumptions!$E$38,H7161*(1-$C$7144))</f>
        <v>0</v>
      </c>
      <c r="I7166" s="39" t="n">
        <f aca="false">MIN(I7165*Assumptions!$E$38,I7161*(1-$C$7144))</f>
        <v>0</v>
      </c>
      <c r="J7166" s="39" t="n">
        <f aca="false">MIN(J7165*Assumptions!$E$38,J7161*(1-$C$7144))</f>
        <v>0</v>
      </c>
      <c r="K7166" s="39" t="n">
        <f aca="false">MIN(K7165*Assumptions!$E$38,K7161*(1-$C$7144))</f>
        <v>0</v>
      </c>
      <c r="L7166" s="39" t="n">
        <f aca="false">MIN(L7165*Assumptions!$E$38,L7161*(1-$C$7144))</f>
        <v>0</v>
      </c>
      <c r="M7166" s="39" t="n">
        <f aca="false">MIN(M7165*Assumptions!$E$38,M7161*(1-$C$7144))</f>
        <v>0</v>
      </c>
      <c r="N7166" s="39" t="n">
        <f aca="false">MIN(N7165*Assumptions!$E$38,N7161*(1-$C$7144))</f>
        <v>0</v>
      </c>
      <c r="P7166" s="40" t="n">
        <f aca="false">SUM(C7166:F7166)</f>
        <v>0</v>
      </c>
      <c r="Q7166" s="40" t="n">
        <f aca="false">SUM(G7166:J7166)</f>
        <v>0</v>
      </c>
      <c r="R7166" s="40" t="n">
        <f aca="false">SUM(K7166:N7166)</f>
        <v>0</v>
      </c>
      <c r="S7166" s="41" t="n">
        <f aca="false">SUM(P7166:R7166)</f>
        <v>0</v>
      </c>
    </row>
    <row r="7167" customFormat="false" ht="15" hidden="false" customHeight="false" outlineLevel="0" collapsed="false">
      <c r="A7167" s="4" t="s">
        <v>495</v>
      </c>
      <c r="B7167" s="36" t="s">
        <v>491</v>
      </c>
      <c r="C7167" s="48" t="n">
        <f aca="false">C7166*Assumptions!$E$20*Assumptions!$E$39*IF(C7161&gt;0,C7162/C7161,0)*C7151</f>
        <v>0</v>
      </c>
      <c r="D7167" s="48" t="n">
        <f aca="false">D7166*Assumptions!$E$20*Assumptions!$E$39*IF(D7161&gt;0,D7162/D7161,0)*D7151</f>
        <v>0</v>
      </c>
      <c r="E7167" s="48" t="n">
        <f aca="false">E7166*Assumptions!$E$20*Assumptions!$E$39*IF(E7161&gt;0,E7162/E7161,0)*E7151</f>
        <v>0</v>
      </c>
      <c r="F7167" s="48" t="n">
        <f aca="false">F7166*Assumptions!$E$20*Assumptions!$E$39*IF(F7161&gt;0,F7162/F7161,0)*F7151</f>
        <v>0</v>
      </c>
      <c r="G7167" s="48" t="n">
        <f aca="false">G7166*Assumptions!$E$20*Assumptions!$E$39*IF(G7161&gt;0,G7162/G7161,0)*G7151</f>
        <v>0</v>
      </c>
      <c r="H7167" s="48" t="n">
        <f aca="false">H7166*Assumptions!$E$20*Assumptions!$E$39*IF(H7161&gt;0,H7162/H7161,0)*H7151</f>
        <v>0</v>
      </c>
      <c r="I7167" s="48" t="n">
        <f aca="false">I7166*Assumptions!$E$20*Assumptions!$E$39*IF(I7161&gt;0,I7162/I7161,0)*I7151</f>
        <v>0</v>
      </c>
      <c r="J7167" s="48" t="n">
        <f aca="false">J7166*Assumptions!$E$20*Assumptions!$E$39*IF(J7161&gt;0,J7162/J7161,0)*J7151</f>
        <v>0</v>
      </c>
      <c r="K7167" s="48" t="n">
        <f aca="false">K7166*Assumptions!$E$20*Assumptions!$E$39*IF(K7161&gt;0,K7162/K7161,0)*K7151</f>
        <v>0</v>
      </c>
      <c r="L7167" s="48" t="n">
        <f aca="false">L7166*Assumptions!$E$20*Assumptions!$E$39*IF(L7161&gt;0,L7162/L7161,0)*L7151</f>
        <v>0</v>
      </c>
      <c r="M7167" s="48" t="n">
        <f aca="false">M7166*Assumptions!$E$20*Assumptions!$E$39*IF(M7161&gt;0,M7162/M7161,0)*M7151</f>
        <v>0</v>
      </c>
      <c r="N7167" s="48" t="n">
        <f aca="false">N7166*Assumptions!$E$20*Assumptions!$E$39*IF(N7161&gt;0,N7162/N7161,0)*N7151</f>
        <v>0</v>
      </c>
      <c r="P7167" s="49" t="n">
        <f aca="false">SUM(C7167:F7167)</f>
        <v>0</v>
      </c>
      <c r="Q7167" s="49" t="n">
        <f aca="false">SUM(G7167:J7167)</f>
        <v>0</v>
      </c>
      <c r="R7167" s="49" t="n">
        <f aca="false">SUM(K7167:N7167)</f>
        <v>0</v>
      </c>
      <c r="S7167" s="50" t="n">
        <f aca="false">SUM(P7167:R7167)</f>
        <v>0</v>
      </c>
    </row>
    <row r="7168" customFormat="false" ht="15" hidden="false" customHeight="false" outlineLevel="0" collapsed="false">
      <c r="A7168" s="4" t="s">
        <v>496</v>
      </c>
      <c r="B7168" s="36" t="s">
        <v>497</v>
      </c>
      <c r="C7168" s="48" t="n">
        <f aca="false">IF(AND(C7161&gt;0,$C$7148&gt;0),C7161*Assumptions!$E$24*(1-EXP(-$C$7148/(Assumptions!$E$23*C7161*Assumptions!$E$24))),0)</f>
        <v>0</v>
      </c>
      <c r="D7168" s="48" t="n">
        <f aca="false">IF(AND(D7161&gt;0,$C$7148&gt;0),D7161*Assumptions!$E$24*(1-EXP(-$C$7148/(Assumptions!$E$23*D7161*Assumptions!$E$24))),0)</f>
        <v>0</v>
      </c>
      <c r="E7168" s="48" t="n">
        <f aca="false">IF(AND(E7161&gt;0,$C$7148&gt;0),E7161*Assumptions!$E$24*(1-EXP(-$C$7148/(Assumptions!$E$23*E7161*Assumptions!$E$24))),0)</f>
        <v>0</v>
      </c>
      <c r="F7168" s="48" t="n">
        <f aca="false">IF(AND(F7161&gt;0,$C$7148&gt;0),F7161*Assumptions!$E$24*(1-EXP(-$C$7148/(Assumptions!$E$23*F7161*Assumptions!$E$24))),0)</f>
        <v>0</v>
      </c>
      <c r="G7168" s="48" t="n">
        <f aca="false">IF(AND(G7161&gt;0,$C$7148&gt;0),G7161*Assumptions!$E$24*(1-EXP(-$C$7148/(Assumptions!$E$23*G7161*Assumptions!$E$24))),0)</f>
        <v>0</v>
      </c>
      <c r="H7168" s="48" t="n">
        <f aca="false">IF(AND(H7161&gt;0,$C$7148&gt;0),H7161*Assumptions!$E$24*(1-EXP(-$C$7148/(Assumptions!$E$23*H7161*Assumptions!$E$24))),0)</f>
        <v>0</v>
      </c>
      <c r="I7168" s="48" t="n">
        <f aca="false">IF(AND(I7161&gt;0,$C$7148&gt;0),I7161*Assumptions!$E$24*(1-EXP(-$C$7148/(Assumptions!$E$23*I7161*Assumptions!$E$24))),0)</f>
        <v>0</v>
      </c>
      <c r="J7168" s="48" t="n">
        <f aca="false">IF(AND(J7161&gt;0,$C$7148&gt;0),J7161*Assumptions!$E$24*(1-EXP(-$C$7148/(Assumptions!$E$23*J7161*Assumptions!$E$24))),0)</f>
        <v>0</v>
      </c>
      <c r="K7168" s="48" t="n">
        <f aca="false">IF(AND(K7161&gt;0,$C$7148&gt;0),K7161*Assumptions!$E$24*(1-EXP(-$C$7148/(Assumptions!$E$23*K7161*Assumptions!$E$24))),0)</f>
        <v>0</v>
      </c>
      <c r="L7168" s="48" t="n">
        <f aca="false">IF(AND(L7161&gt;0,$C$7148&gt;0),L7161*Assumptions!$E$24*(1-EXP(-$C$7148/(Assumptions!$E$23*L7161*Assumptions!$E$24))),0)</f>
        <v>0</v>
      </c>
      <c r="M7168" s="48" t="n">
        <f aca="false">IF(AND(M7161&gt;0,$C$7148&gt;0),M7161*Assumptions!$E$24*(1-EXP(-$C$7148/(Assumptions!$E$23*M7161*Assumptions!$E$24))),0)</f>
        <v>0</v>
      </c>
      <c r="N7168" s="48" t="n">
        <f aca="false">IF(AND(N7161&gt;0,$C$7148&gt;0),N7161*Assumptions!$E$24*(1-EXP(-$C$7148/(Assumptions!$E$23*N7161*Assumptions!$E$24))),0)</f>
        <v>0</v>
      </c>
      <c r="P7168" s="49" t="n">
        <f aca="false">SUM(C7168:F7168)</f>
        <v>0</v>
      </c>
      <c r="Q7168" s="49" t="n">
        <f aca="false">SUM(G7168:J7168)</f>
        <v>0</v>
      </c>
      <c r="R7168" s="49" t="n">
        <f aca="false">SUM(K7168:N7168)</f>
        <v>0</v>
      </c>
      <c r="S7168" s="50" t="n">
        <f aca="false">SUM(P7168:R7168)</f>
        <v>0</v>
      </c>
    </row>
    <row r="7169" customFormat="false" ht="15" hidden="false" customHeight="false" outlineLevel="0" collapsed="false">
      <c r="A7169" s="4" t="s">
        <v>498</v>
      </c>
      <c r="B7169" s="36" t="s">
        <v>497</v>
      </c>
      <c r="C7169" s="48" t="n">
        <f aca="false">(C7161*Assumptions!$E$22*MIN(1,Assumptions!$D$103/Assumptions!$E$78)+C7168)*C7151</f>
        <v>5.5188772352</v>
      </c>
      <c r="D7169" s="48" t="n">
        <f aca="false">(D7161*Assumptions!$E$22*MIN(1,Assumptions!$D$103/Assumptions!$E$78)+D7168)*D7151</f>
        <v>11.0377544704</v>
      </c>
      <c r="E7169" s="48" t="n">
        <f aca="false">(E7161*Assumptions!$E$22*MIN(1,Assumptions!$D$103/Assumptions!$E$78)+E7168)*E7151</f>
        <v>11.0377544704</v>
      </c>
      <c r="F7169" s="48" t="n">
        <f aca="false">(F7161*Assumptions!$E$22*MIN(1,Assumptions!$D$103/Assumptions!$E$78)+F7168)*F7151</f>
        <v>11.0377544704</v>
      </c>
      <c r="G7169" s="48" t="n">
        <f aca="false">(G7161*Assumptions!$E$22*MIN(1,Assumptions!$D$103/Assumptions!$E$78)+G7168)*G7151</f>
        <v>14.9349950176</v>
      </c>
      <c r="H7169" s="48" t="n">
        <f aca="false">(H7161*Assumptions!$E$22*MIN(1,Assumptions!$D$103/Assumptions!$E$78)+H7168)*H7151</f>
        <v>18.8322355648</v>
      </c>
      <c r="I7169" s="48" t="n">
        <f aca="false">(I7161*Assumptions!$E$22*MIN(1,Assumptions!$D$103/Assumptions!$E$78)+I7168)*I7151</f>
        <v>31.6761039616</v>
      </c>
      <c r="J7169" s="48" t="n">
        <f aca="false">(J7161*Assumptions!$E$22*MIN(1,Assumptions!$D$103/Assumptions!$E$78)+J7168)*J7151</f>
        <v>44.5199723584</v>
      </c>
      <c r="K7169" s="48" t="n">
        <f aca="false">(K7161*Assumptions!$E$22*MIN(1,Assumptions!$D$103/Assumptions!$E$78)+K7168)*K7151</f>
        <v>44.5199723584</v>
      </c>
      <c r="L7169" s="48" t="n">
        <f aca="false">(L7161*Assumptions!$E$22*MIN(1,Assumptions!$D$103/Assumptions!$E$78)+L7168)*L7151</f>
        <v>44.5199723584</v>
      </c>
      <c r="M7169" s="48" t="n">
        <f aca="false">(M7161*Assumptions!$E$22*MIN(1,Assumptions!$D$103/Assumptions!$E$78)+M7168)*M7151</f>
        <v>44.5199723584</v>
      </c>
      <c r="N7169" s="48" t="n">
        <f aca="false">(N7161*Assumptions!$E$22*MIN(1,Assumptions!$D$103/Assumptions!$E$78)+N7168)*N7151</f>
        <v>44.5199723584</v>
      </c>
      <c r="P7169" s="49" t="n">
        <f aca="false">SUM(C7169:F7169)</f>
        <v>38.6321406464</v>
      </c>
      <c r="Q7169" s="49" t="n">
        <f aca="false">SUM(G7169:J7169)</f>
        <v>109.9633069024</v>
      </c>
      <c r="R7169" s="49" t="n">
        <f aca="false">SUM(K7169:N7169)</f>
        <v>178.0798894336</v>
      </c>
      <c r="S7169" s="50" t="n">
        <f aca="false">SUM(P7169:R7169)</f>
        <v>326.6753369824</v>
      </c>
    </row>
    <row r="7170" customFormat="false" ht="15" hidden="false" customHeight="false" outlineLevel="0" collapsed="false">
      <c r="A7170" s="4" t="s">
        <v>499</v>
      </c>
      <c r="B7170" s="36" t="s">
        <v>500</v>
      </c>
      <c r="C7170" s="48" t="n">
        <f aca="false">C7151*MIN(Assumptions!$E$27,Assumptions!$E$25+Assumptions!$E$26*(C7150-1))*Assumptions!$D$107</f>
        <v>2</v>
      </c>
      <c r="D7170" s="48" t="n">
        <f aca="false">D7151*MIN(Assumptions!$E$27,Assumptions!$E$25+Assumptions!$E$26*(D7150-1))*Assumptions!$D$107</f>
        <v>3</v>
      </c>
      <c r="E7170" s="48" t="n">
        <f aca="false">E7151*MIN(Assumptions!$E$27,Assumptions!$E$25+Assumptions!$E$26*(E7150-1))*Assumptions!$D$107</f>
        <v>4</v>
      </c>
      <c r="F7170" s="48" t="n">
        <f aca="false">F7151*MIN(Assumptions!$E$27,Assumptions!$E$25+Assumptions!$E$26*(F7150-1))*Assumptions!$D$107</f>
        <v>5</v>
      </c>
      <c r="G7170" s="48" t="n">
        <f aca="false">G7151*MIN(Assumptions!$E$27,Assumptions!$E$25+Assumptions!$E$26*(G7150-1))*Assumptions!$D$107</f>
        <v>6</v>
      </c>
      <c r="H7170" s="48" t="n">
        <f aca="false">H7151*MIN(Assumptions!$E$27,Assumptions!$E$25+Assumptions!$E$26*(H7150-1))*Assumptions!$D$107</f>
        <v>7</v>
      </c>
      <c r="I7170" s="48" t="n">
        <f aca="false">I7151*MIN(Assumptions!$E$27,Assumptions!$E$25+Assumptions!$E$26*(I7150-1))*Assumptions!$D$107</f>
        <v>8</v>
      </c>
      <c r="J7170" s="48" t="n">
        <f aca="false">J7151*MIN(Assumptions!$E$27,Assumptions!$E$25+Assumptions!$E$26*(J7150-1))*Assumptions!$D$107</f>
        <v>9</v>
      </c>
      <c r="K7170" s="48" t="n">
        <f aca="false">K7151*MIN(Assumptions!$E$27,Assumptions!$E$25+Assumptions!$E$26*(K7150-1))*Assumptions!$D$107</f>
        <v>10</v>
      </c>
      <c r="L7170" s="48" t="n">
        <f aca="false">L7151*MIN(Assumptions!$E$27,Assumptions!$E$25+Assumptions!$E$26*(L7150-1))*Assumptions!$D$107</f>
        <v>10</v>
      </c>
      <c r="M7170" s="48" t="n">
        <f aca="false">M7151*MIN(Assumptions!$E$27,Assumptions!$E$25+Assumptions!$E$26*(M7150-1))*Assumptions!$D$107</f>
        <v>10</v>
      </c>
      <c r="N7170" s="48" t="n">
        <f aca="false">N7151*MIN(Assumptions!$E$27,Assumptions!$E$25+Assumptions!$E$26*(N7150-1))*Assumptions!$D$107</f>
        <v>10</v>
      </c>
      <c r="P7170" s="49" t="n">
        <f aca="false">F7170</f>
        <v>5</v>
      </c>
      <c r="Q7170" s="49" t="n">
        <f aca="false">J7170</f>
        <v>9</v>
      </c>
      <c r="R7170" s="49" t="n">
        <f aca="false">N7170</f>
        <v>10</v>
      </c>
      <c r="S7170" s="50" t="n">
        <f aca="false">R7170</f>
        <v>10</v>
      </c>
    </row>
    <row r="7171" customFormat="false" ht="15" hidden="false" customHeight="false" outlineLevel="0" collapsed="false">
      <c r="A7171" s="4" t="s">
        <v>501</v>
      </c>
      <c r="B7171" s="36" t="s">
        <v>502</v>
      </c>
      <c r="C7171" s="48" t="n">
        <f aca="false">C7170*Assumptions!$E$28</f>
        <v>6</v>
      </c>
      <c r="D7171" s="48" t="n">
        <f aca="false">D7170*Assumptions!$E$28</f>
        <v>9</v>
      </c>
      <c r="E7171" s="48" t="n">
        <f aca="false">E7170*Assumptions!$E$28</f>
        <v>12</v>
      </c>
      <c r="F7171" s="48" t="n">
        <f aca="false">F7170*Assumptions!$E$28</f>
        <v>15</v>
      </c>
      <c r="G7171" s="48" t="n">
        <f aca="false">G7170*Assumptions!$E$28</f>
        <v>18</v>
      </c>
      <c r="H7171" s="48" t="n">
        <f aca="false">H7170*Assumptions!$E$28</f>
        <v>21</v>
      </c>
      <c r="I7171" s="48" t="n">
        <f aca="false">I7170*Assumptions!$E$28</f>
        <v>24</v>
      </c>
      <c r="J7171" s="48" t="n">
        <f aca="false">J7170*Assumptions!$E$28</f>
        <v>27</v>
      </c>
      <c r="K7171" s="48" t="n">
        <f aca="false">K7170*Assumptions!$E$28</f>
        <v>30</v>
      </c>
      <c r="L7171" s="48" t="n">
        <f aca="false">L7170*Assumptions!$E$28</f>
        <v>30</v>
      </c>
      <c r="M7171" s="48" t="n">
        <f aca="false">M7170*Assumptions!$E$28</f>
        <v>30</v>
      </c>
      <c r="N7171" s="48" t="n">
        <f aca="false">N7170*Assumptions!$E$28</f>
        <v>30</v>
      </c>
      <c r="P7171" s="49" t="n">
        <f aca="false">SUM(C7171:F7171)</f>
        <v>42</v>
      </c>
      <c r="Q7171" s="49" t="n">
        <f aca="false">SUM(G7171:J7171)</f>
        <v>90</v>
      </c>
      <c r="R7171" s="49" t="n">
        <f aca="false">SUM(K7171:N7171)</f>
        <v>120</v>
      </c>
      <c r="S7171" s="50" t="n">
        <f aca="false">SUM(P7171:R7171)</f>
        <v>252</v>
      </c>
    </row>
    <row r="7172" customFormat="false" ht="15" hidden="false" customHeight="false" outlineLevel="0" collapsed="false">
      <c r="A7172" s="4" t="s">
        <v>503</v>
      </c>
      <c r="B7172" s="36" t="s">
        <v>504</v>
      </c>
      <c r="C7172" s="48" t="n">
        <f aca="false">(C7163+C7167)*Assumptions!$E$29</f>
        <v>2.649061072896</v>
      </c>
      <c r="D7172" s="48" t="n">
        <f aca="false">(D7163+D7167)*Assumptions!$E$29</f>
        <v>4.93045821299048</v>
      </c>
      <c r="E7172" s="48" t="n">
        <f aca="false">(E7163+E7167)*Assumptions!$E$29</f>
        <v>4.58830837060879</v>
      </c>
      <c r="F7172" s="48" t="n">
        <f aca="false">(F7163+F7167)*Assumptions!$E$29</f>
        <v>4.26990206474738</v>
      </c>
      <c r="G7172" s="48" t="n">
        <f aca="false">(G7163+G7167)*Assumptions!$E$29</f>
        <v>5.844267072</v>
      </c>
      <c r="H7172" s="48" t="n">
        <f aca="false">(H7163+H7167)*Assumptions!$E$29</f>
        <v>7.17956301044434</v>
      </c>
      <c r="I7172" s="48" t="n">
        <f aca="false">(I7163+I7167)*Assumptions!$E$29</f>
        <v>12.8463930542132</v>
      </c>
      <c r="J7172" s="48" t="n">
        <f aca="false">(J7163+J7167)*Assumptions!$E$29</f>
        <v>17.6921476412567</v>
      </c>
      <c r="K7172" s="48" t="n">
        <f aca="false">(K7163+K7167)*Assumptions!$E$29</f>
        <v>16.4643985629052</v>
      </c>
      <c r="L7172" s="48" t="n">
        <f aca="false">(L7163+L7167)*Assumptions!$E$29</f>
        <v>15.3218493048332</v>
      </c>
      <c r="M7172" s="48" t="n">
        <f aca="false">(M7163+M7167)*Assumptions!$E$29</f>
        <v>14.2585874135079</v>
      </c>
      <c r="N7172" s="48" t="n">
        <f aca="false">(N7163+N7167)*Assumptions!$E$29</f>
        <v>13.2691107309425</v>
      </c>
      <c r="P7172" s="49" t="n">
        <f aca="false">SUM(C7172:F7172)</f>
        <v>16.4377297212427</v>
      </c>
      <c r="Q7172" s="49" t="n">
        <f aca="false">SUM(G7172:J7172)</f>
        <v>43.5623707779142</v>
      </c>
      <c r="R7172" s="49" t="n">
        <f aca="false">SUM(K7172:N7172)</f>
        <v>59.3139460121888</v>
      </c>
      <c r="S7172" s="50" t="n">
        <f aca="false">SUM(P7172:R7172)</f>
        <v>119.314046511346</v>
      </c>
    </row>
    <row r="7173" customFormat="false" ht="15" hidden="false" customHeight="false" outlineLevel="0" collapsed="false">
      <c r="A7173" s="4" t="s">
        <v>505</v>
      </c>
      <c r="B7173" s="36" t="s">
        <v>504</v>
      </c>
      <c r="C7173" s="48" t="n">
        <f aca="false">C7169*Assumptions!$E$31</f>
        <v>0.883020357632</v>
      </c>
      <c r="D7173" s="48" t="n">
        <f aca="false">D7169*Assumptions!$E$31</f>
        <v>1.766040715264</v>
      </c>
      <c r="E7173" s="48" t="n">
        <f aca="false">E7169*Assumptions!$E$31</f>
        <v>1.766040715264</v>
      </c>
      <c r="F7173" s="48" t="n">
        <f aca="false">F7169*Assumptions!$E$31</f>
        <v>1.766040715264</v>
      </c>
      <c r="G7173" s="48" t="n">
        <f aca="false">G7169*Assumptions!$E$31</f>
        <v>2.389599202816</v>
      </c>
      <c r="H7173" s="48" t="n">
        <f aca="false">H7169*Assumptions!$E$31</f>
        <v>3.013157690368</v>
      </c>
      <c r="I7173" s="48" t="n">
        <f aca="false">I7169*Assumptions!$E$31</f>
        <v>5.068176633856</v>
      </c>
      <c r="J7173" s="48" t="n">
        <f aca="false">J7169*Assumptions!$E$31</f>
        <v>7.123195577344</v>
      </c>
      <c r="K7173" s="48" t="n">
        <f aca="false">K7169*Assumptions!$E$31</f>
        <v>7.123195577344</v>
      </c>
      <c r="L7173" s="48" t="n">
        <f aca="false">L7169*Assumptions!$E$31</f>
        <v>7.123195577344</v>
      </c>
      <c r="M7173" s="48" t="n">
        <f aca="false">M7169*Assumptions!$E$31</f>
        <v>7.123195577344</v>
      </c>
      <c r="N7173" s="48" t="n">
        <f aca="false">N7169*Assumptions!$E$31</f>
        <v>7.123195577344</v>
      </c>
      <c r="P7173" s="49" t="n">
        <f aca="false">SUM(C7173:F7173)</f>
        <v>6.181142503424</v>
      </c>
      <c r="Q7173" s="49" t="n">
        <f aca="false">SUM(G7173:J7173)</f>
        <v>17.594129104384</v>
      </c>
      <c r="R7173" s="49" t="n">
        <f aca="false">SUM(K7173:N7173)</f>
        <v>28.492782309376</v>
      </c>
      <c r="S7173" s="50" t="n">
        <f aca="false">SUM(P7173:R7173)</f>
        <v>52.268053917184</v>
      </c>
    </row>
    <row r="7174" customFormat="false" ht="15" hidden="false" customHeight="false" outlineLevel="0" collapsed="false">
      <c r="A7174" s="4" t="s">
        <v>506</v>
      </c>
      <c r="B7174" s="36" t="s">
        <v>504</v>
      </c>
      <c r="C7174" s="48" t="n">
        <f aca="false">C7171*Assumptions!$E$30</f>
        <v>3</v>
      </c>
      <c r="D7174" s="48" t="n">
        <f aca="false">D7171*Assumptions!$E$30</f>
        <v>4.5</v>
      </c>
      <c r="E7174" s="48" t="n">
        <f aca="false">E7171*Assumptions!$E$30</f>
        <v>6</v>
      </c>
      <c r="F7174" s="48" t="n">
        <f aca="false">F7171*Assumptions!$E$30</f>
        <v>7.5</v>
      </c>
      <c r="G7174" s="48" t="n">
        <f aca="false">G7171*Assumptions!$E$30</f>
        <v>9</v>
      </c>
      <c r="H7174" s="48" t="n">
        <f aca="false">H7171*Assumptions!$E$30</f>
        <v>10.5</v>
      </c>
      <c r="I7174" s="48" t="n">
        <f aca="false">I7171*Assumptions!$E$30</f>
        <v>12</v>
      </c>
      <c r="J7174" s="48" t="n">
        <f aca="false">J7171*Assumptions!$E$30</f>
        <v>13.5</v>
      </c>
      <c r="K7174" s="48" t="n">
        <f aca="false">K7171*Assumptions!$E$30</f>
        <v>15</v>
      </c>
      <c r="L7174" s="48" t="n">
        <f aca="false">L7171*Assumptions!$E$30</f>
        <v>15</v>
      </c>
      <c r="M7174" s="48" t="n">
        <f aca="false">M7171*Assumptions!$E$30</f>
        <v>15</v>
      </c>
      <c r="N7174" s="48" t="n">
        <f aca="false">N7171*Assumptions!$E$30</f>
        <v>15</v>
      </c>
      <c r="P7174" s="49" t="n">
        <f aca="false">SUM(C7174:F7174)</f>
        <v>21</v>
      </c>
      <c r="Q7174" s="49" t="n">
        <f aca="false">SUM(G7174:J7174)</f>
        <v>45</v>
      </c>
      <c r="R7174" s="49" t="n">
        <f aca="false">SUM(K7174:N7174)</f>
        <v>60</v>
      </c>
      <c r="S7174" s="50" t="n">
        <f aca="false">SUM(P7174:R7174)</f>
        <v>126</v>
      </c>
    </row>
    <row r="7175" customFormat="false" ht="15" hidden="false" customHeight="false" outlineLevel="0" collapsed="false">
      <c r="A7175" s="9" t="s">
        <v>507</v>
      </c>
      <c r="B7175" s="36" t="s">
        <v>504</v>
      </c>
      <c r="C7175" s="49" t="n">
        <f aca="false">C7172+C7173+C7174</f>
        <v>6.532081430528</v>
      </c>
      <c r="D7175" s="49" t="n">
        <f aca="false">D7172+D7173+D7174</f>
        <v>11.1964989282545</v>
      </c>
      <c r="E7175" s="49" t="n">
        <f aca="false">E7172+E7173+E7174</f>
        <v>12.3543490858728</v>
      </c>
      <c r="F7175" s="49" t="n">
        <f aca="false">F7172+F7173+F7174</f>
        <v>13.5359427800114</v>
      </c>
      <c r="G7175" s="49" t="n">
        <f aca="false">G7172+G7173+G7174</f>
        <v>17.233866274816</v>
      </c>
      <c r="H7175" s="49" t="n">
        <f aca="false">H7172+H7173+H7174</f>
        <v>20.6927207008123</v>
      </c>
      <c r="I7175" s="49" t="n">
        <f aca="false">I7172+I7173+I7174</f>
        <v>29.9145696880692</v>
      </c>
      <c r="J7175" s="49" t="n">
        <f aca="false">J7172+J7173+J7174</f>
        <v>38.3153432186007</v>
      </c>
      <c r="K7175" s="49" t="n">
        <f aca="false">K7172+K7173+K7174</f>
        <v>38.5875941402492</v>
      </c>
      <c r="L7175" s="49" t="n">
        <f aca="false">L7172+L7173+L7174</f>
        <v>37.4450448821772</v>
      </c>
      <c r="M7175" s="49" t="n">
        <f aca="false">M7172+M7173+M7174</f>
        <v>36.3817829908519</v>
      </c>
      <c r="N7175" s="49" t="n">
        <f aca="false">N7172+N7173+N7174</f>
        <v>35.3923063082865</v>
      </c>
      <c r="P7175" s="49" t="n">
        <f aca="false">SUM(C7175:F7175)</f>
        <v>43.6188722246667</v>
      </c>
      <c r="Q7175" s="49" t="n">
        <f aca="false">SUM(G7175:J7175)</f>
        <v>106.156499882298</v>
      </c>
      <c r="R7175" s="49" t="n">
        <f aca="false">SUM(K7175:N7175)</f>
        <v>147.806728321565</v>
      </c>
      <c r="S7175" s="50" t="n">
        <f aca="false">SUM(P7175:R7175)</f>
        <v>297.58210042853</v>
      </c>
    </row>
    <row r="7176" customFormat="false" ht="15" hidden="false" customHeight="false" outlineLevel="0" collapsed="false">
      <c r="A7176" s="4" t="s">
        <v>508</v>
      </c>
      <c r="B7176" s="36" t="s">
        <v>509</v>
      </c>
      <c r="C7176" s="48" t="n">
        <f aca="false">C7158</f>
        <v>421.51972352</v>
      </c>
      <c r="D7176" s="48" t="n">
        <f aca="false">D7158</f>
        <v>843.03944704</v>
      </c>
      <c r="E7176" s="48" t="n">
        <f aca="false">E7158</f>
        <v>843.03944704</v>
      </c>
      <c r="F7176" s="48" t="n">
        <f aca="false">F7158</f>
        <v>843.03944704</v>
      </c>
      <c r="G7176" s="48" t="n">
        <f aca="false">G7158</f>
        <v>1149.32798176</v>
      </c>
      <c r="H7176" s="48" t="n">
        <f aca="false">H7158</f>
        <v>1455.61651648</v>
      </c>
      <c r="I7176" s="48" t="n">
        <f aca="false">I7158</f>
        <v>2486.00303616</v>
      </c>
      <c r="J7176" s="48" t="n">
        <f aca="false">J7158</f>
        <v>3516.38955584</v>
      </c>
      <c r="K7176" s="48" t="n">
        <f aca="false">K7158</f>
        <v>3516.38955584</v>
      </c>
      <c r="L7176" s="48" t="n">
        <f aca="false">L7158</f>
        <v>3516.38955584</v>
      </c>
      <c r="M7176" s="48" t="n">
        <f aca="false">M7158</f>
        <v>3516.38955584</v>
      </c>
      <c r="N7176" s="48" t="n">
        <f aca="false">N7158</f>
        <v>3516.38955584</v>
      </c>
      <c r="P7176" s="49"/>
      <c r="Q7176" s="49"/>
      <c r="R7176" s="49"/>
      <c r="S7176" s="50"/>
    </row>
    <row r="7177" customFormat="false" ht="15" hidden="false" customHeight="false" outlineLevel="0" collapsed="false">
      <c r="A7177" s="4" t="s">
        <v>510</v>
      </c>
      <c r="B7177" s="36" t="s">
        <v>509</v>
      </c>
      <c r="C7177" s="48" t="n">
        <f aca="false">C7159*Assumptions!$E$18*Assumptions!$E$33</f>
        <v>211.19616</v>
      </c>
      <c r="D7177" s="48" t="n">
        <f aca="false">D7159*Assumptions!$E$18*Assumptions!$E$33</f>
        <v>422.39232</v>
      </c>
      <c r="E7177" s="48" t="n">
        <f aca="false">E7159*Assumptions!$E$18*Assumptions!$E$33</f>
        <v>422.39232</v>
      </c>
      <c r="F7177" s="48" t="n">
        <f aca="false">F7159*Assumptions!$E$18*Assumptions!$E$33</f>
        <v>422.39232</v>
      </c>
      <c r="G7177" s="48" t="n">
        <f aca="false">G7159*Assumptions!$E$18*Assumptions!$E$33</f>
        <v>564.49344</v>
      </c>
      <c r="H7177" s="48" t="n">
        <f aca="false">H7159*Assumptions!$E$18*Assumptions!$E$33</f>
        <v>706.59456</v>
      </c>
      <c r="I7177" s="48" t="n">
        <f aca="false">I7159*Assumptions!$E$18*Assumptions!$E$33</f>
        <v>1135.07072</v>
      </c>
      <c r="J7177" s="48" t="n">
        <f aca="false">J7159*Assumptions!$E$18*Assumptions!$E$33</f>
        <v>1563.54688</v>
      </c>
      <c r="K7177" s="48" t="n">
        <f aca="false">K7159*Assumptions!$E$18*Assumptions!$E$33</f>
        <v>1563.54688</v>
      </c>
      <c r="L7177" s="48" t="n">
        <f aca="false">L7159*Assumptions!$E$18*Assumptions!$E$33</f>
        <v>1563.54688</v>
      </c>
      <c r="M7177" s="48" t="n">
        <f aca="false">M7159*Assumptions!$E$18*Assumptions!$E$33</f>
        <v>1563.54688</v>
      </c>
      <c r="N7177" s="48" t="n">
        <f aca="false">N7159*Assumptions!$E$18*Assumptions!$E$33</f>
        <v>1563.54688</v>
      </c>
      <c r="P7177" s="49"/>
      <c r="Q7177" s="49"/>
      <c r="R7177" s="49"/>
      <c r="S7177" s="50"/>
    </row>
    <row r="7178" customFormat="false" ht="15" hidden="false" customHeight="false" outlineLevel="0" collapsed="false">
      <c r="A7178" s="4" t="s">
        <v>511</v>
      </c>
      <c r="B7178" s="36" t="s">
        <v>509</v>
      </c>
      <c r="C7178" s="48" t="n">
        <f aca="false">C7160*Assumptions!$E$19*Assumptions!$E$34</f>
        <v>34.677888</v>
      </c>
      <c r="D7178" s="48" t="n">
        <f aca="false">D7160*Assumptions!$E$19*Assumptions!$E$34</f>
        <v>69.355776</v>
      </c>
      <c r="E7178" s="48" t="n">
        <f aca="false">E7160*Assumptions!$E$19*Assumptions!$E$34</f>
        <v>69.355776</v>
      </c>
      <c r="F7178" s="48" t="n">
        <f aca="false">F7160*Assumptions!$E$19*Assumptions!$E$34</f>
        <v>69.355776</v>
      </c>
      <c r="G7178" s="48" t="n">
        <f aca="false">G7160*Assumptions!$E$19*Assumptions!$E$34</f>
        <v>86.69472</v>
      </c>
      <c r="H7178" s="48" t="n">
        <f aca="false">H7160*Assumptions!$E$19*Assumptions!$E$34</f>
        <v>104.033664</v>
      </c>
      <c r="I7178" s="48" t="n">
        <f aca="false">I7160*Assumptions!$E$19*Assumptions!$E$34</f>
        <v>159.7008</v>
      </c>
      <c r="J7178" s="48" t="n">
        <f aca="false">J7160*Assumptions!$E$19*Assumptions!$E$34</f>
        <v>215.367936</v>
      </c>
      <c r="K7178" s="48" t="n">
        <f aca="false">K7160*Assumptions!$E$19*Assumptions!$E$34</f>
        <v>215.367936</v>
      </c>
      <c r="L7178" s="48" t="n">
        <f aca="false">L7160*Assumptions!$E$19*Assumptions!$E$34</f>
        <v>215.367936</v>
      </c>
      <c r="M7178" s="48" t="n">
        <f aca="false">M7160*Assumptions!$E$19*Assumptions!$E$34</f>
        <v>215.367936</v>
      </c>
      <c r="N7178" s="48" t="n">
        <f aca="false">N7160*Assumptions!$E$19*Assumptions!$E$34</f>
        <v>215.367936</v>
      </c>
      <c r="P7178" s="49"/>
      <c r="Q7178" s="49"/>
      <c r="R7178" s="49"/>
      <c r="S7178" s="50"/>
    </row>
    <row r="7179" customFormat="false" ht="15" hidden="false" customHeight="false" outlineLevel="0" collapsed="false">
      <c r="A7179" s="4" t="s">
        <v>512</v>
      </c>
      <c r="B7179" s="36" t="s">
        <v>77</v>
      </c>
      <c r="C7179" s="51" t="n">
        <f aca="false">IFERROR(C7176/(C7176+C7177+C7178),0)</f>
        <v>0.631590736245533</v>
      </c>
      <c r="D7179" s="51" t="n">
        <f aca="false">IFERROR(D7176/(D7176+D7177+D7178),0)</f>
        <v>0.631590736245533</v>
      </c>
      <c r="E7179" s="51" t="n">
        <f aca="false">IFERROR(E7176/(E7176+E7177+E7178),0)</f>
        <v>0.631590736245533</v>
      </c>
      <c r="F7179" s="51" t="n">
        <f aca="false">IFERROR(F7176/(F7176+F7177+F7178),0)</f>
        <v>0.631590736245533</v>
      </c>
      <c r="G7179" s="51" t="n">
        <f aca="false">IFERROR(G7176/(G7176+G7177+G7178),0)</f>
        <v>0.638332506498128</v>
      </c>
      <c r="H7179" s="51" t="n">
        <f aca="false">IFERROR(H7176/(H7176+H7177+H7178),0)</f>
        <v>0.642303318118984</v>
      </c>
      <c r="I7179" s="51" t="n">
        <f aca="false">IFERROR(I7176/(I7176+I7177+I7178),0)</f>
        <v>0.657538025405288</v>
      </c>
      <c r="J7179" s="51" t="n">
        <f aca="false">IFERROR(J7176/(J7176+J7177+J7178),0)</f>
        <v>0.664058061428891</v>
      </c>
      <c r="K7179" s="51" t="n">
        <f aca="false">IFERROR(K7176/(K7176+K7177+K7178),0)</f>
        <v>0.664058061428891</v>
      </c>
      <c r="L7179" s="51" t="n">
        <f aca="false">IFERROR(L7176/(L7176+L7177+L7178),0)</f>
        <v>0.664058061428891</v>
      </c>
      <c r="M7179" s="51" t="n">
        <f aca="false">IFERROR(M7176/(M7176+M7177+M7178),0)</f>
        <v>0.664058061428891</v>
      </c>
      <c r="N7179" s="51" t="n">
        <f aca="false">IFERROR(N7176/(N7176+N7177+N7178),0)</f>
        <v>0.664058061428891</v>
      </c>
      <c r="P7179" s="52"/>
      <c r="Q7179" s="52"/>
      <c r="R7179" s="52"/>
      <c r="S7179" s="53"/>
    </row>
    <row r="7180" customFormat="false" ht="15" hidden="false" customHeight="false" outlineLevel="0" collapsed="false">
      <c r="A7180" s="4" t="s">
        <v>513</v>
      </c>
      <c r="B7180" s="36" t="s">
        <v>77</v>
      </c>
      <c r="C7180" s="51" t="n">
        <f aca="false">IFERROR(C7177/(C7176+C7177+C7178),0)</f>
        <v>0.316449102482628</v>
      </c>
      <c r="D7180" s="51" t="n">
        <f aca="false">IFERROR(D7177/(D7176+D7177+D7178),0)</f>
        <v>0.316449102482628</v>
      </c>
      <c r="E7180" s="51" t="n">
        <f aca="false">IFERROR(E7177/(E7176+E7177+E7178),0)</f>
        <v>0.316449102482628</v>
      </c>
      <c r="F7180" s="51" t="n">
        <f aca="false">IFERROR(F7177/(F7176+F7177+F7178),0)</f>
        <v>0.316449102482628</v>
      </c>
      <c r="G7180" s="51" t="n">
        <f aca="false">IFERROR(G7177/(G7176+G7177+G7178),0)</f>
        <v>0.313517566939561</v>
      </c>
      <c r="H7180" s="51" t="n">
        <f aca="false">IFERROR(H7177/(H7176+H7177+H7178),0)</f>
        <v>0.311790932099567</v>
      </c>
      <c r="I7180" s="51" t="n">
        <f aca="false">IFERROR(I7177/(I7176+I7177+I7178),0)</f>
        <v>0.300221741111391</v>
      </c>
      <c r="J7180" s="51" t="n">
        <f aca="false">IFERROR(J7177/(J7176+J7177+J7178),0)</f>
        <v>0.295270445324128</v>
      </c>
      <c r="K7180" s="51" t="n">
        <f aca="false">IFERROR(K7177/(K7176+K7177+K7178),0)</f>
        <v>0.295270445324128</v>
      </c>
      <c r="L7180" s="51" t="n">
        <f aca="false">IFERROR(L7177/(L7176+L7177+L7178),0)</f>
        <v>0.295270445324128</v>
      </c>
      <c r="M7180" s="51" t="n">
        <f aca="false">IFERROR(M7177/(M7176+M7177+M7178),0)</f>
        <v>0.295270445324128</v>
      </c>
      <c r="N7180" s="51" t="n">
        <f aca="false">IFERROR(N7177/(N7176+N7177+N7178),0)</f>
        <v>0.295270445324128</v>
      </c>
      <c r="P7180" s="52"/>
      <c r="Q7180" s="52"/>
      <c r="R7180" s="52"/>
      <c r="S7180" s="53"/>
    </row>
    <row r="7181" customFormat="false" ht="15" hidden="false" customHeight="false" outlineLevel="0" collapsed="false">
      <c r="A7181" s="4" t="s">
        <v>514</v>
      </c>
      <c r="B7181" s="36" t="s">
        <v>77</v>
      </c>
      <c r="C7181" s="51" t="n">
        <f aca="false">IFERROR(C7178/(C7176+C7177+C7178),0)</f>
        <v>0.0519601612718389</v>
      </c>
      <c r="D7181" s="51" t="n">
        <f aca="false">IFERROR(D7178/(D7176+D7177+D7178),0)</f>
        <v>0.0519601612718389</v>
      </c>
      <c r="E7181" s="51" t="n">
        <f aca="false">IFERROR(E7178/(E7176+E7177+E7178),0)</f>
        <v>0.0519601612718389</v>
      </c>
      <c r="F7181" s="51" t="n">
        <f aca="false">IFERROR(F7178/(F7176+F7177+F7178),0)</f>
        <v>0.0519601612718389</v>
      </c>
      <c r="G7181" s="51" t="n">
        <f aca="false">IFERROR(G7178/(G7176+G7177+G7178),0)</f>
        <v>0.0481499265623113</v>
      </c>
      <c r="H7181" s="51" t="n">
        <f aca="false">IFERROR(H7178/(H7176+H7177+H7178),0)</f>
        <v>0.0459057497814491</v>
      </c>
      <c r="I7181" s="51" t="n">
        <f aca="false">IFERROR(I7178/(I7176+I7177+I7178),0)</f>
        <v>0.0422402334833216</v>
      </c>
      <c r="J7181" s="51" t="n">
        <f aca="false">IFERROR(J7178/(J7176+J7177+J7178),0)</f>
        <v>0.0406714932469811</v>
      </c>
      <c r="K7181" s="51" t="n">
        <f aca="false">IFERROR(K7178/(K7176+K7177+K7178),0)</f>
        <v>0.0406714932469811</v>
      </c>
      <c r="L7181" s="51" t="n">
        <f aca="false">IFERROR(L7178/(L7176+L7177+L7178),0)</f>
        <v>0.0406714932469811</v>
      </c>
      <c r="M7181" s="51" t="n">
        <f aca="false">IFERROR(M7178/(M7176+M7177+M7178),0)</f>
        <v>0.0406714932469811</v>
      </c>
      <c r="N7181" s="51" t="n">
        <f aca="false">IFERROR(N7178/(N7176+N7177+N7178),0)</f>
        <v>0.0406714932469811</v>
      </c>
      <c r="P7181" s="52"/>
      <c r="Q7181" s="52"/>
      <c r="R7181" s="52"/>
      <c r="S7181" s="53"/>
    </row>
    <row r="7182" customFormat="false" ht="15" hidden="false" customHeight="false" outlineLevel="0" collapsed="false">
      <c r="A7182" s="4" t="s">
        <v>515</v>
      </c>
      <c r="B7182" s="36" t="s">
        <v>516</v>
      </c>
      <c r="C7182" s="48" t="n">
        <f aca="false">IF(C7150-Assumptions!$E$35&lt;1,0,INDEX($C$7175:$N$7175,1,C7150-Assumptions!$E$35)*INDEX($C$7179:$N$7179,1,C7150-Assumptions!$E$35)*Assumptions!$E$32)</f>
        <v>0</v>
      </c>
      <c r="D7182" s="48" t="n">
        <f aca="false">IF(D7150-Assumptions!$E$35&lt;1,0,INDEX($C$7175:$N$7175,1,D7150-Assumptions!$E$35)*INDEX($C$7179:$N$7179,1,D7150-Assumptions!$E$35)*Assumptions!$E$32)</f>
        <v>0.866376445183821</v>
      </c>
      <c r="E7182" s="48" t="n">
        <f aca="false">IF(E7150-Assumptions!$E$35&lt;1,0,INDEX($C$7175:$N$7175,1,E7150-Assumptions!$E$35)*INDEX($C$7179:$N$7179,1,E7150-Assumptions!$E$35)*Assumptions!$E$32)</f>
        <v>1.4850370503084</v>
      </c>
      <c r="F7182" s="48" t="n">
        <f aca="false">IF(F7150-Assumptions!$E$35&lt;1,0,INDEX($C$7175:$N$7175,1,F7150-Assumptions!$E$35)*INDEX($C$7179:$N$7179,1,F7150-Assumptions!$E$35)*Assumptions!$E$32)</f>
        <v>1.63860741134595</v>
      </c>
      <c r="G7182" s="48" t="n">
        <f aca="false">IF(G7150-Assumptions!$E$35&lt;1,0,INDEX($C$7175:$N$7175,1,G7150-Assumptions!$E$35)*INDEX($C$7179:$N$7179,1,G7150-Assumptions!$E$35)*Assumptions!$E$32)</f>
        <v>1.79532697390301</v>
      </c>
      <c r="H7182" s="48" t="n">
        <f aca="false">IF(H7150-Assumptions!$E$35&lt;1,0,INDEX($C$7175:$N$7175,1,H7150-Assumptions!$E$35)*INDEX($C$7179:$N$7179,1,H7150-Assumptions!$E$35)*Assumptions!$E$32)</f>
        <v>2.31019678172994</v>
      </c>
      <c r="I7182" s="48" t="n">
        <f aca="false">IF(I7150-Assumptions!$E$35&lt;1,0,INDEX($C$7175:$N$7175,1,I7150-Assumptions!$E$35)*INDEX($C$7179:$N$7179,1,I7150-Assumptions!$E$35)*Assumptions!$E$32)</f>
        <v>2.79111066507864</v>
      </c>
      <c r="J7182" s="48" t="n">
        <f aca="false">IF(J7150-Assumptions!$E$35&lt;1,0,INDEX($C$7175:$N$7175,1,J7150-Assumptions!$E$35)*INDEX($C$7179:$N$7179,1,J7150-Assumptions!$E$35)*Assumptions!$E$32)</f>
        <v>4.1306930875438</v>
      </c>
      <c r="K7182" s="48" t="n">
        <f aca="false">IF(K7150-Assumptions!$E$35&lt;1,0,INDEX($C$7175:$N$7175,1,K7150-Assumptions!$E$35)*INDEX($C$7179:$N$7179,1,K7150-Assumptions!$E$35)*Assumptions!$E$32)</f>
        <v>5.34315863355258</v>
      </c>
      <c r="L7182" s="48" t="n">
        <f aca="false">IF(L7150-Assumptions!$E$35&lt;1,0,INDEX($C$7175:$N$7175,1,L7150-Assumptions!$E$35)*INDEX($C$7179:$N$7179,1,L7150-Assumptions!$E$35)*Assumptions!$E$32)</f>
        <v>5.38112462159553</v>
      </c>
      <c r="M7182" s="48" t="n">
        <f aca="false">IF(M7150-Assumptions!$E$35&lt;1,0,INDEX($C$7175:$N$7175,1,M7150-Assumptions!$E$35)*INDEX($C$7179:$N$7179,1,M7150-Assumptions!$E$35)*Assumptions!$E$32)</f>
        <v>5.22179362206104</v>
      </c>
      <c r="N7182" s="48" t="n">
        <f aca="false">IF(N7150-Assumptions!$E$35&lt;1,0,INDEX($C$7175:$N$7175,1,N7150-Assumptions!$E$35)*INDEX($C$7179:$N$7179,1,N7150-Assumptions!$E$35)*Assumptions!$E$32)</f>
        <v>5.07351941968866</v>
      </c>
      <c r="P7182" s="49" t="n">
        <f aca="false">SUM(C7182:F7182)</f>
        <v>3.99002090683817</v>
      </c>
      <c r="Q7182" s="49" t="n">
        <f aca="false">SUM(G7182:J7182)</f>
        <v>11.0273275082554</v>
      </c>
      <c r="R7182" s="49" t="n">
        <f aca="false">SUM(K7182:N7182)</f>
        <v>21.0195962968978</v>
      </c>
      <c r="S7182" s="50" t="n">
        <f aca="false">SUM(P7182:R7182)</f>
        <v>36.0369447119914</v>
      </c>
    </row>
    <row r="7183" customFormat="false" ht="15" hidden="false" customHeight="false" outlineLevel="0" collapsed="false">
      <c r="A7183" s="4" t="s">
        <v>517</v>
      </c>
      <c r="B7183" s="36" t="s">
        <v>516</v>
      </c>
      <c r="C7183" s="48" t="n">
        <f aca="false">IF(C7150-Assumptions!$E$35&lt;1,0,INDEX($C$7175:$N$7175,1,C7150-Assumptions!$E$35)*INDEX($C$7180:$N$7180,1,C7150-Assumptions!$E$35)*Assumptions!$E$32)</f>
        <v>0</v>
      </c>
      <c r="D7183" s="48" t="n">
        <f aca="false">IF(D7150-Assumptions!$E$35&lt;1,0,INDEX($C$7175:$N$7175,1,D7150-Assumptions!$E$35)*INDEX($C$7180:$N$7180,1,D7150-Assumptions!$E$35)*Assumptions!$E$32)</f>
        <v>0.434084974267145</v>
      </c>
      <c r="E7183" s="48" t="n">
        <f aca="false">IF(E7150-Assumptions!$E$35&lt;1,0,INDEX($C$7175:$N$7175,1,E7150-Assumptions!$E$35)*INDEX($C$7180:$N$7180,1,E7150-Assumptions!$E$35)*Assumptions!$E$32)</f>
        <v>0.744055627726705</v>
      </c>
      <c r="F7183" s="48" t="n">
        <f aca="false">IF(F7150-Assumptions!$E$35&lt;1,0,INDEX($C$7175:$N$7175,1,F7150-Assumptions!$E$35)*INDEX($C$7180:$N$7180,1,F7150-Assumptions!$E$35)*Assumptions!$E$32)</f>
        <v>0.820999762796119</v>
      </c>
      <c r="G7183" s="48" t="n">
        <f aca="false">IF(G7150-Assumptions!$E$35&lt;1,0,INDEX($C$7175:$N$7175,1,G7150-Assumptions!$E$35)*INDEX($C$7180:$N$7180,1,G7150-Assumptions!$E$35)*Assumptions!$E$32)</f>
        <v>0.89952175823807</v>
      </c>
      <c r="H7183" s="48" t="n">
        <f aca="false">IF(H7150-Assumptions!$E$35&lt;1,0,INDEX($C$7175:$N$7175,1,H7150-Assumptions!$E$35)*INDEX($C$7180:$N$7180,1,H7150-Assumptions!$E$35)*Assumptions!$E$32)</f>
        <v>1.13465516292283</v>
      </c>
      <c r="I7183" s="48" t="n">
        <f aca="false">IF(I7150-Assumptions!$E$35&lt;1,0,INDEX($C$7175:$N$7175,1,I7150-Assumptions!$E$35)*INDEX($C$7180:$N$7180,1,I7150-Assumptions!$E$35)*Assumptions!$E$32)</f>
        <v>1.35487856174628</v>
      </c>
      <c r="J7183" s="48" t="n">
        <f aca="false">IF(J7150-Assumptions!$E$35&lt;1,0,INDEX($C$7175:$N$7175,1,J7150-Assumptions!$E$35)*INDEX($C$7180:$N$7180,1,J7150-Assumptions!$E$35)*Assumptions!$E$32)</f>
        <v>1.88601088123353</v>
      </c>
      <c r="K7183" s="48" t="n">
        <f aca="false">IF(K7150-Assumptions!$E$35&lt;1,0,INDEX($C$7175:$N$7175,1,K7150-Assumptions!$E$35)*INDEX($C$7180:$N$7180,1,K7150-Assumptions!$E$35)*Assumptions!$E$32)</f>
        <v>2.37581157552964</v>
      </c>
      <c r="L7183" s="48" t="n">
        <f aca="false">IF(L7150-Assumptions!$E$35&lt;1,0,INDEX($C$7175:$N$7175,1,L7150-Assumptions!$E$35)*INDEX($C$7180:$N$7180,1,L7150-Assumptions!$E$35)*Assumptions!$E$32)</f>
        <v>2.3926929822134</v>
      </c>
      <c r="M7183" s="48" t="n">
        <f aca="false">IF(M7150-Assumptions!$E$35&lt;1,0,INDEX($C$7175:$N$7175,1,M7150-Assumptions!$E$35)*INDEX($C$7180:$N$7180,1,M7150-Assumptions!$E$35)*Assumptions!$E$32)</f>
        <v>2.32184716628391</v>
      </c>
      <c r="N7183" s="48" t="n">
        <f aca="false">IF(N7150-Assumptions!$E$35&lt;1,0,INDEX($C$7175:$N$7175,1,N7150-Assumptions!$E$35)*INDEX($C$7180:$N$7180,1,N7150-Assumptions!$E$35)*Assumptions!$E$32)</f>
        <v>2.25591770573287</v>
      </c>
      <c r="P7183" s="49" t="n">
        <f aca="false">SUM(C7183:F7183)</f>
        <v>1.99914036478997</v>
      </c>
      <c r="Q7183" s="49" t="n">
        <f aca="false">SUM(G7183:J7183)</f>
        <v>5.27506636414072</v>
      </c>
      <c r="R7183" s="49" t="n">
        <f aca="false">SUM(K7183:N7183)</f>
        <v>9.34626942975982</v>
      </c>
      <c r="S7183" s="50" t="n">
        <f aca="false">SUM(P7183:R7183)</f>
        <v>16.6204761586905</v>
      </c>
    </row>
    <row r="7184" customFormat="false" ht="15" hidden="false" customHeight="false" outlineLevel="0" collapsed="false">
      <c r="A7184" s="4" t="s">
        <v>518</v>
      </c>
      <c r="B7184" s="36" t="s">
        <v>516</v>
      </c>
      <c r="C7184" s="48" t="n">
        <f aca="false">IF(C7150-Assumptions!$E$36&lt;1,0,INDEX($C$7175:$N$7175,1,C7150-Assumptions!$E$36)*INDEX($C$7181:$N$7181,1,C7150-Assumptions!$E$36)*Assumptions!$E$32)</f>
        <v>0</v>
      </c>
      <c r="D7184" s="48" t="n">
        <f aca="false">IF(D7150-Assumptions!$E$36&lt;1,0,INDEX($C$7175:$N$7175,1,D7150-Assumptions!$E$36)*INDEX($C$7181:$N$7181,1,D7150-Assumptions!$E$36)*Assumptions!$E$32)</f>
        <v>0</v>
      </c>
      <c r="E7184" s="48" t="n">
        <f aca="false">IF(E7150-Assumptions!$E$36&lt;1,0,INDEX($C$7175:$N$7175,1,E7150-Assumptions!$E$36)*INDEX($C$7181:$N$7181,1,E7150-Assumptions!$E$36)*Assumptions!$E$32)</f>
        <v>0.071275680959914</v>
      </c>
      <c r="F7184" s="48" t="n">
        <f aca="false">IF(F7150-Assumptions!$E$36&lt;1,0,INDEX($C$7175:$N$7175,1,F7150-Assumptions!$E$36)*INDEX($C$7181:$N$7181,1,F7150-Assumptions!$E$36)*Assumptions!$E$32)</f>
        <v>0.122172096898336</v>
      </c>
      <c r="G7184" s="48" t="n">
        <f aca="false">IF(G7150-Assumptions!$E$36&lt;1,0,INDEX($C$7175:$N$7175,1,G7150-Assumptions!$E$36)*INDEX($C$7181:$N$7181,1,G7150-Assumptions!$E$36)*Assumptions!$E$32)</f>
        <v>0.134806133891215</v>
      </c>
      <c r="H7184" s="48" t="n">
        <f aca="false">IF(H7150-Assumptions!$E$36&lt;1,0,INDEX($C$7175:$N$7175,1,H7150-Assumptions!$E$36)*INDEX($C$7181:$N$7181,1,H7150-Assumptions!$E$36)*Assumptions!$E$32)</f>
        <v>0.147699251661313</v>
      </c>
      <c r="I7184" s="48" t="n">
        <f aca="false">IF(I7150-Assumptions!$E$36&lt;1,0,INDEX($C$7175:$N$7175,1,I7150-Assumptions!$E$36)*INDEX($C$7181:$N$7181,1,I7150-Assumptions!$E$36)*Assumptions!$E$32)</f>
        <v>0.174259973058587</v>
      </c>
      <c r="J7184" s="48" t="n">
        <f aca="false">IF(J7150-Assumptions!$E$36&lt;1,0,INDEX($C$7175:$N$7175,1,J7150-Assumptions!$E$36)*INDEX($C$7181:$N$7181,1,J7150-Assumptions!$E$36)*Assumptions!$E$32)</f>
        <v>0.19948212034567</v>
      </c>
      <c r="K7184" s="48" t="n">
        <f aca="false">IF(K7150-Assumptions!$E$36&lt;1,0,INDEX($C$7175:$N$7175,1,K7150-Assumptions!$E$36)*INDEX($C$7181:$N$7181,1,K7150-Assumptions!$E$36)*Assumptions!$E$32)</f>
        <v>0.265355665717199</v>
      </c>
      <c r="L7184" s="48" t="n">
        <f aca="false">IF(L7150-Assumptions!$E$36&lt;1,0,INDEX($C$7175:$N$7175,1,L7150-Assumptions!$E$36)*INDEX($C$7181:$N$7181,1,L7150-Assumptions!$E$36)*Assumptions!$E$32)</f>
        <v>0.327251866823927</v>
      </c>
      <c r="M7184" s="48" t="n">
        <f aca="false">IF(M7150-Assumptions!$E$36&lt;1,0,INDEX($C$7175:$N$7175,1,M7150-Assumptions!$E$36)*INDEX($C$7181:$N$7181,1,M7150-Assumptions!$E$36)*Assumptions!$E$32)</f>
        <v>0.329577165643402</v>
      </c>
      <c r="N7184" s="48" t="n">
        <f aca="false">IF(N7150-Assumptions!$E$36&lt;1,0,INDEX($C$7175:$N$7175,1,N7150-Assumptions!$E$36)*INDEX($C$7181:$N$7181,1,N7150-Assumptions!$E$36)*Assumptions!$E$32)</f>
        <v>0.319818636912259</v>
      </c>
      <c r="P7184" s="49" t="n">
        <f aca="false">SUM(C7184:F7184)</f>
        <v>0.19344777785825</v>
      </c>
      <c r="Q7184" s="49" t="n">
        <f aca="false">SUM(G7184:J7184)</f>
        <v>0.656247478956785</v>
      </c>
      <c r="R7184" s="49" t="n">
        <f aca="false">SUM(K7184:N7184)</f>
        <v>1.24200333509679</v>
      </c>
      <c r="S7184" s="50" t="n">
        <f aca="false">SUM(P7184:R7184)</f>
        <v>2.09169859191182</v>
      </c>
    </row>
    <row r="7185" customFormat="false" ht="15" hidden="false" customHeight="false" outlineLevel="0" collapsed="false">
      <c r="A7185" s="4" t="s">
        <v>519</v>
      </c>
      <c r="B7185" s="36" t="s">
        <v>77</v>
      </c>
      <c r="C7185" s="51" t="n">
        <f aca="false">IF(C7150-Assumptions!$E$35&lt;1,0,IFERROR(INDEX($C$7174:$N$7174,1,C7150-Assumptions!$E$35)/INDEX($C$7175:$N$7175,1,C7150-Assumptions!$E$35),0))</f>
        <v>0</v>
      </c>
      <c r="D7185" s="51" t="n">
        <f aca="false">IF(D7150-Assumptions!$E$35&lt;1,0,IFERROR(INDEX($C$7174:$N$7174,1,D7150-Assumptions!$E$35)/INDEX($C$7175:$N$7175,1,D7150-Assumptions!$E$35),0))</f>
        <v>0.459271678087073</v>
      </c>
      <c r="E7185" s="51" t="n">
        <f aca="false">IF(E7150-Assumptions!$E$35&lt;1,0,IFERROR(INDEX($C$7174:$N$7174,1,E7150-Assumptions!$E$35)/INDEX($C$7175:$N$7175,1,E7150-Assumptions!$E$35),0))</f>
        <v>0.401911350042128</v>
      </c>
      <c r="F7185" s="51" t="n">
        <f aca="false">IF(F7150-Assumptions!$E$35&lt;1,0,IFERROR(INDEX($C$7174:$N$7174,1,F7150-Assumptions!$E$35)/INDEX($C$7175:$N$7175,1,F7150-Assumptions!$E$35),0))</f>
        <v>0.485658933408398</v>
      </c>
      <c r="G7185" s="51" t="n">
        <f aca="false">IF(G7150-Assumptions!$E$35&lt;1,0,IFERROR(INDEX($C$7174:$N$7174,1,G7150-Assumptions!$E$35)/INDEX($C$7175:$N$7175,1,G7150-Assumptions!$E$35),0))</f>
        <v>0.554080356417826</v>
      </c>
      <c r="H7185" s="51" t="n">
        <f aca="false">IF(H7150-Assumptions!$E$35&lt;1,0,IFERROR(INDEX($C$7174:$N$7174,1,H7150-Assumptions!$E$35)/INDEX($C$7175:$N$7175,1,H7150-Assumptions!$E$35),0))</f>
        <v>0.522227563825987</v>
      </c>
      <c r="I7185" s="51" t="n">
        <f aca="false">IF(I7150-Assumptions!$E$35&lt;1,0,IFERROR(INDEX($C$7174:$N$7174,1,I7150-Assumptions!$E$35)/INDEX($C$7175:$N$7175,1,I7150-Assumptions!$E$35),0))</f>
        <v>0.507424816282752</v>
      </c>
      <c r="J7185" s="51" t="n">
        <f aca="false">IF(J7150-Assumptions!$E$35&lt;1,0,IFERROR(INDEX($C$7174:$N$7174,1,J7150-Assumptions!$E$35)/INDEX($C$7175:$N$7175,1,J7150-Assumptions!$E$35),0))</f>
        <v>0.401142323795015</v>
      </c>
      <c r="K7185" s="51" t="n">
        <f aca="false">IF(K7150-Assumptions!$E$35&lt;1,0,IFERROR(INDEX($C$7174:$N$7174,1,K7150-Assumptions!$E$35)/INDEX($C$7175:$N$7175,1,K7150-Assumptions!$E$35),0))</f>
        <v>0.352339268448632</v>
      </c>
      <c r="L7185" s="51" t="n">
        <f aca="false">IF(L7150-Assumptions!$E$35&lt;1,0,IFERROR(INDEX($C$7174:$N$7174,1,L7150-Assumptions!$E$35)/INDEX($C$7175:$N$7175,1,L7150-Assumptions!$E$35),0))</f>
        <v>0.388725970981282</v>
      </c>
      <c r="M7185" s="51" t="n">
        <f aca="false">IF(M7150-Assumptions!$E$35&lt;1,0,IFERROR(INDEX($C$7174:$N$7174,1,M7150-Assumptions!$E$35)/INDEX($C$7175:$N$7175,1,M7150-Assumptions!$E$35),0))</f>
        <v>0.400587048224893</v>
      </c>
      <c r="N7185" s="51" t="n">
        <f aca="false">IF(N7150-Assumptions!$E$35&lt;1,0,IFERROR(INDEX($C$7174:$N$7174,1,N7150-Assumptions!$E$35)/INDEX($C$7175:$N$7175,1,N7150-Assumptions!$E$35),0))</f>
        <v>0.412294251872474</v>
      </c>
      <c r="P7185" s="52"/>
      <c r="Q7185" s="52"/>
      <c r="R7185" s="52"/>
      <c r="S7185" s="53"/>
    </row>
    <row r="7186" customFormat="false" ht="15" hidden="false" customHeight="false" outlineLevel="0" collapsed="false">
      <c r="A7186" s="4" t="s">
        <v>520</v>
      </c>
      <c r="B7186" s="36" t="s">
        <v>516</v>
      </c>
      <c r="C7186" s="48" t="n">
        <f aca="false">C7182*Assumptions!$E$37</f>
        <v>0</v>
      </c>
      <c r="D7186" s="48" t="n">
        <f aca="false">D7182*Assumptions!$E$37</f>
        <v>0.259912933555146</v>
      </c>
      <c r="E7186" s="48" t="n">
        <f aca="false">E7182*Assumptions!$E$37</f>
        <v>0.44551111509252</v>
      </c>
      <c r="F7186" s="48" t="n">
        <f aca="false">F7182*Assumptions!$E$37</f>
        <v>0.491582223403786</v>
      </c>
      <c r="G7186" s="48" t="n">
        <f aca="false">G7182*Assumptions!$E$37</f>
        <v>0.538598092170902</v>
      </c>
      <c r="H7186" s="48" t="n">
        <f aca="false">H7182*Assumptions!$E$37</f>
        <v>0.693059034518982</v>
      </c>
      <c r="I7186" s="48" t="n">
        <f aca="false">I7182*Assumptions!$E$37</f>
        <v>0.837333199523593</v>
      </c>
      <c r="J7186" s="48" t="n">
        <f aca="false">J7182*Assumptions!$E$37</f>
        <v>1.23920792626314</v>
      </c>
      <c r="K7186" s="48" t="n">
        <f aca="false">K7182*Assumptions!$E$37</f>
        <v>1.60294759006577</v>
      </c>
      <c r="L7186" s="48" t="n">
        <f aca="false">L7182*Assumptions!$E$37</f>
        <v>1.61433738647866</v>
      </c>
      <c r="M7186" s="48" t="n">
        <f aca="false">M7182*Assumptions!$E$37</f>
        <v>1.56653808661831</v>
      </c>
      <c r="N7186" s="48" t="n">
        <f aca="false">N7182*Assumptions!$E$37</f>
        <v>1.5220558259066</v>
      </c>
      <c r="P7186" s="49" t="n">
        <f aca="false">SUM(C7186:F7186)</f>
        <v>1.19700627205145</v>
      </c>
      <c r="Q7186" s="49" t="n">
        <f aca="false">SUM(G7186:J7186)</f>
        <v>3.30819825247662</v>
      </c>
      <c r="R7186" s="49" t="n">
        <f aca="false">SUM(K7186:N7186)</f>
        <v>6.30587888906934</v>
      </c>
      <c r="S7186" s="50" t="n">
        <f aca="false">SUM(P7186:R7186)</f>
        <v>10.8110834135974</v>
      </c>
    </row>
    <row r="7187" customFormat="false" ht="15" hidden="false" customHeight="false" outlineLevel="0" collapsed="false">
      <c r="A7187" s="4" t="s">
        <v>521</v>
      </c>
      <c r="B7187" s="36" t="s">
        <v>516</v>
      </c>
      <c r="C7187" s="48" t="n">
        <f aca="false">C7182*(1-Assumptions!$E$37)</f>
        <v>0</v>
      </c>
      <c r="D7187" s="48" t="n">
        <f aca="false">D7182*(1-Assumptions!$E$37)</f>
        <v>0.606463511628675</v>
      </c>
      <c r="E7187" s="48" t="n">
        <f aca="false">E7182*(1-Assumptions!$E$37)</f>
        <v>1.03952593521588</v>
      </c>
      <c r="F7187" s="48" t="n">
        <f aca="false">F7182*(1-Assumptions!$E$37)</f>
        <v>1.14702518794217</v>
      </c>
      <c r="G7187" s="48" t="n">
        <f aca="false">G7182*(1-Assumptions!$E$37)</f>
        <v>1.25672888173211</v>
      </c>
      <c r="H7187" s="48" t="n">
        <f aca="false">H7182*(1-Assumptions!$E$37)</f>
        <v>1.61713774721096</v>
      </c>
      <c r="I7187" s="48" t="n">
        <f aca="false">I7182*(1-Assumptions!$E$37)</f>
        <v>1.95377746555505</v>
      </c>
      <c r="J7187" s="48" t="n">
        <f aca="false">J7182*(1-Assumptions!$E$37)</f>
        <v>2.89148516128066</v>
      </c>
      <c r="K7187" s="48" t="n">
        <f aca="false">K7182*(1-Assumptions!$E$37)</f>
        <v>3.7402110434868</v>
      </c>
      <c r="L7187" s="48" t="n">
        <f aca="false">L7182*(1-Assumptions!$E$37)</f>
        <v>3.76678723511687</v>
      </c>
      <c r="M7187" s="48" t="n">
        <f aca="false">M7182*(1-Assumptions!$E$37)</f>
        <v>3.65525553544273</v>
      </c>
      <c r="N7187" s="48" t="n">
        <f aca="false">N7182*(1-Assumptions!$E$37)</f>
        <v>3.55146359378206</v>
      </c>
      <c r="P7187" s="49" t="n">
        <f aca="false">SUM(C7187:F7187)</f>
        <v>2.79301463478672</v>
      </c>
      <c r="Q7187" s="49" t="n">
        <f aca="false">SUM(G7187:J7187)</f>
        <v>7.71912925577877</v>
      </c>
      <c r="R7187" s="49" t="n">
        <f aca="false">SUM(K7187:N7187)</f>
        <v>14.7137174078285</v>
      </c>
      <c r="S7187" s="50" t="n">
        <f aca="false">SUM(P7187:R7187)</f>
        <v>25.225861298394</v>
      </c>
    </row>
    <row r="7188" customFormat="false" ht="15" hidden="false" customHeight="false" outlineLevel="0" collapsed="false">
      <c r="A7188" s="4" t="s">
        <v>522</v>
      </c>
      <c r="B7188" s="36" t="s">
        <v>125</v>
      </c>
      <c r="C7188" s="54" t="n">
        <f aca="false">C7187*$C$7141+C7183*$C$7142+C7184*$C$7143</f>
        <v>0</v>
      </c>
      <c r="D7188" s="54" t="n">
        <f aca="false">D7187*$C$7141+D7183*$C$7142+D7184*$C$7143</f>
        <v>7485.37917000042</v>
      </c>
      <c r="E7188" s="54" t="n">
        <f aca="false">E7187*$C$7141+E7183*$C$7142+E7184*$C$7143</f>
        <v>17233.8131620616</v>
      </c>
      <c r="F7188" s="54" t="n">
        <f aca="false">F7187*$C$7141+F7183*$C$7142+F7184*$C$7143</f>
        <v>21704.9328199195</v>
      </c>
      <c r="G7188" s="54" t="n">
        <f aca="false">G7187*$C$7141+G7183*$C$7142+G7184*$C$7143</f>
        <v>23839.4781169478</v>
      </c>
      <c r="H7188" s="54" t="n">
        <f aca="false">H7187*$C$7141+H7183*$C$7142+H7184*$C$7143</f>
        <v>28861.3828545359</v>
      </c>
      <c r="I7188" s="54" t="n">
        <f aca="false">I7187*$C$7141+I7183*$C$7142+I7184*$C$7143</f>
        <v>34454.8139810786</v>
      </c>
      <c r="J7188" s="54" t="n">
        <f aca="false">J7187*$C$7141+J7183*$C$7142+J7184*$C$7143</f>
        <v>46219.0265618748</v>
      </c>
      <c r="K7188" s="54" t="n">
        <f aca="false">K7187*$C$7141+K7183*$C$7142+K7184*$C$7143</f>
        <v>59614.7065475457</v>
      </c>
      <c r="L7188" s="54" t="n">
        <f aca="false">L7187*$C$7141+L7183*$C$7142+L7184*$C$7143</f>
        <v>63745.6576705911</v>
      </c>
      <c r="M7188" s="54" t="n">
        <f aca="false">M7187*$C$7141+M7183*$C$7142+M7184*$C$7143</f>
        <v>62600.461663715</v>
      </c>
      <c r="N7188" s="54" t="n">
        <f aca="false">N7187*$C$7141+N7183*$C$7142+N7184*$C$7143</f>
        <v>60798.1877142281</v>
      </c>
      <c r="P7188" s="55" t="n">
        <f aca="false">SUM(C7188:F7188)</f>
        <v>46424.1251519815</v>
      </c>
      <c r="Q7188" s="55" t="n">
        <f aca="false">SUM(G7188:J7188)</f>
        <v>133374.701514437</v>
      </c>
      <c r="R7188" s="55" t="n">
        <f aca="false">SUM(K7188:N7188)</f>
        <v>246759.01359608</v>
      </c>
      <c r="S7188" s="56" t="n">
        <f aca="false">SUM(P7188:R7188)</f>
        <v>426557.840262498</v>
      </c>
    </row>
    <row r="7189" customFormat="false" ht="15" hidden="false" customHeight="false" outlineLevel="0" collapsed="false">
      <c r="A7189" s="4" t="s">
        <v>523</v>
      </c>
      <c r="B7189" s="36" t="s">
        <v>125</v>
      </c>
      <c r="C7189" s="54" t="n">
        <f aca="false">(C7165+Assumptions!$D$104*C7151)*$C$7146</f>
        <v>306250</v>
      </c>
      <c r="D7189" s="54" t="n">
        <f aca="false">(D7165+Assumptions!$D$104*D7151)*$C$7146</f>
        <v>306250</v>
      </c>
      <c r="E7189" s="54" t="n">
        <f aca="false">(E7165+Assumptions!$D$104*E7151)*$C$7146</f>
        <v>306250</v>
      </c>
      <c r="F7189" s="54" t="n">
        <f aca="false">(F7165+Assumptions!$D$104*F7151)*$C$7146</f>
        <v>306250</v>
      </c>
      <c r="G7189" s="54" t="n">
        <f aca="false">(G7165+Assumptions!$D$104*G7151)*$C$7146</f>
        <v>306250</v>
      </c>
      <c r="H7189" s="54" t="n">
        <f aca="false">(H7165+Assumptions!$D$104*H7151)*$C$7146</f>
        <v>306250</v>
      </c>
      <c r="I7189" s="54" t="n">
        <f aca="false">(I7165+Assumptions!$D$104*I7151)*$C$7146</f>
        <v>306250</v>
      </c>
      <c r="J7189" s="54" t="n">
        <f aca="false">(J7165+Assumptions!$D$104*J7151)*$C$7146</f>
        <v>306250</v>
      </c>
      <c r="K7189" s="54" t="n">
        <f aca="false">(K7165+Assumptions!$D$104*K7151)*$C$7146</f>
        <v>306250</v>
      </c>
      <c r="L7189" s="54" t="n">
        <f aca="false">(L7165+Assumptions!$D$104*L7151)*$C$7146</f>
        <v>306250</v>
      </c>
      <c r="M7189" s="54" t="n">
        <f aca="false">(M7165+Assumptions!$D$104*M7151)*$C$7146</f>
        <v>306250</v>
      </c>
      <c r="N7189" s="54" t="n">
        <f aca="false">(N7165+Assumptions!$D$104*N7151)*$C$7146</f>
        <v>306250</v>
      </c>
      <c r="P7189" s="55" t="n">
        <f aca="false">SUM(C7189:F7189)</f>
        <v>1225000</v>
      </c>
      <c r="Q7189" s="55" t="n">
        <f aca="false">SUM(G7189:J7189)</f>
        <v>1225000</v>
      </c>
      <c r="R7189" s="55" t="n">
        <f aca="false">SUM(K7189:N7189)</f>
        <v>1225000</v>
      </c>
      <c r="S7189" s="56" t="n">
        <f aca="false">SUM(P7189:R7189)</f>
        <v>3675000</v>
      </c>
    </row>
    <row r="7190" customFormat="false" ht="15" hidden="false" customHeight="false" outlineLevel="0" collapsed="false">
      <c r="A7190" s="4" t="s">
        <v>524</v>
      </c>
      <c r="B7190" s="36" t="s">
        <v>77</v>
      </c>
      <c r="C7190" s="51" t="n">
        <f aca="false">IF(C7188&gt;0,MIN(1,C7189/C7188),1)</f>
        <v>1</v>
      </c>
      <c r="D7190" s="51" t="n">
        <f aca="false">IF(D7188&gt;0,MIN(1,D7189/D7188),1)</f>
        <v>1</v>
      </c>
      <c r="E7190" s="51" t="n">
        <f aca="false">IF(E7188&gt;0,MIN(1,E7189/E7188),1)</f>
        <v>1</v>
      </c>
      <c r="F7190" s="51" t="n">
        <f aca="false">IF(F7188&gt;0,MIN(1,F7189/F7188),1)</f>
        <v>1</v>
      </c>
      <c r="G7190" s="51" t="n">
        <f aca="false">IF(G7188&gt;0,MIN(1,G7189/G7188),1)</f>
        <v>1</v>
      </c>
      <c r="H7190" s="51" t="n">
        <f aca="false">IF(H7188&gt;0,MIN(1,H7189/H7188),1)</f>
        <v>1</v>
      </c>
      <c r="I7190" s="51" t="n">
        <f aca="false">IF(I7188&gt;0,MIN(1,I7189/I7188),1)</f>
        <v>1</v>
      </c>
      <c r="J7190" s="51" t="n">
        <f aca="false">IF(J7188&gt;0,MIN(1,J7189/J7188),1)</f>
        <v>1</v>
      </c>
      <c r="K7190" s="51" t="n">
        <f aca="false">IF(K7188&gt;0,MIN(1,K7189/K7188),1)</f>
        <v>1</v>
      </c>
      <c r="L7190" s="51" t="n">
        <f aca="false">IF(L7188&gt;0,MIN(1,L7189/L7188),1)</f>
        <v>1</v>
      </c>
      <c r="M7190" s="51" t="n">
        <f aca="false">IF(M7188&gt;0,MIN(1,M7189/M7188),1)</f>
        <v>1</v>
      </c>
      <c r="N7190" s="51" t="n">
        <f aca="false">IF(N7188&gt;0,MIN(1,N7189/N7188),1)</f>
        <v>1</v>
      </c>
      <c r="P7190" s="52"/>
      <c r="Q7190" s="52"/>
      <c r="R7190" s="52"/>
      <c r="S7190" s="53"/>
    </row>
    <row r="7191" customFormat="false" ht="15" hidden="false" customHeight="false" outlineLevel="0" collapsed="false">
      <c r="A7191" s="4" t="s">
        <v>525</v>
      </c>
      <c r="B7191" s="36" t="s">
        <v>125</v>
      </c>
      <c r="C7191" s="54" t="n">
        <f aca="false">C7188*(1-C7190)</f>
        <v>0</v>
      </c>
      <c r="D7191" s="54" t="n">
        <f aca="false">D7188*(1-D7190)</f>
        <v>0</v>
      </c>
      <c r="E7191" s="54" t="n">
        <f aca="false">E7188*(1-E7190)</f>
        <v>0</v>
      </c>
      <c r="F7191" s="54" t="n">
        <f aca="false">F7188*(1-F7190)</f>
        <v>0</v>
      </c>
      <c r="G7191" s="54" t="n">
        <f aca="false">G7188*(1-G7190)</f>
        <v>0</v>
      </c>
      <c r="H7191" s="54" t="n">
        <f aca="false">H7188*(1-H7190)</f>
        <v>0</v>
      </c>
      <c r="I7191" s="54" t="n">
        <f aca="false">I7188*(1-I7190)</f>
        <v>0</v>
      </c>
      <c r="J7191" s="54" t="n">
        <f aca="false">J7188*(1-J7190)</f>
        <v>0</v>
      </c>
      <c r="K7191" s="54" t="n">
        <f aca="false">K7188*(1-K7190)</f>
        <v>0</v>
      </c>
      <c r="L7191" s="54" t="n">
        <f aca="false">L7188*(1-L7190)</f>
        <v>0</v>
      </c>
      <c r="M7191" s="54" t="n">
        <f aca="false">M7188*(1-M7190)</f>
        <v>0</v>
      </c>
      <c r="N7191" s="54" t="n">
        <f aca="false">N7188*(1-N7190)</f>
        <v>0</v>
      </c>
      <c r="P7191" s="55" t="n">
        <f aca="false">SUM(C7191:F7191)</f>
        <v>0</v>
      </c>
      <c r="Q7191" s="55" t="n">
        <f aca="false">SUM(G7191:J7191)</f>
        <v>0</v>
      </c>
      <c r="R7191" s="55" t="n">
        <f aca="false">SUM(K7191:N7191)</f>
        <v>0</v>
      </c>
      <c r="S7191" s="56" t="n">
        <f aca="false">SUM(P7191:R7191)</f>
        <v>0</v>
      </c>
    </row>
    <row r="7192" customFormat="false" ht="15" hidden="false" customHeight="false" outlineLevel="0" collapsed="false">
      <c r="A7192" s="4" t="s">
        <v>526</v>
      </c>
      <c r="B7192" s="36" t="s">
        <v>527</v>
      </c>
      <c r="C7192" s="48" t="n">
        <f aca="false">C7186+C7187*C7190</f>
        <v>0</v>
      </c>
      <c r="D7192" s="48" t="n">
        <f aca="false">D7186+D7187*D7190</f>
        <v>0.866376445183821</v>
      </c>
      <c r="E7192" s="48" t="n">
        <f aca="false">E7186+E7187*E7190</f>
        <v>1.4850370503084</v>
      </c>
      <c r="F7192" s="48" t="n">
        <f aca="false">F7186+F7187*F7190</f>
        <v>1.63860741134595</v>
      </c>
      <c r="G7192" s="48" t="n">
        <f aca="false">G7186+G7187*G7190</f>
        <v>1.79532697390301</v>
      </c>
      <c r="H7192" s="48" t="n">
        <f aca="false">H7186+H7187*H7190</f>
        <v>2.31019678172994</v>
      </c>
      <c r="I7192" s="48" t="n">
        <f aca="false">I7186+I7187*I7190</f>
        <v>2.79111066507864</v>
      </c>
      <c r="J7192" s="48" t="n">
        <f aca="false">J7186+J7187*J7190</f>
        <v>4.1306930875438</v>
      </c>
      <c r="K7192" s="48" t="n">
        <f aca="false">K7186+K7187*K7190</f>
        <v>5.34315863355258</v>
      </c>
      <c r="L7192" s="48" t="n">
        <f aca="false">L7186+L7187*L7190</f>
        <v>5.38112462159553</v>
      </c>
      <c r="M7192" s="48" t="n">
        <f aca="false">M7186+M7187*M7190</f>
        <v>5.22179362206104</v>
      </c>
      <c r="N7192" s="48" t="n">
        <f aca="false">N7186+N7187*N7190</f>
        <v>5.07351941968866</v>
      </c>
      <c r="P7192" s="49" t="n">
        <f aca="false">SUM(C7192:F7192)</f>
        <v>3.99002090683817</v>
      </c>
      <c r="Q7192" s="49" t="n">
        <f aca="false">SUM(G7192:J7192)</f>
        <v>11.0273275082554</v>
      </c>
      <c r="R7192" s="49" t="n">
        <f aca="false">SUM(K7192:N7192)</f>
        <v>21.0195962968978</v>
      </c>
      <c r="S7192" s="50" t="n">
        <f aca="false">SUM(P7192:R7192)</f>
        <v>36.0369447119914</v>
      </c>
    </row>
    <row r="7193" customFormat="false" ht="15" hidden="false" customHeight="false" outlineLevel="0" collapsed="false">
      <c r="A7193" s="4" t="s">
        <v>528</v>
      </c>
      <c r="B7193" s="36" t="s">
        <v>527</v>
      </c>
      <c r="C7193" s="48" t="n">
        <f aca="false">C7183*C7190</f>
        <v>0</v>
      </c>
      <c r="D7193" s="48" t="n">
        <f aca="false">D7183*D7190</f>
        <v>0.434084974267145</v>
      </c>
      <c r="E7193" s="48" t="n">
        <f aca="false">E7183*E7190</f>
        <v>0.744055627726705</v>
      </c>
      <c r="F7193" s="48" t="n">
        <f aca="false">F7183*F7190</f>
        <v>0.820999762796119</v>
      </c>
      <c r="G7193" s="48" t="n">
        <f aca="false">G7183*G7190</f>
        <v>0.89952175823807</v>
      </c>
      <c r="H7193" s="48" t="n">
        <f aca="false">H7183*H7190</f>
        <v>1.13465516292283</v>
      </c>
      <c r="I7193" s="48" t="n">
        <f aca="false">I7183*I7190</f>
        <v>1.35487856174628</v>
      </c>
      <c r="J7193" s="48" t="n">
        <f aca="false">J7183*J7190</f>
        <v>1.88601088123353</v>
      </c>
      <c r="K7193" s="48" t="n">
        <f aca="false">K7183*K7190</f>
        <v>2.37581157552964</v>
      </c>
      <c r="L7193" s="48" t="n">
        <f aca="false">L7183*L7190</f>
        <v>2.3926929822134</v>
      </c>
      <c r="M7193" s="48" t="n">
        <f aca="false">M7183*M7190</f>
        <v>2.32184716628391</v>
      </c>
      <c r="N7193" s="48" t="n">
        <f aca="false">N7183*N7190</f>
        <v>2.25591770573287</v>
      </c>
      <c r="P7193" s="49" t="n">
        <f aca="false">SUM(C7193:F7193)</f>
        <v>1.99914036478997</v>
      </c>
      <c r="Q7193" s="49" t="n">
        <f aca="false">SUM(G7193:J7193)</f>
        <v>5.27506636414072</v>
      </c>
      <c r="R7193" s="49" t="n">
        <f aca="false">SUM(K7193:N7193)</f>
        <v>9.34626942975982</v>
      </c>
      <c r="S7193" s="50" t="n">
        <f aca="false">SUM(P7193:R7193)</f>
        <v>16.6204761586905</v>
      </c>
    </row>
    <row r="7194" customFormat="false" ht="15" hidden="false" customHeight="false" outlineLevel="0" collapsed="false">
      <c r="A7194" s="4" t="s">
        <v>529</v>
      </c>
      <c r="B7194" s="36" t="s">
        <v>527</v>
      </c>
      <c r="C7194" s="48" t="n">
        <f aca="false">C7184*C7190</f>
        <v>0</v>
      </c>
      <c r="D7194" s="48" t="n">
        <f aca="false">D7184*D7190</f>
        <v>0</v>
      </c>
      <c r="E7194" s="48" t="n">
        <f aca="false">E7184*E7190</f>
        <v>0.071275680959914</v>
      </c>
      <c r="F7194" s="48" t="n">
        <f aca="false">F7184*F7190</f>
        <v>0.122172096898336</v>
      </c>
      <c r="G7194" s="48" t="n">
        <f aca="false">G7184*G7190</f>
        <v>0.134806133891215</v>
      </c>
      <c r="H7194" s="48" t="n">
        <f aca="false">H7184*H7190</f>
        <v>0.147699251661313</v>
      </c>
      <c r="I7194" s="48" t="n">
        <f aca="false">I7184*I7190</f>
        <v>0.174259973058587</v>
      </c>
      <c r="J7194" s="48" t="n">
        <f aca="false">J7184*J7190</f>
        <v>0.19948212034567</v>
      </c>
      <c r="K7194" s="48" t="n">
        <f aca="false">K7184*K7190</f>
        <v>0.265355665717199</v>
      </c>
      <c r="L7194" s="48" t="n">
        <f aca="false">L7184*L7190</f>
        <v>0.327251866823927</v>
      </c>
      <c r="M7194" s="48" t="n">
        <f aca="false">M7184*M7190</f>
        <v>0.329577165643402</v>
      </c>
      <c r="N7194" s="48" t="n">
        <f aca="false">N7184*N7190</f>
        <v>0.319818636912259</v>
      </c>
      <c r="P7194" s="49" t="n">
        <f aca="false">SUM(C7194:F7194)</f>
        <v>0.19344777785825</v>
      </c>
      <c r="Q7194" s="49" t="n">
        <f aca="false">SUM(G7194:J7194)</f>
        <v>0.656247478956785</v>
      </c>
      <c r="R7194" s="49" t="n">
        <f aca="false">SUM(K7194:N7194)</f>
        <v>1.24200333509679</v>
      </c>
      <c r="S7194" s="50" t="n">
        <f aca="false">SUM(P7194:R7194)</f>
        <v>2.09169859191182</v>
      </c>
    </row>
    <row r="7195" customFormat="false" ht="15" hidden="false" customHeight="false" outlineLevel="0" collapsed="false">
      <c r="A7195" s="9" t="s">
        <v>530</v>
      </c>
      <c r="B7195" s="36" t="s">
        <v>527</v>
      </c>
      <c r="C7195" s="49" t="n">
        <f aca="false">C7192+C7193+C7194</f>
        <v>0</v>
      </c>
      <c r="D7195" s="49" t="n">
        <f aca="false">D7192+D7193+D7194</f>
        <v>1.30046141945097</v>
      </c>
      <c r="E7195" s="49" t="n">
        <f aca="false">E7192+E7193+E7194</f>
        <v>2.30036835899502</v>
      </c>
      <c r="F7195" s="49" t="n">
        <f aca="false">F7192+F7193+F7194</f>
        <v>2.58177927104041</v>
      </c>
      <c r="G7195" s="49" t="n">
        <f aca="false">G7192+G7193+G7194</f>
        <v>2.82965486603229</v>
      </c>
      <c r="H7195" s="49" t="n">
        <f aca="false">H7192+H7193+H7194</f>
        <v>3.59255119631409</v>
      </c>
      <c r="I7195" s="49" t="n">
        <f aca="false">I7192+I7193+I7194</f>
        <v>4.32024919988351</v>
      </c>
      <c r="J7195" s="49" t="n">
        <f aca="false">J7192+J7193+J7194</f>
        <v>6.216186089123</v>
      </c>
      <c r="K7195" s="49" t="n">
        <f aca="false">K7192+K7193+K7194</f>
        <v>7.98432587479941</v>
      </c>
      <c r="L7195" s="49" t="n">
        <f aca="false">L7192+L7193+L7194</f>
        <v>8.10106947063285</v>
      </c>
      <c r="M7195" s="49" t="n">
        <f aca="false">M7192+M7193+M7194</f>
        <v>7.87321795398836</v>
      </c>
      <c r="N7195" s="49" t="n">
        <f aca="false">N7192+N7193+N7194</f>
        <v>7.64925576233379</v>
      </c>
      <c r="P7195" s="49" t="n">
        <f aca="false">SUM(C7195:F7195)</f>
        <v>6.18260904948639</v>
      </c>
      <c r="Q7195" s="49" t="n">
        <f aca="false">SUM(G7195:J7195)</f>
        <v>16.9586413513529</v>
      </c>
      <c r="R7195" s="49" t="n">
        <f aca="false">SUM(K7195:N7195)</f>
        <v>31.6078690617544</v>
      </c>
      <c r="S7195" s="50" t="n">
        <f aca="false">SUM(P7195:R7195)</f>
        <v>54.7491194625937</v>
      </c>
    </row>
    <row r="7196" customFormat="false" ht="15" hidden="false" customHeight="false" outlineLevel="0" collapsed="false">
      <c r="A7196" s="35" t="s">
        <v>533</v>
      </c>
      <c r="B7196" s="35" t="s">
        <v>444</v>
      </c>
      <c r="C7196" s="6" t="s">
        <v>354</v>
      </c>
      <c r="D7196" s="6" t="s">
        <v>355</v>
      </c>
      <c r="E7196" s="6" t="s">
        <v>356</v>
      </c>
      <c r="F7196" s="6" t="s">
        <v>357</v>
      </c>
      <c r="G7196" s="6" t="s">
        <v>358</v>
      </c>
      <c r="H7196" s="6" t="s">
        <v>359</v>
      </c>
      <c r="I7196" s="6" t="s">
        <v>360</v>
      </c>
      <c r="J7196" s="6" t="s">
        <v>361</v>
      </c>
      <c r="K7196" s="6" t="s">
        <v>362</v>
      </c>
      <c r="L7196" s="6" t="s">
        <v>363</v>
      </c>
      <c r="M7196" s="6" t="s">
        <v>364</v>
      </c>
      <c r="N7196" s="6" t="s">
        <v>365</v>
      </c>
      <c r="P7196" s="6" t="s">
        <v>445</v>
      </c>
      <c r="Q7196" s="6" t="s">
        <v>446</v>
      </c>
      <c r="R7196" s="6" t="s">
        <v>447</v>
      </c>
      <c r="S7196" s="6" t="s">
        <v>448</v>
      </c>
    </row>
    <row r="7197" customFormat="false" ht="15" hidden="false" customHeight="false" outlineLevel="0" collapsed="false">
      <c r="A7197" s="4" t="s">
        <v>534</v>
      </c>
      <c r="B7197" s="36" t="s">
        <v>527</v>
      </c>
      <c r="C7197" s="48" t="n">
        <f aca="false">0*Assumptions!$E$59^(1/4)+C7192</f>
        <v>0</v>
      </c>
      <c r="D7197" s="48" t="n">
        <f aca="false">C7197*Assumptions!$E$59^(1/4)+D7192</f>
        <v>0.866376445183821</v>
      </c>
      <c r="E7197" s="48" t="n">
        <f aca="false">D7197*Assumptions!$E$59^(1/4)+E7192</f>
        <v>2.32416329488403</v>
      </c>
      <c r="F7197" s="48" t="n">
        <f aca="false">E7197*Assumptions!$E$59^(1/4)+F7192</f>
        <v>3.88966863104794</v>
      </c>
      <c r="G7197" s="48" t="n">
        <f aca="false">F7197*Assumptions!$E$59^(1/4)+G7192</f>
        <v>5.56265357789716</v>
      </c>
      <c r="H7197" s="48" t="n">
        <f aca="false">G7197*Assumptions!$E$59^(1/4)+H7192</f>
        <v>7.69788781678072</v>
      </c>
      <c r="I7197" s="48" t="n">
        <f aca="false">H7197*Assumptions!$E$59^(1/4)+I7192</f>
        <v>10.2468762630101</v>
      </c>
      <c r="J7197" s="48" t="n">
        <f aca="false">I7197*Assumptions!$E$59^(1/4)+J7192</f>
        <v>14.0552736148763</v>
      </c>
      <c r="K7197" s="48" t="n">
        <f aca="false">J7197*Assumptions!$E$59^(1/4)+K7192</f>
        <v>18.9563507170835</v>
      </c>
      <c r="L7197" s="48" t="n">
        <f aca="false">K7197*Assumptions!$E$59^(1/4)+L7192</f>
        <v>23.7412398769334</v>
      </c>
      <c r="M7197" s="48" t="n">
        <f aca="false">L7197*Assumptions!$E$59^(1/4)+M7192</f>
        <v>28.2162985745513</v>
      </c>
      <c r="N7197" s="48" t="n">
        <f aca="false">M7197*Assumptions!$E$59^(1/4)+N7192</f>
        <v>32.4023287268997</v>
      </c>
      <c r="P7197" s="49" t="n">
        <f aca="false">F7197</f>
        <v>3.88966863104794</v>
      </c>
      <c r="Q7197" s="49" t="n">
        <f aca="false">J7197</f>
        <v>14.0552736148763</v>
      </c>
      <c r="R7197" s="49" t="n">
        <f aca="false">N7197</f>
        <v>32.4023287268997</v>
      </c>
      <c r="S7197" s="50" t="n">
        <f aca="false">R7197</f>
        <v>32.4023287268997</v>
      </c>
    </row>
    <row r="7198" customFormat="false" ht="15" hidden="false" customHeight="false" outlineLevel="0" collapsed="false">
      <c r="A7198" s="4" t="s">
        <v>535</v>
      </c>
      <c r="B7198" s="36" t="s">
        <v>527</v>
      </c>
      <c r="C7198" s="48" t="n">
        <f aca="false">0*Assumptions!$E$60^(1/4)+C7193</f>
        <v>0</v>
      </c>
      <c r="D7198" s="48" t="n">
        <f aca="false">C7198*Assumptions!$E$60^(1/4)+D7193</f>
        <v>0.434084974267145</v>
      </c>
      <c r="E7198" s="48" t="n">
        <f aca="false">D7198*Assumptions!$E$60^(1/4)+E7193</f>
        <v>1.16685601892983</v>
      </c>
      <c r="F7198" s="48" t="n">
        <f aca="false">E7198*Assumptions!$E$60^(1/4)+F7193</f>
        <v>1.95752189677268</v>
      </c>
      <c r="G7198" s="48" t="n">
        <f aca="false">F7198*Assumptions!$E$60^(1/4)+G7193</f>
        <v>2.80615541940422</v>
      </c>
      <c r="H7198" s="48" t="n">
        <f aca="false">G7198*Assumptions!$E$60^(1/4)+H7193</f>
        <v>3.86786105447419</v>
      </c>
      <c r="I7198" s="48" t="n">
        <f aca="false">H7198*Assumptions!$E$60^(1/4)+I7193</f>
        <v>5.12218971945664</v>
      </c>
      <c r="J7198" s="48" t="n">
        <f aca="false">I7198*Assumptions!$E$60^(1/4)+J7193</f>
        <v>6.87504285788544</v>
      </c>
      <c r="K7198" s="48" t="n">
        <f aca="false">J7198*Assumptions!$E$60^(1/4)+K7193</f>
        <v>9.07212907594454</v>
      </c>
      <c r="L7198" s="48" t="n">
        <f aca="false">K7198*Assumptions!$E$60^(1/4)+L7193</f>
        <v>11.2289806902372</v>
      </c>
      <c r="M7198" s="48" t="n">
        <f aca="false">L7198*Assumptions!$E$60^(1/4)+M7193</f>
        <v>13.2589164271123</v>
      </c>
      <c r="N7198" s="48" t="n">
        <f aca="false">M7198*Assumptions!$E$60^(1/4)+N7193</f>
        <v>15.1701519792802</v>
      </c>
      <c r="P7198" s="49" t="n">
        <f aca="false">F7198</f>
        <v>1.95752189677268</v>
      </c>
      <c r="Q7198" s="49" t="n">
        <f aca="false">J7198</f>
        <v>6.87504285788544</v>
      </c>
      <c r="R7198" s="49" t="n">
        <f aca="false">N7198</f>
        <v>15.1701519792802</v>
      </c>
      <c r="S7198" s="50" t="n">
        <f aca="false">R7198</f>
        <v>15.1701519792802</v>
      </c>
    </row>
    <row r="7199" customFormat="false" ht="15" hidden="false" customHeight="false" outlineLevel="0" collapsed="false">
      <c r="A7199" s="4" t="s">
        <v>536</v>
      </c>
      <c r="B7199" s="36" t="s">
        <v>527</v>
      </c>
      <c r="C7199" s="48" t="n">
        <f aca="false">0*Assumptions!$E$61^(1/4)+C7194</f>
        <v>0</v>
      </c>
      <c r="D7199" s="48" t="n">
        <f aca="false">C7199*Assumptions!$E$61^(1/4)+D7194</f>
        <v>0</v>
      </c>
      <c r="E7199" s="48" t="n">
        <f aca="false">D7199*Assumptions!$E$61^(1/4)+E7194</f>
        <v>0.071275680959914</v>
      </c>
      <c r="F7199" s="48" t="n">
        <f aca="false">E7199*Assumptions!$E$61^(1/4)+F7194</f>
        <v>0.191977386314485</v>
      </c>
      <c r="G7199" s="48" t="n">
        <f aca="false">F7199*Assumptions!$E$61^(1/4)+G7194</f>
        <v>0.322823096094288</v>
      </c>
      <c r="H7199" s="48" t="n">
        <f aca="false">G7199*Assumptions!$E$61^(1/4)+H7194</f>
        <v>0.463862623930639</v>
      </c>
      <c r="I7199" s="48" t="n">
        <f aca="false">H7199*Assumptions!$E$61^(1/4)+I7194</f>
        <v>0.628553278667598</v>
      </c>
      <c r="J7199" s="48" t="n">
        <f aca="false">I7199*Assumptions!$E$61^(1/4)+J7194</f>
        <v>0.815068571993006</v>
      </c>
      <c r="K7199" s="48" t="n">
        <f aca="false">J7199*Assumptions!$E$61^(1/4)+K7194</f>
        <v>1.06360966758325</v>
      </c>
      <c r="L7199" s="48" t="n">
        <f aca="false">K7199*Assumptions!$E$61^(1/4)+L7194</f>
        <v>1.36891965128493</v>
      </c>
      <c r="M7199" s="48" t="n">
        <f aca="false">L7199*Assumptions!$E$61^(1/4)+M7194</f>
        <v>1.67025649916167</v>
      </c>
      <c r="N7199" s="48" t="n">
        <f aca="false">M7199*Assumptions!$E$61^(1/4)+N7194</f>
        <v>1.95561834801929</v>
      </c>
      <c r="P7199" s="49" t="n">
        <f aca="false">F7199</f>
        <v>0.191977386314485</v>
      </c>
      <c r="Q7199" s="49" t="n">
        <f aca="false">J7199</f>
        <v>0.815068571993006</v>
      </c>
      <c r="R7199" s="49" t="n">
        <f aca="false">N7199</f>
        <v>1.95561834801929</v>
      </c>
      <c r="S7199" s="50" t="n">
        <f aca="false">R7199</f>
        <v>1.95561834801929</v>
      </c>
    </row>
    <row r="7200" customFormat="false" ht="15" hidden="false" customHeight="false" outlineLevel="0" collapsed="false">
      <c r="A7200" s="9" t="s">
        <v>537</v>
      </c>
      <c r="B7200" s="36" t="s">
        <v>527</v>
      </c>
      <c r="C7200" s="49" t="n">
        <f aca="false">C7197+C7198+C7199</f>
        <v>0</v>
      </c>
      <c r="D7200" s="49" t="n">
        <f aca="false">D7197+D7198+D7199</f>
        <v>1.30046141945097</v>
      </c>
      <c r="E7200" s="49" t="n">
        <f aca="false">E7197+E7198+E7199</f>
        <v>3.56229499477378</v>
      </c>
      <c r="F7200" s="49" t="n">
        <f aca="false">F7197+F7198+F7199</f>
        <v>6.0391679141351</v>
      </c>
      <c r="G7200" s="49" t="n">
        <f aca="false">G7197+G7198+G7199</f>
        <v>8.69163209339566</v>
      </c>
      <c r="H7200" s="49" t="n">
        <f aca="false">H7197+H7198+H7199</f>
        <v>12.0296114951856</v>
      </c>
      <c r="I7200" s="49" t="n">
        <f aca="false">I7197+I7198+I7199</f>
        <v>15.9976192611344</v>
      </c>
      <c r="J7200" s="49" t="n">
        <f aca="false">J7197+J7198+J7199</f>
        <v>21.7453850447547</v>
      </c>
      <c r="K7200" s="49" t="n">
        <f aca="false">K7197+K7198+K7199</f>
        <v>29.0920894606113</v>
      </c>
      <c r="L7200" s="49" t="n">
        <f aca="false">L7197+L7198+L7199</f>
        <v>36.3391402184556</v>
      </c>
      <c r="M7200" s="49" t="n">
        <f aca="false">M7197+M7198+M7199</f>
        <v>43.1454715008253</v>
      </c>
      <c r="N7200" s="49" t="n">
        <f aca="false">N7197+N7198+N7199</f>
        <v>49.5280990541991</v>
      </c>
      <c r="P7200" s="49" t="n">
        <f aca="false">F7200</f>
        <v>6.0391679141351</v>
      </c>
      <c r="Q7200" s="49" t="n">
        <f aca="false">J7200</f>
        <v>21.7453850447547</v>
      </c>
      <c r="R7200" s="49" t="n">
        <f aca="false">N7200</f>
        <v>49.5280990541991</v>
      </c>
      <c r="S7200" s="50" t="n">
        <f aca="false">R7200</f>
        <v>49.5280990541991</v>
      </c>
    </row>
    <row r="7201" customFormat="false" ht="15" hidden="false" customHeight="false" outlineLevel="0" collapsed="false">
      <c r="A7201" s="4" t="s">
        <v>538</v>
      </c>
      <c r="B7201" s="36" t="s">
        <v>125</v>
      </c>
      <c r="C7201" s="54" t="n">
        <f aca="false">0*Assumptions!$E$62^(1/4)+C7192*$C$7141</f>
        <v>0</v>
      </c>
      <c r="D7201" s="54" t="n">
        <f aca="false">C7201*Assumptions!$E$62^(1/4)+D7192*$C$7141</f>
        <v>4636.84673462381</v>
      </c>
      <c r="E7201" s="54" t="n">
        <f aca="false">D7201*Assumptions!$E$62^(1/4)+E7192*$C$7141</f>
        <v>12584.7650278744</v>
      </c>
      <c r="F7201" s="54" t="n">
        <f aca="false">E7201*Assumptions!$E$62^(1/4)+F7192*$C$7141</f>
        <v>21354.5918933979</v>
      </c>
      <c r="G7201" s="54" t="n">
        <f aca="false">F7201*Assumptions!$E$62^(1/4)+G7192*$C$7141</f>
        <v>30963.1818577268</v>
      </c>
      <c r="H7201" s="54" t="n">
        <f aca="false">G7201*Assumptions!$E$62^(1/4)+H7192*$C$7141</f>
        <v>43327.3550335454</v>
      </c>
      <c r="I7201" s="54" t="n">
        <f aca="false">H7201*Assumptions!$E$62^(1/4)+I7192*$C$7141</f>
        <v>58265.3793130463</v>
      </c>
      <c r="J7201" s="54" t="n">
        <f aca="false">I7201*Assumptions!$E$62^(1/4)+J7192*$C$7141</f>
        <v>80372.8487175808</v>
      </c>
      <c r="K7201" s="54" t="n">
        <f aca="false">J7201*Assumptions!$E$62^(1/4)+K7192*$C$7141</f>
        <v>108969.433724354</v>
      </c>
      <c r="L7201" s="54" t="n">
        <f aca="false">K7201*Assumptions!$E$62^(1/4)+L7192*$C$7141</f>
        <v>137769.212699133</v>
      </c>
      <c r="M7201" s="54" t="n">
        <f aca="false">L7201*Assumptions!$E$62^(1/4)+M7192*$C$7141</f>
        <v>165716.252164404</v>
      </c>
      <c r="N7201" s="54" t="n">
        <f aca="false">M7201*Assumptions!$E$62^(1/4)+N7192*$C$7141</f>
        <v>192869.728098578</v>
      </c>
      <c r="P7201" s="55" t="n">
        <f aca="false">F7201</f>
        <v>21354.5918933979</v>
      </c>
      <c r="Q7201" s="55" t="n">
        <f aca="false">J7201</f>
        <v>80372.8487175808</v>
      </c>
      <c r="R7201" s="55" t="n">
        <f aca="false">N7201</f>
        <v>192869.728098578</v>
      </c>
      <c r="S7201" s="56" t="n">
        <f aca="false">R7201</f>
        <v>192869.728098578</v>
      </c>
    </row>
    <row r="7202" customFormat="false" ht="15" hidden="false" customHeight="false" outlineLevel="0" collapsed="false">
      <c r="A7202" s="4" t="s">
        <v>539</v>
      </c>
      <c r="B7202" s="36" t="s">
        <v>125</v>
      </c>
      <c r="C7202" s="54" t="n">
        <f aca="false">0*Assumptions!$E$63^(1/4)+C7193*$C$7142</f>
        <v>0</v>
      </c>
      <c r="D7202" s="54" t="n">
        <f aca="false">C7202*Assumptions!$E$63^(1/4)+D7193*$C$7142</f>
        <v>4239.58645576376</v>
      </c>
      <c r="E7202" s="54" t="n">
        <f aca="false">D7202*Assumptions!$E$63^(1/4)+E7193*$C$7142</f>
        <v>11568.780571464</v>
      </c>
      <c r="F7202" s="54" t="n">
        <f aca="false">E7202*Assumptions!$E$63^(1/4)+F7193*$C$7142</f>
        <v>19757.0139869302</v>
      </c>
      <c r="G7202" s="54" t="n">
        <f aca="false">F7202*Assumptions!$E$63^(1/4)+G7193*$C$7142</f>
        <v>28832.3026333607</v>
      </c>
      <c r="H7202" s="54" t="n">
        <f aca="false">G7202*Assumptions!$E$63^(1/4)+H7193*$C$7142</f>
        <v>40337.2428258018</v>
      </c>
      <c r="I7202" s="54" t="n">
        <f aca="false">H7202*Assumptions!$E$63^(1/4)+I7193*$C$7142</f>
        <v>54161.8650429175</v>
      </c>
      <c r="J7202" s="54" t="n">
        <f aca="false">I7202*Assumptions!$E$63^(1/4)+J7193*$C$7142</f>
        <v>73376.768355554</v>
      </c>
      <c r="K7202" s="54" t="n">
        <f aca="false">J7202*Assumptions!$E$63^(1/4)+K7193*$C$7142</f>
        <v>97657.3745036042</v>
      </c>
      <c r="L7202" s="54" t="n">
        <f aca="false">K7202*Assumptions!$E$63^(1/4)+L7193*$C$7142</f>
        <v>122459.146505613</v>
      </c>
      <c r="M7202" s="54" t="n">
        <f aca="false">L7202*Assumptions!$E$63^(1/4)+M7193*$C$7142</f>
        <v>146932.924638212</v>
      </c>
      <c r="N7202" s="54" t="n">
        <f aca="false">M7202*Assumptions!$E$63^(1/4)+N7193*$C$7142</f>
        <v>171121.912636854</v>
      </c>
      <c r="P7202" s="55" t="n">
        <f aca="false">F7202</f>
        <v>19757.0139869302</v>
      </c>
      <c r="Q7202" s="55" t="n">
        <f aca="false">J7202</f>
        <v>73376.768355554</v>
      </c>
      <c r="R7202" s="55" t="n">
        <f aca="false">N7202</f>
        <v>171121.912636854</v>
      </c>
      <c r="S7202" s="56" t="n">
        <f aca="false">R7202</f>
        <v>171121.912636854</v>
      </c>
    </row>
    <row r="7203" customFormat="false" ht="15" hidden="false" customHeight="false" outlineLevel="0" collapsed="false">
      <c r="A7203" s="4" t="s">
        <v>540</v>
      </c>
      <c r="B7203" s="36" t="s">
        <v>125</v>
      </c>
      <c r="C7203" s="54" t="n">
        <f aca="false">0*Assumptions!$E$64^(1/4)+C7194*$C$7143</f>
        <v>0</v>
      </c>
      <c r="D7203" s="54" t="n">
        <f aca="false">C7203*Assumptions!$E$64^(1/4)+D7194*$C$7143</f>
        <v>0</v>
      </c>
      <c r="E7203" s="54" t="n">
        <f aca="false">D7203*Assumptions!$E$64^(1/4)+E7194*$C$7143</f>
        <v>4403.28728055653</v>
      </c>
      <c r="F7203" s="54" t="n">
        <f aca="false">E7203*Assumptions!$E$64^(1/4)+F7194*$C$7143</f>
        <v>12107.4388108841</v>
      </c>
      <c r="G7203" s="54" t="n">
        <f aca="false">F7203*Assumptions!$E$64^(1/4)+G7194*$C$7143</f>
        <v>20866.0439239064</v>
      </c>
      <c r="H7203" s="54" t="n">
        <f aca="false">G7203*Assumptions!$E$64^(1/4)+H7194*$C$7143</f>
        <v>30732.6025192522</v>
      </c>
      <c r="I7203" s="54" t="n">
        <f aca="false">H7203*Assumptions!$E$64^(1/4)+I7194*$C$7143</f>
        <v>42590.8720102144</v>
      </c>
      <c r="J7203" s="54" t="n">
        <f aca="false">I7203*Assumptions!$E$64^(1/4)+J7194*$C$7143</f>
        <v>56428.9790305215</v>
      </c>
      <c r="K7203" s="54" t="n">
        <f aca="false">J7203*Assumptions!$E$64^(1/4)+K7194*$C$7143</f>
        <v>74828.6952807254</v>
      </c>
      <c r="L7203" s="54" t="n">
        <f aca="false">K7203*Assumptions!$E$64^(1/4)+L7194*$C$7143</f>
        <v>97706.5094169996</v>
      </c>
      <c r="M7203" s="54" t="n">
        <f aca="false">L7203*Assumptions!$E$64^(1/4)+M7194*$C$7143</f>
        <v>121541.467521117</v>
      </c>
      <c r="N7203" s="54" t="n">
        <f aca="false">M7203*Assumptions!$E$64^(1/4)+N7194*$C$7143</f>
        <v>145621.085996823</v>
      </c>
      <c r="P7203" s="55" t="n">
        <f aca="false">F7203</f>
        <v>12107.4388108841</v>
      </c>
      <c r="Q7203" s="55" t="n">
        <f aca="false">J7203</f>
        <v>56428.9790305215</v>
      </c>
      <c r="R7203" s="55" t="n">
        <f aca="false">N7203</f>
        <v>145621.085996823</v>
      </c>
      <c r="S7203" s="56" t="n">
        <f aca="false">R7203</f>
        <v>145621.085996823</v>
      </c>
    </row>
    <row r="7204" customFormat="false" ht="15" hidden="false" customHeight="false" outlineLevel="0" collapsed="false">
      <c r="A7204" s="9" t="s">
        <v>541</v>
      </c>
      <c r="B7204" s="36" t="s">
        <v>125</v>
      </c>
      <c r="C7204" s="55" t="n">
        <f aca="false">C7201+C7202+C7203</f>
        <v>0</v>
      </c>
      <c r="D7204" s="55" t="n">
        <f aca="false">D7201+D7202+D7203</f>
        <v>8876.43319038757</v>
      </c>
      <c r="E7204" s="55" t="n">
        <f aca="false">E7201+E7202+E7203</f>
        <v>28556.8328798949</v>
      </c>
      <c r="F7204" s="55" t="n">
        <f aca="false">F7201+F7202+F7203</f>
        <v>53219.0446912122</v>
      </c>
      <c r="G7204" s="55" t="n">
        <f aca="false">G7201+G7202+G7203</f>
        <v>80661.5284149939</v>
      </c>
      <c r="H7204" s="55" t="n">
        <f aca="false">H7201+H7202+H7203</f>
        <v>114397.200378599</v>
      </c>
      <c r="I7204" s="55" t="n">
        <f aca="false">I7201+I7202+I7203</f>
        <v>155018.116366178</v>
      </c>
      <c r="J7204" s="55" t="n">
        <f aca="false">J7201+J7202+J7203</f>
        <v>210178.596103656</v>
      </c>
      <c r="K7204" s="55" t="n">
        <f aca="false">K7201+K7202+K7203</f>
        <v>281455.503508684</v>
      </c>
      <c r="L7204" s="55" t="n">
        <f aca="false">L7201+L7202+L7203</f>
        <v>357934.868621746</v>
      </c>
      <c r="M7204" s="55" t="n">
        <f aca="false">M7201+M7202+M7203</f>
        <v>434190.644323734</v>
      </c>
      <c r="N7204" s="55" t="n">
        <f aca="false">N7201+N7202+N7203</f>
        <v>509612.726732255</v>
      </c>
      <c r="P7204" s="55" t="n">
        <f aca="false">F7204</f>
        <v>53219.0446912122</v>
      </c>
      <c r="Q7204" s="55" t="n">
        <f aca="false">J7204</f>
        <v>210178.596103656</v>
      </c>
      <c r="R7204" s="55" t="n">
        <f aca="false">N7204</f>
        <v>509612.726732255</v>
      </c>
      <c r="S7204" s="56" t="n">
        <f aca="false">R7204</f>
        <v>509612.726732255</v>
      </c>
    </row>
    <row r="7205" customFormat="false" ht="15" hidden="false" customHeight="false" outlineLevel="0" collapsed="false">
      <c r="A7205" s="4" t="s">
        <v>542</v>
      </c>
      <c r="B7205" s="36" t="s">
        <v>125</v>
      </c>
      <c r="C7205" s="54" t="n">
        <f aca="false">C7192*$C$7141+C7193*$C$7142+C7194*$C$7143</f>
        <v>0</v>
      </c>
      <c r="D7205" s="54" t="n">
        <f aca="false">D7192*$C$7141+D7193*$C$7142+D7194*$C$7143</f>
        <v>8876.43319038757</v>
      </c>
      <c r="E7205" s="54" t="n">
        <f aca="false">E7192*$C$7141+E7193*$C$7142+E7194*$C$7143</f>
        <v>19618.1886500368</v>
      </c>
      <c r="F7205" s="54" t="n">
        <f aca="false">F7192*$C$7141+F7193*$C$7142+F7194*$C$7143</f>
        <v>24335.8808795765</v>
      </c>
      <c r="G7205" s="54" t="n">
        <f aca="false">G7192*$C$7141+G7193*$C$7142+G7194*$C$7143</f>
        <v>26722.0551062465</v>
      </c>
      <c r="H7205" s="54" t="n">
        <f aca="false">H7192*$C$7141+H7193*$C$7142+H7194*$C$7143</f>
        <v>32570.6348072815</v>
      </c>
      <c r="I7205" s="54" t="n">
        <f aca="false">I7192*$C$7141+I7193*$C$7142+I7194*$C$7143</f>
        <v>38936.2212649288</v>
      </c>
      <c r="J7205" s="54" t="n">
        <f aca="false">J7192*$C$7141+J7193*$C$7142+J7194*$C$7143</f>
        <v>52851.2673832351</v>
      </c>
      <c r="K7205" s="54" t="n">
        <f aca="false">K7192*$C$7141+K7193*$C$7142+K7194*$C$7143</f>
        <v>68193.6820495777</v>
      </c>
      <c r="L7205" s="54" t="n">
        <f aca="false">L7192*$C$7141+L7193*$C$7142+L7194*$C$7143</f>
        <v>72385.5913630249</v>
      </c>
      <c r="M7205" s="54" t="n">
        <f aca="false">M7192*$C$7141+M7193*$C$7142+M7194*$C$7143</f>
        <v>70984.5735032962</v>
      </c>
      <c r="N7205" s="54" t="n">
        <f aca="false">N7192*$C$7141+N7193*$C$7142+N7194*$C$7143</f>
        <v>68944.2304944803</v>
      </c>
      <c r="P7205" s="55" t="n">
        <f aca="false">SUM(C7205:F7205)</f>
        <v>52830.5027200009</v>
      </c>
      <c r="Q7205" s="55" t="n">
        <f aca="false">SUM(G7205:J7205)</f>
        <v>151080.178561692</v>
      </c>
      <c r="R7205" s="55" t="n">
        <f aca="false">SUM(K7205:N7205)</f>
        <v>280508.077410379</v>
      </c>
      <c r="S7205" s="56" t="n">
        <f aca="false">SUM(P7205:R7205)</f>
        <v>484418.758692072</v>
      </c>
    </row>
    <row r="7206" customFormat="false" ht="15" hidden="false" customHeight="false" outlineLevel="0" collapsed="false">
      <c r="A7206" s="9" t="s">
        <v>543</v>
      </c>
      <c r="B7206" s="36" t="s">
        <v>125</v>
      </c>
      <c r="C7206" s="55" t="n">
        <f aca="false">(0+C7204)/8</f>
        <v>0</v>
      </c>
      <c r="D7206" s="55" t="n">
        <f aca="false">(C7204+D7204)/8</f>
        <v>1109.55414879845</v>
      </c>
      <c r="E7206" s="55" t="n">
        <f aca="false">(D7204+E7204)/8</f>
        <v>4679.15825878531</v>
      </c>
      <c r="F7206" s="55" t="n">
        <f aca="false">(E7204+F7204)/8</f>
        <v>10221.9846963884</v>
      </c>
      <c r="G7206" s="55" t="n">
        <f aca="false">(F7204+G7204)/8</f>
        <v>16735.0716382758</v>
      </c>
      <c r="H7206" s="55" t="n">
        <f aca="false">(G7204+H7204)/8</f>
        <v>24382.3410991992</v>
      </c>
      <c r="I7206" s="55" t="n">
        <f aca="false">(H7204+I7204)/8</f>
        <v>33676.9145930972</v>
      </c>
      <c r="J7206" s="55" t="n">
        <f aca="false">(I7204+J7204)/8</f>
        <v>45649.5890587293</v>
      </c>
      <c r="K7206" s="55" t="n">
        <f aca="false">(J7204+K7204)/8</f>
        <v>61454.2624515425</v>
      </c>
      <c r="L7206" s="55" t="n">
        <f aca="false">(K7204+L7204)/8</f>
        <v>79923.7965163037</v>
      </c>
      <c r="M7206" s="55" t="n">
        <f aca="false">(L7204+M7204)/8</f>
        <v>99015.6891181849</v>
      </c>
      <c r="N7206" s="55" t="n">
        <f aca="false">(M7204+N7204)/8</f>
        <v>117975.421381999</v>
      </c>
      <c r="P7206" s="55" t="n">
        <f aca="false">SUM(C7206:F7206)</f>
        <v>16010.6971039722</v>
      </c>
      <c r="Q7206" s="55" t="n">
        <f aca="false">SUM(G7206:J7206)</f>
        <v>120443.916389301</v>
      </c>
      <c r="R7206" s="55" t="n">
        <f aca="false">SUM(K7206:N7206)</f>
        <v>358369.16946803</v>
      </c>
      <c r="S7206" s="56" t="n">
        <f aca="false">SUM(P7206:R7206)</f>
        <v>494823.782961303</v>
      </c>
    </row>
    <row r="7207" customFormat="false" ht="15" hidden="false" customHeight="false" outlineLevel="0" collapsed="false">
      <c r="A7207" s="4" t="s">
        <v>544</v>
      </c>
      <c r="B7207" s="36" t="s">
        <v>125</v>
      </c>
      <c r="C7207" s="54" t="n">
        <f aca="false">C7206*Assumptions!$E$76</f>
        <v>0</v>
      </c>
      <c r="D7207" s="54" t="n">
        <f aca="false">D7206*Assumptions!$E$76</f>
        <v>721.21019671899</v>
      </c>
      <c r="E7207" s="54" t="n">
        <f aca="false">E7206*Assumptions!$E$76</f>
        <v>3041.45286821045</v>
      </c>
      <c r="F7207" s="54" t="n">
        <f aca="false">F7206*Assumptions!$E$76</f>
        <v>6644.29005265246</v>
      </c>
      <c r="G7207" s="54" t="n">
        <f aca="false">G7206*Assumptions!$E$76</f>
        <v>10877.7965648792</v>
      </c>
      <c r="H7207" s="54" t="n">
        <f aca="false">H7206*Assumptions!$E$76</f>
        <v>15848.5217144795</v>
      </c>
      <c r="I7207" s="54" t="n">
        <f aca="false">I7206*Assumptions!$E$76</f>
        <v>21889.9944855132</v>
      </c>
      <c r="J7207" s="54" t="n">
        <f aca="false">J7206*Assumptions!$E$76</f>
        <v>29672.2328881741</v>
      </c>
      <c r="K7207" s="54" t="n">
        <f aca="false">K7206*Assumptions!$E$76</f>
        <v>39945.2705935026</v>
      </c>
      <c r="L7207" s="54" t="n">
        <f aca="false">L7206*Assumptions!$E$76</f>
        <v>51950.4677355974</v>
      </c>
      <c r="M7207" s="54" t="n">
        <f aca="false">M7206*Assumptions!$E$76</f>
        <v>64360.1979268202</v>
      </c>
      <c r="N7207" s="54" t="n">
        <f aca="false">N7206*Assumptions!$E$76</f>
        <v>76684.0238982991</v>
      </c>
      <c r="P7207" s="55" t="n">
        <f aca="false">SUM(C7207:F7207)</f>
        <v>10406.9531175819</v>
      </c>
      <c r="Q7207" s="55" t="n">
        <f aca="false">SUM(G7207:J7207)</f>
        <v>78288.545653046</v>
      </c>
      <c r="R7207" s="55" t="n">
        <f aca="false">SUM(K7207:N7207)</f>
        <v>232939.960154219</v>
      </c>
      <c r="S7207" s="56" t="n">
        <f aca="false">SUM(P7207:R7207)</f>
        <v>321635.458924847</v>
      </c>
    </row>
    <row r="7208" customFormat="false" ht="15" hidden="false" customHeight="false" outlineLevel="0" collapsed="false">
      <c r="A7208" s="35" t="s">
        <v>547</v>
      </c>
      <c r="B7208" s="35" t="s">
        <v>444</v>
      </c>
      <c r="C7208" s="6" t="s">
        <v>354</v>
      </c>
      <c r="D7208" s="6" t="s">
        <v>355</v>
      </c>
      <c r="E7208" s="6" t="s">
        <v>356</v>
      </c>
      <c r="F7208" s="6" t="s">
        <v>357</v>
      </c>
      <c r="G7208" s="6" t="s">
        <v>358</v>
      </c>
      <c r="H7208" s="6" t="s">
        <v>359</v>
      </c>
      <c r="I7208" s="6" t="s">
        <v>360</v>
      </c>
      <c r="J7208" s="6" t="s">
        <v>361</v>
      </c>
      <c r="K7208" s="6" t="s">
        <v>362</v>
      </c>
      <c r="L7208" s="6" t="s">
        <v>363</v>
      </c>
      <c r="M7208" s="6" t="s">
        <v>364</v>
      </c>
      <c r="N7208" s="6" t="s">
        <v>365</v>
      </c>
      <c r="P7208" s="6" t="s">
        <v>445</v>
      </c>
      <c r="Q7208" s="6" t="s">
        <v>446</v>
      </c>
      <c r="R7208" s="6" t="s">
        <v>447</v>
      </c>
      <c r="S7208" s="6" t="s">
        <v>448</v>
      </c>
    </row>
    <row r="7209" customFormat="false" ht="15" hidden="false" customHeight="false" outlineLevel="0" collapsed="false">
      <c r="A7209" s="4" t="s">
        <v>548</v>
      </c>
      <c r="B7209" s="36" t="s">
        <v>321</v>
      </c>
      <c r="C7209" s="48" t="n">
        <f aca="false">Assumptions!$D$97*C7151</f>
        <v>1</v>
      </c>
      <c r="D7209" s="48" t="n">
        <f aca="false">Assumptions!$D$97*D7151</f>
        <v>1</v>
      </c>
      <c r="E7209" s="48" t="n">
        <f aca="false">Assumptions!$D$97*E7151</f>
        <v>1</v>
      </c>
      <c r="F7209" s="48" t="n">
        <f aca="false">Assumptions!$D$97*F7151</f>
        <v>1</v>
      </c>
      <c r="G7209" s="48" t="n">
        <f aca="false">Assumptions!$D$97*G7151</f>
        <v>1</v>
      </c>
      <c r="H7209" s="48" t="n">
        <f aca="false">Assumptions!$D$97*H7151</f>
        <v>1</v>
      </c>
      <c r="I7209" s="48" t="n">
        <f aca="false">Assumptions!$D$97*I7151</f>
        <v>1</v>
      </c>
      <c r="J7209" s="48" t="n">
        <f aca="false">Assumptions!$D$97*J7151</f>
        <v>1</v>
      </c>
      <c r="K7209" s="48" t="n">
        <f aca="false">Assumptions!$D$97*K7151</f>
        <v>1</v>
      </c>
      <c r="L7209" s="48" t="n">
        <f aca="false">Assumptions!$D$97*L7151</f>
        <v>1</v>
      </c>
      <c r="M7209" s="48" t="n">
        <f aca="false">Assumptions!$D$97*M7151</f>
        <v>1</v>
      </c>
      <c r="N7209" s="48" t="n">
        <f aca="false">Assumptions!$D$97*N7151</f>
        <v>1</v>
      </c>
      <c r="P7209" s="49" t="n">
        <f aca="false">AVERAGE(C7209:F7209)</f>
        <v>1</v>
      </c>
      <c r="Q7209" s="49" t="n">
        <f aca="false">AVERAGE(G7209:J7209)</f>
        <v>1</v>
      </c>
      <c r="R7209" s="49" t="n">
        <f aca="false">AVERAGE(K7209:N7209)</f>
        <v>1</v>
      </c>
      <c r="S7209" s="50"/>
    </row>
    <row r="7210" customFormat="false" ht="15" hidden="false" customHeight="false" outlineLevel="0" collapsed="false">
      <c r="A7210" s="4" t="s">
        <v>549</v>
      </c>
      <c r="B7210" s="36" t="s">
        <v>321</v>
      </c>
      <c r="C7210" s="48" t="n">
        <f aca="false">C7164*C7151</f>
        <v>0</v>
      </c>
      <c r="D7210" s="48" t="n">
        <f aca="false">D7164*D7151</f>
        <v>0</v>
      </c>
      <c r="E7210" s="48" t="n">
        <f aca="false">E7164*E7151</f>
        <v>0</v>
      </c>
      <c r="F7210" s="48" t="n">
        <f aca="false">F7164*F7151</f>
        <v>0</v>
      </c>
      <c r="G7210" s="48" t="n">
        <f aca="false">G7164*G7151</f>
        <v>0</v>
      </c>
      <c r="H7210" s="48" t="n">
        <f aca="false">H7164*H7151</f>
        <v>0</v>
      </c>
      <c r="I7210" s="48" t="n">
        <f aca="false">I7164*I7151</f>
        <v>0</v>
      </c>
      <c r="J7210" s="48" t="n">
        <f aca="false">J7164*J7151</f>
        <v>0</v>
      </c>
      <c r="K7210" s="48" t="n">
        <f aca="false">K7164*K7151</f>
        <v>0</v>
      </c>
      <c r="L7210" s="48" t="n">
        <f aca="false">L7164*L7151</f>
        <v>0</v>
      </c>
      <c r="M7210" s="48" t="n">
        <f aca="false">M7164*M7151</f>
        <v>0</v>
      </c>
      <c r="N7210" s="48" t="n">
        <f aca="false">N7164*N7151</f>
        <v>0</v>
      </c>
      <c r="P7210" s="49" t="n">
        <f aca="false">AVERAGE(C7210:F7210)</f>
        <v>0</v>
      </c>
      <c r="Q7210" s="49" t="n">
        <f aca="false">AVERAGE(G7210:J7210)</f>
        <v>0</v>
      </c>
      <c r="R7210" s="49" t="n">
        <f aca="false">AVERAGE(K7210:N7210)</f>
        <v>0</v>
      </c>
      <c r="S7210" s="50"/>
    </row>
    <row r="7211" customFormat="false" ht="15" hidden="false" customHeight="false" outlineLevel="0" collapsed="false">
      <c r="A7211" s="4" t="s">
        <v>550</v>
      </c>
      <c r="B7211" s="36" t="s">
        <v>321</v>
      </c>
      <c r="C7211" s="48" t="n">
        <f aca="false">IF(C7150&lt;=4,Assumptions!$D$98,Assumptions!$D$99)*C7151</f>
        <v>0</v>
      </c>
      <c r="D7211" s="48" t="n">
        <f aca="false">IF(D7150&lt;=4,Assumptions!$D$98,Assumptions!$D$99)*D7151</f>
        <v>0</v>
      </c>
      <c r="E7211" s="48" t="n">
        <f aca="false">IF(E7150&lt;=4,Assumptions!$D$98,Assumptions!$D$99)*E7151</f>
        <v>0</v>
      </c>
      <c r="F7211" s="48" t="n">
        <f aca="false">IF(F7150&lt;=4,Assumptions!$D$98,Assumptions!$D$99)*F7151</f>
        <v>0</v>
      </c>
      <c r="G7211" s="48" t="n">
        <f aca="false">IF(G7150&lt;=4,Assumptions!$D$98,Assumptions!$D$99)*G7151</f>
        <v>0.5</v>
      </c>
      <c r="H7211" s="48" t="n">
        <f aca="false">IF(H7150&lt;=4,Assumptions!$D$98,Assumptions!$D$99)*H7151</f>
        <v>0.5</v>
      </c>
      <c r="I7211" s="48" t="n">
        <f aca="false">IF(I7150&lt;=4,Assumptions!$D$98,Assumptions!$D$99)*I7151</f>
        <v>0.5</v>
      </c>
      <c r="J7211" s="48" t="n">
        <f aca="false">IF(J7150&lt;=4,Assumptions!$D$98,Assumptions!$D$99)*J7151</f>
        <v>0.5</v>
      </c>
      <c r="K7211" s="48" t="n">
        <f aca="false">IF(K7150&lt;=4,Assumptions!$D$98,Assumptions!$D$99)*K7151</f>
        <v>0.5</v>
      </c>
      <c r="L7211" s="48" t="n">
        <f aca="false">IF(L7150&lt;=4,Assumptions!$D$98,Assumptions!$D$99)*L7151</f>
        <v>0.5</v>
      </c>
      <c r="M7211" s="48" t="n">
        <f aca="false">IF(M7150&lt;=4,Assumptions!$D$98,Assumptions!$D$99)*M7151</f>
        <v>0.5</v>
      </c>
      <c r="N7211" s="48" t="n">
        <f aca="false">IF(N7150&lt;=4,Assumptions!$D$98,Assumptions!$D$99)*N7151</f>
        <v>0.5</v>
      </c>
      <c r="P7211" s="49" t="n">
        <f aca="false">AVERAGE(C7211:F7211)</f>
        <v>0</v>
      </c>
      <c r="Q7211" s="49" t="n">
        <f aca="false">AVERAGE(G7211:J7211)</f>
        <v>0.5</v>
      </c>
      <c r="R7211" s="49" t="n">
        <f aca="false">AVERAGE(K7211:N7211)</f>
        <v>0.5</v>
      </c>
      <c r="S7211" s="50"/>
    </row>
    <row r="7212" customFormat="false" ht="15" hidden="false" customHeight="false" outlineLevel="0" collapsed="false">
      <c r="A7212" s="4" t="s">
        <v>551</v>
      </c>
      <c r="B7212" s="36" t="s">
        <v>321</v>
      </c>
      <c r="C7212" s="48" t="n">
        <f aca="false">IF(C7150&lt;=4,Assumptions!$D$100,Assumptions!$D$101)*C7151</f>
        <v>1</v>
      </c>
      <c r="D7212" s="48" t="n">
        <f aca="false">IF(D7150&lt;=4,Assumptions!$D$100,Assumptions!$D$101)*D7151</f>
        <v>1</v>
      </c>
      <c r="E7212" s="48" t="n">
        <f aca="false">IF(E7150&lt;=4,Assumptions!$D$100,Assumptions!$D$101)*E7151</f>
        <v>1</v>
      </c>
      <c r="F7212" s="48" t="n">
        <f aca="false">IF(F7150&lt;=4,Assumptions!$D$100,Assumptions!$D$101)*F7151</f>
        <v>1</v>
      </c>
      <c r="G7212" s="48" t="n">
        <f aca="false">IF(G7150&lt;=4,Assumptions!$D$100,Assumptions!$D$101)*G7151</f>
        <v>0.5</v>
      </c>
      <c r="H7212" s="48" t="n">
        <f aca="false">IF(H7150&lt;=4,Assumptions!$D$100,Assumptions!$D$101)*H7151</f>
        <v>0.5</v>
      </c>
      <c r="I7212" s="48" t="n">
        <f aca="false">IF(I7150&lt;=4,Assumptions!$D$100,Assumptions!$D$101)*I7151</f>
        <v>0.5</v>
      </c>
      <c r="J7212" s="48" t="n">
        <f aca="false">IF(J7150&lt;=4,Assumptions!$D$100,Assumptions!$D$101)*J7151</f>
        <v>0.5</v>
      </c>
      <c r="K7212" s="48" t="n">
        <f aca="false">IF(K7150&lt;=4,Assumptions!$D$100,Assumptions!$D$101)*K7151</f>
        <v>0.5</v>
      </c>
      <c r="L7212" s="48" t="n">
        <f aca="false">IF(L7150&lt;=4,Assumptions!$D$100,Assumptions!$D$101)*L7151</f>
        <v>0.5</v>
      </c>
      <c r="M7212" s="48" t="n">
        <f aca="false">IF(M7150&lt;=4,Assumptions!$D$100,Assumptions!$D$101)*M7151</f>
        <v>0.5</v>
      </c>
      <c r="N7212" s="48" t="n">
        <f aca="false">IF(N7150&lt;=4,Assumptions!$D$100,Assumptions!$D$101)*N7151</f>
        <v>0.5</v>
      </c>
      <c r="P7212" s="49" t="n">
        <f aca="false">AVERAGE(C7212:F7212)</f>
        <v>1</v>
      </c>
      <c r="Q7212" s="49" t="n">
        <f aca="false">AVERAGE(G7212:J7212)</f>
        <v>0.5</v>
      </c>
      <c r="R7212" s="49" t="n">
        <f aca="false">AVERAGE(K7212:N7212)</f>
        <v>0.5</v>
      </c>
      <c r="S7212" s="50"/>
    </row>
    <row r="7213" customFormat="false" ht="15" hidden="false" customHeight="false" outlineLevel="0" collapsed="false">
      <c r="A7213" s="4" t="s">
        <v>552</v>
      </c>
      <c r="B7213" s="36" t="s">
        <v>321</v>
      </c>
      <c r="C7213" s="48" t="n">
        <f aca="false">Assumptions!$D$102*C7151</f>
        <v>0.25</v>
      </c>
      <c r="D7213" s="48" t="n">
        <f aca="false">Assumptions!$D$102*D7151</f>
        <v>0.25</v>
      </c>
      <c r="E7213" s="48" t="n">
        <f aca="false">Assumptions!$D$102*E7151</f>
        <v>0.25</v>
      </c>
      <c r="F7213" s="48" t="n">
        <f aca="false">Assumptions!$D$102*F7151</f>
        <v>0.25</v>
      </c>
      <c r="G7213" s="48" t="n">
        <f aca="false">Assumptions!$D$102*G7151</f>
        <v>0.25</v>
      </c>
      <c r="H7213" s="48" t="n">
        <f aca="false">Assumptions!$D$102*H7151</f>
        <v>0.25</v>
      </c>
      <c r="I7213" s="48" t="n">
        <f aca="false">Assumptions!$D$102*I7151</f>
        <v>0.25</v>
      </c>
      <c r="J7213" s="48" t="n">
        <f aca="false">Assumptions!$D$102*J7151</f>
        <v>0.25</v>
      </c>
      <c r="K7213" s="48" t="n">
        <f aca="false">Assumptions!$D$102*K7151</f>
        <v>0.25</v>
      </c>
      <c r="L7213" s="48" t="n">
        <f aca="false">Assumptions!$D$102*L7151</f>
        <v>0.25</v>
      </c>
      <c r="M7213" s="48" t="n">
        <f aca="false">Assumptions!$D$102*M7151</f>
        <v>0.25</v>
      </c>
      <c r="N7213" s="48" t="n">
        <f aca="false">Assumptions!$D$102*N7151</f>
        <v>0.25</v>
      </c>
      <c r="P7213" s="49" t="n">
        <f aca="false">AVERAGE(C7213:F7213)</f>
        <v>0.25</v>
      </c>
      <c r="Q7213" s="49" t="n">
        <f aca="false">AVERAGE(G7213:J7213)</f>
        <v>0.25</v>
      </c>
      <c r="R7213" s="49" t="n">
        <f aca="false">AVERAGE(K7213:N7213)</f>
        <v>0.25</v>
      </c>
      <c r="S7213" s="50"/>
    </row>
    <row r="7214" customFormat="false" ht="15" hidden="false" customHeight="false" outlineLevel="0" collapsed="false">
      <c r="A7214" s="4" t="s">
        <v>553</v>
      </c>
      <c r="B7214" s="36" t="s">
        <v>321</v>
      </c>
      <c r="C7214" s="48" t="n">
        <f aca="false">(C7198+C7199)/Assumptions!$E$74+C7197/Assumptions!$E$75</f>
        <v>0</v>
      </c>
      <c r="D7214" s="48" t="n">
        <f aca="false">(D7198+D7199)/Assumptions!$E$74+D7197/Assumptions!$E$75</f>
        <v>0.0143176301374139</v>
      </c>
      <c r="E7214" s="48" t="n">
        <f aca="false">(E7198+E7199)/Assumptions!$E$74+E7197/Assumptions!$E$75</f>
        <v>0.0402499456767798</v>
      </c>
      <c r="F7214" s="48" t="n">
        <f aca="false">(F7198+F7199)/Assumptions!$E$74+F7197/Assumptions!$E$75</f>
        <v>0.069296156601371</v>
      </c>
      <c r="G7214" s="48" t="n">
        <f aca="false">(G7198+G7199)/Assumptions!$E$74+G7197/Assumptions!$E$75</f>
        <v>0.100475077199051</v>
      </c>
      <c r="H7214" s="48" t="n">
        <f aca="false">(H7198+H7199)/Assumptions!$E$74+H7197/Assumptions!$E$75</f>
        <v>0.139084643227244</v>
      </c>
      <c r="I7214" s="48" t="n">
        <f aca="false">(I7198+I7199)/Assumptions!$E$74+I7197/Assumptions!$E$75</f>
        <v>0.184756080005146</v>
      </c>
      <c r="J7214" s="48" t="n">
        <f aca="false">(J7198+J7199)/Assumptions!$E$74+J7197/Assumptions!$E$75</f>
        <v>0.248473880206466</v>
      </c>
      <c r="K7214" s="48" t="n">
        <f aca="false">(K7198+K7199)/Assumptions!$E$74+K7197/Assumptions!$E$75</f>
        <v>0.329218871456529</v>
      </c>
      <c r="L7214" s="48" t="n">
        <f aca="false">(L7198+L7199)/Assumptions!$E$74+L7197/Assumptions!$E$75</f>
        <v>0.409912468045788</v>
      </c>
      <c r="M7214" s="48" t="n">
        <f aca="false">(M7198+M7199)/Assumptions!$E$74+M7197/Assumptions!$E$75</f>
        <v>0.486094517455055</v>
      </c>
      <c r="N7214" s="48" t="n">
        <f aca="false">(N7198+N7199)/Assumptions!$E$74+N7197/Assumptions!$E$75</f>
        <v>0.557753573090085</v>
      </c>
      <c r="P7214" s="49" t="n">
        <f aca="false">AVERAGE(C7214:F7214)</f>
        <v>0.0309659331038912</v>
      </c>
      <c r="Q7214" s="49" t="n">
        <f aca="false">AVERAGE(G7214:J7214)</f>
        <v>0.168197420159477</v>
      </c>
      <c r="R7214" s="49" t="n">
        <f aca="false">AVERAGE(K7214:N7214)</f>
        <v>0.445744857511864</v>
      </c>
      <c r="S7214" s="50"/>
    </row>
    <row r="7215" customFormat="false" ht="15" hidden="false" customHeight="false" outlineLevel="0" collapsed="false">
      <c r="A7215" s="4" t="s">
        <v>554</v>
      </c>
      <c r="B7215" s="36" t="s">
        <v>125</v>
      </c>
      <c r="C7215" s="54" t="n">
        <f aca="false">(C7209+C7211)*Assumptions!$E$70/Assumptions!$E$69/4</f>
        <v>66753.5714285714</v>
      </c>
      <c r="D7215" s="54" t="n">
        <f aca="false">(D7209+D7211)*Assumptions!$E$70/Assumptions!$E$69/4</f>
        <v>66753.5714285714</v>
      </c>
      <c r="E7215" s="54" t="n">
        <f aca="false">(E7209+E7211)*Assumptions!$E$70/Assumptions!$E$69/4</f>
        <v>66753.5714285714</v>
      </c>
      <c r="F7215" s="54" t="n">
        <f aca="false">(F7209+F7211)*Assumptions!$E$70/Assumptions!$E$69/4</f>
        <v>66753.5714285714</v>
      </c>
      <c r="G7215" s="54" t="n">
        <f aca="false">(G7209+G7211)*Assumptions!$E$70/Assumptions!$E$69/4</f>
        <v>100130.357142857</v>
      </c>
      <c r="H7215" s="54" t="n">
        <f aca="false">(H7209+H7211)*Assumptions!$E$70/Assumptions!$E$69/4</f>
        <v>100130.357142857</v>
      </c>
      <c r="I7215" s="54" t="n">
        <f aca="false">(I7209+I7211)*Assumptions!$E$70/Assumptions!$E$69/4</f>
        <v>100130.357142857</v>
      </c>
      <c r="J7215" s="54" t="n">
        <f aca="false">(J7209+J7211)*Assumptions!$E$70/Assumptions!$E$69/4</f>
        <v>100130.357142857</v>
      </c>
      <c r="K7215" s="54" t="n">
        <f aca="false">(K7209+K7211)*Assumptions!$E$70/Assumptions!$E$69/4</f>
        <v>100130.357142857</v>
      </c>
      <c r="L7215" s="54" t="n">
        <f aca="false">(L7209+L7211)*Assumptions!$E$70/Assumptions!$E$69/4</f>
        <v>100130.357142857</v>
      </c>
      <c r="M7215" s="54" t="n">
        <f aca="false">(M7209+M7211)*Assumptions!$E$70/Assumptions!$E$69/4</f>
        <v>100130.357142857</v>
      </c>
      <c r="N7215" s="54" t="n">
        <f aca="false">(N7209+N7211)*Assumptions!$E$70/Assumptions!$E$69/4</f>
        <v>100130.357142857</v>
      </c>
      <c r="P7215" s="55" t="n">
        <f aca="false">SUM(C7215:F7215)</f>
        <v>267014.285714286</v>
      </c>
      <c r="Q7215" s="55" t="n">
        <f aca="false">SUM(G7215:J7215)</f>
        <v>400521.428571429</v>
      </c>
      <c r="R7215" s="55" t="n">
        <f aca="false">SUM(K7215:N7215)</f>
        <v>400521.428571429</v>
      </c>
      <c r="S7215" s="56" t="n">
        <f aca="false">SUM(P7215:R7215)</f>
        <v>1068057.14285714</v>
      </c>
    </row>
    <row r="7216" customFormat="false" ht="15" hidden="false" customHeight="false" outlineLevel="0" collapsed="false">
      <c r="A7216" s="4" t="s">
        <v>555</v>
      </c>
      <c r="B7216" s="36" t="s">
        <v>125</v>
      </c>
      <c r="C7216" s="54" t="n">
        <f aca="false">C7210*$C$7145/4</f>
        <v>0</v>
      </c>
      <c r="D7216" s="54" t="n">
        <f aca="false">D7210*$C$7145/4</f>
        <v>0</v>
      </c>
      <c r="E7216" s="54" t="n">
        <f aca="false">E7210*$C$7145/4</f>
        <v>0</v>
      </c>
      <c r="F7216" s="54" t="n">
        <f aca="false">F7210*$C$7145/4</f>
        <v>0</v>
      </c>
      <c r="G7216" s="54" t="n">
        <f aca="false">G7210*$C$7145/4</f>
        <v>0</v>
      </c>
      <c r="H7216" s="54" t="n">
        <f aca="false">H7210*$C$7145/4</f>
        <v>0</v>
      </c>
      <c r="I7216" s="54" t="n">
        <f aca="false">I7210*$C$7145/4</f>
        <v>0</v>
      </c>
      <c r="J7216" s="54" t="n">
        <f aca="false">J7210*$C$7145/4</f>
        <v>0</v>
      </c>
      <c r="K7216" s="54" t="n">
        <f aca="false">K7210*$C$7145/4</f>
        <v>0</v>
      </c>
      <c r="L7216" s="54" t="n">
        <f aca="false">L7210*$C$7145/4</f>
        <v>0</v>
      </c>
      <c r="M7216" s="54" t="n">
        <f aca="false">M7210*$C$7145/4</f>
        <v>0</v>
      </c>
      <c r="N7216" s="54" t="n">
        <f aca="false">N7210*$C$7145/4</f>
        <v>0</v>
      </c>
      <c r="P7216" s="55" t="n">
        <f aca="false">SUM(C7216:F7216)</f>
        <v>0</v>
      </c>
      <c r="Q7216" s="55" t="n">
        <f aca="false">SUM(G7216:J7216)</f>
        <v>0</v>
      </c>
      <c r="R7216" s="55" t="n">
        <f aca="false">SUM(K7216:N7216)</f>
        <v>0</v>
      </c>
      <c r="S7216" s="56" t="n">
        <f aca="false">SUM(P7216:R7216)</f>
        <v>0</v>
      </c>
    </row>
    <row r="7217" customFormat="false" ht="15" hidden="false" customHeight="false" outlineLevel="0" collapsed="false">
      <c r="A7217" s="4" t="s">
        <v>556</v>
      </c>
      <c r="B7217" s="36" t="s">
        <v>125</v>
      </c>
      <c r="C7217" s="54" t="n">
        <f aca="false">MAX(0,(C7205-C7186*$C$7141)-C7165*$C$7146)*$C$7147*Assumptions!$D$105</f>
        <v>0</v>
      </c>
      <c r="D7217" s="54" t="n">
        <f aca="false">MAX(0,(D7205-D7186*$C$7141)-D7165*$C$7146)*$C$7147*Assumptions!$D$105</f>
        <v>3491.72206180778</v>
      </c>
      <c r="E7217" s="54" t="n">
        <f aca="false">MAX(0,(E7205-E7186*$C$7141)-E7165*$C$7146)*$C$7147*Assumptions!$D$105</f>
        <v>8039.09651874593</v>
      </c>
      <c r="F7217" s="54" t="n">
        <f aca="false">MAX(0,(F7205-F7186*$C$7141)-F7165*$C$7146)*$C$7147*Assumptions!$D$105</f>
        <v>10124.750003461</v>
      </c>
      <c r="G7217" s="54" t="n">
        <f aca="false">MAX(0,(G7205-G7186*$C$7141)-G7165*$C$7146)*$C$7147*Assumptions!$D$105</f>
        <v>11120.4562644655</v>
      </c>
      <c r="H7217" s="54" t="n">
        <f aca="false">MAX(0,(H7205-H7186*$C$7141)-H7165*$C$7146)*$C$7147*Assumptions!$D$105</f>
        <v>13463.0357338943</v>
      </c>
      <c r="I7217" s="54" t="n">
        <f aca="false">MAX(0,(I7205-I7186*$C$7141)-I7165*$C$7146)*$C$7147*Assumptions!$D$105</f>
        <v>16072.2164343224</v>
      </c>
      <c r="J7217" s="54" t="n">
        <f aca="false">MAX(0,(J7205-J7186*$C$7141)-J7165*$C$7146)*$C$7147*Assumptions!$D$105</f>
        <v>21559.8957723031</v>
      </c>
      <c r="K7217" s="54" t="n">
        <f aca="false">MAX(0,(K7205-K7186*$C$7141)-K7165*$C$7146)*$C$7147*Assumptions!$D$105</f>
        <v>27808.6094682429</v>
      </c>
      <c r="L7217" s="54" t="n">
        <f aca="false">MAX(0,(L7205-L7186*$C$7141)-L7165*$C$7146)*$C$7147*Assumptions!$D$105</f>
        <v>29735.5837530454</v>
      </c>
      <c r="M7217" s="54" t="n">
        <f aca="false">MAX(0,(M7205-M7186*$C$7141)-M7165*$C$7146)*$C$7147*Assumptions!$D$105</f>
        <v>29201.3815340945</v>
      </c>
      <c r="N7217" s="54" t="n">
        <f aca="false">MAX(0,(N7205-N7186*$C$7141)-N7165*$C$7146)*$C$7147*Assumptions!$D$105</f>
        <v>28360.6706538674</v>
      </c>
      <c r="P7217" s="55" t="n">
        <f aca="false">SUM(C7217:F7217)</f>
        <v>21655.5685840147</v>
      </c>
      <c r="Q7217" s="55" t="n">
        <f aca="false">SUM(G7217:J7217)</f>
        <v>62215.6042049852</v>
      </c>
      <c r="R7217" s="55" t="n">
        <f aca="false">SUM(K7217:N7217)</f>
        <v>115106.24540925</v>
      </c>
      <c r="S7217" s="56" t="n">
        <f aca="false">SUM(P7217:R7217)</f>
        <v>198977.41819825</v>
      </c>
    </row>
    <row r="7218" customFormat="false" ht="15" hidden="false" customHeight="false" outlineLevel="0" collapsed="false">
      <c r="A7218" s="4" t="s">
        <v>557</v>
      </c>
      <c r="B7218" s="36" t="s">
        <v>125</v>
      </c>
      <c r="C7218" s="54" t="n">
        <f aca="false">C7213*Assumptions!$E$71/Assumptions!$E$69/4</f>
        <v>18475.8928571429</v>
      </c>
      <c r="D7218" s="54" t="n">
        <f aca="false">D7213*Assumptions!$E$71/Assumptions!$E$69/4</f>
        <v>18475.8928571429</v>
      </c>
      <c r="E7218" s="54" t="n">
        <f aca="false">E7213*Assumptions!$E$71/Assumptions!$E$69/4</f>
        <v>18475.8928571429</v>
      </c>
      <c r="F7218" s="54" t="n">
        <f aca="false">F7213*Assumptions!$E$71/Assumptions!$E$69/4</f>
        <v>18475.8928571429</v>
      </c>
      <c r="G7218" s="54" t="n">
        <f aca="false">G7213*Assumptions!$E$71/Assumptions!$E$69/4</f>
        <v>18475.8928571429</v>
      </c>
      <c r="H7218" s="54" t="n">
        <f aca="false">H7213*Assumptions!$E$71/Assumptions!$E$69/4</f>
        <v>18475.8928571429</v>
      </c>
      <c r="I7218" s="54" t="n">
        <f aca="false">I7213*Assumptions!$E$71/Assumptions!$E$69/4</f>
        <v>18475.8928571429</v>
      </c>
      <c r="J7218" s="54" t="n">
        <f aca="false">J7213*Assumptions!$E$71/Assumptions!$E$69/4</f>
        <v>18475.8928571429</v>
      </c>
      <c r="K7218" s="54" t="n">
        <f aca="false">K7213*Assumptions!$E$71/Assumptions!$E$69/4</f>
        <v>18475.8928571429</v>
      </c>
      <c r="L7218" s="54" t="n">
        <f aca="false">L7213*Assumptions!$E$71/Assumptions!$E$69/4</f>
        <v>18475.8928571429</v>
      </c>
      <c r="M7218" s="54" t="n">
        <f aca="false">M7213*Assumptions!$E$71/Assumptions!$E$69/4</f>
        <v>18475.8928571429</v>
      </c>
      <c r="N7218" s="54" t="n">
        <f aca="false">N7213*Assumptions!$E$71/Assumptions!$E$69/4</f>
        <v>18475.8928571429</v>
      </c>
      <c r="P7218" s="55" t="n">
        <f aca="false">SUM(C7218:F7218)</f>
        <v>73903.5714285714</v>
      </c>
      <c r="Q7218" s="55" t="n">
        <f aca="false">SUM(G7218:J7218)</f>
        <v>73903.5714285714</v>
      </c>
      <c r="R7218" s="55" t="n">
        <f aca="false">SUM(K7218:N7218)</f>
        <v>73903.5714285714</v>
      </c>
      <c r="S7218" s="56" t="n">
        <f aca="false">SUM(P7218:R7218)</f>
        <v>221710.714285714</v>
      </c>
    </row>
    <row r="7219" customFormat="false" ht="15" hidden="false" customHeight="false" outlineLevel="0" collapsed="false">
      <c r="A7219" s="4" t="s">
        <v>558</v>
      </c>
      <c r="B7219" s="36" t="s">
        <v>125</v>
      </c>
      <c r="C7219" s="54" t="n">
        <f aca="false">(Assumptions!$D$103+Assumptions!$E$77*((C7150=Assumptions!$E$13)+(C7150=Assumptions!$E$14)+(C7150=Assumptions!$E$15)))*C7151</f>
        <v>65000</v>
      </c>
      <c r="D7219" s="54" t="n">
        <f aca="false">(Assumptions!$D$103+Assumptions!$E$77*((D7150=Assumptions!$E$13)+(D7150=Assumptions!$E$14)+(D7150=Assumptions!$E$15)))*D7151</f>
        <v>25000</v>
      </c>
      <c r="E7219" s="54" t="n">
        <f aca="false">(Assumptions!$D$103+Assumptions!$E$77*((E7150=Assumptions!$E$13)+(E7150=Assumptions!$E$14)+(E7150=Assumptions!$E$15)))*E7151</f>
        <v>25000</v>
      </c>
      <c r="F7219" s="54" t="n">
        <f aca="false">(Assumptions!$D$103+Assumptions!$E$77*((F7150=Assumptions!$E$13)+(F7150=Assumptions!$E$14)+(F7150=Assumptions!$E$15)))*F7151</f>
        <v>25000</v>
      </c>
      <c r="G7219" s="54" t="n">
        <f aca="false">(Assumptions!$D$103+Assumptions!$E$77*((G7150=Assumptions!$E$13)+(G7150=Assumptions!$E$14)+(G7150=Assumptions!$E$15)))*G7151</f>
        <v>65000</v>
      </c>
      <c r="H7219" s="54" t="n">
        <f aca="false">(Assumptions!$D$103+Assumptions!$E$77*((H7150=Assumptions!$E$13)+(H7150=Assumptions!$E$14)+(H7150=Assumptions!$E$15)))*H7151</f>
        <v>25000</v>
      </c>
      <c r="I7219" s="54" t="n">
        <f aca="false">(Assumptions!$D$103+Assumptions!$E$77*((I7150=Assumptions!$E$13)+(I7150=Assumptions!$E$14)+(I7150=Assumptions!$E$15)))*I7151</f>
        <v>65000</v>
      </c>
      <c r="J7219" s="54" t="n">
        <f aca="false">(Assumptions!$D$103+Assumptions!$E$77*((J7150=Assumptions!$E$13)+(J7150=Assumptions!$E$14)+(J7150=Assumptions!$E$15)))*J7151</f>
        <v>25000</v>
      </c>
      <c r="K7219" s="54" t="n">
        <f aca="false">(Assumptions!$D$103+Assumptions!$E$77*((K7150=Assumptions!$E$13)+(K7150=Assumptions!$E$14)+(K7150=Assumptions!$E$15)))*K7151</f>
        <v>25000</v>
      </c>
      <c r="L7219" s="54" t="n">
        <f aca="false">(Assumptions!$D$103+Assumptions!$E$77*((L7150=Assumptions!$E$13)+(L7150=Assumptions!$E$14)+(L7150=Assumptions!$E$15)))*L7151</f>
        <v>25000</v>
      </c>
      <c r="M7219" s="54" t="n">
        <f aca="false">(Assumptions!$D$103+Assumptions!$E$77*((M7150=Assumptions!$E$13)+(M7150=Assumptions!$E$14)+(M7150=Assumptions!$E$15)))*M7151</f>
        <v>25000</v>
      </c>
      <c r="N7219" s="54" t="n">
        <f aca="false">(Assumptions!$D$103+Assumptions!$E$77*((N7150=Assumptions!$E$13)+(N7150=Assumptions!$E$14)+(N7150=Assumptions!$E$15)))*N7151</f>
        <v>25000</v>
      </c>
      <c r="P7219" s="55" t="n">
        <f aca="false">SUM(C7219:F7219)</f>
        <v>140000</v>
      </c>
      <c r="Q7219" s="55" t="n">
        <f aca="false">SUM(G7219:J7219)</f>
        <v>180000</v>
      </c>
      <c r="R7219" s="55" t="n">
        <f aca="false">SUM(K7219:N7219)</f>
        <v>100000</v>
      </c>
      <c r="S7219" s="56" t="n">
        <f aca="false">SUM(P7219:R7219)</f>
        <v>420000</v>
      </c>
    </row>
    <row r="7220" customFormat="false" ht="15" hidden="false" customHeight="false" outlineLevel="0" collapsed="false">
      <c r="A7220" s="4" t="s">
        <v>559</v>
      </c>
      <c r="B7220" s="36" t="s">
        <v>125</v>
      </c>
      <c r="C7220" s="54" t="n">
        <f aca="false">C7205*C7185*Assumptions!$F$79</f>
        <v>0</v>
      </c>
      <c r="D7220" s="54" t="n">
        <f aca="false">D7205*D7185*Assumptions!$F$79</f>
        <v>611.504155016563</v>
      </c>
      <c r="E7220" s="54" t="n">
        <f aca="false">E7205*E7185*Assumptions!$F$79</f>
        <v>1182.71590285761</v>
      </c>
      <c r="F7220" s="54" t="n">
        <f aca="false">F7205*F7185*Assumptions!$F$79</f>
        <v>1772.84069272935</v>
      </c>
      <c r="G7220" s="54" t="n">
        <f aca="false">G7205*G7185*Assumptions!$F$79</f>
        <v>2220.92487262288</v>
      </c>
      <c r="H7220" s="54" t="n">
        <f aca="false">H7205*H7185*Assumptions!$F$79</f>
        <v>2551.39249015087</v>
      </c>
      <c r="I7220" s="54" t="n">
        <f aca="false">I7205*I7185*Assumptions!$F$79</f>
        <v>2963.58073831516</v>
      </c>
      <c r="J7220" s="54" t="n">
        <f aca="false">J7205*J7185*Assumptions!$F$79</f>
        <v>3180.13203204339</v>
      </c>
      <c r="K7220" s="54" t="n">
        <f aca="false">K7205*K7185*Assumptions!$F$79</f>
        <v>3604.09680692502</v>
      </c>
      <c r="L7220" s="54" t="n">
        <f aca="false">L7205*L7185*Assumptions!$F$79</f>
        <v>4220.72389314692</v>
      </c>
      <c r="M7220" s="54" t="n">
        <f aca="false">M7205*M7185*Assumptions!$F$79</f>
        <v>4265.32511537826</v>
      </c>
      <c r="N7220" s="54" t="n">
        <f aca="false">N7205*N7185*Assumptions!$F$79</f>
        <v>4263.79648989678</v>
      </c>
      <c r="P7220" s="55" t="n">
        <f aca="false">SUM(C7220:F7220)</f>
        <v>3567.06075060352</v>
      </c>
      <c r="Q7220" s="55" t="n">
        <f aca="false">SUM(G7220:J7220)</f>
        <v>10916.0301331323</v>
      </c>
      <c r="R7220" s="55" t="n">
        <f aca="false">SUM(K7220:N7220)</f>
        <v>16353.942305347</v>
      </c>
      <c r="S7220" s="56" t="n">
        <f aca="false">SUM(P7220:R7220)</f>
        <v>30837.0331890828</v>
      </c>
    </row>
    <row r="7221" customFormat="false" ht="15" hidden="false" customHeight="false" outlineLevel="0" collapsed="false">
      <c r="A7221" s="4" t="s">
        <v>560</v>
      </c>
      <c r="B7221" s="36" t="s">
        <v>125</v>
      </c>
      <c r="C7221" s="54" t="n">
        <f aca="false">C7170*Assumptions!$E$80</f>
        <v>4000</v>
      </c>
      <c r="D7221" s="54" t="n">
        <f aca="false">D7170*Assumptions!$E$80</f>
        <v>6000</v>
      </c>
      <c r="E7221" s="54" t="n">
        <f aca="false">E7170*Assumptions!$E$80</f>
        <v>8000</v>
      </c>
      <c r="F7221" s="54" t="n">
        <f aca="false">F7170*Assumptions!$E$80</f>
        <v>10000</v>
      </c>
      <c r="G7221" s="54" t="n">
        <f aca="false">G7170*Assumptions!$E$80</f>
        <v>12000</v>
      </c>
      <c r="H7221" s="54" t="n">
        <f aca="false">H7170*Assumptions!$E$80</f>
        <v>14000</v>
      </c>
      <c r="I7221" s="54" t="n">
        <f aca="false">I7170*Assumptions!$E$80</f>
        <v>16000</v>
      </c>
      <c r="J7221" s="54" t="n">
        <f aca="false">J7170*Assumptions!$E$80</f>
        <v>18000</v>
      </c>
      <c r="K7221" s="54" t="n">
        <f aca="false">K7170*Assumptions!$E$80</f>
        <v>20000</v>
      </c>
      <c r="L7221" s="54" t="n">
        <f aca="false">L7170*Assumptions!$E$80</f>
        <v>20000</v>
      </c>
      <c r="M7221" s="54" t="n">
        <f aca="false">M7170*Assumptions!$E$80</f>
        <v>20000</v>
      </c>
      <c r="N7221" s="54" t="n">
        <f aca="false">N7170*Assumptions!$E$80</f>
        <v>20000</v>
      </c>
      <c r="P7221" s="55" t="n">
        <f aca="false">SUM(C7221:F7221)</f>
        <v>28000</v>
      </c>
      <c r="Q7221" s="55" t="n">
        <f aca="false">SUM(G7221:J7221)</f>
        <v>60000</v>
      </c>
      <c r="R7221" s="55" t="n">
        <f aca="false">SUM(K7221:N7221)</f>
        <v>80000</v>
      </c>
      <c r="S7221" s="56" t="n">
        <f aca="false">SUM(P7221:R7221)</f>
        <v>168000</v>
      </c>
    </row>
    <row r="7222" customFormat="false" ht="15" hidden="false" customHeight="false" outlineLevel="0" collapsed="false">
      <c r="A7222" s="4" t="s">
        <v>561</v>
      </c>
      <c r="B7222" s="36" t="s">
        <v>125</v>
      </c>
      <c r="C7222" s="54" t="n">
        <f aca="false">(C7193*$C$7142+C7194*$C$7143)*Assumptions!$F$81</f>
        <v>0</v>
      </c>
      <c r="D7222" s="54" t="n">
        <f aca="false">(D7193*$C$7142+D7194*$C$7143)*Assumptions!$F$81</f>
        <v>423.958645576376</v>
      </c>
      <c r="E7222" s="54" t="n">
        <f aca="false">(E7193*$C$7142+E7194*$C$7143)*Assumptions!$F$81</f>
        <v>1167.02703567862</v>
      </c>
      <c r="F7222" s="54" t="n">
        <f aca="false">(F7193*$C$7142+F7194*$C$7143)*Assumptions!$F$81</f>
        <v>1556.6054014053</v>
      </c>
      <c r="G7222" s="54" t="n">
        <f aca="false">(G7193*$C$7142+G7194*$C$7143)*Assumptions!$F$81</f>
        <v>1711.34651419176</v>
      </c>
      <c r="H7222" s="54" t="n">
        <f aca="false">(H7193*$C$7142+H7194*$C$7143)*Assumptions!$F$81</f>
        <v>2020.64616314628</v>
      </c>
      <c r="I7222" s="54" t="n">
        <f aca="false">(I7193*$C$7142+I7194*$C$7143)*Assumptions!$F$81</f>
        <v>2399.81969854279</v>
      </c>
      <c r="J7222" s="54" t="n">
        <f aca="false">(J7193*$C$7142+J7194*$C$7143)*Assumptions!$F$81</f>
        <v>3074.37979787007</v>
      </c>
      <c r="K7222" s="54" t="n">
        <f aca="false">(K7193*$C$7142+K7194*$C$7143)*Assumptions!$F$81</f>
        <v>3959.70970428043</v>
      </c>
      <c r="L7222" s="54" t="n">
        <f aca="false">(L7193*$C$7142+L7194*$C$7143)*Assumptions!$F$81</f>
        <v>4358.58123882456</v>
      </c>
      <c r="M7222" s="54" t="n">
        <f aca="false">(M7193*$C$7142+M7194*$C$7143)*Assumptions!$F$81</f>
        <v>4303.75340380255</v>
      </c>
      <c r="N7222" s="54" t="n">
        <f aca="false">(N7193*$C$7142+N7194*$C$7143)*Assumptions!$F$81</f>
        <v>4179.07545603066</v>
      </c>
      <c r="P7222" s="55" t="n">
        <f aca="false">SUM(C7222:F7222)</f>
        <v>3147.5910826603</v>
      </c>
      <c r="Q7222" s="55" t="n">
        <f aca="false">SUM(G7222:J7222)</f>
        <v>9206.1921737509</v>
      </c>
      <c r="R7222" s="55" t="n">
        <f aca="false">SUM(K7222:N7222)</f>
        <v>16801.1198029382</v>
      </c>
      <c r="S7222" s="56" t="n">
        <f aca="false">SUM(P7222:R7222)</f>
        <v>29154.9030593494</v>
      </c>
    </row>
    <row r="7223" customFormat="false" ht="15" hidden="false" customHeight="false" outlineLevel="0" collapsed="false">
      <c r="A7223" s="9" t="s">
        <v>562</v>
      </c>
      <c r="B7223" s="36" t="s">
        <v>125</v>
      </c>
      <c r="C7223" s="55" t="n">
        <f aca="false">C7215+C7216+C7217+C7218+C7219+C7220+C7221+C7222</f>
        <v>154229.464285714</v>
      </c>
      <c r="D7223" s="55" t="n">
        <f aca="false">D7215+D7216+D7217+D7218+D7219+D7220+D7221+D7222</f>
        <v>120756.649148115</v>
      </c>
      <c r="E7223" s="55" t="n">
        <f aca="false">E7215+E7216+E7217+E7218+E7219+E7220+E7221+E7222</f>
        <v>128618.303742996</v>
      </c>
      <c r="F7223" s="55" t="n">
        <f aca="false">F7215+F7216+F7217+F7218+F7219+F7220+F7221+F7222</f>
        <v>133683.66038331</v>
      </c>
      <c r="G7223" s="55" t="n">
        <f aca="false">G7215+G7216+G7217+G7218+G7219+G7220+G7221+G7222</f>
        <v>210658.97765128</v>
      </c>
      <c r="H7223" s="55" t="n">
        <f aca="false">H7215+H7216+H7217+H7218+H7219+H7220+H7221+H7222</f>
        <v>175641.324387191</v>
      </c>
      <c r="I7223" s="55" t="n">
        <f aca="false">I7215+I7216+I7217+I7218+I7219+I7220+I7221+I7222</f>
        <v>221041.86687118</v>
      </c>
      <c r="J7223" s="55" t="n">
        <f aca="false">J7215+J7216+J7217+J7218+J7219+J7220+J7221+J7222</f>
        <v>189420.657602217</v>
      </c>
      <c r="K7223" s="55" t="n">
        <f aca="false">K7215+K7216+K7217+K7218+K7219+K7220+K7221+K7222</f>
        <v>198978.665979448</v>
      </c>
      <c r="L7223" s="55" t="n">
        <f aca="false">L7215+L7216+L7217+L7218+L7219+L7220+L7221+L7222</f>
        <v>201921.138885017</v>
      </c>
      <c r="M7223" s="55" t="n">
        <f aca="false">M7215+M7216+M7217+M7218+M7219+M7220+M7221+M7222</f>
        <v>201376.710053275</v>
      </c>
      <c r="N7223" s="55" t="n">
        <f aca="false">N7215+N7216+N7217+N7218+N7219+N7220+N7221+N7222</f>
        <v>200409.792599795</v>
      </c>
      <c r="P7223" s="55" t="n">
        <f aca="false">SUM(C7223:F7223)</f>
        <v>537288.077560136</v>
      </c>
      <c r="Q7223" s="55" t="n">
        <f aca="false">SUM(G7223:J7223)</f>
        <v>796762.826511869</v>
      </c>
      <c r="R7223" s="55" t="n">
        <f aca="false">SUM(K7223:N7223)</f>
        <v>802686.307517535</v>
      </c>
      <c r="S7223" s="56" t="n">
        <f aca="false">SUM(P7223:R7223)</f>
        <v>2136737.21158954</v>
      </c>
    </row>
    <row r="7224" customFormat="false" ht="15" hidden="false" customHeight="false" outlineLevel="0" collapsed="false">
      <c r="A7224" s="4" t="s">
        <v>563</v>
      </c>
      <c r="B7224" s="36" t="s">
        <v>125</v>
      </c>
      <c r="C7224" s="54" t="n">
        <f aca="false">C7212*Assumptions!$E$72/Assumptions!$E$69/4</f>
        <v>56535.7142857143</v>
      </c>
      <c r="D7224" s="54" t="n">
        <f aca="false">D7212*Assumptions!$E$72/Assumptions!$E$69/4</f>
        <v>56535.7142857143</v>
      </c>
      <c r="E7224" s="54" t="n">
        <f aca="false">E7212*Assumptions!$E$72/Assumptions!$E$69/4</f>
        <v>56535.7142857143</v>
      </c>
      <c r="F7224" s="54" t="n">
        <f aca="false">F7212*Assumptions!$E$72/Assumptions!$E$69/4</f>
        <v>56535.7142857143</v>
      </c>
      <c r="G7224" s="54" t="n">
        <f aca="false">G7212*Assumptions!$E$72/Assumptions!$E$69/4</f>
        <v>28267.8571428571</v>
      </c>
      <c r="H7224" s="54" t="n">
        <f aca="false">H7212*Assumptions!$E$72/Assumptions!$E$69/4</f>
        <v>28267.8571428571</v>
      </c>
      <c r="I7224" s="54" t="n">
        <f aca="false">I7212*Assumptions!$E$72/Assumptions!$E$69/4</f>
        <v>28267.8571428571</v>
      </c>
      <c r="J7224" s="54" t="n">
        <f aca="false">J7212*Assumptions!$E$72/Assumptions!$E$69/4</f>
        <v>28267.8571428571</v>
      </c>
      <c r="K7224" s="54" t="n">
        <f aca="false">K7212*Assumptions!$E$72/Assumptions!$E$69/4</f>
        <v>28267.8571428571</v>
      </c>
      <c r="L7224" s="54" t="n">
        <f aca="false">L7212*Assumptions!$E$72/Assumptions!$E$69/4</f>
        <v>28267.8571428571</v>
      </c>
      <c r="M7224" s="54" t="n">
        <f aca="false">M7212*Assumptions!$E$72/Assumptions!$E$69/4</f>
        <v>28267.8571428571</v>
      </c>
      <c r="N7224" s="54" t="n">
        <f aca="false">N7212*Assumptions!$E$72/Assumptions!$E$69/4</f>
        <v>28267.8571428571</v>
      </c>
      <c r="P7224" s="55" t="n">
        <f aca="false">SUM(C7224:F7224)</f>
        <v>226142.857142857</v>
      </c>
      <c r="Q7224" s="55" t="n">
        <f aca="false">SUM(G7224:J7224)</f>
        <v>113071.428571429</v>
      </c>
      <c r="R7224" s="55" t="n">
        <f aca="false">SUM(K7224:N7224)</f>
        <v>113071.428571429</v>
      </c>
      <c r="S7224" s="56" t="n">
        <f aca="false">SUM(P7224:R7224)</f>
        <v>452285.714285714</v>
      </c>
    </row>
    <row r="7225" customFormat="false" ht="15" hidden="false" customHeight="false" outlineLevel="0" collapsed="false">
      <c r="A7225" s="4" t="s">
        <v>564</v>
      </c>
      <c r="B7225" s="36" t="s">
        <v>125</v>
      </c>
      <c r="C7225" s="54" t="n">
        <f aca="false">IF(C7150&lt;=Assumptions!$E$83,Assumptions!$E$82*Assumptions!$D$108/Assumptions!$E$83,0)</f>
        <v>62500</v>
      </c>
      <c r="D7225" s="54" t="n">
        <f aca="false">IF(D7150&lt;=Assumptions!$E$83,Assumptions!$E$82*Assumptions!$D$108/Assumptions!$E$83,0)</f>
        <v>62500</v>
      </c>
      <c r="E7225" s="54" t="n">
        <f aca="false">IF(E7150&lt;=Assumptions!$E$83,Assumptions!$E$82*Assumptions!$D$108/Assumptions!$E$83,0)</f>
        <v>62500</v>
      </c>
      <c r="F7225" s="54" t="n">
        <f aca="false">IF(F7150&lt;=Assumptions!$E$83,Assumptions!$E$82*Assumptions!$D$108/Assumptions!$E$83,0)</f>
        <v>62500</v>
      </c>
      <c r="G7225" s="54" t="n">
        <f aca="false">IF(G7150&lt;=Assumptions!$E$83,Assumptions!$E$82*Assumptions!$D$108/Assumptions!$E$83,0)</f>
        <v>0</v>
      </c>
      <c r="H7225" s="54" t="n">
        <f aca="false">IF(H7150&lt;=Assumptions!$E$83,Assumptions!$E$82*Assumptions!$D$108/Assumptions!$E$83,0)</f>
        <v>0</v>
      </c>
      <c r="I7225" s="54" t="n">
        <f aca="false">IF(I7150&lt;=Assumptions!$E$83,Assumptions!$E$82*Assumptions!$D$108/Assumptions!$E$83,0)</f>
        <v>0</v>
      </c>
      <c r="J7225" s="54" t="n">
        <f aca="false">IF(J7150&lt;=Assumptions!$E$83,Assumptions!$E$82*Assumptions!$D$108/Assumptions!$E$83,0)</f>
        <v>0</v>
      </c>
      <c r="K7225" s="54" t="n">
        <f aca="false">IF(K7150&lt;=Assumptions!$E$83,Assumptions!$E$82*Assumptions!$D$108/Assumptions!$E$83,0)</f>
        <v>0</v>
      </c>
      <c r="L7225" s="54" t="n">
        <f aca="false">IF(L7150&lt;=Assumptions!$E$83,Assumptions!$E$82*Assumptions!$D$108/Assumptions!$E$83,0)</f>
        <v>0</v>
      </c>
      <c r="M7225" s="54" t="n">
        <f aca="false">IF(M7150&lt;=Assumptions!$E$83,Assumptions!$E$82*Assumptions!$D$108/Assumptions!$E$83,0)</f>
        <v>0</v>
      </c>
      <c r="N7225" s="54" t="n">
        <f aca="false">IF(N7150&lt;=Assumptions!$E$83,Assumptions!$E$82*Assumptions!$D$108/Assumptions!$E$83,0)</f>
        <v>0</v>
      </c>
      <c r="P7225" s="55" t="n">
        <f aca="false">SUM(C7225:F7225)</f>
        <v>250000</v>
      </c>
      <c r="Q7225" s="55" t="n">
        <f aca="false">SUM(G7225:J7225)</f>
        <v>0</v>
      </c>
      <c r="R7225" s="55" t="n">
        <f aca="false">SUM(K7225:N7225)</f>
        <v>0</v>
      </c>
      <c r="S7225" s="56" t="n">
        <f aca="false">SUM(P7225:R7225)</f>
        <v>250000</v>
      </c>
    </row>
    <row r="7226" customFormat="false" ht="15" hidden="false" customHeight="false" outlineLevel="0" collapsed="false">
      <c r="A7226" s="4" t="s">
        <v>565</v>
      </c>
      <c r="B7226" s="36" t="s">
        <v>125</v>
      </c>
      <c r="C7226" s="54" t="n">
        <f aca="false">C7214*Assumptions!$E$73/Assumptions!$E$69/4</f>
        <v>0</v>
      </c>
      <c r="D7226" s="54" t="n">
        <f aca="false">D7214*Assumptions!$E$73/Assumptions!$E$69/4</f>
        <v>575.3130595573</v>
      </c>
      <c r="E7226" s="54" t="n">
        <f aca="false">E7214*Assumptions!$E$73/Assumptions!$E$69/4</f>
        <v>1617.32906717661</v>
      </c>
      <c r="F7226" s="54" t="n">
        <f aca="false">F7214*Assumptions!$E$73/Assumptions!$E$69/4</f>
        <v>2784.46806400723</v>
      </c>
      <c r="G7226" s="54" t="n">
        <f aca="false">G7214*Assumptions!$E$73/Assumptions!$E$69/4</f>
        <v>4037.30390559473</v>
      </c>
      <c r="H7226" s="54" t="n">
        <f aca="false">H7214*Assumptions!$E$73/Assumptions!$E$69/4</f>
        <v>5588.71900339185</v>
      </c>
      <c r="I7226" s="54" t="n">
        <f aca="false">I7214*Assumptions!$E$73/Assumptions!$E$69/4</f>
        <v>7423.89520049251</v>
      </c>
      <c r="J7226" s="54" t="n">
        <f aca="false">J7214*Assumptions!$E$73/Assumptions!$E$69/4</f>
        <v>9984.21295072483</v>
      </c>
      <c r="K7226" s="54" t="n">
        <f aca="false">K7214*Assumptions!$E$73/Assumptions!$E$69/4</f>
        <v>13228.7197241336</v>
      </c>
      <c r="L7226" s="54" t="n">
        <f aca="false">L7214*Assumptions!$E$73/Assumptions!$E$69/4</f>
        <v>16471.1613499398</v>
      </c>
      <c r="M7226" s="54" t="n">
        <f aca="false">M7214*Assumptions!$E$73/Assumptions!$E$69/4</f>
        <v>19532.3193424529</v>
      </c>
      <c r="N7226" s="54" t="n">
        <f aca="false">N7214*Assumptions!$E$73/Assumptions!$E$69/4</f>
        <v>22411.7337529877</v>
      </c>
      <c r="P7226" s="55" t="n">
        <f aca="false">SUM(C7226:F7226)</f>
        <v>4977.11019074114</v>
      </c>
      <c r="Q7226" s="55" t="n">
        <f aca="false">SUM(G7226:J7226)</f>
        <v>27034.1310602039</v>
      </c>
      <c r="R7226" s="55" t="n">
        <f aca="false">SUM(K7226:N7226)</f>
        <v>71643.934169514</v>
      </c>
      <c r="S7226" s="56" t="n">
        <f aca="false">SUM(P7226:R7226)</f>
        <v>103655.175420459</v>
      </c>
    </row>
    <row r="7227" customFormat="false" ht="15" hidden="false" customHeight="false" outlineLevel="0" collapsed="false">
      <c r="A7227" s="9" t="s">
        <v>566</v>
      </c>
      <c r="B7227" s="36" t="s">
        <v>125</v>
      </c>
      <c r="C7227" s="55" t="n">
        <f aca="false">C7223+C7224+C7225+C7226</f>
        <v>273265.178571429</v>
      </c>
      <c r="D7227" s="55" t="n">
        <f aca="false">D7223+D7224+D7225+D7226</f>
        <v>240367.676493387</v>
      </c>
      <c r="E7227" s="55" t="n">
        <f aca="false">E7223+E7224+E7225+E7226</f>
        <v>249271.347095887</v>
      </c>
      <c r="F7227" s="55" t="n">
        <f aca="false">F7223+F7224+F7225+F7226</f>
        <v>255503.842733031</v>
      </c>
      <c r="G7227" s="55" t="n">
        <f aca="false">G7223+G7224+G7225+G7226</f>
        <v>242964.138699732</v>
      </c>
      <c r="H7227" s="55" t="n">
        <f aca="false">H7223+H7224+H7225+H7226</f>
        <v>209497.90053344</v>
      </c>
      <c r="I7227" s="55" t="n">
        <f aca="false">I7223+I7224+I7225+I7226</f>
        <v>256733.61921453</v>
      </c>
      <c r="J7227" s="55" t="n">
        <f aca="false">J7223+J7224+J7225+J7226</f>
        <v>227672.727695799</v>
      </c>
      <c r="K7227" s="55" t="n">
        <f aca="false">K7223+K7224+K7225+K7226</f>
        <v>240475.242846439</v>
      </c>
      <c r="L7227" s="55" t="n">
        <f aca="false">L7223+L7224+L7225+L7226</f>
        <v>246660.157377814</v>
      </c>
      <c r="M7227" s="55" t="n">
        <f aca="false">M7223+M7224+M7225+M7226</f>
        <v>249176.886538585</v>
      </c>
      <c r="N7227" s="55" t="n">
        <f aca="false">N7223+N7224+N7225+N7226</f>
        <v>251089.38349564</v>
      </c>
      <c r="P7227" s="55" t="n">
        <f aca="false">SUM(C7227:F7227)</f>
        <v>1018408.04489373</v>
      </c>
      <c r="Q7227" s="55" t="n">
        <f aca="false">SUM(G7227:J7227)</f>
        <v>936868.386143501</v>
      </c>
      <c r="R7227" s="55" t="n">
        <f aca="false">SUM(K7227:N7227)</f>
        <v>987401.670258478</v>
      </c>
      <c r="S7227" s="56" t="n">
        <f aca="false">SUM(P7227:R7227)</f>
        <v>2942678.10129571</v>
      </c>
    </row>
    <row r="7228" customFormat="false" ht="15" hidden="false" customHeight="false" outlineLevel="0" collapsed="false">
      <c r="A7228" s="35" t="s">
        <v>567</v>
      </c>
      <c r="B7228" s="35" t="s">
        <v>444</v>
      </c>
      <c r="C7228" s="6" t="s">
        <v>354</v>
      </c>
      <c r="D7228" s="6" t="s">
        <v>355</v>
      </c>
      <c r="E7228" s="6" t="s">
        <v>356</v>
      </c>
      <c r="F7228" s="6" t="s">
        <v>357</v>
      </c>
      <c r="G7228" s="6" t="s">
        <v>358</v>
      </c>
      <c r="H7228" s="6" t="s">
        <v>359</v>
      </c>
      <c r="I7228" s="6" t="s">
        <v>360</v>
      </c>
      <c r="J7228" s="6" t="s">
        <v>361</v>
      </c>
      <c r="K7228" s="6" t="s">
        <v>362</v>
      </c>
      <c r="L7228" s="6" t="s">
        <v>363</v>
      </c>
      <c r="M7228" s="6" t="s">
        <v>364</v>
      </c>
      <c r="N7228" s="6" t="s">
        <v>365</v>
      </c>
      <c r="P7228" s="6" t="s">
        <v>445</v>
      </c>
      <c r="Q7228" s="6" t="s">
        <v>446</v>
      </c>
      <c r="R7228" s="6" t="s">
        <v>447</v>
      </c>
      <c r="S7228" s="6" t="s">
        <v>448</v>
      </c>
    </row>
    <row r="7229" customFormat="false" ht="15" hidden="false" customHeight="false" outlineLevel="0" collapsed="false">
      <c r="A7229" s="9" t="s">
        <v>568</v>
      </c>
      <c r="B7229" s="36" t="s">
        <v>125</v>
      </c>
      <c r="C7229" s="55" t="n">
        <f aca="false">C7207-C7227</f>
        <v>-273265.178571429</v>
      </c>
      <c r="D7229" s="55" t="n">
        <f aca="false">D7207-D7227</f>
        <v>-239646.466296668</v>
      </c>
      <c r="E7229" s="55" t="n">
        <f aca="false">E7207-E7227</f>
        <v>-246229.894227677</v>
      </c>
      <c r="F7229" s="55" t="n">
        <f aca="false">F7207-F7227</f>
        <v>-248859.552680379</v>
      </c>
      <c r="G7229" s="55" t="n">
        <f aca="false">G7207-G7227</f>
        <v>-232086.342134853</v>
      </c>
      <c r="H7229" s="55" t="n">
        <f aca="false">H7207-H7227</f>
        <v>-193649.378818961</v>
      </c>
      <c r="I7229" s="55" t="n">
        <f aca="false">I7207-I7227</f>
        <v>-234843.624729017</v>
      </c>
      <c r="J7229" s="55" t="n">
        <f aca="false">J7207-J7227</f>
        <v>-198000.494807624</v>
      </c>
      <c r="K7229" s="55" t="n">
        <f aca="false">K7207-K7227</f>
        <v>-200529.972252936</v>
      </c>
      <c r="L7229" s="55" t="n">
        <f aca="false">L7207-L7227</f>
        <v>-194709.689642217</v>
      </c>
      <c r="M7229" s="55" t="n">
        <f aca="false">M7207-M7227</f>
        <v>-184816.688611765</v>
      </c>
      <c r="N7229" s="55" t="n">
        <f aca="false">N7207-N7227</f>
        <v>-174405.359597341</v>
      </c>
      <c r="P7229" s="55" t="n">
        <f aca="false">SUM(C7229:F7229)</f>
        <v>-1008001.09177615</v>
      </c>
      <c r="Q7229" s="55" t="n">
        <f aca="false">SUM(G7229:J7229)</f>
        <v>-858579.840490455</v>
      </c>
      <c r="R7229" s="55" t="n">
        <f aca="false">SUM(K7229:N7229)</f>
        <v>-754461.710104259</v>
      </c>
      <c r="S7229" s="56" t="n">
        <f aca="false">SUM(P7229:R7229)</f>
        <v>-2621042.64237087</v>
      </c>
    </row>
    <row r="7230" customFormat="false" ht="15" hidden="false" customHeight="false" outlineLevel="0" collapsed="false">
      <c r="A7230" s="9" t="s">
        <v>569</v>
      </c>
      <c r="B7230" s="36" t="s">
        <v>125</v>
      </c>
      <c r="C7230" s="55" t="n">
        <f aca="false">0+C7229</f>
        <v>-273265.178571429</v>
      </c>
      <c r="D7230" s="55" t="n">
        <f aca="false">C7230+D7229</f>
        <v>-512911.644868096</v>
      </c>
      <c r="E7230" s="55" t="n">
        <f aca="false">D7230+E7229</f>
        <v>-759141.539095773</v>
      </c>
      <c r="F7230" s="55" t="n">
        <f aca="false">E7230+F7229</f>
        <v>-1008001.09177615</v>
      </c>
      <c r="G7230" s="55" t="n">
        <f aca="false">F7230+G7229</f>
        <v>-1240087.43391101</v>
      </c>
      <c r="H7230" s="55" t="n">
        <f aca="false">G7230+H7229</f>
        <v>-1433736.81272997</v>
      </c>
      <c r="I7230" s="55" t="n">
        <f aca="false">H7230+I7229</f>
        <v>-1668580.43745898</v>
      </c>
      <c r="J7230" s="55" t="n">
        <f aca="false">I7230+J7229</f>
        <v>-1866580.93226661</v>
      </c>
      <c r="K7230" s="55" t="n">
        <f aca="false">J7230+K7229</f>
        <v>-2067110.90451954</v>
      </c>
      <c r="L7230" s="55" t="n">
        <f aca="false">K7230+L7229</f>
        <v>-2261820.59416176</v>
      </c>
      <c r="M7230" s="55" t="n">
        <f aca="false">L7230+M7229</f>
        <v>-2446637.28277353</v>
      </c>
      <c r="N7230" s="55" t="n">
        <f aca="false">M7230+N7229</f>
        <v>-2621042.64237087</v>
      </c>
      <c r="P7230" s="55" t="n">
        <f aca="false">F7230</f>
        <v>-1008001.09177615</v>
      </c>
      <c r="Q7230" s="55" t="n">
        <f aca="false">J7230</f>
        <v>-1866580.93226661</v>
      </c>
      <c r="R7230" s="55" t="n">
        <f aca="false">N7230</f>
        <v>-2621042.64237087</v>
      </c>
      <c r="S7230" s="56" t="n">
        <f aca="false">R7230</f>
        <v>-2621042.64237087</v>
      </c>
    </row>
    <row r="7231" customFormat="false" ht="15" hidden="false" customHeight="false" outlineLevel="0" collapsed="false">
      <c r="A7231" s="4" t="s">
        <v>570</v>
      </c>
      <c r="B7231" s="36" t="s">
        <v>107</v>
      </c>
      <c r="C7231" s="57" t="n">
        <f aca="false">1/(1+Assumptions!$E$87)^(C7150/4)</f>
        <v>0.972065420906982</v>
      </c>
      <c r="D7231" s="57" t="n">
        <f aca="false">1/(1+Assumptions!$E$87)^(D7150/4)</f>
        <v>0.944911182523068</v>
      </c>
      <c r="E7231" s="57" t="n">
        <f aca="false">1/(1+Assumptions!$E$87)^(E7150/4)</f>
        <v>0.918515486359</v>
      </c>
      <c r="F7231" s="57" t="n">
        <f aca="false">1/(1+Assumptions!$E$87)^(F7150/4)</f>
        <v>0.892857142857143</v>
      </c>
      <c r="G7231" s="57" t="n">
        <f aca="false">1/(1+Assumptions!$E$87)^(G7150/4)</f>
        <v>0.867915554381234</v>
      </c>
      <c r="H7231" s="57" t="n">
        <f aca="false">1/(1+Assumptions!$E$87)^(H7150/4)</f>
        <v>0.843670698681311</v>
      </c>
      <c r="I7231" s="57" t="n">
        <f aca="false">1/(1+Assumptions!$E$87)^(I7150/4)</f>
        <v>0.820103112820536</v>
      </c>
      <c r="J7231" s="57" t="n">
        <f aca="false">1/(1+Assumptions!$E$87)^(J7150/4)</f>
        <v>0.79719387755102</v>
      </c>
      <c r="K7231" s="57" t="n">
        <f aca="false">1/(1+Assumptions!$E$87)^(K7150/4)</f>
        <v>0.774924602126102</v>
      </c>
      <c r="L7231" s="57" t="n">
        <f aca="false">1/(1+Assumptions!$E$87)^(L7150/4)</f>
        <v>0.753277409536885</v>
      </c>
      <c r="M7231" s="57" t="n">
        <f aca="false">1/(1+Assumptions!$E$87)^(M7150/4)</f>
        <v>0.732234922161193</v>
      </c>
      <c r="N7231" s="57" t="n">
        <f aca="false">1/(1+Assumptions!$E$87)^(N7150/4)</f>
        <v>0.711780247813411</v>
      </c>
      <c r="P7231" s="58"/>
      <c r="Q7231" s="58"/>
      <c r="R7231" s="58"/>
      <c r="S7231" s="59"/>
    </row>
    <row r="7232" customFormat="false" ht="15" hidden="false" customHeight="false" outlineLevel="0" collapsed="false">
      <c r="A7232" s="4" t="s">
        <v>571</v>
      </c>
      <c r="B7232" s="36" t="s">
        <v>125</v>
      </c>
      <c r="C7232" s="54" t="n">
        <f aca="false">(C7207*(1-Assumptions!$E$88)-C7227)*C7231</f>
        <v>-265631.630827257</v>
      </c>
      <c r="D7232" s="54" t="n">
        <f aca="false">(D7207*(1-Assumptions!$E$88)-D7227)*D7231</f>
        <v>-226580.921771825</v>
      </c>
      <c r="E7232" s="54" t="n">
        <f aca="false">(E7207*(1-Assumptions!$E$88)-E7227)*E7231</f>
        <v>-226724.695364756</v>
      </c>
      <c r="F7232" s="54" t="n">
        <f aca="false">(F7207*(1-Assumptions!$E$88)-F7227)*F7231</f>
        <v>-223382.509545455</v>
      </c>
      <c r="G7232" s="54" t="n">
        <f aca="false">(G7207*(1-Assumptions!$E$88)-G7227)*G7231</f>
        <v>-203319.548065494</v>
      </c>
      <c r="H7232" s="54" t="n">
        <f aca="false">(H7207*(1-Assumptions!$E$88)-H7227)*H7231</f>
        <v>-166050.493404979</v>
      </c>
      <c r="I7232" s="54" t="n">
        <f aca="false">(I7207*(1-Assumptions!$E$88)-I7227)*I7231</f>
        <v>-196186.398189763</v>
      </c>
      <c r="J7232" s="54" t="n">
        <f aca="false">(J7207*(1-Assumptions!$E$88)-J7227)*J7231</f>
        <v>-162575.686691055</v>
      </c>
      <c r="K7232" s="54" t="n">
        <f aca="false">(K7207*(1-Assumptions!$E$88)-K7227)*K7231</f>
        <v>-161586.523546763</v>
      </c>
      <c r="L7232" s="54" t="n">
        <f aca="false">(L7207*(1-Assumptions!$E$88)-L7227)*L7231</f>
        <v>-154497.03337744</v>
      </c>
      <c r="M7232" s="54" t="n">
        <f aca="false">(M7207*(1-Assumptions!$E$88)-M7227)*M7231</f>
        <v>-144754.59050357</v>
      </c>
      <c r="N7232" s="54" t="n">
        <f aca="false">(N7207*(1-Assumptions!$E$88)-N7227)*N7231</f>
        <v>-135054.724780914</v>
      </c>
      <c r="P7232" s="55" t="n">
        <f aca="false">SUM(C7232:F7232)</f>
        <v>-942319.757509293</v>
      </c>
      <c r="Q7232" s="55" t="n">
        <f aca="false">SUM(G7232:J7232)</f>
        <v>-728132.126351291</v>
      </c>
      <c r="R7232" s="55" t="n">
        <f aca="false">SUM(K7232:N7232)</f>
        <v>-595892.872208687</v>
      </c>
      <c r="S7232" s="56" t="n">
        <f aca="false">SUM(P7232:R7232)</f>
        <v>-2266344.75606927</v>
      </c>
    </row>
    <row r="7233" customFormat="false" ht="15" hidden="false" customHeight="false" outlineLevel="0" collapsed="false">
      <c r="A7233" s="4" t="s">
        <v>572</v>
      </c>
      <c r="B7233" s="36" t="s">
        <v>125</v>
      </c>
      <c r="C7233" s="54" t="n">
        <f aca="false">(C7227-C7226)*12/(Assumptions!$E$89*Assumptions!$E$76)*Assumptions!$E$90</f>
        <v>189183.585164835</v>
      </c>
      <c r="D7233" s="54" t="n">
        <f aca="false">(D7227-D7226)*12/(Assumptions!$E$89*Assumptions!$E$76)*Assumptions!$E$90</f>
        <v>166010.097761882</v>
      </c>
      <c r="E7233" s="54" t="n">
        <f aca="false">(E7227-E7226)*12/(Assumptions!$E$89*Assumptions!$E$76)*Assumptions!$E$90</f>
        <v>171452.781712184</v>
      </c>
      <c r="F7233" s="54" t="n">
        <f aca="false">(F7227-F7226)*12/(Assumptions!$E$89*Assumptions!$E$76)*Assumptions!$E$90</f>
        <v>174959.567078555</v>
      </c>
      <c r="G7233" s="54" t="n">
        <f aca="false">(G7227-G7226)*12/(Assumptions!$E$89*Assumptions!$E$76)*Assumptions!$E$90</f>
        <v>165410.88562671</v>
      </c>
      <c r="H7233" s="54" t="n">
        <f aca="false">(H7227-H7226)*12/(Assumptions!$E$89*Assumptions!$E$76)*Assumptions!$E$90</f>
        <v>141167.894905418</v>
      </c>
      <c r="I7233" s="54" t="n">
        <f aca="false">(I7227-I7226)*12/(Assumptions!$E$89*Assumptions!$E$76)*Assumptions!$E$90</f>
        <v>172599.039702026</v>
      </c>
      <c r="J7233" s="54" t="n">
        <f aca="false">(J7227-J7226)*12/(Assumptions!$E$89*Assumptions!$E$76)*Assumptions!$E$90</f>
        <v>150707.433285051</v>
      </c>
      <c r="K7233" s="54" t="n">
        <f aca="false">(K7227-K7226)*12/(Assumptions!$E$89*Assumptions!$E$76)*Assumptions!$E$90</f>
        <v>157324.51600775</v>
      </c>
      <c r="L7233" s="54" t="n">
        <f aca="false">(L7227-L7226)*12/(Assumptions!$E$89*Assumptions!$E$76)*Assumptions!$E$90</f>
        <v>159361.612634682</v>
      </c>
      <c r="M7233" s="54" t="n">
        <f aca="false">(M7227-M7226)*12/(Assumptions!$E$89*Assumptions!$E$76)*Assumptions!$E$90</f>
        <v>158984.700366553</v>
      </c>
      <c r="N7233" s="54" t="n">
        <f aca="false">(N7227-N7226)*12/(Assumptions!$E$89*Assumptions!$E$76)*Assumptions!$E$90</f>
        <v>158315.295975682</v>
      </c>
      <c r="P7233" s="55" t="n">
        <f aca="false">SUM(C7233:F7233)</f>
        <v>701606.031717457</v>
      </c>
      <c r="Q7233" s="55" t="n">
        <f aca="false">SUM(G7233:J7233)</f>
        <v>629885.253519206</v>
      </c>
      <c r="R7233" s="55" t="n">
        <f aca="false">SUM(K7233:N7233)</f>
        <v>633986.124984667</v>
      </c>
      <c r="S7233" s="56" t="n">
        <f aca="false">SUM(P7233:R7233)</f>
        <v>1965477.41022133</v>
      </c>
    </row>
    <row r="7234" customFormat="false" ht="15" hidden="false" customHeight="false" outlineLevel="0" collapsed="false">
      <c r="A7234" s="4" t="s">
        <v>573</v>
      </c>
      <c r="B7234" s="36" t="s">
        <v>125</v>
      </c>
      <c r="C7234" s="54" t="n">
        <f aca="false">0*Assumptions!$E$92^(1/4)+C7233</f>
        <v>189183.585164835</v>
      </c>
      <c r="D7234" s="54" t="n">
        <f aca="false">C7234*Assumptions!$E$92^(1/4)+D7233</f>
        <v>355664.878568896</v>
      </c>
      <c r="E7234" s="54" t="n">
        <f aca="false">D7234*Assumptions!$E$92^(1/4)+E7233</f>
        <v>528003.507436963</v>
      </c>
      <c r="F7234" s="54" t="n">
        <f aca="false">E7234*Assumptions!$E$92^(1/4)+F7233</f>
        <v>704278.16192938</v>
      </c>
      <c r="G7234" s="54" t="n">
        <f aca="false">F7234*Assumptions!$E$92^(1/4)+G7233</f>
        <v>871443.178605536</v>
      </c>
      <c r="H7234" s="54" t="n">
        <f aca="false">G7234*Assumptions!$E$92^(1/4)+H7233</f>
        <v>1014781.55900951</v>
      </c>
      <c r="I7234" s="54" t="n">
        <f aca="false">H7234*Assumptions!$E$92^(1/4)+I7233</f>
        <v>1189908.09414912</v>
      </c>
      <c r="J7234" s="54" t="n">
        <f aca="false">I7234*Assumptions!$E$92^(1/4)+J7233</f>
        <v>1343579.20691021</v>
      </c>
      <c r="K7234" s="54" t="n">
        <f aca="false">J7234*Assumptions!$E$92^(1/4)+K7233</f>
        <v>1504250.14785576</v>
      </c>
      <c r="L7234" s="54" t="n">
        <f aca="false">K7234*Assumptions!$E$92^(1/4)+L7233</f>
        <v>1667358.36521727</v>
      </c>
      <c r="M7234" s="54" t="n">
        <f aca="false">L7234*Assumptions!$E$92^(1/4)+M7233</f>
        <v>1830495.92057363</v>
      </c>
      <c r="N7234" s="54" t="n">
        <f aca="false">M7234*Assumptions!$E$92^(1/4)+N7233</f>
        <v>1993370.39487364</v>
      </c>
      <c r="P7234" s="55" t="n">
        <f aca="false">F7234</f>
        <v>704278.16192938</v>
      </c>
      <c r="Q7234" s="55" t="n">
        <f aca="false">J7234</f>
        <v>1343579.20691021</v>
      </c>
      <c r="R7234" s="55" t="n">
        <f aca="false">N7234</f>
        <v>1993370.39487364</v>
      </c>
      <c r="S7234" s="56" t="n">
        <f aca="false">R7234</f>
        <v>1993370.39487364</v>
      </c>
    </row>
    <row r="7235" customFormat="false" ht="15" hidden="false" customHeight="false" outlineLevel="0" collapsed="false">
      <c r="A7235" s="4" t="s">
        <v>574</v>
      </c>
      <c r="B7235" s="36" t="s">
        <v>125</v>
      </c>
      <c r="C7235" s="54" t="n">
        <f aca="false">(0+C7234)/8*Assumptions!$E$76-(C7227-C7226)-C7234*Assumptions!$E$93/4</f>
        <v>-260258.807091346</v>
      </c>
      <c r="D7235" s="54" t="n">
        <f aca="false">(C7234+D7234)/8*Assumptions!$E$76-(D7227-D7226)-D7234*Assumptions!$E$93/4</f>
        <v>-199969.236737575</v>
      </c>
      <c r="E7235" s="54" t="n">
        <f aca="false">(D7234+E7234)/8*Assumptions!$E$76-(E7227-E7226)-E7234*Assumptions!$E$93/4</f>
        <v>-182456.005508697</v>
      </c>
      <c r="F7235" s="54" t="n">
        <f aca="false">(E7234+F7234)/8*Assumptions!$E$76-(F7227-F7226)-F7234*Assumptions!$E$93/4</f>
        <v>-161399.966057126</v>
      </c>
      <c r="G7235" s="54" t="n">
        <f aca="false">(F7234+G7234)/8*Assumptions!$E$76-(G7227-G7226)-G7234*Assumptions!$E$93/4</f>
        <v>-121792.515608245</v>
      </c>
      <c r="H7235" s="54" t="n">
        <f aca="false">(G7234+H7234)/8*Assumptions!$E$76-(H7227-H7226)-H7234*Assumptions!$E$93/4</f>
        <v>-63338.1910864448</v>
      </c>
      <c r="I7235" s="54" t="n">
        <f aca="false">(H7234+I7234)/8*Assumptions!$E$76-(I7227-I7226)-I7234*Assumptions!$E$93/4</f>
        <v>-85052.5408717626</v>
      </c>
      <c r="J7235" s="54" t="n">
        <f aca="false">(I7234+J7234)/8*Assumptions!$E$76-(J7227-J7226)-J7234*Assumptions!$E$93/4</f>
        <v>-28637.4116203808</v>
      </c>
      <c r="K7235" s="54" t="n">
        <f aca="false">(J7234+K7234)/8*Assumptions!$E$76-(K7227-K7226)-K7234*Assumptions!$E$93/4</f>
        <v>-14663.5148957671</v>
      </c>
      <c r="L7235" s="54" t="n">
        <f aca="false">(K7234+L7234)/8*Assumptions!$E$76-(L7227-L7226)-L7234*Assumptions!$E$93/4</f>
        <v>6662.21609409431</v>
      </c>
      <c r="M7235" s="54" t="n">
        <f aca="false">(L7234+M7234)/8*Assumptions!$E$76-(M7227-M7226)-M7234*Assumptions!$E$93/4</f>
        <v>31674.8945172085</v>
      </c>
      <c r="N7235" s="54" t="n">
        <f aca="false">(M7234+N7234)/8*Assumptions!$E$76-(N7227-N7226)-N7234*Assumptions!$E$93/4</f>
        <v>57094.3584515185</v>
      </c>
      <c r="P7235" s="55" t="n">
        <f aca="false">SUM(C7235:F7235)</f>
        <v>-804084.015394744</v>
      </c>
      <c r="Q7235" s="55" t="n">
        <f aca="false">SUM(G7235:J7235)</f>
        <v>-298820.659186833</v>
      </c>
      <c r="R7235" s="55" t="n">
        <f aca="false">SUM(K7235:N7235)</f>
        <v>80767.9541670541</v>
      </c>
      <c r="S7235" s="56" t="n">
        <f aca="false">SUM(P7235:R7235)</f>
        <v>-1022136.72041452</v>
      </c>
    </row>
    <row r="7236" customFormat="false" ht="15" hidden="false" customHeight="false" outlineLevel="0" collapsed="false">
      <c r="A7236" s="4" t="s">
        <v>575</v>
      </c>
      <c r="B7236" s="36" t="s">
        <v>125</v>
      </c>
      <c r="C7236" s="54" t="n">
        <f aca="false">C7235*C7231</f>
        <v>-252988.586859998</v>
      </c>
      <c r="D7236" s="54" t="n">
        <f aca="false">D7235*D7231</f>
        <v>-188953.167953937</v>
      </c>
      <c r="E7236" s="54" t="n">
        <f aca="false">E7235*E7231</f>
        <v>-167588.666638941</v>
      </c>
      <c r="F7236" s="54" t="n">
        <f aca="false">F7235*F7231</f>
        <v>-144107.112551005</v>
      </c>
      <c r="G7236" s="54" t="n">
        <f aca="false">G7235*G7231</f>
        <v>-105705.618703615</v>
      </c>
      <c r="H7236" s="54" t="n">
        <f aca="false">H7235*H7231</f>
        <v>-53436.5759271112</v>
      </c>
      <c r="I7236" s="54" t="n">
        <f aca="false">I7235*I7231</f>
        <v>-69751.8535222284</v>
      </c>
      <c r="J7236" s="54" t="n">
        <f aca="false">J7235*J7231</f>
        <v>-22829.569212676</v>
      </c>
      <c r="K7236" s="54" t="n">
        <f aca="false">K7235*K7231</f>
        <v>-11363.1184463725</v>
      </c>
      <c r="L7236" s="54" t="n">
        <f aca="false">L7235*L7231</f>
        <v>5018.4968811343</v>
      </c>
      <c r="M7236" s="54" t="n">
        <f aca="false">M7235*M7231</f>
        <v>23193.4639212721</v>
      </c>
      <c r="N7236" s="54" t="n">
        <f aca="false">N7235*N7231</f>
        <v>40638.6366073695</v>
      </c>
      <c r="P7236" s="55" t="n">
        <f aca="false">SUM(C7236:F7236)</f>
        <v>-753637.534003882</v>
      </c>
      <c r="Q7236" s="55" t="n">
        <f aca="false">SUM(G7236:J7236)</f>
        <v>-251723.61736563</v>
      </c>
      <c r="R7236" s="55" t="n">
        <f aca="false">SUM(K7236:N7236)</f>
        <v>57487.4789634034</v>
      </c>
      <c r="S7236" s="56" t="n">
        <f aca="false">SUM(P7236:R7236)</f>
        <v>-947873.672406109</v>
      </c>
    </row>
    <row r="7237" customFormat="false" ht="15" hidden="false" customHeight="false" outlineLevel="0" collapsed="false">
      <c r="A7237" s="4" t="s">
        <v>576</v>
      </c>
      <c r="B7237" s="36"/>
      <c r="C7237" s="37" t="n">
        <f aca="false">IFERROR((S7192*$C$7141*Assumptions!$E$59+S7193*$C$7142*Assumptions!$E$60+S7194*$C$7143*Assumptions!$E$61)/(S7192*$C$7141+S7193*$C$7142+S7194*$C$7143),0.9)</f>
        <v>0.897372181179546</v>
      </c>
    </row>
    <row r="7238" customFormat="false" ht="15" hidden="false" customHeight="false" outlineLevel="0" collapsed="false">
      <c r="A7238" s="4" t="s">
        <v>577</v>
      </c>
      <c r="B7238" s="36"/>
      <c r="C7238" s="37" t="n">
        <f aca="false">IFERROR(N7226*4/N7204,0)</f>
        <v>0.175911884278844</v>
      </c>
    </row>
    <row r="7239" customFormat="false" ht="15" hidden="false" customHeight="false" outlineLevel="0" collapsed="false">
      <c r="A7239" s="4" t="s">
        <v>578</v>
      </c>
      <c r="B7239" s="36"/>
      <c r="C7239" s="60" t="n">
        <f aca="false">$C$7237/(1+Assumptions!$E$87)</f>
        <v>0.801225161767451</v>
      </c>
    </row>
    <row r="7240" customFormat="false" ht="15" hidden="false" customHeight="false" outlineLevel="0" collapsed="false">
      <c r="A7240" s="4" t="s">
        <v>579</v>
      </c>
      <c r="B7240" s="36"/>
      <c r="C7240" s="60" t="n">
        <f aca="false">Assumptions!$E$91/(1+Assumptions!$E$87)</f>
        <v>0.803571428571429</v>
      </c>
    </row>
    <row r="7241" customFormat="false" ht="15" hidden="false" customHeight="false" outlineLevel="0" collapsed="false">
      <c r="A7241" s="35" t="s">
        <v>580</v>
      </c>
      <c r="B7241" s="35" t="s">
        <v>444</v>
      </c>
      <c r="C7241" s="6" t="s">
        <v>354</v>
      </c>
      <c r="D7241" s="6" t="s">
        <v>355</v>
      </c>
      <c r="E7241" s="6" t="s">
        <v>356</v>
      </c>
      <c r="F7241" s="6" t="s">
        <v>357</v>
      </c>
      <c r="G7241" s="6" t="s">
        <v>358</v>
      </c>
      <c r="H7241" s="6" t="s">
        <v>359</v>
      </c>
      <c r="I7241" s="6" t="s">
        <v>360</v>
      </c>
      <c r="J7241" s="6" t="s">
        <v>361</v>
      </c>
      <c r="K7241" s="6" t="s">
        <v>362</v>
      </c>
      <c r="L7241" s="6" t="s">
        <v>363</v>
      </c>
      <c r="M7241" s="6" t="s">
        <v>364</v>
      </c>
      <c r="N7241" s="6" t="s">
        <v>365</v>
      </c>
      <c r="P7241" s="6" t="s">
        <v>445</v>
      </c>
      <c r="Q7241" s="6" t="s">
        <v>446</v>
      </c>
      <c r="R7241" s="6" t="s">
        <v>447</v>
      </c>
      <c r="S7241" s="6" t="s">
        <v>448</v>
      </c>
    </row>
    <row r="7242" customFormat="false" ht="15" hidden="false" customHeight="false" outlineLevel="0" collapsed="false">
      <c r="A7242" s="9" t="s">
        <v>581</v>
      </c>
      <c r="C7242" s="61" t="n">
        <f aca="false">N7204</f>
        <v>509612.726732255</v>
      </c>
      <c r="D7242" s="61"/>
    </row>
    <row r="7243" customFormat="false" ht="15" hidden="false" customHeight="false" outlineLevel="0" collapsed="false">
      <c r="A7243" s="9" t="s">
        <v>582</v>
      </c>
      <c r="C7243" s="62" t="n">
        <f aca="false">N7200</f>
        <v>49.5280990541991</v>
      </c>
      <c r="D7243" s="62"/>
    </row>
    <row r="7244" customFormat="false" ht="15" hidden="false" customHeight="false" outlineLevel="0" collapsed="false">
      <c r="A7244" s="9" t="s">
        <v>583</v>
      </c>
      <c r="C7244" s="63" t="n">
        <f aca="false">S7195</f>
        <v>54.7491194625937</v>
      </c>
      <c r="D7244" s="63"/>
    </row>
    <row r="7245" customFormat="false" ht="15" hidden="false" customHeight="false" outlineLevel="0" collapsed="false">
      <c r="A7245" s="9" t="s">
        <v>584</v>
      </c>
      <c r="C7245" s="61" t="n">
        <f aca="false">S7206</f>
        <v>494823.782961303</v>
      </c>
      <c r="D7245" s="61"/>
    </row>
    <row r="7246" customFormat="false" ht="15" hidden="false" customHeight="false" outlineLevel="0" collapsed="false">
      <c r="A7246" s="9" t="s">
        <v>22</v>
      </c>
      <c r="C7246" s="61" t="n">
        <f aca="false">IFERROR(S7205/S7195,0)</f>
        <v>8847.97350983958</v>
      </c>
      <c r="D7246" s="61"/>
    </row>
    <row r="7247" customFormat="false" ht="15" hidden="false" customHeight="false" outlineLevel="0" collapsed="false">
      <c r="A7247" s="9" t="s">
        <v>585</v>
      </c>
      <c r="C7247" s="61" t="n">
        <f aca="false">IFERROR(S7223/S7195,0)</f>
        <v>39027.7913610907</v>
      </c>
      <c r="D7247" s="61"/>
    </row>
    <row r="7248" customFormat="false" ht="23.85" hidden="false" customHeight="false" outlineLevel="0" collapsed="false">
      <c r="A7248" s="9" t="s">
        <v>586</v>
      </c>
      <c r="C7248" s="61" t="n">
        <f aca="false">IFERROR((S7217+S7219+S7220+S7221+S7222)/S7195,0)</f>
        <v>15470.0087007857</v>
      </c>
      <c r="D7248" s="61"/>
    </row>
    <row r="7249" customFormat="false" ht="15" hidden="false" customHeight="false" outlineLevel="0" collapsed="false">
      <c r="A7249" s="9" t="s">
        <v>587</v>
      </c>
      <c r="C7249" s="64" t="n">
        <f aca="false">IFERROR('Engine Runs'!$C$7247/('Engine Runs'!$C$7246*Assumptions!$E$76/12),0)</f>
        <v>81.4325529433845</v>
      </c>
      <c r="D7249" s="64"/>
    </row>
    <row r="7250" customFormat="false" ht="15" hidden="false" customHeight="false" outlineLevel="0" collapsed="false">
      <c r="A7250" s="9" t="s">
        <v>588</v>
      </c>
      <c r="C7250" s="64" t="n">
        <f aca="false">IFERROR((R7223/R7195)/((R7205/R7195)*Assumptions!$E$76/12),0)</f>
        <v>52.8285113055962</v>
      </c>
      <c r="D7250" s="64"/>
    </row>
    <row r="7251" customFormat="false" ht="15" hidden="false" customHeight="false" outlineLevel="0" collapsed="false">
      <c r="A7251" s="9" t="s">
        <v>589</v>
      </c>
      <c r="C7251" s="61" t="n">
        <f aca="false">S7227</f>
        <v>2942678.10129571</v>
      </c>
      <c r="D7251" s="61"/>
    </row>
    <row r="7252" customFormat="false" ht="15" hidden="false" customHeight="false" outlineLevel="0" collapsed="false">
      <c r="A7252" s="9" t="s">
        <v>590</v>
      </c>
      <c r="C7252" s="61" t="n">
        <f aca="false">N7230</f>
        <v>-2621042.64237087</v>
      </c>
      <c r="D7252" s="61"/>
    </row>
    <row r="7253" customFormat="false" ht="15" hidden="false" customHeight="false" outlineLevel="0" collapsed="false">
      <c r="A7253" s="9" t="s">
        <v>591</v>
      </c>
      <c r="C7253" s="61" t="n">
        <f aca="false">MIN($C$7230:$N$7230)</f>
        <v>-2621042.64237087</v>
      </c>
      <c r="D7253" s="61"/>
    </row>
    <row r="7254" customFormat="false" ht="15" hidden="false" customHeight="false" outlineLevel="0" collapsed="false">
      <c r="A7254" s="9" t="s">
        <v>592</v>
      </c>
      <c r="C7254" s="61" t="n">
        <f aca="false">N7204*(Assumptions!$E$76-$C$7238)*$C$7237*(1-$C$7237^Assumptions!$E$85)/(1-$C$7237)</f>
        <v>883215.352678571</v>
      </c>
      <c r="D7254" s="61"/>
    </row>
    <row r="7255" customFormat="false" ht="15" hidden="false" customHeight="false" outlineLevel="0" collapsed="false">
      <c r="A7255" s="9" t="s">
        <v>593</v>
      </c>
      <c r="C7255" s="61" t="n">
        <f aca="false">N7204*(Assumptions!$E$76-$C$7238)*(1-Assumptions!$E$88)/(1+Assumptions!$E$87)^2.5*$C$7239*(1-$C$7239^Assumptions!$E$85)/(1-$C$7239)</f>
        <v>393083.337460226</v>
      </c>
      <c r="D7255" s="61"/>
    </row>
    <row r="7256" customFormat="false" ht="15" hidden="false" customHeight="false" outlineLevel="0" collapsed="false">
      <c r="A7256" s="9" t="s">
        <v>594</v>
      </c>
      <c r="C7256" s="61" t="n">
        <f aca="false">SUM($C$7232:$N$7232)+'Engine Runs'!$C$7255</f>
        <v>-1873261.41860905</v>
      </c>
      <c r="D7256" s="61"/>
    </row>
    <row r="7257" customFormat="false" ht="15" hidden="false" customHeight="false" outlineLevel="0" collapsed="false">
      <c r="A7257" s="9" t="s">
        <v>595</v>
      </c>
      <c r="C7257" s="61" t="n">
        <f aca="false">SUM($C$7236:$N$7236)+N7234*(Assumptions!$E$76-Assumptions!$E$93)/(1+Assumptions!$E$87)^2.5*$C$7240*(1-$C$7240^Assumptions!$E$85)/(1-$C$7240)</f>
        <v>1502862.5007154</v>
      </c>
      <c r="D7257" s="61"/>
    </row>
    <row r="7258" customFormat="false" ht="15" hidden="false" customHeight="false" outlineLevel="0" collapsed="false">
      <c r="A7258" s="9" t="s">
        <v>596</v>
      </c>
      <c r="C7258" s="61" t="n">
        <f aca="false">'Engine Runs'!$C$7256-'Engine Runs'!$C$7257</f>
        <v>-3376123.91932444</v>
      </c>
      <c r="D7258" s="61"/>
    </row>
    <row r="7259" customFormat="false" ht="15" hidden="false" customHeight="false" outlineLevel="0" collapsed="false">
      <c r="A7259" s="9" t="s">
        <v>597</v>
      </c>
      <c r="C7259" s="61" t="n">
        <f aca="false">S7191</f>
        <v>0</v>
      </c>
      <c r="D7259" s="61"/>
    </row>
    <row r="7260" customFormat="false" ht="15" hidden="false" customHeight="false" outlineLevel="0" collapsed="false">
      <c r="A7260" s="9" t="s">
        <v>598</v>
      </c>
      <c r="C7260" s="63" t="n">
        <f aca="false">P7175</f>
        <v>43.6188722246667</v>
      </c>
      <c r="D7260" s="63"/>
    </row>
    <row r="7261" customFormat="false" ht="15" hidden="false" customHeight="false" outlineLevel="0" collapsed="false">
      <c r="A7261" s="9" t="s">
        <v>599</v>
      </c>
      <c r="C7261" s="63" t="n">
        <f aca="false">P7195</f>
        <v>6.18260904948639</v>
      </c>
      <c r="D7261" s="63"/>
    </row>
    <row r="7262" customFormat="false" ht="15" hidden="false" customHeight="false" outlineLevel="0" collapsed="false">
      <c r="A7262" s="9" t="s">
        <v>600</v>
      </c>
      <c r="C7262" s="63" t="n">
        <f aca="false">P7171</f>
        <v>42</v>
      </c>
      <c r="D7262" s="63"/>
    </row>
    <row r="7263" customFormat="false" ht="15" hidden="false" customHeight="false" outlineLevel="0" collapsed="false">
      <c r="A7263" s="9" t="s">
        <v>601</v>
      </c>
      <c r="C7263" s="61" t="n">
        <f aca="false">IFERROR(P7205/P7195,0)</f>
        <v>8545.01753177967</v>
      </c>
      <c r="D7263" s="61"/>
    </row>
    <row r="7266" customFormat="false" ht="15" hidden="false" customHeight="true" outlineLevel="0" collapsed="false">
      <c r="A7266" s="78" t="s">
        <v>897</v>
      </c>
      <c r="B7266" s="78"/>
      <c r="C7266" s="78"/>
      <c r="D7266" s="78"/>
      <c r="E7266" s="78"/>
      <c r="F7266" s="78"/>
      <c r="G7266" s="78"/>
      <c r="H7266" s="78"/>
      <c r="I7266" s="78"/>
      <c r="J7266" s="78"/>
      <c r="K7266" s="78"/>
      <c r="L7266" s="78"/>
      <c r="M7266" s="78"/>
      <c r="N7266" s="78"/>
    </row>
    <row r="7267" customFormat="false" ht="15" hidden="false" customHeight="true" outlineLevel="0" collapsed="false">
      <c r="A7267" s="79" t="s">
        <v>898</v>
      </c>
      <c r="B7267" s="79"/>
      <c r="C7267" s="79"/>
      <c r="D7267" s="79"/>
      <c r="E7267" s="79"/>
      <c r="F7267" s="79"/>
      <c r="G7267" s="79"/>
      <c r="H7267" s="79"/>
      <c r="I7267" s="79"/>
      <c r="J7267" s="79"/>
      <c r="K7267" s="79"/>
      <c r="L7267" s="79"/>
      <c r="M7267" s="79"/>
      <c r="N7267" s="79"/>
    </row>
    <row r="7268" customFormat="false" ht="23.85" hidden="false" customHeight="false" outlineLevel="0" collapsed="false">
      <c r="A7268" s="35" t="s">
        <v>899</v>
      </c>
      <c r="B7268" s="35" t="s">
        <v>444</v>
      </c>
      <c r="C7268" s="6" t="s">
        <v>354</v>
      </c>
      <c r="D7268" s="6" t="s">
        <v>355</v>
      </c>
      <c r="E7268" s="6" t="s">
        <v>356</v>
      </c>
      <c r="F7268" s="6" t="s">
        <v>357</v>
      </c>
      <c r="G7268" s="6" t="s">
        <v>358</v>
      </c>
      <c r="H7268" s="6" t="s">
        <v>359</v>
      </c>
      <c r="I7268" s="6" t="s">
        <v>360</v>
      </c>
      <c r="J7268" s="6" t="s">
        <v>361</v>
      </c>
      <c r="K7268" s="6" t="s">
        <v>362</v>
      </c>
      <c r="L7268" s="6" t="s">
        <v>363</v>
      </c>
      <c r="M7268" s="6" t="s">
        <v>364</v>
      </c>
      <c r="N7268" s="6" t="s">
        <v>365</v>
      </c>
      <c r="P7268" s="6" t="s">
        <v>445</v>
      </c>
      <c r="Q7268" s="6" t="s">
        <v>446</v>
      </c>
      <c r="R7268" s="6" t="s">
        <v>447</v>
      </c>
      <c r="S7268" s="6" t="s">
        <v>448</v>
      </c>
    </row>
    <row r="7269" customFormat="false" ht="15" hidden="false" customHeight="false" outlineLevel="0" collapsed="false">
      <c r="A7269" s="4" t="s">
        <v>449</v>
      </c>
      <c r="B7269" s="36" t="s">
        <v>450</v>
      </c>
      <c r="C7269" s="34" t="n">
        <f aca="false">'Market Sizing'!$C$17*Assumptions!$E$10*Assumptions!$E$11*(1-Assumptions!$E$12)</f>
        <v>843.03944704</v>
      </c>
    </row>
    <row r="7270" customFormat="false" ht="15" hidden="false" customHeight="false" outlineLevel="0" collapsed="false">
      <c r="A7270" s="4" t="s">
        <v>451</v>
      </c>
      <c r="B7270" s="36" t="s">
        <v>450</v>
      </c>
      <c r="C7270" s="34" t="n">
        <f aca="false">'Market Sizing'!$D$17*Assumptions!$E$10*Assumptions!$E$11*(1-Assumptions!$E$12)</f>
        <v>211.19616</v>
      </c>
    </row>
    <row r="7271" customFormat="false" ht="15" hidden="false" customHeight="false" outlineLevel="0" collapsed="false">
      <c r="A7271" s="4" t="s">
        <v>452</v>
      </c>
      <c r="B7271" s="36" t="s">
        <v>450</v>
      </c>
      <c r="C7271" s="34" t="n">
        <f aca="false">'Market Sizing'!$E$17*Assumptions!$E$10*Assumptions!$E$11*(1-Assumptions!$E$12)</f>
        <v>49.53984</v>
      </c>
    </row>
    <row r="7272" customFormat="false" ht="15" hidden="false" customHeight="false" outlineLevel="0" collapsed="false">
      <c r="A7272" s="4" t="s">
        <v>453</v>
      </c>
      <c r="B7272" s="36"/>
      <c r="C7272" s="34" t="n">
        <f aca="false">$C$7269+$C$7270+$C$7271</f>
        <v>1103.77544704</v>
      </c>
    </row>
    <row r="7273" customFormat="false" ht="15" hidden="false" customHeight="false" outlineLevel="0" collapsed="false">
      <c r="A7273" s="4" t="s">
        <v>454</v>
      </c>
      <c r="B7273" s="36" t="s">
        <v>450</v>
      </c>
      <c r="C7273" s="34" t="n">
        <f aca="false">'Market Sizing'!$C$18*Assumptions!$E$10*Assumptions!$E$11*(1-Assumptions!$E$12)</f>
        <v>612.57706944</v>
      </c>
    </row>
    <row r="7274" customFormat="false" ht="15" hidden="false" customHeight="false" outlineLevel="0" collapsed="false">
      <c r="A7274" s="4" t="s">
        <v>455</v>
      </c>
      <c r="B7274" s="36" t="s">
        <v>450</v>
      </c>
      <c r="C7274" s="34" t="n">
        <f aca="false">'Market Sizing'!$D$18*Assumptions!$E$10*Assumptions!$E$11*(1-Assumptions!$E$12)</f>
        <v>142.10112</v>
      </c>
    </row>
    <row r="7275" customFormat="false" ht="15" hidden="false" customHeight="false" outlineLevel="0" collapsed="false">
      <c r="A7275" s="4" t="s">
        <v>456</v>
      </c>
      <c r="B7275" s="36" t="s">
        <v>450</v>
      </c>
      <c r="C7275" s="34" t="n">
        <f aca="false">'Market Sizing'!$E$18*Assumptions!$E$10*Assumptions!$E$11*(1-Assumptions!$E$12)</f>
        <v>24.76992</v>
      </c>
    </row>
    <row r="7276" customFormat="false" ht="15" hidden="false" customHeight="false" outlineLevel="0" collapsed="false">
      <c r="A7276" s="4" t="s">
        <v>457</v>
      </c>
      <c r="B7276" s="36"/>
      <c r="C7276" s="34" t="n">
        <f aca="false">$C$7273+$C$7274+$C$7275</f>
        <v>779.44810944</v>
      </c>
    </row>
    <row r="7277" customFormat="false" ht="15" hidden="false" customHeight="false" outlineLevel="0" collapsed="false">
      <c r="A7277" s="4" t="s">
        <v>458</v>
      </c>
      <c r="B7277" s="36" t="s">
        <v>450</v>
      </c>
      <c r="C7277" s="34" t="n">
        <f aca="false">'Market Sizing'!$C$19*Assumptions!$E$10*Assumptions!$E$11*(1-Assumptions!$E$12)</f>
        <v>2060.77303936</v>
      </c>
    </row>
    <row r="7278" customFormat="false" ht="15" hidden="false" customHeight="false" outlineLevel="0" collapsed="false">
      <c r="A7278" s="4" t="s">
        <v>459</v>
      </c>
      <c r="B7278" s="36" t="s">
        <v>450</v>
      </c>
      <c r="C7278" s="34" t="n">
        <f aca="false">'Market Sizing'!$D$19*Assumptions!$E$10*Assumptions!$E$11*(1-Assumptions!$E$12)</f>
        <v>428.47616</v>
      </c>
    </row>
    <row r="7279" customFormat="false" ht="15" hidden="false" customHeight="false" outlineLevel="0" collapsed="false">
      <c r="A7279" s="4" t="s">
        <v>460</v>
      </c>
      <c r="B7279" s="36" t="s">
        <v>450</v>
      </c>
      <c r="C7279" s="34" t="n">
        <f aca="false">'Market Sizing'!$E$19*Assumptions!$E$10*Assumptions!$E$11*(1-Assumptions!$E$12)</f>
        <v>79.52448</v>
      </c>
    </row>
    <row r="7280" customFormat="false" ht="15" hidden="false" customHeight="false" outlineLevel="0" collapsed="false">
      <c r="A7280" s="4" t="s">
        <v>461</v>
      </c>
      <c r="B7280" s="36"/>
      <c r="C7280" s="34" t="n">
        <f aca="false">$C$7277+$C$7278+$C$7279</f>
        <v>2568.77367936</v>
      </c>
    </row>
    <row r="7281" customFormat="false" ht="15" hidden="false" customHeight="false" outlineLevel="0" collapsed="false">
      <c r="A7281" s="4" t="s">
        <v>462</v>
      </c>
      <c r="B7281" s="36" t="s">
        <v>463</v>
      </c>
      <c r="C7281" s="33" t="n">
        <f aca="false">MAX((Assumptions!$E$51+Assumptions!$E$53)*12,(((('Market Sizing'!$E$25*Assumptions!$E$41*Assumptions!$E$42*Assumptions!$E$43)*Assumptions!$E$44)*Assumptions!$E$45*Assumptions!$E$46+('Market Sizing'!$E$25*Assumptions!$E$41*Assumptions!$E$42*Assumptions!$E$43)*Assumptions!$E$47+('Market Sizing'!$E$25*Assumptions!$E$41*Assumptions!$E$42*Assumptions!$E$43)*Assumptions!$E$48*Assumptions!$E$49)*(Assumptions!$E$51*12/Assumptions!$E$52)+((('Market Sizing'!$E$25*Assumptions!$E$41*Assumptions!$E$42*Assumptions!$E$43)*Assumptions!$E$44)*Assumptions!$E$45+('Market Sizing'!$E$25*Assumptions!$E$41*Assumptions!$E$42*Assumptions!$E$43)+('Market Sizing'!$E$25*Assumptions!$E$41*Assumptions!$E$42*Assumptions!$E$43)*Assumptions!$E$48)*Assumptions!$E$50*(Assumptions!$E$53*12/Assumptions!$E$54)))</f>
        <v>5352</v>
      </c>
    </row>
    <row r="7282" customFormat="false" ht="15" hidden="false" customHeight="false" outlineLevel="0" collapsed="false">
      <c r="A7282" s="4" t="s">
        <v>464</v>
      </c>
      <c r="B7282" s="36" t="s">
        <v>463</v>
      </c>
      <c r="C7282" s="33" t="n">
        <f aca="false">MAX((Assumptions!$E$51+Assumptions!$E$53)*12,(((('Market Sizing'!$E$26*Assumptions!$E$41*Assumptions!$E$42*Assumptions!$E$43)*Assumptions!$E$44)*Assumptions!$E$45*Assumptions!$E$46+('Market Sizing'!$E$26*Assumptions!$E$41*Assumptions!$E$42*Assumptions!$E$43)*Assumptions!$E$47+('Market Sizing'!$E$26*Assumptions!$E$41*Assumptions!$E$42*Assumptions!$E$43)*Assumptions!$E$48*Assumptions!$E$49)*(Assumptions!$E$51*12/Assumptions!$E$52)+((('Market Sizing'!$E$26*Assumptions!$E$41*Assumptions!$E$42*Assumptions!$E$43)*Assumptions!$E$44)*Assumptions!$E$45+('Market Sizing'!$E$26*Assumptions!$E$41*Assumptions!$E$42*Assumptions!$E$43)+('Market Sizing'!$E$26*Assumptions!$E$41*Assumptions!$E$42*Assumptions!$E$43)*Assumptions!$E$48)*Assumptions!$E$50*(Assumptions!$E$53*12/Assumptions!$E$54)))</f>
        <v>9766.72012875208</v>
      </c>
    </row>
    <row r="7283" customFormat="false" ht="15" hidden="false" customHeight="false" outlineLevel="0" collapsed="false">
      <c r="A7283" s="4" t="s">
        <v>465</v>
      </c>
      <c r="B7283" s="36" t="s">
        <v>463</v>
      </c>
      <c r="C7283" s="33" t="n">
        <f aca="false">MAX(Assumptions!$E$55*(Assumptions!$E$51*12/Assumptions!$E$52)+Assumptions!$E$56*(Assumptions!$E$53*12/Assumptions!$E$54),(((('Market Sizing'!$E$27*Assumptions!$E$41*Assumptions!$E$42*Assumptions!$E$43)*Assumptions!$E$44)*Assumptions!$E$45*Assumptions!$E$46+('Market Sizing'!$E$27*Assumptions!$E$41*Assumptions!$E$42*Assumptions!$E$43)*Assumptions!$E$47+('Market Sizing'!$E$27*Assumptions!$E$41*Assumptions!$E$42*Assumptions!$E$43)*Assumptions!$E$48*Assumptions!$E$49)*(Assumptions!$E$51*12/Assumptions!$E$52)+((('Market Sizing'!$E$27*Assumptions!$E$41*Assumptions!$E$42*Assumptions!$E$43)*Assumptions!$E$44)*Assumptions!$E$45+('Market Sizing'!$E$27*Assumptions!$E$41*Assumptions!$E$42*Assumptions!$E$43)+('Market Sizing'!$E$27*Assumptions!$E$41*Assumptions!$E$42*Assumptions!$E$43)*Assumptions!$E$48)*Assumptions!$E$50*(Assumptions!$E$53*12/Assumptions!$E$54)))*(1-Assumptions!$E$57)</f>
        <v>61778.2562194386</v>
      </c>
    </row>
    <row r="7284" customFormat="false" ht="23.85" hidden="false" customHeight="false" outlineLevel="0" collapsed="false">
      <c r="A7284" s="4" t="s">
        <v>466</v>
      </c>
      <c r="B7284" s="36" t="s">
        <v>467</v>
      </c>
      <c r="C7284" s="37" t="n">
        <f aca="false">Assumptions!$E$17*Assumptions!$D$106</f>
        <v>0.4</v>
      </c>
    </row>
    <row r="7285" customFormat="false" ht="23.85" hidden="false" customHeight="false" outlineLevel="0" collapsed="false">
      <c r="A7285" s="4" t="s">
        <v>468</v>
      </c>
      <c r="B7285" s="36" t="s">
        <v>469</v>
      </c>
      <c r="C7285" s="33" t="n">
        <f aca="false">Assumptions!$E$68/Assumptions!$E$69</f>
        <v>285714.285714286</v>
      </c>
    </row>
    <row r="7286" customFormat="false" ht="23.85" hidden="false" customHeight="false" outlineLevel="0" collapsed="false">
      <c r="A7286" s="4" t="s">
        <v>470</v>
      </c>
      <c r="B7286" s="36" t="s">
        <v>471</v>
      </c>
      <c r="C7286" s="33" t="n">
        <f aca="false">Assumptions!$E$66*Assumptions!$E$67/4</f>
        <v>153125</v>
      </c>
    </row>
    <row r="7287" customFormat="false" ht="15" hidden="false" customHeight="false" outlineLevel="0" collapsed="false">
      <c r="A7287" s="4" t="s">
        <v>472</v>
      </c>
      <c r="B7287" s="36"/>
      <c r="C7287" s="38" t="n">
        <f aca="false">$C$7285/Assumptions!$E$66/Assumptions!$E$67</f>
        <v>0.466472303206997</v>
      </c>
    </row>
    <row r="7288" customFormat="false" ht="15" hidden="false" customHeight="false" outlineLevel="0" collapsed="false">
      <c r="A7288" s="4" t="s">
        <v>473</v>
      </c>
      <c r="B7288" s="36"/>
      <c r="C7288" s="33" t="n">
        <f aca="false">MAX(0,Assumptions!$D$103-Assumptions!$E$78)</f>
        <v>0</v>
      </c>
    </row>
    <row r="7289" customFormat="false" ht="15" hidden="false" customHeight="false" outlineLevel="0" collapsed="false">
      <c r="A7289" s="35" t="s">
        <v>474</v>
      </c>
      <c r="B7289" s="35" t="s">
        <v>444</v>
      </c>
      <c r="C7289" s="6" t="s">
        <v>354</v>
      </c>
      <c r="D7289" s="6" t="s">
        <v>355</v>
      </c>
      <c r="E7289" s="6" t="s">
        <v>356</v>
      </c>
      <c r="F7289" s="6" t="s">
        <v>357</v>
      </c>
      <c r="G7289" s="6" t="s">
        <v>358</v>
      </c>
      <c r="H7289" s="6" t="s">
        <v>359</v>
      </c>
      <c r="I7289" s="6" t="s">
        <v>360</v>
      </c>
      <c r="J7289" s="6" t="s">
        <v>361</v>
      </c>
      <c r="K7289" s="6" t="s">
        <v>362</v>
      </c>
      <c r="L7289" s="6" t="s">
        <v>363</v>
      </c>
      <c r="M7289" s="6" t="s">
        <v>364</v>
      </c>
      <c r="N7289" s="6" t="s">
        <v>365</v>
      </c>
      <c r="P7289" s="6" t="s">
        <v>445</v>
      </c>
      <c r="Q7289" s="6" t="s">
        <v>446</v>
      </c>
      <c r="R7289" s="6" t="s">
        <v>447</v>
      </c>
      <c r="S7289" s="6" t="s">
        <v>448</v>
      </c>
    </row>
    <row r="7290" customFormat="false" ht="15" hidden="false" customHeight="false" outlineLevel="0" collapsed="false">
      <c r="A7290" s="4" t="s">
        <v>475</v>
      </c>
      <c r="B7290" s="36" t="s">
        <v>133</v>
      </c>
      <c r="C7290" s="39" t="n">
        <v>1</v>
      </c>
      <c r="D7290" s="39" t="n">
        <v>2</v>
      </c>
      <c r="E7290" s="39" t="n">
        <v>3</v>
      </c>
      <c r="F7290" s="39" t="n">
        <v>4</v>
      </c>
      <c r="G7290" s="39" t="n">
        <v>5</v>
      </c>
      <c r="H7290" s="39" t="n">
        <v>6</v>
      </c>
      <c r="I7290" s="39" t="n">
        <v>7</v>
      </c>
      <c r="J7290" s="39" t="n">
        <v>8</v>
      </c>
      <c r="K7290" s="39" t="n">
        <v>9</v>
      </c>
      <c r="L7290" s="39" t="n">
        <v>10</v>
      </c>
      <c r="M7290" s="39" t="n">
        <v>11</v>
      </c>
      <c r="N7290" s="39" t="n">
        <v>12</v>
      </c>
      <c r="P7290" s="40"/>
      <c r="Q7290" s="40"/>
      <c r="R7290" s="40"/>
      <c r="S7290" s="41"/>
    </row>
    <row r="7291" customFormat="false" ht="15" hidden="false" customHeight="false" outlineLevel="0" collapsed="false">
      <c r="A7291" s="4" t="s">
        <v>476</v>
      </c>
      <c r="B7291" s="36" t="s">
        <v>343</v>
      </c>
      <c r="C7291" s="39" t="n">
        <f aca="false">IF(C7290&lt;=Assumptions!$E$84,1,0)</f>
        <v>1</v>
      </c>
      <c r="D7291" s="39" t="n">
        <f aca="false">IF(D7290&lt;=Assumptions!$E$84,1,0)</f>
        <v>1</v>
      </c>
      <c r="E7291" s="39" t="n">
        <f aca="false">IF(E7290&lt;=Assumptions!$E$84,1,0)</f>
        <v>1</v>
      </c>
      <c r="F7291" s="39" t="n">
        <f aca="false">IF(F7290&lt;=Assumptions!$E$84,1,0)</f>
        <v>1</v>
      </c>
      <c r="G7291" s="39" t="n">
        <f aca="false">IF(G7290&lt;=Assumptions!$E$84,1,0)</f>
        <v>1</v>
      </c>
      <c r="H7291" s="39" t="n">
        <f aca="false">IF(H7290&lt;=Assumptions!$E$84,1,0)</f>
        <v>1</v>
      </c>
      <c r="I7291" s="39" t="n">
        <f aca="false">IF(I7290&lt;=Assumptions!$E$84,1,0)</f>
        <v>1</v>
      </c>
      <c r="J7291" s="39" t="n">
        <f aca="false">IF(J7290&lt;=Assumptions!$E$84,1,0)</f>
        <v>1</v>
      </c>
      <c r="K7291" s="39" t="n">
        <f aca="false">IF(K7290&lt;=Assumptions!$E$84,1,0)</f>
        <v>1</v>
      </c>
      <c r="L7291" s="39" t="n">
        <f aca="false">IF(L7290&lt;=Assumptions!$E$84,1,0)</f>
        <v>1</v>
      </c>
      <c r="M7291" s="39" t="n">
        <f aca="false">IF(M7290&lt;=Assumptions!$E$84,1,0)</f>
        <v>1</v>
      </c>
      <c r="N7291" s="39" t="n">
        <f aca="false">IF(N7290&lt;=Assumptions!$E$84,1,0)</f>
        <v>1</v>
      </c>
      <c r="P7291" s="40"/>
      <c r="Q7291" s="40"/>
      <c r="R7291" s="40"/>
      <c r="S7291" s="41"/>
    </row>
    <row r="7292" customFormat="false" ht="15" hidden="false" customHeight="false" outlineLevel="0" collapsed="false">
      <c r="A7292" s="4" t="s">
        <v>477</v>
      </c>
      <c r="B7292" s="36" t="s">
        <v>478</v>
      </c>
      <c r="C7292" s="42" t="n">
        <f aca="false">IF(C7290=Assumptions!$E$13,0.5,IF(C7290&gt;Assumptions!$E$13,1,0))</f>
        <v>0.5</v>
      </c>
      <c r="D7292" s="42" t="n">
        <f aca="false">IF(D7290=Assumptions!$E$13,0.5,IF(D7290&gt;Assumptions!$E$13,1,0))</f>
        <v>1</v>
      </c>
      <c r="E7292" s="42" t="n">
        <f aca="false">IF(E7290=Assumptions!$E$13,0.5,IF(E7290&gt;Assumptions!$E$13,1,0))</f>
        <v>1</v>
      </c>
      <c r="F7292" s="42" t="n">
        <f aca="false">IF(F7290=Assumptions!$E$13,0.5,IF(F7290&gt;Assumptions!$E$13,1,0))</f>
        <v>1</v>
      </c>
      <c r="G7292" s="42" t="n">
        <f aca="false">IF(G7290=Assumptions!$E$13,0.5,IF(G7290&gt;Assumptions!$E$13,1,0))</f>
        <v>1</v>
      </c>
      <c r="H7292" s="42" t="n">
        <f aca="false">IF(H7290=Assumptions!$E$13,0.5,IF(H7290&gt;Assumptions!$E$13,1,0))</f>
        <v>1</v>
      </c>
      <c r="I7292" s="42" t="n">
        <f aca="false">IF(I7290=Assumptions!$E$13,0.5,IF(I7290&gt;Assumptions!$E$13,1,0))</f>
        <v>1</v>
      </c>
      <c r="J7292" s="42" t="n">
        <f aca="false">IF(J7290=Assumptions!$E$13,0.5,IF(J7290&gt;Assumptions!$E$13,1,0))</f>
        <v>1</v>
      </c>
      <c r="K7292" s="42" t="n">
        <f aca="false">IF(K7290=Assumptions!$E$13,0.5,IF(K7290&gt;Assumptions!$E$13,1,0))</f>
        <v>1</v>
      </c>
      <c r="L7292" s="42" t="n">
        <f aca="false">IF(L7290=Assumptions!$E$13,0.5,IF(L7290&gt;Assumptions!$E$13,1,0))</f>
        <v>1</v>
      </c>
      <c r="M7292" s="42" t="n">
        <f aca="false">IF(M7290=Assumptions!$E$13,0.5,IF(M7290&gt;Assumptions!$E$13,1,0))</f>
        <v>1</v>
      </c>
      <c r="N7292" s="42" t="n">
        <f aca="false">IF(N7290=Assumptions!$E$13,0.5,IF(N7290&gt;Assumptions!$E$13,1,0))</f>
        <v>1</v>
      </c>
      <c r="P7292" s="43"/>
      <c r="Q7292" s="43"/>
      <c r="R7292" s="43"/>
      <c r="S7292" s="44"/>
    </row>
    <row r="7293" customFormat="false" ht="15" hidden="false" customHeight="false" outlineLevel="0" collapsed="false">
      <c r="A7293" s="4" t="s">
        <v>479</v>
      </c>
      <c r="B7293" s="36" t="s">
        <v>478</v>
      </c>
      <c r="C7293" s="42" t="n">
        <f aca="false">IF(C7290=Assumptions!$E$14,0.5,IF(C7290&gt;Assumptions!$E$14,1,0))</f>
        <v>0</v>
      </c>
      <c r="D7293" s="42" t="n">
        <f aca="false">IF(D7290=Assumptions!$E$14,0.5,IF(D7290&gt;Assumptions!$E$14,1,0))</f>
        <v>0</v>
      </c>
      <c r="E7293" s="42" t="n">
        <f aca="false">IF(E7290=Assumptions!$E$14,0.5,IF(E7290&gt;Assumptions!$E$14,1,0))</f>
        <v>0</v>
      </c>
      <c r="F7293" s="42" t="n">
        <f aca="false">IF(F7290=Assumptions!$E$14,0.5,IF(F7290&gt;Assumptions!$E$14,1,0))</f>
        <v>0</v>
      </c>
      <c r="G7293" s="42" t="n">
        <f aca="false">IF(G7290=Assumptions!$E$14,0.5,IF(G7290&gt;Assumptions!$E$14,1,0))</f>
        <v>0.5</v>
      </c>
      <c r="H7293" s="42" t="n">
        <f aca="false">IF(H7290=Assumptions!$E$14,0.5,IF(H7290&gt;Assumptions!$E$14,1,0))</f>
        <v>1</v>
      </c>
      <c r="I7293" s="42" t="n">
        <f aca="false">IF(I7290=Assumptions!$E$14,0.5,IF(I7290&gt;Assumptions!$E$14,1,0))</f>
        <v>1</v>
      </c>
      <c r="J7293" s="42" t="n">
        <f aca="false">IF(J7290=Assumptions!$E$14,0.5,IF(J7290&gt;Assumptions!$E$14,1,0))</f>
        <v>1</v>
      </c>
      <c r="K7293" s="42" t="n">
        <f aca="false">IF(K7290=Assumptions!$E$14,0.5,IF(K7290&gt;Assumptions!$E$14,1,0))</f>
        <v>1</v>
      </c>
      <c r="L7293" s="42" t="n">
        <f aca="false">IF(L7290=Assumptions!$E$14,0.5,IF(L7290&gt;Assumptions!$E$14,1,0))</f>
        <v>1</v>
      </c>
      <c r="M7293" s="42" t="n">
        <f aca="false">IF(M7290=Assumptions!$E$14,0.5,IF(M7290&gt;Assumptions!$E$14,1,0))</f>
        <v>1</v>
      </c>
      <c r="N7293" s="42" t="n">
        <f aca="false">IF(N7290=Assumptions!$E$14,0.5,IF(N7290&gt;Assumptions!$E$14,1,0))</f>
        <v>1</v>
      </c>
      <c r="P7293" s="43"/>
      <c r="Q7293" s="43"/>
      <c r="R7293" s="43"/>
      <c r="S7293" s="44"/>
    </row>
    <row r="7294" customFormat="false" ht="15" hidden="false" customHeight="false" outlineLevel="0" collapsed="false">
      <c r="A7294" s="4" t="s">
        <v>480</v>
      </c>
      <c r="B7294" s="36" t="s">
        <v>478</v>
      </c>
      <c r="C7294" s="42" t="n">
        <f aca="false">IF(C7290=Assumptions!$E$15,0.5,IF(C7290&gt;Assumptions!$E$15,1,0))</f>
        <v>0</v>
      </c>
      <c r="D7294" s="42" t="n">
        <f aca="false">IF(D7290=Assumptions!$E$15,0.5,IF(D7290&gt;Assumptions!$E$15,1,0))</f>
        <v>0</v>
      </c>
      <c r="E7294" s="42" t="n">
        <f aca="false">IF(E7290=Assumptions!$E$15,0.5,IF(E7290&gt;Assumptions!$E$15,1,0))</f>
        <v>0</v>
      </c>
      <c r="F7294" s="42" t="n">
        <f aca="false">IF(F7290=Assumptions!$E$15,0.5,IF(F7290&gt;Assumptions!$E$15,1,0))</f>
        <v>0</v>
      </c>
      <c r="G7294" s="42" t="n">
        <f aca="false">IF(G7290=Assumptions!$E$15,0.5,IF(G7290&gt;Assumptions!$E$15,1,0))</f>
        <v>0</v>
      </c>
      <c r="H7294" s="42" t="n">
        <f aca="false">IF(H7290=Assumptions!$E$15,0.5,IF(H7290&gt;Assumptions!$E$15,1,0))</f>
        <v>0</v>
      </c>
      <c r="I7294" s="42" t="n">
        <f aca="false">IF(I7290=Assumptions!$E$15,0.5,IF(I7290&gt;Assumptions!$E$15,1,0))</f>
        <v>0.5</v>
      </c>
      <c r="J7294" s="42" t="n">
        <f aca="false">IF(J7290=Assumptions!$E$15,0.5,IF(J7290&gt;Assumptions!$E$15,1,0))</f>
        <v>1</v>
      </c>
      <c r="K7294" s="42" t="n">
        <f aca="false">IF(K7290=Assumptions!$E$15,0.5,IF(K7290&gt;Assumptions!$E$15,1,0))</f>
        <v>1</v>
      </c>
      <c r="L7294" s="42" t="n">
        <f aca="false">IF(L7290=Assumptions!$E$15,0.5,IF(L7290&gt;Assumptions!$E$15,1,0))</f>
        <v>1</v>
      </c>
      <c r="M7294" s="42" t="n">
        <f aca="false">IF(M7290=Assumptions!$E$15,0.5,IF(M7290&gt;Assumptions!$E$15,1,0))</f>
        <v>1</v>
      </c>
      <c r="N7294" s="42" t="n">
        <f aca="false">IF(N7290=Assumptions!$E$15,0.5,IF(N7290&gt;Assumptions!$E$15,1,0))</f>
        <v>1</v>
      </c>
      <c r="P7294" s="43"/>
      <c r="Q7294" s="43"/>
      <c r="R7294" s="43"/>
      <c r="S7294" s="44"/>
    </row>
    <row r="7295" customFormat="false" ht="15" hidden="false" customHeight="false" outlineLevel="0" collapsed="false">
      <c r="A7295" s="4" t="s">
        <v>481</v>
      </c>
      <c r="B7295" s="36" t="s">
        <v>478</v>
      </c>
      <c r="C7295" s="45" t="n">
        <f aca="false">Assumptions!$E$21^(MAX(0,C7290-Assumptions!$E$13)/4)</f>
        <v>1</v>
      </c>
      <c r="D7295" s="45" t="n">
        <f aca="false">Assumptions!$E$21^(MAX(0,D7290-Assumptions!$E$13)/4)</f>
        <v>0.9306048591021</v>
      </c>
      <c r="E7295" s="45" t="n">
        <f aca="false">Assumptions!$E$21^(MAX(0,E7290-Assumptions!$E$13)/4)</f>
        <v>0.866025403784439</v>
      </c>
      <c r="F7295" s="45" t="n">
        <f aca="false">Assumptions!$E$21^(MAX(0,F7290-Assumptions!$E$13)/4)</f>
        <v>0.805927448867656</v>
      </c>
      <c r="G7295" s="45" t="n">
        <f aca="false">Assumptions!$E$21^(MAX(0,G7290-Assumptions!$E$13)/4)</f>
        <v>0.75</v>
      </c>
      <c r="H7295" s="45" t="n">
        <f aca="false">Assumptions!$E$21^(MAX(0,H7290-Assumptions!$E$13)/4)</f>
        <v>0.697953644326575</v>
      </c>
      <c r="I7295" s="45" t="n">
        <f aca="false">Assumptions!$E$21^(MAX(0,I7290-Assumptions!$E$13)/4)</f>
        <v>0.649519052838329</v>
      </c>
      <c r="J7295" s="45" t="n">
        <f aca="false">Assumptions!$E$21^(MAX(0,J7290-Assumptions!$E$13)/4)</f>
        <v>0.604445586650742</v>
      </c>
      <c r="K7295" s="45" t="n">
        <f aca="false">Assumptions!$E$21^(MAX(0,K7290-Assumptions!$E$13)/4)</f>
        <v>0.5625</v>
      </c>
      <c r="L7295" s="45" t="n">
        <f aca="false">Assumptions!$E$21^(MAX(0,L7290-Assumptions!$E$13)/4)</f>
        <v>0.523465233244931</v>
      </c>
      <c r="M7295" s="45" t="n">
        <f aca="false">Assumptions!$E$21^(MAX(0,M7290-Assumptions!$E$13)/4)</f>
        <v>0.487139289628747</v>
      </c>
      <c r="N7295" s="45" t="n">
        <f aca="false">Assumptions!$E$21^(MAX(0,N7290-Assumptions!$E$13)/4)</f>
        <v>0.453334189988057</v>
      </c>
      <c r="P7295" s="46"/>
      <c r="Q7295" s="46"/>
      <c r="R7295" s="46"/>
      <c r="S7295" s="47"/>
    </row>
    <row r="7296" customFormat="false" ht="15" hidden="false" customHeight="false" outlineLevel="0" collapsed="false">
      <c r="A7296" s="4" t="s">
        <v>482</v>
      </c>
      <c r="B7296" s="36" t="s">
        <v>478</v>
      </c>
      <c r="C7296" s="45" t="n">
        <f aca="false">Assumptions!$E$21^(MAX(0,C7290-Assumptions!$E$14)/4)</f>
        <v>1</v>
      </c>
      <c r="D7296" s="45" t="n">
        <f aca="false">Assumptions!$E$21^(MAX(0,D7290-Assumptions!$E$14)/4)</f>
        <v>1</v>
      </c>
      <c r="E7296" s="45" t="n">
        <f aca="false">Assumptions!$E$21^(MAX(0,E7290-Assumptions!$E$14)/4)</f>
        <v>1</v>
      </c>
      <c r="F7296" s="45" t="n">
        <f aca="false">Assumptions!$E$21^(MAX(0,F7290-Assumptions!$E$14)/4)</f>
        <v>1</v>
      </c>
      <c r="G7296" s="45" t="n">
        <f aca="false">Assumptions!$E$21^(MAX(0,G7290-Assumptions!$E$14)/4)</f>
        <v>1</v>
      </c>
      <c r="H7296" s="45" t="n">
        <f aca="false">Assumptions!$E$21^(MAX(0,H7290-Assumptions!$E$14)/4)</f>
        <v>0.9306048591021</v>
      </c>
      <c r="I7296" s="45" t="n">
        <f aca="false">Assumptions!$E$21^(MAX(0,I7290-Assumptions!$E$14)/4)</f>
        <v>0.866025403784439</v>
      </c>
      <c r="J7296" s="45" t="n">
        <f aca="false">Assumptions!$E$21^(MAX(0,J7290-Assumptions!$E$14)/4)</f>
        <v>0.805927448867656</v>
      </c>
      <c r="K7296" s="45" t="n">
        <f aca="false">Assumptions!$E$21^(MAX(0,K7290-Assumptions!$E$14)/4)</f>
        <v>0.75</v>
      </c>
      <c r="L7296" s="45" t="n">
        <f aca="false">Assumptions!$E$21^(MAX(0,L7290-Assumptions!$E$14)/4)</f>
        <v>0.697953644326575</v>
      </c>
      <c r="M7296" s="45" t="n">
        <f aca="false">Assumptions!$E$21^(MAX(0,M7290-Assumptions!$E$14)/4)</f>
        <v>0.649519052838329</v>
      </c>
      <c r="N7296" s="45" t="n">
        <f aca="false">Assumptions!$E$21^(MAX(0,N7290-Assumptions!$E$14)/4)</f>
        <v>0.604445586650742</v>
      </c>
      <c r="P7296" s="46"/>
      <c r="Q7296" s="46"/>
      <c r="R7296" s="46"/>
      <c r="S7296" s="47"/>
    </row>
    <row r="7297" customFormat="false" ht="15" hidden="false" customHeight="false" outlineLevel="0" collapsed="false">
      <c r="A7297" s="4" t="s">
        <v>483</v>
      </c>
      <c r="B7297" s="36" t="s">
        <v>478</v>
      </c>
      <c r="C7297" s="45" t="n">
        <f aca="false">Assumptions!$E$21^(MAX(0,C7290-Assumptions!$E$15)/4)</f>
        <v>1</v>
      </c>
      <c r="D7297" s="45" t="n">
        <f aca="false">Assumptions!$E$21^(MAX(0,D7290-Assumptions!$E$15)/4)</f>
        <v>1</v>
      </c>
      <c r="E7297" s="45" t="n">
        <f aca="false">Assumptions!$E$21^(MAX(0,E7290-Assumptions!$E$15)/4)</f>
        <v>1</v>
      </c>
      <c r="F7297" s="45" t="n">
        <f aca="false">Assumptions!$E$21^(MAX(0,F7290-Assumptions!$E$15)/4)</f>
        <v>1</v>
      </c>
      <c r="G7297" s="45" t="n">
        <f aca="false">Assumptions!$E$21^(MAX(0,G7290-Assumptions!$E$15)/4)</f>
        <v>1</v>
      </c>
      <c r="H7297" s="45" t="n">
        <f aca="false">Assumptions!$E$21^(MAX(0,H7290-Assumptions!$E$15)/4)</f>
        <v>1</v>
      </c>
      <c r="I7297" s="45" t="n">
        <f aca="false">Assumptions!$E$21^(MAX(0,I7290-Assumptions!$E$15)/4)</f>
        <v>1</v>
      </c>
      <c r="J7297" s="45" t="n">
        <f aca="false">Assumptions!$E$21^(MAX(0,J7290-Assumptions!$E$15)/4)</f>
        <v>0.9306048591021</v>
      </c>
      <c r="K7297" s="45" t="n">
        <f aca="false">Assumptions!$E$21^(MAX(0,K7290-Assumptions!$E$15)/4)</f>
        <v>0.866025403784439</v>
      </c>
      <c r="L7297" s="45" t="n">
        <f aca="false">Assumptions!$E$21^(MAX(0,L7290-Assumptions!$E$15)/4)</f>
        <v>0.805927448867656</v>
      </c>
      <c r="M7297" s="45" t="n">
        <f aca="false">Assumptions!$E$21^(MAX(0,M7290-Assumptions!$E$15)/4)</f>
        <v>0.75</v>
      </c>
      <c r="N7297" s="45" t="n">
        <f aca="false">Assumptions!$E$21^(MAX(0,N7290-Assumptions!$E$15)/4)</f>
        <v>0.697953644326575</v>
      </c>
      <c r="P7297" s="46"/>
      <c r="Q7297" s="46"/>
      <c r="R7297" s="46"/>
      <c r="S7297" s="47"/>
    </row>
    <row r="7298" customFormat="false" ht="15" hidden="false" customHeight="false" outlineLevel="0" collapsed="false">
      <c r="A7298" s="4" t="s">
        <v>484</v>
      </c>
      <c r="B7298" s="36" t="s">
        <v>485</v>
      </c>
      <c r="C7298" s="39" t="n">
        <f aca="false">$C$7269*C7292+$C$7273*C7293+$C$7277*C7294</f>
        <v>421.51972352</v>
      </c>
      <c r="D7298" s="39" t="n">
        <f aca="false">$C$7269*D7292+$C$7273*D7293+$C$7277*D7294</f>
        <v>843.03944704</v>
      </c>
      <c r="E7298" s="39" t="n">
        <f aca="false">$C$7269*E7292+$C$7273*E7293+$C$7277*E7294</f>
        <v>843.03944704</v>
      </c>
      <c r="F7298" s="39" t="n">
        <f aca="false">$C$7269*F7292+$C$7273*F7293+$C$7277*F7294</f>
        <v>843.03944704</v>
      </c>
      <c r="G7298" s="39" t="n">
        <f aca="false">$C$7269*G7292+$C$7273*G7293+$C$7277*G7294</f>
        <v>1149.32798176</v>
      </c>
      <c r="H7298" s="39" t="n">
        <f aca="false">$C$7269*H7292+$C$7273*H7293+$C$7277*H7294</f>
        <v>1455.61651648</v>
      </c>
      <c r="I7298" s="39" t="n">
        <f aca="false">$C$7269*I7292+$C$7273*I7293+$C$7277*I7294</f>
        <v>2486.00303616</v>
      </c>
      <c r="J7298" s="39" t="n">
        <f aca="false">$C$7269*J7292+$C$7273*J7293+$C$7277*J7294</f>
        <v>3516.38955584</v>
      </c>
      <c r="K7298" s="39" t="n">
        <f aca="false">$C$7269*K7292+$C$7273*K7293+$C$7277*K7294</f>
        <v>3516.38955584</v>
      </c>
      <c r="L7298" s="39" t="n">
        <f aca="false">$C$7269*L7292+$C$7273*L7293+$C$7277*L7294</f>
        <v>3516.38955584</v>
      </c>
      <c r="M7298" s="39" t="n">
        <f aca="false">$C$7269*M7292+$C$7273*M7293+$C$7277*M7294</f>
        <v>3516.38955584</v>
      </c>
      <c r="N7298" s="39" t="n">
        <f aca="false">$C$7269*N7292+$C$7273*N7293+$C$7277*N7294</f>
        <v>3516.38955584</v>
      </c>
      <c r="P7298" s="40" t="n">
        <f aca="false">F7298</f>
        <v>843.03944704</v>
      </c>
      <c r="Q7298" s="40" t="n">
        <f aca="false">J7298</f>
        <v>3516.38955584</v>
      </c>
      <c r="R7298" s="40" t="n">
        <f aca="false">N7298</f>
        <v>3516.38955584</v>
      </c>
      <c r="S7298" s="41" t="n">
        <f aca="false">R7298</f>
        <v>3516.38955584</v>
      </c>
    </row>
    <row r="7299" customFormat="false" ht="15" hidden="false" customHeight="false" outlineLevel="0" collapsed="false">
      <c r="A7299" s="4" t="s">
        <v>486</v>
      </c>
      <c r="B7299" s="36" t="s">
        <v>485</v>
      </c>
      <c r="C7299" s="39" t="n">
        <f aca="false">$C$7270*C7292+$C$7274*C7293+$C$7278*C7294</f>
        <v>105.59808</v>
      </c>
      <c r="D7299" s="39" t="n">
        <f aca="false">$C$7270*D7292+$C$7274*D7293+$C$7278*D7294</f>
        <v>211.19616</v>
      </c>
      <c r="E7299" s="39" t="n">
        <f aca="false">$C$7270*E7292+$C$7274*E7293+$C$7278*E7294</f>
        <v>211.19616</v>
      </c>
      <c r="F7299" s="39" t="n">
        <f aca="false">$C$7270*F7292+$C$7274*F7293+$C$7278*F7294</f>
        <v>211.19616</v>
      </c>
      <c r="G7299" s="39" t="n">
        <f aca="false">$C$7270*G7292+$C$7274*G7293+$C$7278*G7294</f>
        <v>282.24672</v>
      </c>
      <c r="H7299" s="39" t="n">
        <f aca="false">$C$7270*H7292+$C$7274*H7293+$C$7278*H7294</f>
        <v>353.29728</v>
      </c>
      <c r="I7299" s="39" t="n">
        <f aca="false">$C$7270*I7292+$C$7274*I7293+$C$7278*I7294</f>
        <v>567.53536</v>
      </c>
      <c r="J7299" s="39" t="n">
        <f aca="false">$C$7270*J7292+$C$7274*J7293+$C$7278*J7294</f>
        <v>781.77344</v>
      </c>
      <c r="K7299" s="39" t="n">
        <f aca="false">$C$7270*K7292+$C$7274*K7293+$C$7278*K7294</f>
        <v>781.77344</v>
      </c>
      <c r="L7299" s="39" t="n">
        <f aca="false">$C$7270*L7292+$C$7274*L7293+$C$7278*L7294</f>
        <v>781.77344</v>
      </c>
      <c r="M7299" s="39" t="n">
        <f aca="false">$C$7270*M7292+$C$7274*M7293+$C$7278*M7294</f>
        <v>781.77344</v>
      </c>
      <c r="N7299" s="39" t="n">
        <f aca="false">$C$7270*N7292+$C$7274*N7293+$C$7278*N7294</f>
        <v>781.77344</v>
      </c>
      <c r="P7299" s="40" t="n">
        <f aca="false">F7299</f>
        <v>211.19616</v>
      </c>
      <c r="Q7299" s="40" t="n">
        <f aca="false">J7299</f>
        <v>781.77344</v>
      </c>
      <c r="R7299" s="40" t="n">
        <f aca="false">N7299</f>
        <v>781.77344</v>
      </c>
      <c r="S7299" s="41" t="n">
        <f aca="false">R7299</f>
        <v>781.77344</v>
      </c>
    </row>
    <row r="7300" customFormat="false" ht="15" hidden="false" customHeight="false" outlineLevel="0" collapsed="false">
      <c r="A7300" s="4" t="s">
        <v>487</v>
      </c>
      <c r="B7300" s="36" t="s">
        <v>485</v>
      </c>
      <c r="C7300" s="39" t="n">
        <f aca="false">$C$7271*C7292+$C$7275*C7293+$C$7279*C7294</f>
        <v>24.76992</v>
      </c>
      <c r="D7300" s="39" t="n">
        <f aca="false">$C$7271*D7292+$C$7275*D7293+$C$7279*D7294</f>
        <v>49.53984</v>
      </c>
      <c r="E7300" s="39" t="n">
        <f aca="false">$C$7271*E7292+$C$7275*E7293+$C$7279*E7294</f>
        <v>49.53984</v>
      </c>
      <c r="F7300" s="39" t="n">
        <f aca="false">$C$7271*F7292+$C$7275*F7293+$C$7279*F7294</f>
        <v>49.53984</v>
      </c>
      <c r="G7300" s="39" t="n">
        <f aca="false">$C$7271*G7292+$C$7275*G7293+$C$7279*G7294</f>
        <v>61.9248</v>
      </c>
      <c r="H7300" s="39" t="n">
        <f aca="false">$C$7271*H7292+$C$7275*H7293+$C$7279*H7294</f>
        <v>74.30976</v>
      </c>
      <c r="I7300" s="39" t="n">
        <f aca="false">$C$7271*I7292+$C$7275*I7293+$C$7279*I7294</f>
        <v>114.072</v>
      </c>
      <c r="J7300" s="39" t="n">
        <f aca="false">$C$7271*J7292+$C$7275*J7293+$C$7279*J7294</f>
        <v>153.83424</v>
      </c>
      <c r="K7300" s="39" t="n">
        <f aca="false">$C$7271*K7292+$C$7275*K7293+$C$7279*K7294</f>
        <v>153.83424</v>
      </c>
      <c r="L7300" s="39" t="n">
        <f aca="false">$C$7271*L7292+$C$7275*L7293+$C$7279*L7294</f>
        <v>153.83424</v>
      </c>
      <c r="M7300" s="39" t="n">
        <f aca="false">$C$7271*M7292+$C$7275*M7293+$C$7279*M7294</f>
        <v>153.83424</v>
      </c>
      <c r="N7300" s="39" t="n">
        <f aca="false">$C$7271*N7292+$C$7275*N7293+$C$7279*N7294</f>
        <v>153.83424</v>
      </c>
      <c r="P7300" s="40" t="n">
        <f aca="false">F7300</f>
        <v>49.53984</v>
      </c>
      <c r="Q7300" s="40" t="n">
        <f aca="false">J7300</f>
        <v>153.83424</v>
      </c>
      <c r="R7300" s="40" t="n">
        <f aca="false">N7300</f>
        <v>153.83424</v>
      </c>
      <c r="S7300" s="41" t="n">
        <f aca="false">R7300</f>
        <v>153.83424</v>
      </c>
    </row>
    <row r="7301" customFormat="false" ht="15" hidden="false" customHeight="false" outlineLevel="0" collapsed="false">
      <c r="A7301" s="4" t="s">
        <v>488</v>
      </c>
      <c r="B7301" s="36" t="s">
        <v>485</v>
      </c>
      <c r="C7301" s="39" t="n">
        <f aca="false">C7298+C7299+C7300</f>
        <v>551.88772352</v>
      </c>
      <c r="D7301" s="39" t="n">
        <f aca="false">D7298+D7299+D7300</f>
        <v>1103.77544704</v>
      </c>
      <c r="E7301" s="39" t="n">
        <f aca="false">E7298+E7299+E7300</f>
        <v>1103.77544704</v>
      </c>
      <c r="F7301" s="39" t="n">
        <f aca="false">F7298+F7299+F7300</f>
        <v>1103.77544704</v>
      </c>
      <c r="G7301" s="39" t="n">
        <f aca="false">G7298+G7299+G7300</f>
        <v>1493.49950176</v>
      </c>
      <c r="H7301" s="39" t="n">
        <f aca="false">H7298+H7299+H7300</f>
        <v>1883.22355648</v>
      </c>
      <c r="I7301" s="39" t="n">
        <f aca="false">I7298+I7299+I7300</f>
        <v>3167.61039616</v>
      </c>
      <c r="J7301" s="39" t="n">
        <f aca="false">J7298+J7299+J7300</f>
        <v>4451.99723584</v>
      </c>
      <c r="K7301" s="39" t="n">
        <f aca="false">K7298+K7299+K7300</f>
        <v>4451.99723584</v>
      </c>
      <c r="L7301" s="39" t="n">
        <f aca="false">L7298+L7299+L7300</f>
        <v>4451.99723584</v>
      </c>
      <c r="M7301" s="39" t="n">
        <f aca="false">M7298+M7299+M7300</f>
        <v>4451.99723584</v>
      </c>
      <c r="N7301" s="39" t="n">
        <f aca="false">N7298+N7299+N7300</f>
        <v>4451.99723584</v>
      </c>
      <c r="P7301" s="40" t="n">
        <f aca="false">F7301</f>
        <v>1103.77544704</v>
      </c>
      <c r="Q7301" s="40" t="n">
        <f aca="false">J7301</f>
        <v>4451.99723584</v>
      </c>
      <c r="R7301" s="40" t="n">
        <f aca="false">N7301</f>
        <v>4451.99723584</v>
      </c>
      <c r="S7301" s="41" t="n">
        <f aca="false">R7301</f>
        <v>4451.99723584</v>
      </c>
    </row>
    <row r="7302" customFormat="false" ht="15" hidden="false" customHeight="false" outlineLevel="0" collapsed="false">
      <c r="A7302" s="4" t="s">
        <v>489</v>
      </c>
      <c r="B7302" s="36" t="s">
        <v>485</v>
      </c>
      <c r="C7302" s="39" t="n">
        <f aca="false">$C$7272*C7292*C7295+$C$7276*C7293*C7296+$C$7280*C7294*C7297</f>
        <v>551.88772352</v>
      </c>
      <c r="D7302" s="39" t="n">
        <f aca="false">$C$7272*D7292*D7295+$C$7276*D7293*D7296+$C$7280*D7294*D7297</f>
        <v>1027.17879437302</v>
      </c>
      <c r="E7302" s="39" t="n">
        <f aca="false">$C$7272*E7292*E7295+$C$7276*E7293*E7296+$C$7280*E7294*E7297</f>
        <v>955.897577210165</v>
      </c>
      <c r="F7302" s="39" t="n">
        <f aca="false">$C$7272*F7292*F7295+$C$7276*F7293*F7296+$C$7280*F7294*F7297</f>
        <v>889.562930155704</v>
      </c>
      <c r="G7302" s="39" t="n">
        <f aca="false">$C$7272*G7292*G7295+$C$7276*G7293*G7296+$C$7280*G7294*G7297</f>
        <v>1217.55564</v>
      </c>
      <c r="H7302" s="39" t="n">
        <f aca="false">$C$7272*H7292*H7295+$C$7276*H7293*H7296+$C$7280*H7294*H7297</f>
        <v>1495.74229384257</v>
      </c>
      <c r="I7302" s="39" t="n">
        <f aca="false">$C$7272*I7292*I7295+$C$7276*I7293*I7296+$C$7280*I7294*I7297</f>
        <v>2676.33188629442</v>
      </c>
      <c r="J7302" s="39" t="n">
        <f aca="false">$C$7272*J7292*J7295+$C$7276*J7293*J7296+$C$7280*J7294*J7297</f>
        <v>3685.86409192847</v>
      </c>
      <c r="K7302" s="39" t="n">
        <f aca="false">$C$7272*K7292*K7295+$C$7276*K7293*K7296+$C$7280*K7294*K7297</f>
        <v>3430.08303393858</v>
      </c>
      <c r="L7302" s="39" t="n">
        <f aca="false">$C$7272*L7292*L7295+$C$7276*L7293*L7296+$C$7280*L7294*L7297</f>
        <v>3192.05193850692</v>
      </c>
      <c r="M7302" s="39" t="n">
        <f aca="false">$C$7272*M7292*M7295+$C$7276*M7293*M7296+$C$7280*M7294*M7297</f>
        <v>2970.53904448081</v>
      </c>
      <c r="N7302" s="39" t="n">
        <f aca="false">$C$7272*N7292*N7295+$C$7276*N7293*N7296+$C$7280*N7294*N7297</f>
        <v>2764.39806894635</v>
      </c>
      <c r="P7302" s="40"/>
      <c r="Q7302" s="40"/>
      <c r="R7302" s="40"/>
      <c r="S7302" s="41"/>
    </row>
    <row r="7303" customFormat="false" ht="15" hidden="false" customHeight="false" outlineLevel="0" collapsed="false">
      <c r="A7303" s="4" t="s">
        <v>490</v>
      </c>
      <c r="B7303" s="36" t="s">
        <v>491</v>
      </c>
      <c r="C7303" s="48" t="n">
        <f aca="false">$C$7284*Assumptions!$E$20*C7291*C7302</f>
        <v>6.62265268224</v>
      </c>
      <c r="D7303" s="48" t="n">
        <f aca="false">$C$7284*Assumptions!$E$20*D7291*D7302</f>
        <v>12.3261455324762</v>
      </c>
      <c r="E7303" s="48" t="n">
        <f aca="false">$C$7284*Assumptions!$E$20*E7291*E7302</f>
        <v>11.470770926522</v>
      </c>
      <c r="F7303" s="48" t="n">
        <f aca="false">$C$7284*Assumptions!$E$20*F7291*F7302</f>
        <v>10.6747551618685</v>
      </c>
      <c r="G7303" s="48" t="n">
        <f aca="false">$C$7284*Assumptions!$E$20*G7291*G7302</f>
        <v>14.61066768</v>
      </c>
      <c r="H7303" s="48" t="n">
        <f aca="false">$C$7284*Assumptions!$E$20*H7291*H7302</f>
        <v>17.9489075261109</v>
      </c>
      <c r="I7303" s="48" t="n">
        <f aca="false">$C$7284*Assumptions!$E$20*I7291*I7302</f>
        <v>32.115982635533</v>
      </c>
      <c r="J7303" s="48" t="n">
        <f aca="false">$C$7284*Assumptions!$E$20*J7291*J7302</f>
        <v>44.2303691031417</v>
      </c>
      <c r="K7303" s="48" t="n">
        <f aca="false">$C$7284*Assumptions!$E$20*K7291*K7302</f>
        <v>41.160996407263</v>
      </c>
      <c r="L7303" s="48" t="n">
        <f aca="false">$C$7284*Assumptions!$E$20*L7291*L7302</f>
        <v>38.304623262083</v>
      </c>
      <c r="M7303" s="48" t="n">
        <f aca="false">$C$7284*Assumptions!$E$20*M7291*M7302</f>
        <v>35.6464685337698</v>
      </c>
      <c r="N7303" s="48" t="n">
        <f aca="false">$C$7284*Assumptions!$E$20*N7291*N7302</f>
        <v>33.1727768273562</v>
      </c>
      <c r="P7303" s="49" t="n">
        <f aca="false">SUM(C7303:F7303)</f>
        <v>41.0943243031066</v>
      </c>
      <c r="Q7303" s="49" t="n">
        <f aca="false">SUM(G7303:J7303)</f>
        <v>108.905926944786</v>
      </c>
      <c r="R7303" s="49" t="n">
        <f aca="false">SUM(K7303:N7303)</f>
        <v>148.284865030472</v>
      </c>
      <c r="S7303" s="50" t="n">
        <f aca="false">SUM(P7303:R7303)</f>
        <v>298.285116278364</v>
      </c>
    </row>
    <row r="7304" customFormat="false" ht="15" hidden="false" customHeight="false" outlineLevel="0" collapsed="false">
      <c r="A7304" s="4" t="s">
        <v>492</v>
      </c>
      <c r="B7304" s="36" t="s">
        <v>321</v>
      </c>
      <c r="C7304" s="48" t="n">
        <f aca="false">Assumptions!$D$111</f>
        <v>0</v>
      </c>
      <c r="D7304" s="48" t="n">
        <f aca="false">Assumptions!$E$111</f>
        <v>0</v>
      </c>
      <c r="E7304" s="48" t="n">
        <f aca="false">Assumptions!$F$111</f>
        <v>0</v>
      </c>
      <c r="F7304" s="48" t="n">
        <f aca="false">Assumptions!$G$111</f>
        <v>0</v>
      </c>
      <c r="G7304" s="48" t="n">
        <f aca="false">Assumptions!$H$111</f>
        <v>0</v>
      </c>
      <c r="H7304" s="48" t="n">
        <f aca="false">Assumptions!$I$111</f>
        <v>0</v>
      </c>
      <c r="I7304" s="48" t="n">
        <f aca="false">Assumptions!$J$111</f>
        <v>0</v>
      </c>
      <c r="J7304" s="48" t="n">
        <f aca="false">Assumptions!$K$111</f>
        <v>0</v>
      </c>
      <c r="K7304" s="48" t="n">
        <f aca="false">Assumptions!$L$111</f>
        <v>0</v>
      </c>
      <c r="L7304" s="48" t="n">
        <f aca="false">Assumptions!$M$111</f>
        <v>0</v>
      </c>
      <c r="M7304" s="48" t="n">
        <f aca="false">Assumptions!$N$111</f>
        <v>0</v>
      </c>
      <c r="N7304" s="48" t="n">
        <f aca="false">Assumptions!$O$111</f>
        <v>0</v>
      </c>
      <c r="P7304" s="49" t="n">
        <f aca="false">F7304</f>
        <v>0</v>
      </c>
      <c r="Q7304" s="49" t="n">
        <f aca="false">J7304</f>
        <v>0</v>
      </c>
      <c r="R7304" s="49" t="n">
        <f aca="false">N7304</f>
        <v>0</v>
      </c>
      <c r="S7304" s="50" t="n">
        <f aca="false">R7304</f>
        <v>0</v>
      </c>
    </row>
    <row r="7305" customFormat="false" ht="15" hidden="false" customHeight="false" outlineLevel="0" collapsed="false">
      <c r="A7305" s="4" t="s">
        <v>493</v>
      </c>
      <c r="B7305" s="36" t="s">
        <v>321</v>
      </c>
      <c r="C7305" s="48" t="n">
        <f aca="false">0</f>
        <v>0</v>
      </c>
      <c r="D7305" s="48" t="n">
        <f aca="false">0.5*C7304</f>
        <v>0</v>
      </c>
      <c r="E7305" s="48" t="n">
        <f aca="false">C7304+0.5*(D7304-C7304)</f>
        <v>0</v>
      </c>
      <c r="F7305" s="48" t="n">
        <f aca="false">D7304+0.5*(E7304-D7304)</f>
        <v>0</v>
      </c>
      <c r="G7305" s="48" t="n">
        <f aca="false">E7304+0.5*(F7304-E7304)</f>
        <v>0</v>
      </c>
      <c r="H7305" s="48" t="n">
        <f aca="false">F7304+0.5*(G7304-F7304)</f>
        <v>0</v>
      </c>
      <c r="I7305" s="48" t="n">
        <f aca="false">G7304+0.5*(H7304-G7304)</f>
        <v>0</v>
      </c>
      <c r="J7305" s="48" t="n">
        <f aca="false">H7304+0.5*(I7304-H7304)</f>
        <v>0</v>
      </c>
      <c r="K7305" s="48" t="n">
        <f aca="false">I7304+0.5*(J7304-I7304)</f>
        <v>0</v>
      </c>
      <c r="L7305" s="48" t="n">
        <f aca="false">J7304+0.5*(K7304-J7304)</f>
        <v>0</v>
      </c>
      <c r="M7305" s="48" t="n">
        <f aca="false">K7304+0.5*(L7304-K7304)</f>
        <v>0</v>
      </c>
      <c r="N7305" s="48" t="n">
        <f aca="false">L7304+0.5*(M7304-L7304)</f>
        <v>0</v>
      </c>
      <c r="P7305" s="49" t="n">
        <f aca="false">F7305</f>
        <v>0</v>
      </c>
      <c r="Q7305" s="49" t="n">
        <f aca="false">J7305</f>
        <v>0</v>
      </c>
      <c r="R7305" s="49" t="n">
        <f aca="false">N7305</f>
        <v>0</v>
      </c>
      <c r="S7305" s="50" t="n">
        <f aca="false">R7305</f>
        <v>0</v>
      </c>
    </row>
    <row r="7306" customFormat="false" ht="15" hidden="false" customHeight="false" outlineLevel="0" collapsed="false">
      <c r="A7306" s="4" t="s">
        <v>494</v>
      </c>
      <c r="B7306" s="36" t="s">
        <v>485</v>
      </c>
      <c r="C7306" s="39" t="n">
        <f aca="false">MIN(C7305*Assumptions!$E$38,C7301*(1-$C$7284))</f>
        <v>0</v>
      </c>
      <c r="D7306" s="39" t="n">
        <f aca="false">MIN(D7305*Assumptions!$E$38,D7301*(1-$C$7284))</f>
        <v>0</v>
      </c>
      <c r="E7306" s="39" t="n">
        <f aca="false">MIN(E7305*Assumptions!$E$38,E7301*(1-$C$7284))</f>
        <v>0</v>
      </c>
      <c r="F7306" s="39" t="n">
        <f aca="false">MIN(F7305*Assumptions!$E$38,F7301*(1-$C$7284))</f>
        <v>0</v>
      </c>
      <c r="G7306" s="39" t="n">
        <f aca="false">MIN(G7305*Assumptions!$E$38,G7301*(1-$C$7284))</f>
        <v>0</v>
      </c>
      <c r="H7306" s="39" t="n">
        <f aca="false">MIN(H7305*Assumptions!$E$38,H7301*(1-$C$7284))</f>
        <v>0</v>
      </c>
      <c r="I7306" s="39" t="n">
        <f aca="false">MIN(I7305*Assumptions!$E$38,I7301*(1-$C$7284))</f>
        <v>0</v>
      </c>
      <c r="J7306" s="39" t="n">
        <f aca="false">MIN(J7305*Assumptions!$E$38,J7301*(1-$C$7284))</f>
        <v>0</v>
      </c>
      <c r="K7306" s="39" t="n">
        <f aca="false">MIN(K7305*Assumptions!$E$38,K7301*(1-$C$7284))</f>
        <v>0</v>
      </c>
      <c r="L7306" s="39" t="n">
        <f aca="false">MIN(L7305*Assumptions!$E$38,L7301*(1-$C$7284))</f>
        <v>0</v>
      </c>
      <c r="M7306" s="39" t="n">
        <f aca="false">MIN(M7305*Assumptions!$E$38,M7301*(1-$C$7284))</f>
        <v>0</v>
      </c>
      <c r="N7306" s="39" t="n">
        <f aca="false">MIN(N7305*Assumptions!$E$38,N7301*(1-$C$7284))</f>
        <v>0</v>
      </c>
      <c r="P7306" s="40" t="n">
        <f aca="false">SUM(C7306:F7306)</f>
        <v>0</v>
      </c>
      <c r="Q7306" s="40" t="n">
        <f aca="false">SUM(G7306:J7306)</f>
        <v>0</v>
      </c>
      <c r="R7306" s="40" t="n">
        <f aca="false">SUM(K7306:N7306)</f>
        <v>0</v>
      </c>
      <c r="S7306" s="41" t="n">
        <f aca="false">SUM(P7306:R7306)</f>
        <v>0</v>
      </c>
    </row>
    <row r="7307" customFormat="false" ht="15" hidden="false" customHeight="false" outlineLevel="0" collapsed="false">
      <c r="A7307" s="4" t="s">
        <v>495</v>
      </c>
      <c r="B7307" s="36" t="s">
        <v>491</v>
      </c>
      <c r="C7307" s="48" t="n">
        <f aca="false">C7306*Assumptions!$E$20*Assumptions!$E$39*IF(C7301&gt;0,C7302/C7301,0)*C7291</f>
        <v>0</v>
      </c>
      <c r="D7307" s="48" t="n">
        <f aca="false">D7306*Assumptions!$E$20*Assumptions!$E$39*IF(D7301&gt;0,D7302/D7301,0)*D7291</f>
        <v>0</v>
      </c>
      <c r="E7307" s="48" t="n">
        <f aca="false">E7306*Assumptions!$E$20*Assumptions!$E$39*IF(E7301&gt;0,E7302/E7301,0)*E7291</f>
        <v>0</v>
      </c>
      <c r="F7307" s="48" t="n">
        <f aca="false">F7306*Assumptions!$E$20*Assumptions!$E$39*IF(F7301&gt;0,F7302/F7301,0)*F7291</f>
        <v>0</v>
      </c>
      <c r="G7307" s="48" t="n">
        <f aca="false">G7306*Assumptions!$E$20*Assumptions!$E$39*IF(G7301&gt;0,G7302/G7301,0)*G7291</f>
        <v>0</v>
      </c>
      <c r="H7307" s="48" t="n">
        <f aca="false">H7306*Assumptions!$E$20*Assumptions!$E$39*IF(H7301&gt;0,H7302/H7301,0)*H7291</f>
        <v>0</v>
      </c>
      <c r="I7307" s="48" t="n">
        <f aca="false">I7306*Assumptions!$E$20*Assumptions!$E$39*IF(I7301&gt;0,I7302/I7301,0)*I7291</f>
        <v>0</v>
      </c>
      <c r="J7307" s="48" t="n">
        <f aca="false">J7306*Assumptions!$E$20*Assumptions!$E$39*IF(J7301&gt;0,J7302/J7301,0)*J7291</f>
        <v>0</v>
      </c>
      <c r="K7307" s="48" t="n">
        <f aca="false">K7306*Assumptions!$E$20*Assumptions!$E$39*IF(K7301&gt;0,K7302/K7301,0)*K7291</f>
        <v>0</v>
      </c>
      <c r="L7307" s="48" t="n">
        <f aca="false">L7306*Assumptions!$E$20*Assumptions!$E$39*IF(L7301&gt;0,L7302/L7301,0)*L7291</f>
        <v>0</v>
      </c>
      <c r="M7307" s="48" t="n">
        <f aca="false">M7306*Assumptions!$E$20*Assumptions!$E$39*IF(M7301&gt;0,M7302/M7301,0)*M7291</f>
        <v>0</v>
      </c>
      <c r="N7307" s="48" t="n">
        <f aca="false">N7306*Assumptions!$E$20*Assumptions!$E$39*IF(N7301&gt;0,N7302/N7301,0)*N7291</f>
        <v>0</v>
      </c>
      <c r="P7307" s="49" t="n">
        <f aca="false">SUM(C7307:F7307)</f>
        <v>0</v>
      </c>
      <c r="Q7307" s="49" t="n">
        <f aca="false">SUM(G7307:J7307)</f>
        <v>0</v>
      </c>
      <c r="R7307" s="49" t="n">
        <f aca="false">SUM(K7307:N7307)</f>
        <v>0</v>
      </c>
      <c r="S7307" s="50" t="n">
        <f aca="false">SUM(P7307:R7307)</f>
        <v>0</v>
      </c>
    </row>
    <row r="7308" customFormat="false" ht="15" hidden="false" customHeight="false" outlineLevel="0" collapsed="false">
      <c r="A7308" s="4" t="s">
        <v>496</v>
      </c>
      <c r="B7308" s="36" t="s">
        <v>497</v>
      </c>
      <c r="C7308" s="48" t="n">
        <f aca="false">IF(AND(C7301&gt;0,$C$7288&gt;0),C7301*Assumptions!$E$24*(1-EXP(-$C$7288/(Assumptions!$E$23*C7301*Assumptions!$E$24))),0)</f>
        <v>0</v>
      </c>
      <c r="D7308" s="48" t="n">
        <f aca="false">IF(AND(D7301&gt;0,$C$7288&gt;0),D7301*Assumptions!$E$24*(1-EXP(-$C$7288/(Assumptions!$E$23*D7301*Assumptions!$E$24))),0)</f>
        <v>0</v>
      </c>
      <c r="E7308" s="48" t="n">
        <f aca="false">IF(AND(E7301&gt;0,$C$7288&gt;0),E7301*Assumptions!$E$24*(1-EXP(-$C$7288/(Assumptions!$E$23*E7301*Assumptions!$E$24))),0)</f>
        <v>0</v>
      </c>
      <c r="F7308" s="48" t="n">
        <f aca="false">IF(AND(F7301&gt;0,$C$7288&gt;0),F7301*Assumptions!$E$24*(1-EXP(-$C$7288/(Assumptions!$E$23*F7301*Assumptions!$E$24))),0)</f>
        <v>0</v>
      </c>
      <c r="G7308" s="48" t="n">
        <f aca="false">IF(AND(G7301&gt;0,$C$7288&gt;0),G7301*Assumptions!$E$24*(1-EXP(-$C$7288/(Assumptions!$E$23*G7301*Assumptions!$E$24))),0)</f>
        <v>0</v>
      </c>
      <c r="H7308" s="48" t="n">
        <f aca="false">IF(AND(H7301&gt;0,$C$7288&gt;0),H7301*Assumptions!$E$24*(1-EXP(-$C$7288/(Assumptions!$E$23*H7301*Assumptions!$E$24))),0)</f>
        <v>0</v>
      </c>
      <c r="I7308" s="48" t="n">
        <f aca="false">IF(AND(I7301&gt;0,$C$7288&gt;0),I7301*Assumptions!$E$24*(1-EXP(-$C$7288/(Assumptions!$E$23*I7301*Assumptions!$E$24))),0)</f>
        <v>0</v>
      </c>
      <c r="J7308" s="48" t="n">
        <f aca="false">IF(AND(J7301&gt;0,$C$7288&gt;0),J7301*Assumptions!$E$24*(1-EXP(-$C$7288/(Assumptions!$E$23*J7301*Assumptions!$E$24))),0)</f>
        <v>0</v>
      </c>
      <c r="K7308" s="48" t="n">
        <f aca="false">IF(AND(K7301&gt;0,$C$7288&gt;0),K7301*Assumptions!$E$24*(1-EXP(-$C$7288/(Assumptions!$E$23*K7301*Assumptions!$E$24))),0)</f>
        <v>0</v>
      </c>
      <c r="L7308" s="48" t="n">
        <f aca="false">IF(AND(L7301&gt;0,$C$7288&gt;0),L7301*Assumptions!$E$24*(1-EXP(-$C$7288/(Assumptions!$E$23*L7301*Assumptions!$E$24))),0)</f>
        <v>0</v>
      </c>
      <c r="M7308" s="48" t="n">
        <f aca="false">IF(AND(M7301&gt;0,$C$7288&gt;0),M7301*Assumptions!$E$24*(1-EXP(-$C$7288/(Assumptions!$E$23*M7301*Assumptions!$E$24))),0)</f>
        <v>0</v>
      </c>
      <c r="N7308" s="48" t="n">
        <f aca="false">IF(AND(N7301&gt;0,$C$7288&gt;0),N7301*Assumptions!$E$24*(1-EXP(-$C$7288/(Assumptions!$E$23*N7301*Assumptions!$E$24))),0)</f>
        <v>0</v>
      </c>
      <c r="P7308" s="49" t="n">
        <f aca="false">SUM(C7308:F7308)</f>
        <v>0</v>
      </c>
      <c r="Q7308" s="49" t="n">
        <f aca="false">SUM(G7308:J7308)</f>
        <v>0</v>
      </c>
      <c r="R7308" s="49" t="n">
        <f aca="false">SUM(K7308:N7308)</f>
        <v>0</v>
      </c>
      <c r="S7308" s="50" t="n">
        <f aca="false">SUM(P7308:R7308)</f>
        <v>0</v>
      </c>
    </row>
    <row r="7309" customFormat="false" ht="15" hidden="false" customHeight="false" outlineLevel="0" collapsed="false">
      <c r="A7309" s="4" t="s">
        <v>498</v>
      </c>
      <c r="B7309" s="36" t="s">
        <v>497</v>
      </c>
      <c r="C7309" s="48" t="n">
        <f aca="false">(C7301*Assumptions!$E$22*MIN(1,Assumptions!$D$103/Assumptions!$E$78)+C7308)*C7291</f>
        <v>5.5188772352</v>
      </c>
      <c r="D7309" s="48" t="n">
        <f aca="false">(D7301*Assumptions!$E$22*MIN(1,Assumptions!$D$103/Assumptions!$E$78)+D7308)*D7291</f>
        <v>11.0377544704</v>
      </c>
      <c r="E7309" s="48" t="n">
        <f aca="false">(E7301*Assumptions!$E$22*MIN(1,Assumptions!$D$103/Assumptions!$E$78)+E7308)*E7291</f>
        <v>11.0377544704</v>
      </c>
      <c r="F7309" s="48" t="n">
        <f aca="false">(F7301*Assumptions!$E$22*MIN(1,Assumptions!$D$103/Assumptions!$E$78)+F7308)*F7291</f>
        <v>11.0377544704</v>
      </c>
      <c r="G7309" s="48" t="n">
        <f aca="false">(G7301*Assumptions!$E$22*MIN(1,Assumptions!$D$103/Assumptions!$E$78)+G7308)*G7291</f>
        <v>14.9349950176</v>
      </c>
      <c r="H7309" s="48" t="n">
        <f aca="false">(H7301*Assumptions!$E$22*MIN(1,Assumptions!$D$103/Assumptions!$E$78)+H7308)*H7291</f>
        <v>18.8322355648</v>
      </c>
      <c r="I7309" s="48" t="n">
        <f aca="false">(I7301*Assumptions!$E$22*MIN(1,Assumptions!$D$103/Assumptions!$E$78)+I7308)*I7291</f>
        <v>31.6761039616</v>
      </c>
      <c r="J7309" s="48" t="n">
        <f aca="false">(J7301*Assumptions!$E$22*MIN(1,Assumptions!$D$103/Assumptions!$E$78)+J7308)*J7291</f>
        <v>44.5199723584</v>
      </c>
      <c r="K7309" s="48" t="n">
        <f aca="false">(K7301*Assumptions!$E$22*MIN(1,Assumptions!$D$103/Assumptions!$E$78)+K7308)*K7291</f>
        <v>44.5199723584</v>
      </c>
      <c r="L7309" s="48" t="n">
        <f aca="false">(L7301*Assumptions!$E$22*MIN(1,Assumptions!$D$103/Assumptions!$E$78)+L7308)*L7291</f>
        <v>44.5199723584</v>
      </c>
      <c r="M7309" s="48" t="n">
        <f aca="false">(M7301*Assumptions!$E$22*MIN(1,Assumptions!$D$103/Assumptions!$E$78)+M7308)*M7291</f>
        <v>44.5199723584</v>
      </c>
      <c r="N7309" s="48" t="n">
        <f aca="false">(N7301*Assumptions!$E$22*MIN(1,Assumptions!$D$103/Assumptions!$E$78)+N7308)*N7291</f>
        <v>44.5199723584</v>
      </c>
      <c r="P7309" s="49" t="n">
        <f aca="false">SUM(C7309:F7309)</f>
        <v>38.6321406464</v>
      </c>
      <c r="Q7309" s="49" t="n">
        <f aca="false">SUM(G7309:J7309)</f>
        <v>109.9633069024</v>
      </c>
      <c r="R7309" s="49" t="n">
        <f aca="false">SUM(K7309:N7309)</f>
        <v>178.0798894336</v>
      </c>
      <c r="S7309" s="50" t="n">
        <f aca="false">SUM(P7309:R7309)</f>
        <v>326.6753369824</v>
      </c>
    </row>
    <row r="7310" customFormat="false" ht="15" hidden="false" customHeight="false" outlineLevel="0" collapsed="false">
      <c r="A7310" s="4" t="s">
        <v>499</v>
      </c>
      <c r="B7310" s="36" t="s">
        <v>500</v>
      </c>
      <c r="C7310" s="48" t="n">
        <f aca="false">C7291*MIN(Assumptions!$E$27,Assumptions!$E$25+Assumptions!$E$26*(C7290-1))*Assumptions!$D$107</f>
        <v>2</v>
      </c>
      <c r="D7310" s="48" t="n">
        <f aca="false">D7291*MIN(Assumptions!$E$27,Assumptions!$E$25+Assumptions!$E$26*(D7290-1))*Assumptions!$D$107</f>
        <v>3</v>
      </c>
      <c r="E7310" s="48" t="n">
        <f aca="false">E7291*MIN(Assumptions!$E$27,Assumptions!$E$25+Assumptions!$E$26*(E7290-1))*Assumptions!$D$107</f>
        <v>4</v>
      </c>
      <c r="F7310" s="48" t="n">
        <f aca="false">F7291*MIN(Assumptions!$E$27,Assumptions!$E$25+Assumptions!$E$26*(F7290-1))*Assumptions!$D$107</f>
        <v>5</v>
      </c>
      <c r="G7310" s="48" t="n">
        <f aca="false">G7291*MIN(Assumptions!$E$27,Assumptions!$E$25+Assumptions!$E$26*(G7290-1))*Assumptions!$D$107</f>
        <v>6</v>
      </c>
      <c r="H7310" s="48" t="n">
        <f aca="false">H7291*MIN(Assumptions!$E$27,Assumptions!$E$25+Assumptions!$E$26*(H7290-1))*Assumptions!$D$107</f>
        <v>7</v>
      </c>
      <c r="I7310" s="48" t="n">
        <f aca="false">I7291*MIN(Assumptions!$E$27,Assumptions!$E$25+Assumptions!$E$26*(I7290-1))*Assumptions!$D$107</f>
        <v>8</v>
      </c>
      <c r="J7310" s="48" t="n">
        <f aca="false">J7291*MIN(Assumptions!$E$27,Assumptions!$E$25+Assumptions!$E$26*(J7290-1))*Assumptions!$D$107</f>
        <v>9</v>
      </c>
      <c r="K7310" s="48" t="n">
        <f aca="false">K7291*MIN(Assumptions!$E$27,Assumptions!$E$25+Assumptions!$E$26*(K7290-1))*Assumptions!$D$107</f>
        <v>10</v>
      </c>
      <c r="L7310" s="48" t="n">
        <f aca="false">L7291*MIN(Assumptions!$E$27,Assumptions!$E$25+Assumptions!$E$26*(L7290-1))*Assumptions!$D$107</f>
        <v>10</v>
      </c>
      <c r="M7310" s="48" t="n">
        <f aca="false">M7291*MIN(Assumptions!$E$27,Assumptions!$E$25+Assumptions!$E$26*(M7290-1))*Assumptions!$D$107</f>
        <v>10</v>
      </c>
      <c r="N7310" s="48" t="n">
        <f aca="false">N7291*MIN(Assumptions!$E$27,Assumptions!$E$25+Assumptions!$E$26*(N7290-1))*Assumptions!$D$107</f>
        <v>10</v>
      </c>
      <c r="P7310" s="49" t="n">
        <f aca="false">F7310</f>
        <v>5</v>
      </c>
      <c r="Q7310" s="49" t="n">
        <f aca="false">J7310</f>
        <v>9</v>
      </c>
      <c r="R7310" s="49" t="n">
        <f aca="false">N7310</f>
        <v>10</v>
      </c>
      <c r="S7310" s="50" t="n">
        <f aca="false">R7310</f>
        <v>10</v>
      </c>
    </row>
    <row r="7311" customFormat="false" ht="15" hidden="false" customHeight="false" outlineLevel="0" collapsed="false">
      <c r="A7311" s="4" t="s">
        <v>501</v>
      </c>
      <c r="B7311" s="36" t="s">
        <v>502</v>
      </c>
      <c r="C7311" s="48" t="n">
        <f aca="false">C7310*Assumptions!$E$28</f>
        <v>6</v>
      </c>
      <c r="D7311" s="48" t="n">
        <f aca="false">D7310*Assumptions!$E$28</f>
        <v>9</v>
      </c>
      <c r="E7311" s="48" t="n">
        <f aca="false">E7310*Assumptions!$E$28</f>
        <v>12</v>
      </c>
      <c r="F7311" s="48" t="n">
        <f aca="false">F7310*Assumptions!$E$28</f>
        <v>15</v>
      </c>
      <c r="G7311" s="48" t="n">
        <f aca="false">G7310*Assumptions!$E$28</f>
        <v>18</v>
      </c>
      <c r="H7311" s="48" t="n">
        <f aca="false">H7310*Assumptions!$E$28</f>
        <v>21</v>
      </c>
      <c r="I7311" s="48" t="n">
        <f aca="false">I7310*Assumptions!$E$28</f>
        <v>24</v>
      </c>
      <c r="J7311" s="48" t="n">
        <f aca="false">J7310*Assumptions!$E$28</f>
        <v>27</v>
      </c>
      <c r="K7311" s="48" t="n">
        <f aca="false">K7310*Assumptions!$E$28</f>
        <v>30</v>
      </c>
      <c r="L7311" s="48" t="n">
        <f aca="false">L7310*Assumptions!$E$28</f>
        <v>30</v>
      </c>
      <c r="M7311" s="48" t="n">
        <f aca="false">M7310*Assumptions!$E$28</f>
        <v>30</v>
      </c>
      <c r="N7311" s="48" t="n">
        <f aca="false">N7310*Assumptions!$E$28</f>
        <v>30</v>
      </c>
      <c r="P7311" s="49" t="n">
        <f aca="false">SUM(C7311:F7311)</f>
        <v>42</v>
      </c>
      <c r="Q7311" s="49" t="n">
        <f aca="false">SUM(G7311:J7311)</f>
        <v>90</v>
      </c>
      <c r="R7311" s="49" t="n">
        <f aca="false">SUM(K7311:N7311)</f>
        <v>120</v>
      </c>
      <c r="S7311" s="50" t="n">
        <f aca="false">SUM(P7311:R7311)</f>
        <v>252</v>
      </c>
    </row>
    <row r="7312" customFormat="false" ht="15" hidden="false" customHeight="false" outlineLevel="0" collapsed="false">
      <c r="A7312" s="4" t="s">
        <v>503</v>
      </c>
      <c r="B7312" s="36" t="s">
        <v>504</v>
      </c>
      <c r="C7312" s="48" t="n">
        <f aca="false">(C7303+C7307)*Assumptions!$E$29</f>
        <v>2.649061072896</v>
      </c>
      <c r="D7312" s="48" t="n">
        <f aca="false">(D7303+D7307)*Assumptions!$E$29</f>
        <v>4.93045821299048</v>
      </c>
      <c r="E7312" s="48" t="n">
        <f aca="false">(E7303+E7307)*Assumptions!$E$29</f>
        <v>4.58830837060879</v>
      </c>
      <c r="F7312" s="48" t="n">
        <f aca="false">(F7303+F7307)*Assumptions!$E$29</f>
        <v>4.26990206474738</v>
      </c>
      <c r="G7312" s="48" t="n">
        <f aca="false">(G7303+G7307)*Assumptions!$E$29</f>
        <v>5.844267072</v>
      </c>
      <c r="H7312" s="48" t="n">
        <f aca="false">(H7303+H7307)*Assumptions!$E$29</f>
        <v>7.17956301044434</v>
      </c>
      <c r="I7312" s="48" t="n">
        <f aca="false">(I7303+I7307)*Assumptions!$E$29</f>
        <v>12.8463930542132</v>
      </c>
      <c r="J7312" s="48" t="n">
        <f aca="false">(J7303+J7307)*Assumptions!$E$29</f>
        <v>17.6921476412567</v>
      </c>
      <c r="K7312" s="48" t="n">
        <f aca="false">(K7303+K7307)*Assumptions!$E$29</f>
        <v>16.4643985629052</v>
      </c>
      <c r="L7312" s="48" t="n">
        <f aca="false">(L7303+L7307)*Assumptions!$E$29</f>
        <v>15.3218493048332</v>
      </c>
      <c r="M7312" s="48" t="n">
        <f aca="false">(M7303+M7307)*Assumptions!$E$29</f>
        <v>14.2585874135079</v>
      </c>
      <c r="N7312" s="48" t="n">
        <f aca="false">(N7303+N7307)*Assumptions!$E$29</f>
        <v>13.2691107309425</v>
      </c>
      <c r="P7312" s="49" t="n">
        <f aca="false">SUM(C7312:F7312)</f>
        <v>16.4377297212427</v>
      </c>
      <c r="Q7312" s="49" t="n">
        <f aca="false">SUM(G7312:J7312)</f>
        <v>43.5623707779142</v>
      </c>
      <c r="R7312" s="49" t="n">
        <f aca="false">SUM(K7312:N7312)</f>
        <v>59.3139460121888</v>
      </c>
      <c r="S7312" s="50" t="n">
        <f aca="false">SUM(P7312:R7312)</f>
        <v>119.314046511346</v>
      </c>
    </row>
    <row r="7313" customFormat="false" ht="15" hidden="false" customHeight="false" outlineLevel="0" collapsed="false">
      <c r="A7313" s="4" t="s">
        <v>505</v>
      </c>
      <c r="B7313" s="36" t="s">
        <v>504</v>
      </c>
      <c r="C7313" s="48" t="n">
        <f aca="false">C7309*Assumptions!$E$31</f>
        <v>0.883020357632</v>
      </c>
      <c r="D7313" s="48" t="n">
        <f aca="false">D7309*Assumptions!$E$31</f>
        <v>1.766040715264</v>
      </c>
      <c r="E7313" s="48" t="n">
        <f aca="false">E7309*Assumptions!$E$31</f>
        <v>1.766040715264</v>
      </c>
      <c r="F7313" s="48" t="n">
        <f aca="false">F7309*Assumptions!$E$31</f>
        <v>1.766040715264</v>
      </c>
      <c r="G7313" s="48" t="n">
        <f aca="false">G7309*Assumptions!$E$31</f>
        <v>2.389599202816</v>
      </c>
      <c r="H7313" s="48" t="n">
        <f aca="false">H7309*Assumptions!$E$31</f>
        <v>3.013157690368</v>
      </c>
      <c r="I7313" s="48" t="n">
        <f aca="false">I7309*Assumptions!$E$31</f>
        <v>5.068176633856</v>
      </c>
      <c r="J7313" s="48" t="n">
        <f aca="false">J7309*Assumptions!$E$31</f>
        <v>7.123195577344</v>
      </c>
      <c r="K7313" s="48" t="n">
        <f aca="false">K7309*Assumptions!$E$31</f>
        <v>7.123195577344</v>
      </c>
      <c r="L7313" s="48" t="n">
        <f aca="false">L7309*Assumptions!$E$31</f>
        <v>7.123195577344</v>
      </c>
      <c r="M7313" s="48" t="n">
        <f aca="false">M7309*Assumptions!$E$31</f>
        <v>7.123195577344</v>
      </c>
      <c r="N7313" s="48" t="n">
        <f aca="false">N7309*Assumptions!$E$31</f>
        <v>7.123195577344</v>
      </c>
      <c r="P7313" s="49" t="n">
        <f aca="false">SUM(C7313:F7313)</f>
        <v>6.181142503424</v>
      </c>
      <c r="Q7313" s="49" t="n">
        <f aca="false">SUM(G7313:J7313)</f>
        <v>17.594129104384</v>
      </c>
      <c r="R7313" s="49" t="n">
        <f aca="false">SUM(K7313:N7313)</f>
        <v>28.492782309376</v>
      </c>
      <c r="S7313" s="50" t="n">
        <f aca="false">SUM(P7313:R7313)</f>
        <v>52.268053917184</v>
      </c>
    </row>
    <row r="7314" customFormat="false" ht="15" hidden="false" customHeight="false" outlineLevel="0" collapsed="false">
      <c r="A7314" s="4" t="s">
        <v>506</v>
      </c>
      <c r="B7314" s="36" t="s">
        <v>504</v>
      </c>
      <c r="C7314" s="48" t="n">
        <f aca="false">C7311*Assumptions!$E$30</f>
        <v>3</v>
      </c>
      <c r="D7314" s="48" t="n">
        <f aca="false">D7311*Assumptions!$E$30</f>
        <v>4.5</v>
      </c>
      <c r="E7314" s="48" t="n">
        <f aca="false">E7311*Assumptions!$E$30</f>
        <v>6</v>
      </c>
      <c r="F7314" s="48" t="n">
        <f aca="false">F7311*Assumptions!$E$30</f>
        <v>7.5</v>
      </c>
      <c r="G7314" s="48" t="n">
        <f aca="false">G7311*Assumptions!$E$30</f>
        <v>9</v>
      </c>
      <c r="H7314" s="48" t="n">
        <f aca="false">H7311*Assumptions!$E$30</f>
        <v>10.5</v>
      </c>
      <c r="I7314" s="48" t="n">
        <f aca="false">I7311*Assumptions!$E$30</f>
        <v>12</v>
      </c>
      <c r="J7314" s="48" t="n">
        <f aca="false">J7311*Assumptions!$E$30</f>
        <v>13.5</v>
      </c>
      <c r="K7314" s="48" t="n">
        <f aca="false">K7311*Assumptions!$E$30</f>
        <v>15</v>
      </c>
      <c r="L7314" s="48" t="n">
        <f aca="false">L7311*Assumptions!$E$30</f>
        <v>15</v>
      </c>
      <c r="M7314" s="48" t="n">
        <f aca="false">M7311*Assumptions!$E$30</f>
        <v>15</v>
      </c>
      <c r="N7314" s="48" t="n">
        <f aca="false">N7311*Assumptions!$E$30</f>
        <v>15</v>
      </c>
      <c r="P7314" s="49" t="n">
        <f aca="false">SUM(C7314:F7314)</f>
        <v>21</v>
      </c>
      <c r="Q7314" s="49" t="n">
        <f aca="false">SUM(G7314:J7314)</f>
        <v>45</v>
      </c>
      <c r="R7314" s="49" t="n">
        <f aca="false">SUM(K7314:N7314)</f>
        <v>60</v>
      </c>
      <c r="S7314" s="50" t="n">
        <f aca="false">SUM(P7314:R7314)</f>
        <v>126</v>
      </c>
    </row>
    <row r="7315" customFormat="false" ht="15" hidden="false" customHeight="false" outlineLevel="0" collapsed="false">
      <c r="A7315" s="9" t="s">
        <v>507</v>
      </c>
      <c r="B7315" s="36" t="s">
        <v>504</v>
      </c>
      <c r="C7315" s="49" t="n">
        <f aca="false">C7312+C7313+C7314</f>
        <v>6.532081430528</v>
      </c>
      <c r="D7315" s="49" t="n">
        <f aca="false">D7312+D7313+D7314</f>
        <v>11.1964989282545</v>
      </c>
      <c r="E7315" s="49" t="n">
        <f aca="false">E7312+E7313+E7314</f>
        <v>12.3543490858728</v>
      </c>
      <c r="F7315" s="49" t="n">
        <f aca="false">F7312+F7313+F7314</f>
        <v>13.5359427800114</v>
      </c>
      <c r="G7315" s="49" t="n">
        <f aca="false">G7312+G7313+G7314</f>
        <v>17.233866274816</v>
      </c>
      <c r="H7315" s="49" t="n">
        <f aca="false">H7312+H7313+H7314</f>
        <v>20.6927207008123</v>
      </c>
      <c r="I7315" s="49" t="n">
        <f aca="false">I7312+I7313+I7314</f>
        <v>29.9145696880692</v>
      </c>
      <c r="J7315" s="49" t="n">
        <f aca="false">J7312+J7313+J7314</f>
        <v>38.3153432186007</v>
      </c>
      <c r="K7315" s="49" t="n">
        <f aca="false">K7312+K7313+K7314</f>
        <v>38.5875941402492</v>
      </c>
      <c r="L7315" s="49" t="n">
        <f aca="false">L7312+L7313+L7314</f>
        <v>37.4450448821772</v>
      </c>
      <c r="M7315" s="49" t="n">
        <f aca="false">M7312+M7313+M7314</f>
        <v>36.3817829908519</v>
      </c>
      <c r="N7315" s="49" t="n">
        <f aca="false">N7312+N7313+N7314</f>
        <v>35.3923063082865</v>
      </c>
      <c r="P7315" s="49" t="n">
        <f aca="false">SUM(C7315:F7315)</f>
        <v>43.6188722246667</v>
      </c>
      <c r="Q7315" s="49" t="n">
        <f aca="false">SUM(G7315:J7315)</f>
        <v>106.156499882298</v>
      </c>
      <c r="R7315" s="49" t="n">
        <f aca="false">SUM(K7315:N7315)</f>
        <v>147.806728321565</v>
      </c>
      <c r="S7315" s="50" t="n">
        <f aca="false">SUM(P7315:R7315)</f>
        <v>297.58210042853</v>
      </c>
    </row>
    <row r="7316" customFormat="false" ht="15" hidden="false" customHeight="false" outlineLevel="0" collapsed="false">
      <c r="A7316" s="4" t="s">
        <v>508</v>
      </c>
      <c r="B7316" s="36" t="s">
        <v>509</v>
      </c>
      <c r="C7316" s="48" t="n">
        <f aca="false">C7298</f>
        <v>421.51972352</v>
      </c>
      <c r="D7316" s="48" t="n">
        <f aca="false">D7298</f>
        <v>843.03944704</v>
      </c>
      <c r="E7316" s="48" t="n">
        <f aca="false">E7298</f>
        <v>843.03944704</v>
      </c>
      <c r="F7316" s="48" t="n">
        <f aca="false">F7298</f>
        <v>843.03944704</v>
      </c>
      <c r="G7316" s="48" t="n">
        <f aca="false">G7298</f>
        <v>1149.32798176</v>
      </c>
      <c r="H7316" s="48" t="n">
        <f aca="false">H7298</f>
        <v>1455.61651648</v>
      </c>
      <c r="I7316" s="48" t="n">
        <f aca="false">I7298</f>
        <v>2486.00303616</v>
      </c>
      <c r="J7316" s="48" t="n">
        <f aca="false">J7298</f>
        <v>3516.38955584</v>
      </c>
      <c r="K7316" s="48" t="n">
        <f aca="false">K7298</f>
        <v>3516.38955584</v>
      </c>
      <c r="L7316" s="48" t="n">
        <f aca="false">L7298</f>
        <v>3516.38955584</v>
      </c>
      <c r="M7316" s="48" t="n">
        <f aca="false">M7298</f>
        <v>3516.38955584</v>
      </c>
      <c r="N7316" s="48" t="n">
        <f aca="false">N7298</f>
        <v>3516.38955584</v>
      </c>
      <c r="P7316" s="49"/>
      <c r="Q7316" s="49"/>
      <c r="R7316" s="49"/>
      <c r="S7316" s="50"/>
    </row>
    <row r="7317" customFormat="false" ht="15" hidden="false" customHeight="false" outlineLevel="0" collapsed="false">
      <c r="A7317" s="4" t="s">
        <v>510</v>
      </c>
      <c r="B7317" s="36" t="s">
        <v>509</v>
      </c>
      <c r="C7317" s="48" t="n">
        <f aca="false">C7299*Assumptions!$E$18*Assumptions!$E$33</f>
        <v>211.19616</v>
      </c>
      <c r="D7317" s="48" t="n">
        <f aca="false">D7299*Assumptions!$E$18*Assumptions!$E$33</f>
        <v>422.39232</v>
      </c>
      <c r="E7317" s="48" t="n">
        <f aca="false">E7299*Assumptions!$E$18*Assumptions!$E$33</f>
        <v>422.39232</v>
      </c>
      <c r="F7317" s="48" t="n">
        <f aca="false">F7299*Assumptions!$E$18*Assumptions!$E$33</f>
        <v>422.39232</v>
      </c>
      <c r="G7317" s="48" t="n">
        <f aca="false">G7299*Assumptions!$E$18*Assumptions!$E$33</f>
        <v>564.49344</v>
      </c>
      <c r="H7317" s="48" t="n">
        <f aca="false">H7299*Assumptions!$E$18*Assumptions!$E$33</f>
        <v>706.59456</v>
      </c>
      <c r="I7317" s="48" t="n">
        <f aca="false">I7299*Assumptions!$E$18*Assumptions!$E$33</f>
        <v>1135.07072</v>
      </c>
      <c r="J7317" s="48" t="n">
        <f aca="false">J7299*Assumptions!$E$18*Assumptions!$E$33</f>
        <v>1563.54688</v>
      </c>
      <c r="K7317" s="48" t="n">
        <f aca="false">K7299*Assumptions!$E$18*Assumptions!$E$33</f>
        <v>1563.54688</v>
      </c>
      <c r="L7317" s="48" t="n">
        <f aca="false">L7299*Assumptions!$E$18*Assumptions!$E$33</f>
        <v>1563.54688</v>
      </c>
      <c r="M7317" s="48" t="n">
        <f aca="false">M7299*Assumptions!$E$18*Assumptions!$E$33</f>
        <v>1563.54688</v>
      </c>
      <c r="N7317" s="48" t="n">
        <f aca="false">N7299*Assumptions!$E$18*Assumptions!$E$33</f>
        <v>1563.54688</v>
      </c>
      <c r="P7317" s="49"/>
      <c r="Q7317" s="49"/>
      <c r="R7317" s="49"/>
      <c r="S7317" s="50"/>
    </row>
    <row r="7318" customFormat="false" ht="15" hidden="false" customHeight="false" outlineLevel="0" collapsed="false">
      <c r="A7318" s="4" t="s">
        <v>511</v>
      </c>
      <c r="B7318" s="36" t="s">
        <v>509</v>
      </c>
      <c r="C7318" s="48" t="n">
        <f aca="false">C7300*Assumptions!$E$19*Assumptions!$E$34</f>
        <v>34.677888</v>
      </c>
      <c r="D7318" s="48" t="n">
        <f aca="false">D7300*Assumptions!$E$19*Assumptions!$E$34</f>
        <v>69.355776</v>
      </c>
      <c r="E7318" s="48" t="n">
        <f aca="false">E7300*Assumptions!$E$19*Assumptions!$E$34</f>
        <v>69.355776</v>
      </c>
      <c r="F7318" s="48" t="n">
        <f aca="false">F7300*Assumptions!$E$19*Assumptions!$E$34</f>
        <v>69.355776</v>
      </c>
      <c r="G7318" s="48" t="n">
        <f aca="false">G7300*Assumptions!$E$19*Assumptions!$E$34</f>
        <v>86.69472</v>
      </c>
      <c r="H7318" s="48" t="n">
        <f aca="false">H7300*Assumptions!$E$19*Assumptions!$E$34</f>
        <v>104.033664</v>
      </c>
      <c r="I7318" s="48" t="n">
        <f aca="false">I7300*Assumptions!$E$19*Assumptions!$E$34</f>
        <v>159.7008</v>
      </c>
      <c r="J7318" s="48" t="n">
        <f aca="false">J7300*Assumptions!$E$19*Assumptions!$E$34</f>
        <v>215.367936</v>
      </c>
      <c r="K7318" s="48" t="n">
        <f aca="false">K7300*Assumptions!$E$19*Assumptions!$E$34</f>
        <v>215.367936</v>
      </c>
      <c r="L7318" s="48" t="n">
        <f aca="false">L7300*Assumptions!$E$19*Assumptions!$E$34</f>
        <v>215.367936</v>
      </c>
      <c r="M7318" s="48" t="n">
        <f aca="false">M7300*Assumptions!$E$19*Assumptions!$E$34</f>
        <v>215.367936</v>
      </c>
      <c r="N7318" s="48" t="n">
        <f aca="false">N7300*Assumptions!$E$19*Assumptions!$E$34</f>
        <v>215.367936</v>
      </c>
      <c r="P7318" s="49"/>
      <c r="Q7318" s="49"/>
      <c r="R7318" s="49"/>
      <c r="S7318" s="50"/>
    </row>
    <row r="7319" customFormat="false" ht="15" hidden="false" customHeight="false" outlineLevel="0" collapsed="false">
      <c r="A7319" s="4" t="s">
        <v>512</v>
      </c>
      <c r="B7319" s="36" t="s">
        <v>77</v>
      </c>
      <c r="C7319" s="51" t="n">
        <f aca="false">IFERROR(C7316/(C7316+C7317+C7318),0)</f>
        <v>0.631590736245533</v>
      </c>
      <c r="D7319" s="51" t="n">
        <f aca="false">IFERROR(D7316/(D7316+D7317+D7318),0)</f>
        <v>0.631590736245533</v>
      </c>
      <c r="E7319" s="51" t="n">
        <f aca="false">IFERROR(E7316/(E7316+E7317+E7318),0)</f>
        <v>0.631590736245533</v>
      </c>
      <c r="F7319" s="51" t="n">
        <f aca="false">IFERROR(F7316/(F7316+F7317+F7318),0)</f>
        <v>0.631590736245533</v>
      </c>
      <c r="G7319" s="51" t="n">
        <f aca="false">IFERROR(G7316/(G7316+G7317+G7318),0)</f>
        <v>0.638332506498128</v>
      </c>
      <c r="H7319" s="51" t="n">
        <f aca="false">IFERROR(H7316/(H7316+H7317+H7318),0)</f>
        <v>0.642303318118984</v>
      </c>
      <c r="I7319" s="51" t="n">
        <f aca="false">IFERROR(I7316/(I7316+I7317+I7318),0)</f>
        <v>0.657538025405288</v>
      </c>
      <c r="J7319" s="51" t="n">
        <f aca="false">IFERROR(J7316/(J7316+J7317+J7318),0)</f>
        <v>0.664058061428891</v>
      </c>
      <c r="K7319" s="51" t="n">
        <f aca="false">IFERROR(K7316/(K7316+K7317+K7318),0)</f>
        <v>0.664058061428891</v>
      </c>
      <c r="L7319" s="51" t="n">
        <f aca="false">IFERROR(L7316/(L7316+L7317+L7318),0)</f>
        <v>0.664058061428891</v>
      </c>
      <c r="M7319" s="51" t="n">
        <f aca="false">IFERROR(M7316/(M7316+M7317+M7318),0)</f>
        <v>0.664058061428891</v>
      </c>
      <c r="N7319" s="51" t="n">
        <f aca="false">IFERROR(N7316/(N7316+N7317+N7318),0)</f>
        <v>0.664058061428891</v>
      </c>
      <c r="P7319" s="52"/>
      <c r="Q7319" s="52"/>
      <c r="R7319" s="52"/>
      <c r="S7319" s="53"/>
    </row>
    <row r="7320" customFormat="false" ht="15" hidden="false" customHeight="false" outlineLevel="0" collapsed="false">
      <c r="A7320" s="4" t="s">
        <v>513</v>
      </c>
      <c r="B7320" s="36" t="s">
        <v>77</v>
      </c>
      <c r="C7320" s="51" t="n">
        <f aca="false">IFERROR(C7317/(C7316+C7317+C7318),0)</f>
        <v>0.316449102482628</v>
      </c>
      <c r="D7320" s="51" t="n">
        <f aca="false">IFERROR(D7317/(D7316+D7317+D7318),0)</f>
        <v>0.316449102482628</v>
      </c>
      <c r="E7320" s="51" t="n">
        <f aca="false">IFERROR(E7317/(E7316+E7317+E7318),0)</f>
        <v>0.316449102482628</v>
      </c>
      <c r="F7320" s="51" t="n">
        <f aca="false">IFERROR(F7317/(F7316+F7317+F7318),0)</f>
        <v>0.316449102482628</v>
      </c>
      <c r="G7320" s="51" t="n">
        <f aca="false">IFERROR(G7317/(G7316+G7317+G7318),0)</f>
        <v>0.313517566939561</v>
      </c>
      <c r="H7320" s="51" t="n">
        <f aca="false">IFERROR(H7317/(H7316+H7317+H7318),0)</f>
        <v>0.311790932099567</v>
      </c>
      <c r="I7320" s="51" t="n">
        <f aca="false">IFERROR(I7317/(I7316+I7317+I7318),0)</f>
        <v>0.300221741111391</v>
      </c>
      <c r="J7320" s="51" t="n">
        <f aca="false">IFERROR(J7317/(J7316+J7317+J7318),0)</f>
        <v>0.295270445324128</v>
      </c>
      <c r="K7320" s="51" t="n">
        <f aca="false">IFERROR(K7317/(K7316+K7317+K7318),0)</f>
        <v>0.295270445324128</v>
      </c>
      <c r="L7320" s="51" t="n">
        <f aca="false">IFERROR(L7317/(L7316+L7317+L7318),0)</f>
        <v>0.295270445324128</v>
      </c>
      <c r="M7320" s="51" t="n">
        <f aca="false">IFERROR(M7317/(M7316+M7317+M7318),0)</f>
        <v>0.295270445324128</v>
      </c>
      <c r="N7320" s="51" t="n">
        <f aca="false">IFERROR(N7317/(N7316+N7317+N7318),0)</f>
        <v>0.295270445324128</v>
      </c>
      <c r="P7320" s="52"/>
      <c r="Q7320" s="52"/>
      <c r="R7320" s="52"/>
      <c r="S7320" s="53"/>
    </row>
    <row r="7321" customFormat="false" ht="15" hidden="false" customHeight="false" outlineLevel="0" collapsed="false">
      <c r="A7321" s="4" t="s">
        <v>514</v>
      </c>
      <c r="B7321" s="36" t="s">
        <v>77</v>
      </c>
      <c r="C7321" s="51" t="n">
        <f aca="false">IFERROR(C7318/(C7316+C7317+C7318),0)</f>
        <v>0.0519601612718389</v>
      </c>
      <c r="D7321" s="51" t="n">
        <f aca="false">IFERROR(D7318/(D7316+D7317+D7318),0)</f>
        <v>0.0519601612718389</v>
      </c>
      <c r="E7321" s="51" t="n">
        <f aca="false">IFERROR(E7318/(E7316+E7317+E7318),0)</f>
        <v>0.0519601612718389</v>
      </c>
      <c r="F7321" s="51" t="n">
        <f aca="false">IFERROR(F7318/(F7316+F7317+F7318),0)</f>
        <v>0.0519601612718389</v>
      </c>
      <c r="G7321" s="51" t="n">
        <f aca="false">IFERROR(G7318/(G7316+G7317+G7318),0)</f>
        <v>0.0481499265623113</v>
      </c>
      <c r="H7321" s="51" t="n">
        <f aca="false">IFERROR(H7318/(H7316+H7317+H7318),0)</f>
        <v>0.0459057497814491</v>
      </c>
      <c r="I7321" s="51" t="n">
        <f aca="false">IFERROR(I7318/(I7316+I7317+I7318),0)</f>
        <v>0.0422402334833216</v>
      </c>
      <c r="J7321" s="51" t="n">
        <f aca="false">IFERROR(J7318/(J7316+J7317+J7318),0)</f>
        <v>0.0406714932469811</v>
      </c>
      <c r="K7321" s="51" t="n">
        <f aca="false">IFERROR(K7318/(K7316+K7317+K7318),0)</f>
        <v>0.0406714932469811</v>
      </c>
      <c r="L7321" s="51" t="n">
        <f aca="false">IFERROR(L7318/(L7316+L7317+L7318),0)</f>
        <v>0.0406714932469811</v>
      </c>
      <c r="M7321" s="51" t="n">
        <f aca="false">IFERROR(M7318/(M7316+M7317+M7318),0)</f>
        <v>0.0406714932469811</v>
      </c>
      <c r="N7321" s="51" t="n">
        <f aca="false">IFERROR(N7318/(N7316+N7317+N7318),0)</f>
        <v>0.0406714932469811</v>
      </c>
      <c r="P7321" s="52"/>
      <c r="Q7321" s="52"/>
      <c r="R7321" s="52"/>
      <c r="S7321" s="53"/>
    </row>
    <row r="7322" customFormat="false" ht="15" hidden="false" customHeight="false" outlineLevel="0" collapsed="false">
      <c r="A7322" s="4" t="s">
        <v>515</v>
      </c>
      <c r="B7322" s="36" t="s">
        <v>516</v>
      </c>
      <c r="C7322" s="48" t="n">
        <f aca="false">IF(C7290-Assumptions!$E$35&lt;1,0,INDEX($C$7315:$N$7315,1,C7290-Assumptions!$E$35)*INDEX($C$7319:$N$7319,1,C7290-Assumptions!$E$35)*Assumptions!$E$32)</f>
        <v>0</v>
      </c>
      <c r="D7322" s="48" t="n">
        <f aca="false">IF(D7290-Assumptions!$E$35&lt;1,0,INDEX($C$7315:$N$7315,1,D7290-Assumptions!$E$35)*INDEX($C$7319:$N$7319,1,D7290-Assumptions!$E$35)*Assumptions!$E$32)</f>
        <v>0.866376445183821</v>
      </c>
      <c r="E7322" s="48" t="n">
        <f aca="false">IF(E7290-Assumptions!$E$35&lt;1,0,INDEX($C$7315:$N$7315,1,E7290-Assumptions!$E$35)*INDEX($C$7319:$N$7319,1,E7290-Assumptions!$E$35)*Assumptions!$E$32)</f>
        <v>1.4850370503084</v>
      </c>
      <c r="F7322" s="48" t="n">
        <f aca="false">IF(F7290-Assumptions!$E$35&lt;1,0,INDEX($C$7315:$N$7315,1,F7290-Assumptions!$E$35)*INDEX($C$7319:$N$7319,1,F7290-Assumptions!$E$35)*Assumptions!$E$32)</f>
        <v>1.63860741134595</v>
      </c>
      <c r="G7322" s="48" t="n">
        <f aca="false">IF(G7290-Assumptions!$E$35&lt;1,0,INDEX($C$7315:$N$7315,1,G7290-Assumptions!$E$35)*INDEX($C$7319:$N$7319,1,G7290-Assumptions!$E$35)*Assumptions!$E$32)</f>
        <v>1.79532697390301</v>
      </c>
      <c r="H7322" s="48" t="n">
        <f aca="false">IF(H7290-Assumptions!$E$35&lt;1,0,INDEX($C$7315:$N$7315,1,H7290-Assumptions!$E$35)*INDEX($C$7319:$N$7319,1,H7290-Assumptions!$E$35)*Assumptions!$E$32)</f>
        <v>2.31019678172994</v>
      </c>
      <c r="I7322" s="48" t="n">
        <f aca="false">IF(I7290-Assumptions!$E$35&lt;1,0,INDEX($C$7315:$N$7315,1,I7290-Assumptions!$E$35)*INDEX($C$7319:$N$7319,1,I7290-Assumptions!$E$35)*Assumptions!$E$32)</f>
        <v>2.79111066507864</v>
      </c>
      <c r="J7322" s="48" t="n">
        <f aca="false">IF(J7290-Assumptions!$E$35&lt;1,0,INDEX($C$7315:$N$7315,1,J7290-Assumptions!$E$35)*INDEX($C$7319:$N$7319,1,J7290-Assumptions!$E$35)*Assumptions!$E$32)</f>
        <v>4.1306930875438</v>
      </c>
      <c r="K7322" s="48" t="n">
        <f aca="false">IF(K7290-Assumptions!$E$35&lt;1,0,INDEX($C$7315:$N$7315,1,K7290-Assumptions!$E$35)*INDEX($C$7319:$N$7319,1,K7290-Assumptions!$E$35)*Assumptions!$E$32)</f>
        <v>5.34315863355258</v>
      </c>
      <c r="L7322" s="48" t="n">
        <f aca="false">IF(L7290-Assumptions!$E$35&lt;1,0,INDEX($C$7315:$N$7315,1,L7290-Assumptions!$E$35)*INDEX($C$7319:$N$7319,1,L7290-Assumptions!$E$35)*Assumptions!$E$32)</f>
        <v>5.38112462159553</v>
      </c>
      <c r="M7322" s="48" t="n">
        <f aca="false">IF(M7290-Assumptions!$E$35&lt;1,0,INDEX($C$7315:$N$7315,1,M7290-Assumptions!$E$35)*INDEX($C$7319:$N$7319,1,M7290-Assumptions!$E$35)*Assumptions!$E$32)</f>
        <v>5.22179362206104</v>
      </c>
      <c r="N7322" s="48" t="n">
        <f aca="false">IF(N7290-Assumptions!$E$35&lt;1,0,INDEX($C$7315:$N$7315,1,N7290-Assumptions!$E$35)*INDEX($C$7319:$N$7319,1,N7290-Assumptions!$E$35)*Assumptions!$E$32)</f>
        <v>5.07351941968866</v>
      </c>
      <c r="P7322" s="49" t="n">
        <f aca="false">SUM(C7322:F7322)</f>
        <v>3.99002090683817</v>
      </c>
      <c r="Q7322" s="49" t="n">
        <f aca="false">SUM(G7322:J7322)</f>
        <v>11.0273275082554</v>
      </c>
      <c r="R7322" s="49" t="n">
        <f aca="false">SUM(K7322:N7322)</f>
        <v>21.0195962968978</v>
      </c>
      <c r="S7322" s="50" t="n">
        <f aca="false">SUM(P7322:R7322)</f>
        <v>36.0369447119914</v>
      </c>
    </row>
    <row r="7323" customFormat="false" ht="15" hidden="false" customHeight="false" outlineLevel="0" collapsed="false">
      <c r="A7323" s="4" t="s">
        <v>517</v>
      </c>
      <c r="B7323" s="36" t="s">
        <v>516</v>
      </c>
      <c r="C7323" s="48" t="n">
        <f aca="false">IF(C7290-Assumptions!$E$35&lt;1,0,INDEX($C$7315:$N$7315,1,C7290-Assumptions!$E$35)*INDEX($C$7320:$N$7320,1,C7290-Assumptions!$E$35)*Assumptions!$E$32)</f>
        <v>0</v>
      </c>
      <c r="D7323" s="48" t="n">
        <f aca="false">IF(D7290-Assumptions!$E$35&lt;1,0,INDEX($C$7315:$N$7315,1,D7290-Assumptions!$E$35)*INDEX($C$7320:$N$7320,1,D7290-Assumptions!$E$35)*Assumptions!$E$32)</f>
        <v>0.434084974267145</v>
      </c>
      <c r="E7323" s="48" t="n">
        <f aca="false">IF(E7290-Assumptions!$E$35&lt;1,0,INDEX($C$7315:$N$7315,1,E7290-Assumptions!$E$35)*INDEX($C$7320:$N$7320,1,E7290-Assumptions!$E$35)*Assumptions!$E$32)</f>
        <v>0.744055627726705</v>
      </c>
      <c r="F7323" s="48" t="n">
        <f aca="false">IF(F7290-Assumptions!$E$35&lt;1,0,INDEX($C$7315:$N$7315,1,F7290-Assumptions!$E$35)*INDEX($C$7320:$N$7320,1,F7290-Assumptions!$E$35)*Assumptions!$E$32)</f>
        <v>0.820999762796119</v>
      </c>
      <c r="G7323" s="48" t="n">
        <f aca="false">IF(G7290-Assumptions!$E$35&lt;1,0,INDEX($C$7315:$N$7315,1,G7290-Assumptions!$E$35)*INDEX($C$7320:$N$7320,1,G7290-Assumptions!$E$35)*Assumptions!$E$32)</f>
        <v>0.89952175823807</v>
      </c>
      <c r="H7323" s="48" t="n">
        <f aca="false">IF(H7290-Assumptions!$E$35&lt;1,0,INDEX($C$7315:$N$7315,1,H7290-Assumptions!$E$35)*INDEX($C$7320:$N$7320,1,H7290-Assumptions!$E$35)*Assumptions!$E$32)</f>
        <v>1.13465516292283</v>
      </c>
      <c r="I7323" s="48" t="n">
        <f aca="false">IF(I7290-Assumptions!$E$35&lt;1,0,INDEX($C$7315:$N$7315,1,I7290-Assumptions!$E$35)*INDEX($C$7320:$N$7320,1,I7290-Assumptions!$E$35)*Assumptions!$E$32)</f>
        <v>1.35487856174628</v>
      </c>
      <c r="J7323" s="48" t="n">
        <f aca="false">IF(J7290-Assumptions!$E$35&lt;1,0,INDEX($C$7315:$N$7315,1,J7290-Assumptions!$E$35)*INDEX($C$7320:$N$7320,1,J7290-Assumptions!$E$35)*Assumptions!$E$32)</f>
        <v>1.88601088123353</v>
      </c>
      <c r="K7323" s="48" t="n">
        <f aca="false">IF(K7290-Assumptions!$E$35&lt;1,0,INDEX($C$7315:$N$7315,1,K7290-Assumptions!$E$35)*INDEX($C$7320:$N$7320,1,K7290-Assumptions!$E$35)*Assumptions!$E$32)</f>
        <v>2.37581157552964</v>
      </c>
      <c r="L7323" s="48" t="n">
        <f aca="false">IF(L7290-Assumptions!$E$35&lt;1,0,INDEX($C$7315:$N$7315,1,L7290-Assumptions!$E$35)*INDEX($C$7320:$N$7320,1,L7290-Assumptions!$E$35)*Assumptions!$E$32)</f>
        <v>2.3926929822134</v>
      </c>
      <c r="M7323" s="48" t="n">
        <f aca="false">IF(M7290-Assumptions!$E$35&lt;1,0,INDEX($C$7315:$N$7315,1,M7290-Assumptions!$E$35)*INDEX($C$7320:$N$7320,1,M7290-Assumptions!$E$35)*Assumptions!$E$32)</f>
        <v>2.32184716628391</v>
      </c>
      <c r="N7323" s="48" t="n">
        <f aca="false">IF(N7290-Assumptions!$E$35&lt;1,0,INDEX($C$7315:$N$7315,1,N7290-Assumptions!$E$35)*INDEX($C$7320:$N$7320,1,N7290-Assumptions!$E$35)*Assumptions!$E$32)</f>
        <v>2.25591770573287</v>
      </c>
      <c r="P7323" s="49" t="n">
        <f aca="false">SUM(C7323:F7323)</f>
        <v>1.99914036478997</v>
      </c>
      <c r="Q7323" s="49" t="n">
        <f aca="false">SUM(G7323:J7323)</f>
        <v>5.27506636414072</v>
      </c>
      <c r="R7323" s="49" t="n">
        <f aca="false">SUM(K7323:N7323)</f>
        <v>9.34626942975982</v>
      </c>
      <c r="S7323" s="50" t="n">
        <f aca="false">SUM(P7323:R7323)</f>
        <v>16.6204761586905</v>
      </c>
    </row>
    <row r="7324" customFormat="false" ht="15" hidden="false" customHeight="false" outlineLevel="0" collapsed="false">
      <c r="A7324" s="4" t="s">
        <v>518</v>
      </c>
      <c r="B7324" s="36" t="s">
        <v>516</v>
      </c>
      <c r="C7324" s="48" t="n">
        <f aca="false">IF(C7290-Assumptions!$E$36&lt;1,0,INDEX($C$7315:$N$7315,1,C7290-Assumptions!$E$36)*INDEX($C$7321:$N$7321,1,C7290-Assumptions!$E$36)*Assumptions!$E$32)</f>
        <v>0</v>
      </c>
      <c r="D7324" s="48" t="n">
        <f aca="false">IF(D7290-Assumptions!$E$36&lt;1,0,INDEX($C$7315:$N$7315,1,D7290-Assumptions!$E$36)*INDEX($C$7321:$N$7321,1,D7290-Assumptions!$E$36)*Assumptions!$E$32)</f>
        <v>0</v>
      </c>
      <c r="E7324" s="48" t="n">
        <f aca="false">IF(E7290-Assumptions!$E$36&lt;1,0,INDEX($C$7315:$N$7315,1,E7290-Assumptions!$E$36)*INDEX($C$7321:$N$7321,1,E7290-Assumptions!$E$36)*Assumptions!$E$32)</f>
        <v>0.071275680959914</v>
      </c>
      <c r="F7324" s="48" t="n">
        <f aca="false">IF(F7290-Assumptions!$E$36&lt;1,0,INDEX($C$7315:$N$7315,1,F7290-Assumptions!$E$36)*INDEX($C$7321:$N$7321,1,F7290-Assumptions!$E$36)*Assumptions!$E$32)</f>
        <v>0.122172096898336</v>
      </c>
      <c r="G7324" s="48" t="n">
        <f aca="false">IF(G7290-Assumptions!$E$36&lt;1,0,INDEX($C$7315:$N$7315,1,G7290-Assumptions!$E$36)*INDEX($C$7321:$N$7321,1,G7290-Assumptions!$E$36)*Assumptions!$E$32)</f>
        <v>0.134806133891215</v>
      </c>
      <c r="H7324" s="48" t="n">
        <f aca="false">IF(H7290-Assumptions!$E$36&lt;1,0,INDEX($C$7315:$N$7315,1,H7290-Assumptions!$E$36)*INDEX($C$7321:$N$7321,1,H7290-Assumptions!$E$36)*Assumptions!$E$32)</f>
        <v>0.147699251661313</v>
      </c>
      <c r="I7324" s="48" t="n">
        <f aca="false">IF(I7290-Assumptions!$E$36&lt;1,0,INDEX($C$7315:$N$7315,1,I7290-Assumptions!$E$36)*INDEX($C$7321:$N$7321,1,I7290-Assumptions!$E$36)*Assumptions!$E$32)</f>
        <v>0.174259973058587</v>
      </c>
      <c r="J7324" s="48" t="n">
        <f aca="false">IF(J7290-Assumptions!$E$36&lt;1,0,INDEX($C$7315:$N$7315,1,J7290-Assumptions!$E$36)*INDEX($C$7321:$N$7321,1,J7290-Assumptions!$E$36)*Assumptions!$E$32)</f>
        <v>0.19948212034567</v>
      </c>
      <c r="K7324" s="48" t="n">
        <f aca="false">IF(K7290-Assumptions!$E$36&lt;1,0,INDEX($C$7315:$N$7315,1,K7290-Assumptions!$E$36)*INDEX($C$7321:$N$7321,1,K7290-Assumptions!$E$36)*Assumptions!$E$32)</f>
        <v>0.265355665717199</v>
      </c>
      <c r="L7324" s="48" t="n">
        <f aca="false">IF(L7290-Assumptions!$E$36&lt;1,0,INDEX($C$7315:$N$7315,1,L7290-Assumptions!$E$36)*INDEX($C$7321:$N$7321,1,L7290-Assumptions!$E$36)*Assumptions!$E$32)</f>
        <v>0.327251866823927</v>
      </c>
      <c r="M7324" s="48" t="n">
        <f aca="false">IF(M7290-Assumptions!$E$36&lt;1,0,INDEX($C$7315:$N$7315,1,M7290-Assumptions!$E$36)*INDEX($C$7321:$N$7321,1,M7290-Assumptions!$E$36)*Assumptions!$E$32)</f>
        <v>0.329577165643402</v>
      </c>
      <c r="N7324" s="48" t="n">
        <f aca="false">IF(N7290-Assumptions!$E$36&lt;1,0,INDEX($C$7315:$N$7315,1,N7290-Assumptions!$E$36)*INDEX($C$7321:$N$7321,1,N7290-Assumptions!$E$36)*Assumptions!$E$32)</f>
        <v>0.319818636912259</v>
      </c>
      <c r="P7324" s="49" t="n">
        <f aca="false">SUM(C7324:F7324)</f>
        <v>0.19344777785825</v>
      </c>
      <c r="Q7324" s="49" t="n">
        <f aca="false">SUM(G7324:J7324)</f>
        <v>0.656247478956785</v>
      </c>
      <c r="R7324" s="49" t="n">
        <f aca="false">SUM(K7324:N7324)</f>
        <v>1.24200333509679</v>
      </c>
      <c r="S7324" s="50" t="n">
        <f aca="false">SUM(P7324:R7324)</f>
        <v>2.09169859191182</v>
      </c>
    </row>
    <row r="7325" customFormat="false" ht="15" hidden="false" customHeight="false" outlineLevel="0" collapsed="false">
      <c r="A7325" s="4" t="s">
        <v>519</v>
      </c>
      <c r="B7325" s="36" t="s">
        <v>77</v>
      </c>
      <c r="C7325" s="51" t="n">
        <f aca="false">IF(C7290-Assumptions!$E$35&lt;1,0,IFERROR(INDEX($C$7314:$N$7314,1,C7290-Assumptions!$E$35)/INDEX($C$7315:$N$7315,1,C7290-Assumptions!$E$35),0))</f>
        <v>0</v>
      </c>
      <c r="D7325" s="51" t="n">
        <f aca="false">IF(D7290-Assumptions!$E$35&lt;1,0,IFERROR(INDEX($C$7314:$N$7314,1,D7290-Assumptions!$E$35)/INDEX($C$7315:$N$7315,1,D7290-Assumptions!$E$35),0))</f>
        <v>0.459271678087073</v>
      </c>
      <c r="E7325" s="51" t="n">
        <f aca="false">IF(E7290-Assumptions!$E$35&lt;1,0,IFERROR(INDEX($C$7314:$N$7314,1,E7290-Assumptions!$E$35)/INDEX($C$7315:$N$7315,1,E7290-Assumptions!$E$35),0))</f>
        <v>0.401911350042128</v>
      </c>
      <c r="F7325" s="51" t="n">
        <f aca="false">IF(F7290-Assumptions!$E$35&lt;1,0,IFERROR(INDEX($C$7314:$N$7314,1,F7290-Assumptions!$E$35)/INDEX($C$7315:$N$7315,1,F7290-Assumptions!$E$35),0))</f>
        <v>0.485658933408398</v>
      </c>
      <c r="G7325" s="51" t="n">
        <f aca="false">IF(G7290-Assumptions!$E$35&lt;1,0,IFERROR(INDEX($C$7314:$N$7314,1,G7290-Assumptions!$E$35)/INDEX($C$7315:$N$7315,1,G7290-Assumptions!$E$35),0))</f>
        <v>0.554080356417826</v>
      </c>
      <c r="H7325" s="51" t="n">
        <f aca="false">IF(H7290-Assumptions!$E$35&lt;1,0,IFERROR(INDEX($C$7314:$N$7314,1,H7290-Assumptions!$E$35)/INDEX($C$7315:$N$7315,1,H7290-Assumptions!$E$35),0))</f>
        <v>0.522227563825987</v>
      </c>
      <c r="I7325" s="51" t="n">
        <f aca="false">IF(I7290-Assumptions!$E$35&lt;1,0,IFERROR(INDEX($C$7314:$N$7314,1,I7290-Assumptions!$E$35)/INDEX($C$7315:$N$7315,1,I7290-Assumptions!$E$35),0))</f>
        <v>0.507424816282752</v>
      </c>
      <c r="J7325" s="51" t="n">
        <f aca="false">IF(J7290-Assumptions!$E$35&lt;1,0,IFERROR(INDEX($C$7314:$N$7314,1,J7290-Assumptions!$E$35)/INDEX($C$7315:$N$7315,1,J7290-Assumptions!$E$35),0))</f>
        <v>0.401142323795015</v>
      </c>
      <c r="K7325" s="51" t="n">
        <f aca="false">IF(K7290-Assumptions!$E$35&lt;1,0,IFERROR(INDEX($C$7314:$N$7314,1,K7290-Assumptions!$E$35)/INDEX($C$7315:$N$7315,1,K7290-Assumptions!$E$35),0))</f>
        <v>0.352339268448632</v>
      </c>
      <c r="L7325" s="51" t="n">
        <f aca="false">IF(L7290-Assumptions!$E$35&lt;1,0,IFERROR(INDEX($C$7314:$N$7314,1,L7290-Assumptions!$E$35)/INDEX($C$7315:$N$7315,1,L7290-Assumptions!$E$35),0))</f>
        <v>0.388725970981282</v>
      </c>
      <c r="M7325" s="51" t="n">
        <f aca="false">IF(M7290-Assumptions!$E$35&lt;1,0,IFERROR(INDEX($C$7314:$N$7314,1,M7290-Assumptions!$E$35)/INDEX($C$7315:$N$7315,1,M7290-Assumptions!$E$35),0))</f>
        <v>0.400587048224893</v>
      </c>
      <c r="N7325" s="51" t="n">
        <f aca="false">IF(N7290-Assumptions!$E$35&lt;1,0,IFERROR(INDEX($C$7314:$N$7314,1,N7290-Assumptions!$E$35)/INDEX($C$7315:$N$7315,1,N7290-Assumptions!$E$35),0))</f>
        <v>0.412294251872474</v>
      </c>
      <c r="P7325" s="52"/>
      <c r="Q7325" s="52"/>
      <c r="R7325" s="52"/>
      <c r="S7325" s="53"/>
    </row>
    <row r="7326" customFormat="false" ht="15" hidden="false" customHeight="false" outlineLevel="0" collapsed="false">
      <c r="A7326" s="4" t="s">
        <v>520</v>
      </c>
      <c r="B7326" s="36" t="s">
        <v>516</v>
      </c>
      <c r="C7326" s="48" t="n">
        <f aca="false">C7322*Assumptions!$D$37</f>
        <v>0</v>
      </c>
      <c r="D7326" s="48" t="n">
        <f aca="false">D7322*Assumptions!$D$37</f>
        <v>0.129956466777573</v>
      </c>
      <c r="E7326" s="48" t="n">
        <f aca="false">E7322*Assumptions!$D$37</f>
        <v>0.22275555754626</v>
      </c>
      <c r="F7326" s="48" t="n">
        <f aca="false">F7322*Assumptions!$D$37</f>
        <v>0.245791111701893</v>
      </c>
      <c r="G7326" s="48" t="n">
        <f aca="false">G7322*Assumptions!$D$37</f>
        <v>0.269299046085451</v>
      </c>
      <c r="H7326" s="48" t="n">
        <f aca="false">H7322*Assumptions!$D$37</f>
        <v>0.346529517259491</v>
      </c>
      <c r="I7326" s="48" t="n">
        <f aca="false">I7322*Assumptions!$D$37</f>
        <v>0.418666599761796</v>
      </c>
      <c r="J7326" s="48" t="n">
        <f aca="false">J7322*Assumptions!$D$37</f>
        <v>0.61960396313157</v>
      </c>
      <c r="K7326" s="48" t="n">
        <f aca="false">K7322*Assumptions!$D$37</f>
        <v>0.801473795032886</v>
      </c>
      <c r="L7326" s="48" t="n">
        <f aca="false">L7322*Assumptions!$D$37</f>
        <v>0.807168693239329</v>
      </c>
      <c r="M7326" s="48" t="n">
        <f aca="false">M7322*Assumptions!$D$37</f>
        <v>0.783269043309157</v>
      </c>
      <c r="N7326" s="48" t="n">
        <f aca="false">N7322*Assumptions!$D$37</f>
        <v>0.761027912953299</v>
      </c>
      <c r="P7326" s="49" t="n">
        <f aca="false">SUM(C7326:F7326)</f>
        <v>0.598503136025726</v>
      </c>
      <c r="Q7326" s="49" t="n">
        <f aca="false">SUM(G7326:J7326)</f>
        <v>1.65409912623831</v>
      </c>
      <c r="R7326" s="49" t="n">
        <f aca="false">SUM(K7326:N7326)</f>
        <v>3.15293944453467</v>
      </c>
      <c r="S7326" s="50" t="n">
        <f aca="false">SUM(P7326:R7326)</f>
        <v>5.40554170679871</v>
      </c>
    </row>
    <row r="7327" customFormat="false" ht="15" hidden="false" customHeight="false" outlineLevel="0" collapsed="false">
      <c r="A7327" s="4" t="s">
        <v>521</v>
      </c>
      <c r="B7327" s="36" t="s">
        <v>516</v>
      </c>
      <c r="C7327" s="48" t="n">
        <f aca="false">C7322*(1-Assumptions!$D$37)</f>
        <v>0</v>
      </c>
      <c r="D7327" s="48" t="n">
        <f aca="false">D7322*(1-Assumptions!$D$37)</f>
        <v>0.736419978406248</v>
      </c>
      <c r="E7327" s="48" t="n">
        <f aca="false">E7322*(1-Assumptions!$D$37)</f>
        <v>1.26228149276214</v>
      </c>
      <c r="F7327" s="48" t="n">
        <f aca="false">F7322*(1-Assumptions!$D$37)</f>
        <v>1.39281629964406</v>
      </c>
      <c r="G7327" s="48" t="n">
        <f aca="false">G7322*(1-Assumptions!$D$37)</f>
        <v>1.52602792781756</v>
      </c>
      <c r="H7327" s="48" t="n">
        <f aca="false">H7322*(1-Assumptions!$D$37)</f>
        <v>1.96366726447045</v>
      </c>
      <c r="I7327" s="48" t="n">
        <f aca="false">I7322*(1-Assumptions!$D$37)</f>
        <v>2.37244406531685</v>
      </c>
      <c r="J7327" s="48" t="n">
        <f aca="false">J7322*(1-Assumptions!$D$37)</f>
        <v>3.51108912441223</v>
      </c>
      <c r="K7327" s="48" t="n">
        <f aca="false">K7322*(1-Assumptions!$D$37)</f>
        <v>4.54168483851969</v>
      </c>
      <c r="L7327" s="48" t="n">
        <f aca="false">L7322*(1-Assumptions!$D$37)</f>
        <v>4.5739559283562</v>
      </c>
      <c r="M7327" s="48" t="n">
        <f aca="false">M7322*(1-Assumptions!$D$37)</f>
        <v>4.43852457875189</v>
      </c>
      <c r="N7327" s="48" t="n">
        <f aca="false">N7322*(1-Assumptions!$D$37)</f>
        <v>4.31249150673536</v>
      </c>
      <c r="P7327" s="49" t="n">
        <f aca="false">SUM(C7327:F7327)</f>
        <v>3.39151777081245</v>
      </c>
      <c r="Q7327" s="49" t="n">
        <f aca="false">SUM(G7327:J7327)</f>
        <v>9.37322838201708</v>
      </c>
      <c r="R7327" s="49" t="n">
        <f aca="false">SUM(K7327:N7327)</f>
        <v>17.8666568523631</v>
      </c>
      <c r="S7327" s="50" t="n">
        <f aca="false">SUM(P7327:R7327)</f>
        <v>30.6314030051927</v>
      </c>
    </row>
    <row r="7328" customFormat="false" ht="15" hidden="false" customHeight="false" outlineLevel="0" collapsed="false">
      <c r="A7328" s="4" t="s">
        <v>522</v>
      </c>
      <c r="B7328" s="36" t="s">
        <v>125</v>
      </c>
      <c r="C7328" s="54" t="n">
        <f aca="false">C7327*$C$7281+C7323*$C$7282+C7324*$C$7283</f>
        <v>0</v>
      </c>
      <c r="D7328" s="54" t="n">
        <f aca="false">D7327*$C$7281+D7323*$C$7282+D7324*$C$7283</f>
        <v>8180.906180194</v>
      </c>
      <c r="E7328" s="54" t="n">
        <f aca="false">E7327*$C$7281+E7323*$C$7282+E7324*$C$7283</f>
        <v>18426.0009060492</v>
      </c>
      <c r="F7328" s="54" t="n">
        <f aca="false">F7327*$C$7281+F7323*$C$7282+F7324*$C$7283</f>
        <v>23020.406849748</v>
      </c>
      <c r="G7328" s="54" t="n">
        <f aca="false">G7327*$C$7281+G7323*$C$7282+G7324*$C$7283</f>
        <v>25280.7666115972</v>
      </c>
      <c r="H7328" s="54" t="n">
        <f aca="false">H7327*$C$7281+H7323*$C$7282+H7324*$C$7283</f>
        <v>30716.0088309087</v>
      </c>
      <c r="I7328" s="54" t="n">
        <f aca="false">I7327*$C$7281+I7323*$C$7282+I7324*$C$7283</f>
        <v>36695.5176230037</v>
      </c>
      <c r="J7328" s="54" t="n">
        <f aca="false">J7327*$C$7281+J7323*$C$7282+J7324*$C$7283</f>
        <v>49535.1469725549</v>
      </c>
      <c r="K7328" s="54" t="n">
        <f aca="false">K7327*$C$7281+K7323*$C$7282+K7324*$C$7283</f>
        <v>63904.1942985617</v>
      </c>
      <c r="L7328" s="54" t="n">
        <f aca="false">L7327*$C$7281+L7323*$C$7282+L7324*$C$7283</f>
        <v>68065.624516808</v>
      </c>
      <c r="M7328" s="54" t="n">
        <f aca="false">M7327*$C$7281+M7323*$C$7282+M7324*$C$7283</f>
        <v>66792.5175835056</v>
      </c>
      <c r="N7328" s="54" t="n">
        <f aca="false">N7327*$C$7281+N7323*$C$7282+N7324*$C$7283</f>
        <v>64871.2091043542</v>
      </c>
      <c r="P7328" s="55" t="n">
        <f aca="false">SUM(C7328:F7328)</f>
        <v>49627.3139359912</v>
      </c>
      <c r="Q7328" s="55" t="n">
        <f aca="false">SUM(G7328:J7328)</f>
        <v>142227.440038064</v>
      </c>
      <c r="R7328" s="55" t="n">
        <f aca="false">SUM(K7328:N7328)</f>
        <v>263633.54550323</v>
      </c>
      <c r="S7328" s="56" t="n">
        <f aca="false">SUM(P7328:R7328)</f>
        <v>455488.299477285</v>
      </c>
    </row>
    <row r="7329" customFormat="false" ht="15" hidden="false" customHeight="false" outlineLevel="0" collapsed="false">
      <c r="A7329" s="4" t="s">
        <v>523</v>
      </c>
      <c r="B7329" s="36" t="s">
        <v>125</v>
      </c>
      <c r="C7329" s="54" t="n">
        <f aca="false">(C7305+Assumptions!$D$104*C7291)*$C$7286</f>
        <v>306250</v>
      </c>
      <c r="D7329" s="54" t="n">
        <f aca="false">(D7305+Assumptions!$D$104*D7291)*$C$7286</f>
        <v>306250</v>
      </c>
      <c r="E7329" s="54" t="n">
        <f aca="false">(E7305+Assumptions!$D$104*E7291)*$C$7286</f>
        <v>306250</v>
      </c>
      <c r="F7329" s="54" t="n">
        <f aca="false">(F7305+Assumptions!$D$104*F7291)*$C$7286</f>
        <v>306250</v>
      </c>
      <c r="G7329" s="54" t="n">
        <f aca="false">(G7305+Assumptions!$D$104*G7291)*$C$7286</f>
        <v>306250</v>
      </c>
      <c r="H7329" s="54" t="n">
        <f aca="false">(H7305+Assumptions!$D$104*H7291)*$C$7286</f>
        <v>306250</v>
      </c>
      <c r="I7329" s="54" t="n">
        <f aca="false">(I7305+Assumptions!$D$104*I7291)*$C$7286</f>
        <v>306250</v>
      </c>
      <c r="J7329" s="54" t="n">
        <f aca="false">(J7305+Assumptions!$D$104*J7291)*$C$7286</f>
        <v>306250</v>
      </c>
      <c r="K7329" s="54" t="n">
        <f aca="false">(K7305+Assumptions!$D$104*K7291)*$C$7286</f>
        <v>306250</v>
      </c>
      <c r="L7329" s="54" t="n">
        <f aca="false">(L7305+Assumptions!$D$104*L7291)*$C$7286</f>
        <v>306250</v>
      </c>
      <c r="M7329" s="54" t="n">
        <f aca="false">(M7305+Assumptions!$D$104*M7291)*$C$7286</f>
        <v>306250</v>
      </c>
      <c r="N7329" s="54" t="n">
        <f aca="false">(N7305+Assumptions!$D$104*N7291)*$C$7286</f>
        <v>306250</v>
      </c>
      <c r="P7329" s="55" t="n">
        <f aca="false">SUM(C7329:F7329)</f>
        <v>1225000</v>
      </c>
      <c r="Q7329" s="55" t="n">
        <f aca="false">SUM(G7329:J7329)</f>
        <v>1225000</v>
      </c>
      <c r="R7329" s="55" t="n">
        <f aca="false">SUM(K7329:N7329)</f>
        <v>1225000</v>
      </c>
      <c r="S7329" s="56" t="n">
        <f aca="false">SUM(P7329:R7329)</f>
        <v>3675000</v>
      </c>
    </row>
    <row r="7330" customFormat="false" ht="15" hidden="false" customHeight="false" outlineLevel="0" collapsed="false">
      <c r="A7330" s="4" t="s">
        <v>524</v>
      </c>
      <c r="B7330" s="36" t="s">
        <v>77</v>
      </c>
      <c r="C7330" s="51" t="n">
        <f aca="false">IF(C7328&gt;0,MIN(1,C7329/C7328),1)</f>
        <v>1</v>
      </c>
      <c r="D7330" s="51" t="n">
        <f aca="false">IF(D7328&gt;0,MIN(1,D7329/D7328),1)</f>
        <v>1</v>
      </c>
      <c r="E7330" s="51" t="n">
        <f aca="false">IF(E7328&gt;0,MIN(1,E7329/E7328),1)</f>
        <v>1</v>
      </c>
      <c r="F7330" s="51" t="n">
        <f aca="false">IF(F7328&gt;0,MIN(1,F7329/F7328),1)</f>
        <v>1</v>
      </c>
      <c r="G7330" s="51" t="n">
        <f aca="false">IF(G7328&gt;0,MIN(1,G7329/G7328),1)</f>
        <v>1</v>
      </c>
      <c r="H7330" s="51" t="n">
        <f aca="false">IF(H7328&gt;0,MIN(1,H7329/H7328),1)</f>
        <v>1</v>
      </c>
      <c r="I7330" s="51" t="n">
        <f aca="false">IF(I7328&gt;0,MIN(1,I7329/I7328),1)</f>
        <v>1</v>
      </c>
      <c r="J7330" s="51" t="n">
        <f aca="false">IF(J7328&gt;0,MIN(1,J7329/J7328),1)</f>
        <v>1</v>
      </c>
      <c r="K7330" s="51" t="n">
        <f aca="false">IF(K7328&gt;0,MIN(1,K7329/K7328),1)</f>
        <v>1</v>
      </c>
      <c r="L7330" s="51" t="n">
        <f aca="false">IF(L7328&gt;0,MIN(1,L7329/L7328),1)</f>
        <v>1</v>
      </c>
      <c r="M7330" s="51" t="n">
        <f aca="false">IF(M7328&gt;0,MIN(1,M7329/M7328),1)</f>
        <v>1</v>
      </c>
      <c r="N7330" s="51" t="n">
        <f aca="false">IF(N7328&gt;0,MIN(1,N7329/N7328),1)</f>
        <v>1</v>
      </c>
      <c r="P7330" s="52"/>
      <c r="Q7330" s="52"/>
      <c r="R7330" s="52"/>
      <c r="S7330" s="53"/>
    </row>
    <row r="7331" customFormat="false" ht="15" hidden="false" customHeight="false" outlineLevel="0" collapsed="false">
      <c r="A7331" s="4" t="s">
        <v>525</v>
      </c>
      <c r="B7331" s="36" t="s">
        <v>125</v>
      </c>
      <c r="C7331" s="54" t="n">
        <f aca="false">C7328*(1-C7330)</f>
        <v>0</v>
      </c>
      <c r="D7331" s="54" t="n">
        <f aca="false">D7328*(1-D7330)</f>
        <v>0</v>
      </c>
      <c r="E7331" s="54" t="n">
        <f aca="false">E7328*(1-E7330)</f>
        <v>0</v>
      </c>
      <c r="F7331" s="54" t="n">
        <f aca="false">F7328*(1-F7330)</f>
        <v>0</v>
      </c>
      <c r="G7331" s="54" t="n">
        <f aca="false">G7328*(1-G7330)</f>
        <v>0</v>
      </c>
      <c r="H7331" s="54" t="n">
        <f aca="false">H7328*(1-H7330)</f>
        <v>0</v>
      </c>
      <c r="I7331" s="54" t="n">
        <f aca="false">I7328*(1-I7330)</f>
        <v>0</v>
      </c>
      <c r="J7331" s="54" t="n">
        <f aca="false">J7328*(1-J7330)</f>
        <v>0</v>
      </c>
      <c r="K7331" s="54" t="n">
        <f aca="false">K7328*(1-K7330)</f>
        <v>0</v>
      </c>
      <c r="L7331" s="54" t="n">
        <f aca="false">L7328*(1-L7330)</f>
        <v>0</v>
      </c>
      <c r="M7331" s="54" t="n">
        <f aca="false">M7328*(1-M7330)</f>
        <v>0</v>
      </c>
      <c r="N7331" s="54" t="n">
        <f aca="false">N7328*(1-N7330)</f>
        <v>0</v>
      </c>
      <c r="P7331" s="55" t="n">
        <f aca="false">SUM(C7331:F7331)</f>
        <v>0</v>
      </c>
      <c r="Q7331" s="55" t="n">
        <f aca="false">SUM(G7331:J7331)</f>
        <v>0</v>
      </c>
      <c r="R7331" s="55" t="n">
        <f aca="false">SUM(K7331:N7331)</f>
        <v>0</v>
      </c>
      <c r="S7331" s="56" t="n">
        <f aca="false">SUM(P7331:R7331)</f>
        <v>0</v>
      </c>
    </row>
    <row r="7332" customFormat="false" ht="15" hidden="false" customHeight="false" outlineLevel="0" collapsed="false">
      <c r="A7332" s="4" t="s">
        <v>526</v>
      </c>
      <c r="B7332" s="36" t="s">
        <v>527</v>
      </c>
      <c r="C7332" s="48" t="n">
        <f aca="false">C7326+C7327*C7330</f>
        <v>0</v>
      </c>
      <c r="D7332" s="48" t="n">
        <f aca="false">D7326+D7327*D7330</f>
        <v>0.866376445183821</v>
      </c>
      <c r="E7332" s="48" t="n">
        <f aca="false">E7326+E7327*E7330</f>
        <v>1.4850370503084</v>
      </c>
      <c r="F7332" s="48" t="n">
        <f aca="false">F7326+F7327*F7330</f>
        <v>1.63860741134595</v>
      </c>
      <c r="G7332" s="48" t="n">
        <f aca="false">G7326+G7327*G7330</f>
        <v>1.79532697390301</v>
      </c>
      <c r="H7332" s="48" t="n">
        <f aca="false">H7326+H7327*H7330</f>
        <v>2.31019678172994</v>
      </c>
      <c r="I7332" s="48" t="n">
        <f aca="false">I7326+I7327*I7330</f>
        <v>2.79111066507864</v>
      </c>
      <c r="J7332" s="48" t="n">
        <f aca="false">J7326+J7327*J7330</f>
        <v>4.1306930875438</v>
      </c>
      <c r="K7332" s="48" t="n">
        <f aca="false">K7326+K7327*K7330</f>
        <v>5.34315863355258</v>
      </c>
      <c r="L7332" s="48" t="n">
        <f aca="false">L7326+L7327*L7330</f>
        <v>5.38112462159553</v>
      </c>
      <c r="M7332" s="48" t="n">
        <f aca="false">M7326+M7327*M7330</f>
        <v>5.22179362206104</v>
      </c>
      <c r="N7332" s="48" t="n">
        <f aca="false">N7326+N7327*N7330</f>
        <v>5.07351941968866</v>
      </c>
      <c r="P7332" s="49" t="n">
        <f aca="false">SUM(C7332:F7332)</f>
        <v>3.99002090683817</v>
      </c>
      <c r="Q7332" s="49" t="n">
        <f aca="false">SUM(G7332:J7332)</f>
        <v>11.0273275082554</v>
      </c>
      <c r="R7332" s="49" t="n">
        <f aca="false">SUM(K7332:N7332)</f>
        <v>21.0195962968978</v>
      </c>
      <c r="S7332" s="50" t="n">
        <f aca="false">SUM(P7332:R7332)</f>
        <v>36.0369447119914</v>
      </c>
    </row>
    <row r="7333" customFormat="false" ht="15" hidden="false" customHeight="false" outlineLevel="0" collapsed="false">
      <c r="A7333" s="4" t="s">
        <v>528</v>
      </c>
      <c r="B7333" s="36" t="s">
        <v>527</v>
      </c>
      <c r="C7333" s="48" t="n">
        <f aca="false">C7323*C7330</f>
        <v>0</v>
      </c>
      <c r="D7333" s="48" t="n">
        <f aca="false">D7323*D7330</f>
        <v>0.434084974267145</v>
      </c>
      <c r="E7333" s="48" t="n">
        <f aca="false">E7323*E7330</f>
        <v>0.744055627726705</v>
      </c>
      <c r="F7333" s="48" t="n">
        <f aca="false">F7323*F7330</f>
        <v>0.820999762796119</v>
      </c>
      <c r="G7333" s="48" t="n">
        <f aca="false">G7323*G7330</f>
        <v>0.89952175823807</v>
      </c>
      <c r="H7333" s="48" t="n">
        <f aca="false">H7323*H7330</f>
        <v>1.13465516292283</v>
      </c>
      <c r="I7333" s="48" t="n">
        <f aca="false">I7323*I7330</f>
        <v>1.35487856174628</v>
      </c>
      <c r="J7333" s="48" t="n">
        <f aca="false">J7323*J7330</f>
        <v>1.88601088123353</v>
      </c>
      <c r="K7333" s="48" t="n">
        <f aca="false">K7323*K7330</f>
        <v>2.37581157552964</v>
      </c>
      <c r="L7333" s="48" t="n">
        <f aca="false">L7323*L7330</f>
        <v>2.3926929822134</v>
      </c>
      <c r="M7333" s="48" t="n">
        <f aca="false">M7323*M7330</f>
        <v>2.32184716628391</v>
      </c>
      <c r="N7333" s="48" t="n">
        <f aca="false">N7323*N7330</f>
        <v>2.25591770573287</v>
      </c>
      <c r="P7333" s="49" t="n">
        <f aca="false">SUM(C7333:F7333)</f>
        <v>1.99914036478997</v>
      </c>
      <c r="Q7333" s="49" t="n">
        <f aca="false">SUM(G7333:J7333)</f>
        <v>5.27506636414072</v>
      </c>
      <c r="R7333" s="49" t="n">
        <f aca="false">SUM(K7333:N7333)</f>
        <v>9.34626942975982</v>
      </c>
      <c r="S7333" s="50" t="n">
        <f aca="false">SUM(P7333:R7333)</f>
        <v>16.6204761586905</v>
      </c>
    </row>
    <row r="7334" customFormat="false" ht="15" hidden="false" customHeight="false" outlineLevel="0" collapsed="false">
      <c r="A7334" s="4" t="s">
        <v>529</v>
      </c>
      <c r="B7334" s="36" t="s">
        <v>527</v>
      </c>
      <c r="C7334" s="48" t="n">
        <f aca="false">C7324*C7330</f>
        <v>0</v>
      </c>
      <c r="D7334" s="48" t="n">
        <f aca="false">D7324*D7330</f>
        <v>0</v>
      </c>
      <c r="E7334" s="48" t="n">
        <f aca="false">E7324*E7330</f>
        <v>0.071275680959914</v>
      </c>
      <c r="F7334" s="48" t="n">
        <f aca="false">F7324*F7330</f>
        <v>0.122172096898336</v>
      </c>
      <c r="G7334" s="48" t="n">
        <f aca="false">G7324*G7330</f>
        <v>0.134806133891215</v>
      </c>
      <c r="H7334" s="48" t="n">
        <f aca="false">H7324*H7330</f>
        <v>0.147699251661313</v>
      </c>
      <c r="I7334" s="48" t="n">
        <f aca="false">I7324*I7330</f>
        <v>0.174259973058587</v>
      </c>
      <c r="J7334" s="48" t="n">
        <f aca="false">J7324*J7330</f>
        <v>0.19948212034567</v>
      </c>
      <c r="K7334" s="48" t="n">
        <f aca="false">K7324*K7330</f>
        <v>0.265355665717199</v>
      </c>
      <c r="L7334" s="48" t="n">
        <f aca="false">L7324*L7330</f>
        <v>0.327251866823927</v>
      </c>
      <c r="M7334" s="48" t="n">
        <f aca="false">M7324*M7330</f>
        <v>0.329577165643402</v>
      </c>
      <c r="N7334" s="48" t="n">
        <f aca="false">N7324*N7330</f>
        <v>0.319818636912259</v>
      </c>
      <c r="P7334" s="49" t="n">
        <f aca="false">SUM(C7334:F7334)</f>
        <v>0.19344777785825</v>
      </c>
      <c r="Q7334" s="49" t="n">
        <f aca="false">SUM(G7334:J7334)</f>
        <v>0.656247478956785</v>
      </c>
      <c r="R7334" s="49" t="n">
        <f aca="false">SUM(K7334:N7334)</f>
        <v>1.24200333509679</v>
      </c>
      <c r="S7334" s="50" t="n">
        <f aca="false">SUM(P7334:R7334)</f>
        <v>2.09169859191182</v>
      </c>
    </row>
    <row r="7335" customFormat="false" ht="15" hidden="false" customHeight="false" outlineLevel="0" collapsed="false">
      <c r="A7335" s="9" t="s">
        <v>530</v>
      </c>
      <c r="B7335" s="36" t="s">
        <v>527</v>
      </c>
      <c r="C7335" s="49" t="n">
        <f aca="false">C7332+C7333+C7334</f>
        <v>0</v>
      </c>
      <c r="D7335" s="49" t="n">
        <f aca="false">D7332+D7333+D7334</f>
        <v>1.30046141945097</v>
      </c>
      <c r="E7335" s="49" t="n">
        <f aca="false">E7332+E7333+E7334</f>
        <v>2.30036835899502</v>
      </c>
      <c r="F7335" s="49" t="n">
        <f aca="false">F7332+F7333+F7334</f>
        <v>2.58177927104041</v>
      </c>
      <c r="G7335" s="49" t="n">
        <f aca="false">G7332+G7333+G7334</f>
        <v>2.82965486603229</v>
      </c>
      <c r="H7335" s="49" t="n">
        <f aca="false">H7332+H7333+H7334</f>
        <v>3.59255119631409</v>
      </c>
      <c r="I7335" s="49" t="n">
        <f aca="false">I7332+I7333+I7334</f>
        <v>4.32024919988351</v>
      </c>
      <c r="J7335" s="49" t="n">
        <f aca="false">J7332+J7333+J7334</f>
        <v>6.216186089123</v>
      </c>
      <c r="K7335" s="49" t="n">
        <f aca="false">K7332+K7333+K7334</f>
        <v>7.98432587479941</v>
      </c>
      <c r="L7335" s="49" t="n">
        <f aca="false">L7332+L7333+L7334</f>
        <v>8.10106947063286</v>
      </c>
      <c r="M7335" s="49" t="n">
        <f aca="false">M7332+M7333+M7334</f>
        <v>7.87321795398836</v>
      </c>
      <c r="N7335" s="49" t="n">
        <f aca="false">N7332+N7333+N7334</f>
        <v>7.64925576233379</v>
      </c>
      <c r="P7335" s="49" t="n">
        <f aca="false">SUM(C7335:F7335)</f>
        <v>6.18260904948639</v>
      </c>
      <c r="Q7335" s="49" t="n">
        <f aca="false">SUM(G7335:J7335)</f>
        <v>16.9586413513529</v>
      </c>
      <c r="R7335" s="49" t="n">
        <f aca="false">SUM(K7335:N7335)</f>
        <v>31.6078690617544</v>
      </c>
      <c r="S7335" s="50" t="n">
        <f aca="false">SUM(P7335:R7335)</f>
        <v>54.7491194625937</v>
      </c>
    </row>
    <row r="7336" customFormat="false" ht="15" hidden="false" customHeight="false" outlineLevel="0" collapsed="false">
      <c r="A7336" s="35" t="s">
        <v>533</v>
      </c>
      <c r="B7336" s="35" t="s">
        <v>444</v>
      </c>
      <c r="C7336" s="6" t="s">
        <v>354</v>
      </c>
      <c r="D7336" s="6" t="s">
        <v>355</v>
      </c>
      <c r="E7336" s="6" t="s">
        <v>356</v>
      </c>
      <c r="F7336" s="6" t="s">
        <v>357</v>
      </c>
      <c r="G7336" s="6" t="s">
        <v>358</v>
      </c>
      <c r="H7336" s="6" t="s">
        <v>359</v>
      </c>
      <c r="I7336" s="6" t="s">
        <v>360</v>
      </c>
      <c r="J7336" s="6" t="s">
        <v>361</v>
      </c>
      <c r="K7336" s="6" t="s">
        <v>362</v>
      </c>
      <c r="L7336" s="6" t="s">
        <v>363</v>
      </c>
      <c r="M7336" s="6" t="s">
        <v>364</v>
      </c>
      <c r="N7336" s="6" t="s">
        <v>365</v>
      </c>
      <c r="P7336" s="6" t="s">
        <v>445</v>
      </c>
      <c r="Q7336" s="6" t="s">
        <v>446</v>
      </c>
      <c r="R7336" s="6" t="s">
        <v>447</v>
      </c>
      <c r="S7336" s="6" t="s">
        <v>448</v>
      </c>
    </row>
    <row r="7337" customFormat="false" ht="15" hidden="false" customHeight="false" outlineLevel="0" collapsed="false">
      <c r="A7337" s="4" t="s">
        <v>534</v>
      </c>
      <c r="B7337" s="36" t="s">
        <v>527</v>
      </c>
      <c r="C7337" s="48" t="n">
        <f aca="false">0*Assumptions!$E$59^(1/4)+C7332</f>
        <v>0</v>
      </c>
      <c r="D7337" s="48" t="n">
        <f aca="false">C7337*Assumptions!$E$59^(1/4)+D7332</f>
        <v>0.866376445183821</v>
      </c>
      <c r="E7337" s="48" t="n">
        <f aca="false">D7337*Assumptions!$E$59^(1/4)+E7332</f>
        <v>2.32416329488403</v>
      </c>
      <c r="F7337" s="48" t="n">
        <f aca="false">E7337*Assumptions!$E$59^(1/4)+F7332</f>
        <v>3.88966863104794</v>
      </c>
      <c r="G7337" s="48" t="n">
        <f aca="false">F7337*Assumptions!$E$59^(1/4)+G7332</f>
        <v>5.56265357789716</v>
      </c>
      <c r="H7337" s="48" t="n">
        <f aca="false">G7337*Assumptions!$E$59^(1/4)+H7332</f>
        <v>7.69788781678072</v>
      </c>
      <c r="I7337" s="48" t="n">
        <f aca="false">H7337*Assumptions!$E$59^(1/4)+I7332</f>
        <v>10.2468762630101</v>
      </c>
      <c r="J7337" s="48" t="n">
        <f aca="false">I7337*Assumptions!$E$59^(1/4)+J7332</f>
        <v>14.0552736148763</v>
      </c>
      <c r="K7337" s="48" t="n">
        <f aca="false">J7337*Assumptions!$E$59^(1/4)+K7332</f>
        <v>18.9563507170835</v>
      </c>
      <c r="L7337" s="48" t="n">
        <f aca="false">K7337*Assumptions!$E$59^(1/4)+L7332</f>
        <v>23.7412398769334</v>
      </c>
      <c r="M7337" s="48" t="n">
        <f aca="false">L7337*Assumptions!$E$59^(1/4)+M7332</f>
        <v>28.2162985745513</v>
      </c>
      <c r="N7337" s="48" t="n">
        <f aca="false">M7337*Assumptions!$E$59^(1/4)+N7332</f>
        <v>32.4023287268997</v>
      </c>
      <c r="P7337" s="49" t="n">
        <f aca="false">F7337</f>
        <v>3.88966863104794</v>
      </c>
      <c r="Q7337" s="49" t="n">
        <f aca="false">J7337</f>
        <v>14.0552736148763</v>
      </c>
      <c r="R7337" s="49" t="n">
        <f aca="false">N7337</f>
        <v>32.4023287268997</v>
      </c>
      <c r="S7337" s="50" t="n">
        <f aca="false">R7337</f>
        <v>32.4023287268997</v>
      </c>
    </row>
    <row r="7338" customFormat="false" ht="15" hidden="false" customHeight="false" outlineLevel="0" collapsed="false">
      <c r="A7338" s="4" t="s">
        <v>535</v>
      </c>
      <c r="B7338" s="36" t="s">
        <v>527</v>
      </c>
      <c r="C7338" s="48" t="n">
        <f aca="false">0*Assumptions!$E$60^(1/4)+C7333</f>
        <v>0</v>
      </c>
      <c r="D7338" s="48" t="n">
        <f aca="false">C7338*Assumptions!$E$60^(1/4)+D7333</f>
        <v>0.434084974267145</v>
      </c>
      <c r="E7338" s="48" t="n">
        <f aca="false">D7338*Assumptions!$E$60^(1/4)+E7333</f>
        <v>1.16685601892983</v>
      </c>
      <c r="F7338" s="48" t="n">
        <f aca="false">E7338*Assumptions!$E$60^(1/4)+F7333</f>
        <v>1.95752189677268</v>
      </c>
      <c r="G7338" s="48" t="n">
        <f aca="false">F7338*Assumptions!$E$60^(1/4)+G7333</f>
        <v>2.80615541940422</v>
      </c>
      <c r="H7338" s="48" t="n">
        <f aca="false">G7338*Assumptions!$E$60^(1/4)+H7333</f>
        <v>3.86786105447419</v>
      </c>
      <c r="I7338" s="48" t="n">
        <f aca="false">H7338*Assumptions!$E$60^(1/4)+I7333</f>
        <v>5.12218971945664</v>
      </c>
      <c r="J7338" s="48" t="n">
        <f aca="false">I7338*Assumptions!$E$60^(1/4)+J7333</f>
        <v>6.87504285788544</v>
      </c>
      <c r="K7338" s="48" t="n">
        <f aca="false">J7338*Assumptions!$E$60^(1/4)+K7333</f>
        <v>9.07212907594454</v>
      </c>
      <c r="L7338" s="48" t="n">
        <f aca="false">K7338*Assumptions!$E$60^(1/4)+L7333</f>
        <v>11.2289806902372</v>
      </c>
      <c r="M7338" s="48" t="n">
        <f aca="false">L7338*Assumptions!$E$60^(1/4)+M7333</f>
        <v>13.2589164271123</v>
      </c>
      <c r="N7338" s="48" t="n">
        <f aca="false">M7338*Assumptions!$E$60^(1/4)+N7333</f>
        <v>15.1701519792802</v>
      </c>
      <c r="P7338" s="49" t="n">
        <f aca="false">F7338</f>
        <v>1.95752189677268</v>
      </c>
      <c r="Q7338" s="49" t="n">
        <f aca="false">J7338</f>
        <v>6.87504285788544</v>
      </c>
      <c r="R7338" s="49" t="n">
        <f aca="false">N7338</f>
        <v>15.1701519792802</v>
      </c>
      <c r="S7338" s="50" t="n">
        <f aca="false">R7338</f>
        <v>15.1701519792802</v>
      </c>
    </row>
    <row r="7339" customFormat="false" ht="15" hidden="false" customHeight="false" outlineLevel="0" collapsed="false">
      <c r="A7339" s="4" t="s">
        <v>536</v>
      </c>
      <c r="B7339" s="36" t="s">
        <v>527</v>
      </c>
      <c r="C7339" s="48" t="n">
        <f aca="false">0*Assumptions!$E$61^(1/4)+C7334</f>
        <v>0</v>
      </c>
      <c r="D7339" s="48" t="n">
        <f aca="false">C7339*Assumptions!$E$61^(1/4)+D7334</f>
        <v>0</v>
      </c>
      <c r="E7339" s="48" t="n">
        <f aca="false">D7339*Assumptions!$E$61^(1/4)+E7334</f>
        <v>0.071275680959914</v>
      </c>
      <c r="F7339" s="48" t="n">
        <f aca="false">E7339*Assumptions!$E$61^(1/4)+F7334</f>
        <v>0.191977386314485</v>
      </c>
      <c r="G7339" s="48" t="n">
        <f aca="false">F7339*Assumptions!$E$61^(1/4)+G7334</f>
        <v>0.322823096094288</v>
      </c>
      <c r="H7339" s="48" t="n">
        <f aca="false">G7339*Assumptions!$E$61^(1/4)+H7334</f>
        <v>0.463862623930639</v>
      </c>
      <c r="I7339" s="48" t="n">
        <f aca="false">H7339*Assumptions!$E$61^(1/4)+I7334</f>
        <v>0.628553278667598</v>
      </c>
      <c r="J7339" s="48" t="n">
        <f aca="false">I7339*Assumptions!$E$61^(1/4)+J7334</f>
        <v>0.815068571993006</v>
      </c>
      <c r="K7339" s="48" t="n">
        <f aca="false">J7339*Assumptions!$E$61^(1/4)+K7334</f>
        <v>1.06360966758325</v>
      </c>
      <c r="L7339" s="48" t="n">
        <f aca="false">K7339*Assumptions!$E$61^(1/4)+L7334</f>
        <v>1.36891965128493</v>
      </c>
      <c r="M7339" s="48" t="n">
        <f aca="false">L7339*Assumptions!$E$61^(1/4)+M7334</f>
        <v>1.67025649916167</v>
      </c>
      <c r="N7339" s="48" t="n">
        <f aca="false">M7339*Assumptions!$E$61^(1/4)+N7334</f>
        <v>1.95561834801929</v>
      </c>
      <c r="P7339" s="49" t="n">
        <f aca="false">F7339</f>
        <v>0.191977386314485</v>
      </c>
      <c r="Q7339" s="49" t="n">
        <f aca="false">J7339</f>
        <v>0.815068571993006</v>
      </c>
      <c r="R7339" s="49" t="n">
        <f aca="false">N7339</f>
        <v>1.95561834801929</v>
      </c>
      <c r="S7339" s="50" t="n">
        <f aca="false">R7339</f>
        <v>1.95561834801929</v>
      </c>
    </row>
    <row r="7340" customFormat="false" ht="15" hidden="false" customHeight="false" outlineLevel="0" collapsed="false">
      <c r="A7340" s="9" t="s">
        <v>537</v>
      </c>
      <c r="B7340" s="36" t="s">
        <v>527</v>
      </c>
      <c r="C7340" s="49" t="n">
        <f aca="false">C7337+C7338+C7339</f>
        <v>0</v>
      </c>
      <c r="D7340" s="49" t="n">
        <f aca="false">D7337+D7338+D7339</f>
        <v>1.30046141945097</v>
      </c>
      <c r="E7340" s="49" t="n">
        <f aca="false">E7337+E7338+E7339</f>
        <v>3.56229499477378</v>
      </c>
      <c r="F7340" s="49" t="n">
        <f aca="false">F7337+F7338+F7339</f>
        <v>6.0391679141351</v>
      </c>
      <c r="G7340" s="49" t="n">
        <f aca="false">G7337+G7338+G7339</f>
        <v>8.69163209339566</v>
      </c>
      <c r="H7340" s="49" t="n">
        <f aca="false">H7337+H7338+H7339</f>
        <v>12.0296114951856</v>
      </c>
      <c r="I7340" s="49" t="n">
        <f aca="false">I7337+I7338+I7339</f>
        <v>15.9976192611344</v>
      </c>
      <c r="J7340" s="49" t="n">
        <f aca="false">J7337+J7338+J7339</f>
        <v>21.7453850447547</v>
      </c>
      <c r="K7340" s="49" t="n">
        <f aca="false">K7337+K7338+K7339</f>
        <v>29.0920894606113</v>
      </c>
      <c r="L7340" s="49" t="n">
        <f aca="false">L7337+L7338+L7339</f>
        <v>36.3391402184556</v>
      </c>
      <c r="M7340" s="49" t="n">
        <f aca="false">M7337+M7338+M7339</f>
        <v>43.1454715008253</v>
      </c>
      <c r="N7340" s="49" t="n">
        <f aca="false">N7337+N7338+N7339</f>
        <v>49.5280990541991</v>
      </c>
      <c r="P7340" s="49" t="n">
        <f aca="false">F7340</f>
        <v>6.0391679141351</v>
      </c>
      <c r="Q7340" s="49" t="n">
        <f aca="false">J7340</f>
        <v>21.7453850447547</v>
      </c>
      <c r="R7340" s="49" t="n">
        <f aca="false">N7340</f>
        <v>49.5280990541991</v>
      </c>
      <c r="S7340" s="50" t="n">
        <f aca="false">R7340</f>
        <v>49.5280990541991</v>
      </c>
    </row>
    <row r="7341" customFormat="false" ht="15" hidden="false" customHeight="false" outlineLevel="0" collapsed="false">
      <c r="A7341" s="4" t="s">
        <v>538</v>
      </c>
      <c r="B7341" s="36" t="s">
        <v>125</v>
      </c>
      <c r="C7341" s="54" t="n">
        <f aca="false">0*Assumptions!$E$62^(1/4)+C7332*$C$7281</f>
        <v>0</v>
      </c>
      <c r="D7341" s="54" t="n">
        <f aca="false">C7341*Assumptions!$E$62^(1/4)+D7332*$C$7281</f>
        <v>4636.84673462381</v>
      </c>
      <c r="E7341" s="54" t="n">
        <f aca="false">D7341*Assumptions!$E$62^(1/4)+E7332*$C$7281</f>
        <v>12584.7650278744</v>
      </c>
      <c r="F7341" s="54" t="n">
        <f aca="false">E7341*Assumptions!$E$62^(1/4)+F7332*$C$7281</f>
        <v>21354.5918933979</v>
      </c>
      <c r="G7341" s="54" t="n">
        <f aca="false">F7341*Assumptions!$E$62^(1/4)+G7332*$C$7281</f>
        <v>30963.1818577268</v>
      </c>
      <c r="H7341" s="54" t="n">
        <f aca="false">G7341*Assumptions!$E$62^(1/4)+H7332*$C$7281</f>
        <v>43327.3550335454</v>
      </c>
      <c r="I7341" s="54" t="n">
        <f aca="false">H7341*Assumptions!$E$62^(1/4)+I7332*$C$7281</f>
        <v>58265.3793130463</v>
      </c>
      <c r="J7341" s="54" t="n">
        <f aca="false">I7341*Assumptions!$E$62^(1/4)+J7332*$C$7281</f>
        <v>80372.8487175808</v>
      </c>
      <c r="K7341" s="54" t="n">
        <f aca="false">J7341*Assumptions!$E$62^(1/4)+K7332*$C$7281</f>
        <v>108969.433724354</v>
      </c>
      <c r="L7341" s="54" t="n">
        <f aca="false">K7341*Assumptions!$E$62^(1/4)+L7332*$C$7281</f>
        <v>137769.212699133</v>
      </c>
      <c r="M7341" s="54" t="n">
        <f aca="false">L7341*Assumptions!$E$62^(1/4)+M7332*$C$7281</f>
        <v>165716.252164404</v>
      </c>
      <c r="N7341" s="54" t="n">
        <f aca="false">M7341*Assumptions!$E$62^(1/4)+N7332*$C$7281</f>
        <v>192869.728098578</v>
      </c>
      <c r="P7341" s="55" t="n">
        <f aca="false">F7341</f>
        <v>21354.5918933979</v>
      </c>
      <c r="Q7341" s="55" t="n">
        <f aca="false">J7341</f>
        <v>80372.8487175808</v>
      </c>
      <c r="R7341" s="55" t="n">
        <f aca="false">N7341</f>
        <v>192869.728098578</v>
      </c>
      <c r="S7341" s="56" t="n">
        <f aca="false">R7341</f>
        <v>192869.728098578</v>
      </c>
    </row>
    <row r="7342" customFormat="false" ht="15" hidden="false" customHeight="false" outlineLevel="0" collapsed="false">
      <c r="A7342" s="4" t="s">
        <v>539</v>
      </c>
      <c r="B7342" s="36" t="s">
        <v>125</v>
      </c>
      <c r="C7342" s="54" t="n">
        <f aca="false">0*Assumptions!$E$63^(1/4)+C7333*$C$7282</f>
        <v>0</v>
      </c>
      <c r="D7342" s="54" t="n">
        <f aca="false">C7342*Assumptions!$E$63^(1/4)+D7333*$C$7282</f>
        <v>4239.58645576376</v>
      </c>
      <c r="E7342" s="54" t="n">
        <f aca="false">D7342*Assumptions!$E$63^(1/4)+E7333*$C$7282</f>
        <v>11568.780571464</v>
      </c>
      <c r="F7342" s="54" t="n">
        <f aca="false">E7342*Assumptions!$E$63^(1/4)+F7333*$C$7282</f>
        <v>19757.0139869302</v>
      </c>
      <c r="G7342" s="54" t="n">
        <f aca="false">F7342*Assumptions!$E$63^(1/4)+G7333*$C$7282</f>
        <v>28832.3026333607</v>
      </c>
      <c r="H7342" s="54" t="n">
        <f aca="false">G7342*Assumptions!$E$63^(1/4)+H7333*$C$7282</f>
        <v>40337.2428258018</v>
      </c>
      <c r="I7342" s="54" t="n">
        <f aca="false">H7342*Assumptions!$E$63^(1/4)+I7333*$C$7282</f>
        <v>54161.8650429175</v>
      </c>
      <c r="J7342" s="54" t="n">
        <f aca="false">I7342*Assumptions!$E$63^(1/4)+J7333*$C$7282</f>
        <v>73376.768355554</v>
      </c>
      <c r="K7342" s="54" t="n">
        <f aca="false">J7342*Assumptions!$E$63^(1/4)+K7333*$C$7282</f>
        <v>97657.3745036042</v>
      </c>
      <c r="L7342" s="54" t="n">
        <f aca="false">K7342*Assumptions!$E$63^(1/4)+L7333*$C$7282</f>
        <v>122459.146505613</v>
      </c>
      <c r="M7342" s="54" t="n">
        <f aca="false">L7342*Assumptions!$E$63^(1/4)+M7333*$C$7282</f>
        <v>146932.924638212</v>
      </c>
      <c r="N7342" s="54" t="n">
        <f aca="false">M7342*Assumptions!$E$63^(1/4)+N7333*$C$7282</f>
        <v>171121.912636854</v>
      </c>
      <c r="P7342" s="55" t="n">
        <f aca="false">F7342</f>
        <v>19757.0139869302</v>
      </c>
      <c r="Q7342" s="55" t="n">
        <f aca="false">J7342</f>
        <v>73376.768355554</v>
      </c>
      <c r="R7342" s="55" t="n">
        <f aca="false">N7342</f>
        <v>171121.912636854</v>
      </c>
      <c r="S7342" s="56" t="n">
        <f aca="false">R7342</f>
        <v>171121.912636854</v>
      </c>
    </row>
    <row r="7343" customFormat="false" ht="15" hidden="false" customHeight="false" outlineLevel="0" collapsed="false">
      <c r="A7343" s="4" t="s">
        <v>540</v>
      </c>
      <c r="B7343" s="36" t="s">
        <v>125</v>
      </c>
      <c r="C7343" s="54" t="n">
        <f aca="false">0*Assumptions!$E$64^(1/4)+C7334*$C$7283</f>
        <v>0</v>
      </c>
      <c r="D7343" s="54" t="n">
        <f aca="false">C7343*Assumptions!$E$64^(1/4)+D7334*$C$7283</f>
        <v>0</v>
      </c>
      <c r="E7343" s="54" t="n">
        <f aca="false">D7343*Assumptions!$E$64^(1/4)+E7334*$C$7283</f>
        <v>4403.28728055653</v>
      </c>
      <c r="F7343" s="54" t="n">
        <f aca="false">E7343*Assumptions!$E$64^(1/4)+F7334*$C$7283</f>
        <v>12107.4388108841</v>
      </c>
      <c r="G7343" s="54" t="n">
        <f aca="false">F7343*Assumptions!$E$64^(1/4)+G7334*$C$7283</f>
        <v>20866.0439239064</v>
      </c>
      <c r="H7343" s="54" t="n">
        <f aca="false">G7343*Assumptions!$E$64^(1/4)+H7334*$C$7283</f>
        <v>30732.6025192522</v>
      </c>
      <c r="I7343" s="54" t="n">
        <f aca="false">H7343*Assumptions!$E$64^(1/4)+I7334*$C$7283</f>
        <v>42590.8720102144</v>
      </c>
      <c r="J7343" s="54" t="n">
        <f aca="false">I7343*Assumptions!$E$64^(1/4)+J7334*$C$7283</f>
        <v>56428.9790305215</v>
      </c>
      <c r="K7343" s="54" t="n">
        <f aca="false">J7343*Assumptions!$E$64^(1/4)+K7334*$C$7283</f>
        <v>74828.6952807254</v>
      </c>
      <c r="L7343" s="54" t="n">
        <f aca="false">K7343*Assumptions!$E$64^(1/4)+L7334*$C$7283</f>
        <v>97706.5094169996</v>
      </c>
      <c r="M7343" s="54" t="n">
        <f aca="false">L7343*Assumptions!$E$64^(1/4)+M7334*$C$7283</f>
        <v>121541.467521117</v>
      </c>
      <c r="N7343" s="54" t="n">
        <f aca="false">M7343*Assumptions!$E$64^(1/4)+N7334*$C$7283</f>
        <v>145621.085996823</v>
      </c>
      <c r="P7343" s="55" t="n">
        <f aca="false">F7343</f>
        <v>12107.4388108841</v>
      </c>
      <c r="Q7343" s="55" t="n">
        <f aca="false">J7343</f>
        <v>56428.9790305215</v>
      </c>
      <c r="R7343" s="55" t="n">
        <f aca="false">N7343</f>
        <v>145621.085996823</v>
      </c>
      <c r="S7343" s="56" t="n">
        <f aca="false">R7343</f>
        <v>145621.085996823</v>
      </c>
    </row>
    <row r="7344" customFormat="false" ht="15" hidden="false" customHeight="false" outlineLevel="0" collapsed="false">
      <c r="A7344" s="9" t="s">
        <v>541</v>
      </c>
      <c r="B7344" s="36" t="s">
        <v>125</v>
      </c>
      <c r="C7344" s="55" t="n">
        <f aca="false">C7341+C7342+C7343</f>
        <v>0</v>
      </c>
      <c r="D7344" s="55" t="n">
        <f aca="false">D7341+D7342+D7343</f>
        <v>8876.43319038757</v>
      </c>
      <c r="E7344" s="55" t="n">
        <f aca="false">E7341+E7342+E7343</f>
        <v>28556.8328798949</v>
      </c>
      <c r="F7344" s="55" t="n">
        <f aca="false">F7341+F7342+F7343</f>
        <v>53219.0446912122</v>
      </c>
      <c r="G7344" s="55" t="n">
        <f aca="false">G7341+G7342+G7343</f>
        <v>80661.5284149939</v>
      </c>
      <c r="H7344" s="55" t="n">
        <f aca="false">H7341+H7342+H7343</f>
        <v>114397.200378599</v>
      </c>
      <c r="I7344" s="55" t="n">
        <f aca="false">I7341+I7342+I7343</f>
        <v>155018.116366178</v>
      </c>
      <c r="J7344" s="55" t="n">
        <f aca="false">J7341+J7342+J7343</f>
        <v>210178.596103656</v>
      </c>
      <c r="K7344" s="55" t="n">
        <f aca="false">K7341+K7342+K7343</f>
        <v>281455.503508684</v>
      </c>
      <c r="L7344" s="55" t="n">
        <f aca="false">L7341+L7342+L7343</f>
        <v>357934.868621746</v>
      </c>
      <c r="M7344" s="55" t="n">
        <f aca="false">M7341+M7342+M7343</f>
        <v>434190.644323734</v>
      </c>
      <c r="N7344" s="55" t="n">
        <f aca="false">N7341+N7342+N7343</f>
        <v>509612.726732255</v>
      </c>
      <c r="P7344" s="55" t="n">
        <f aca="false">F7344</f>
        <v>53219.0446912122</v>
      </c>
      <c r="Q7344" s="55" t="n">
        <f aca="false">J7344</f>
        <v>210178.596103656</v>
      </c>
      <c r="R7344" s="55" t="n">
        <f aca="false">N7344</f>
        <v>509612.726732255</v>
      </c>
      <c r="S7344" s="56" t="n">
        <f aca="false">R7344</f>
        <v>509612.726732255</v>
      </c>
    </row>
    <row r="7345" customFormat="false" ht="15" hidden="false" customHeight="false" outlineLevel="0" collapsed="false">
      <c r="A7345" s="4" t="s">
        <v>542</v>
      </c>
      <c r="B7345" s="36" t="s">
        <v>125</v>
      </c>
      <c r="C7345" s="54" t="n">
        <f aca="false">C7332*$C$7281+C7333*$C$7282+C7334*$C$7283</f>
        <v>0</v>
      </c>
      <c r="D7345" s="54" t="n">
        <f aca="false">D7332*$C$7281+D7333*$C$7282+D7334*$C$7283</f>
        <v>8876.43319038757</v>
      </c>
      <c r="E7345" s="54" t="n">
        <f aca="false">E7332*$C$7281+E7333*$C$7282+E7334*$C$7283</f>
        <v>19618.1886500368</v>
      </c>
      <c r="F7345" s="54" t="n">
        <f aca="false">F7332*$C$7281+F7333*$C$7282+F7334*$C$7283</f>
        <v>24335.8808795765</v>
      </c>
      <c r="G7345" s="54" t="n">
        <f aca="false">G7332*$C$7281+G7333*$C$7282+G7334*$C$7283</f>
        <v>26722.0551062465</v>
      </c>
      <c r="H7345" s="54" t="n">
        <f aca="false">H7332*$C$7281+H7333*$C$7282+H7334*$C$7283</f>
        <v>32570.6348072815</v>
      </c>
      <c r="I7345" s="54" t="n">
        <f aca="false">I7332*$C$7281+I7333*$C$7282+I7334*$C$7283</f>
        <v>38936.2212649288</v>
      </c>
      <c r="J7345" s="54" t="n">
        <f aca="false">J7332*$C$7281+J7333*$C$7282+J7334*$C$7283</f>
        <v>52851.2673832351</v>
      </c>
      <c r="K7345" s="54" t="n">
        <f aca="false">K7332*$C$7281+K7333*$C$7282+K7334*$C$7283</f>
        <v>68193.6820495777</v>
      </c>
      <c r="L7345" s="54" t="n">
        <f aca="false">L7332*$C$7281+L7333*$C$7282+L7334*$C$7283</f>
        <v>72385.5913630249</v>
      </c>
      <c r="M7345" s="54" t="n">
        <f aca="false">M7332*$C$7281+M7333*$C$7282+M7334*$C$7283</f>
        <v>70984.5735032962</v>
      </c>
      <c r="N7345" s="54" t="n">
        <f aca="false">N7332*$C$7281+N7333*$C$7282+N7334*$C$7283</f>
        <v>68944.2304944803</v>
      </c>
      <c r="P7345" s="55" t="n">
        <f aca="false">SUM(C7345:F7345)</f>
        <v>52830.5027200009</v>
      </c>
      <c r="Q7345" s="55" t="n">
        <f aca="false">SUM(G7345:J7345)</f>
        <v>151080.178561692</v>
      </c>
      <c r="R7345" s="55" t="n">
        <f aca="false">SUM(K7345:N7345)</f>
        <v>280508.077410379</v>
      </c>
      <c r="S7345" s="56" t="n">
        <f aca="false">SUM(P7345:R7345)</f>
        <v>484418.758692072</v>
      </c>
    </row>
    <row r="7346" customFormat="false" ht="15" hidden="false" customHeight="false" outlineLevel="0" collapsed="false">
      <c r="A7346" s="9" t="s">
        <v>543</v>
      </c>
      <c r="B7346" s="36" t="s">
        <v>125</v>
      </c>
      <c r="C7346" s="55" t="n">
        <f aca="false">(0+C7344)/8</f>
        <v>0</v>
      </c>
      <c r="D7346" s="55" t="n">
        <f aca="false">(C7344+D7344)/8</f>
        <v>1109.55414879845</v>
      </c>
      <c r="E7346" s="55" t="n">
        <f aca="false">(D7344+E7344)/8</f>
        <v>4679.15825878531</v>
      </c>
      <c r="F7346" s="55" t="n">
        <f aca="false">(E7344+F7344)/8</f>
        <v>10221.9846963884</v>
      </c>
      <c r="G7346" s="55" t="n">
        <f aca="false">(F7344+G7344)/8</f>
        <v>16735.0716382758</v>
      </c>
      <c r="H7346" s="55" t="n">
        <f aca="false">(G7344+H7344)/8</f>
        <v>24382.3410991992</v>
      </c>
      <c r="I7346" s="55" t="n">
        <f aca="false">(H7344+I7344)/8</f>
        <v>33676.9145930972</v>
      </c>
      <c r="J7346" s="55" t="n">
        <f aca="false">(I7344+J7344)/8</f>
        <v>45649.5890587293</v>
      </c>
      <c r="K7346" s="55" t="n">
        <f aca="false">(J7344+K7344)/8</f>
        <v>61454.2624515425</v>
      </c>
      <c r="L7346" s="55" t="n">
        <f aca="false">(K7344+L7344)/8</f>
        <v>79923.7965163037</v>
      </c>
      <c r="M7346" s="55" t="n">
        <f aca="false">(L7344+M7344)/8</f>
        <v>99015.6891181849</v>
      </c>
      <c r="N7346" s="55" t="n">
        <f aca="false">(M7344+N7344)/8</f>
        <v>117975.421381999</v>
      </c>
      <c r="P7346" s="55" t="n">
        <f aca="false">SUM(C7346:F7346)</f>
        <v>16010.6971039722</v>
      </c>
      <c r="Q7346" s="55" t="n">
        <f aca="false">SUM(G7346:J7346)</f>
        <v>120443.916389301</v>
      </c>
      <c r="R7346" s="55" t="n">
        <f aca="false">SUM(K7346:N7346)</f>
        <v>358369.16946803</v>
      </c>
      <c r="S7346" s="56" t="n">
        <f aca="false">SUM(P7346:R7346)</f>
        <v>494823.782961303</v>
      </c>
    </row>
    <row r="7347" customFormat="false" ht="15" hidden="false" customHeight="false" outlineLevel="0" collapsed="false">
      <c r="A7347" s="4" t="s">
        <v>544</v>
      </c>
      <c r="B7347" s="36" t="s">
        <v>125</v>
      </c>
      <c r="C7347" s="54" t="n">
        <f aca="false">C7346*Assumptions!$E$76</f>
        <v>0</v>
      </c>
      <c r="D7347" s="54" t="n">
        <f aca="false">D7346*Assumptions!$E$76</f>
        <v>721.21019671899</v>
      </c>
      <c r="E7347" s="54" t="n">
        <f aca="false">E7346*Assumptions!$E$76</f>
        <v>3041.45286821045</v>
      </c>
      <c r="F7347" s="54" t="n">
        <f aca="false">F7346*Assumptions!$E$76</f>
        <v>6644.29005265246</v>
      </c>
      <c r="G7347" s="54" t="n">
        <f aca="false">G7346*Assumptions!$E$76</f>
        <v>10877.7965648792</v>
      </c>
      <c r="H7347" s="54" t="n">
        <f aca="false">H7346*Assumptions!$E$76</f>
        <v>15848.5217144795</v>
      </c>
      <c r="I7347" s="54" t="n">
        <f aca="false">I7346*Assumptions!$E$76</f>
        <v>21889.9944855132</v>
      </c>
      <c r="J7347" s="54" t="n">
        <f aca="false">J7346*Assumptions!$E$76</f>
        <v>29672.2328881741</v>
      </c>
      <c r="K7347" s="54" t="n">
        <f aca="false">K7346*Assumptions!$E$76</f>
        <v>39945.2705935026</v>
      </c>
      <c r="L7347" s="54" t="n">
        <f aca="false">L7346*Assumptions!$E$76</f>
        <v>51950.4677355974</v>
      </c>
      <c r="M7347" s="54" t="n">
        <f aca="false">M7346*Assumptions!$E$76</f>
        <v>64360.1979268202</v>
      </c>
      <c r="N7347" s="54" t="n">
        <f aca="false">N7346*Assumptions!$E$76</f>
        <v>76684.0238982991</v>
      </c>
      <c r="P7347" s="55" t="n">
        <f aca="false">SUM(C7347:F7347)</f>
        <v>10406.9531175819</v>
      </c>
      <c r="Q7347" s="55" t="n">
        <f aca="false">SUM(G7347:J7347)</f>
        <v>78288.545653046</v>
      </c>
      <c r="R7347" s="55" t="n">
        <f aca="false">SUM(K7347:N7347)</f>
        <v>232939.960154219</v>
      </c>
      <c r="S7347" s="56" t="n">
        <f aca="false">SUM(P7347:R7347)</f>
        <v>321635.458924847</v>
      </c>
    </row>
    <row r="7348" customFormat="false" ht="15" hidden="false" customHeight="false" outlineLevel="0" collapsed="false">
      <c r="A7348" s="35" t="s">
        <v>547</v>
      </c>
      <c r="B7348" s="35" t="s">
        <v>444</v>
      </c>
      <c r="C7348" s="6" t="s">
        <v>354</v>
      </c>
      <c r="D7348" s="6" t="s">
        <v>355</v>
      </c>
      <c r="E7348" s="6" t="s">
        <v>356</v>
      </c>
      <c r="F7348" s="6" t="s">
        <v>357</v>
      </c>
      <c r="G7348" s="6" t="s">
        <v>358</v>
      </c>
      <c r="H7348" s="6" t="s">
        <v>359</v>
      </c>
      <c r="I7348" s="6" t="s">
        <v>360</v>
      </c>
      <c r="J7348" s="6" t="s">
        <v>361</v>
      </c>
      <c r="K7348" s="6" t="s">
        <v>362</v>
      </c>
      <c r="L7348" s="6" t="s">
        <v>363</v>
      </c>
      <c r="M7348" s="6" t="s">
        <v>364</v>
      </c>
      <c r="N7348" s="6" t="s">
        <v>365</v>
      </c>
      <c r="P7348" s="6" t="s">
        <v>445</v>
      </c>
      <c r="Q7348" s="6" t="s">
        <v>446</v>
      </c>
      <c r="R7348" s="6" t="s">
        <v>447</v>
      </c>
      <c r="S7348" s="6" t="s">
        <v>448</v>
      </c>
    </row>
    <row r="7349" customFormat="false" ht="15" hidden="false" customHeight="false" outlineLevel="0" collapsed="false">
      <c r="A7349" s="4" t="s">
        <v>548</v>
      </c>
      <c r="B7349" s="36" t="s">
        <v>321</v>
      </c>
      <c r="C7349" s="48" t="n">
        <f aca="false">Assumptions!$D$97*C7291</f>
        <v>1</v>
      </c>
      <c r="D7349" s="48" t="n">
        <f aca="false">Assumptions!$D$97*D7291</f>
        <v>1</v>
      </c>
      <c r="E7349" s="48" t="n">
        <f aca="false">Assumptions!$D$97*E7291</f>
        <v>1</v>
      </c>
      <c r="F7349" s="48" t="n">
        <f aca="false">Assumptions!$D$97*F7291</f>
        <v>1</v>
      </c>
      <c r="G7349" s="48" t="n">
        <f aca="false">Assumptions!$D$97*G7291</f>
        <v>1</v>
      </c>
      <c r="H7349" s="48" t="n">
        <f aca="false">Assumptions!$D$97*H7291</f>
        <v>1</v>
      </c>
      <c r="I7349" s="48" t="n">
        <f aca="false">Assumptions!$D$97*I7291</f>
        <v>1</v>
      </c>
      <c r="J7349" s="48" t="n">
        <f aca="false">Assumptions!$D$97*J7291</f>
        <v>1</v>
      </c>
      <c r="K7349" s="48" t="n">
        <f aca="false">Assumptions!$D$97*K7291</f>
        <v>1</v>
      </c>
      <c r="L7349" s="48" t="n">
        <f aca="false">Assumptions!$D$97*L7291</f>
        <v>1</v>
      </c>
      <c r="M7349" s="48" t="n">
        <f aca="false">Assumptions!$D$97*M7291</f>
        <v>1</v>
      </c>
      <c r="N7349" s="48" t="n">
        <f aca="false">Assumptions!$D$97*N7291</f>
        <v>1</v>
      </c>
      <c r="P7349" s="49" t="n">
        <f aca="false">AVERAGE(C7349:F7349)</f>
        <v>1</v>
      </c>
      <c r="Q7349" s="49" t="n">
        <f aca="false">AVERAGE(G7349:J7349)</f>
        <v>1</v>
      </c>
      <c r="R7349" s="49" t="n">
        <f aca="false">AVERAGE(K7349:N7349)</f>
        <v>1</v>
      </c>
      <c r="S7349" s="50"/>
    </row>
    <row r="7350" customFormat="false" ht="15" hidden="false" customHeight="false" outlineLevel="0" collapsed="false">
      <c r="A7350" s="4" t="s">
        <v>549</v>
      </c>
      <c r="B7350" s="36" t="s">
        <v>321</v>
      </c>
      <c r="C7350" s="48" t="n">
        <f aca="false">C7304*C7291</f>
        <v>0</v>
      </c>
      <c r="D7350" s="48" t="n">
        <f aca="false">D7304*D7291</f>
        <v>0</v>
      </c>
      <c r="E7350" s="48" t="n">
        <f aca="false">E7304*E7291</f>
        <v>0</v>
      </c>
      <c r="F7350" s="48" t="n">
        <f aca="false">F7304*F7291</f>
        <v>0</v>
      </c>
      <c r="G7350" s="48" t="n">
        <f aca="false">G7304*G7291</f>
        <v>0</v>
      </c>
      <c r="H7350" s="48" t="n">
        <f aca="false">H7304*H7291</f>
        <v>0</v>
      </c>
      <c r="I7350" s="48" t="n">
        <f aca="false">I7304*I7291</f>
        <v>0</v>
      </c>
      <c r="J7350" s="48" t="n">
        <f aca="false">J7304*J7291</f>
        <v>0</v>
      </c>
      <c r="K7350" s="48" t="n">
        <f aca="false">K7304*K7291</f>
        <v>0</v>
      </c>
      <c r="L7350" s="48" t="n">
        <f aca="false">L7304*L7291</f>
        <v>0</v>
      </c>
      <c r="M7350" s="48" t="n">
        <f aca="false">M7304*M7291</f>
        <v>0</v>
      </c>
      <c r="N7350" s="48" t="n">
        <f aca="false">N7304*N7291</f>
        <v>0</v>
      </c>
      <c r="P7350" s="49" t="n">
        <f aca="false">AVERAGE(C7350:F7350)</f>
        <v>0</v>
      </c>
      <c r="Q7350" s="49" t="n">
        <f aca="false">AVERAGE(G7350:J7350)</f>
        <v>0</v>
      </c>
      <c r="R7350" s="49" t="n">
        <f aca="false">AVERAGE(K7350:N7350)</f>
        <v>0</v>
      </c>
      <c r="S7350" s="50"/>
    </row>
    <row r="7351" customFormat="false" ht="15" hidden="false" customHeight="false" outlineLevel="0" collapsed="false">
      <c r="A7351" s="4" t="s">
        <v>550</v>
      </c>
      <c r="B7351" s="36" t="s">
        <v>321</v>
      </c>
      <c r="C7351" s="48" t="n">
        <f aca="false">IF(C7290&lt;=4,Assumptions!$D$98,Assumptions!$D$99)*C7291</f>
        <v>0</v>
      </c>
      <c r="D7351" s="48" t="n">
        <f aca="false">IF(D7290&lt;=4,Assumptions!$D$98,Assumptions!$D$99)*D7291</f>
        <v>0</v>
      </c>
      <c r="E7351" s="48" t="n">
        <f aca="false">IF(E7290&lt;=4,Assumptions!$D$98,Assumptions!$D$99)*E7291</f>
        <v>0</v>
      </c>
      <c r="F7351" s="48" t="n">
        <f aca="false">IF(F7290&lt;=4,Assumptions!$D$98,Assumptions!$D$99)*F7291</f>
        <v>0</v>
      </c>
      <c r="G7351" s="48" t="n">
        <f aca="false">IF(G7290&lt;=4,Assumptions!$D$98,Assumptions!$D$99)*G7291</f>
        <v>0.5</v>
      </c>
      <c r="H7351" s="48" t="n">
        <f aca="false">IF(H7290&lt;=4,Assumptions!$D$98,Assumptions!$D$99)*H7291</f>
        <v>0.5</v>
      </c>
      <c r="I7351" s="48" t="n">
        <f aca="false">IF(I7290&lt;=4,Assumptions!$D$98,Assumptions!$D$99)*I7291</f>
        <v>0.5</v>
      </c>
      <c r="J7351" s="48" t="n">
        <f aca="false">IF(J7290&lt;=4,Assumptions!$D$98,Assumptions!$D$99)*J7291</f>
        <v>0.5</v>
      </c>
      <c r="K7351" s="48" t="n">
        <f aca="false">IF(K7290&lt;=4,Assumptions!$D$98,Assumptions!$D$99)*K7291</f>
        <v>0.5</v>
      </c>
      <c r="L7351" s="48" t="n">
        <f aca="false">IF(L7290&lt;=4,Assumptions!$D$98,Assumptions!$D$99)*L7291</f>
        <v>0.5</v>
      </c>
      <c r="M7351" s="48" t="n">
        <f aca="false">IF(M7290&lt;=4,Assumptions!$D$98,Assumptions!$D$99)*M7291</f>
        <v>0.5</v>
      </c>
      <c r="N7351" s="48" t="n">
        <f aca="false">IF(N7290&lt;=4,Assumptions!$D$98,Assumptions!$D$99)*N7291</f>
        <v>0.5</v>
      </c>
      <c r="P7351" s="49" t="n">
        <f aca="false">AVERAGE(C7351:F7351)</f>
        <v>0</v>
      </c>
      <c r="Q7351" s="49" t="n">
        <f aca="false">AVERAGE(G7351:J7351)</f>
        <v>0.5</v>
      </c>
      <c r="R7351" s="49" t="n">
        <f aca="false">AVERAGE(K7351:N7351)</f>
        <v>0.5</v>
      </c>
      <c r="S7351" s="50"/>
    </row>
    <row r="7352" customFormat="false" ht="15" hidden="false" customHeight="false" outlineLevel="0" collapsed="false">
      <c r="A7352" s="4" t="s">
        <v>551</v>
      </c>
      <c r="B7352" s="36" t="s">
        <v>321</v>
      </c>
      <c r="C7352" s="48" t="n">
        <f aca="false">IF(C7290&lt;=4,Assumptions!$D$100,Assumptions!$D$101)*C7291</f>
        <v>1</v>
      </c>
      <c r="D7352" s="48" t="n">
        <f aca="false">IF(D7290&lt;=4,Assumptions!$D$100,Assumptions!$D$101)*D7291</f>
        <v>1</v>
      </c>
      <c r="E7352" s="48" t="n">
        <f aca="false">IF(E7290&lt;=4,Assumptions!$D$100,Assumptions!$D$101)*E7291</f>
        <v>1</v>
      </c>
      <c r="F7352" s="48" t="n">
        <f aca="false">IF(F7290&lt;=4,Assumptions!$D$100,Assumptions!$D$101)*F7291</f>
        <v>1</v>
      </c>
      <c r="G7352" s="48" t="n">
        <f aca="false">IF(G7290&lt;=4,Assumptions!$D$100,Assumptions!$D$101)*G7291</f>
        <v>0.5</v>
      </c>
      <c r="H7352" s="48" t="n">
        <f aca="false">IF(H7290&lt;=4,Assumptions!$D$100,Assumptions!$D$101)*H7291</f>
        <v>0.5</v>
      </c>
      <c r="I7352" s="48" t="n">
        <f aca="false">IF(I7290&lt;=4,Assumptions!$D$100,Assumptions!$D$101)*I7291</f>
        <v>0.5</v>
      </c>
      <c r="J7352" s="48" t="n">
        <f aca="false">IF(J7290&lt;=4,Assumptions!$D$100,Assumptions!$D$101)*J7291</f>
        <v>0.5</v>
      </c>
      <c r="K7352" s="48" t="n">
        <f aca="false">IF(K7290&lt;=4,Assumptions!$D$100,Assumptions!$D$101)*K7291</f>
        <v>0.5</v>
      </c>
      <c r="L7352" s="48" t="n">
        <f aca="false">IF(L7290&lt;=4,Assumptions!$D$100,Assumptions!$D$101)*L7291</f>
        <v>0.5</v>
      </c>
      <c r="M7352" s="48" t="n">
        <f aca="false">IF(M7290&lt;=4,Assumptions!$D$100,Assumptions!$D$101)*M7291</f>
        <v>0.5</v>
      </c>
      <c r="N7352" s="48" t="n">
        <f aca="false">IF(N7290&lt;=4,Assumptions!$D$100,Assumptions!$D$101)*N7291</f>
        <v>0.5</v>
      </c>
      <c r="P7352" s="49" t="n">
        <f aca="false">AVERAGE(C7352:F7352)</f>
        <v>1</v>
      </c>
      <c r="Q7352" s="49" t="n">
        <f aca="false">AVERAGE(G7352:J7352)</f>
        <v>0.5</v>
      </c>
      <c r="R7352" s="49" t="n">
        <f aca="false">AVERAGE(K7352:N7352)</f>
        <v>0.5</v>
      </c>
      <c r="S7352" s="50"/>
    </row>
    <row r="7353" customFormat="false" ht="15" hidden="false" customHeight="false" outlineLevel="0" collapsed="false">
      <c r="A7353" s="4" t="s">
        <v>552</v>
      </c>
      <c r="B7353" s="36" t="s">
        <v>321</v>
      </c>
      <c r="C7353" s="48" t="n">
        <f aca="false">Assumptions!$D$102*C7291</f>
        <v>0.25</v>
      </c>
      <c r="D7353" s="48" t="n">
        <f aca="false">Assumptions!$D$102*D7291</f>
        <v>0.25</v>
      </c>
      <c r="E7353" s="48" t="n">
        <f aca="false">Assumptions!$D$102*E7291</f>
        <v>0.25</v>
      </c>
      <c r="F7353" s="48" t="n">
        <f aca="false">Assumptions!$D$102*F7291</f>
        <v>0.25</v>
      </c>
      <c r="G7353" s="48" t="n">
        <f aca="false">Assumptions!$D$102*G7291</f>
        <v>0.25</v>
      </c>
      <c r="H7353" s="48" t="n">
        <f aca="false">Assumptions!$D$102*H7291</f>
        <v>0.25</v>
      </c>
      <c r="I7353" s="48" t="n">
        <f aca="false">Assumptions!$D$102*I7291</f>
        <v>0.25</v>
      </c>
      <c r="J7353" s="48" t="n">
        <f aca="false">Assumptions!$D$102*J7291</f>
        <v>0.25</v>
      </c>
      <c r="K7353" s="48" t="n">
        <f aca="false">Assumptions!$D$102*K7291</f>
        <v>0.25</v>
      </c>
      <c r="L7353" s="48" t="n">
        <f aca="false">Assumptions!$D$102*L7291</f>
        <v>0.25</v>
      </c>
      <c r="M7353" s="48" t="n">
        <f aca="false">Assumptions!$D$102*M7291</f>
        <v>0.25</v>
      </c>
      <c r="N7353" s="48" t="n">
        <f aca="false">Assumptions!$D$102*N7291</f>
        <v>0.25</v>
      </c>
      <c r="P7353" s="49" t="n">
        <f aca="false">AVERAGE(C7353:F7353)</f>
        <v>0.25</v>
      </c>
      <c r="Q7353" s="49" t="n">
        <f aca="false">AVERAGE(G7353:J7353)</f>
        <v>0.25</v>
      </c>
      <c r="R7353" s="49" t="n">
        <f aca="false">AVERAGE(K7353:N7353)</f>
        <v>0.25</v>
      </c>
      <c r="S7353" s="50"/>
    </row>
    <row r="7354" customFormat="false" ht="15" hidden="false" customHeight="false" outlineLevel="0" collapsed="false">
      <c r="A7354" s="4" t="s">
        <v>553</v>
      </c>
      <c r="B7354" s="36" t="s">
        <v>321</v>
      </c>
      <c r="C7354" s="48" t="n">
        <f aca="false">(C7338+C7339)/Assumptions!$E$74+C7337/Assumptions!$E$75</f>
        <v>0</v>
      </c>
      <c r="D7354" s="48" t="n">
        <f aca="false">(D7338+D7339)/Assumptions!$E$74+D7337/Assumptions!$E$75</f>
        <v>0.0143176301374139</v>
      </c>
      <c r="E7354" s="48" t="n">
        <f aca="false">(E7338+E7339)/Assumptions!$E$74+E7337/Assumptions!$E$75</f>
        <v>0.0402499456767798</v>
      </c>
      <c r="F7354" s="48" t="n">
        <f aca="false">(F7338+F7339)/Assumptions!$E$74+F7337/Assumptions!$E$75</f>
        <v>0.069296156601371</v>
      </c>
      <c r="G7354" s="48" t="n">
        <f aca="false">(G7338+G7339)/Assumptions!$E$74+G7337/Assumptions!$E$75</f>
        <v>0.100475077199051</v>
      </c>
      <c r="H7354" s="48" t="n">
        <f aca="false">(H7338+H7339)/Assumptions!$E$74+H7337/Assumptions!$E$75</f>
        <v>0.139084643227244</v>
      </c>
      <c r="I7354" s="48" t="n">
        <f aca="false">(I7338+I7339)/Assumptions!$E$74+I7337/Assumptions!$E$75</f>
        <v>0.184756080005146</v>
      </c>
      <c r="J7354" s="48" t="n">
        <f aca="false">(J7338+J7339)/Assumptions!$E$74+J7337/Assumptions!$E$75</f>
        <v>0.248473880206466</v>
      </c>
      <c r="K7354" s="48" t="n">
        <f aca="false">(K7338+K7339)/Assumptions!$E$74+K7337/Assumptions!$E$75</f>
        <v>0.329218871456529</v>
      </c>
      <c r="L7354" s="48" t="n">
        <f aca="false">(L7338+L7339)/Assumptions!$E$74+L7337/Assumptions!$E$75</f>
        <v>0.409912468045788</v>
      </c>
      <c r="M7354" s="48" t="n">
        <f aca="false">(M7338+M7339)/Assumptions!$E$74+M7337/Assumptions!$E$75</f>
        <v>0.486094517455055</v>
      </c>
      <c r="N7354" s="48" t="n">
        <f aca="false">(N7338+N7339)/Assumptions!$E$74+N7337/Assumptions!$E$75</f>
        <v>0.557753573090085</v>
      </c>
      <c r="P7354" s="49" t="n">
        <f aca="false">AVERAGE(C7354:F7354)</f>
        <v>0.0309659331038912</v>
      </c>
      <c r="Q7354" s="49" t="n">
        <f aca="false">AVERAGE(G7354:J7354)</f>
        <v>0.168197420159477</v>
      </c>
      <c r="R7354" s="49" t="n">
        <f aca="false">AVERAGE(K7354:N7354)</f>
        <v>0.445744857511864</v>
      </c>
      <c r="S7354" s="50"/>
    </row>
    <row r="7355" customFormat="false" ht="15" hidden="false" customHeight="false" outlineLevel="0" collapsed="false">
      <c r="A7355" s="4" t="s">
        <v>554</v>
      </c>
      <c r="B7355" s="36" t="s">
        <v>125</v>
      </c>
      <c r="C7355" s="54" t="n">
        <f aca="false">(C7349+C7351)*Assumptions!$E$70/Assumptions!$E$69/4</f>
        <v>66753.5714285714</v>
      </c>
      <c r="D7355" s="54" t="n">
        <f aca="false">(D7349+D7351)*Assumptions!$E$70/Assumptions!$E$69/4</f>
        <v>66753.5714285714</v>
      </c>
      <c r="E7355" s="54" t="n">
        <f aca="false">(E7349+E7351)*Assumptions!$E$70/Assumptions!$E$69/4</f>
        <v>66753.5714285714</v>
      </c>
      <c r="F7355" s="54" t="n">
        <f aca="false">(F7349+F7351)*Assumptions!$E$70/Assumptions!$E$69/4</f>
        <v>66753.5714285714</v>
      </c>
      <c r="G7355" s="54" t="n">
        <f aca="false">(G7349+G7351)*Assumptions!$E$70/Assumptions!$E$69/4</f>
        <v>100130.357142857</v>
      </c>
      <c r="H7355" s="54" t="n">
        <f aca="false">(H7349+H7351)*Assumptions!$E$70/Assumptions!$E$69/4</f>
        <v>100130.357142857</v>
      </c>
      <c r="I7355" s="54" t="n">
        <f aca="false">(I7349+I7351)*Assumptions!$E$70/Assumptions!$E$69/4</f>
        <v>100130.357142857</v>
      </c>
      <c r="J7355" s="54" t="n">
        <f aca="false">(J7349+J7351)*Assumptions!$E$70/Assumptions!$E$69/4</f>
        <v>100130.357142857</v>
      </c>
      <c r="K7355" s="54" t="n">
        <f aca="false">(K7349+K7351)*Assumptions!$E$70/Assumptions!$E$69/4</f>
        <v>100130.357142857</v>
      </c>
      <c r="L7355" s="54" t="n">
        <f aca="false">(L7349+L7351)*Assumptions!$E$70/Assumptions!$E$69/4</f>
        <v>100130.357142857</v>
      </c>
      <c r="M7355" s="54" t="n">
        <f aca="false">(M7349+M7351)*Assumptions!$E$70/Assumptions!$E$69/4</f>
        <v>100130.357142857</v>
      </c>
      <c r="N7355" s="54" t="n">
        <f aca="false">(N7349+N7351)*Assumptions!$E$70/Assumptions!$E$69/4</f>
        <v>100130.357142857</v>
      </c>
      <c r="P7355" s="55" t="n">
        <f aca="false">SUM(C7355:F7355)</f>
        <v>267014.285714286</v>
      </c>
      <c r="Q7355" s="55" t="n">
        <f aca="false">SUM(G7355:J7355)</f>
        <v>400521.428571429</v>
      </c>
      <c r="R7355" s="55" t="n">
        <f aca="false">SUM(K7355:N7355)</f>
        <v>400521.428571429</v>
      </c>
      <c r="S7355" s="56" t="n">
        <f aca="false">SUM(P7355:R7355)</f>
        <v>1068057.14285714</v>
      </c>
    </row>
    <row r="7356" customFormat="false" ht="15" hidden="false" customHeight="false" outlineLevel="0" collapsed="false">
      <c r="A7356" s="4" t="s">
        <v>555</v>
      </c>
      <c r="B7356" s="36" t="s">
        <v>125</v>
      </c>
      <c r="C7356" s="54" t="n">
        <f aca="false">C7350*$C$7285/4</f>
        <v>0</v>
      </c>
      <c r="D7356" s="54" t="n">
        <f aca="false">D7350*$C$7285/4</f>
        <v>0</v>
      </c>
      <c r="E7356" s="54" t="n">
        <f aca="false">E7350*$C$7285/4</f>
        <v>0</v>
      </c>
      <c r="F7356" s="54" t="n">
        <f aca="false">F7350*$C$7285/4</f>
        <v>0</v>
      </c>
      <c r="G7356" s="54" t="n">
        <f aca="false">G7350*$C$7285/4</f>
        <v>0</v>
      </c>
      <c r="H7356" s="54" t="n">
        <f aca="false">H7350*$C$7285/4</f>
        <v>0</v>
      </c>
      <c r="I7356" s="54" t="n">
        <f aca="false">I7350*$C$7285/4</f>
        <v>0</v>
      </c>
      <c r="J7356" s="54" t="n">
        <f aca="false">J7350*$C$7285/4</f>
        <v>0</v>
      </c>
      <c r="K7356" s="54" t="n">
        <f aca="false">K7350*$C$7285/4</f>
        <v>0</v>
      </c>
      <c r="L7356" s="54" t="n">
        <f aca="false">L7350*$C$7285/4</f>
        <v>0</v>
      </c>
      <c r="M7356" s="54" t="n">
        <f aca="false">M7350*$C$7285/4</f>
        <v>0</v>
      </c>
      <c r="N7356" s="54" t="n">
        <f aca="false">N7350*$C$7285/4</f>
        <v>0</v>
      </c>
      <c r="P7356" s="55" t="n">
        <f aca="false">SUM(C7356:F7356)</f>
        <v>0</v>
      </c>
      <c r="Q7356" s="55" t="n">
        <f aca="false">SUM(G7356:J7356)</f>
        <v>0</v>
      </c>
      <c r="R7356" s="55" t="n">
        <f aca="false">SUM(K7356:N7356)</f>
        <v>0</v>
      </c>
      <c r="S7356" s="56" t="n">
        <f aca="false">SUM(P7356:R7356)</f>
        <v>0</v>
      </c>
    </row>
    <row r="7357" customFormat="false" ht="15" hidden="false" customHeight="false" outlineLevel="0" collapsed="false">
      <c r="A7357" s="4" t="s">
        <v>556</v>
      </c>
      <c r="B7357" s="36" t="s">
        <v>125</v>
      </c>
      <c r="C7357" s="54" t="n">
        <f aca="false">MAX(0,(C7345-C7326*$C$7281)-C7305*$C$7286)*$C$7287*Assumptions!$D$105</f>
        <v>0</v>
      </c>
      <c r="D7357" s="54" t="n">
        <f aca="false">MAX(0,(D7345-D7326*$C$7281)-D7305*$C$7286)*$C$7287*Assumptions!$D$105</f>
        <v>3816.16614819545</v>
      </c>
      <c r="E7357" s="54" t="n">
        <f aca="false">MAX(0,(E7345-E7326*$C$7281)-E7305*$C$7286)*$C$7287*Assumptions!$D$105</f>
        <v>8595.21908153898</v>
      </c>
      <c r="F7357" s="54" t="n">
        <f aca="false">MAX(0,(F7345-F7326*$C$7281)-F7305*$C$7286)*$C$7287*Assumptions!$D$105</f>
        <v>10738.3822039641</v>
      </c>
      <c r="G7357" s="54" t="n">
        <f aca="false">MAX(0,(G7345-G7326*$C$7281)-G7305*$C$7286)*$C$7287*Assumptions!$D$105</f>
        <v>11792.7774281503</v>
      </c>
      <c r="H7357" s="54" t="n">
        <f aca="false">MAX(0,(H7345-H7326*$C$7281)-H7305*$C$7286)*$C$7287*Assumptions!$D$105</f>
        <v>14328.1673846804</v>
      </c>
      <c r="I7357" s="54" t="n">
        <f aca="false">MAX(0,(I7345-I7326*$C$7281)-I7305*$C$7286)*$C$7287*Assumptions!$D$105</f>
        <v>17117.4426229755</v>
      </c>
      <c r="J7357" s="54" t="n">
        <f aca="false">MAX(0,(J7345-J7326*$C$7281)-J7305*$C$7286)*$C$7287*Assumptions!$D$105</f>
        <v>23106.7740979848</v>
      </c>
      <c r="K7357" s="54" t="n">
        <f aca="false">MAX(0,(K7345-K7326*$C$7281)-K7305*$C$7286)*$C$7287*Assumptions!$D$105</f>
        <v>29809.5366990375</v>
      </c>
      <c r="L7357" s="54" t="n">
        <f aca="false">MAX(0,(L7345-L7326*$C$7281)-L7305*$C$7286)*$C$7287*Assumptions!$D$105</f>
        <v>31750.7286375781</v>
      </c>
      <c r="M7357" s="54" t="n">
        <f aca="false">MAX(0,(M7345-M7326*$C$7281)-M7305*$C$7286)*$C$7287*Assumptions!$D$105</f>
        <v>31156.8595141717</v>
      </c>
      <c r="N7357" s="54" t="n">
        <f aca="false">MAX(0,(N7345-N7326*$C$7281)-N7305*$C$7286)*$C$7287*Assumptions!$D$105</f>
        <v>30260.6223227308</v>
      </c>
      <c r="P7357" s="55" t="n">
        <f aca="false">SUM(C7357:F7357)</f>
        <v>23149.7674336985</v>
      </c>
      <c r="Q7357" s="55" t="n">
        <f aca="false">SUM(G7357:J7357)</f>
        <v>66345.161533791</v>
      </c>
      <c r="R7357" s="55" t="n">
        <f aca="false">SUM(K7357:N7357)</f>
        <v>122977.747173518</v>
      </c>
      <c r="S7357" s="56" t="n">
        <f aca="false">SUM(P7357:R7357)</f>
        <v>212472.676141008</v>
      </c>
    </row>
    <row r="7358" customFormat="false" ht="15" hidden="false" customHeight="false" outlineLevel="0" collapsed="false">
      <c r="A7358" s="4" t="s">
        <v>557</v>
      </c>
      <c r="B7358" s="36" t="s">
        <v>125</v>
      </c>
      <c r="C7358" s="54" t="n">
        <f aca="false">C7353*Assumptions!$E$71/Assumptions!$E$69/4</f>
        <v>18475.8928571429</v>
      </c>
      <c r="D7358" s="54" t="n">
        <f aca="false">D7353*Assumptions!$E$71/Assumptions!$E$69/4</f>
        <v>18475.8928571429</v>
      </c>
      <c r="E7358" s="54" t="n">
        <f aca="false">E7353*Assumptions!$E$71/Assumptions!$E$69/4</f>
        <v>18475.8928571429</v>
      </c>
      <c r="F7358" s="54" t="n">
        <f aca="false">F7353*Assumptions!$E$71/Assumptions!$E$69/4</f>
        <v>18475.8928571429</v>
      </c>
      <c r="G7358" s="54" t="n">
        <f aca="false">G7353*Assumptions!$E$71/Assumptions!$E$69/4</f>
        <v>18475.8928571429</v>
      </c>
      <c r="H7358" s="54" t="n">
        <f aca="false">H7353*Assumptions!$E$71/Assumptions!$E$69/4</f>
        <v>18475.8928571429</v>
      </c>
      <c r="I7358" s="54" t="n">
        <f aca="false">I7353*Assumptions!$E$71/Assumptions!$E$69/4</f>
        <v>18475.8928571429</v>
      </c>
      <c r="J7358" s="54" t="n">
        <f aca="false">J7353*Assumptions!$E$71/Assumptions!$E$69/4</f>
        <v>18475.8928571429</v>
      </c>
      <c r="K7358" s="54" t="n">
        <f aca="false">K7353*Assumptions!$E$71/Assumptions!$E$69/4</f>
        <v>18475.8928571429</v>
      </c>
      <c r="L7358" s="54" t="n">
        <f aca="false">L7353*Assumptions!$E$71/Assumptions!$E$69/4</f>
        <v>18475.8928571429</v>
      </c>
      <c r="M7358" s="54" t="n">
        <f aca="false">M7353*Assumptions!$E$71/Assumptions!$E$69/4</f>
        <v>18475.8928571429</v>
      </c>
      <c r="N7358" s="54" t="n">
        <f aca="false">N7353*Assumptions!$E$71/Assumptions!$E$69/4</f>
        <v>18475.8928571429</v>
      </c>
      <c r="P7358" s="55" t="n">
        <f aca="false">SUM(C7358:F7358)</f>
        <v>73903.5714285714</v>
      </c>
      <c r="Q7358" s="55" t="n">
        <f aca="false">SUM(G7358:J7358)</f>
        <v>73903.5714285714</v>
      </c>
      <c r="R7358" s="55" t="n">
        <f aca="false">SUM(K7358:N7358)</f>
        <v>73903.5714285714</v>
      </c>
      <c r="S7358" s="56" t="n">
        <f aca="false">SUM(P7358:R7358)</f>
        <v>221710.714285714</v>
      </c>
    </row>
    <row r="7359" customFormat="false" ht="15" hidden="false" customHeight="false" outlineLevel="0" collapsed="false">
      <c r="A7359" s="4" t="s">
        <v>558</v>
      </c>
      <c r="B7359" s="36" t="s">
        <v>125</v>
      </c>
      <c r="C7359" s="54" t="n">
        <f aca="false">(Assumptions!$D$103+Assumptions!$E$77*((C7290=Assumptions!$E$13)+(C7290=Assumptions!$E$14)+(C7290=Assumptions!$E$15)))*C7291</f>
        <v>65000</v>
      </c>
      <c r="D7359" s="54" t="n">
        <f aca="false">(Assumptions!$D$103+Assumptions!$E$77*((D7290=Assumptions!$E$13)+(D7290=Assumptions!$E$14)+(D7290=Assumptions!$E$15)))*D7291</f>
        <v>25000</v>
      </c>
      <c r="E7359" s="54" t="n">
        <f aca="false">(Assumptions!$D$103+Assumptions!$E$77*((E7290=Assumptions!$E$13)+(E7290=Assumptions!$E$14)+(E7290=Assumptions!$E$15)))*E7291</f>
        <v>25000</v>
      </c>
      <c r="F7359" s="54" t="n">
        <f aca="false">(Assumptions!$D$103+Assumptions!$E$77*((F7290=Assumptions!$E$13)+(F7290=Assumptions!$E$14)+(F7290=Assumptions!$E$15)))*F7291</f>
        <v>25000</v>
      </c>
      <c r="G7359" s="54" t="n">
        <f aca="false">(Assumptions!$D$103+Assumptions!$E$77*((G7290=Assumptions!$E$13)+(G7290=Assumptions!$E$14)+(G7290=Assumptions!$E$15)))*G7291</f>
        <v>65000</v>
      </c>
      <c r="H7359" s="54" t="n">
        <f aca="false">(Assumptions!$D$103+Assumptions!$E$77*((H7290=Assumptions!$E$13)+(H7290=Assumptions!$E$14)+(H7290=Assumptions!$E$15)))*H7291</f>
        <v>25000</v>
      </c>
      <c r="I7359" s="54" t="n">
        <f aca="false">(Assumptions!$D$103+Assumptions!$E$77*((I7290=Assumptions!$E$13)+(I7290=Assumptions!$E$14)+(I7290=Assumptions!$E$15)))*I7291</f>
        <v>65000</v>
      </c>
      <c r="J7359" s="54" t="n">
        <f aca="false">(Assumptions!$D$103+Assumptions!$E$77*((J7290=Assumptions!$E$13)+(J7290=Assumptions!$E$14)+(J7290=Assumptions!$E$15)))*J7291</f>
        <v>25000</v>
      </c>
      <c r="K7359" s="54" t="n">
        <f aca="false">(Assumptions!$D$103+Assumptions!$E$77*((K7290=Assumptions!$E$13)+(K7290=Assumptions!$E$14)+(K7290=Assumptions!$E$15)))*K7291</f>
        <v>25000</v>
      </c>
      <c r="L7359" s="54" t="n">
        <f aca="false">(Assumptions!$D$103+Assumptions!$E$77*((L7290=Assumptions!$E$13)+(L7290=Assumptions!$E$14)+(L7290=Assumptions!$E$15)))*L7291</f>
        <v>25000</v>
      </c>
      <c r="M7359" s="54" t="n">
        <f aca="false">(Assumptions!$D$103+Assumptions!$E$77*((M7290=Assumptions!$E$13)+(M7290=Assumptions!$E$14)+(M7290=Assumptions!$E$15)))*M7291</f>
        <v>25000</v>
      </c>
      <c r="N7359" s="54" t="n">
        <f aca="false">(Assumptions!$D$103+Assumptions!$E$77*((N7290=Assumptions!$E$13)+(N7290=Assumptions!$E$14)+(N7290=Assumptions!$E$15)))*N7291</f>
        <v>25000</v>
      </c>
      <c r="P7359" s="55" t="n">
        <f aca="false">SUM(C7359:F7359)</f>
        <v>140000</v>
      </c>
      <c r="Q7359" s="55" t="n">
        <f aca="false">SUM(G7359:J7359)</f>
        <v>180000</v>
      </c>
      <c r="R7359" s="55" t="n">
        <f aca="false">SUM(K7359:N7359)</f>
        <v>100000</v>
      </c>
      <c r="S7359" s="56" t="n">
        <f aca="false">SUM(P7359:R7359)</f>
        <v>420000</v>
      </c>
    </row>
    <row r="7360" customFormat="false" ht="15" hidden="false" customHeight="false" outlineLevel="0" collapsed="false">
      <c r="A7360" s="4" t="s">
        <v>559</v>
      </c>
      <c r="B7360" s="36" t="s">
        <v>125</v>
      </c>
      <c r="C7360" s="54" t="n">
        <f aca="false">C7345*C7325*Assumptions!$E$79</f>
        <v>0</v>
      </c>
      <c r="D7360" s="54" t="n">
        <f aca="false">D7345*D7325*Assumptions!$E$79</f>
        <v>815.338873355417</v>
      </c>
      <c r="E7360" s="54" t="n">
        <f aca="false">E7345*E7325*Assumptions!$E$79</f>
        <v>1576.95453714349</v>
      </c>
      <c r="F7360" s="54" t="n">
        <f aca="false">F7345*F7325*Assumptions!$E$79</f>
        <v>2363.78759030579</v>
      </c>
      <c r="G7360" s="54" t="n">
        <f aca="false">G7345*G7325*Assumptions!$E$79</f>
        <v>2961.23316349717</v>
      </c>
      <c r="H7360" s="54" t="n">
        <f aca="false">H7345*H7325*Assumptions!$E$79</f>
        <v>3401.8566535345</v>
      </c>
      <c r="I7360" s="54" t="n">
        <f aca="false">I7345*I7325*Assumptions!$E$79</f>
        <v>3951.44098442022</v>
      </c>
      <c r="J7360" s="54" t="n">
        <f aca="false">J7345*J7325*Assumptions!$E$79</f>
        <v>4240.17604272452</v>
      </c>
      <c r="K7360" s="54" t="n">
        <f aca="false">K7345*K7325*Assumptions!$E$79</f>
        <v>4805.46240923336</v>
      </c>
      <c r="L7360" s="54" t="n">
        <f aca="false">L7345*L7325*Assumptions!$E$79</f>
        <v>5627.63185752923</v>
      </c>
      <c r="M7360" s="54" t="n">
        <f aca="false">M7345*M7325*Assumptions!$E$79</f>
        <v>5687.10015383768</v>
      </c>
      <c r="N7360" s="54" t="n">
        <f aca="false">N7345*N7325*Assumptions!$E$79</f>
        <v>5685.06198652904</v>
      </c>
      <c r="P7360" s="55" t="n">
        <f aca="false">SUM(C7360:F7360)</f>
        <v>4756.0810008047</v>
      </c>
      <c r="Q7360" s="55" t="n">
        <f aca="false">SUM(G7360:J7360)</f>
        <v>14554.7068441764</v>
      </c>
      <c r="R7360" s="55" t="n">
        <f aca="false">SUM(K7360:N7360)</f>
        <v>21805.2564071293</v>
      </c>
      <c r="S7360" s="56" t="n">
        <f aca="false">SUM(P7360:R7360)</f>
        <v>41116.0442521104</v>
      </c>
    </row>
    <row r="7361" customFormat="false" ht="15" hidden="false" customHeight="false" outlineLevel="0" collapsed="false">
      <c r="A7361" s="4" t="s">
        <v>560</v>
      </c>
      <c r="B7361" s="36" t="s">
        <v>125</v>
      </c>
      <c r="C7361" s="54" t="n">
        <f aca="false">C7310*Assumptions!$E$80</f>
        <v>4000</v>
      </c>
      <c r="D7361" s="54" t="n">
        <f aca="false">D7310*Assumptions!$E$80</f>
        <v>6000</v>
      </c>
      <c r="E7361" s="54" t="n">
        <f aca="false">E7310*Assumptions!$E$80</f>
        <v>8000</v>
      </c>
      <c r="F7361" s="54" t="n">
        <f aca="false">F7310*Assumptions!$E$80</f>
        <v>10000</v>
      </c>
      <c r="G7361" s="54" t="n">
        <f aca="false">G7310*Assumptions!$E$80</f>
        <v>12000</v>
      </c>
      <c r="H7361" s="54" t="n">
        <f aca="false">H7310*Assumptions!$E$80</f>
        <v>14000</v>
      </c>
      <c r="I7361" s="54" t="n">
        <f aca="false">I7310*Assumptions!$E$80</f>
        <v>16000</v>
      </c>
      <c r="J7361" s="54" t="n">
        <f aca="false">J7310*Assumptions!$E$80</f>
        <v>18000</v>
      </c>
      <c r="K7361" s="54" t="n">
        <f aca="false">K7310*Assumptions!$E$80</f>
        <v>20000</v>
      </c>
      <c r="L7361" s="54" t="n">
        <f aca="false">L7310*Assumptions!$E$80</f>
        <v>20000</v>
      </c>
      <c r="M7361" s="54" t="n">
        <f aca="false">M7310*Assumptions!$E$80</f>
        <v>20000</v>
      </c>
      <c r="N7361" s="54" t="n">
        <f aca="false">N7310*Assumptions!$E$80</f>
        <v>20000</v>
      </c>
      <c r="P7361" s="55" t="n">
        <f aca="false">SUM(C7361:F7361)</f>
        <v>28000</v>
      </c>
      <c r="Q7361" s="55" t="n">
        <f aca="false">SUM(G7361:J7361)</f>
        <v>60000</v>
      </c>
      <c r="R7361" s="55" t="n">
        <f aca="false">SUM(K7361:N7361)</f>
        <v>80000</v>
      </c>
      <c r="S7361" s="56" t="n">
        <f aca="false">SUM(P7361:R7361)</f>
        <v>168000</v>
      </c>
    </row>
    <row r="7362" customFormat="false" ht="15" hidden="false" customHeight="false" outlineLevel="0" collapsed="false">
      <c r="A7362" s="4" t="s">
        <v>561</v>
      </c>
      <c r="B7362" s="36" t="s">
        <v>125</v>
      </c>
      <c r="C7362" s="54" t="n">
        <f aca="false">(C7333*$C$7282+C7334*$C$7283)*Assumptions!$E$81</f>
        <v>0</v>
      </c>
      <c r="D7362" s="54" t="n">
        <f aca="false">(D7333*$C$7282+D7334*$C$7283)*Assumptions!$E$81</f>
        <v>635.937968364564</v>
      </c>
      <c r="E7362" s="54" t="n">
        <f aca="false">(E7333*$C$7282+E7334*$C$7283)*Assumptions!$E$81</f>
        <v>1750.54055351793</v>
      </c>
      <c r="F7362" s="54" t="n">
        <f aca="false">(F7333*$C$7282+F7334*$C$7283)*Assumptions!$E$81</f>
        <v>2334.90810210795</v>
      </c>
      <c r="G7362" s="54" t="n">
        <f aca="false">(G7333*$C$7282+G7334*$C$7283)*Assumptions!$E$81</f>
        <v>2567.01977128764</v>
      </c>
      <c r="H7362" s="54" t="n">
        <f aca="false">(H7333*$C$7282+H7334*$C$7283)*Assumptions!$E$81</f>
        <v>3030.96924471942</v>
      </c>
      <c r="I7362" s="54" t="n">
        <f aca="false">(I7333*$C$7282+I7334*$C$7283)*Assumptions!$E$81</f>
        <v>3599.72954781419</v>
      </c>
      <c r="J7362" s="54" t="n">
        <f aca="false">(J7333*$C$7282+J7334*$C$7283)*Assumptions!$E$81</f>
        <v>4611.5696968051</v>
      </c>
      <c r="K7362" s="54" t="n">
        <f aca="false">(K7333*$C$7282+K7334*$C$7283)*Assumptions!$E$81</f>
        <v>5939.56455642065</v>
      </c>
      <c r="L7362" s="54" t="n">
        <f aca="false">(L7333*$C$7282+L7334*$C$7283)*Assumptions!$E$81</f>
        <v>6537.87185823684</v>
      </c>
      <c r="M7362" s="54" t="n">
        <f aca="false">(M7333*$C$7282+M7334*$C$7283)*Assumptions!$E$81</f>
        <v>6455.63010570383</v>
      </c>
      <c r="N7362" s="54" t="n">
        <f aca="false">(N7333*$C$7282+N7334*$C$7283)*Assumptions!$E$81</f>
        <v>6268.61318404599</v>
      </c>
      <c r="P7362" s="55" t="n">
        <f aca="false">SUM(C7362:F7362)</f>
        <v>4721.38662399044</v>
      </c>
      <c r="Q7362" s="55" t="n">
        <f aca="false">SUM(G7362:J7362)</f>
        <v>13809.2882606264</v>
      </c>
      <c r="R7362" s="55" t="n">
        <f aca="false">SUM(K7362:N7362)</f>
        <v>25201.6797044073</v>
      </c>
      <c r="S7362" s="56" t="n">
        <f aca="false">SUM(P7362:R7362)</f>
        <v>43732.3545890241</v>
      </c>
    </row>
    <row r="7363" customFormat="false" ht="15" hidden="false" customHeight="false" outlineLevel="0" collapsed="false">
      <c r="A7363" s="9" t="s">
        <v>562</v>
      </c>
      <c r="B7363" s="36" t="s">
        <v>125</v>
      </c>
      <c r="C7363" s="55" t="n">
        <f aca="false">C7355+C7356+C7357+C7358+C7359+C7360+C7361+C7362</f>
        <v>154229.464285714</v>
      </c>
      <c r="D7363" s="55" t="n">
        <f aca="false">D7355+D7356+D7357+D7358+D7359+D7360+D7361+D7362</f>
        <v>121496.90727563</v>
      </c>
      <c r="E7363" s="55" t="n">
        <f aca="false">E7355+E7356+E7357+E7358+E7359+E7360+E7361+E7362</f>
        <v>130152.178457915</v>
      </c>
      <c r="F7363" s="55" t="n">
        <f aca="false">F7355+F7356+F7357+F7358+F7359+F7360+F7361+F7362</f>
        <v>135666.542182092</v>
      </c>
      <c r="G7363" s="55" t="n">
        <f aca="false">G7355+G7356+G7357+G7358+G7359+G7360+G7361+G7362</f>
        <v>212927.280362935</v>
      </c>
      <c r="H7363" s="55" t="n">
        <f aca="false">H7355+H7356+H7357+H7358+H7359+H7360+H7361+H7362</f>
        <v>178367.243282934</v>
      </c>
      <c r="I7363" s="55" t="n">
        <f aca="false">I7355+I7356+I7357+I7358+I7359+I7360+I7361+I7362</f>
        <v>224274.86315521</v>
      </c>
      <c r="J7363" s="55" t="n">
        <f aca="false">J7355+J7356+J7357+J7358+J7359+J7360+J7361+J7362</f>
        <v>193564.769837514</v>
      </c>
      <c r="K7363" s="55" t="n">
        <f aca="false">K7355+K7356+K7357+K7358+K7359+K7360+K7361+K7362</f>
        <v>204160.813664692</v>
      </c>
      <c r="L7363" s="55" t="n">
        <f aca="false">L7355+L7356+L7357+L7358+L7359+L7360+L7361+L7362</f>
        <v>207522.482353344</v>
      </c>
      <c r="M7363" s="55" t="n">
        <f aca="false">M7355+M7356+M7357+M7358+M7359+M7360+M7361+M7362</f>
        <v>206905.839773713</v>
      </c>
      <c r="N7363" s="55" t="n">
        <f aca="false">N7355+N7356+N7357+N7358+N7359+N7360+N7361+N7362</f>
        <v>205820.547493306</v>
      </c>
      <c r="P7363" s="55" t="n">
        <f aca="false">SUM(C7363:F7363)</f>
        <v>541545.092201351</v>
      </c>
      <c r="Q7363" s="55" t="n">
        <f aca="false">SUM(G7363:J7363)</f>
        <v>809134.156638594</v>
      </c>
      <c r="R7363" s="55" t="n">
        <f aca="false">SUM(K7363:N7363)</f>
        <v>824409.683285055</v>
      </c>
      <c r="S7363" s="56" t="n">
        <f aca="false">SUM(P7363:R7363)</f>
        <v>2175088.932125</v>
      </c>
    </row>
    <row r="7364" customFormat="false" ht="15" hidden="false" customHeight="false" outlineLevel="0" collapsed="false">
      <c r="A7364" s="4" t="s">
        <v>563</v>
      </c>
      <c r="B7364" s="36" t="s">
        <v>125</v>
      </c>
      <c r="C7364" s="54" t="n">
        <f aca="false">C7352*Assumptions!$E$72/Assumptions!$E$69/4</f>
        <v>56535.7142857143</v>
      </c>
      <c r="D7364" s="54" t="n">
        <f aca="false">D7352*Assumptions!$E$72/Assumptions!$E$69/4</f>
        <v>56535.7142857143</v>
      </c>
      <c r="E7364" s="54" t="n">
        <f aca="false">E7352*Assumptions!$E$72/Assumptions!$E$69/4</f>
        <v>56535.7142857143</v>
      </c>
      <c r="F7364" s="54" t="n">
        <f aca="false">F7352*Assumptions!$E$72/Assumptions!$E$69/4</f>
        <v>56535.7142857143</v>
      </c>
      <c r="G7364" s="54" t="n">
        <f aca="false">G7352*Assumptions!$E$72/Assumptions!$E$69/4</f>
        <v>28267.8571428571</v>
      </c>
      <c r="H7364" s="54" t="n">
        <f aca="false">H7352*Assumptions!$E$72/Assumptions!$E$69/4</f>
        <v>28267.8571428571</v>
      </c>
      <c r="I7364" s="54" t="n">
        <f aca="false">I7352*Assumptions!$E$72/Assumptions!$E$69/4</f>
        <v>28267.8571428571</v>
      </c>
      <c r="J7364" s="54" t="n">
        <f aca="false">J7352*Assumptions!$E$72/Assumptions!$E$69/4</f>
        <v>28267.8571428571</v>
      </c>
      <c r="K7364" s="54" t="n">
        <f aca="false">K7352*Assumptions!$E$72/Assumptions!$E$69/4</f>
        <v>28267.8571428571</v>
      </c>
      <c r="L7364" s="54" t="n">
        <f aca="false">L7352*Assumptions!$E$72/Assumptions!$E$69/4</f>
        <v>28267.8571428571</v>
      </c>
      <c r="M7364" s="54" t="n">
        <f aca="false">M7352*Assumptions!$E$72/Assumptions!$E$69/4</f>
        <v>28267.8571428571</v>
      </c>
      <c r="N7364" s="54" t="n">
        <f aca="false">N7352*Assumptions!$E$72/Assumptions!$E$69/4</f>
        <v>28267.8571428571</v>
      </c>
      <c r="P7364" s="55" t="n">
        <f aca="false">SUM(C7364:F7364)</f>
        <v>226142.857142857</v>
      </c>
      <c r="Q7364" s="55" t="n">
        <f aca="false">SUM(G7364:J7364)</f>
        <v>113071.428571429</v>
      </c>
      <c r="R7364" s="55" t="n">
        <f aca="false">SUM(K7364:N7364)</f>
        <v>113071.428571429</v>
      </c>
      <c r="S7364" s="56" t="n">
        <f aca="false">SUM(P7364:R7364)</f>
        <v>452285.714285714</v>
      </c>
    </row>
    <row r="7365" customFormat="false" ht="15" hidden="false" customHeight="false" outlineLevel="0" collapsed="false">
      <c r="A7365" s="4" t="s">
        <v>564</v>
      </c>
      <c r="B7365" s="36" t="s">
        <v>125</v>
      </c>
      <c r="C7365" s="54" t="n">
        <f aca="false">IF(C7290&lt;=Assumptions!$E$83,Assumptions!$E$82*Assumptions!$D$108/Assumptions!$E$83,0)</f>
        <v>62500</v>
      </c>
      <c r="D7365" s="54" t="n">
        <f aca="false">IF(D7290&lt;=Assumptions!$E$83,Assumptions!$E$82*Assumptions!$D$108/Assumptions!$E$83,0)</f>
        <v>62500</v>
      </c>
      <c r="E7365" s="54" t="n">
        <f aca="false">IF(E7290&lt;=Assumptions!$E$83,Assumptions!$E$82*Assumptions!$D$108/Assumptions!$E$83,0)</f>
        <v>62500</v>
      </c>
      <c r="F7365" s="54" t="n">
        <f aca="false">IF(F7290&lt;=Assumptions!$E$83,Assumptions!$E$82*Assumptions!$D$108/Assumptions!$E$83,0)</f>
        <v>62500</v>
      </c>
      <c r="G7365" s="54" t="n">
        <f aca="false">IF(G7290&lt;=Assumptions!$E$83,Assumptions!$E$82*Assumptions!$D$108/Assumptions!$E$83,0)</f>
        <v>0</v>
      </c>
      <c r="H7365" s="54" t="n">
        <f aca="false">IF(H7290&lt;=Assumptions!$E$83,Assumptions!$E$82*Assumptions!$D$108/Assumptions!$E$83,0)</f>
        <v>0</v>
      </c>
      <c r="I7365" s="54" t="n">
        <f aca="false">IF(I7290&lt;=Assumptions!$E$83,Assumptions!$E$82*Assumptions!$D$108/Assumptions!$E$83,0)</f>
        <v>0</v>
      </c>
      <c r="J7365" s="54" t="n">
        <f aca="false">IF(J7290&lt;=Assumptions!$E$83,Assumptions!$E$82*Assumptions!$D$108/Assumptions!$E$83,0)</f>
        <v>0</v>
      </c>
      <c r="K7365" s="54" t="n">
        <f aca="false">IF(K7290&lt;=Assumptions!$E$83,Assumptions!$E$82*Assumptions!$D$108/Assumptions!$E$83,0)</f>
        <v>0</v>
      </c>
      <c r="L7365" s="54" t="n">
        <f aca="false">IF(L7290&lt;=Assumptions!$E$83,Assumptions!$E$82*Assumptions!$D$108/Assumptions!$E$83,0)</f>
        <v>0</v>
      </c>
      <c r="M7365" s="54" t="n">
        <f aca="false">IF(M7290&lt;=Assumptions!$E$83,Assumptions!$E$82*Assumptions!$D$108/Assumptions!$E$83,0)</f>
        <v>0</v>
      </c>
      <c r="N7365" s="54" t="n">
        <f aca="false">IF(N7290&lt;=Assumptions!$E$83,Assumptions!$E$82*Assumptions!$D$108/Assumptions!$E$83,0)</f>
        <v>0</v>
      </c>
      <c r="P7365" s="55" t="n">
        <f aca="false">SUM(C7365:F7365)</f>
        <v>250000</v>
      </c>
      <c r="Q7365" s="55" t="n">
        <f aca="false">SUM(G7365:J7365)</f>
        <v>0</v>
      </c>
      <c r="R7365" s="55" t="n">
        <f aca="false">SUM(K7365:N7365)</f>
        <v>0</v>
      </c>
      <c r="S7365" s="56" t="n">
        <f aca="false">SUM(P7365:R7365)</f>
        <v>250000</v>
      </c>
    </row>
    <row r="7366" customFormat="false" ht="15" hidden="false" customHeight="false" outlineLevel="0" collapsed="false">
      <c r="A7366" s="4" t="s">
        <v>565</v>
      </c>
      <c r="B7366" s="36" t="s">
        <v>125</v>
      </c>
      <c r="C7366" s="54" t="n">
        <f aca="false">C7354*Assumptions!$E$73/Assumptions!$E$69/4</f>
        <v>0</v>
      </c>
      <c r="D7366" s="54" t="n">
        <f aca="false">D7354*Assumptions!$E$73/Assumptions!$E$69/4</f>
        <v>575.3130595573</v>
      </c>
      <c r="E7366" s="54" t="n">
        <f aca="false">E7354*Assumptions!$E$73/Assumptions!$E$69/4</f>
        <v>1617.32906717661</v>
      </c>
      <c r="F7366" s="54" t="n">
        <f aca="false">F7354*Assumptions!$E$73/Assumptions!$E$69/4</f>
        <v>2784.46806400723</v>
      </c>
      <c r="G7366" s="54" t="n">
        <f aca="false">G7354*Assumptions!$E$73/Assumptions!$E$69/4</f>
        <v>4037.30390559473</v>
      </c>
      <c r="H7366" s="54" t="n">
        <f aca="false">H7354*Assumptions!$E$73/Assumptions!$E$69/4</f>
        <v>5588.71900339185</v>
      </c>
      <c r="I7366" s="54" t="n">
        <f aca="false">I7354*Assumptions!$E$73/Assumptions!$E$69/4</f>
        <v>7423.89520049251</v>
      </c>
      <c r="J7366" s="54" t="n">
        <f aca="false">J7354*Assumptions!$E$73/Assumptions!$E$69/4</f>
        <v>9984.21295072483</v>
      </c>
      <c r="K7366" s="54" t="n">
        <f aca="false">K7354*Assumptions!$E$73/Assumptions!$E$69/4</f>
        <v>13228.7197241336</v>
      </c>
      <c r="L7366" s="54" t="n">
        <f aca="false">L7354*Assumptions!$E$73/Assumptions!$E$69/4</f>
        <v>16471.1613499398</v>
      </c>
      <c r="M7366" s="54" t="n">
        <f aca="false">M7354*Assumptions!$E$73/Assumptions!$E$69/4</f>
        <v>19532.3193424529</v>
      </c>
      <c r="N7366" s="54" t="n">
        <f aca="false">N7354*Assumptions!$E$73/Assumptions!$E$69/4</f>
        <v>22411.7337529877</v>
      </c>
      <c r="P7366" s="55" t="n">
        <f aca="false">SUM(C7366:F7366)</f>
        <v>4977.11019074114</v>
      </c>
      <c r="Q7366" s="55" t="n">
        <f aca="false">SUM(G7366:J7366)</f>
        <v>27034.1310602039</v>
      </c>
      <c r="R7366" s="55" t="n">
        <f aca="false">SUM(K7366:N7366)</f>
        <v>71643.934169514</v>
      </c>
      <c r="S7366" s="56" t="n">
        <f aca="false">SUM(P7366:R7366)</f>
        <v>103655.175420459</v>
      </c>
    </row>
    <row r="7367" customFormat="false" ht="15" hidden="false" customHeight="false" outlineLevel="0" collapsed="false">
      <c r="A7367" s="9" t="s">
        <v>566</v>
      </c>
      <c r="B7367" s="36" t="s">
        <v>125</v>
      </c>
      <c r="C7367" s="55" t="n">
        <f aca="false">C7363+C7364+C7365+C7366</f>
        <v>273265.178571429</v>
      </c>
      <c r="D7367" s="55" t="n">
        <f aca="false">D7363+D7364+D7365+D7366</f>
        <v>241107.934620901</v>
      </c>
      <c r="E7367" s="55" t="n">
        <f aca="false">E7363+E7364+E7365+E7366</f>
        <v>250805.221810806</v>
      </c>
      <c r="F7367" s="55" t="n">
        <f aca="false">F7363+F7364+F7365+F7366</f>
        <v>257486.724531814</v>
      </c>
      <c r="G7367" s="55" t="n">
        <f aca="false">G7363+G7364+G7365+G7366</f>
        <v>245232.441411387</v>
      </c>
      <c r="H7367" s="55" t="n">
        <f aca="false">H7363+H7364+H7365+H7366</f>
        <v>212223.819429183</v>
      </c>
      <c r="I7367" s="55" t="n">
        <f aca="false">I7363+I7364+I7365+I7366</f>
        <v>259966.61549856</v>
      </c>
      <c r="J7367" s="55" t="n">
        <f aca="false">J7363+J7364+J7365+J7366</f>
        <v>231816.839931096</v>
      </c>
      <c r="K7367" s="55" t="n">
        <f aca="false">K7363+K7364+K7365+K7366</f>
        <v>245657.390531682</v>
      </c>
      <c r="L7367" s="55" t="n">
        <f aca="false">L7363+L7364+L7365+L7366</f>
        <v>252261.500846141</v>
      </c>
      <c r="M7367" s="55" t="n">
        <f aca="false">M7363+M7364+M7365+M7366</f>
        <v>254706.016259023</v>
      </c>
      <c r="N7367" s="55" t="n">
        <f aca="false">N7363+N7364+N7365+N7366</f>
        <v>256500.138389151</v>
      </c>
      <c r="P7367" s="55" t="n">
        <f aca="false">SUM(C7367:F7367)</f>
        <v>1022665.05953495</v>
      </c>
      <c r="Q7367" s="55" t="n">
        <f aca="false">SUM(G7367:J7367)</f>
        <v>949239.716270226</v>
      </c>
      <c r="R7367" s="55" t="n">
        <f aca="false">SUM(K7367:N7367)</f>
        <v>1009125.046026</v>
      </c>
      <c r="S7367" s="56" t="n">
        <f aca="false">SUM(P7367:R7367)</f>
        <v>2981029.82183117</v>
      </c>
    </row>
    <row r="7368" customFormat="false" ht="15" hidden="false" customHeight="false" outlineLevel="0" collapsed="false">
      <c r="A7368" s="35" t="s">
        <v>567</v>
      </c>
      <c r="B7368" s="35" t="s">
        <v>444</v>
      </c>
      <c r="C7368" s="6" t="s">
        <v>354</v>
      </c>
      <c r="D7368" s="6" t="s">
        <v>355</v>
      </c>
      <c r="E7368" s="6" t="s">
        <v>356</v>
      </c>
      <c r="F7368" s="6" t="s">
        <v>357</v>
      </c>
      <c r="G7368" s="6" t="s">
        <v>358</v>
      </c>
      <c r="H7368" s="6" t="s">
        <v>359</v>
      </c>
      <c r="I7368" s="6" t="s">
        <v>360</v>
      </c>
      <c r="J7368" s="6" t="s">
        <v>361</v>
      </c>
      <c r="K7368" s="6" t="s">
        <v>362</v>
      </c>
      <c r="L7368" s="6" t="s">
        <v>363</v>
      </c>
      <c r="M7368" s="6" t="s">
        <v>364</v>
      </c>
      <c r="N7368" s="6" t="s">
        <v>365</v>
      </c>
      <c r="P7368" s="6" t="s">
        <v>445</v>
      </c>
      <c r="Q7368" s="6" t="s">
        <v>446</v>
      </c>
      <c r="R7368" s="6" t="s">
        <v>447</v>
      </c>
      <c r="S7368" s="6" t="s">
        <v>448</v>
      </c>
    </row>
    <row r="7369" customFormat="false" ht="15" hidden="false" customHeight="false" outlineLevel="0" collapsed="false">
      <c r="A7369" s="9" t="s">
        <v>568</v>
      </c>
      <c r="B7369" s="36" t="s">
        <v>125</v>
      </c>
      <c r="C7369" s="55" t="n">
        <f aca="false">C7347-C7367</f>
        <v>-273265.178571429</v>
      </c>
      <c r="D7369" s="55" t="n">
        <f aca="false">D7347-D7367</f>
        <v>-240386.724424182</v>
      </c>
      <c r="E7369" s="55" t="n">
        <f aca="false">E7347-E7367</f>
        <v>-247763.768942595</v>
      </c>
      <c r="F7369" s="55" t="n">
        <f aca="false">F7347-F7367</f>
        <v>-250842.434479161</v>
      </c>
      <c r="G7369" s="55" t="n">
        <f aca="false">G7347-G7367</f>
        <v>-234354.644846508</v>
      </c>
      <c r="H7369" s="55" t="n">
        <f aca="false">H7347-H7367</f>
        <v>-196375.297714704</v>
      </c>
      <c r="I7369" s="55" t="n">
        <f aca="false">I7347-I7367</f>
        <v>-238076.621013046</v>
      </c>
      <c r="J7369" s="55" t="n">
        <f aca="false">J7347-J7367</f>
        <v>-202144.607042922</v>
      </c>
      <c r="K7369" s="55" t="n">
        <f aca="false">K7347-K7367</f>
        <v>-205712.11993818</v>
      </c>
      <c r="L7369" s="55" t="n">
        <f aca="false">L7347-L7367</f>
        <v>-200311.033110544</v>
      </c>
      <c r="M7369" s="55" t="n">
        <f aca="false">M7347-M7367</f>
        <v>-190345.818332203</v>
      </c>
      <c r="N7369" s="55" t="n">
        <f aca="false">N7347-N7367</f>
        <v>-179816.114490852</v>
      </c>
      <c r="P7369" s="55" t="n">
        <f aca="false">SUM(C7369:F7369)</f>
        <v>-1012258.10641737</v>
      </c>
      <c r="Q7369" s="55" t="n">
        <f aca="false">SUM(G7369:J7369)</f>
        <v>-870951.17061718</v>
      </c>
      <c r="R7369" s="55" t="n">
        <f aca="false">SUM(K7369:N7369)</f>
        <v>-776185.085871778</v>
      </c>
      <c r="S7369" s="56" t="n">
        <f aca="false">SUM(P7369:R7369)</f>
        <v>-2659394.36290633</v>
      </c>
    </row>
    <row r="7370" customFormat="false" ht="15" hidden="false" customHeight="false" outlineLevel="0" collapsed="false">
      <c r="A7370" s="9" t="s">
        <v>569</v>
      </c>
      <c r="B7370" s="36" t="s">
        <v>125</v>
      </c>
      <c r="C7370" s="55" t="n">
        <f aca="false">0+C7369</f>
        <v>-273265.178571429</v>
      </c>
      <c r="D7370" s="55" t="n">
        <f aca="false">C7370+D7369</f>
        <v>-513651.902995611</v>
      </c>
      <c r="E7370" s="55" t="n">
        <f aca="false">D7370+E7369</f>
        <v>-761415.671938206</v>
      </c>
      <c r="F7370" s="55" t="n">
        <f aca="false">E7370+F7369</f>
        <v>-1012258.10641737</v>
      </c>
      <c r="G7370" s="55" t="n">
        <f aca="false">F7370+G7369</f>
        <v>-1246612.75126388</v>
      </c>
      <c r="H7370" s="55" t="n">
        <f aca="false">G7370+H7369</f>
        <v>-1442988.04897858</v>
      </c>
      <c r="I7370" s="55" t="n">
        <f aca="false">H7370+I7369</f>
        <v>-1681064.66999163</v>
      </c>
      <c r="J7370" s="55" t="n">
        <f aca="false">I7370+J7369</f>
        <v>-1883209.27703455</v>
      </c>
      <c r="K7370" s="55" t="n">
        <f aca="false">J7370+K7369</f>
        <v>-2088921.39697273</v>
      </c>
      <c r="L7370" s="55" t="n">
        <f aca="false">K7370+L7369</f>
        <v>-2289232.43008327</v>
      </c>
      <c r="M7370" s="55" t="n">
        <f aca="false">L7370+M7369</f>
        <v>-2479578.24841547</v>
      </c>
      <c r="N7370" s="55" t="n">
        <f aca="false">M7370+N7369</f>
        <v>-2659394.36290633</v>
      </c>
      <c r="P7370" s="55" t="n">
        <f aca="false">F7370</f>
        <v>-1012258.10641737</v>
      </c>
      <c r="Q7370" s="55" t="n">
        <f aca="false">J7370</f>
        <v>-1883209.27703455</v>
      </c>
      <c r="R7370" s="55" t="n">
        <f aca="false">N7370</f>
        <v>-2659394.36290633</v>
      </c>
      <c r="S7370" s="56" t="n">
        <f aca="false">R7370</f>
        <v>-2659394.36290633</v>
      </c>
    </row>
    <row r="7371" customFormat="false" ht="15" hidden="false" customHeight="false" outlineLevel="0" collapsed="false">
      <c r="A7371" s="4" t="s">
        <v>570</v>
      </c>
      <c r="B7371" s="36" t="s">
        <v>107</v>
      </c>
      <c r="C7371" s="57" t="n">
        <f aca="false">1/(1+Assumptions!$E$87)^(C7290/4)</f>
        <v>0.972065420906982</v>
      </c>
      <c r="D7371" s="57" t="n">
        <f aca="false">1/(1+Assumptions!$E$87)^(D7290/4)</f>
        <v>0.944911182523068</v>
      </c>
      <c r="E7371" s="57" t="n">
        <f aca="false">1/(1+Assumptions!$E$87)^(E7290/4)</f>
        <v>0.918515486359</v>
      </c>
      <c r="F7371" s="57" t="n">
        <f aca="false">1/(1+Assumptions!$E$87)^(F7290/4)</f>
        <v>0.892857142857143</v>
      </c>
      <c r="G7371" s="57" t="n">
        <f aca="false">1/(1+Assumptions!$E$87)^(G7290/4)</f>
        <v>0.867915554381234</v>
      </c>
      <c r="H7371" s="57" t="n">
        <f aca="false">1/(1+Assumptions!$E$87)^(H7290/4)</f>
        <v>0.843670698681311</v>
      </c>
      <c r="I7371" s="57" t="n">
        <f aca="false">1/(1+Assumptions!$E$87)^(I7290/4)</f>
        <v>0.820103112820536</v>
      </c>
      <c r="J7371" s="57" t="n">
        <f aca="false">1/(1+Assumptions!$E$87)^(J7290/4)</f>
        <v>0.79719387755102</v>
      </c>
      <c r="K7371" s="57" t="n">
        <f aca="false">1/(1+Assumptions!$E$87)^(K7290/4)</f>
        <v>0.774924602126102</v>
      </c>
      <c r="L7371" s="57" t="n">
        <f aca="false">1/(1+Assumptions!$E$87)^(L7290/4)</f>
        <v>0.753277409536885</v>
      </c>
      <c r="M7371" s="57" t="n">
        <f aca="false">1/(1+Assumptions!$E$87)^(M7290/4)</f>
        <v>0.732234922161193</v>
      </c>
      <c r="N7371" s="57" t="n">
        <f aca="false">1/(1+Assumptions!$E$87)^(N7290/4)</f>
        <v>0.711780247813411</v>
      </c>
      <c r="P7371" s="58"/>
      <c r="Q7371" s="58"/>
      <c r="R7371" s="58"/>
      <c r="S7371" s="59"/>
    </row>
    <row r="7372" customFormat="false" ht="15" hidden="false" customHeight="false" outlineLevel="0" collapsed="false">
      <c r="A7372" s="4" t="s">
        <v>571</v>
      </c>
      <c r="B7372" s="36" t="s">
        <v>125</v>
      </c>
      <c r="C7372" s="54" t="n">
        <f aca="false">(C7347*(1-Assumptions!$E$88)-C7367)*C7371</f>
        <v>-265631.630827257</v>
      </c>
      <c r="D7372" s="54" t="n">
        <f aca="false">(D7347*(1-Assumptions!$E$88)-D7367)*D7371</f>
        <v>-227280.399954467</v>
      </c>
      <c r="E7372" s="54" t="n">
        <f aca="false">(E7347*(1-Assumptions!$E$88)-E7367)*E7371</f>
        <v>-228133.583044543</v>
      </c>
      <c r="F7372" s="54" t="n">
        <f aca="false">(F7347*(1-Assumptions!$E$88)-F7367)*F7371</f>
        <v>-225152.939722939</v>
      </c>
      <c r="G7372" s="54" t="n">
        <f aca="false">(G7347*(1-Assumptions!$E$88)-G7367)*G7371</f>
        <v>-205288.243270985</v>
      </c>
      <c r="H7372" s="54" t="n">
        <f aca="false">(H7347*(1-Assumptions!$E$88)-H7367)*H7371</f>
        <v>-168350.271304299</v>
      </c>
      <c r="I7372" s="54" t="n">
        <f aca="false">(I7347*(1-Assumptions!$E$88)-I7367)*I7371</f>
        <v>-198837.788506033</v>
      </c>
      <c r="J7372" s="54" t="n">
        <f aca="false">(J7347*(1-Assumptions!$E$88)-J7367)*J7371</f>
        <v>-165879.347592919</v>
      </c>
      <c r="K7372" s="54" t="n">
        <f aca="false">(K7347*(1-Assumptions!$E$88)-K7367)*K7371</f>
        <v>-165602.297279909</v>
      </c>
      <c r="L7372" s="54" t="n">
        <f aca="false">(L7347*(1-Assumptions!$E$88)-L7367)*L7371</f>
        <v>-158716.398875188</v>
      </c>
      <c r="M7372" s="54" t="n">
        <f aca="false">(M7347*(1-Assumptions!$E$88)-M7367)*M7371</f>
        <v>-148803.212374034</v>
      </c>
      <c r="N7372" s="54" t="n">
        <f aca="false">(N7347*(1-Assumptions!$E$88)-N7367)*N7371</f>
        <v>-138905.993239875</v>
      </c>
      <c r="P7372" s="55" t="n">
        <f aca="false">SUM(C7372:F7372)</f>
        <v>-946198.553549206</v>
      </c>
      <c r="Q7372" s="55" t="n">
        <f aca="false">SUM(G7372:J7372)</f>
        <v>-738355.650674235</v>
      </c>
      <c r="R7372" s="55" t="n">
        <f aca="false">SUM(K7372:N7372)</f>
        <v>-612027.901769006</v>
      </c>
      <c r="S7372" s="56" t="n">
        <f aca="false">SUM(P7372:R7372)</f>
        <v>-2296582.10599245</v>
      </c>
    </row>
    <row r="7373" customFormat="false" ht="15" hidden="false" customHeight="false" outlineLevel="0" collapsed="false">
      <c r="A7373" s="4" t="s">
        <v>572</v>
      </c>
      <c r="B7373" s="36" t="s">
        <v>125</v>
      </c>
      <c r="C7373" s="54" t="n">
        <f aca="false">(C7367-C7366)*12/(Assumptions!$E$89*Assumptions!$E$76)*Assumptions!$E$90</f>
        <v>189183.585164835</v>
      </c>
      <c r="D7373" s="54" t="n">
        <f aca="false">(D7367-D7366)*12/(Assumptions!$E$89*Assumptions!$E$76)*Assumptions!$E$90</f>
        <v>166522.584157854</v>
      </c>
      <c r="E7373" s="54" t="n">
        <f aca="false">(E7367-E7366)*12/(Assumptions!$E$89*Assumptions!$E$76)*Assumptions!$E$90</f>
        <v>172514.694976359</v>
      </c>
      <c r="F7373" s="54" t="n">
        <f aca="false">(F7367-F7366)*12/(Assumptions!$E$89*Assumptions!$E$76)*Assumptions!$E$90</f>
        <v>176332.331400789</v>
      </c>
      <c r="G7373" s="54" t="n">
        <f aca="false">(G7367-G7366)*12/(Assumptions!$E$89*Assumptions!$E$76)*Assumptions!$E$90</f>
        <v>166981.249042472</v>
      </c>
      <c r="H7373" s="54" t="n">
        <f aca="false">(H7367-H7366)*12/(Assumptions!$E$89*Assumptions!$E$76)*Assumptions!$E$90</f>
        <v>143055.069525548</v>
      </c>
      <c r="I7373" s="54" t="n">
        <f aca="false">(I7367-I7366)*12/(Assumptions!$E$89*Assumptions!$E$76)*Assumptions!$E$90</f>
        <v>174837.267898662</v>
      </c>
      <c r="J7373" s="54" t="n">
        <f aca="false">(J7367-J7366)*12/(Assumptions!$E$89*Assumptions!$E$76)*Assumptions!$E$90</f>
        <v>153576.434063334</v>
      </c>
      <c r="K7373" s="54" t="n">
        <f aca="false">(K7367-K7366)*12/(Assumptions!$E$89*Assumptions!$E$76)*Assumptions!$E$90</f>
        <v>160912.156712918</v>
      </c>
      <c r="L7373" s="54" t="n">
        <f aca="false">(L7367-L7366)*12/(Assumptions!$E$89*Assumptions!$E$76)*Assumptions!$E$90</f>
        <v>163239.465805062</v>
      </c>
      <c r="M7373" s="54" t="n">
        <f aca="false">(M7367-M7366)*12/(Assumptions!$E$89*Assumptions!$E$76)*Assumptions!$E$90</f>
        <v>162812.559403779</v>
      </c>
      <c r="N7373" s="54" t="n">
        <f aca="false">(N7367-N7366)*12/(Assumptions!$E$89*Assumptions!$E$76)*Assumptions!$E$90</f>
        <v>162061.203209651</v>
      </c>
      <c r="P7373" s="55" t="n">
        <f aca="false">SUM(C7373:F7373)</f>
        <v>704553.195699836</v>
      </c>
      <c r="Q7373" s="55" t="n">
        <f aca="false">SUM(G7373:J7373)</f>
        <v>638450.020530016</v>
      </c>
      <c r="R7373" s="55" t="n">
        <f aca="false">SUM(K7373:N7373)</f>
        <v>649025.385131412</v>
      </c>
      <c r="S7373" s="56" t="n">
        <f aca="false">SUM(P7373:R7373)</f>
        <v>1992028.60136126</v>
      </c>
    </row>
    <row r="7374" customFormat="false" ht="15" hidden="false" customHeight="false" outlineLevel="0" collapsed="false">
      <c r="A7374" s="4" t="s">
        <v>573</v>
      </c>
      <c r="B7374" s="36" t="s">
        <v>125</v>
      </c>
      <c r="C7374" s="54" t="n">
        <f aca="false">0*Assumptions!$E$92^(1/4)+C7373</f>
        <v>189183.585164835</v>
      </c>
      <c r="D7374" s="54" t="n">
        <f aca="false">C7374*Assumptions!$E$92^(1/4)+D7373</f>
        <v>356177.364964868</v>
      </c>
      <c r="E7374" s="54" t="n">
        <f aca="false">D7374*Assumptions!$E$92^(1/4)+E7373</f>
        <v>529579.183536374</v>
      </c>
      <c r="F7374" s="54" t="n">
        <f aca="false">E7374*Assumptions!$E$92^(1/4)+F7373</f>
        <v>707230.526854892</v>
      </c>
      <c r="G7374" s="54" t="n">
        <f aca="false">F7374*Assumptions!$E$92^(1/4)+G7373</f>
        <v>875973.260341057</v>
      </c>
      <c r="H7374" s="54" t="n">
        <f aca="false">G7374*Assumptions!$E$92^(1/4)+H7373</f>
        <v>1021210.09834604</v>
      </c>
      <c r="I7374" s="54" t="n">
        <f aca="false">H7374*Assumptions!$E$92^(1/4)+I7373</f>
        <v>1198590.87311222</v>
      </c>
      <c r="J7374" s="54" t="n">
        <f aca="false">I7374*Assumptions!$E$92^(1/4)+J7373</f>
        <v>1355152.61266955</v>
      </c>
      <c r="K7374" s="54" t="n">
        <f aca="false">J7374*Assumptions!$E$92^(1/4)+K7373</f>
        <v>1519440.01996259</v>
      </c>
      <c r="L7374" s="54" t="n">
        <f aca="false">K7374*Assumptions!$E$92^(1/4)+L7373</f>
        <v>1686463.92359473</v>
      </c>
      <c r="M7374" s="54" t="n">
        <f aca="false">L7374*Assumptions!$E$92^(1/4)+M7373</f>
        <v>1853476.92380736</v>
      </c>
      <c r="N7374" s="54" t="n">
        <f aca="false">M7374*Assumptions!$E$92^(1/4)+N7373</f>
        <v>2020154.54365071</v>
      </c>
      <c r="P7374" s="55" t="n">
        <f aca="false">F7374</f>
        <v>707230.526854892</v>
      </c>
      <c r="Q7374" s="55" t="n">
        <f aca="false">J7374</f>
        <v>1355152.61266955</v>
      </c>
      <c r="R7374" s="55" t="n">
        <f aca="false">N7374</f>
        <v>2020154.54365071</v>
      </c>
      <c r="S7374" s="56" t="n">
        <f aca="false">R7374</f>
        <v>2020154.54365071</v>
      </c>
    </row>
    <row r="7375" customFormat="false" ht="15" hidden="false" customHeight="false" outlineLevel="0" collapsed="false">
      <c r="A7375" s="4" t="s">
        <v>574</v>
      </c>
      <c r="B7375" s="36" t="s">
        <v>125</v>
      </c>
      <c r="C7375" s="54" t="n">
        <f aca="false">(0+C7374)/8*Assumptions!$E$76-(C7367-C7366)-C7374*Assumptions!$E$93/4</f>
        <v>-260258.807091346</v>
      </c>
      <c r="D7375" s="54" t="n">
        <f aca="false">(C7374+D7374)/8*Assumptions!$E$76-(D7367-D7366)-D7374*Assumptions!$E$93/4</f>
        <v>-200674.261425366</v>
      </c>
      <c r="E7375" s="54" t="n">
        <f aca="false">(D7374+E7374)/8*Assumptions!$E$76-(E7367-E7366)-E7374*Assumptions!$E$93/4</f>
        <v>-183839.912972108</v>
      </c>
      <c r="F7375" s="54" t="n">
        <f aca="false">(E7374+F7374)/8*Assumptions!$E$76-(F7367-F7366)-F7374*Assumptions!$E$93/4</f>
        <v>-163051.849084202</v>
      </c>
      <c r="G7375" s="54" t="n">
        <f aca="false">(F7374+G7374)/8*Assumptions!$E$76-(G7367-G7366)-G7374*Assumptions!$E$93/4</f>
        <v>-123509.495550385</v>
      </c>
      <c r="H7375" s="54" t="n">
        <f aca="false">(G7374+H7374)/8*Assumptions!$E$76-(H7367-H7366)-H7374*Assumptions!$E$93/4</f>
        <v>-65254.0787617906</v>
      </c>
      <c r="I7375" s="54" t="n">
        <f aca="false">(H7374+I7374)/8*Assumptions!$E$76-(I7367-I7366)-I7374*Assumptions!$E$93/4</f>
        <v>-87166.2772809864</v>
      </c>
      <c r="J7375" s="54" t="n">
        <f aca="false">(I7374+J7374)/8*Assumptions!$E$76-(J7367-J7366)-J7374*Assumptions!$E$93/4</f>
        <v>-31280.3764189717</v>
      </c>
      <c r="K7375" s="54" t="n">
        <f aca="false">(J7374+K7374)/8*Assumptions!$E$76-(K7367-K7366)-K7374*Assumptions!$E$93/4</f>
        <v>-17861.0196557192</v>
      </c>
      <c r="L7375" s="54" t="n">
        <f aca="false">(K7374+L7374)/8*Assumptions!$E$76-(L7367-L7366)-L7374*Assumptions!$E$93/4</f>
        <v>3608.55687289721</v>
      </c>
      <c r="M7375" s="54" t="n">
        <f aca="false">(L7374+M7374)/8*Assumptions!$E$76-(M7367-M7366)-M7374*Assumptions!$E$93/4</f>
        <v>29278.0353872571</v>
      </c>
      <c r="N7375" s="54" t="n">
        <f aca="false">(M7374+N7374)/8*Assumptions!$E$76-(N7367-N7366)-N7374*Assumptions!$E$93/4</f>
        <v>55392.2202991706</v>
      </c>
      <c r="P7375" s="55" t="n">
        <f aca="false">SUM(C7375:F7375)</f>
        <v>-807824.830573023</v>
      </c>
      <c r="Q7375" s="55" t="n">
        <f aca="false">SUM(G7375:J7375)</f>
        <v>-307210.228012133</v>
      </c>
      <c r="R7375" s="55" t="n">
        <f aca="false">SUM(K7375:N7375)</f>
        <v>70417.7929036058</v>
      </c>
      <c r="S7375" s="56" t="n">
        <f aca="false">SUM(P7375:R7375)</f>
        <v>-1044617.26568155</v>
      </c>
    </row>
    <row r="7376" customFormat="false" ht="15" hidden="false" customHeight="false" outlineLevel="0" collapsed="false">
      <c r="A7376" s="4" t="s">
        <v>575</v>
      </c>
      <c r="B7376" s="36" t="s">
        <v>125</v>
      </c>
      <c r="C7376" s="54" t="n">
        <f aca="false">C7375*C7371</f>
        <v>-252988.586859998</v>
      </c>
      <c r="D7376" s="54" t="n">
        <f aca="false">D7375*D7371</f>
        <v>-189619.353665386</v>
      </c>
      <c r="E7376" s="54" t="n">
        <f aca="false">E7375*E7371</f>
        <v>-168859.807075772</v>
      </c>
      <c r="F7376" s="54" t="n">
        <f aca="false">F7375*F7371</f>
        <v>-145582.008110895</v>
      </c>
      <c r="G7376" s="54" t="n">
        <f aca="false">G7375*G7371</f>
        <v>-107195.812301959</v>
      </c>
      <c r="H7376" s="54" t="n">
        <f aca="false">H7375*H7371</f>
        <v>-55052.9542207652</v>
      </c>
      <c r="I7376" s="54" t="n">
        <f aca="false">I7375*I7371</f>
        <v>-71485.3353311149</v>
      </c>
      <c r="J7376" s="54" t="n">
        <f aca="false">J7375*J7371</f>
        <v>-24936.5245686956</v>
      </c>
      <c r="K7376" s="54" t="n">
        <f aca="false">K7375*K7371</f>
        <v>-13840.9435502747</v>
      </c>
      <c r="L7376" s="54" t="n">
        <f aca="false">L7375*L7371</f>
        <v>2718.24437338253</v>
      </c>
      <c r="M7376" s="54" t="n">
        <f aca="false">M7375*M7371</f>
        <v>21438.3999628209</v>
      </c>
      <c r="N7376" s="54" t="n">
        <f aca="false">N7375*N7371</f>
        <v>39427.0882914787</v>
      </c>
      <c r="P7376" s="55" t="n">
        <f aca="false">SUM(C7376:F7376)</f>
        <v>-757049.755712051</v>
      </c>
      <c r="Q7376" s="55" t="n">
        <f aca="false">SUM(G7376:J7376)</f>
        <v>-258670.626422534</v>
      </c>
      <c r="R7376" s="55" t="n">
        <f aca="false">SUM(K7376:N7376)</f>
        <v>49742.7890774075</v>
      </c>
      <c r="S7376" s="56" t="n">
        <f aca="false">SUM(P7376:R7376)</f>
        <v>-965977.593057178</v>
      </c>
    </row>
    <row r="7377" customFormat="false" ht="15" hidden="false" customHeight="false" outlineLevel="0" collapsed="false">
      <c r="A7377" s="4" t="s">
        <v>576</v>
      </c>
      <c r="B7377" s="36"/>
      <c r="C7377" s="37" t="n">
        <f aca="false">IFERROR((S7332*$C$7281*Assumptions!$E$59+S7333*$C$7282*Assumptions!$E$60+S7334*$C$7283*Assumptions!$E$61)/(S7332*$C$7281+S7333*$C$7282+S7334*$C$7283),0.9)</f>
        <v>0.897372181179546</v>
      </c>
    </row>
    <row r="7378" customFormat="false" ht="15" hidden="false" customHeight="false" outlineLevel="0" collapsed="false">
      <c r="A7378" s="4" t="s">
        <v>577</v>
      </c>
      <c r="B7378" s="36"/>
      <c r="C7378" s="37" t="n">
        <f aca="false">IFERROR(N7366*4/N7344,0)</f>
        <v>0.175911884278844</v>
      </c>
    </row>
    <row r="7379" customFormat="false" ht="15" hidden="false" customHeight="false" outlineLevel="0" collapsed="false">
      <c r="A7379" s="4" t="s">
        <v>578</v>
      </c>
      <c r="B7379" s="36"/>
      <c r="C7379" s="60" t="n">
        <f aca="false">$C$7377/(1+Assumptions!$E$87)</f>
        <v>0.801225161767451</v>
      </c>
    </row>
    <row r="7380" customFormat="false" ht="15" hidden="false" customHeight="false" outlineLevel="0" collapsed="false">
      <c r="A7380" s="4" t="s">
        <v>579</v>
      </c>
      <c r="B7380" s="36"/>
      <c r="C7380" s="60" t="n">
        <f aca="false">Assumptions!$E$91/(1+Assumptions!$E$87)</f>
        <v>0.803571428571429</v>
      </c>
    </row>
    <row r="7381" customFormat="false" ht="15" hidden="false" customHeight="false" outlineLevel="0" collapsed="false">
      <c r="A7381" s="35" t="s">
        <v>580</v>
      </c>
      <c r="B7381" s="35" t="s">
        <v>444</v>
      </c>
      <c r="C7381" s="6" t="s">
        <v>354</v>
      </c>
      <c r="D7381" s="6" t="s">
        <v>355</v>
      </c>
      <c r="E7381" s="6" t="s">
        <v>356</v>
      </c>
      <c r="F7381" s="6" t="s">
        <v>357</v>
      </c>
      <c r="G7381" s="6" t="s">
        <v>358</v>
      </c>
      <c r="H7381" s="6" t="s">
        <v>359</v>
      </c>
      <c r="I7381" s="6" t="s">
        <v>360</v>
      </c>
      <c r="J7381" s="6" t="s">
        <v>361</v>
      </c>
      <c r="K7381" s="6" t="s">
        <v>362</v>
      </c>
      <c r="L7381" s="6" t="s">
        <v>363</v>
      </c>
      <c r="M7381" s="6" t="s">
        <v>364</v>
      </c>
      <c r="N7381" s="6" t="s">
        <v>365</v>
      </c>
      <c r="P7381" s="6" t="s">
        <v>445</v>
      </c>
      <c r="Q7381" s="6" t="s">
        <v>446</v>
      </c>
      <c r="R7381" s="6" t="s">
        <v>447</v>
      </c>
      <c r="S7381" s="6" t="s">
        <v>448</v>
      </c>
    </row>
    <row r="7382" customFormat="false" ht="15" hidden="false" customHeight="false" outlineLevel="0" collapsed="false">
      <c r="A7382" s="9" t="s">
        <v>581</v>
      </c>
      <c r="C7382" s="61" t="n">
        <f aca="false">N7344</f>
        <v>509612.726732255</v>
      </c>
      <c r="D7382" s="61"/>
    </row>
    <row r="7383" customFormat="false" ht="15" hidden="false" customHeight="false" outlineLevel="0" collapsed="false">
      <c r="A7383" s="9" t="s">
        <v>582</v>
      </c>
      <c r="C7383" s="62" t="n">
        <f aca="false">N7340</f>
        <v>49.5280990541991</v>
      </c>
      <c r="D7383" s="62"/>
    </row>
    <row r="7384" customFormat="false" ht="15" hidden="false" customHeight="false" outlineLevel="0" collapsed="false">
      <c r="A7384" s="9" t="s">
        <v>583</v>
      </c>
      <c r="C7384" s="63" t="n">
        <f aca="false">S7335</f>
        <v>54.7491194625937</v>
      </c>
      <c r="D7384" s="63"/>
    </row>
    <row r="7385" customFormat="false" ht="15" hidden="false" customHeight="false" outlineLevel="0" collapsed="false">
      <c r="A7385" s="9" t="s">
        <v>584</v>
      </c>
      <c r="C7385" s="61" t="n">
        <f aca="false">S7346</f>
        <v>494823.782961303</v>
      </c>
      <c r="D7385" s="61"/>
    </row>
    <row r="7386" customFormat="false" ht="15" hidden="false" customHeight="false" outlineLevel="0" collapsed="false">
      <c r="A7386" s="9" t="s">
        <v>22</v>
      </c>
      <c r="C7386" s="61" t="n">
        <f aca="false">IFERROR(S7345/S7335,0)</f>
        <v>8847.97350983958</v>
      </c>
      <c r="D7386" s="61"/>
    </row>
    <row r="7387" customFormat="false" ht="15" hidden="false" customHeight="false" outlineLevel="0" collapsed="false">
      <c r="A7387" s="9" t="s">
        <v>585</v>
      </c>
      <c r="C7387" s="61" t="n">
        <f aca="false">IFERROR(S7363/S7335,0)</f>
        <v>39728.2906734434</v>
      </c>
      <c r="D7387" s="61"/>
    </row>
    <row r="7388" customFormat="false" ht="23.85" hidden="false" customHeight="false" outlineLevel="0" collapsed="false">
      <c r="A7388" s="9" t="s">
        <v>586</v>
      </c>
      <c r="C7388" s="61" t="n">
        <f aca="false">IFERROR((S7357+S7359+S7360+S7361+S7362)/S7335,0)</f>
        <v>16170.5080131384</v>
      </c>
      <c r="D7388" s="61"/>
    </row>
    <row r="7389" customFormat="false" ht="15" hidden="false" customHeight="false" outlineLevel="0" collapsed="false">
      <c r="A7389" s="9" t="s">
        <v>587</v>
      </c>
      <c r="C7389" s="64" t="n">
        <f aca="false">IFERROR('Engine Runs'!$C$7387/('Engine Runs'!$C$7386*Assumptions!$E$76/12),0)</f>
        <v>82.8941638967738</v>
      </c>
      <c r="D7389" s="64"/>
    </row>
    <row r="7390" customFormat="false" ht="15" hidden="false" customHeight="false" outlineLevel="0" collapsed="false">
      <c r="A7390" s="9" t="s">
        <v>588</v>
      </c>
      <c r="C7390" s="64" t="n">
        <f aca="false">IFERROR((R7363/R7335)/((R7345/R7335)*Assumptions!$E$76/12),0)</f>
        <v>54.2582274868518</v>
      </c>
      <c r="D7390" s="64"/>
    </row>
    <row r="7391" customFormat="false" ht="15" hidden="false" customHeight="false" outlineLevel="0" collapsed="false">
      <c r="A7391" s="9" t="s">
        <v>589</v>
      </c>
      <c r="C7391" s="61" t="n">
        <f aca="false">S7367</f>
        <v>2981029.82183117</v>
      </c>
      <c r="D7391" s="61"/>
    </row>
    <row r="7392" customFormat="false" ht="15" hidden="false" customHeight="false" outlineLevel="0" collapsed="false">
      <c r="A7392" s="9" t="s">
        <v>590</v>
      </c>
      <c r="C7392" s="61" t="n">
        <f aca="false">N7370</f>
        <v>-2659394.36290633</v>
      </c>
      <c r="D7392" s="61"/>
    </row>
    <row r="7393" customFormat="false" ht="15" hidden="false" customHeight="false" outlineLevel="0" collapsed="false">
      <c r="A7393" s="9" t="s">
        <v>591</v>
      </c>
      <c r="C7393" s="61" t="n">
        <f aca="false">MIN($C$7370:$N$7370)</f>
        <v>-2659394.36290633</v>
      </c>
      <c r="D7393" s="61"/>
    </row>
    <row r="7394" customFormat="false" ht="15" hidden="false" customHeight="false" outlineLevel="0" collapsed="false">
      <c r="A7394" s="9" t="s">
        <v>592</v>
      </c>
      <c r="C7394" s="61" t="n">
        <f aca="false">N7344*(Assumptions!$E$76-$C$7378)*$C$7377*(1-$C$7377^Assumptions!$E$85)/(1-$C$7377)</f>
        <v>883215.352678571</v>
      </c>
      <c r="D7394" s="61"/>
    </row>
    <row r="7395" customFormat="false" ht="15" hidden="false" customHeight="false" outlineLevel="0" collapsed="false">
      <c r="A7395" s="9" t="s">
        <v>593</v>
      </c>
      <c r="C7395" s="61" t="n">
        <f aca="false">N7344*(Assumptions!$E$76-$C$7378)*(1-Assumptions!$E$88)/(1+Assumptions!$E$87)^2.5*$C$7379*(1-$C$7379^Assumptions!$E$85)/(1-$C$7379)</f>
        <v>393083.337460226</v>
      </c>
      <c r="D7395" s="61"/>
    </row>
    <row r="7396" customFormat="false" ht="15" hidden="false" customHeight="false" outlineLevel="0" collapsed="false">
      <c r="A7396" s="9" t="s">
        <v>594</v>
      </c>
      <c r="C7396" s="61" t="n">
        <f aca="false">SUM($C$7372:$N$7372)+'Engine Runs'!$C$7395</f>
        <v>-1903498.76853222</v>
      </c>
      <c r="D7396" s="61"/>
    </row>
    <row r="7397" customFormat="false" ht="15" hidden="false" customHeight="false" outlineLevel="0" collapsed="false">
      <c r="A7397" s="9" t="s">
        <v>595</v>
      </c>
      <c r="C7397" s="61" t="n">
        <f aca="false">SUM($C$7376:$N$7376)+N7374*(Assumptions!$E$76-Assumptions!$E$93)/(1+Assumptions!$E$87)^2.5*$C$7380*(1-$C$7380^Assumptions!$E$85)/(1-$C$7380)</f>
        <v>1517688.17631148</v>
      </c>
      <c r="D7397" s="61"/>
    </row>
    <row r="7398" customFormat="false" ht="15" hidden="false" customHeight="false" outlineLevel="0" collapsed="false">
      <c r="A7398" s="9" t="s">
        <v>596</v>
      </c>
      <c r="C7398" s="61" t="n">
        <f aca="false">'Engine Runs'!$C$7396-'Engine Runs'!$C$7397</f>
        <v>-3421186.94484371</v>
      </c>
      <c r="D7398" s="61"/>
    </row>
    <row r="7399" customFormat="false" ht="15" hidden="false" customHeight="false" outlineLevel="0" collapsed="false">
      <c r="A7399" s="9" t="s">
        <v>597</v>
      </c>
      <c r="C7399" s="61" t="n">
        <f aca="false">S7331</f>
        <v>0</v>
      </c>
      <c r="D7399" s="61"/>
    </row>
    <row r="7400" customFormat="false" ht="15" hidden="false" customHeight="false" outlineLevel="0" collapsed="false">
      <c r="A7400" s="9" t="s">
        <v>598</v>
      </c>
      <c r="C7400" s="63" t="n">
        <f aca="false">P7315</f>
        <v>43.6188722246667</v>
      </c>
      <c r="D7400" s="63"/>
    </row>
    <row r="7401" customFormat="false" ht="15" hidden="false" customHeight="false" outlineLevel="0" collapsed="false">
      <c r="A7401" s="9" t="s">
        <v>599</v>
      </c>
      <c r="C7401" s="63" t="n">
        <f aca="false">P7335</f>
        <v>6.18260904948639</v>
      </c>
      <c r="D7401" s="63"/>
    </row>
    <row r="7402" customFormat="false" ht="15" hidden="false" customHeight="false" outlineLevel="0" collapsed="false">
      <c r="A7402" s="9" t="s">
        <v>600</v>
      </c>
      <c r="C7402" s="63" t="n">
        <f aca="false">P7311</f>
        <v>42</v>
      </c>
      <c r="D7402" s="63"/>
    </row>
    <row r="7403" customFormat="false" ht="15" hidden="false" customHeight="false" outlineLevel="0" collapsed="false">
      <c r="A7403" s="9" t="s">
        <v>601</v>
      </c>
      <c r="C7403" s="61" t="n">
        <f aca="false">IFERROR(P7345/P7335,0)</f>
        <v>8545.01753177967</v>
      </c>
      <c r="D7403" s="61"/>
    </row>
    <row r="7406" customFormat="false" ht="15" hidden="false" customHeight="true" outlineLevel="0" collapsed="false">
      <c r="A7406" s="78" t="s">
        <v>900</v>
      </c>
      <c r="B7406" s="78"/>
      <c r="C7406" s="78"/>
      <c r="D7406" s="78"/>
      <c r="E7406" s="78"/>
      <c r="F7406" s="78"/>
      <c r="G7406" s="78"/>
      <c r="H7406" s="78"/>
      <c r="I7406" s="78"/>
      <c r="J7406" s="78"/>
      <c r="K7406" s="78"/>
      <c r="L7406" s="78"/>
      <c r="M7406" s="78"/>
      <c r="N7406" s="78"/>
    </row>
    <row r="7407" customFormat="false" ht="15" hidden="false" customHeight="true" outlineLevel="0" collapsed="false">
      <c r="A7407" s="79" t="s">
        <v>901</v>
      </c>
      <c r="B7407" s="79"/>
      <c r="C7407" s="79"/>
      <c r="D7407" s="79"/>
      <c r="E7407" s="79"/>
      <c r="F7407" s="79"/>
      <c r="G7407" s="79"/>
      <c r="H7407" s="79"/>
      <c r="I7407" s="79"/>
      <c r="J7407" s="79"/>
      <c r="K7407" s="79"/>
      <c r="L7407" s="79"/>
      <c r="M7407" s="79"/>
      <c r="N7407" s="79"/>
    </row>
    <row r="7408" customFormat="false" ht="23.85" hidden="false" customHeight="false" outlineLevel="0" collapsed="false">
      <c r="A7408" s="35" t="s">
        <v>902</v>
      </c>
      <c r="B7408" s="35" t="s">
        <v>444</v>
      </c>
      <c r="C7408" s="6" t="s">
        <v>354</v>
      </c>
      <c r="D7408" s="6" t="s">
        <v>355</v>
      </c>
      <c r="E7408" s="6" t="s">
        <v>356</v>
      </c>
      <c r="F7408" s="6" t="s">
        <v>357</v>
      </c>
      <c r="G7408" s="6" t="s">
        <v>358</v>
      </c>
      <c r="H7408" s="6" t="s">
        <v>359</v>
      </c>
      <c r="I7408" s="6" t="s">
        <v>360</v>
      </c>
      <c r="J7408" s="6" t="s">
        <v>361</v>
      </c>
      <c r="K7408" s="6" t="s">
        <v>362</v>
      </c>
      <c r="L7408" s="6" t="s">
        <v>363</v>
      </c>
      <c r="M7408" s="6" t="s">
        <v>364</v>
      </c>
      <c r="N7408" s="6" t="s">
        <v>365</v>
      </c>
      <c r="P7408" s="6" t="s">
        <v>445</v>
      </c>
      <c r="Q7408" s="6" t="s">
        <v>446</v>
      </c>
      <c r="R7408" s="6" t="s">
        <v>447</v>
      </c>
      <c r="S7408" s="6" t="s">
        <v>448</v>
      </c>
    </row>
    <row r="7409" customFormat="false" ht="15" hidden="false" customHeight="false" outlineLevel="0" collapsed="false">
      <c r="A7409" s="4" t="s">
        <v>449</v>
      </c>
      <c r="B7409" s="36" t="s">
        <v>450</v>
      </c>
      <c r="C7409" s="34" t="n">
        <f aca="false">'Market Sizing'!$C$17*Assumptions!$E$10*Assumptions!$E$11*(1-Assumptions!$E$12)</f>
        <v>843.03944704</v>
      </c>
    </row>
    <row r="7410" customFormat="false" ht="15" hidden="false" customHeight="false" outlineLevel="0" collapsed="false">
      <c r="A7410" s="4" t="s">
        <v>451</v>
      </c>
      <c r="B7410" s="36" t="s">
        <v>450</v>
      </c>
      <c r="C7410" s="34" t="n">
        <f aca="false">'Market Sizing'!$D$17*Assumptions!$E$10*Assumptions!$E$11*(1-Assumptions!$E$12)</f>
        <v>211.19616</v>
      </c>
    </row>
    <row r="7411" customFormat="false" ht="15" hidden="false" customHeight="false" outlineLevel="0" collapsed="false">
      <c r="A7411" s="4" t="s">
        <v>452</v>
      </c>
      <c r="B7411" s="36" t="s">
        <v>450</v>
      </c>
      <c r="C7411" s="34" t="n">
        <f aca="false">'Market Sizing'!$E$17*Assumptions!$E$10*Assumptions!$E$11*(1-Assumptions!$E$12)</f>
        <v>49.53984</v>
      </c>
    </row>
    <row r="7412" customFormat="false" ht="15" hidden="false" customHeight="false" outlineLevel="0" collapsed="false">
      <c r="A7412" s="4" t="s">
        <v>453</v>
      </c>
      <c r="B7412" s="36"/>
      <c r="C7412" s="34" t="n">
        <f aca="false">$C$7409+$C$7410+$C$7411</f>
        <v>1103.77544704</v>
      </c>
    </row>
    <row r="7413" customFormat="false" ht="15" hidden="false" customHeight="false" outlineLevel="0" collapsed="false">
      <c r="A7413" s="4" t="s">
        <v>454</v>
      </c>
      <c r="B7413" s="36" t="s">
        <v>450</v>
      </c>
      <c r="C7413" s="34" t="n">
        <f aca="false">'Market Sizing'!$C$18*Assumptions!$E$10*Assumptions!$E$11*(1-Assumptions!$E$12)</f>
        <v>612.57706944</v>
      </c>
    </row>
    <row r="7414" customFormat="false" ht="15" hidden="false" customHeight="false" outlineLevel="0" collapsed="false">
      <c r="A7414" s="4" t="s">
        <v>455</v>
      </c>
      <c r="B7414" s="36" t="s">
        <v>450</v>
      </c>
      <c r="C7414" s="34" t="n">
        <f aca="false">'Market Sizing'!$D$18*Assumptions!$E$10*Assumptions!$E$11*(1-Assumptions!$E$12)</f>
        <v>142.10112</v>
      </c>
    </row>
    <row r="7415" customFormat="false" ht="15" hidden="false" customHeight="false" outlineLevel="0" collapsed="false">
      <c r="A7415" s="4" t="s">
        <v>456</v>
      </c>
      <c r="B7415" s="36" t="s">
        <v>450</v>
      </c>
      <c r="C7415" s="34" t="n">
        <f aca="false">'Market Sizing'!$E$18*Assumptions!$E$10*Assumptions!$E$11*(1-Assumptions!$E$12)</f>
        <v>24.76992</v>
      </c>
    </row>
    <row r="7416" customFormat="false" ht="15" hidden="false" customHeight="false" outlineLevel="0" collapsed="false">
      <c r="A7416" s="4" t="s">
        <v>457</v>
      </c>
      <c r="B7416" s="36"/>
      <c r="C7416" s="34" t="n">
        <f aca="false">$C$7413+$C$7414+$C$7415</f>
        <v>779.44810944</v>
      </c>
    </row>
    <row r="7417" customFormat="false" ht="15" hidden="false" customHeight="false" outlineLevel="0" collapsed="false">
      <c r="A7417" s="4" t="s">
        <v>458</v>
      </c>
      <c r="B7417" s="36" t="s">
        <v>450</v>
      </c>
      <c r="C7417" s="34" t="n">
        <f aca="false">'Market Sizing'!$C$19*Assumptions!$E$10*Assumptions!$E$11*(1-Assumptions!$E$12)</f>
        <v>2060.77303936</v>
      </c>
    </row>
    <row r="7418" customFormat="false" ht="15" hidden="false" customHeight="false" outlineLevel="0" collapsed="false">
      <c r="A7418" s="4" t="s">
        <v>459</v>
      </c>
      <c r="B7418" s="36" t="s">
        <v>450</v>
      </c>
      <c r="C7418" s="34" t="n">
        <f aca="false">'Market Sizing'!$D$19*Assumptions!$E$10*Assumptions!$E$11*(1-Assumptions!$E$12)</f>
        <v>428.47616</v>
      </c>
    </row>
    <row r="7419" customFormat="false" ht="15" hidden="false" customHeight="false" outlineLevel="0" collapsed="false">
      <c r="A7419" s="4" t="s">
        <v>460</v>
      </c>
      <c r="B7419" s="36" t="s">
        <v>450</v>
      </c>
      <c r="C7419" s="34" t="n">
        <f aca="false">'Market Sizing'!$E$19*Assumptions!$E$10*Assumptions!$E$11*(1-Assumptions!$E$12)</f>
        <v>79.52448</v>
      </c>
    </row>
    <row r="7420" customFormat="false" ht="15" hidden="false" customHeight="false" outlineLevel="0" collapsed="false">
      <c r="A7420" s="4" t="s">
        <v>461</v>
      </c>
      <c r="B7420" s="36"/>
      <c r="C7420" s="34" t="n">
        <f aca="false">$C$7417+$C$7418+$C$7419</f>
        <v>2568.77367936</v>
      </c>
    </row>
    <row r="7421" customFormat="false" ht="15" hidden="false" customHeight="false" outlineLevel="0" collapsed="false">
      <c r="A7421" s="4" t="s">
        <v>462</v>
      </c>
      <c r="B7421" s="36" t="s">
        <v>463</v>
      </c>
      <c r="C7421" s="33" t="n">
        <f aca="false">MAX((Assumptions!$E$51+Assumptions!$E$53)*12,(((('Market Sizing'!$E$25*Assumptions!$E$41*Assumptions!$E$42*Assumptions!$E$43)*Assumptions!$E$44)*Assumptions!$E$45*Assumptions!$E$46+('Market Sizing'!$E$25*Assumptions!$E$41*Assumptions!$E$42*Assumptions!$E$43)*Assumptions!$E$47+('Market Sizing'!$E$25*Assumptions!$E$41*Assumptions!$E$42*Assumptions!$E$43)*Assumptions!$E$48*Assumptions!$E$49)*(Assumptions!$E$51*12/Assumptions!$E$52)+((('Market Sizing'!$E$25*Assumptions!$E$41*Assumptions!$E$42*Assumptions!$E$43)*Assumptions!$E$44)*Assumptions!$E$45+('Market Sizing'!$E$25*Assumptions!$E$41*Assumptions!$E$42*Assumptions!$E$43)+('Market Sizing'!$E$25*Assumptions!$E$41*Assumptions!$E$42*Assumptions!$E$43)*Assumptions!$E$48)*Assumptions!$E$50*(Assumptions!$E$53*12/Assumptions!$E$54)))</f>
        <v>5352</v>
      </c>
    </row>
    <row r="7422" customFormat="false" ht="15" hidden="false" customHeight="false" outlineLevel="0" collapsed="false">
      <c r="A7422" s="4" t="s">
        <v>464</v>
      </c>
      <c r="B7422" s="36" t="s">
        <v>463</v>
      </c>
      <c r="C7422" s="33" t="n">
        <f aca="false">MAX((Assumptions!$E$51+Assumptions!$E$53)*12,(((('Market Sizing'!$E$26*Assumptions!$E$41*Assumptions!$E$42*Assumptions!$E$43)*Assumptions!$E$44)*Assumptions!$E$45*Assumptions!$E$46+('Market Sizing'!$E$26*Assumptions!$E$41*Assumptions!$E$42*Assumptions!$E$43)*Assumptions!$E$47+('Market Sizing'!$E$26*Assumptions!$E$41*Assumptions!$E$42*Assumptions!$E$43)*Assumptions!$E$48*Assumptions!$E$49)*(Assumptions!$E$51*12/Assumptions!$E$52)+((('Market Sizing'!$E$26*Assumptions!$E$41*Assumptions!$E$42*Assumptions!$E$43)*Assumptions!$E$44)*Assumptions!$E$45+('Market Sizing'!$E$26*Assumptions!$E$41*Assumptions!$E$42*Assumptions!$E$43)+('Market Sizing'!$E$26*Assumptions!$E$41*Assumptions!$E$42*Assumptions!$E$43)*Assumptions!$E$48)*Assumptions!$E$50*(Assumptions!$E$53*12/Assumptions!$E$54)))</f>
        <v>9766.72012875208</v>
      </c>
    </row>
    <row r="7423" customFormat="false" ht="15" hidden="false" customHeight="false" outlineLevel="0" collapsed="false">
      <c r="A7423" s="4" t="s">
        <v>465</v>
      </c>
      <c r="B7423" s="36" t="s">
        <v>463</v>
      </c>
      <c r="C7423" s="33" t="n">
        <f aca="false">MAX(Assumptions!$E$55*(Assumptions!$E$51*12/Assumptions!$E$52)+Assumptions!$E$56*(Assumptions!$E$53*12/Assumptions!$E$54),(((('Market Sizing'!$E$27*Assumptions!$E$41*Assumptions!$E$42*Assumptions!$E$43)*Assumptions!$E$44)*Assumptions!$E$45*Assumptions!$E$46+('Market Sizing'!$E$27*Assumptions!$E$41*Assumptions!$E$42*Assumptions!$E$43)*Assumptions!$E$47+('Market Sizing'!$E$27*Assumptions!$E$41*Assumptions!$E$42*Assumptions!$E$43)*Assumptions!$E$48*Assumptions!$E$49)*(Assumptions!$E$51*12/Assumptions!$E$52)+((('Market Sizing'!$E$27*Assumptions!$E$41*Assumptions!$E$42*Assumptions!$E$43)*Assumptions!$E$44)*Assumptions!$E$45+('Market Sizing'!$E$27*Assumptions!$E$41*Assumptions!$E$42*Assumptions!$E$43)+('Market Sizing'!$E$27*Assumptions!$E$41*Assumptions!$E$42*Assumptions!$E$43)*Assumptions!$E$48)*Assumptions!$E$50*(Assumptions!$E$53*12/Assumptions!$E$54)))*(1-Assumptions!$E$57)</f>
        <v>61778.2562194386</v>
      </c>
    </row>
    <row r="7424" customFormat="false" ht="23.85" hidden="false" customHeight="false" outlineLevel="0" collapsed="false">
      <c r="A7424" s="4" t="s">
        <v>466</v>
      </c>
      <c r="B7424" s="36" t="s">
        <v>467</v>
      </c>
      <c r="C7424" s="37" t="n">
        <f aca="false">Assumptions!$E$17*Assumptions!$D$106</f>
        <v>0.4</v>
      </c>
    </row>
    <row r="7425" customFormat="false" ht="23.85" hidden="false" customHeight="false" outlineLevel="0" collapsed="false">
      <c r="A7425" s="4" t="s">
        <v>468</v>
      </c>
      <c r="B7425" s="36" t="s">
        <v>469</v>
      </c>
      <c r="C7425" s="33" t="n">
        <f aca="false">Assumptions!$E$68/Assumptions!$E$69</f>
        <v>285714.285714286</v>
      </c>
    </row>
    <row r="7426" customFormat="false" ht="23.85" hidden="false" customHeight="false" outlineLevel="0" collapsed="false">
      <c r="A7426" s="4" t="s">
        <v>470</v>
      </c>
      <c r="B7426" s="36" t="s">
        <v>471</v>
      </c>
      <c r="C7426" s="33" t="n">
        <f aca="false">Assumptions!$E$66*Assumptions!$E$67/4</f>
        <v>153125</v>
      </c>
    </row>
    <row r="7427" customFormat="false" ht="15" hidden="false" customHeight="false" outlineLevel="0" collapsed="false">
      <c r="A7427" s="4" t="s">
        <v>472</v>
      </c>
      <c r="B7427" s="36"/>
      <c r="C7427" s="38" t="n">
        <f aca="false">$C$7425/Assumptions!$E$66/Assumptions!$E$67</f>
        <v>0.466472303206997</v>
      </c>
    </row>
    <row r="7428" customFormat="false" ht="15" hidden="false" customHeight="false" outlineLevel="0" collapsed="false">
      <c r="A7428" s="4" t="s">
        <v>473</v>
      </c>
      <c r="B7428" s="36"/>
      <c r="C7428" s="33" t="n">
        <f aca="false">MAX(0,Assumptions!$D$103-Assumptions!$E$78)</f>
        <v>0</v>
      </c>
    </row>
    <row r="7429" customFormat="false" ht="15" hidden="false" customHeight="false" outlineLevel="0" collapsed="false">
      <c r="A7429" s="35" t="s">
        <v>474</v>
      </c>
      <c r="B7429" s="35" t="s">
        <v>444</v>
      </c>
      <c r="C7429" s="6" t="s">
        <v>354</v>
      </c>
      <c r="D7429" s="6" t="s">
        <v>355</v>
      </c>
      <c r="E7429" s="6" t="s">
        <v>356</v>
      </c>
      <c r="F7429" s="6" t="s">
        <v>357</v>
      </c>
      <c r="G7429" s="6" t="s">
        <v>358</v>
      </c>
      <c r="H7429" s="6" t="s">
        <v>359</v>
      </c>
      <c r="I7429" s="6" t="s">
        <v>360</v>
      </c>
      <c r="J7429" s="6" t="s">
        <v>361</v>
      </c>
      <c r="K7429" s="6" t="s">
        <v>362</v>
      </c>
      <c r="L7429" s="6" t="s">
        <v>363</v>
      </c>
      <c r="M7429" s="6" t="s">
        <v>364</v>
      </c>
      <c r="N7429" s="6" t="s">
        <v>365</v>
      </c>
      <c r="P7429" s="6" t="s">
        <v>445</v>
      </c>
      <c r="Q7429" s="6" t="s">
        <v>446</v>
      </c>
      <c r="R7429" s="6" t="s">
        <v>447</v>
      </c>
      <c r="S7429" s="6" t="s">
        <v>448</v>
      </c>
    </row>
    <row r="7430" customFormat="false" ht="15" hidden="false" customHeight="false" outlineLevel="0" collapsed="false">
      <c r="A7430" s="4" t="s">
        <v>475</v>
      </c>
      <c r="B7430" s="36" t="s">
        <v>133</v>
      </c>
      <c r="C7430" s="39" t="n">
        <v>1</v>
      </c>
      <c r="D7430" s="39" t="n">
        <v>2</v>
      </c>
      <c r="E7430" s="39" t="n">
        <v>3</v>
      </c>
      <c r="F7430" s="39" t="n">
        <v>4</v>
      </c>
      <c r="G7430" s="39" t="n">
        <v>5</v>
      </c>
      <c r="H7430" s="39" t="n">
        <v>6</v>
      </c>
      <c r="I7430" s="39" t="n">
        <v>7</v>
      </c>
      <c r="J7430" s="39" t="n">
        <v>8</v>
      </c>
      <c r="K7430" s="39" t="n">
        <v>9</v>
      </c>
      <c r="L7430" s="39" t="n">
        <v>10</v>
      </c>
      <c r="M7430" s="39" t="n">
        <v>11</v>
      </c>
      <c r="N7430" s="39" t="n">
        <v>12</v>
      </c>
      <c r="P7430" s="40"/>
      <c r="Q7430" s="40"/>
      <c r="R7430" s="40"/>
      <c r="S7430" s="41"/>
    </row>
    <row r="7431" customFormat="false" ht="15" hidden="false" customHeight="false" outlineLevel="0" collapsed="false">
      <c r="A7431" s="4" t="s">
        <v>476</v>
      </c>
      <c r="B7431" s="36" t="s">
        <v>343</v>
      </c>
      <c r="C7431" s="39" t="n">
        <f aca="false">IF(C7430&lt;=Assumptions!$E$84,1,0)</f>
        <v>1</v>
      </c>
      <c r="D7431" s="39" t="n">
        <f aca="false">IF(D7430&lt;=Assumptions!$E$84,1,0)</f>
        <v>1</v>
      </c>
      <c r="E7431" s="39" t="n">
        <f aca="false">IF(E7430&lt;=Assumptions!$E$84,1,0)</f>
        <v>1</v>
      </c>
      <c r="F7431" s="39" t="n">
        <f aca="false">IF(F7430&lt;=Assumptions!$E$84,1,0)</f>
        <v>1</v>
      </c>
      <c r="G7431" s="39" t="n">
        <f aca="false">IF(G7430&lt;=Assumptions!$E$84,1,0)</f>
        <v>1</v>
      </c>
      <c r="H7431" s="39" t="n">
        <f aca="false">IF(H7430&lt;=Assumptions!$E$84,1,0)</f>
        <v>1</v>
      </c>
      <c r="I7431" s="39" t="n">
        <f aca="false">IF(I7430&lt;=Assumptions!$E$84,1,0)</f>
        <v>1</v>
      </c>
      <c r="J7431" s="39" t="n">
        <f aca="false">IF(J7430&lt;=Assumptions!$E$84,1,0)</f>
        <v>1</v>
      </c>
      <c r="K7431" s="39" t="n">
        <f aca="false">IF(K7430&lt;=Assumptions!$E$84,1,0)</f>
        <v>1</v>
      </c>
      <c r="L7431" s="39" t="n">
        <f aca="false">IF(L7430&lt;=Assumptions!$E$84,1,0)</f>
        <v>1</v>
      </c>
      <c r="M7431" s="39" t="n">
        <f aca="false">IF(M7430&lt;=Assumptions!$E$84,1,0)</f>
        <v>1</v>
      </c>
      <c r="N7431" s="39" t="n">
        <f aca="false">IF(N7430&lt;=Assumptions!$E$84,1,0)</f>
        <v>1</v>
      </c>
      <c r="P7431" s="40"/>
      <c r="Q7431" s="40"/>
      <c r="R7431" s="40"/>
      <c r="S7431" s="41"/>
    </row>
    <row r="7432" customFormat="false" ht="15" hidden="false" customHeight="false" outlineLevel="0" collapsed="false">
      <c r="A7432" s="4" t="s">
        <v>477</v>
      </c>
      <c r="B7432" s="36" t="s">
        <v>478</v>
      </c>
      <c r="C7432" s="42" t="n">
        <f aca="false">IF(C7430=Assumptions!$E$13,0.5,IF(C7430&gt;Assumptions!$E$13,1,0))</f>
        <v>0.5</v>
      </c>
      <c r="D7432" s="42" t="n">
        <f aca="false">IF(D7430=Assumptions!$E$13,0.5,IF(D7430&gt;Assumptions!$E$13,1,0))</f>
        <v>1</v>
      </c>
      <c r="E7432" s="42" t="n">
        <f aca="false">IF(E7430=Assumptions!$E$13,0.5,IF(E7430&gt;Assumptions!$E$13,1,0))</f>
        <v>1</v>
      </c>
      <c r="F7432" s="42" t="n">
        <f aca="false">IF(F7430=Assumptions!$E$13,0.5,IF(F7430&gt;Assumptions!$E$13,1,0))</f>
        <v>1</v>
      </c>
      <c r="G7432" s="42" t="n">
        <f aca="false">IF(G7430=Assumptions!$E$13,0.5,IF(G7430&gt;Assumptions!$E$13,1,0))</f>
        <v>1</v>
      </c>
      <c r="H7432" s="42" t="n">
        <f aca="false">IF(H7430=Assumptions!$E$13,0.5,IF(H7430&gt;Assumptions!$E$13,1,0))</f>
        <v>1</v>
      </c>
      <c r="I7432" s="42" t="n">
        <f aca="false">IF(I7430=Assumptions!$E$13,0.5,IF(I7430&gt;Assumptions!$E$13,1,0))</f>
        <v>1</v>
      </c>
      <c r="J7432" s="42" t="n">
        <f aca="false">IF(J7430=Assumptions!$E$13,0.5,IF(J7430&gt;Assumptions!$E$13,1,0))</f>
        <v>1</v>
      </c>
      <c r="K7432" s="42" t="n">
        <f aca="false">IF(K7430=Assumptions!$E$13,0.5,IF(K7430&gt;Assumptions!$E$13,1,0))</f>
        <v>1</v>
      </c>
      <c r="L7432" s="42" t="n">
        <f aca="false">IF(L7430=Assumptions!$E$13,0.5,IF(L7430&gt;Assumptions!$E$13,1,0))</f>
        <v>1</v>
      </c>
      <c r="M7432" s="42" t="n">
        <f aca="false">IF(M7430=Assumptions!$E$13,0.5,IF(M7430&gt;Assumptions!$E$13,1,0))</f>
        <v>1</v>
      </c>
      <c r="N7432" s="42" t="n">
        <f aca="false">IF(N7430=Assumptions!$E$13,0.5,IF(N7430&gt;Assumptions!$E$13,1,0))</f>
        <v>1</v>
      </c>
      <c r="P7432" s="43"/>
      <c r="Q7432" s="43"/>
      <c r="R7432" s="43"/>
      <c r="S7432" s="44"/>
    </row>
    <row r="7433" customFormat="false" ht="15" hidden="false" customHeight="false" outlineLevel="0" collapsed="false">
      <c r="A7433" s="4" t="s">
        <v>479</v>
      </c>
      <c r="B7433" s="36" t="s">
        <v>478</v>
      </c>
      <c r="C7433" s="42" t="n">
        <f aca="false">IF(C7430=Assumptions!$E$14,0.5,IF(C7430&gt;Assumptions!$E$14,1,0))</f>
        <v>0</v>
      </c>
      <c r="D7433" s="42" t="n">
        <f aca="false">IF(D7430=Assumptions!$E$14,0.5,IF(D7430&gt;Assumptions!$E$14,1,0))</f>
        <v>0</v>
      </c>
      <c r="E7433" s="42" t="n">
        <f aca="false">IF(E7430=Assumptions!$E$14,0.5,IF(E7430&gt;Assumptions!$E$14,1,0))</f>
        <v>0</v>
      </c>
      <c r="F7433" s="42" t="n">
        <f aca="false">IF(F7430=Assumptions!$E$14,0.5,IF(F7430&gt;Assumptions!$E$14,1,0))</f>
        <v>0</v>
      </c>
      <c r="G7433" s="42" t="n">
        <f aca="false">IF(G7430=Assumptions!$E$14,0.5,IF(G7430&gt;Assumptions!$E$14,1,0))</f>
        <v>0.5</v>
      </c>
      <c r="H7433" s="42" t="n">
        <f aca="false">IF(H7430=Assumptions!$E$14,0.5,IF(H7430&gt;Assumptions!$E$14,1,0))</f>
        <v>1</v>
      </c>
      <c r="I7433" s="42" t="n">
        <f aca="false">IF(I7430=Assumptions!$E$14,0.5,IF(I7430&gt;Assumptions!$E$14,1,0))</f>
        <v>1</v>
      </c>
      <c r="J7433" s="42" t="n">
        <f aca="false">IF(J7430=Assumptions!$E$14,0.5,IF(J7430&gt;Assumptions!$E$14,1,0))</f>
        <v>1</v>
      </c>
      <c r="K7433" s="42" t="n">
        <f aca="false">IF(K7430=Assumptions!$E$14,0.5,IF(K7430&gt;Assumptions!$E$14,1,0))</f>
        <v>1</v>
      </c>
      <c r="L7433" s="42" t="n">
        <f aca="false">IF(L7430=Assumptions!$E$14,0.5,IF(L7430&gt;Assumptions!$E$14,1,0))</f>
        <v>1</v>
      </c>
      <c r="M7433" s="42" t="n">
        <f aca="false">IF(M7430=Assumptions!$E$14,0.5,IF(M7430&gt;Assumptions!$E$14,1,0))</f>
        <v>1</v>
      </c>
      <c r="N7433" s="42" t="n">
        <f aca="false">IF(N7430=Assumptions!$E$14,0.5,IF(N7430&gt;Assumptions!$E$14,1,0))</f>
        <v>1</v>
      </c>
      <c r="P7433" s="43"/>
      <c r="Q7433" s="43"/>
      <c r="R7433" s="43"/>
      <c r="S7433" s="44"/>
    </row>
    <row r="7434" customFormat="false" ht="15" hidden="false" customHeight="false" outlineLevel="0" collapsed="false">
      <c r="A7434" s="4" t="s">
        <v>480</v>
      </c>
      <c r="B7434" s="36" t="s">
        <v>478</v>
      </c>
      <c r="C7434" s="42" t="n">
        <f aca="false">IF(C7430=Assumptions!$E$15,0.5,IF(C7430&gt;Assumptions!$E$15,1,0))</f>
        <v>0</v>
      </c>
      <c r="D7434" s="42" t="n">
        <f aca="false">IF(D7430=Assumptions!$E$15,0.5,IF(D7430&gt;Assumptions!$E$15,1,0))</f>
        <v>0</v>
      </c>
      <c r="E7434" s="42" t="n">
        <f aca="false">IF(E7430=Assumptions!$E$15,0.5,IF(E7430&gt;Assumptions!$E$15,1,0))</f>
        <v>0</v>
      </c>
      <c r="F7434" s="42" t="n">
        <f aca="false">IF(F7430=Assumptions!$E$15,0.5,IF(F7430&gt;Assumptions!$E$15,1,0))</f>
        <v>0</v>
      </c>
      <c r="G7434" s="42" t="n">
        <f aca="false">IF(G7430=Assumptions!$E$15,0.5,IF(G7430&gt;Assumptions!$E$15,1,0))</f>
        <v>0</v>
      </c>
      <c r="H7434" s="42" t="n">
        <f aca="false">IF(H7430=Assumptions!$E$15,0.5,IF(H7430&gt;Assumptions!$E$15,1,0))</f>
        <v>0</v>
      </c>
      <c r="I7434" s="42" t="n">
        <f aca="false">IF(I7430=Assumptions!$E$15,0.5,IF(I7430&gt;Assumptions!$E$15,1,0))</f>
        <v>0.5</v>
      </c>
      <c r="J7434" s="42" t="n">
        <f aca="false">IF(J7430=Assumptions!$E$15,0.5,IF(J7430&gt;Assumptions!$E$15,1,0))</f>
        <v>1</v>
      </c>
      <c r="K7434" s="42" t="n">
        <f aca="false">IF(K7430=Assumptions!$E$15,0.5,IF(K7430&gt;Assumptions!$E$15,1,0))</f>
        <v>1</v>
      </c>
      <c r="L7434" s="42" t="n">
        <f aca="false">IF(L7430=Assumptions!$E$15,0.5,IF(L7430&gt;Assumptions!$E$15,1,0))</f>
        <v>1</v>
      </c>
      <c r="M7434" s="42" t="n">
        <f aca="false">IF(M7430=Assumptions!$E$15,0.5,IF(M7430&gt;Assumptions!$E$15,1,0))</f>
        <v>1</v>
      </c>
      <c r="N7434" s="42" t="n">
        <f aca="false">IF(N7430=Assumptions!$E$15,0.5,IF(N7430&gt;Assumptions!$E$15,1,0))</f>
        <v>1</v>
      </c>
      <c r="P7434" s="43"/>
      <c r="Q7434" s="43"/>
      <c r="R7434" s="43"/>
      <c r="S7434" s="44"/>
    </row>
    <row r="7435" customFormat="false" ht="15" hidden="false" customHeight="false" outlineLevel="0" collapsed="false">
      <c r="A7435" s="4" t="s">
        <v>481</v>
      </c>
      <c r="B7435" s="36" t="s">
        <v>478</v>
      </c>
      <c r="C7435" s="45" t="n">
        <f aca="false">Assumptions!$E$21^(MAX(0,C7430-Assumptions!$E$13)/4)</f>
        <v>1</v>
      </c>
      <c r="D7435" s="45" t="n">
        <f aca="false">Assumptions!$E$21^(MAX(0,D7430-Assumptions!$E$13)/4)</f>
        <v>0.9306048591021</v>
      </c>
      <c r="E7435" s="45" t="n">
        <f aca="false">Assumptions!$E$21^(MAX(0,E7430-Assumptions!$E$13)/4)</f>
        <v>0.866025403784439</v>
      </c>
      <c r="F7435" s="45" t="n">
        <f aca="false">Assumptions!$E$21^(MAX(0,F7430-Assumptions!$E$13)/4)</f>
        <v>0.805927448867656</v>
      </c>
      <c r="G7435" s="45" t="n">
        <f aca="false">Assumptions!$E$21^(MAX(0,G7430-Assumptions!$E$13)/4)</f>
        <v>0.75</v>
      </c>
      <c r="H7435" s="45" t="n">
        <f aca="false">Assumptions!$E$21^(MAX(0,H7430-Assumptions!$E$13)/4)</f>
        <v>0.697953644326575</v>
      </c>
      <c r="I7435" s="45" t="n">
        <f aca="false">Assumptions!$E$21^(MAX(0,I7430-Assumptions!$E$13)/4)</f>
        <v>0.649519052838329</v>
      </c>
      <c r="J7435" s="45" t="n">
        <f aca="false">Assumptions!$E$21^(MAX(0,J7430-Assumptions!$E$13)/4)</f>
        <v>0.604445586650742</v>
      </c>
      <c r="K7435" s="45" t="n">
        <f aca="false">Assumptions!$E$21^(MAX(0,K7430-Assumptions!$E$13)/4)</f>
        <v>0.5625</v>
      </c>
      <c r="L7435" s="45" t="n">
        <f aca="false">Assumptions!$E$21^(MAX(0,L7430-Assumptions!$E$13)/4)</f>
        <v>0.523465233244931</v>
      </c>
      <c r="M7435" s="45" t="n">
        <f aca="false">Assumptions!$E$21^(MAX(0,M7430-Assumptions!$E$13)/4)</f>
        <v>0.487139289628747</v>
      </c>
      <c r="N7435" s="45" t="n">
        <f aca="false">Assumptions!$E$21^(MAX(0,N7430-Assumptions!$E$13)/4)</f>
        <v>0.453334189988057</v>
      </c>
      <c r="P7435" s="46"/>
      <c r="Q7435" s="46"/>
      <c r="R7435" s="46"/>
      <c r="S7435" s="47"/>
    </row>
    <row r="7436" customFormat="false" ht="15" hidden="false" customHeight="false" outlineLevel="0" collapsed="false">
      <c r="A7436" s="4" t="s">
        <v>482</v>
      </c>
      <c r="B7436" s="36" t="s">
        <v>478</v>
      </c>
      <c r="C7436" s="45" t="n">
        <f aca="false">Assumptions!$E$21^(MAX(0,C7430-Assumptions!$E$14)/4)</f>
        <v>1</v>
      </c>
      <c r="D7436" s="45" t="n">
        <f aca="false">Assumptions!$E$21^(MAX(0,D7430-Assumptions!$E$14)/4)</f>
        <v>1</v>
      </c>
      <c r="E7436" s="45" t="n">
        <f aca="false">Assumptions!$E$21^(MAX(0,E7430-Assumptions!$E$14)/4)</f>
        <v>1</v>
      </c>
      <c r="F7436" s="45" t="n">
        <f aca="false">Assumptions!$E$21^(MAX(0,F7430-Assumptions!$E$14)/4)</f>
        <v>1</v>
      </c>
      <c r="G7436" s="45" t="n">
        <f aca="false">Assumptions!$E$21^(MAX(0,G7430-Assumptions!$E$14)/4)</f>
        <v>1</v>
      </c>
      <c r="H7436" s="45" t="n">
        <f aca="false">Assumptions!$E$21^(MAX(0,H7430-Assumptions!$E$14)/4)</f>
        <v>0.9306048591021</v>
      </c>
      <c r="I7436" s="45" t="n">
        <f aca="false">Assumptions!$E$21^(MAX(0,I7430-Assumptions!$E$14)/4)</f>
        <v>0.866025403784439</v>
      </c>
      <c r="J7436" s="45" t="n">
        <f aca="false">Assumptions!$E$21^(MAX(0,J7430-Assumptions!$E$14)/4)</f>
        <v>0.805927448867656</v>
      </c>
      <c r="K7436" s="45" t="n">
        <f aca="false">Assumptions!$E$21^(MAX(0,K7430-Assumptions!$E$14)/4)</f>
        <v>0.75</v>
      </c>
      <c r="L7436" s="45" t="n">
        <f aca="false">Assumptions!$E$21^(MAX(0,L7430-Assumptions!$E$14)/4)</f>
        <v>0.697953644326575</v>
      </c>
      <c r="M7436" s="45" t="n">
        <f aca="false">Assumptions!$E$21^(MAX(0,M7430-Assumptions!$E$14)/4)</f>
        <v>0.649519052838329</v>
      </c>
      <c r="N7436" s="45" t="n">
        <f aca="false">Assumptions!$E$21^(MAX(0,N7430-Assumptions!$E$14)/4)</f>
        <v>0.604445586650742</v>
      </c>
      <c r="P7436" s="46"/>
      <c r="Q7436" s="46"/>
      <c r="R7436" s="46"/>
      <c r="S7436" s="47"/>
    </row>
    <row r="7437" customFormat="false" ht="15" hidden="false" customHeight="false" outlineLevel="0" collapsed="false">
      <c r="A7437" s="4" t="s">
        <v>483</v>
      </c>
      <c r="B7437" s="36" t="s">
        <v>478</v>
      </c>
      <c r="C7437" s="45" t="n">
        <f aca="false">Assumptions!$E$21^(MAX(0,C7430-Assumptions!$E$15)/4)</f>
        <v>1</v>
      </c>
      <c r="D7437" s="45" t="n">
        <f aca="false">Assumptions!$E$21^(MAX(0,D7430-Assumptions!$E$15)/4)</f>
        <v>1</v>
      </c>
      <c r="E7437" s="45" t="n">
        <f aca="false">Assumptions!$E$21^(MAX(0,E7430-Assumptions!$E$15)/4)</f>
        <v>1</v>
      </c>
      <c r="F7437" s="45" t="n">
        <f aca="false">Assumptions!$E$21^(MAX(0,F7430-Assumptions!$E$15)/4)</f>
        <v>1</v>
      </c>
      <c r="G7437" s="45" t="n">
        <f aca="false">Assumptions!$E$21^(MAX(0,G7430-Assumptions!$E$15)/4)</f>
        <v>1</v>
      </c>
      <c r="H7437" s="45" t="n">
        <f aca="false">Assumptions!$E$21^(MAX(0,H7430-Assumptions!$E$15)/4)</f>
        <v>1</v>
      </c>
      <c r="I7437" s="45" t="n">
        <f aca="false">Assumptions!$E$21^(MAX(0,I7430-Assumptions!$E$15)/4)</f>
        <v>1</v>
      </c>
      <c r="J7437" s="45" t="n">
        <f aca="false">Assumptions!$E$21^(MAX(0,J7430-Assumptions!$E$15)/4)</f>
        <v>0.9306048591021</v>
      </c>
      <c r="K7437" s="45" t="n">
        <f aca="false">Assumptions!$E$21^(MAX(0,K7430-Assumptions!$E$15)/4)</f>
        <v>0.866025403784439</v>
      </c>
      <c r="L7437" s="45" t="n">
        <f aca="false">Assumptions!$E$21^(MAX(0,L7430-Assumptions!$E$15)/4)</f>
        <v>0.805927448867656</v>
      </c>
      <c r="M7437" s="45" t="n">
        <f aca="false">Assumptions!$E$21^(MAX(0,M7430-Assumptions!$E$15)/4)</f>
        <v>0.75</v>
      </c>
      <c r="N7437" s="45" t="n">
        <f aca="false">Assumptions!$E$21^(MAX(0,N7430-Assumptions!$E$15)/4)</f>
        <v>0.697953644326575</v>
      </c>
      <c r="P7437" s="46"/>
      <c r="Q7437" s="46"/>
      <c r="R7437" s="46"/>
      <c r="S7437" s="47"/>
    </row>
    <row r="7438" customFormat="false" ht="15" hidden="false" customHeight="false" outlineLevel="0" collapsed="false">
      <c r="A7438" s="4" t="s">
        <v>484</v>
      </c>
      <c r="B7438" s="36" t="s">
        <v>485</v>
      </c>
      <c r="C7438" s="39" t="n">
        <f aca="false">$C$7409*C7432+$C$7413*C7433+$C$7417*C7434</f>
        <v>421.51972352</v>
      </c>
      <c r="D7438" s="39" t="n">
        <f aca="false">$C$7409*D7432+$C$7413*D7433+$C$7417*D7434</f>
        <v>843.03944704</v>
      </c>
      <c r="E7438" s="39" t="n">
        <f aca="false">$C$7409*E7432+$C$7413*E7433+$C$7417*E7434</f>
        <v>843.03944704</v>
      </c>
      <c r="F7438" s="39" t="n">
        <f aca="false">$C$7409*F7432+$C$7413*F7433+$C$7417*F7434</f>
        <v>843.03944704</v>
      </c>
      <c r="G7438" s="39" t="n">
        <f aca="false">$C$7409*G7432+$C$7413*G7433+$C$7417*G7434</f>
        <v>1149.32798176</v>
      </c>
      <c r="H7438" s="39" t="n">
        <f aca="false">$C$7409*H7432+$C$7413*H7433+$C$7417*H7434</f>
        <v>1455.61651648</v>
      </c>
      <c r="I7438" s="39" t="n">
        <f aca="false">$C$7409*I7432+$C$7413*I7433+$C$7417*I7434</f>
        <v>2486.00303616</v>
      </c>
      <c r="J7438" s="39" t="n">
        <f aca="false">$C$7409*J7432+$C$7413*J7433+$C$7417*J7434</f>
        <v>3516.38955584</v>
      </c>
      <c r="K7438" s="39" t="n">
        <f aca="false">$C$7409*K7432+$C$7413*K7433+$C$7417*K7434</f>
        <v>3516.38955584</v>
      </c>
      <c r="L7438" s="39" t="n">
        <f aca="false">$C$7409*L7432+$C$7413*L7433+$C$7417*L7434</f>
        <v>3516.38955584</v>
      </c>
      <c r="M7438" s="39" t="n">
        <f aca="false">$C$7409*M7432+$C$7413*M7433+$C$7417*M7434</f>
        <v>3516.38955584</v>
      </c>
      <c r="N7438" s="39" t="n">
        <f aca="false">$C$7409*N7432+$C$7413*N7433+$C$7417*N7434</f>
        <v>3516.38955584</v>
      </c>
      <c r="P7438" s="40" t="n">
        <f aca="false">F7438</f>
        <v>843.03944704</v>
      </c>
      <c r="Q7438" s="40" t="n">
        <f aca="false">J7438</f>
        <v>3516.38955584</v>
      </c>
      <c r="R7438" s="40" t="n">
        <f aca="false">N7438</f>
        <v>3516.38955584</v>
      </c>
      <c r="S7438" s="41" t="n">
        <f aca="false">R7438</f>
        <v>3516.38955584</v>
      </c>
    </row>
    <row r="7439" customFormat="false" ht="15" hidden="false" customHeight="false" outlineLevel="0" collapsed="false">
      <c r="A7439" s="4" t="s">
        <v>486</v>
      </c>
      <c r="B7439" s="36" t="s">
        <v>485</v>
      </c>
      <c r="C7439" s="39" t="n">
        <f aca="false">$C$7410*C7432+$C$7414*C7433+$C$7418*C7434</f>
        <v>105.59808</v>
      </c>
      <c r="D7439" s="39" t="n">
        <f aca="false">$C$7410*D7432+$C$7414*D7433+$C$7418*D7434</f>
        <v>211.19616</v>
      </c>
      <c r="E7439" s="39" t="n">
        <f aca="false">$C$7410*E7432+$C$7414*E7433+$C$7418*E7434</f>
        <v>211.19616</v>
      </c>
      <c r="F7439" s="39" t="n">
        <f aca="false">$C$7410*F7432+$C$7414*F7433+$C$7418*F7434</f>
        <v>211.19616</v>
      </c>
      <c r="G7439" s="39" t="n">
        <f aca="false">$C$7410*G7432+$C$7414*G7433+$C$7418*G7434</f>
        <v>282.24672</v>
      </c>
      <c r="H7439" s="39" t="n">
        <f aca="false">$C$7410*H7432+$C$7414*H7433+$C$7418*H7434</f>
        <v>353.29728</v>
      </c>
      <c r="I7439" s="39" t="n">
        <f aca="false">$C$7410*I7432+$C$7414*I7433+$C$7418*I7434</f>
        <v>567.53536</v>
      </c>
      <c r="J7439" s="39" t="n">
        <f aca="false">$C$7410*J7432+$C$7414*J7433+$C$7418*J7434</f>
        <v>781.77344</v>
      </c>
      <c r="K7439" s="39" t="n">
        <f aca="false">$C$7410*K7432+$C$7414*K7433+$C$7418*K7434</f>
        <v>781.77344</v>
      </c>
      <c r="L7439" s="39" t="n">
        <f aca="false">$C$7410*L7432+$C$7414*L7433+$C$7418*L7434</f>
        <v>781.77344</v>
      </c>
      <c r="M7439" s="39" t="n">
        <f aca="false">$C$7410*M7432+$C$7414*M7433+$C$7418*M7434</f>
        <v>781.77344</v>
      </c>
      <c r="N7439" s="39" t="n">
        <f aca="false">$C$7410*N7432+$C$7414*N7433+$C$7418*N7434</f>
        <v>781.77344</v>
      </c>
      <c r="P7439" s="40" t="n">
        <f aca="false">F7439</f>
        <v>211.19616</v>
      </c>
      <c r="Q7439" s="40" t="n">
        <f aca="false">J7439</f>
        <v>781.77344</v>
      </c>
      <c r="R7439" s="40" t="n">
        <f aca="false">N7439</f>
        <v>781.77344</v>
      </c>
      <c r="S7439" s="41" t="n">
        <f aca="false">R7439</f>
        <v>781.77344</v>
      </c>
    </row>
    <row r="7440" customFormat="false" ht="15" hidden="false" customHeight="false" outlineLevel="0" collapsed="false">
      <c r="A7440" s="4" t="s">
        <v>487</v>
      </c>
      <c r="B7440" s="36" t="s">
        <v>485</v>
      </c>
      <c r="C7440" s="39" t="n">
        <f aca="false">$C$7411*C7432+$C$7415*C7433+$C$7419*C7434</f>
        <v>24.76992</v>
      </c>
      <c r="D7440" s="39" t="n">
        <f aca="false">$C$7411*D7432+$C$7415*D7433+$C$7419*D7434</f>
        <v>49.53984</v>
      </c>
      <c r="E7440" s="39" t="n">
        <f aca="false">$C$7411*E7432+$C$7415*E7433+$C$7419*E7434</f>
        <v>49.53984</v>
      </c>
      <c r="F7440" s="39" t="n">
        <f aca="false">$C$7411*F7432+$C$7415*F7433+$C$7419*F7434</f>
        <v>49.53984</v>
      </c>
      <c r="G7440" s="39" t="n">
        <f aca="false">$C$7411*G7432+$C$7415*G7433+$C$7419*G7434</f>
        <v>61.9248</v>
      </c>
      <c r="H7440" s="39" t="n">
        <f aca="false">$C$7411*H7432+$C$7415*H7433+$C$7419*H7434</f>
        <v>74.30976</v>
      </c>
      <c r="I7440" s="39" t="n">
        <f aca="false">$C$7411*I7432+$C$7415*I7433+$C$7419*I7434</f>
        <v>114.072</v>
      </c>
      <c r="J7440" s="39" t="n">
        <f aca="false">$C$7411*J7432+$C$7415*J7433+$C$7419*J7434</f>
        <v>153.83424</v>
      </c>
      <c r="K7440" s="39" t="n">
        <f aca="false">$C$7411*K7432+$C$7415*K7433+$C$7419*K7434</f>
        <v>153.83424</v>
      </c>
      <c r="L7440" s="39" t="n">
        <f aca="false">$C$7411*L7432+$C$7415*L7433+$C$7419*L7434</f>
        <v>153.83424</v>
      </c>
      <c r="M7440" s="39" t="n">
        <f aca="false">$C$7411*M7432+$C$7415*M7433+$C$7419*M7434</f>
        <v>153.83424</v>
      </c>
      <c r="N7440" s="39" t="n">
        <f aca="false">$C$7411*N7432+$C$7415*N7433+$C$7419*N7434</f>
        <v>153.83424</v>
      </c>
      <c r="P7440" s="40" t="n">
        <f aca="false">F7440</f>
        <v>49.53984</v>
      </c>
      <c r="Q7440" s="40" t="n">
        <f aca="false">J7440</f>
        <v>153.83424</v>
      </c>
      <c r="R7440" s="40" t="n">
        <f aca="false">N7440</f>
        <v>153.83424</v>
      </c>
      <c r="S7440" s="41" t="n">
        <f aca="false">R7440</f>
        <v>153.83424</v>
      </c>
    </row>
    <row r="7441" customFormat="false" ht="15" hidden="false" customHeight="false" outlineLevel="0" collapsed="false">
      <c r="A7441" s="4" t="s">
        <v>488</v>
      </c>
      <c r="B7441" s="36" t="s">
        <v>485</v>
      </c>
      <c r="C7441" s="39" t="n">
        <f aca="false">C7438+C7439+C7440</f>
        <v>551.88772352</v>
      </c>
      <c r="D7441" s="39" t="n">
        <f aca="false">D7438+D7439+D7440</f>
        <v>1103.77544704</v>
      </c>
      <c r="E7441" s="39" t="n">
        <f aca="false">E7438+E7439+E7440</f>
        <v>1103.77544704</v>
      </c>
      <c r="F7441" s="39" t="n">
        <f aca="false">F7438+F7439+F7440</f>
        <v>1103.77544704</v>
      </c>
      <c r="G7441" s="39" t="n">
        <f aca="false">G7438+G7439+G7440</f>
        <v>1493.49950176</v>
      </c>
      <c r="H7441" s="39" t="n">
        <f aca="false">H7438+H7439+H7440</f>
        <v>1883.22355648</v>
      </c>
      <c r="I7441" s="39" t="n">
        <f aca="false">I7438+I7439+I7440</f>
        <v>3167.61039616</v>
      </c>
      <c r="J7441" s="39" t="n">
        <f aca="false">J7438+J7439+J7440</f>
        <v>4451.99723584</v>
      </c>
      <c r="K7441" s="39" t="n">
        <f aca="false">K7438+K7439+K7440</f>
        <v>4451.99723584</v>
      </c>
      <c r="L7441" s="39" t="n">
        <f aca="false">L7438+L7439+L7440</f>
        <v>4451.99723584</v>
      </c>
      <c r="M7441" s="39" t="n">
        <f aca="false">M7438+M7439+M7440</f>
        <v>4451.99723584</v>
      </c>
      <c r="N7441" s="39" t="n">
        <f aca="false">N7438+N7439+N7440</f>
        <v>4451.99723584</v>
      </c>
      <c r="P7441" s="40" t="n">
        <f aca="false">F7441</f>
        <v>1103.77544704</v>
      </c>
      <c r="Q7441" s="40" t="n">
        <f aca="false">J7441</f>
        <v>4451.99723584</v>
      </c>
      <c r="R7441" s="40" t="n">
        <f aca="false">N7441</f>
        <v>4451.99723584</v>
      </c>
      <c r="S7441" s="41" t="n">
        <f aca="false">R7441</f>
        <v>4451.99723584</v>
      </c>
    </row>
    <row r="7442" customFormat="false" ht="15" hidden="false" customHeight="false" outlineLevel="0" collapsed="false">
      <c r="A7442" s="4" t="s">
        <v>489</v>
      </c>
      <c r="B7442" s="36" t="s">
        <v>485</v>
      </c>
      <c r="C7442" s="39" t="n">
        <f aca="false">$C$7412*C7432*C7435+$C$7416*C7433*C7436+$C$7420*C7434*C7437</f>
        <v>551.88772352</v>
      </c>
      <c r="D7442" s="39" t="n">
        <f aca="false">$C$7412*D7432*D7435+$C$7416*D7433*D7436+$C$7420*D7434*D7437</f>
        <v>1027.17879437302</v>
      </c>
      <c r="E7442" s="39" t="n">
        <f aca="false">$C$7412*E7432*E7435+$C$7416*E7433*E7436+$C$7420*E7434*E7437</f>
        <v>955.897577210165</v>
      </c>
      <c r="F7442" s="39" t="n">
        <f aca="false">$C$7412*F7432*F7435+$C$7416*F7433*F7436+$C$7420*F7434*F7437</f>
        <v>889.562930155704</v>
      </c>
      <c r="G7442" s="39" t="n">
        <f aca="false">$C$7412*G7432*G7435+$C$7416*G7433*G7436+$C$7420*G7434*G7437</f>
        <v>1217.55564</v>
      </c>
      <c r="H7442" s="39" t="n">
        <f aca="false">$C$7412*H7432*H7435+$C$7416*H7433*H7436+$C$7420*H7434*H7437</f>
        <v>1495.74229384257</v>
      </c>
      <c r="I7442" s="39" t="n">
        <f aca="false">$C$7412*I7432*I7435+$C$7416*I7433*I7436+$C$7420*I7434*I7437</f>
        <v>2676.33188629442</v>
      </c>
      <c r="J7442" s="39" t="n">
        <f aca="false">$C$7412*J7432*J7435+$C$7416*J7433*J7436+$C$7420*J7434*J7437</f>
        <v>3685.86409192847</v>
      </c>
      <c r="K7442" s="39" t="n">
        <f aca="false">$C$7412*K7432*K7435+$C$7416*K7433*K7436+$C$7420*K7434*K7437</f>
        <v>3430.08303393858</v>
      </c>
      <c r="L7442" s="39" t="n">
        <f aca="false">$C$7412*L7432*L7435+$C$7416*L7433*L7436+$C$7420*L7434*L7437</f>
        <v>3192.05193850692</v>
      </c>
      <c r="M7442" s="39" t="n">
        <f aca="false">$C$7412*M7432*M7435+$C$7416*M7433*M7436+$C$7420*M7434*M7437</f>
        <v>2970.53904448081</v>
      </c>
      <c r="N7442" s="39" t="n">
        <f aca="false">$C$7412*N7432*N7435+$C$7416*N7433*N7436+$C$7420*N7434*N7437</f>
        <v>2764.39806894635</v>
      </c>
      <c r="P7442" s="40"/>
      <c r="Q7442" s="40"/>
      <c r="R7442" s="40"/>
      <c r="S7442" s="41"/>
    </row>
    <row r="7443" customFormat="false" ht="15" hidden="false" customHeight="false" outlineLevel="0" collapsed="false">
      <c r="A7443" s="4" t="s">
        <v>490</v>
      </c>
      <c r="B7443" s="36" t="s">
        <v>491</v>
      </c>
      <c r="C7443" s="48" t="n">
        <f aca="false">$C$7424*Assumptions!$E$20*C7431*C7442</f>
        <v>6.62265268224</v>
      </c>
      <c r="D7443" s="48" t="n">
        <f aca="false">$C$7424*Assumptions!$E$20*D7431*D7442</f>
        <v>12.3261455324762</v>
      </c>
      <c r="E7443" s="48" t="n">
        <f aca="false">$C$7424*Assumptions!$E$20*E7431*E7442</f>
        <v>11.470770926522</v>
      </c>
      <c r="F7443" s="48" t="n">
        <f aca="false">$C$7424*Assumptions!$E$20*F7431*F7442</f>
        <v>10.6747551618685</v>
      </c>
      <c r="G7443" s="48" t="n">
        <f aca="false">$C$7424*Assumptions!$E$20*G7431*G7442</f>
        <v>14.61066768</v>
      </c>
      <c r="H7443" s="48" t="n">
        <f aca="false">$C$7424*Assumptions!$E$20*H7431*H7442</f>
        <v>17.9489075261109</v>
      </c>
      <c r="I7443" s="48" t="n">
        <f aca="false">$C$7424*Assumptions!$E$20*I7431*I7442</f>
        <v>32.115982635533</v>
      </c>
      <c r="J7443" s="48" t="n">
        <f aca="false">$C$7424*Assumptions!$E$20*J7431*J7442</f>
        <v>44.2303691031417</v>
      </c>
      <c r="K7443" s="48" t="n">
        <f aca="false">$C$7424*Assumptions!$E$20*K7431*K7442</f>
        <v>41.160996407263</v>
      </c>
      <c r="L7443" s="48" t="n">
        <f aca="false">$C$7424*Assumptions!$E$20*L7431*L7442</f>
        <v>38.304623262083</v>
      </c>
      <c r="M7443" s="48" t="n">
        <f aca="false">$C$7424*Assumptions!$E$20*M7431*M7442</f>
        <v>35.6464685337698</v>
      </c>
      <c r="N7443" s="48" t="n">
        <f aca="false">$C$7424*Assumptions!$E$20*N7431*N7442</f>
        <v>33.1727768273562</v>
      </c>
      <c r="P7443" s="49" t="n">
        <f aca="false">SUM(C7443:F7443)</f>
        <v>41.0943243031066</v>
      </c>
      <c r="Q7443" s="49" t="n">
        <f aca="false">SUM(G7443:J7443)</f>
        <v>108.905926944786</v>
      </c>
      <c r="R7443" s="49" t="n">
        <f aca="false">SUM(K7443:N7443)</f>
        <v>148.284865030472</v>
      </c>
      <c r="S7443" s="50" t="n">
        <f aca="false">SUM(P7443:R7443)</f>
        <v>298.285116278364</v>
      </c>
    </row>
    <row r="7444" customFormat="false" ht="15" hidden="false" customHeight="false" outlineLevel="0" collapsed="false">
      <c r="A7444" s="4" t="s">
        <v>492</v>
      </c>
      <c r="B7444" s="36" t="s">
        <v>321</v>
      </c>
      <c r="C7444" s="48" t="n">
        <f aca="false">Assumptions!$D$111</f>
        <v>0</v>
      </c>
      <c r="D7444" s="48" t="n">
        <f aca="false">Assumptions!$E$111</f>
        <v>0</v>
      </c>
      <c r="E7444" s="48" t="n">
        <f aca="false">Assumptions!$F$111</f>
        <v>0</v>
      </c>
      <c r="F7444" s="48" t="n">
        <f aca="false">Assumptions!$G$111</f>
        <v>0</v>
      </c>
      <c r="G7444" s="48" t="n">
        <f aca="false">Assumptions!$H$111</f>
        <v>0</v>
      </c>
      <c r="H7444" s="48" t="n">
        <f aca="false">Assumptions!$I$111</f>
        <v>0</v>
      </c>
      <c r="I7444" s="48" t="n">
        <f aca="false">Assumptions!$J$111</f>
        <v>0</v>
      </c>
      <c r="J7444" s="48" t="n">
        <f aca="false">Assumptions!$K$111</f>
        <v>0</v>
      </c>
      <c r="K7444" s="48" t="n">
        <f aca="false">Assumptions!$L$111</f>
        <v>0</v>
      </c>
      <c r="L7444" s="48" t="n">
        <f aca="false">Assumptions!$M$111</f>
        <v>0</v>
      </c>
      <c r="M7444" s="48" t="n">
        <f aca="false">Assumptions!$N$111</f>
        <v>0</v>
      </c>
      <c r="N7444" s="48" t="n">
        <f aca="false">Assumptions!$O$111</f>
        <v>0</v>
      </c>
      <c r="P7444" s="49" t="n">
        <f aca="false">F7444</f>
        <v>0</v>
      </c>
      <c r="Q7444" s="49" t="n">
        <f aca="false">J7444</f>
        <v>0</v>
      </c>
      <c r="R7444" s="49" t="n">
        <f aca="false">N7444</f>
        <v>0</v>
      </c>
      <c r="S7444" s="50" t="n">
        <f aca="false">R7444</f>
        <v>0</v>
      </c>
    </row>
    <row r="7445" customFormat="false" ht="15" hidden="false" customHeight="false" outlineLevel="0" collapsed="false">
      <c r="A7445" s="4" t="s">
        <v>493</v>
      </c>
      <c r="B7445" s="36" t="s">
        <v>321</v>
      </c>
      <c r="C7445" s="48" t="n">
        <f aca="false">0</f>
        <v>0</v>
      </c>
      <c r="D7445" s="48" t="n">
        <f aca="false">0.5*C7444</f>
        <v>0</v>
      </c>
      <c r="E7445" s="48" t="n">
        <f aca="false">C7444+0.5*(D7444-C7444)</f>
        <v>0</v>
      </c>
      <c r="F7445" s="48" t="n">
        <f aca="false">D7444+0.5*(E7444-D7444)</f>
        <v>0</v>
      </c>
      <c r="G7445" s="48" t="n">
        <f aca="false">E7444+0.5*(F7444-E7444)</f>
        <v>0</v>
      </c>
      <c r="H7445" s="48" t="n">
        <f aca="false">F7444+0.5*(G7444-F7444)</f>
        <v>0</v>
      </c>
      <c r="I7445" s="48" t="n">
        <f aca="false">G7444+0.5*(H7444-G7444)</f>
        <v>0</v>
      </c>
      <c r="J7445" s="48" t="n">
        <f aca="false">H7444+0.5*(I7444-H7444)</f>
        <v>0</v>
      </c>
      <c r="K7445" s="48" t="n">
        <f aca="false">I7444+0.5*(J7444-I7444)</f>
        <v>0</v>
      </c>
      <c r="L7445" s="48" t="n">
        <f aca="false">J7444+0.5*(K7444-J7444)</f>
        <v>0</v>
      </c>
      <c r="M7445" s="48" t="n">
        <f aca="false">K7444+0.5*(L7444-K7444)</f>
        <v>0</v>
      </c>
      <c r="N7445" s="48" t="n">
        <f aca="false">L7444+0.5*(M7444-L7444)</f>
        <v>0</v>
      </c>
      <c r="P7445" s="49" t="n">
        <f aca="false">F7445</f>
        <v>0</v>
      </c>
      <c r="Q7445" s="49" t="n">
        <f aca="false">J7445</f>
        <v>0</v>
      </c>
      <c r="R7445" s="49" t="n">
        <f aca="false">N7445</f>
        <v>0</v>
      </c>
      <c r="S7445" s="50" t="n">
        <f aca="false">R7445</f>
        <v>0</v>
      </c>
    </row>
    <row r="7446" customFormat="false" ht="15" hidden="false" customHeight="false" outlineLevel="0" collapsed="false">
      <c r="A7446" s="4" t="s">
        <v>494</v>
      </c>
      <c r="B7446" s="36" t="s">
        <v>485</v>
      </c>
      <c r="C7446" s="39" t="n">
        <f aca="false">MIN(C7445*Assumptions!$E$38,C7441*(1-$C$7424))</f>
        <v>0</v>
      </c>
      <c r="D7446" s="39" t="n">
        <f aca="false">MIN(D7445*Assumptions!$E$38,D7441*(1-$C$7424))</f>
        <v>0</v>
      </c>
      <c r="E7446" s="39" t="n">
        <f aca="false">MIN(E7445*Assumptions!$E$38,E7441*(1-$C$7424))</f>
        <v>0</v>
      </c>
      <c r="F7446" s="39" t="n">
        <f aca="false">MIN(F7445*Assumptions!$E$38,F7441*(1-$C$7424))</f>
        <v>0</v>
      </c>
      <c r="G7446" s="39" t="n">
        <f aca="false">MIN(G7445*Assumptions!$E$38,G7441*(1-$C$7424))</f>
        <v>0</v>
      </c>
      <c r="H7446" s="39" t="n">
        <f aca="false">MIN(H7445*Assumptions!$E$38,H7441*(1-$C$7424))</f>
        <v>0</v>
      </c>
      <c r="I7446" s="39" t="n">
        <f aca="false">MIN(I7445*Assumptions!$E$38,I7441*(1-$C$7424))</f>
        <v>0</v>
      </c>
      <c r="J7446" s="39" t="n">
        <f aca="false">MIN(J7445*Assumptions!$E$38,J7441*(1-$C$7424))</f>
        <v>0</v>
      </c>
      <c r="K7446" s="39" t="n">
        <f aca="false">MIN(K7445*Assumptions!$E$38,K7441*(1-$C$7424))</f>
        <v>0</v>
      </c>
      <c r="L7446" s="39" t="n">
        <f aca="false">MIN(L7445*Assumptions!$E$38,L7441*(1-$C$7424))</f>
        <v>0</v>
      </c>
      <c r="M7446" s="39" t="n">
        <f aca="false">MIN(M7445*Assumptions!$E$38,M7441*(1-$C$7424))</f>
        <v>0</v>
      </c>
      <c r="N7446" s="39" t="n">
        <f aca="false">MIN(N7445*Assumptions!$E$38,N7441*(1-$C$7424))</f>
        <v>0</v>
      </c>
      <c r="P7446" s="40" t="n">
        <f aca="false">SUM(C7446:F7446)</f>
        <v>0</v>
      </c>
      <c r="Q7446" s="40" t="n">
        <f aca="false">SUM(G7446:J7446)</f>
        <v>0</v>
      </c>
      <c r="R7446" s="40" t="n">
        <f aca="false">SUM(K7446:N7446)</f>
        <v>0</v>
      </c>
      <c r="S7446" s="41" t="n">
        <f aca="false">SUM(P7446:R7446)</f>
        <v>0</v>
      </c>
    </row>
    <row r="7447" customFormat="false" ht="15" hidden="false" customHeight="false" outlineLevel="0" collapsed="false">
      <c r="A7447" s="4" t="s">
        <v>495</v>
      </c>
      <c r="B7447" s="36" t="s">
        <v>491</v>
      </c>
      <c r="C7447" s="48" t="n">
        <f aca="false">C7446*Assumptions!$E$20*Assumptions!$E$39*IF(C7441&gt;0,C7442/C7441,0)*C7431</f>
        <v>0</v>
      </c>
      <c r="D7447" s="48" t="n">
        <f aca="false">D7446*Assumptions!$E$20*Assumptions!$E$39*IF(D7441&gt;0,D7442/D7441,0)*D7431</f>
        <v>0</v>
      </c>
      <c r="E7447" s="48" t="n">
        <f aca="false">E7446*Assumptions!$E$20*Assumptions!$E$39*IF(E7441&gt;0,E7442/E7441,0)*E7431</f>
        <v>0</v>
      </c>
      <c r="F7447" s="48" t="n">
        <f aca="false">F7446*Assumptions!$E$20*Assumptions!$E$39*IF(F7441&gt;0,F7442/F7441,0)*F7431</f>
        <v>0</v>
      </c>
      <c r="G7447" s="48" t="n">
        <f aca="false">G7446*Assumptions!$E$20*Assumptions!$E$39*IF(G7441&gt;0,G7442/G7441,0)*G7431</f>
        <v>0</v>
      </c>
      <c r="H7447" s="48" t="n">
        <f aca="false">H7446*Assumptions!$E$20*Assumptions!$E$39*IF(H7441&gt;0,H7442/H7441,0)*H7431</f>
        <v>0</v>
      </c>
      <c r="I7447" s="48" t="n">
        <f aca="false">I7446*Assumptions!$E$20*Assumptions!$E$39*IF(I7441&gt;0,I7442/I7441,0)*I7431</f>
        <v>0</v>
      </c>
      <c r="J7447" s="48" t="n">
        <f aca="false">J7446*Assumptions!$E$20*Assumptions!$E$39*IF(J7441&gt;0,J7442/J7441,0)*J7431</f>
        <v>0</v>
      </c>
      <c r="K7447" s="48" t="n">
        <f aca="false">K7446*Assumptions!$E$20*Assumptions!$E$39*IF(K7441&gt;0,K7442/K7441,0)*K7431</f>
        <v>0</v>
      </c>
      <c r="L7447" s="48" t="n">
        <f aca="false">L7446*Assumptions!$E$20*Assumptions!$E$39*IF(L7441&gt;0,L7442/L7441,0)*L7431</f>
        <v>0</v>
      </c>
      <c r="M7447" s="48" t="n">
        <f aca="false">M7446*Assumptions!$E$20*Assumptions!$E$39*IF(M7441&gt;0,M7442/M7441,0)*M7431</f>
        <v>0</v>
      </c>
      <c r="N7447" s="48" t="n">
        <f aca="false">N7446*Assumptions!$E$20*Assumptions!$E$39*IF(N7441&gt;0,N7442/N7441,0)*N7431</f>
        <v>0</v>
      </c>
      <c r="P7447" s="49" t="n">
        <f aca="false">SUM(C7447:F7447)</f>
        <v>0</v>
      </c>
      <c r="Q7447" s="49" t="n">
        <f aca="false">SUM(G7447:J7447)</f>
        <v>0</v>
      </c>
      <c r="R7447" s="49" t="n">
        <f aca="false">SUM(K7447:N7447)</f>
        <v>0</v>
      </c>
      <c r="S7447" s="50" t="n">
        <f aca="false">SUM(P7447:R7447)</f>
        <v>0</v>
      </c>
    </row>
    <row r="7448" customFormat="false" ht="15" hidden="false" customHeight="false" outlineLevel="0" collapsed="false">
      <c r="A7448" s="4" t="s">
        <v>496</v>
      </c>
      <c r="B7448" s="36" t="s">
        <v>497</v>
      </c>
      <c r="C7448" s="48" t="n">
        <f aca="false">IF(AND(C7441&gt;0,$C$7428&gt;0),C7441*Assumptions!$E$24*(1-EXP(-$C$7428/(Assumptions!$E$23*C7441*Assumptions!$E$24))),0)</f>
        <v>0</v>
      </c>
      <c r="D7448" s="48" t="n">
        <f aca="false">IF(AND(D7441&gt;0,$C$7428&gt;0),D7441*Assumptions!$E$24*(1-EXP(-$C$7428/(Assumptions!$E$23*D7441*Assumptions!$E$24))),0)</f>
        <v>0</v>
      </c>
      <c r="E7448" s="48" t="n">
        <f aca="false">IF(AND(E7441&gt;0,$C$7428&gt;0),E7441*Assumptions!$E$24*(1-EXP(-$C$7428/(Assumptions!$E$23*E7441*Assumptions!$E$24))),0)</f>
        <v>0</v>
      </c>
      <c r="F7448" s="48" t="n">
        <f aca="false">IF(AND(F7441&gt;0,$C$7428&gt;0),F7441*Assumptions!$E$24*(1-EXP(-$C$7428/(Assumptions!$E$23*F7441*Assumptions!$E$24))),0)</f>
        <v>0</v>
      </c>
      <c r="G7448" s="48" t="n">
        <f aca="false">IF(AND(G7441&gt;0,$C$7428&gt;0),G7441*Assumptions!$E$24*(1-EXP(-$C$7428/(Assumptions!$E$23*G7441*Assumptions!$E$24))),0)</f>
        <v>0</v>
      </c>
      <c r="H7448" s="48" t="n">
        <f aca="false">IF(AND(H7441&gt;0,$C$7428&gt;0),H7441*Assumptions!$E$24*(1-EXP(-$C$7428/(Assumptions!$E$23*H7441*Assumptions!$E$24))),0)</f>
        <v>0</v>
      </c>
      <c r="I7448" s="48" t="n">
        <f aca="false">IF(AND(I7441&gt;0,$C$7428&gt;0),I7441*Assumptions!$E$24*(1-EXP(-$C$7428/(Assumptions!$E$23*I7441*Assumptions!$E$24))),0)</f>
        <v>0</v>
      </c>
      <c r="J7448" s="48" t="n">
        <f aca="false">IF(AND(J7441&gt;0,$C$7428&gt;0),J7441*Assumptions!$E$24*(1-EXP(-$C$7428/(Assumptions!$E$23*J7441*Assumptions!$E$24))),0)</f>
        <v>0</v>
      </c>
      <c r="K7448" s="48" t="n">
        <f aca="false">IF(AND(K7441&gt;0,$C$7428&gt;0),K7441*Assumptions!$E$24*(1-EXP(-$C$7428/(Assumptions!$E$23*K7441*Assumptions!$E$24))),0)</f>
        <v>0</v>
      </c>
      <c r="L7448" s="48" t="n">
        <f aca="false">IF(AND(L7441&gt;0,$C$7428&gt;0),L7441*Assumptions!$E$24*(1-EXP(-$C$7428/(Assumptions!$E$23*L7441*Assumptions!$E$24))),0)</f>
        <v>0</v>
      </c>
      <c r="M7448" s="48" t="n">
        <f aca="false">IF(AND(M7441&gt;0,$C$7428&gt;0),M7441*Assumptions!$E$24*(1-EXP(-$C$7428/(Assumptions!$E$23*M7441*Assumptions!$E$24))),0)</f>
        <v>0</v>
      </c>
      <c r="N7448" s="48" t="n">
        <f aca="false">IF(AND(N7441&gt;0,$C$7428&gt;0),N7441*Assumptions!$E$24*(1-EXP(-$C$7428/(Assumptions!$E$23*N7441*Assumptions!$E$24))),0)</f>
        <v>0</v>
      </c>
      <c r="P7448" s="49" t="n">
        <f aca="false">SUM(C7448:F7448)</f>
        <v>0</v>
      </c>
      <c r="Q7448" s="49" t="n">
        <f aca="false">SUM(G7448:J7448)</f>
        <v>0</v>
      </c>
      <c r="R7448" s="49" t="n">
        <f aca="false">SUM(K7448:N7448)</f>
        <v>0</v>
      </c>
      <c r="S7448" s="50" t="n">
        <f aca="false">SUM(P7448:R7448)</f>
        <v>0</v>
      </c>
    </row>
    <row r="7449" customFormat="false" ht="15" hidden="false" customHeight="false" outlineLevel="0" collapsed="false">
      <c r="A7449" s="4" t="s">
        <v>498</v>
      </c>
      <c r="B7449" s="36" t="s">
        <v>497</v>
      </c>
      <c r="C7449" s="48" t="n">
        <f aca="false">(C7441*Assumptions!$E$22*MIN(1,Assumptions!$D$103/Assumptions!$E$78)+C7448)*C7431</f>
        <v>5.5188772352</v>
      </c>
      <c r="D7449" s="48" t="n">
        <f aca="false">(D7441*Assumptions!$E$22*MIN(1,Assumptions!$D$103/Assumptions!$E$78)+D7448)*D7431</f>
        <v>11.0377544704</v>
      </c>
      <c r="E7449" s="48" t="n">
        <f aca="false">(E7441*Assumptions!$E$22*MIN(1,Assumptions!$D$103/Assumptions!$E$78)+E7448)*E7431</f>
        <v>11.0377544704</v>
      </c>
      <c r="F7449" s="48" t="n">
        <f aca="false">(F7441*Assumptions!$E$22*MIN(1,Assumptions!$D$103/Assumptions!$E$78)+F7448)*F7431</f>
        <v>11.0377544704</v>
      </c>
      <c r="G7449" s="48" t="n">
        <f aca="false">(G7441*Assumptions!$E$22*MIN(1,Assumptions!$D$103/Assumptions!$E$78)+G7448)*G7431</f>
        <v>14.9349950176</v>
      </c>
      <c r="H7449" s="48" t="n">
        <f aca="false">(H7441*Assumptions!$E$22*MIN(1,Assumptions!$D$103/Assumptions!$E$78)+H7448)*H7431</f>
        <v>18.8322355648</v>
      </c>
      <c r="I7449" s="48" t="n">
        <f aca="false">(I7441*Assumptions!$E$22*MIN(1,Assumptions!$D$103/Assumptions!$E$78)+I7448)*I7431</f>
        <v>31.6761039616</v>
      </c>
      <c r="J7449" s="48" t="n">
        <f aca="false">(J7441*Assumptions!$E$22*MIN(1,Assumptions!$D$103/Assumptions!$E$78)+J7448)*J7431</f>
        <v>44.5199723584</v>
      </c>
      <c r="K7449" s="48" t="n">
        <f aca="false">(K7441*Assumptions!$E$22*MIN(1,Assumptions!$D$103/Assumptions!$E$78)+K7448)*K7431</f>
        <v>44.5199723584</v>
      </c>
      <c r="L7449" s="48" t="n">
        <f aca="false">(L7441*Assumptions!$E$22*MIN(1,Assumptions!$D$103/Assumptions!$E$78)+L7448)*L7431</f>
        <v>44.5199723584</v>
      </c>
      <c r="M7449" s="48" t="n">
        <f aca="false">(M7441*Assumptions!$E$22*MIN(1,Assumptions!$D$103/Assumptions!$E$78)+M7448)*M7431</f>
        <v>44.5199723584</v>
      </c>
      <c r="N7449" s="48" t="n">
        <f aca="false">(N7441*Assumptions!$E$22*MIN(1,Assumptions!$D$103/Assumptions!$E$78)+N7448)*N7431</f>
        <v>44.5199723584</v>
      </c>
      <c r="P7449" s="49" t="n">
        <f aca="false">SUM(C7449:F7449)</f>
        <v>38.6321406464</v>
      </c>
      <c r="Q7449" s="49" t="n">
        <f aca="false">SUM(G7449:J7449)</f>
        <v>109.9633069024</v>
      </c>
      <c r="R7449" s="49" t="n">
        <f aca="false">SUM(K7449:N7449)</f>
        <v>178.0798894336</v>
      </c>
      <c r="S7449" s="50" t="n">
        <f aca="false">SUM(P7449:R7449)</f>
        <v>326.6753369824</v>
      </c>
    </row>
    <row r="7450" customFormat="false" ht="15" hidden="false" customHeight="false" outlineLevel="0" collapsed="false">
      <c r="A7450" s="4" t="s">
        <v>499</v>
      </c>
      <c r="B7450" s="36" t="s">
        <v>500</v>
      </c>
      <c r="C7450" s="48" t="n">
        <f aca="false">C7431*MIN(Assumptions!$E$27,Assumptions!$E$25+Assumptions!$E$26*(C7430-1))*Assumptions!$D$107</f>
        <v>2</v>
      </c>
      <c r="D7450" s="48" t="n">
        <f aca="false">D7431*MIN(Assumptions!$E$27,Assumptions!$E$25+Assumptions!$E$26*(D7430-1))*Assumptions!$D$107</f>
        <v>3</v>
      </c>
      <c r="E7450" s="48" t="n">
        <f aca="false">E7431*MIN(Assumptions!$E$27,Assumptions!$E$25+Assumptions!$E$26*(E7430-1))*Assumptions!$D$107</f>
        <v>4</v>
      </c>
      <c r="F7450" s="48" t="n">
        <f aca="false">F7431*MIN(Assumptions!$E$27,Assumptions!$E$25+Assumptions!$E$26*(F7430-1))*Assumptions!$D$107</f>
        <v>5</v>
      </c>
      <c r="G7450" s="48" t="n">
        <f aca="false">G7431*MIN(Assumptions!$E$27,Assumptions!$E$25+Assumptions!$E$26*(G7430-1))*Assumptions!$D$107</f>
        <v>6</v>
      </c>
      <c r="H7450" s="48" t="n">
        <f aca="false">H7431*MIN(Assumptions!$E$27,Assumptions!$E$25+Assumptions!$E$26*(H7430-1))*Assumptions!$D$107</f>
        <v>7</v>
      </c>
      <c r="I7450" s="48" t="n">
        <f aca="false">I7431*MIN(Assumptions!$E$27,Assumptions!$E$25+Assumptions!$E$26*(I7430-1))*Assumptions!$D$107</f>
        <v>8</v>
      </c>
      <c r="J7450" s="48" t="n">
        <f aca="false">J7431*MIN(Assumptions!$E$27,Assumptions!$E$25+Assumptions!$E$26*(J7430-1))*Assumptions!$D$107</f>
        <v>9</v>
      </c>
      <c r="K7450" s="48" t="n">
        <f aca="false">K7431*MIN(Assumptions!$E$27,Assumptions!$E$25+Assumptions!$E$26*(K7430-1))*Assumptions!$D$107</f>
        <v>10</v>
      </c>
      <c r="L7450" s="48" t="n">
        <f aca="false">L7431*MIN(Assumptions!$E$27,Assumptions!$E$25+Assumptions!$E$26*(L7430-1))*Assumptions!$D$107</f>
        <v>10</v>
      </c>
      <c r="M7450" s="48" t="n">
        <f aca="false">M7431*MIN(Assumptions!$E$27,Assumptions!$E$25+Assumptions!$E$26*(M7430-1))*Assumptions!$D$107</f>
        <v>10</v>
      </c>
      <c r="N7450" s="48" t="n">
        <f aca="false">N7431*MIN(Assumptions!$E$27,Assumptions!$E$25+Assumptions!$E$26*(N7430-1))*Assumptions!$D$107</f>
        <v>10</v>
      </c>
      <c r="P7450" s="49" t="n">
        <f aca="false">F7450</f>
        <v>5</v>
      </c>
      <c r="Q7450" s="49" t="n">
        <f aca="false">J7450</f>
        <v>9</v>
      </c>
      <c r="R7450" s="49" t="n">
        <f aca="false">N7450</f>
        <v>10</v>
      </c>
      <c r="S7450" s="50" t="n">
        <f aca="false">R7450</f>
        <v>10</v>
      </c>
    </row>
    <row r="7451" customFormat="false" ht="15" hidden="false" customHeight="false" outlineLevel="0" collapsed="false">
      <c r="A7451" s="4" t="s">
        <v>501</v>
      </c>
      <c r="B7451" s="36" t="s">
        <v>502</v>
      </c>
      <c r="C7451" s="48" t="n">
        <f aca="false">C7450*Assumptions!$E$28</f>
        <v>6</v>
      </c>
      <c r="D7451" s="48" t="n">
        <f aca="false">D7450*Assumptions!$E$28</f>
        <v>9</v>
      </c>
      <c r="E7451" s="48" t="n">
        <f aca="false">E7450*Assumptions!$E$28</f>
        <v>12</v>
      </c>
      <c r="F7451" s="48" t="n">
        <f aca="false">F7450*Assumptions!$E$28</f>
        <v>15</v>
      </c>
      <c r="G7451" s="48" t="n">
        <f aca="false">G7450*Assumptions!$E$28</f>
        <v>18</v>
      </c>
      <c r="H7451" s="48" t="n">
        <f aca="false">H7450*Assumptions!$E$28</f>
        <v>21</v>
      </c>
      <c r="I7451" s="48" t="n">
        <f aca="false">I7450*Assumptions!$E$28</f>
        <v>24</v>
      </c>
      <c r="J7451" s="48" t="n">
        <f aca="false">J7450*Assumptions!$E$28</f>
        <v>27</v>
      </c>
      <c r="K7451" s="48" t="n">
        <f aca="false">K7450*Assumptions!$E$28</f>
        <v>30</v>
      </c>
      <c r="L7451" s="48" t="n">
        <f aca="false">L7450*Assumptions!$E$28</f>
        <v>30</v>
      </c>
      <c r="M7451" s="48" t="n">
        <f aca="false">M7450*Assumptions!$E$28</f>
        <v>30</v>
      </c>
      <c r="N7451" s="48" t="n">
        <f aca="false">N7450*Assumptions!$E$28</f>
        <v>30</v>
      </c>
      <c r="P7451" s="49" t="n">
        <f aca="false">SUM(C7451:F7451)</f>
        <v>42</v>
      </c>
      <c r="Q7451" s="49" t="n">
        <f aca="false">SUM(G7451:J7451)</f>
        <v>90</v>
      </c>
      <c r="R7451" s="49" t="n">
        <f aca="false">SUM(K7451:N7451)</f>
        <v>120</v>
      </c>
      <c r="S7451" s="50" t="n">
        <f aca="false">SUM(P7451:R7451)</f>
        <v>252</v>
      </c>
    </row>
    <row r="7452" customFormat="false" ht="15" hidden="false" customHeight="false" outlineLevel="0" collapsed="false">
      <c r="A7452" s="4" t="s">
        <v>503</v>
      </c>
      <c r="B7452" s="36" t="s">
        <v>504</v>
      </c>
      <c r="C7452" s="48" t="n">
        <f aca="false">(C7443+C7447)*Assumptions!$E$29</f>
        <v>2.649061072896</v>
      </c>
      <c r="D7452" s="48" t="n">
        <f aca="false">(D7443+D7447)*Assumptions!$E$29</f>
        <v>4.93045821299048</v>
      </c>
      <c r="E7452" s="48" t="n">
        <f aca="false">(E7443+E7447)*Assumptions!$E$29</f>
        <v>4.58830837060879</v>
      </c>
      <c r="F7452" s="48" t="n">
        <f aca="false">(F7443+F7447)*Assumptions!$E$29</f>
        <v>4.26990206474738</v>
      </c>
      <c r="G7452" s="48" t="n">
        <f aca="false">(G7443+G7447)*Assumptions!$E$29</f>
        <v>5.844267072</v>
      </c>
      <c r="H7452" s="48" t="n">
        <f aca="false">(H7443+H7447)*Assumptions!$E$29</f>
        <v>7.17956301044434</v>
      </c>
      <c r="I7452" s="48" t="n">
        <f aca="false">(I7443+I7447)*Assumptions!$E$29</f>
        <v>12.8463930542132</v>
      </c>
      <c r="J7452" s="48" t="n">
        <f aca="false">(J7443+J7447)*Assumptions!$E$29</f>
        <v>17.6921476412567</v>
      </c>
      <c r="K7452" s="48" t="n">
        <f aca="false">(K7443+K7447)*Assumptions!$E$29</f>
        <v>16.4643985629052</v>
      </c>
      <c r="L7452" s="48" t="n">
        <f aca="false">(L7443+L7447)*Assumptions!$E$29</f>
        <v>15.3218493048332</v>
      </c>
      <c r="M7452" s="48" t="n">
        <f aca="false">(M7443+M7447)*Assumptions!$E$29</f>
        <v>14.2585874135079</v>
      </c>
      <c r="N7452" s="48" t="n">
        <f aca="false">(N7443+N7447)*Assumptions!$E$29</f>
        <v>13.2691107309425</v>
      </c>
      <c r="P7452" s="49" t="n">
        <f aca="false">SUM(C7452:F7452)</f>
        <v>16.4377297212427</v>
      </c>
      <c r="Q7452" s="49" t="n">
        <f aca="false">SUM(G7452:J7452)</f>
        <v>43.5623707779142</v>
      </c>
      <c r="R7452" s="49" t="n">
        <f aca="false">SUM(K7452:N7452)</f>
        <v>59.3139460121888</v>
      </c>
      <c r="S7452" s="50" t="n">
        <f aca="false">SUM(P7452:R7452)</f>
        <v>119.314046511346</v>
      </c>
    </row>
    <row r="7453" customFormat="false" ht="15" hidden="false" customHeight="false" outlineLevel="0" collapsed="false">
      <c r="A7453" s="4" t="s">
        <v>505</v>
      </c>
      <c r="B7453" s="36" t="s">
        <v>504</v>
      </c>
      <c r="C7453" s="48" t="n">
        <f aca="false">C7449*Assumptions!$E$31</f>
        <v>0.883020357632</v>
      </c>
      <c r="D7453" s="48" t="n">
        <f aca="false">D7449*Assumptions!$E$31</f>
        <v>1.766040715264</v>
      </c>
      <c r="E7453" s="48" t="n">
        <f aca="false">E7449*Assumptions!$E$31</f>
        <v>1.766040715264</v>
      </c>
      <c r="F7453" s="48" t="n">
        <f aca="false">F7449*Assumptions!$E$31</f>
        <v>1.766040715264</v>
      </c>
      <c r="G7453" s="48" t="n">
        <f aca="false">G7449*Assumptions!$E$31</f>
        <v>2.389599202816</v>
      </c>
      <c r="H7453" s="48" t="n">
        <f aca="false">H7449*Assumptions!$E$31</f>
        <v>3.013157690368</v>
      </c>
      <c r="I7453" s="48" t="n">
        <f aca="false">I7449*Assumptions!$E$31</f>
        <v>5.068176633856</v>
      </c>
      <c r="J7453" s="48" t="n">
        <f aca="false">J7449*Assumptions!$E$31</f>
        <v>7.123195577344</v>
      </c>
      <c r="K7453" s="48" t="n">
        <f aca="false">K7449*Assumptions!$E$31</f>
        <v>7.123195577344</v>
      </c>
      <c r="L7453" s="48" t="n">
        <f aca="false">L7449*Assumptions!$E$31</f>
        <v>7.123195577344</v>
      </c>
      <c r="M7453" s="48" t="n">
        <f aca="false">M7449*Assumptions!$E$31</f>
        <v>7.123195577344</v>
      </c>
      <c r="N7453" s="48" t="n">
        <f aca="false">N7449*Assumptions!$E$31</f>
        <v>7.123195577344</v>
      </c>
      <c r="P7453" s="49" t="n">
        <f aca="false">SUM(C7453:F7453)</f>
        <v>6.181142503424</v>
      </c>
      <c r="Q7453" s="49" t="n">
        <f aca="false">SUM(G7453:J7453)</f>
        <v>17.594129104384</v>
      </c>
      <c r="R7453" s="49" t="n">
        <f aca="false">SUM(K7453:N7453)</f>
        <v>28.492782309376</v>
      </c>
      <c r="S7453" s="50" t="n">
        <f aca="false">SUM(P7453:R7453)</f>
        <v>52.268053917184</v>
      </c>
    </row>
    <row r="7454" customFormat="false" ht="15" hidden="false" customHeight="false" outlineLevel="0" collapsed="false">
      <c r="A7454" s="4" t="s">
        <v>506</v>
      </c>
      <c r="B7454" s="36" t="s">
        <v>504</v>
      </c>
      <c r="C7454" s="48" t="n">
        <f aca="false">C7451*Assumptions!$E$30</f>
        <v>3</v>
      </c>
      <c r="D7454" s="48" t="n">
        <f aca="false">D7451*Assumptions!$E$30</f>
        <v>4.5</v>
      </c>
      <c r="E7454" s="48" t="n">
        <f aca="false">E7451*Assumptions!$E$30</f>
        <v>6</v>
      </c>
      <c r="F7454" s="48" t="n">
        <f aca="false">F7451*Assumptions!$E$30</f>
        <v>7.5</v>
      </c>
      <c r="G7454" s="48" t="n">
        <f aca="false">G7451*Assumptions!$E$30</f>
        <v>9</v>
      </c>
      <c r="H7454" s="48" t="n">
        <f aca="false">H7451*Assumptions!$E$30</f>
        <v>10.5</v>
      </c>
      <c r="I7454" s="48" t="n">
        <f aca="false">I7451*Assumptions!$E$30</f>
        <v>12</v>
      </c>
      <c r="J7454" s="48" t="n">
        <f aca="false">J7451*Assumptions!$E$30</f>
        <v>13.5</v>
      </c>
      <c r="K7454" s="48" t="n">
        <f aca="false">K7451*Assumptions!$E$30</f>
        <v>15</v>
      </c>
      <c r="L7454" s="48" t="n">
        <f aca="false">L7451*Assumptions!$E$30</f>
        <v>15</v>
      </c>
      <c r="M7454" s="48" t="n">
        <f aca="false">M7451*Assumptions!$E$30</f>
        <v>15</v>
      </c>
      <c r="N7454" s="48" t="n">
        <f aca="false">N7451*Assumptions!$E$30</f>
        <v>15</v>
      </c>
      <c r="P7454" s="49" t="n">
        <f aca="false">SUM(C7454:F7454)</f>
        <v>21</v>
      </c>
      <c r="Q7454" s="49" t="n">
        <f aca="false">SUM(G7454:J7454)</f>
        <v>45</v>
      </c>
      <c r="R7454" s="49" t="n">
        <f aca="false">SUM(K7454:N7454)</f>
        <v>60</v>
      </c>
      <c r="S7454" s="50" t="n">
        <f aca="false">SUM(P7454:R7454)</f>
        <v>126</v>
      </c>
    </row>
    <row r="7455" customFormat="false" ht="15" hidden="false" customHeight="false" outlineLevel="0" collapsed="false">
      <c r="A7455" s="9" t="s">
        <v>507</v>
      </c>
      <c r="B7455" s="36" t="s">
        <v>504</v>
      </c>
      <c r="C7455" s="49" t="n">
        <f aca="false">C7452+C7453+C7454</f>
        <v>6.532081430528</v>
      </c>
      <c r="D7455" s="49" t="n">
        <f aca="false">D7452+D7453+D7454</f>
        <v>11.1964989282545</v>
      </c>
      <c r="E7455" s="49" t="n">
        <f aca="false">E7452+E7453+E7454</f>
        <v>12.3543490858728</v>
      </c>
      <c r="F7455" s="49" t="n">
        <f aca="false">F7452+F7453+F7454</f>
        <v>13.5359427800114</v>
      </c>
      <c r="G7455" s="49" t="n">
        <f aca="false">G7452+G7453+G7454</f>
        <v>17.233866274816</v>
      </c>
      <c r="H7455" s="49" t="n">
        <f aca="false">H7452+H7453+H7454</f>
        <v>20.6927207008123</v>
      </c>
      <c r="I7455" s="49" t="n">
        <f aca="false">I7452+I7453+I7454</f>
        <v>29.9145696880692</v>
      </c>
      <c r="J7455" s="49" t="n">
        <f aca="false">J7452+J7453+J7454</f>
        <v>38.3153432186007</v>
      </c>
      <c r="K7455" s="49" t="n">
        <f aca="false">K7452+K7453+K7454</f>
        <v>38.5875941402492</v>
      </c>
      <c r="L7455" s="49" t="n">
        <f aca="false">L7452+L7453+L7454</f>
        <v>37.4450448821772</v>
      </c>
      <c r="M7455" s="49" t="n">
        <f aca="false">M7452+M7453+M7454</f>
        <v>36.3817829908519</v>
      </c>
      <c r="N7455" s="49" t="n">
        <f aca="false">N7452+N7453+N7454</f>
        <v>35.3923063082865</v>
      </c>
      <c r="P7455" s="49" t="n">
        <f aca="false">SUM(C7455:F7455)</f>
        <v>43.6188722246667</v>
      </c>
      <c r="Q7455" s="49" t="n">
        <f aca="false">SUM(G7455:J7455)</f>
        <v>106.156499882298</v>
      </c>
      <c r="R7455" s="49" t="n">
        <f aca="false">SUM(K7455:N7455)</f>
        <v>147.806728321565</v>
      </c>
      <c r="S7455" s="50" t="n">
        <f aca="false">SUM(P7455:R7455)</f>
        <v>297.58210042853</v>
      </c>
    </row>
    <row r="7456" customFormat="false" ht="15" hidden="false" customHeight="false" outlineLevel="0" collapsed="false">
      <c r="A7456" s="4" t="s">
        <v>508</v>
      </c>
      <c r="B7456" s="36" t="s">
        <v>509</v>
      </c>
      <c r="C7456" s="48" t="n">
        <f aca="false">C7438</f>
        <v>421.51972352</v>
      </c>
      <c r="D7456" s="48" t="n">
        <f aca="false">D7438</f>
        <v>843.03944704</v>
      </c>
      <c r="E7456" s="48" t="n">
        <f aca="false">E7438</f>
        <v>843.03944704</v>
      </c>
      <c r="F7456" s="48" t="n">
        <f aca="false">F7438</f>
        <v>843.03944704</v>
      </c>
      <c r="G7456" s="48" t="n">
        <f aca="false">G7438</f>
        <v>1149.32798176</v>
      </c>
      <c r="H7456" s="48" t="n">
        <f aca="false">H7438</f>
        <v>1455.61651648</v>
      </c>
      <c r="I7456" s="48" t="n">
        <f aca="false">I7438</f>
        <v>2486.00303616</v>
      </c>
      <c r="J7456" s="48" t="n">
        <f aca="false">J7438</f>
        <v>3516.38955584</v>
      </c>
      <c r="K7456" s="48" t="n">
        <f aca="false">K7438</f>
        <v>3516.38955584</v>
      </c>
      <c r="L7456" s="48" t="n">
        <f aca="false">L7438</f>
        <v>3516.38955584</v>
      </c>
      <c r="M7456" s="48" t="n">
        <f aca="false">M7438</f>
        <v>3516.38955584</v>
      </c>
      <c r="N7456" s="48" t="n">
        <f aca="false">N7438</f>
        <v>3516.38955584</v>
      </c>
      <c r="P7456" s="49"/>
      <c r="Q7456" s="49"/>
      <c r="R7456" s="49"/>
      <c r="S7456" s="50"/>
    </row>
    <row r="7457" customFormat="false" ht="15" hidden="false" customHeight="false" outlineLevel="0" collapsed="false">
      <c r="A7457" s="4" t="s">
        <v>510</v>
      </c>
      <c r="B7457" s="36" t="s">
        <v>509</v>
      </c>
      <c r="C7457" s="48" t="n">
        <f aca="false">C7439*Assumptions!$E$18*Assumptions!$E$33</f>
        <v>211.19616</v>
      </c>
      <c r="D7457" s="48" t="n">
        <f aca="false">D7439*Assumptions!$E$18*Assumptions!$E$33</f>
        <v>422.39232</v>
      </c>
      <c r="E7457" s="48" t="n">
        <f aca="false">E7439*Assumptions!$E$18*Assumptions!$E$33</f>
        <v>422.39232</v>
      </c>
      <c r="F7457" s="48" t="n">
        <f aca="false">F7439*Assumptions!$E$18*Assumptions!$E$33</f>
        <v>422.39232</v>
      </c>
      <c r="G7457" s="48" t="n">
        <f aca="false">G7439*Assumptions!$E$18*Assumptions!$E$33</f>
        <v>564.49344</v>
      </c>
      <c r="H7457" s="48" t="n">
        <f aca="false">H7439*Assumptions!$E$18*Assumptions!$E$33</f>
        <v>706.59456</v>
      </c>
      <c r="I7457" s="48" t="n">
        <f aca="false">I7439*Assumptions!$E$18*Assumptions!$E$33</f>
        <v>1135.07072</v>
      </c>
      <c r="J7457" s="48" t="n">
        <f aca="false">J7439*Assumptions!$E$18*Assumptions!$E$33</f>
        <v>1563.54688</v>
      </c>
      <c r="K7457" s="48" t="n">
        <f aca="false">K7439*Assumptions!$E$18*Assumptions!$E$33</f>
        <v>1563.54688</v>
      </c>
      <c r="L7457" s="48" t="n">
        <f aca="false">L7439*Assumptions!$E$18*Assumptions!$E$33</f>
        <v>1563.54688</v>
      </c>
      <c r="M7457" s="48" t="n">
        <f aca="false">M7439*Assumptions!$E$18*Assumptions!$E$33</f>
        <v>1563.54688</v>
      </c>
      <c r="N7457" s="48" t="n">
        <f aca="false">N7439*Assumptions!$E$18*Assumptions!$E$33</f>
        <v>1563.54688</v>
      </c>
      <c r="P7457" s="49"/>
      <c r="Q7457" s="49"/>
      <c r="R7457" s="49"/>
      <c r="S7457" s="50"/>
    </row>
    <row r="7458" customFormat="false" ht="15" hidden="false" customHeight="false" outlineLevel="0" collapsed="false">
      <c r="A7458" s="4" t="s">
        <v>511</v>
      </c>
      <c r="B7458" s="36" t="s">
        <v>509</v>
      </c>
      <c r="C7458" s="48" t="n">
        <f aca="false">C7440*Assumptions!$E$19*Assumptions!$E$34</f>
        <v>34.677888</v>
      </c>
      <c r="D7458" s="48" t="n">
        <f aca="false">D7440*Assumptions!$E$19*Assumptions!$E$34</f>
        <v>69.355776</v>
      </c>
      <c r="E7458" s="48" t="n">
        <f aca="false">E7440*Assumptions!$E$19*Assumptions!$E$34</f>
        <v>69.355776</v>
      </c>
      <c r="F7458" s="48" t="n">
        <f aca="false">F7440*Assumptions!$E$19*Assumptions!$E$34</f>
        <v>69.355776</v>
      </c>
      <c r="G7458" s="48" t="n">
        <f aca="false">G7440*Assumptions!$E$19*Assumptions!$E$34</f>
        <v>86.69472</v>
      </c>
      <c r="H7458" s="48" t="n">
        <f aca="false">H7440*Assumptions!$E$19*Assumptions!$E$34</f>
        <v>104.033664</v>
      </c>
      <c r="I7458" s="48" t="n">
        <f aca="false">I7440*Assumptions!$E$19*Assumptions!$E$34</f>
        <v>159.7008</v>
      </c>
      <c r="J7458" s="48" t="n">
        <f aca="false">J7440*Assumptions!$E$19*Assumptions!$E$34</f>
        <v>215.367936</v>
      </c>
      <c r="K7458" s="48" t="n">
        <f aca="false">K7440*Assumptions!$E$19*Assumptions!$E$34</f>
        <v>215.367936</v>
      </c>
      <c r="L7458" s="48" t="n">
        <f aca="false">L7440*Assumptions!$E$19*Assumptions!$E$34</f>
        <v>215.367936</v>
      </c>
      <c r="M7458" s="48" t="n">
        <f aca="false">M7440*Assumptions!$E$19*Assumptions!$E$34</f>
        <v>215.367936</v>
      </c>
      <c r="N7458" s="48" t="n">
        <f aca="false">N7440*Assumptions!$E$19*Assumptions!$E$34</f>
        <v>215.367936</v>
      </c>
      <c r="P7458" s="49"/>
      <c r="Q7458" s="49"/>
      <c r="R7458" s="49"/>
      <c r="S7458" s="50"/>
    </row>
    <row r="7459" customFormat="false" ht="15" hidden="false" customHeight="false" outlineLevel="0" collapsed="false">
      <c r="A7459" s="4" t="s">
        <v>512</v>
      </c>
      <c r="B7459" s="36" t="s">
        <v>77</v>
      </c>
      <c r="C7459" s="51" t="n">
        <f aca="false">IFERROR(C7456/(C7456+C7457+C7458),0)</f>
        <v>0.631590736245533</v>
      </c>
      <c r="D7459" s="51" t="n">
        <f aca="false">IFERROR(D7456/(D7456+D7457+D7458),0)</f>
        <v>0.631590736245533</v>
      </c>
      <c r="E7459" s="51" t="n">
        <f aca="false">IFERROR(E7456/(E7456+E7457+E7458),0)</f>
        <v>0.631590736245533</v>
      </c>
      <c r="F7459" s="51" t="n">
        <f aca="false">IFERROR(F7456/(F7456+F7457+F7458),0)</f>
        <v>0.631590736245533</v>
      </c>
      <c r="G7459" s="51" t="n">
        <f aca="false">IFERROR(G7456/(G7456+G7457+G7458),0)</f>
        <v>0.638332506498128</v>
      </c>
      <c r="H7459" s="51" t="n">
        <f aca="false">IFERROR(H7456/(H7456+H7457+H7458),0)</f>
        <v>0.642303318118984</v>
      </c>
      <c r="I7459" s="51" t="n">
        <f aca="false">IFERROR(I7456/(I7456+I7457+I7458),0)</f>
        <v>0.657538025405288</v>
      </c>
      <c r="J7459" s="51" t="n">
        <f aca="false">IFERROR(J7456/(J7456+J7457+J7458),0)</f>
        <v>0.664058061428891</v>
      </c>
      <c r="K7459" s="51" t="n">
        <f aca="false">IFERROR(K7456/(K7456+K7457+K7458),0)</f>
        <v>0.664058061428891</v>
      </c>
      <c r="L7459" s="51" t="n">
        <f aca="false">IFERROR(L7456/(L7456+L7457+L7458),0)</f>
        <v>0.664058061428891</v>
      </c>
      <c r="M7459" s="51" t="n">
        <f aca="false">IFERROR(M7456/(M7456+M7457+M7458),0)</f>
        <v>0.664058061428891</v>
      </c>
      <c r="N7459" s="51" t="n">
        <f aca="false">IFERROR(N7456/(N7456+N7457+N7458),0)</f>
        <v>0.664058061428891</v>
      </c>
      <c r="P7459" s="52"/>
      <c r="Q7459" s="52"/>
      <c r="R7459" s="52"/>
      <c r="S7459" s="53"/>
    </row>
    <row r="7460" customFormat="false" ht="15" hidden="false" customHeight="false" outlineLevel="0" collapsed="false">
      <c r="A7460" s="4" t="s">
        <v>513</v>
      </c>
      <c r="B7460" s="36" t="s">
        <v>77</v>
      </c>
      <c r="C7460" s="51" t="n">
        <f aca="false">IFERROR(C7457/(C7456+C7457+C7458),0)</f>
        <v>0.316449102482628</v>
      </c>
      <c r="D7460" s="51" t="n">
        <f aca="false">IFERROR(D7457/(D7456+D7457+D7458),0)</f>
        <v>0.316449102482628</v>
      </c>
      <c r="E7460" s="51" t="n">
        <f aca="false">IFERROR(E7457/(E7456+E7457+E7458),0)</f>
        <v>0.316449102482628</v>
      </c>
      <c r="F7460" s="51" t="n">
        <f aca="false">IFERROR(F7457/(F7456+F7457+F7458),0)</f>
        <v>0.316449102482628</v>
      </c>
      <c r="G7460" s="51" t="n">
        <f aca="false">IFERROR(G7457/(G7456+G7457+G7458),0)</f>
        <v>0.313517566939561</v>
      </c>
      <c r="H7460" s="51" t="n">
        <f aca="false">IFERROR(H7457/(H7456+H7457+H7458),0)</f>
        <v>0.311790932099567</v>
      </c>
      <c r="I7460" s="51" t="n">
        <f aca="false">IFERROR(I7457/(I7456+I7457+I7458),0)</f>
        <v>0.300221741111391</v>
      </c>
      <c r="J7460" s="51" t="n">
        <f aca="false">IFERROR(J7457/(J7456+J7457+J7458),0)</f>
        <v>0.295270445324128</v>
      </c>
      <c r="K7460" s="51" t="n">
        <f aca="false">IFERROR(K7457/(K7456+K7457+K7458),0)</f>
        <v>0.295270445324128</v>
      </c>
      <c r="L7460" s="51" t="n">
        <f aca="false">IFERROR(L7457/(L7456+L7457+L7458),0)</f>
        <v>0.295270445324128</v>
      </c>
      <c r="M7460" s="51" t="n">
        <f aca="false">IFERROR(M7457/(M7456+M7457+M7458),0)</f>
        <v>0.295270445324128</v>
      </c>
      <c r="N7460" s="51" t="n">
        <f aca="false">IFERROR(N7457/(N7456+N7457+N7458),0)</f>
        <v>0.295270445324128</v>
      </c>
      <c r="P7460" s="52"/>
      <c r="Q7460" s="52"/>
      <c r="R7460" s="52"/>
      <c r="S7460" s="53"/>
    </row>
    <row r="7461" customFormat="false" ht="15" hidden="false" customHeight="false" outlineLevel="0" collapsed="false">
      <c r="A7461" s="4" t="s">
        <v>514</v>
      </c>
      <c r="B7461" s="36" t="s">
        <v>77</v>
      </c>
      <c r="C7461" s="51" t="n">
        <f aca="false">IFERROR(C7458/(C7456+C7457+C7458),0)</f>
        <v>0.0519601612718389</v>
      </c>
      <c r="D7461" s="51" t="n">
        <f aca="false">IFERROR(D7458/(D7456+D7457+D7458),0)</f>
        <v>0.0519601612718389</v>
      </c>
      <c r="E7461" s="51" t="n">
        <f aca="false">IFERROR(E7458/(E7456+E7457+E7458),0)</f>
        <v>0.0519601612718389</v>
      </c>
      <c r="F7461" s="51" t="n">
        <f aca="false">IFERROR(F7458/(F7456+F7457+F7458),0)</f>
        <v>0.0519601612718389</v>
      </c>
      <c r="G7461" s="51" t="n">
        <f aca="false">IFERROR(G7458/(G7456+G7457+G7458),0)</f>
        <v>0.0481499265623113</v>
      </c>
      <c r="H7461" s="51" t="n">
        <f aca="false">IFERROR(H7458/(H7456+H7457+H7458),0)</f>
        <v>0.0459057497814491</v>
      </c>
      <c r="I7461" s="51" t="n">
        <f aca="false">IFERROR(I7458/(I7456+I7457+I7458),0)</f>
        <v>0.0422402334833216</v>
      </c>
      <c r="J7461" s="51" t="n">
        <f aca="false">IFERROR(J7458/(J7456+J7457+J7458),0)</f>
        <v>0.0406714932469811</v>
      </c>
      <c r="K7461" s="51" t="n">
        <f aca="false">IFERROR(K7458/(K7456+K7457+K7458),0)</f>
        <v>0.0406714932469811</v>
      </c>
      <c r="L7461" s="51" t="n">
        <f aca="false">IFERROR(L7458/(L7456+L7457+L7458),0)</f>
        <v>0.0406714932469811</v>
      </c>
      <c r="M7461" s="51" t="n">
        <f aca="false">IFERROR(M7458/(M7456+M7457+M7458),0)</f>
        <v>0.0406714932469811</v>
      </c>
      <c r="N7461" s="51" t="n">
        <f aca="false">IFERROR(N7458/(N7456+N7457+N7458),0)</f>
        <v>0.0406714932469811</v>
      </c>
      <c r="P7461" s="52"/>
      <c r="Q7461" s="52"/>
      <c r="R7461" s="52"/>
      <c r="S7461" s="53"/>
    </row>
    <row r="7462" customFormat="false" ht="15" hidden="false" customHeight="false" outlineLevel="0" collapsed="false">
      <c r="A7462" s="4" t="s">
        <v>515</v>
      </c>
      <c r="B7462" s="36" t="s">
        <v>516</v>
      </c>
      <c r="C7462" s="48" t="n">
        <f aca="false">IF(C7430-Assumptions!$E$35&lt;1,0,INDEX($C$7455:$N$7455,1,C7430-Assumptions!$E$35)*INDEX($C$7459:$N$7459,1,C7430-Assumptions!$E$35)*Assumptions!$E$32)</f>
        <v>0</v>
      </c>
      <c r="D7462" s="48" t="n">
        <f aca="false">IF(D7430-Assumptions!$E$35&lt;1,0,INDEX($C$7455:$N$7455,1,D7430-Assumptions!$E$35)*INDEX($C$7459:$N$7459,1,D7430-Assumptions!$E$35)*Assumptions!$E$32)</f>
        <v>0.866376445183821</v>
      </c>
      <c r="E7462" s="48" t="n">
        <f aca="false">IF(E7430-Assumptions!$E$35&lt;1,0,INDEX($C$7455:$N$7455,1,E7430-Assumptions!$E$35)*INDEX($C$7459:$N$7459,1,E7430-Assumptions!$E$35)*Assumptions!$E$32)</f>
        <v>1.4850370503084</v>
      </c>
      <c r="F7462" s="48" t="n">
        <f aca="false">IF(F7430-Assumptions!$E$35&lt;1,0,INDEX($C$7455:$N$7455,1,F7430-Assumptions!$E$35)*INDEX($C$7459:$N$7459,1,F7430-Assumptions!$E$35)*Assumptions!$E$32)</f>
        <v>1.63860741134595</v>
      </c>
      <c r="G7462" s="48" t="n">
        <f aca="false">IF(G7430-Assumptions!$E$35&lt;1,0,INDEX($C$7455:$N$7455,1,G7430-Assumptions!$E$35)*INDEX($C$7459:$N$7459,1,G7430-Assumptions!$E$35)*Assumptions!$E$32)</f>
        <v>1.79532697390301</v>
      </c>
      <c r="H7462" s="48" t="n">
        <f aca="false">IF(H7430-Assumptions!$E$35&lt;1,0,INDEX($C$7455:$N$7455,1,H7430-Assumptions!$E$35)*INDEX($C$7459:$N$7459,1,H7430-Assumptions!$E$35)*Assumptions!$E$32)</f>
        <v>2.31019678172994</v>
      </c>
      <c r="I7462" s="48" t="n">
        <f aca="false">IF(I7430-Assumptions!$E$35&lt;1,0,INDEX($C$7455:$N$7455,1,I7430-Assumptions!$E$35)*INDEX($C$7459:$N$7459,1,I7430-Assumptions!$E$35)*Assumptions!$E$32)</f>
        <v>2.79111066507864</v>
      </c>
      <c r="J7462" s="48" t="n">
        <f aca="false">IF(J7430-Assumptions!$E$35&lt;1,0,INDEX($C$7455:$N$7455,1,J7430-Assumptions!$E$35)*INDEX($C$7459:$N$7459,1,J7430-Assumptions!$E$35)*Assumptions!$E$32)</f>
        <v>4.1306930875438</v>
      </c>
      <c r="K7462" s="48" t="n">
        <f aca="false">IF(K7430-Assumptions!$E$35&lt;1,0,INDEX($C$7455:$N$7455,1,K7430-Assumptions!$E$35)*INDEX($C$7459:$N$7459,1,K7430-Assumptions!$E$35)*Assumptions!$E$32)</f>
        <v>5.34315863355258</v>
      </c>
      <c r="L7462" s="48" t="n">
        <f aca="false">IF(L7430-Assumptions!$E$35&lt;1,0,INDEX($C$7455:$N$7455,1,L7430-Assumptions!$E$35)*INDEX($C$7459:$N$7459,1,L7430-Assumptions!$E$35)*Assumptions!$E$32)</f>
        <v>5.38112462159553</v>
      </c>
      <c r="M7462" s="48" t="n">
        <f aca="false">IF(M7430-Assumptions!$E$35&lt;1,0,INDEX($C$7455:$N$7455,1,M7430-Assumptions!$E$35)*INDEX($C$7459:$N$7459,1,M7430-Assumptions!$E$35)*Assumptions!$E$32)</f>
        <v>5.22179362206104</v>
      </c>
      <c r="N7462" s="48" t="n">
        <f aca="false">IF(N7430-Assumptions!$E$35&lt;1,0,INDEX($C$7455:$N$7455,1,N7430-Assumptions!$E$35)*INDEX($C$7459:$N$7459,1,N7430-Assumptions!$E$35)*Assumptions!$E$32)</f>
        <v>5.07351941968866</v>
      </c>
      <c r="P7462" s="49" t="n">
        <f aca="false">SUM(C7462:F7462)</f>
        <v>3.99002090683817</v>
      </c>
      <c r="Q7462" s="49" t="n">
        <f aca="false">SUM(G7462:J7462)</f>
        <v>11.0273275082554</v>
      </c>
      <c r="R7462" s="49" t="n">
        <f aca="false">SUM(K7462:N7462)</f>
        <v>21.0195962968978</v>
      </c>
      <c r="S7462" s="50" t="n">
        <f aca="false">SUM(P7462:R7462)</f>
        <v>36.0369447119914</v>
      </c>
    </row>
    <row r="7463" customFormat="false" ht="15" hidden="false" customHeight="false" outlineLevel="0" collapsed="false">
      <c r="A7463" s="4" t="s">
        <v>517</v>
      </c>
      <c r="B7463" s="36" t="s">
        <v>516</v>
      </c>
      <c r="C7463" s="48" t="n">
        <f aca="false">IF(C7430-Assumptions!$E$35&lt;1,0,INDEX($C$7455:$N$7455,1,C7430-Assumptions!$E$35)*INDEX($C$7460:$N$7460,1,C7430-Assumptions!$E$35)*Assumptions!$E$32)</f>
        <v>0</v>
      </c>
      <c r="D7463" s="48" t="n">
        <f aca="false">IF(D7430-Assumptions!$E$35&lt;1,0,INDEX($C$7455:$N$7455,1,D7430-Assumptions!$E$35)*INDEX($C$7460:$N$7460,1,D7430-Assumptions!$E$35)*Assumptions!$E$32)</f>
        <v>0.434084974267145</v>
      </c>
      <c r="E7463" s="48" t="n">
        <f aca="false">IF(E7430-Assumptions!$E$35&lt;1,0,INDEX($C$7455:$N$7455,1,E7430-Assumptions!$E$35)*INDEX($C$7460:$N$7460,1,E7430-Assumptions!$E$35)*Assumptions!$E$32)</f>
        <v>0.744055627726705</v>
      </c>
      <c r="F7463" s="48" t="n">
        <f aca="false">IF(F7430-Assumptions!$E$35&lt;1,0,INDEX($C$7455:$N$7455,1,F7430-Assumptions!$E$35)*INDEX($C$7460:$N$7460,1,F7430-Assumptions!$E$35)*Assumptions!$E$32)</f>
        <v>0.820999762796119</v>
      </c>
      <c r="G7463" s="48" t="n">
        <f aca="false">IF(G7430-Assumptions!$E$35&lt;1,0,INDEX($C$7455:$N$7455,1,G7430-Assumptions!$E$35)*INDEX($C$7460:$N$7460,1,G7430-Assumptions!$E$35)*Assumptions!$E$32)</f>
        <v>0.89952175823807</v>
      </c>
      <c r="H7463" s="48" t="n">
        <f aca="false">IF(H7430-Assumptions!$E$35&lt;1,0,INDEX($C$7455:$N$7455,1,H7430-Assumptions!$E$35)*INDEX($C$7460:$N$7460,1,H7430-Assumptions!$E$35)*Assumptions!$E$32)</f>
        <v>1.13465516292283</v>
      </c>
      <c r="I7463" s="48" t="n">
        <f aca="false">IF(I7430-Assumptions!$E$35&lt;1,0,INDEX($C$7455:$N$7455,1,I7430-Assumptions!$E$35)*INDEX($C$7460:$N$7460,1,I7430-Assumptions!$E$35)*Assumptions!$E$32)</f>
        <v>1.35487856174628</v>
      </c>
      <c r="J7463" s="48" t="n">
        <f aca="false">IF(J7430-Assumptions!$E$35&lt;1,0,INDEX($C$7455:$N$7455,1,J7430-Assumptions!$E$35)*INDEX($C$7460:$N$7460,1,J7430-Assumptions!$E$35)*Assumptions!$E$32)</f>
        <v>1.88601088123353</v>
      </c>
      <c r="K7463" s="48" t="n">
        <f aca="false">IF(K7430-Assumptions!$E$35&lt;1,0,INDEX($C$7455:$N$7455,1,K7430-Assumptions!$E$35)*INDEX($C$7460:$N$7460,1,K7430-Assumptions!$E$35)*Assumptions!$E$32)</f>
        <v>2.37581157552964</v>
      </c>
      <c r="L7463" s="48" t="n">
        <f aca="false">IF(L7430-Assumptions!$E$35&lt;1,0,INDEX($C$7455:$N$7455,1,L7430-Assumptions!$E$35)*INDEX($C$7460:$N$7460,1,L7430-Assumptions!$E$35)*Assumptions!$E$32)</f>
        <v>2.3926929822134</v>
      </c>
      <c r="M7463" s="48" t="n">
        <f aca="false">IF(M7430-Assumptions!$E$35&lt;1,0,INDEX($C$7455:$N$7455,1,M7430-Assumptions!$E$35)*INDEX($C$7460:$N$7460,1,M7430-Assumptions!$E$35)*Assumptions!$E$32)</f>
        <v>2.32184716628391</v>
      </c>
      <c r="N7463" s="48" t="n">
        <f aca="false">IF(N7430-Assumptions!$E$35&lt;1,0,INDEX($C$7455:$N$7455,1,N7430-Assumptions!$E$35)*INDEX($C$7460:$N$7460,1,N7430-Assumptions!$E$35)*Assumptions!$E$32)</f>
        <v>2.25591770573287</v>
      </c>
      <c r="P7463" s="49" t="n">
        <f aca="false">SUM(C7463:F7463)</f>
        <v>1.99914036478997</v>
      </c>
      <c r="Q7463" s="49" t="n">
        <f aca="false">SUM(G7463:J7463)</f>
        <v>5.27506636414072</v>
      </c>
      <c r="R7463" s="49" t="n">
        <f aca="false">SUM(K7463:N7463)</f>
        <v>9.34626942975982</v>
      </c>
      <c r="S7463" s="50" t="n">
        <f aca="false">SUM(P7463:R7463)</f>
        <v>16.6204761586905</v>
      </c>
    </row>
    <row r="7464" customFormat="false" ht="15" hidden="false" customHeight="false" outlineLevel="0" collapsed="false">
      <c r="A7464" s="4" t="s">
        <v>518</v>
      </c>
      <c r="B7464" s="36" t="s">
        <v>516</v>
      </c>
      <c r="C7464" s="48" t="n">
        <f aca="false">IF(C7430-Assumptions!$E$36&lt;1,0,INDEX($C$7455:$N$7455,1,C7430-Assumptions!$E$36)*INDEX($C$7461:$N$7461,1,C7430-Assumptions!$E$36)*Assumptions!$E$32)</f>
        <v>0</v>
      </c>
      <c r="D7464" s="48" t="n">
        <f aca="false">IF(D7430-Assumptions!$E$36&lt;1,0,INDEX($C$7455:$N$7455,1,D7430-Assumptions!$E$36)*INDEX($C$7461:$N$7461,1,D7430-Assumptions!$E$36)*Assumptions!$E$32)</f>
        <v>0</v>
      </c>
      <c r="E7464" s="48" t="n">
        <f aca="false">IF(E7430-Assumptions!$E$36&lt;1,0,INDEX($C$7455:$N$7455,1,E7430-Assumptions!$E$36)*INDEX($C$7461:$N$7461,1,E7430-Assumptions!$E$36)*Assumptions!$E$32)</f>
        <v>0.071275680959914</v>
      </c>
      <c r="F7464" s="48" t="n">
        <f aca="false">IF(F7430-Assumptions!$E$36&lt;1,0,INDEX($C$7455:$N$7455,1,F7430-Assumptions!$E$36)*INDEX($C$7461:$N$7461,1,F7430-Assumptions!$E$36)*Assumptions!$E$32)</f>
        <v>0.122172096898336</v>
      </c>
      <c r="G7464" s="48" t="n">
        <f aca="false">IF(G7430-Assumptions!$E$36&lt;1,0,INDEX($C$7455:$N$7455,1,G7430-Assumptions!$E$36)*INDEX($C$7461:$N$7461,1,G7430-Assumptions!$E$36)*Assumptions!$E$32)</f>
        <v>0.134806133891215</v>
      </c>
      <c r="H7464" s="48" t="n">
        <f aca="false">IF(H7430-Assumptions!$E$36&lt;1,0,INDEX($C$7455:$N$7455,1,H7430-Assumptions!$E$36)*INDEX($C$7461:$N$7461,1,H7430-Assumptions!$E$36)*Assumptions!$E$32)</f>
        <v>0.147699251661313</v>
      </c>
      <c r="I7464" s="48" t="n">
        <f aca="false">IF(I7430-Assumptions!$E$36&lt;1,0,INDEX($C$7455:$N$7455,1,I7430-Assumptions!$E$36)*INDEX($C$7461:$N$7461,1,I7430-Assumptions!$E$36)*Assumptions!$E$32)</f>
        <v>0.174259973058587</v>
      </c>
      <c r="J7464" s="48" t="n">
        <f aca="false">IF(J7430-Assumptions!$E$36&lt;1,0,INDEX($C$7455:$N$7455,1,J7430-Assumptions!$E$36)*INDEX($C$7461:$N$7461,1,J7430-Assumptions!$E$36)*Assumptions!$E$32)</f>
        <v>0.19948212034567</v>
      </c>
      <c r="K7464" s="48" t="n">
        <f aca="false">IF(K7430-Assumptions!$E$36&lt;1,0,INDEX($C$7455:$N$7455,1,K7430-Assumptions!$E$36)*INDEX($C$7461:$N$7461,1,K7430-Assumptions!$E$36)*Assumptions!$E$32)</f>
        <v>0.265355665717199</v>
      </c>
      <c r="L7464" s="48" t="n">
        <f aca="false">IF(L7430-Assumptions!$E$36&lt;1,0,INDEX($C$7455:$N$7455,1,L7430-Assumptions!$E$36)*INDEX($C$7461:$N$7461,1,L7430-Assumptions!$E$36)*Assumptions!$E$32)</f>
        <v>0.327251866823927</v>
      </c>
      <c r="M7464" s="48" t="n">
        <f aca="false">IF(M7430-Assumptions!$E$36&lt;1,0,INDEX($C$7455:$N$7455,1,M7430-Assumptions!$E$36)*INDEX($C$7461:$N$7461,1,M7430-Assumptions!$E$36)*Assumptions!$E$32)</f>
        <v>0.329577165643402</v>
      </c>
      <c r="N7464" s="48" t="n">
        <f aca="false">IF(N7430-Assumptions!$E$36&lt;1,0,INDEX($C$7455:$N$7455,1,N7430-Assumptions!$E$36)*INDEX($C$7461:$N$7461,1,N7430-Assumptions!$E$36)*Assumptions!$E$32)</f>
        <v>0.319818636912259</v>
      </c>
      <c r="P7464" s="49" t="n">
        <f aca="false">SUM(C7464:F7464)</f>
        <v>0.19344777785825</v>
      </c>
      <c r="Q7464" s="49" t="n">
        <f aca="false">SUM(G7464:J7464)</f>
        <v>0.656247478956785</v>
      </c>
      <c r="R7464" s="49" t="n">
        <f aca="false">SUM(K7464:N7464)</f>
        <v>1.24200333509679</v>
      </c>
      <c r="S7464" s="50" t="n">
        <f aca="false">SUM(P7464:R7464)</f>
        <v>2.09169859191182</v>
      </c>
    </row>
    <row r="7465" customFormat="false" ht="15" hidden="false" customHeight="false" outlineLevel="0" collapsed="false">
      <c r="A7465" s="4" t="s">
        <v>519</v>
      </c>
      <c r="B7465" s="36" t="s">
        <v>77</v>
      </c>
      <c r="C7465" s="51" t="n">
        <f aca="false">IF(C7430-Assumptions!$E$35&lt;1,0,IFERROR(INDEX($C$7454:$N$7454,1,C7430-Assumptions!$E$35)/INDEX($C$7455:$N$7455,1,C7430-Assumptions!$E$35),0))</f>
        <v>0</v>
      </c>
      <c r="D7465" s="51" t="n">
        <f aca="false">IF(D7430-Assumptions!$E$35&lt;1,0,IFERROR(INDEX($C$7454:$N$7454,1,D7430-Assumptions!$E$35)/INDEX($C$7455:$N$7455,1,D7430-Assumptions!$E$35),0))</f>
        <v>0.459271678087073</v>
      </c>
      <c r="E7465" s="51" t="n">
        <f aca="false">IF(E7430-Assumptions!$E$35&lt;1,0,IFERROR(INDEX($C$7454:$N$7454,1,E7430-Assumptions!$E$35)/INDEX($C$7455:$N$7455,1,E7430-Assumptions!$E$35),0))</f>
        <v>0.401911350042128</v>
      </c>
      <c r="F7465" s="51" t="n">
        <f aca="false">IF(F7430-Assumptions!$E$35&lt;1,0,IFERROR(INDEX($C$7454:$N$7454,1,F7430-Assumptions!$E$35)/INDEX($C$7455:$N$7455,1,F7430-Assumptions!$E$35),0))</f>
        <v>0.485658933408398</v>
      </c>
      <c r="G7465" s="51" t="n">
        <f aca="false">IF(G7430-Assumptions!$E$35&lt;1,0,IFERROR(INDEX($C$7454:$N$7454,1,G7430-Assumptions!$E$35)/INDEX($C$7455:$N$7455,1,G7430-Assumptions!$E$35),0))</f>
        <v>0.554080356417826</v>
      </c>
      <c r="H7465" s="51" t="n">
        <f aca="false">IF(H7430-Assumptions!$E$35&lt;1,0,IFERROR(INDEX($C$7454:$N$7454,1,H7430-Assumptions!$E$35)/INDEX($C$7455:$N$7455,1,H7430-Assumptions!$E$35),0))</f>
        <v>0.522227563825987</v>
      </c>
      <c r="I7465" s="51" t="n">
        <f aca="false">IF(I7430-Assumptions!$E$35&lt;1,0,IFERROR(INDEX($C$7454:$N$7454,1,I7430-Assumptions!$E$35)/INDEX($C$7455:$N$7455,1,I7430-Assumptions!$E$35),0))</f>
        <v>0.507424816282752</v>
      </c>
      <c r="J7465" s="51" t="n">
        <f aca="false">IF(J7430-Assumptions!$E$35&lt;1,0,IFERROR(INDEX($C$7454:$N$7454,1,J7430-Assumptions!$E$35)/INDEX($C$7455:$N$7455,1,J7430-Assumptions!$E$35),0))</f>
        <v>0.401142323795015</v>
      </c>
      <c r="K7465" s="51" t="n">
        <f aca="false">IF(K7430-Assumptions!$E$35&lt;1,0,IFERROR(INDEX($C$7454:$N$7454,1,K7430-Assumptions!$E$35)/INDEX($C$7455:$N$7455,1,K7430-Assumptions!$E$35),0))</f>
        <v>0.352339268448632</v>
      </c>
      <c r="L7465" s="51" t="n">
        <f aca="false">IF(L7430-Assumptions!$E$35&lt;1,0,IFERROR(INDEX($C$7454:$N$7454,1,L7430-Assumptions!$E$35)/INDEX($C$7455:$N$7455,1,L7430-Assumptions!$E$35),0))</f>
        <v>0.388725970981282</v>
      </c>
      <c r="M7465" s="51" t="n">
        <f aca="false">IF(M7430-Assumptions!$E$35&lt;1,0,IFERROR(INDEX($C$7454:$N$7454,1,M7430-Assumptions!$E$35)/INDEX($C$7455:$N$7455,1,M7430-Assumptions!$E$35),0))</f>
        <v>0.400587048224893</v>
      </c>
      <c r="N7465" s="51" t="n">
        <f aca="false">IF(N7430-Assumptions!$E$35&lt;1,0,IFERROR(INDEX($C$7454:$N$7454,1,N7430-Assumptions!$E$35)/INDEX($C$7455:$N$7455,1,N7430-Assumptions!$E$35),0))</f>
        <v>0.412294251872474</v>
      </c>
      <c r="P7465" s="52"/>
      <c r="Q7465" s="52"/>
      <c r="R7465" s="52"/>
      <c r="S7465" s="53"/>
    </row>
    <row r="7466" customFormat="false" ht="15" hidden="false" customHeight="false" outlineLevel="0" collapsed="false">
      <c r="A7466" s="4" t="s">
        <v>520</v>
      </c>
      <c r="B7466" s="36" t="s">
        <v>516</v>
      </c>
      <c r="C7466" s="48" t="n">
        <f aca="false">C7462*Assumptions!$F$37</f>
        <v>0</v>
      </c>
      <c r="D7466" s="48" t="n">
        <f aca="false">D7462*Assumptions!$F$37</f>
        <v>0.346550578073528</v>
      </c>
      <c r="E7466" s="48" t="n">
        <f aca="false">E7462*Assumptions!$F$37</f>
        <v>0.59401482012336</v>
      </c>
      <c r="F7466" s="48" t="n">
        <f aca="false">F7462*Assumptions!$F$37</f>
        <v>0.655442964538381</v>
      </c>
      <c r="G7466" s="48" t="n">
        <f aca="false">G7462*Assumptions!$F$37</f>
        <v>0.718130789561203</v>
      </c>
      <c r="H7466" s="48" t="n">
        <f aca="false">H7462*Assumptions!$F$37</f>
        <v>0.924078712691976</v>
      </c>
      <c r="I7466" s="48" t="n">
        <f aca="false">I7462*Assumptions!$F$37</f>
        <v>1.11644426603146</v>
      </c>
      <c r="J7466" s="48" t="n">
        <f aca="false">J7462*Assumptions!$F$37</f>
        <v>1.65227723501752</v>
      </c>
      <c r="K7466" s="48" t="n">
        <f aca="false">K7462*Assumptions!$F$37</f>
        <v>2.13726345342103</v>
      </c>
      <c r="L7466" s="48" t="n">
        <f aca="false">L7462*Assumptions!$F$37</f>
        <v>2.15244984863821</v>
      </c>
      <c r="M7466" s="48" t="n">
        <f aca="false">M7462*Assumptions!$F$37</f>
        <v>2.08871744882442</v>
      </c>
      <c r="N7466" s="48" t="n">
        <f aca="false">N7462*Assumptions!$F$37</f>
        <v>2.02940776787546</v>
      </c>
      <c r="P7466" s="49" t="n">
        <f aca="false">SUM(C7466:F7466)</f>
        <v>1.59600836273527</v>
      </c>
      <c r="Q7466" s="49" t="n">
        <f aca="false">SUM(G7466:J7466)</f>
        <v>4.41093100330216</v>
      </c>
      <c r="R7466" s="49" t="n">
        <f aca="false">SUM(K7466:N7466)</f>
        <v>8.40783851875912</v>
      </c>
      <c r="S7466" s="50" t="n">
        <f aca="false">SUM(P7466:R7466)</f>
        <v>14.4147778847966</v>
      </c>
    </row>
    <row r="7467" customFormat="false" ht="15" hidden="false" customHeight="false" outlineLevel="0" collapsed="false">
      <c r="A7467" s="4" t="s">
        <v>521</v>
      </c>
      <c r="B7467" s="36" t="s">
        <v>516</v>
      </c>
      <c r="C7467" s="48" t="n">
        <f aca="false">C7462*(1-Assumptions!$F$37)</f>
        <v>0</v>
      </c>
      <c r="D7467" s="48" t="n">
        <f aca="false">D7462*(1-Assumptions!$F$37)</f>
        <v>0.519825867110292</v>
      </c>
      <c r="E7467" s="48" t="n">
        <f aca="false">E7462*(1-Assumptions!$F$37)</f>
        <v>0.89102223018504</v>
      </c>
      <c r="F7467" s="48" t="n">
        <f aca="false">F7462*(1-Assumptions!$F$37)</f>
        <v>0.983164446807572</v>
      </c>
      <c r="G7467" s="48" t="n">
        <f aca="false">G7462*(1-Assumptions!$F$37)</f>
        <v>1.0771961843418</v>
      </c>
      <c r="H7467" s="48" t="n">
        <f aca="false">H7462*(1-Assumptions!$F$37)</f>
        <v>1.38611806903796</v>
      </c>
      <c r="I7467" s="48" t="n">
        <f aca="false">I7462*(1-Assumptions!$F$37)</f>
        <v>1.67466639904719</v>
      </c>
      <c r="J7467" s="48" t="n">
        <f aca="false">J7462*(1-Assumptions!$F$37)</f>
        <v>2.47841585252628</v>
      </c>
      <c r="K7467" s="48" t="n">
        <f aca="false">K7462*(1-Assumptions!$F$37)</f>
        <v>3.20589518013154</v>
      </c>
      <c r="L7467" s="48" t="n">
        <f aca="false">L7462*(1-Assumptions!$F$37)</f>
        <v>3.22867477295732</v>
      </c>
      <c r="M7467" s="48" t="n">
        <f aca="false">M7462*(1-Assumptions!$F$37)</f>
        <v>3.13307617323663</v>
      </c>
      <c r="N7467" s="48" t="n">
        <f aca="false">N7462*(1-Assumptions!$F$37)</f>
        <v>3.04411165181319</v>
      </c>
      <c r="P7467" s="49" t="n">
        <f aca="false">SUM(C7467:F7467)</f>
        <v>2.3940125441029</v>
      </c>
      <c r="Q7467" s="49" t="n">
        <f aca="false">SUM(G7467:J7467)</f>
        <v>6.61639650495323</v>
      </c>
      <c r="R7467" s="49" t="n">
        <f aca="false">SUM(K7467:N7467)</f>
        <v>12.6117577781387</v>
      </c>
      <c r="S7467" s="50" t="n">
        <f aca="false">SUM(P7467:R7467)</f>
        <v>21.6221668271948</v>
      </c>
    </row>
    <row r="7468" customFormat="false" ht="15" hidden="false" customHeight="false" outlineLevel="0" collapsed="false">
      <c r="A7468" s="4" t="s">
        <v>522</v>
      </c>
      <c r="B7468" s="36" t="s">
        <v>125</v>
      </c>
      <c r="C7468" s="54" t="n">
        <f aca="false">C7467*$C$7421+C7463*$C$7422+C7464*$C$7423</f>
        <v>0</v>
      </c>
      <c r="D7468" s="54" t="n">
        <f aca="false">D7467*$C$7421+D7463*$C$7422+D7464*$C$7423</f>
        <v>7021.69449653804</v>
      </c>
      <c r="E7468" s="54" t="n">
        <f aca="false">E7467*$C$7421+E7463*$C$7422+E7464*$C$7423</f>
        <v>16439.0213327365</v>
      </c>
      <c r="F7468" s="54" t="n">
        <f aca="false">F7467*$C$7421+F7463*$C$7422+F7464*$C$7423</f>
        <v>20827.9501333671</v>
      </c>
      <c r="G7468" s="54" t="n">
        <f aca="false">G7467*$C$7421+G7463*$C$7422+G7464*$C$7423</f>
        <v>22878.619120515</v>
      </c>
      <c r="H7468" s="54" t="n">
        <f aca="false">H7467*$C$7421+H7463*$C$7422+H7464*$C$7423</f>
        <v>27624.965536954</v>
      </c>
      <c r="I7468" s="54" t="n">
        <f aca="false">I7467*$C$7421+I7463*$C$7422+I7464*$C$7423</f>
        <v>32961.0115531285</v>
      </c>
      <c r="J7468" s="54" t="n">
        <f aca="false">J7467*$C$7421+J7463*$C$7422+J7464*$C$7423</f>
        <v>44008.2796214213</v>
      </c>
      <c r="K7468" s="54" t="n">
        <f aca="false">K7467*$C$7421+K7463*$C$7422+K7464*$C$7423</f>
        <v>56755.0480468683</v>
      </c>
      <c r="L7468" s="54" t="n">
        <f aca="false">L7467*$C$7421+L7463*$C$7422+L7464*$C$7423</f>
        <v>60865.6797731132</v>
      </c>
      <c r="M7468" s="54" t="n">
        <f aca="false">M7467*$C$7421+M7463*$C$7422+M7464*$C$7423</f>
        <v>59805.7577171879</v>
      </c>
      <c r="N7468" s="54" t="n">
        <f aca="false">N7467*$C$7421+N7463*$C$7422+N7464*$C$7423</f>
        <v>58082.8401208108</v>
      </c>
      <c r="P7468" s="55" t="n">
        <f aca="false">SUM(C7468:F7468)</f>
        <v>44288.6659626417</v>
      </c>
      <c r="Q7468" s="55" t="n">
        <f aca="false">SUM(G7468:J7468)</f>
        <v>127472.875832019</v>
      </c>
      <c r="R7468" s="55" t="n">
        <f aca="false">SUM(K7468:N7468)</f>
        <v>235509.32565798</v>
      </c>
      <c r="S7468" s="56" t="n">
        <f aca="false">SUM(P7468:R7468)</f>
        <v>407270.867452641</v>
      </c>
    </row>
    <row r="7469" customFormat="false" ht="15" hidden="false" customHeight="false" outlineLevel="0" collapsed="false">
      <c r="A7469" s="4" t="s">
        <v>523</v>
      </c>
      <c r="B7469" s="36" t="s">
        <v>125</v>
      </c>
      <c r="C7469" s="54" t="n">
        <f aca="false">(C7445+Assumptions!$D$104*C7431)*$C$7426</f>
        <v>306250</v>
      </c>
      <c r="D7469" s="54" t="n">
        <f aca="false">(D7445+Assumptions!$D$104*D7431)*$C$7426</f>
        <v>306250</v>
      </c>
      <c r="E7469" s="54" t="n">
        <f aca="false">(E7445+Assumptions!$D$104*E7431)*$C$7426</f>
        <v>306250</v>
      </c>
      <c r="F7469" s="54" t="n">
        <f aca="false">(F7445+Assumptions!$D$104*F7431)*$C$7426</f>
        <v>306250</v>
      </c>
      <c r="G7469" s="54" t="n">
        <f aca="false">(G7445+Assumptions!$D$104*G7431)*$C$7426</f>
        <v>306250</v>
      </c>
      <c r="H7469" s="54" t="n">
        <f aca="false">(H7445+Assumptions!$D$104*H7431)*$C$7426</f>
        <v>306250</v>
      </c>
      <c r="I7469" s="54" t="n">
        <f aca="false">(I7445+Assumptions!$D$104*I7431)*$C$7426</f>
        <v>306250</v>
      </c>
      <c r="J7469" s="54" t="n">
        <f aca="false">(J7445+Assumptions!$D$104*J7431)*$C$7426</f>
        <v>306250</v>
      </c>
      <c r="K7469" s="54" t="n">
        <f aca="false">(K7445+Assumptions!$D$104*K7431)*$C$7426</f>
        <v>306250</v>
      </c>
      <c r="L7469" s="54" t="n">
        <f aca="false">(L7445+Assumptions!$D$104*L7431)*$C$7426</f>
        <v>306250</v>
      </c>
      <c r="M7469" s="54" t="n">
        <f aca="false">(M7445+Assumptions!$D$104*M7431)*$C$7426</f>
        <v>306250</v>
      </c>
      <c r="N7469" s="54" t="n">
        <f aca="false">(N7445+Assumptions!$D$104*N7431)*$C$7426</f>
        <v>306250</v>
      </c>
      <c r="P7469" s="55" t="n">
        <f aca="false">SUM(C7469:F7469)</f>
        <v>1225000</v>
      </c>
      <c r="Q7469" s="55" t="n">
        <f aca="false">SUM(G7469:J7469)</f>
        <v>1225000</v>
      </c>
      <c r="R7469" s="55" t="n">
        <f aca="false">SUM(K7469:N7469)</f>
        <v>1225000</v>
      </c>
      <c r="S7469" s="56" t="n">
        <f aca="false">SUM(P7469:R7469)</f>
        <v>3675000</v>
      </c>
    </row>
    <row r="7470" customFormat="false" ht="15" hidden="false" customHeight="false" outlineLevel="0" collapsed="false">
      <c r="A7470" s="4" t="s">
        <v>524</v>
      </c>
      <c r="B7470" s="36" t="s">
        <v>77</v>
      </c>
      <c r="C7470" s="51" t="n">
        <f aca="false">IF(C7468&gt;0,MIN(1,C7469/C7468),1)</f>
        <v>1</v>
      </c>
      <c r="D7470" s="51" t="n">
        <f aca="false">IF(D7468&gt;0,MIN(1,D7469/D7468),1)</f>
        <v>1</v>
      </c>
      <c r="E7470" s="51" t="n">
        <f aca="false">IF(E7468&gt;0,MIN(1,E7469/E7468),1)</f>
        <v>1</v>
      </c>
      <c r="F7470" s="51" t="n">
        <f aca="false">IF(F7468&gt;0,MIN(1,F7469/F7468),1)</f>
        <v>1</v>
      </c>
      <c r="G7470" s="51" t="n">
        <f aca="false">IF(G7468&gt;0,MIN(1,G7469/G7468),1)</f>
        <v>1</v>
      </c>
      <c r="H7470" s="51" t="n">
        <f aca="false">IF(H7468&gt;0,MIN(1,H7469/H7468),1)</f>
        <v>1</v>
      </c>
      <c r="I7470" s="51" t="n">
        <f aca="false">IF(I7468&gt;0,MIN(1,I7469/I7468),1)</f>
        <v>1</v>
      </c>
      <c r="J7470" s="51" t="n">
        <f aca="false">IF(J7468&gt;0,MIN(1,J7469/J7468),1)</f>
        <v>1</v>
      </c>
      <c r="K7470" s="51" t="n">
        <f aca="false">IF(K7468&gt;0,MIN(1,K7469/K7468),1)</f>
        <v>1</v>
      </c>
      <c r="L7470" s="51" t="n">
        <f aca="false">IF(L7468&gt;0,MIN(1,L7469/L7468),1)</f>
        <v>1</v>
      </c>
      <c r="M7470" s="51" t="n">
        <f aca="false">IF(M7468&gt;0,MIN(1,M7469/M7468),1)</f>
        <v>1</v>
      </c>
      <c r="N7470" s="51" t="n">
        <f aca="false">IF(N7468&gt;0,MIN(1,N7469/N7468),1)</f>
        <v>1</v>
      </c>
      <c r="P7470" s="52"/>
      <c r="Q7470" s="52"/>
      <c r="R7470" s="52"/>
      <c r="S7470" s="53"/>
    </row>
    <row r="7471" customFormat="false" ht="15" hidden="false" customHeight="false" outlineLevel="0" collapsed="false">
      <c r="A7471" s="4" t="s">
        <v>525</v>
      </c>
      <c r="B7471" s="36" t="s">
        <v>125</v>
      </c>
      <c r="C7471" s="54" t="n">
        <f aca="false">C7468*(1-C7470)</f>
        <v>0</v>
      </c>
      <c r="D7471" s="54" t="n">
        <f aca="false">D7468*(1-D7470)</f>
        <v>0</v>
      </c>
      <c r="E7471" s="54" t="n">
        <f aca="false">E7468*(1-E7470)</f>
        <v>0</v>
      </c>
      <c r="F7471" s="54" t="n">
        <f aca="false">F7468*(1-F7470)</f>
        <v>0</v>
      </c>
      <c r="G7471" s="54" t="n">
        <f aca="false">G7468*(1-G7470)</f>
        <v>0</v>
      </c>
      <c r="H7471" s="54" t="n">
        <f aca="false">H7468*(1-H7470)</f>
        <v>0</v>
      </c>
      <c r="I7471" s="54" t="n">
        <f aca="false">I7468*(1-I7470)</f>
        <v>0</v>
      </c>
      <c r="J7471" s="54" t="n">
        <f aca="false">J7468*(1-J7470)</f>
        <v>0</v>
      </c>
      <c r="K7471" s="54" t="n">
        <f aca="false">K7468*(1-K7470)</f>
        <v>0</v>
      </c>
      <c r="L7471" s="54" t="n">
        <f aca="false">L7468*(1-L7470)</f>
        <v>0</v>
      </c>
      <c r="M7471" s="54" t="n">
        <f aca="false">M7468*(1-M7470)</f>
        <v>0</v>
      </c>
      <c r="N7471" s="54" t="n">
        <f aca="false">N7468*(1-N7470)</f>
        <v>0</v>
      </c>
      <c r="P7471" s="55" t="n">
        <f aca="false">SUM(C7471:F7471)</f>
        <v>0</v>
      </c>
      <c r="Q7471" s="55" t="n">
        <f aca="false">SUM(G7471:J7471)</f>
        <v>0</v>
      </c>
      <c r="R7471" s="55" t="n">
        <f aca="false">SUM(K7471:N7471)</f>
        <v>0</v>
      </c>
      <c r="S7471" s="56" t="n">
        <f aca="false">SUM(P7471:R7471)</f>
        <v>0</v>
      </c>
    </row>
    <row r="7472" customFormat="false" ht="15" hidden="false" customHeight="false" outlineLevel="0" collapsed="false">
      <c r="A7472" s="4" t="s">
        <v>526</v>
      </c>
      <c r="B7472" s="36" t="s">
        <v>527</v>
      </c>
      <c r="C7472" s="48" t="n">
        <f aca="false">C7466+C7467*C7470</f>
        <v>0</v>
      </c>
      <c r="D7472" s="48" t="n">
        <f aca="false">D7466+D7467*D7470</f>
        <v>0.866376445183821</v>
      </c>
      <c r="E7472" s="48" t="n">
        <f aca="false">E7466+E7467*E7470</f>
        <v>1.4850370503084</v>
      </c>
      <c r="F7472" s="48" t="n">
        <f aca="false">F7466+F7467*F7470</f>
        <v>1.63860741134595</v>
      </c>
      <c r="G7472" s="48" t="n">
        <f aca="false">G7466+G7467*G7470</f>
        <v>1.79532697390301</v>
      </c>
      <c r="H7472" s="48" t="n">
        <f aca="false">H7466+H7467*H7470</f>
        <v>2.31019678172994</v>
      </c>
      <c r="I7472" s="48" t="n">
        <f aca="false">I7466+I7467*I7470</f>
        <v>2.79111066507864</v>
      </c>
      <c r="J7472" s="48" t="n">
        <f aca="false">J7466+J7467*J7470</f>
        <v>4.1306930875438</v>
      </c>
      <c r="K7472" s="48" t="n">
        <f aca="false">K7466+K7467*K7470</f>
        <v>5.34315863355258</v>
      </c>
      <c r="L7472" s="48" t="n">
        <f aca="false">L7466+L7467*L7470</f>
        <v>5.38112462159553</v>
      </c>
      <c r="M7472" s="48" t="n">
        <f aca="false">M7466+M7467*M7470</f>
        <v>5.22179362206104</v>
      </c>
      <c r="N7472" s="48" t="n">
        <f aca="false">N7466+N7467*N7470</f>
        <v>5.07351941968866</v>
      </c>
      <c r="P7472" s="49" t="n">
        <f aca="false">SUM(C7472:F7472)</f>
        <v>3.99002090683817</v>
      </c>
      <c r="Q7472" s="49" t="n">
        <f aca="false">SUM(G7472:J7472)</f>
        <v>11.0273275082554</v>
      </c>
      <c r="R7472" s="49" t="n">
        <f aca="false">SUM(K7472:N7472)</f>
        <v>21.0195962968978</v>
      </c>
      <c r="S7472" s="50" t="n">
        <f aca="false">SUM(P7472:R7472)</f>
        <v>36.0369447119914</v>
      </c>
    </row>
    <row r="7473" customFormat="false" ht="15" hidden="false" customHeight="false" outlineLevel="0" collapsed="false">
      <c r="A7473" s="4" t="s">
        <v>528</v>
      </c>
      <c r="B7473" s="36" t="s">
        <v>527</v>
      </c>
      <c r="C7473" s="48" t="n">
        <f aca="false">C7463*C7470</f>
        <v>0</v>
      </c>
      <c r="D7473" s="48" t="n">
        <f aca="false">D7463*D7470</f>
        <v>0.434084974267145</v>
      </c>
      <c r="E7473" s="48" t="n">
        <f aca="false">E7463*E7470</f>
        <v>0.744055627726705</v>
      </c>
      <c r="F7473" s="48" t="n">
        <f aca="false">F7463*F7470</f>
        <v>0.820999762796119</v>
      </c>
      <c r="G7473" s="48" t="n">
        <f aca="false">G7463*G7470</f>
        <v>0.89952175823807</v>
      </c>
      <c r="H7473" s="48" t="n">
        <f aca="false">H7463*H7470</f>
        <v>1.13465516292283</v>
      </c>
      <c r="I7473" s="48" t="n">
        <f aca="false">I7463*I7470</f>
        <v>1.35487856174628</v>
      </c>
      <c r="J7473" s="48" t="n">
        <f aca="false">J7463*J7470</f>
        <v>1.88601088123353</v>
      </c>
      <c r="K7473" s="48" t="n">
        <f aca="false">K7463*K7470</f>
        <v>2.37581157552964</v>
      </c>
      <c r="L7473" s="48" t="n">
        <f aca="false">L7463*L7470</f>
        <v>2.3926929822134</v>
      </c>
      <c r="M7473" s="48" t="n">
        <f aca="false">M7463*M7470</f>
        <v>2.32184716628391</v>
      </c>
      <c r="N7473" s="48" t="n">
        <f aca="false">N7463*N7470</f>
        <v>2.25591770573287</v>
      </c>
      <c r="P7473" s="49" t="n">
        <f aca="false">SUM(C7473:F7473)</f>
        <v>1.99914036478997</v>
      </c>
      <c r="Q7473" s="49" t="n">
        <f aca="false">SUM(G7473:J7473)</f>
        <v>5.27506636414072</v>
      </c>
      <c r="R7473" s="49" t="n">
        <f aca="false">SUM(K7473:N7473)</f>
        <v>9.34626942975982</v>
      </c>
      <c r="S7473" s="50" t="n">
        <f aca="false">SUM(P7473:R7473)</f>
        <v>16.6204761586905</v>
      </c>
    </row>
    <row r="7474" customFormat="false" ht="15" hidden="false" customHeight="false" outlineLevel="0" collapsed="false">
      <c r="A7474" s="4" t="s">
        <v>529</v>
      </c>
      <c r="B7474" s="36" t="s">
        <v>527</v>
      </c>
      <c r="C7474" s="48" t="n">
        <f aca="false">C7464*C7470</f>
        <v>0</v>
      </c>
      <c r="D7474" s="48" t="n">
        <f aca="false">D7464*D7470</f>
        <v>0</v>
      </c>
      <c r="E7474" s="48" t="n">
        <f aca="false">E7464*E7470</f>
        <v>0.071275680959914</v>
      </c>
      <c r="F7474" s="48" t="n">
        <f aca="false">F7464*F7470</f>
        <v>0.122172096898336</v>
      </c>
      <c r="G7474" s="48" t="n">
        <f aca="false">G7464*G7470</f>
        <v>0.134806133891215</v>
      </c>
      <c r="H7474" s="48" t="n">
        <f aca="false">H7464*H7470</f>
        <v>0.147699251661313</v>
      </c>
      <c r="I7474" s="48" t="n">
        <f aca="false">I7464*I7470</f>
        <v>0.174259973058587</v>
      </c>
      <c r="J7474" s="48" t="n">
        <f aca="false">J7464*J7470</f>
        <v>0.19948212034567</v>
      </c>
      <c r="K7474" s="48" t="n">
        <f aca="false">K7464*K7470</f>
        <v>0.265355665717199</v>
      </c>
      <c r="L7474" s="48" t="n">
        <f aca="false">L7464*L7470</f>
        <v>0.327251866823927</v>
      </c>
      <c r="M7474" s="48" t="n">
        <f aca="false">M7464*M7470</f>
        <v>0.329577165643402</v>
      </c>
      <c r="N7474" s="48" t="n">
        <f aca="false">N7464*N7470</f>
        <v>0.319818636912259</v>
      </c>
      <c r="P7474" s="49" t="n">
        <f aca="false">SUM(C7474:F7474)</f>
        <v>0.19344777785825</v>
      </c>
      <c r="Q7474" s="49" t="n">
        <f aca="false">SUM(G7474:J7474)</f>
        <v>0.656247478956785</v>
      </c>
      <c r="R7474" s="49" t="n">
        <f aca="false">SUM(K7474:N7474)</f>
        <v>1.24200333509679</v>
      </c>
      <c r="S7474" s="50" t="n">
        <f aca="false">SUM(P7474:R7474)</f>
        <v>2.09169859191182</v>
      </c>
    </row>
    <row r="7475" customFormat="false" ht="15" hidden="false" customHeight="false" outlineLevel="0" collapsed="false">
      <c r="A7475" s="9" t="s">
        <v>530</v>
      </c>
      <c r="B7475" s="36" t="s">
        <v>527</v>
      </c>
      <c r="C7475" s="49" t="n">
        <f aca="false">C7472+C7473+C7474</f>
        <v>0</v>
      </c>
      <c r="D7475" s="49" t="n">
        <f aca="false">D7472+D7473+D7474</f>
        <v>1.30046141945097</v>
      </c>
      <c r="E7475" s="49" t="n">
        <f aca="false">E7472+E7473+E7474</f>
        <v>2.30036835899502</v>
      </c>
      <c r="F7475" s="49" t="n">
        <f aca="false">F7472+F7473+F7474</f>
        <v>2.58177927104041</v>
      </c>
      <c r="G7475" s="49" t="n">
        <f aca="false">G7472+G7473+G7474</f>
        <v>2.82965486603229</v>
      </c>
      <c r="H7475" s="49" t="n">
        <f aca="false">H7472+H7473+H7474</f>
        <v>3.59255119631409</v>
      </c>
      <c r="I7475" s="49" t="n">
        <f aca="false">I7472+I7473+I7474</f>
        <v>4.32024919988351</v>
      </c>
      <c r="J7475" s="49" t="n">
        <f aca="false">J7472+J7473+J7474</f>
        <v>6.216186089123</v>
      </c>
      <c r="K7475" s="49" t="n">
        <f aca="false">K7472+K7473+K7474</f>
        <v>7.98432587479941</v>
      </c>
      <c r="L7475" s="49" t="n">
        <f aca="false">L7472+L7473+L7474</f>
        <v>8.10106947063286</v>
      </c>
      <c r="M7475" s="49" t="n">
        <f aca="false">M7472+M7473+M7474</f>
        <v>7.87321795398836</v>
      </c>
      <c r="N7475" s="49" t="n">
        <f aca="false">N7472+N7473+N7474</f>
        <v>7.64925576233379</v>
      </c>
      <c r="P7475" s="49" t="n">
        <f aca="false">SUM(C7475:F7475)</f>
        <v>6.18260904948639</v>
      </c>
      <c r="Q7475" s="49" t="n">
        <f aca="false">SUM(G7475:J7475)</f>
        <v>16.9586413513529</v>
      </c>
      <c r="R7475" s="49" t="n">
        <f aca="false">SUM(K7475:N7475)</f>
        <v>31.6078690617544</v>
      </c>
      <c r="S7475" s="50" t="n">
        <f aca="false">SUM(P7475:R7475)</f>
        <v>54.7491194625937</v>
      </c>
    </row>
    <row r="7476" customFormat="false" ht="15" hidden="false" customHeight="false" outlineLevel="0" collapsed="false">
      <c r="A7476" s="35" t="s">
        <v>533</v>
      </c>
      <c r="B7476" s="35" t="s">
        <v>444</v>
      </c>
      <c r="C7476" s="6" t="s">
        <v>354</v>
      </c>
      <c r="D7476" s="6" t="s">
        <v>355</v>
      </c>
      <c r="E7476" s="6" t="s">
        <v>356</v>
      </c>
      <c r="F7476" s="6" t="s">
        <v>357</v>
      </c>
      <c r="G7476" s="6" t="s">
        <v>358</v>
      </c>
      <c r="H7476" s="6" t="s">
        <v>359</v>
      </c>
      <c r="I7476" s="6" t="s">
        <v>360</v>
      </c>
      <c r="J7476" s="6" t="s">
        <v>361</v>
      </c>
      <c r="K7476" s="6" t="s">
        <v>362</v>
      </c>
      <c r="L7476" s="6" t="s">
        <v>363</v>
      </c>
      <c r="M7476" s="6" t="s">
        <v>364</v>
      </c>
      <c r="N7476" s="6" t="s">
        <v>365</v>
      </c>
      <c r="P7476" s="6" t="s">
        <v>445</v>
      </c>
      <c r="Q7476" s="6" t="s">
        <v>446</v>
      </c>
      <c r="R7476" s="6" t="s">
        <v>447</v>
      </c>
      <c r="S7476" s="6" t="s">
        <v>448</v>
      </c>
    </row>
    <row r="7477" customFormat="false" ht="15" hidden="false" customHeight="false" outlineLevel="0" collapsed="false">
      <c r="A7477" s="4" t="s">
        <v>534</v>
      </c>
      <c r="B7477" s="36" t="s">
        <v>527</v>
      </c>
      <c r="C7477" s="48" t="n">
        <f aca="false">0*Assumptions!$E$59^(1/4)+C7472</f>
        <v>0</v>
      </c>
      <c r="D7477" s="48" t="n">
        <f aca="false">C7477*Assumptions!$E$59^(1/4)+D7472</f>
        <v>0.866376445183821</v>
      </c>
      <c r="E7477" s="48" t="n">
        <f aca="false">D7477*Assumptions!$E$59^(1/4)+E7472</f>
        <v>2.32416329488403</v>
      </c>
      <c r="F7477" s="48" t="n">
        <f aca="false">E7477*Assumptions!$E$59^(1/4)+F7472</f>
        <v>3.88966863104794</v>
      </c>
      <c r="G7477" s="48" t="n">
        <f aca="false">F7477*Assumptions!$E$59^(1/4)+G7472</f>
        <v>5.56265357789716</v>
      </c>
      <c r="H7477" s="48" t="n">
        <f aca="false">G7477*Assumptions!$E$59^(1/4)+H7472</f>
        <v>7.69788781678072</v>
      </c>
      <c r="I7477" s="48" t="n">
        <f aca="false">H7477*Assumptions!$E$59^(1/4)+I7472</f>
        <v>10.2468762630101</v>
      </c>
      <c r="J7477" s="48" t="n">
        <f aca="false">I7477*Assumptions!$E$59^(1/4)+J7472</f>
        <v>14.0552736148763</v>
      </c>
      <c r="K7477" s="48" t="n">
        <f aca="false">J7477*Assumptions!$E$59^(1/4)+K7472</f>
        <v>18.9563507170835</v>
      </c>
      <c r="L7477" s="48" t="n">
        <f aca="false">K7477*Assumptions!$E$59^(1/4)+L7472</f>
        <v>23.7412398769334</v>
      </c>
      <c r="M7477" s="48" t="n">
        <f aca="false">L7477*Assumptions!$E$59^(1/4)+M7472</f>
        <v>28.2162985745513</v>
      </c>
      <c r="N7477" s="48" t="n">
        <f aca="false">M7477*Assumptions!$E$59^(1/4)+N7472</f>
        <v>32.4023287268997</v>
      </c>
      <c r="P7477" s="49" t="n">
        <f aca="false">F7477</f>
        <v>3.88966863104794</v>
      </c>
      <c r="Q7477" s="49" t="n">
        <f aca="false">J7477</f>
        <v>14.0552736148763</v>
      </c>
      <c r="R7477" s="49" t="n">
        <f aca="false">N7477</f>
        <v>32.4023287268997</v>
      </c>
      <c r="S7477" s="50" t="n">
        <f aca="false">R7477</f>
        <v>32.4023287268997</v>
      </c>
    </row>
    <row r="7478" customFormat="false" ht="15" hidden="false" customHeight="false" outlineLevel="0" collapsed="false">
      <c r="A7478" s="4" t="s">
        <v>535</v>
      </c>
      <c r="B7478" s="36" t="s">
        <v>527</v>
      </c>
      <c r="C7478" s="48" t="n">
        <f aca="false">0*Assumptions!$E$60^(1/4)+C7473</f>
        <v>0</v>
      </c>
      <c r="D7478" s="48" t="n">
        <f aca="false">C7478*Assumptions!$E$60^(1/4)+D7473</f>
        <v>0.434084974267145</v>
      </c>
      <c r="E7478" s="48" t="n">
        <f aca="false">D7478*Assumptions!$E$60^(1/4)+E7473</f>
        <v>1.16685601892983</v>
      </c>
      <c r="F7478" s="48" t="n">
        <f aca="false">E7478*Assumptions!$E$60^(1/4)+F7473</f>
        <v>1.95752189677268</v>
      </c>
      <c r="G7478" s="48" t="n">
        <f aca="false">F7478*Assumptions!$E$60^(1/4)+G7473</f>
        <v>2.80615541940422</v>
      </c>
      <c r="H7478" s="48" t="n">
        <f aca="false">G7478*Assumptions!$E$60^(1/4)+H7473</f>
        <v>3.86786105447419</v>
      </c>
      <c r="I7478" s="48" t="n">
        <f aca="false">H7478*Assumptions!$E$60^(1/4)+I7473</f>
        <v>5.12218971945664</v>
      </c>
      <c r="J7478" s="48" t="n">
        <f aca="false">I7478*Assumptions!$E$60^(1/4)+J7473</f>
        <v>6.87504285788544</v>
      </c>
      <c r="K7478" s="48" t="n">
        <f aca="false">J7478*Assumptions!$E$60^(1/4)+K7473</f>
        <v>9.07212907594454</v>
      </c>
      <c r="L7478" s="48" t="n">
        <f aca="false">K7478*Assumptions!$E$60^(1/4)+L7473</f>
        <v>11.2289806902372</v>
      </c>
      <c r="M7478" s="48" t="n">
        <f aca="false">L7478*Assumptions!$E$60^(1/4)+M7473</f>
        <v>13.2589164271123</v>
      </c>
      <c r="N7478" s="48" t="n">
        <f aca="false">M7478*Assumptions!$E$60^(1/4)+N7473</f>
        <v>15.1701519792802</v>
      </c>
      <c r="P7478" s="49" t="n">
        <f aca="false">F7478</f>
        <v>1.95752189677268</v>
      </c>
      <c r="Q7478" s="49" t="n">
        <f aca="false">J7478</f>
        <v>6.87504285788544</v>
      </c>
      <c r="R7478" s="49" t="n">
        <f aca="false">N7478</f>
        <v>15.1701519792802</v>
      </c>
      <c r="S7478" s="50" t="n">
        <f aca="false">R7478</f>
        <v>15.1701519792802</v>
      </c>
    </row>
    <row r="7479" customFormat="false" ht="15" hidden="false" customHeight="false" outlineLevel="0" collapsed="false">
      <c r="A7479" s="4" t="s">
        <v>536</v>
      </c>
      <c r="B7479" s="36" t="s">
        <v>527</v>
      </c>
      <c r="C7479" s="48" t="n">
        <f aca="false">0*Assumptions!$E$61^(1/4)+C7474</f>
        <v>0</v>
      </c>
      <c r="D7479" s="48" t="n">
        <f aca="false">C7479*Assumptions!$E$61^(1/4)+D7474</f>
        <v>0</v>
      </c>
      <c r="E7479" s="48" t="n">
        <f aca="false">D7479*Assumptions!$E$61^(1/4)+E7474</f>
        <v>0.071275680959914</v>
      </c>
      <c r="F7479" s="48" t="n">
        <f aca="false">E7479*Assumptions!$E$61^(1/4)+F7474</f>
        <v>0.191977386314485</v>
      </c>
      <c r="G7479" s="48" t="n">
        <f aca="false">F7479*Assumptions!$E$61^(1/4)+G7474</f>
        <v>0.322823096094288</v>
      </c>
      <c r="H7479" s="48" t="n">
        <f aca="false">G7479*Assumptions!$E$61^(1/4)+H7474</f>
        <v>0.463862623930639</v>
      </c>
      <c r="I7479" s="48" t="n">
        <f aca="false">H7479*Assumptions!$E$61^(1/4)+I7474</f>
        <v>0.628553278667598</v>
      </c>
      <c r="J7479" s="48" t="n">
        <f aca="false">I7479*Assumptions!$E$61^(1/4)+J7474</f>
        <v>0.815068571993006</v>
      </c>
      <c r="K7479" s="48" t="n">
        <f aca="false">J7479*Assumptions!$E$61^(1/4)+K7474</f>
        <v>1.06360966758325</v>
      </c>
      <c r="L7479" s="48" t="n">
        <f aca="false">K7479*Assumptions!$E$61^(1/4)+L7474</f>
        <v>1.36891965128493</v>
      </c>
      <c r="M7479" s="48" t="n">
        <f aca="false">L7479*Assumptions!$E$61^(1/4)+M7474</f>
        <v>1.67025649916167</v>
      </c>
      <c r="N7479" s="48" t="n">
        <f aca="false">M7479*Assumptions!$E$61^(1/4)+N7474</f>
        <v>1.95561834801929</v>
      </c>
      <c r="P7479" s="49" t="n">
        <f aca="false">F7479</f>
        <v>0.191977386314485</v>
      </c>
      <c r="Q7479" s="49" t="n">
        <f aca="false">J7479</f>
        <v>0.815068571993006</v>
      </c>
      <c r="R7479" s="49" t="n">
        <f aca="false">N7479</f>
        <v>1.95561834801929</v>
      </c>
      <c r="S7479" s="50" t="n">
        <f aca="false">R7479</f>
        <v>1.95561834801929</v>
      </c>
    </row>
    <row r="7480" customFormat="false" ht="15" hidden="false" customHeight="false" outlineLevel="0" collapsed="false">
      <c r="A7480" s="9" t="s">
        <v>537</v>
      </c>
      <c r="B7480" s="36" t="s">
        <v>527</v>
      </c>
      <c r="C7480" s="49" t="n">
        <f aca="false">C7477+C7478+C7479</f>
        <v>0</v>
      </c>
      <c r="D7480" s="49" t="n">
        <f aca="false">D7477+D7478+D7479</f>
        <v>1.30046141945097</v>
      </c>
      <c r="E7480" s="49" t="n">
        <f aca="false">E7477+E7478+E7479</f>
        <v>3.56229499477378</v>
      </c>
      <c r="F7480" s="49" t="n">
        <f aca="false">F7477+F7478+F7479</f>
        <v>6.0391679141351</v>
      </c>
      <c r="G7480" s="49" t="n">
        <f aca="false">G7477+G7478+G7479</f>
        <v>8.69163209339566</v>
      </c>
      <c r="H7480" s="49" t="n">
        <f aca="false">H7477+H7478+H7479</f>
        <v>12.0296114951856</v>
      </c>
      <c r="I7480" s="49" t="n">
        <f aca="false">I7477+I7478+I7479</f>
        <v>15.9976192611344</v>
      </c>
      <c r="J7480" s="49" t="n">
        <f aca="false">J7477+J7478+J7479</f>
        <v>21.7453850447547</v>
      </c>
      <c r="K7480" s="49" t="n">
        <f aca="false">K7477+K7478+K7479</f>
        <v>29.0920894606113</v>
      </c>
      <c r="L7480" s="49" t="n">
        <f aca="false">L7477+L7478+L7479</f>
        <v>36.3391402184556</v>
      </c>
      <c r="M7480" s="49" t="n">
        <f aca="false">M7477+M7478+M7479</f>
        <v>43.1454715008253</v>
      </c>
      <c r="N7480" s="49" t="n">
        <f aca="false">N7477+N7478+N7479</f>
        <v>49.5280990541991</v>
      </c>
      <c r="P7480" s="49" t="n">
        <f aca="false">F7480</f>
        <v>6.0391679141351</v>
      </c>
      <c r="Q7480" s="49" t="n">
        <f aca="false">J7480</f>
        <v>21.7453850447547</v>
      </c>
      <c r="R7480" s="49" t="n">
        <f aca="false">N7480</f>
        <v>49.5280990541991</v>
      </c>
      <c r="S7480" s="50" t="n">
        <f aca="false">R7480</f>
        <v>49.5280990541991</v>
      </c>
    </row>
    <row r="7481" customFormat="false" ht="15" hidden="false" customHeight="false" outlineLevel="0" collapsed="false">
      <c r="A7481" s="4" t="s">
        <v>538</v>
      </c>
      <c r="B7481" s="36" t="s">
        <v>125</v>
      </c>
      <c r="C7481" s="54" t="n">
        <f aca="false">0*Assumptions!$E$62^(1/4)+C7472*$C$7421</f>
        <v>0</v>
      </c>
      <c r="D7481" s="54" t="n">
        <f aca="false">C7481*Assumptions!$E$62^(1/4)+D7472*$C$7421</f>
        <v>4636.84673462381</v>
      </c>
      <c r="E7481" s="54" t="n">
        <f aca="false">D7481*Assumptions!$E$62^(1/4)+E7472*$C$7421</f>
        <v>12584.7650278744</v>
      </c>
      <c r="F7481" s="54" t="n">
        <f aca="false">E7481*Assumptions!$E$62^(1/4)+F7472*$C$7421</f>
        <v>21354.5918933979</v>
      </c>
      <c r="G7481" s="54" t="n">
        <f aca="false">F7481*Assumptions!$E$62^(1/4)+G7472*$C$7421</f>
        <v>30963.1818577268</v>
      </c>
      <c r="H7481" s="54" t="n">
        <f aca="false">G7481*Assumptions!$E$62^(1/4)+H7472*$C$7421</f>
        <v>43327.3550335454</v>
      </c>
      <c r="I7481" s="54" t="n">
        <f aca="false">H7481*Assumptions!$E$62^(1/4)+I7472*$C$7421</f>
        <v>58265.3793130463</v>
      </c>
      <c r="J7481" s="54" t="n">
        <f aca="false">I7481*Assumptions!$E$62^(1/4)+J7472*$C$7421</f>
        <v>80372.8487175808</v>
      </c>
      <c r="K7481" s="54" t="n">
        <f aca="false">J7481*Assumptions!$E$62^(1/4)+K7472*$C$7421</f>
        <v>108969.433724354</v>
      </c>
      <c r="L7481" s="54" t="n">
        <f aca="false">K7481*Assumptions!$E$62^(1/4)+L7472*$C$7421</f>
        <v>137769.212699133</v>
      </c>
      <c r="M7481" s="54" t="n">
        <f aca="false">L7481*Assumptions!$E$62^(1/4)+M7472*$C$7421</f>
        <v>165716.252164404</v>
      </c>
      <c r="N7481" s="54" t="n">
        <f aca="false">M7481*Assumptions!$E$62^(1/4)+N7472*$C$7421</f>
        <v>192869.728098578</v>
      </c>
      <c r="P7481" s="55" t="n">
        <f aca="false">F7481</f>
        <v>21354.5918933979</v>
      </c>
      <c r="Q7481" s="55" t="n">
        <f aca="false">J7481</f>
        <v>80372.8487175808</v>
      </c>
      <c r="R7481" s="55" t="n">
        <f aca="false">N7481</f>
        <v>192869.728098578</v>
      </c>
      <c r="S7481" s="56" t="n">
        <f aca="false">R7481</f>
        <v>192869.728098578</v>
      </c>
    </row>
    <row r="7482" customFormat="false" ht="15" hidden="false" customHeight="false" outlineLevel="0" collapsed="false">
      <c r="A7482" s="4" t="s">
        <v>539</v>
      </c>
      <c r="B7482" s="36" t="s">
        <v>125</v>
      </c>
      <c r="C7482" s="54" t="n">
        <f aca="false">0*Assumptions!$E$63^(1/4)+C7473*$C$7422</f>
        <v>0</v>
      </c>
      <c r="D7482" s="54" t="n">
        <f aca="false">C7482*Assumptions!$E$63^(1/4)+D7473*$C$7422</f>
        <v>4239.58645576376</v>
      </c>
      <c r="E7482" s="54" t="n">
        <f aca="false">D7482*Assumptions!$E$63^(1/4)+E7473*$C$7422</f>
        <v>11568.780571464</v>
      </c>
      <c r="F7482" s="54" t="n">
        <f aca="false">E7482*Assumptions!$E$63^(1/4)+F7473*$C$7422</f>
        <v>19757.0139869302</v>
      </c>
      <c r="G7482" s="54" t="n">
        <f aca="false">F7482*Assumptions!$E$63^(1/4)+G7473*$C$7422</f>
        <v>28832.3026333607</v>
      </c>
      <c r="H7482" s="54" t="n">
        <f aca="false">G7482*Assumptions!$E$63^(1/4)+H7473*$C$7422</f>
        <v>40337.2428258018</v>
      </c>
      <c r="I7482" s="54" t="n">
        <f aca="false">H7482*Assumptions!$E$63^(1/4)+I7473*$C$7422</f>
        <v>54161.8650429175</v>
      </c>
      <c r="J7482" s="54" t="n">
        <f aca="false">I7482*Assumptions!$E$63^(1/4)+J7473*$C$7422</f>
        <v>73376.768355554</v>
      </c>
      <c r="K7482" s="54" t="n">
        <f aca="false">J7482*Assumptions!$E$63^(1/4)+K7473*$C$7422</f>
        <v>97657.3745036042</v>
      </c>
      <c r="L7482" s="54" t="n">
        <f aca="false">K7482*Assumptions!$E$63^(1/4)+L7473*$C$7422</f>
        <v>122459.146505613</v>
      </c>
      <c r="M7482" s="54" t="n">
        <f aca="false">L7482*Assumptions!$E$63^(1/4)+M7473*$C$7422</f>
        <v>146932.924638212</v>
      </c>
      <c r="N7482" s="54" t="n">
        <f aca="false">M7482*Assumptions!$E$63^(1/4)+N7473*$C$7422</f>
        <v>171121.912636854</v>
      </c>
      <c r="P7482" s="55" t="n">
        <f aca="false">F7482</f>
        <v>19757.0139869302</v>
      </c>
      <c r="Q7482" s="55" t="n">
        <f aca="false">J7482</f>
        <v>73376.768355554</v>
      </c>
      <c r="R7482" s="55" t="n">
        <f aca="false">N7482</f>
        <v>171121.912636854</v>
      </c>
      <c r="S7482" s="56" t="n">
        <f aca="false">R7482</f>
        <v>171121.912636854</v>
      </c>
    </row>
    <row r="7483" customFormat="false" ht="15" hidden="false" customHeight="false" outlineLevel="0" collapsed="false">
      <c r="A7483" s="4" t="s">
        <v>540</v>
      </c>
      <c r="B7483" s="36" t="s">
        <v>125</v>
      </c>
      <c r="C7483" s="54" t="n">
        <f aca="false">0*Assumptions!$E$64^(1/4)+C7474*$C$7423</f>
        <v>0</v>
      </c>
      <c r="D7483" s="54" t="n">
        <f aca="false">C7483*Assumptions!$E$64^(1/4)+D7474*$C$7423</f>
        <v>0</v>
      </c>
      <c r="E7483" s="54" t="n">
        <f aca="false">D7483*Assumptions!$E$64^(1/4)+E7474*$C$7423</f>
        <v>4403.28728055653</v>
      </c>
      <c r="F7483" s="54" t="n">
        <f aca="false">E7483*Assumptions!$E$64^(1/4)+F7474*$C$7423</f>
        <v>12107.4388108841</v>
      </c>
      <c r="G7483" s="54" t="n">
        <f aca="false">F7483*Assumptions!$E$64^(1/4)+G7474*$C$7423</f>
        <v>20866.0439239064</v>
      </c>
      <c r="H7483" s="54" t="n">
        <f aca="false">G7483*Assumptions!$E$64^(1/4)+H7474*$C$7423</f>
        <v>30732.6025192522</v>
      </c>
      <c r="I7483" s="54" t="n">
        <f aca="false">H7483*Assumptions!$E$64^(1/4)+I7474*$C$7423</f>
        <v>42590.8720102144</v>
      </c>
      <c r="J7483" s="54" t="n">
        <f aca="false">I7483*Assumptions!$E$64^(1/4)+J7474*$C$7423</f>
        <v>56428.9790305215</v>
      </c>
      <c r="K7483" s="54" t="n">
        <f aca="false">J7483*Assumptions!$E$64^(1/4)+K7474*$C$7423</f>
        <v>74828.6952807254</v>
      </c>
      <c r="L7483" s="54" t="n">
        <f aca="false">K7483*Assumptions!$E$64^(1/4)+L7474*$C$7423</f>
        <v>97706.5094169996</v>
      </c>
      <c r="M7483" s="54" t="n">
        <f aca="false">L7483*Assumptions!$E$64^(1/4)+M7474*$C$7423</f>
        <v>121541.467521117</v>
      </c>
      <c r="N7483" s="54" t="n">
        <f aca="false">M7483*Assumptions!$E$64^(1/4)+N7474*$C$7423</f>
        <v>145621.085996823</v>
      </c>
      <c r="P7483" s="55" t="n">
        <f aca="false">F7483</f>
        <v>12107.4388108841</v>
      </c>
      <c r="Q7483" s="55" t="n">
        <f aca="false">J7483</f>
        <v>56428.9790305215</v>
      </c>
      <c r="R7483" s="55" t="n">
        <f aca="false">N7483</f>
        <v>145621.085996823</v>
      </c>
      <c r="S7483" s="56" t="n">
        <f aca="false">R7483</f>
        <v>145621.085996823</v>
      </c>
    </row>
    <row r="7484" customFormat="false" ht="15" hidden="false" customHeight="false" outlineLevel="0" collapsed="false">
      <c r="A7484" s="9" t="s">
        <v>541</v>
      </c>
      <c r="B7484" s="36" t="s">
        <v>125</v>
      </c>
      <c r="C7484" s="55" t="n">
        <f aca="false">C7481+C7482+C7483</f>
        <v>0</v>
      </c>
      <c r="D7484" s="55" t="n">
        <f aca="false">D7481+D7482+D7483</f>
        <v>8876.43319038757</v>
      </c>
      <c r="E7484" s="55" t="n">
        <f aca="false">E7481+E7482+E7483</f>
        <v>28556.8328798949</v>
      </c>
      <c r="F7484" s="55" t="n">
        <f aca="false">F7481+F7482+F7483</f>
        <v>53219.0446912122</v>
      </c>
      <c r="G7484" s="55" t="n">
        <f aca="false">G7481+G7482+G7483</f>
        <v>80661.5284149939</v>
      </c>
      <c r="H7484" s="55" t="n">
        <f aca="false">H7481+H7482+H7483</f>
        <v>114397.200378599</v>
      </c>
      <c r="I7484" s="55" t="n">
        <f aca="false">I7481+I7482+I7483</f>
        <v>155018.116366178</v>
      </c>
      <c r="J7484" s="55" t="n">
        <f aca="false">J7481+J7482+J7483</f>
        <v>210178.596103656</v>
      </c>
      <c r="K7484" s="55" t="n">
        <f aca="false">K7481+K7482+K7483</f>
        <v>281455.503508684</v>
      </c>
      <c r="L7484" s="55" t="n">
        <f aca="false">L7481+L7482+L7483</f>
        <v>357934.868621746</v>
      </c>
      <c r="M7484" s="55" t="n">
        <f aca="false">M7481+M7482+M7483</f>
        <v>434190.644323734</v>
      </c>
      <c r="N7484" s="55" t="n">
        <f aca="false">N7481+N7482+N7483</f>
        <v>509612.726732255</v>
      </c>
      <c r="P7484" s="55" t="n">
        <f aca="false">F7484</f>
        <v>53219.0446912122</v>
      </c>
      <c r="Q7484" s="55" t="n">
        <f aca="false">J7484</f>
        <v>210178.596103656</v>
      </c>
      <c r="R7484" s="55" t="n">
        <f aca="false">N7484</f>
        <v>509612.726732255</v>
      </c>
      <c r="S7484" s="56" t="n">
        <f aca="false">R7484</f>
        <v>509612.726732255</v>
      </c>
    </row>
    <row r="7485" customFormat="false" ht="15" hidden="false" customHeight="false" outlineLevel="0" collapsed="false">
      <c r="A7485" s="4" t="s">
        <v>542</v>
      </c>
      <c r="B7485" s="36" t="s">
        <v>125</v>
      </c>
      <c r="C7485" s="54" t="n">
        <f aca="false">C7472*$C$7421+C7473*$C$7422+C7474*$C$7423</f>
        <v>0</v>
      </c>
      <c r="D7485" s="54" t="n">
        <f aca="false">D7472*$C$7421+D7473*$C$7422+D7474*$C$7423</f>
        <v>8876.43319038757</v>
      </c>
      <c r="E7485" s="54" t="n">
        <f aca="false">E7472*$C$7421+E7473*$C$7422+E7474*$C$7423</f>
        <v>19618.1886500368</v>
      </c>
      <c r="F7485" s="54" t="n">
        <f aca="false">F7472*$C$7421+F7473*$C$7422+F7474*$C$7423</f>
        <v>24335.8808795765</v>
      </c>
      <c r="G7485" s="54" t="n">
        <f aca="false">G7472*$C$7421+G7473*$C$7422+G7474*$C$7423</f>
        <v>26722.0551062465</v>
      </c>
      <c r="H7485" s="54" t="n">
        <f aca="false">H7472*$C$7421+H7473*$C$7422+H7474*$C$7423</f>
        <v>32570.6348072815</v>
      </c>
      <c r="I7485" s="54" t="n">
        <f aca="false">I7472*$C$7421+I7473*$C$7422+I7474*$C$7423</f>
        <v>38936.2212649288</v>
      </c>
      <c r="J7485" s="54" t="n">
        <f aca="false">J7472*$C$7421+J7473*$C$7422+J7474*$C$7423</f>
        <v>52851.2673832351</v>
      </c>
      <c r="K7485" s="54" t="n">
        <f aca="false">K7472*$C$7421+K7473*$C$7422+K7474*$C$7423</f>
        <v>68193.6820495777</v>
      </c>
      <c r="L7485" s="54" t="n">
        <f aca="false">L7472*$C$7421+L7473*$C$7422+L7474*$C$7423</f>
        <v>72385.5913630249</v>
      </c>
      <c r="M7485" s="54" t="n">
        <f aca="false">M7472*$C$7421+M7473*$C$7422+M7474*$C$7423</f>
        <v>70984.5735032962</v>
      </c>
      <c r="N7485" s="54" t="n">
        <f aca="false">N7472*$C$7421+N7473*$C$7422+N7474*$C$7423</f>
        <v>68944.2304944803</v>
      </c>
      <c r="P7485" s="55" t="n">
        <f aca="false">SUM(C7485:F7485)</f>
        <v>52830.5027200009</v>
      </c>
      <c r="Q7485" s="55" t="n">
        <f aca="false">SUM(G7485:J7485)</f>
        <v>151080.178561692</v>
      </c>
      <c r="R7485" s="55" t="n">
        <f aca="false">SUM(K7485:N7485)</f>
        <v>280508.077410379</v>
      </c>
      <c r="S7485" s="56" t="n">
        <f aca="false">SUM(P7485:R7485)</f>
        <v>484418.758692072</v>
      </c>
    </row>
    <row r="7486" customFormat="false" ht="15" hidden="false" customHeight="false" outlineLevel="0" collapsed="false">
      <c r="A7486" s="9" t="s">
        <v>543</v>
      </c>
      <c r="B7486" s="36" t="s">
        <v>125</v>
      </c>
      <c r="C7486" s="55" t="n">
        <f aca="false">(0+C7484)/8</f>
        <v>0</v>
      </c>
      <c r="D7486" s="55" t="n">
        <f aca="false">(C7484+D7484)/8</f>
        <v>1109.55414879845</v>
      </c>
      <c r="E7486" s="55" t="n">
        <f aca="false">(D7484+E7484)/8</f>
        <v>4679.15825878531</v>
      </c>
      <c r="F7486" s="55" t="n">
        <f aca="false">(E7484+F7484)/8</f>
        <v>10221.9846963884</v>
      </c>
      <c r="G7486" s="55" t="n">
        <f aca="false">(F7484+G7484)/8</f>
        <v>16735.0716382758</v>
      </c>
      <c r="H7486" s="55" t="n">
        <f aca="false">(G7484+H7484)/8</f>
        <v>24382.3410991992</v>
      </c>
      <c r="I7486" s="55" t="n">
        <f aca="false">(H7484+I7484)/8</f>
        <v>33676.9145930972</v>
      </c>
      <c r="J7486" s="55" t="n">
        <f aca="false">(I7484+J7484)/8</f>
        <v>45649.5890587293</v>
      </c>
      <c r="K7486" s="55" t="n">
        <f aca="false">(J7484+K7484)/8</f>
        <v>61454.2624515425</v>
      </c>
      <c r="L7486" s="55" t="n">
        <f aca="false">(K7484+L7484)/8</f>
        <v>79923.7965163037</v>
      </c>
      <c r="M7486" s="55" t="n">
        <f aca="false">(L7484+M7484)/8</f>
        <v>99015.6891181849</v>
      </c>
      <c r="N7486" s="55" t="n">
        <f aca="false">(M7484+N7484)/8</f>
        <v>117975.421381999</v>
      </c>
      <c r="P7486" s="55" t="n">
        <f aca="false">SUM(C7486:F7486)</f>
        <v>16010.6971039722</v>
      </c>
      <c r="Q7486" s="55" t="n">
        <f aca="false">SUM(G7486:J7486)</f>
        <v>120443.916389301</v>
      </c>
      <c r="R7486" s="55" t="n">
        <f aca="false">SUM(K7486:N7486)</f>
        <v>358369.16946803</v>
      </c>
      <c r="S7486" s="56" t="n">
        <f aca="false">SUM(P7486:R7486)</f>
        <v>494823.782961303</v>
      </c>
    </row>
    <row r="7487" customFormat="false" ht="15" hidden="false" customHeight="false" outlineLevel="0" collapsed="false">
      <c r="A7487" s="4" t="s">
        <v>544</v>
      </c>
      <c r="B7487" s="36" t="s">
        <v>125</v>
      </c>
      <c r="C7487" s="54" t="n">
        <f aca="false">C7486*Assumptions!$E$76</f>
        <v>0</v>
      </c>
      <c r="D7487" s="54" t="n">
        <f aca="false">D7486*Assumptions!$E$76</f>
        <v>721.21019671899</v>
      </c>
      <c r="E7487" s="54" t="n">
        <f aca="false">E7486*Assumptions!$E$76</f>
        <v>3041.45286821045</v>
      </c>
      <c r="F7487" s="54" t="n">
        <f aca="false">F7486*Assumptions!$E$76</f>
        <v>6644.29005265246</v>
      </c>
      <c r="G7487" s="54" t="n">
        <f aca="false">G7486*Assumptions!$E$76</f>
        <v>10877.7965648792</v>
      </c>
      <c r="H7487" s="54" t="n">
        <f aca="false">H7486*Assumptions!$E$76</f>
        <v>15848.5217144795</v>
      </c>
      <c r="I7487" s="54" t="n">
        <f aca="false">I7486*Assumptions!$E$76</f>
        <v>21889.9944855132</v>
      </c>
      <c r="J7487" s="54" t="n">
        <f aca="false">J7486*Assumptions!$E$76</f>
        <v>29672.2328881741</v>
      </c>
      <c r="K7487" s="54" t="n">
        <f aca="false">K7486*Assumptions!$E$76</f>
        <v>39945.2705935026</v>
      </c>
      <c r="L7487" s="54" t="n">
        <f aca="false">L7486*Assumptions!$E$76</f>
        <v>51950.4677355974</v>
      </c>
      <c r="M7487" s="54" t="n">
        <f aca="false">M7486*Assumptions!$E$76</f>
        <v>64360.1979268202</v>
      </c>
      <c r="N7487" s="54" t="n">
        <f aca="false">N7486*Assumptions!$E$76</f>
        <v>76684.0238982991</v>
      </c>
      <c r="P7487" s="55" t="n">
        <f aca="false">SUM(C7487:F7487)</f>
        <v>10406.9531175819</v>
      </c>
      <c r="Q7487" s="55" t="n">
        <f aca="false">SUM(G7487:J7487)</f>
        <v>78288.545653046</v>
      </c>
      <c r="R7487" s="55" t="n">
        <f aca="false">SUM(K7487:N7487)</f>
        <v>232939.960154219</v>
      </c>
      <c r="S7487" s="56" t="n">
        <f aca="false">SUM(P7487:R7487)</f>
        <v>321635.458924847</v>
      </c>
    </row>
    <row r="7488" customFormat="false" ht="15" hidden="false" customHeight="false" outlineLevel="0" collapsed="false">
      <c r="A7488" s="35" t="s">
        <v>547</v>
      </c>
      <c r="B7488" s="35" t="s">
        <v>444</v>
      </c>
      <c r="C7488" s="6" t="s">
        <v>354</v>
      </c>
      <c r="D7488" s="6" t="s">
        <v>355</v>
      </c>
      <c r="E7488" s="6" t="s">
        <v>356</v>
      </c>
      <c r="F7488" s="6" t="s">
        <v>357</v>
      </c>
      <c r="G7488" s="6" t="s">
        <v>358</v>
      </c>
      <c r="H7488" s="6" t="s">
        <v>359</v>
      </c>
      <c r="I7488" s="6" t="s">
        <v>360</v>
      </c>
      <c r="J7488" s="6" t="s">
        <v>361</v>
      </c>
      <c r="K7488" s="6" t="s">
        <v>362</v>
      </c>
      <c r="L7488" s="6" t="s">
        <v>363</v>
      </c>
      <c r="M7488" s="6" t="s">
        <v>364</v>
      </c>
      <c r="N7488" s="6" t="s">
        <v>365</v>
      </c>
      <c r="P7488" s="6" t="s">
        <v>445</v>
      </c>
      <c r="Q7488" s="6" t="s">
        <v>446</v>
      </c>
      <c r="R7488" s="6" t="s">
        <v>447</v>
      </c>
      <c r="S7488" s="6" t="s">
        <v>448</v>
      </c>
    </row>
    <row r="7489" customFormat="false" ht="15" hidden="false" customHeight="false" outlineLevel="0" collapsed="false">
      <c r="A7489" s="4" t="s">
        <v>548</v>
      </c>
      <c r="B7489" s="36" t="s">
        <v>321</v>
      </c>
      <c r="C7489" s="48" t="n">
        <f aca="false">Assumptions!$D$97*C7431</f>
        <v>1</v>
      </c>
      <c r="D7489" s="48" t="n">
        <f aca="false">Assumptions!$D$97*D7431</f>
        <v>1</v>
      </c>
      <c r="E7489" s="48" t="n">
        <f aca="false">Assumptions!$D$97*E7431</f>
        <v>1</v>
      </c>
      <c r="F7489" s="48" t="n">
        <f aca="false">Assumptions!$D$97*F7431</f>
        <v>1</v>
      </c>
      <c r="G7489" s="48" t="n">
        <f aca="false">Assumptions!$D$97*G7431</f>
        <v>1</v>
      </c>
      <c r="H7489" s="48" t="n">
        <f aca="false">Assumptions!$D$97*H7431</f>
        <v>1</v>
      </c>
      <c r="I7489" s="48" t="n">
        <f aca="false">Assumptions!$D$97*I7431</f>
        <v>1</v>
      </c>
      <c r="J7489" s="48" t="n">
        <f aca="false">Assumptions!$D$97*J7431</f>
        <v>1</v>
      </c>
      <c r="K7489" s="48" t="n">
        <f aca="false">Assumptions!$D$97*K7431</f>
        <v>1</v>
      </c>
      <c r="L7489" s="48" t="n">
        <f aca="false">Assumptions!$D$97*L7431</f>
        <v>1</v>
      </c>
      <c r="M7489" s="48" t="n">
        <f aca="false">Assumptions!$D$97*M7431</f>
        <v>1</v>
      </c>
      <c r="N7489" s="48" t="n">
        <f aca="false">Assumptions!$D$97*N7431</f>
        <v>1</v>
      </c>
      <c r="P7489" s="49" t="n">
        <f aca="false">AVERAGE(C7489:F7489)</f>
        <v>1</v>
      </c>
      <c r="Q7489" s="49" t="n">
        <f aca="false">AVERAGE(G7489:J7489)</f>
        <v>1</v>
      </c>
      <c r="R7489" s="49" t="n">
        <f aca="false">AVERAGE(K7489:N7489)</f>
        <v>1</v>
      </c>
      <c r="S7489" s="50"/>
    </row>
    <row r="7490" customFormat="false" ht="15" hidden="false" customHeight="false" outlineLevel="0" collapsed="false">
      <c r="A7490" s="4" t="s">
        <v>549</v>
      </c>
      <c r="B7490" s="36" t="s">
        <v>321</v>
      </c>
      <c r="C7490" s="48" t="n">
        <f aca="false">C7444*C7431</f>
        <v>0</v>
      </c>
      <c r="D7490" s="48" t="n">
        <f aca="false">D7444*D7431</f>
        <v>0</v>
      </c>
      <c r="E7490" s="48" t="n">
        <f aca="false">E7444*E7431</f>
        <v>0</v>
      </c>
      <c r="F7490" s="48" t="n">
        <f aca="false">F7444*F7431</f>
        <v>0</v>
      </c>
      <c r="G7490" s="48" t="n">
        <f aca="false">G7444*G7431</f>
        <v>0</v>
      </c>
      <c r="H7490" s="48" t="n">
        <f aca="false">H7444*H7431</f>
        <v>0</v>
      </c>
      <c r="I7490" s="48" t="n">
        <f aca="false">I7444*I7431</f>
        <v>0</v>
      </c>
      <c r="J7490" s="48" t="n">
        <f aca="false">J7444*J7431</f>
        <v>0</v>
      </c>
      <c r="K7490" s="48" t="n">
        <f aca="false">K7444*K7431</f>
        <v>0</v>
      </c>
      <c r="L7490" s="48" t="n">
        <f aca="false">L7444*L7431</f>
        <v>0</v>
      </c>
      <c r="M7490" s="48" t="n">
        <f aca="false">M7444*M7431</f>
        <v>0</v>
      </c>
      <c r="N7490" s="48" t="n">
        <f aca="false">N7444*N7431</f>
        <v>0</v>
      </c>
      <c r="P7490" s="49" t="n">
        <f aca="false">AVERAGE(C7490:F7490)</f>
        <v>0</v>
      </c>
      <c r="Q7490" s="49" t="n">
        <f aca="false">AVERAGE(G7490:J7490)</f>
        <v>0</v>
      </c>
      <c r="R7490" s="49" t="n">
        <f aca="false">AVERAGE(K7490:N7490)</f>
        <v>0</v>
      </c>
      <c r="S7490" s="50"/>
    </row>
    <row r="7491" customFormat="false" ht="15" hidden="false" customHeight="false" outlineLevel="0" collapsed="false">
      <c r="A7491" s="4" t="s">
        <v>550</v>
      </c>
      <c r="B7491" s="36" t="s">
        <v>321</v>
      </c>
      <c r="C7491" s="48" t="n">
        <f aca="false">IF(C7430&lt;=4,Assumptions!$D$98,Assumptions!$D$99)*C7431</f>
        <v>0</v>
      </c>
      <c r="D7491" s="48" t="n">
        <f aca="false">IF(D7430&lt;=4,Assumptions!$D$98,Assumptions!$D$99)*D7431</f>
        <v>0</v>
      </c>
      <c r="E7491" s="48" t="n">
        <f aca="false">IF(E7430&lt;=4,Assumptions!$D$98,Assumptions!$D$99)*E7431</f>
        <v>0</v>
      </c>
      <c r="F7491" s="48" t="n">
        <f aca="false">IF(F7430&lt;=4,Assumptions!$D$98,Assumptions!$D$99)*F7431</f>
        <v>0</v>
      </c>
      <c r="G7491" s="48" t="n">
        <f aca="false">IF(G7430&lt;=4,Assumptions!$D$98,Assumptions!$D$99)*G7431</f>
        <v>0.5</v>
      </c>
      <c r="H7491" s="48" t="n">
        <f aca="false">IF(H7430&lt;=4,Assumptions!$D$98,Assumptions!$D$99)*H7431</f>
        <v>0.5</v>
      </c>
      <c r="I7491" s="48" t="n">
        <f aca="false">IF(I7430&lt;=4,Assumptions!$D$98,Assumptions!$D$99)*I7431</f>
        <v>0.5</v>
      </c>
      <c r="J7491" s="48" t="n">
        <f aca="false">IF(J7430&lt;=4,Assumptions!$D$98,Assumptions!$D$99)*J7431</f>
        <v>0.5</v>
      </c>
      <c r="K7491" s="48" t="n">
        <f aca="false">IF(K7430&lt;=4,Assumptions!$D$98,Assumptions!$D$99)*K7431</f>
        <v>0.5</v>
      </c>
      <c r="L7491" s="48" t="n">
        <f aca="false">IF(L7430&lt;=4,Assumptions!$D$98,Assumptions!$D$99)*L7431</f>
        <v>0.5</v>
      </c>
      <c r="M7491" s="48" t="n">
        <f aca="false">IF(M7430&lt;=4,Assumptions!$D$98,Assumptions!$D$99)*M7431</f>
        <v>0.5</v>
      </c>
      <c r="N7491" s="48" t="n">
        <f aca="false">IF(N7430&lt;=4,Assumptions!$D$98,Assumptions!$D$99)*N7431</f>
        <v>0.5</v>
      </c>
      <c r="P7491" s="49" t="n">
        <f aca="false">AVERAGE(C7491:F7491)</f>
        <v>0</v>
      </c>
      <c r="Q7491" s="49" t="n">
        <f aca="false">AVERAGE(G7491:J7491)</f>
        <v>0.5</v>
      </c>
      <c r="R7491" s="49" t="n">
        <f aca="false">AVERAGE(K7491:N7491)</f>
        <v>0.5</v>
      </c>
      <c r="S7491" s="50"/>
    </row>
    <row r="7492" customFormat="false" ht="15" hidden="false" customHeight="false" outlineLevel="0" collapsed="false">
      <c r="A7492" s="4" t="s">
        <v>551</v>
      </c>
      <c r="B7492" s="36" t="s">
        <v>321</v>
      </c>
      <c r="C7492" s="48" t="n">
        <f aca="false">IF(C7430&lt;=4,Assumptions!$D$100,Assumptions!$D$101)*C7431</f>
        <v>1</v>
      </c>
      <c r="D7492" s="48" t="n">
        <f aca="false">IF(D7430&lt;=4,Assumptions!$D$100,Assumptions!$D$101)*D7431</f>
        <v>1</v>
      </c>
      <c r="E7492" s="48" t="n">
        <f aca="false">IF(E7430&lt;=4,Assumptions!$D$100,Assumptions!$D$101)*E7431</f>
        <v>1</v>
      </c>
      <c r="F7492" s="48" t="n">
        <f aca="false">IF(F7430&lt;=4,Assumptions!$D$100,Assumptions!$D$101)*F7431</f>
        <v>1</v>
      </c>
      <c r="G7492" s="48" t="n">
        <f aca="false">IF(G7430&lt;=4,Assumptions!$D$100,Assumptions!$D$101)*G7431</f>
        <v>0.5</v>
      </c>
      <c r="H7492" s="48" t="n">
        <f aca="false">IF(H7430&lt;=4,Assumptions!$D$100,Assumptions!$D$101)*H7431</f>
        <v>0.5</v>
      </c>
      <c r="I7492" s="48" t="n">
        <f aca="false">IF(I7430&lt;=4,Assumptions!$D$100,Assumptions!$D$101)*I7431</f>
        <v>0.5</v>
      </c>
      <c r="J7492" s="48" t="n">
        <f aca="false">IF(J7430&lt;=4,Assumptions!$D$100,Assumptions!$D$101)*J7431</f>
        <v>0.5</v>
      </c>
      <c r="K7492" s="48" t="n">
        <f aca="false">IF(K7430&lt;=4,Assumptions!$D$100,Assumptions!$D$101)*K7431</f>
        <v>0.5</v>
      </c>
      <c r="L7492" s="48" t="n">
        <f aca="false">IF(L7430&lt;=4,Assumptions!$D$100,Assumptions!$D$101)*L7431</f>
        <v>0.5</v>
      </c>
      <c r="M7492" s="48" t="n">
        <f aca="false">IF(M7430&lt;=4,Assumptions!$D$100,Assumptions!$D$101)*M7431</f>
        <v>0.5</v>
      </c>
      <c r="N7492" s="48" t="n">
        <f aca="false">IF(N7430&lt;=4,Assumptions!$D$100,Assumptions!$D$101)*N7431</f>
        <v>0.5</v>
      </c>
      <c r="P7492" s="49" t="n">
        <f aca="false">AVERAGE(C7492:F7492)</f>
        <v>1</v>
      </c>
      <c r="Q7492" s="49" t="n">
        <f aca="false">AVERAGE(G7492:J7492)</f>
        <v>0.5</v>
      </c>
      <c r="R7492" s="49" t="n">
        <f aca="false">AVERAGE(K7492:N7492)</f>
        <v>0.5</v>
      </c>
      <c r="S7492" s="50"/>
    </row>
    <row r="7493" customFormat="false" ht="15" hidden="false" customHeight="false" outlineLevel="0" collapsed="false">
      <c r="A7493" s="4" t="s">
        <v>552</v>
      </c>
      <c r="B7493" s="36" t="s">
        <v>321</v>
      </c>
      <c r="C7493" s="48" t="n">
        <f aca="false">Assumptions!$D$102*C7431</f>
        <v>0.25</v>
      </c>
      <c r="D7493" s="48" t="n">
        <f aca="false">Assumptions!$D$102*D7431</f>
        <v>0.25</v>
      </c>
      <c r="E7493" s="48" t="n">
        <f aca="false">Assumptions!$D$102*E7431</f>
        <v>0.25</v>
      </c>
      <c r="F7493" s="48" t="n">
        <f aca="false">Assumptions!$D$102*F7431</f>
        <v>0.25</v>
      </c>
      <c r="G7493" s="48" t="n">
        <f aca="false">Assumptions!$D$102*G7431</f>
        <v>0.25</v>
      </c>
      <c r="H7493" s="48" t="n">
        <f aca="false">Assumptions!$D$102*H7431</f>
        <v>0.25</v>
      </c>
      <c r="I7493" s="48" t="n">
        <f aca="false">Assumptions!$D$102*I7431</f>
        <v>0.25</v>
      </c>
      <c r="J7493" s="48" t="n">
        <f aca="false">Assumptions!$D$102*J7431</f>
        <v>0.25</v>
      </c>
      <c r="K7493" s="48" t="n">
        <f aca="false">Assumptions!$D$102*K7431</f>
        <v>0.25</v>
      </c>
      <c r="L7493" s="48" t="n">
        <f aca="false">Assumptions!$D$102*L7431</f>
        <v>0.25</v>
      </c>
      <c r="M7493" s="48" t="n">
        <f aca="false">Assumptions!$D$102*M7431</f>
        <v>0.25</v>
      </c>
      <c r="N7493" s="48" t="n">
        <f aca="false">Assumptions!$D$102*N7431</f>
        <v>0.25</v>
      </c>
      <c r="P7493" s="49" t="n">
        <f aca="false">AVERAGE(C7493:F7493)</f>
        <v>0.25</v>
      </c>
      <c r="Q7493" s="49" t="n">
        <f aca="false">AVERAGE(G7493:J7493)</f>
        <v>0.25</v>
      </c>
      <c r="R7493" s="49" t="n">
        <f aca="false">AVERAGE(K7493:N7493)</f>
        <v>0.25</v>
      </c>
      <c r="S7493" s="50"/>
    </row>
    <row r="7494" customFormat="false" ht="15" hidden="false" customHeight="false" outlineLevel="0" collapsed="false">
      <c r="A7494" s="4" t="s">
        <v>553</v>
      </c>
      <c r="B7494" s="36" t="s">
        <v>321</v>
      </c>
      <c r="C7494" s="48" t="n">
        <f aca="false">(C7478+C7479)/Assumptions!$E$74+C7477/Assumptions!$E$75</f>
        <v>0</v>
      </c>
      <c r="D7494" s="48" t="n">
        <f aca="false">(D7478+D7479)/Assumptions!$E$74+D7477/Assumptions!$E$75</f>
        <v>0.0143176301374139</v>
      </c>
      <c r="E7494" s="48" t="n">
        <f aca="false">(E7478+E7479)/Assumptions!$E$74+E7477/Assumptions!$E$75</f>
        <v>0.0402499456767798</v>
      </c>
      <c r="F7494" s="48" t="n">
        <f aca="false">(F7478+F7479)/Assumptions!$E$74+F7477/Assumptions!$E$75</f>
        <v>0.069296156601371</v>
      </c>
      <c r="G7494" s="48" t="n">
        <f aca="false">(G7478+G7479)/Assumptions!$E$74+G7477/Assumptions!$E$75</f>
        <v>0.100475077199051</v>
      </c>
      <c r="H7494" s="48" t="n">
        <f aca="false">(H7478+H7479)/Assumptions!$E$74+H7477/Assumptions!$E$75</f>
        <v>0.139084643227244</v>
      </c>
      <c r="I7494" s="48" t="n">
        <f aca="false">(I7478+I7479)/Assumptions!$E$74+I7477/Assumptions!$E$75</f>
        <v>0.184756080005146</v>
      </c>
      <c r="J7494" s="48" t="n">
        <f aca="false">(J7478+J7479)/Assumptions!$E$74+J7477/Assumptions!$E$75</f>
        <v>0.248473880206466</v>
      </c>
      <c r="K7494" s="48" t="n">
        <f aca="false">(K7478+K7479)/Assumptions!$E$74+K7477/Assumptions!$E$75</f>
        <v>0.329218871456529</v>
      </c>
      <c r="L7494" s="48" t="n">
        <f aca="false">(L7478+L7479)/Assumptions!$E$74+L7477/Assumptions!$E$75</f>
        <v>0.409912468045788</v>
      </c>
      <c r="M7494" s="48" t="n">
        <f aca="false">(M7478+M7479)/Assumptions!$E$74+M7477/Assumptions!$E$75</f>
        <v>0.486094517455055</v>
      </c>
      <c r="N7494" s="48" t="n">
        <f aca="false">(N7478+N7479)/Assumptions!$E$74+N7477/Assumptions!$E$75</f>
        <v>0.557753573090085</v>
      </c>
      <c r="P7494" s="49" t="n">
        <f aca="false">AVERAGE(C7494:F7494)</f>
        <v>0.0309659331038912</v>
      </c>
      <c r="Q7494" s="49" t="n">
        <f aca="false">AVERAGE(G7494:J7494)</f>
        <v>0.168197420159477</v>
      </c>
      <c r="R7494" s="49" t="n">
        <f aca="false">AVERAGE(K7494:N7494)</f>
        <v>0.445744857511864</v>
      </c>
      <c r="S7494" s="50"/>
    </row>
    <row r="7495" customFormat="false" ht="15" hidden="false" customHeight="false" outlineLevel="0" collapsed="false">
      <c r="A7495" s="4" t="s">
        <v>554</v>
      </c>
      <c r="B7495" s="36" t="s">
        <v>125</v>
      </c>
      <c r="C7495" s="54" t="n">
        <f aca="false">(C7489+C7491)*Assumptions!$E$70/Assumptions!$E$69/4</f>
        <v>66753.5714285714</v>
      </c>
      <c r="D7495" s="54" t="n">
        <f aca="false">(D7489+D7491)*Assumptions!$E$70/Assumptions!$E$69/4</f>
        <v>66753.5714285714</v>
      </c>
      <c r="E7495" s="54" t="n">
        <f aca="false">(E7489+E7491)*Assumptions!$E$70/Assumptions!$E$69/4</f>
        <v>66753.5714285714</v>
      </c>
      <c r="F7495" s="54" t="n">
        <f aca="false">(F7489+F7491)*Assumptions!$E$70/Assumptions!$E$69/4</f>
        <v>66753.5714285714</v>
      </c>
      <c r="G7495" s="54" t="n">
        <f aca="false">(G7489+G7491)*Assumptions!$E$70/Assumptions!$E$69/4</f>
        <v>100130.357142857</v>
      </c>
      <c r="H7495" s="54" t="n">
        <f aca="false">(H7489+H7491)*Assumptions!$E$70/Assumptions!$E$69/4</f>
        <v>100130.357142857</v>
      </c>
      <c r="I7495" s="54" t="n">
        <f aca="false">(I7489+I7491)*Assumptions!$E$70/Assumptions!$E$69/4</f>
        <v>100130.357142857</v>
      </c>
      <c r="J7495" s="54" t="n">
        <f aca="false">(J7489+J7491)*Assumptions!$E$70/Assumptions!$E$69/4</f>
        <v>100130.357142857</v>
      </c>
      <c r="K7495" s="54" t="n">
        <f aca="false">(K7489+K7491)*Assumptions!$E$70/Assumptions!$E$69/4</f>
        <v>100130.357142857</v>
      </c>
      <c r="L7495" s="54" t="n">
        <f aca="false">(L7489+L7491)*Assumptions!$E$70/Assumptions!$E$69/4</f>
        <v>100130.357142857</v>
      </c>
      <c r="M7495" s="54" t="n">
        <f aca="false">(M7489+M7491)*Assumptions!$E$70/Assumptions!$E$69/4</f>
        <v>100130.357142857</v>
      </c>
      <c r="N7495" s="54" t="n">
        <f aca="false">(N7489+N7491)*Assumptions!$E$70/Assumptions!$E$69/4</f>
        <v>100130.357142857</v>
      </c>
      <c r="P7495" s="55" t="n">
        <f aca="false">SUM(C7495:F7495)</f>
        <v>267014.285714286</v>
      </c>
      <c r="Q7495" s="55" t="n">
        <f aca="false">SUM(G7495:J7495)</f>
        <v>400521.428571429</v>
      </c>
      <c r="R7495" s="55" t="n">
        <f aca="false">SUM(K7495:N7495)</f>
        <v>400521.428571429</v>
      </c>
      <c r="S7495" s="56" t="n">
        <f aca="false">SUM(P7495:R7495)</f>
        <v>1068057.14285714</v>
      </c>
    </row>
    <row r="7496" customFormat="false" ht="15" hidden="false" customHeight="false" outlineLevel="0" collapsed="false">
      <c r="A7496" s="4" t="s">
        <v>555</v>
      </c>
      <c r="B7496" s="36" t="s">
        <v>125</v>
      </c>
      <c r="C7496" s="54" t="n">
        <f aca="false">C7490*$C$7425/4</f>
        <v>0</v>
      </c>
      <c r="D7496" s="54" t="n">
        <f aca="false">D7490*$C$7425/4</f>
        <v>0</v>
      </c>
      <c r="E7496" s="54" t="n">
        <f aca="false">E7490*$C$7425/4</f>
        <v>0</v>
      </c>
      <c r="F7496" s="54" t="n">
        <f aca="false">F7490*$C$7425/4</f>
        <v>0</v>
      </c>
      <c r="G7496" s="54" t="n">
        <f aca="false">G7490*$C$7425/4</f>
        <v>0</v>
      </c>
      <c r="H7496" s="54" t="n">
        <f aca="false">H7490*$C$7425/4</f>
        <v>0</v>
      </c>
      <c r="I7496" s="54" t="n">
        <f aca="false">I7490*$C$7425/4</f>
        <v>0</v>
      </c>
      <c r="J7496" s="54" t="n">
        <f aca="false">J7490*$C$7425/4</f>
        <v>0</v>
      </c>
      <c r="K7496" s="54" t="n">
        <f aca="false">K7490*$C$7425/4</f>
        <v>0</v>
      </c>
      <c r="L7496" s="54" t="n">
        <f aca="false">L7490*$C$7425/4</f>
        <v>0</v>
      </c>
      <c r="M7496" s="54" t="n">
        <f aca="false">M7490*$C$7425/4</f>
        <v>0</v>
      </c>
      <c r="N7496" s="54" t="n">
        <f aca="false">N7490*$C$7425/4</f>
        <v>0</v>
      </c>
      <c r="P7496" s="55" t="n">
        <f aca="false">SUM(C7496:F7496)</f>
        <v>0</v>
      </c>
      <c r="Q7496" s="55" t="n">
        <f aca="false">SUM(G7496:J7496)</f>
        <v>0</v>
      </c>
      <c r="R7496" s="55" t="n">
        <f aca="false">SUM(K7496:N7496)</f>
        <v>0</v>
      </c>
      <c r="S7496" s="56" t="n">
        <f aca="false">SUM(P7496:R7496)</f>
        <v>0</v>
      </c>
    </row>
    <row r="7497" customFormat="false" ht="15" hidden="false" customHeight="false" outlineLevel="0" collapsed="false">
      <c r="A7497" s="4" t="s">
        <v>556</v>
      </c>
      <c r="B7497" s="36" t="s">
        <v>125</v>
      </c>
      <c r="C7497" s="54" t="n">
        <f aca="false">MAX(0,(C7485-C7466*$C$7421)-C7445*$C$7426)*$C$7427*Assumptions!$D$105</f>
        <v>0</v>
      </c>
      <c r="D7497" s="54" t="n">
        <f aca="false">MAX(0,(D7485-D7466*$C$7421)-D7445*$C$7426)*$C$7427*Assumptions!$D$105</f>
        <v>3275.426004216</v>
      </c>
      <c r="E7497" s="54" t="n">
        <f aca="false">MAX(0,(E7485-E7466*$C$7421)-E7445*$C$7426)*$C$7427*Assumptions!$D$105</f>
        <v>7668.34814355057</v>
      </c>
      <c r="F7497" s="54" t="n">
        <f aca="false">MAX(0,(F7485-F7466*$C$7421)-F7445*$C$7426)*$C$7427*Assumptions!$D$105</f>
        <v>9715.66186979224</v>
      </c>
      <c r="G7497" s="54" t="n">
        <f aca="false">MAX(0,(G7485-G7466*$C$7421)-G7445*$C$7426)*$C$7427*Assumptions!$D$105</f>
        <v>10672.2421553423</v>
      </c>
      <c r="H7497" s="54" t="n">
        <f aca="false">MAX(0,(H7485-H7466*$C$7421)-H7445*$C$7426)*$C$7427*Assumptions!$D$105</f>
        <v>12886.2813000369</v>
      </c>
      <c r="I7497" s="54" t="n">
        <f aca="false">MAX(0,(I7485-I7466*$C$7421)-I7445*$C$7426)*$C$7427*Assumptions!$D$105</f>
        <v>15375.3989752203</v>
      </c>
      <c r="J7497" s="54" t="n">
        <f aca="false">MAX(0,(J7485-J7466*$C$7421)-J7445*$C$7426)*$C$7427*Assumptions!$D$105</f>
        <v>20528.643555182</v>
      </c>
      <c r="K7497" s="54" t="n">
        <f aca="false">MAX(0,(K7485-K7466*$C$7421)-K7445*$C$7426)*$C$7427*Assumptions!$D$105</f>
        <v>26474.6579810465</v>
      </c>
      <c r="L7497" s="54" t="n">
        <f aca="false">MAX(0,(L7485-L7466*$C$7421)-L7445*$C$7426)*$C$7427*Assumptions!$D$105</f>
        <v>28392.1538300236</v>
      </c>
      <c r="M7497" s="54" t="n">
        <f aca="false">MAX(0,(M7485-M7466*$C$7421)-M7445*$C$7426)*$C$7427*Assumptions!$D$105</f>
        <v>27897.7295473763</v>
      </c>
      <c r="N7497" s="54" t="n">
        <f aca="false">MAX(0,(N7485-N7466*$C$7421)-N7445*$C$7426)*$C$7427*Assumptions!$D$105</f>
        <v>27094.0362079584</v>
      </c>
      <c r="P7497" s="55" t="n">
        <f aca="false">SUM(C7497:F7497)</f>
        <v>20659.4360175588</v>
      </c>
      <c r="Q7497" s="55" t="n">
        <f aca="false">SUM(G7497:J7497)</f>
        <v>59462.5659857814</v>
      </c>
      <c r="R7497" s="55" t="n">
        <f aca="false">SUM(K7497:N7497)</f>
        <v>109858.577566405</v>
      </c>
      <c r="S7497" s="56" t="n">
        <f aca="false">SUM(P7497:R7497)</f>
        <v>189980.579569745</v>
      </c>
    </row>
    <row r="7498" customFormat="false" ht="15" hidden="false" customHeight="false" outlineLevel="0" collapsed="false">
      <c r="A7498" s="4" t="s">
        <v>557</v>
      </c>
      <c r="B7498" s="36" t="s">
        <v>125</v>
      </c>
      <c r="C7498" s="54" t="n">
        <f aca="false">C7493*Assumptions!$E$71/Assumptions!$E$69/4</f>
        <v>18475.8928571429</v>
      </c>
      <c r="D7498" s="54" t="n">
        <f aca="false">D7493*Assumptions!$E$71/Assumptions!$E$69/4</f>
        <v>18475.8928571429</v>
      </c>
      <c r="E7498" s="54" t="n">
        <f aca="false">E7493*Assumptions!$E$71/Assumptions!$E$69/4</f>
        <v>18475.8928571429</v>
      </c>
      <c r="F7498" s="54" t="n">
        <f aca="false">F7493*Assumptions!$E$71/Assumptions!$E$69/4</f>
        <v>18475.8928571429</v>
      </c>
      <c r="G7498" s="54" t="n">
        <f aca="false">G7493*Assumptions!$E$71/Assumptions!$E$69/4</f>
        <v>18475.8928571429</v>
      </c>
      <c r="H7498" s="54" t="n">
        <f aca="false">H7493*Assumptions!$E$71/Assumptions!$E$69/4</f>
        <v>18475.8928571429</v>
      </c>
      <c r="I7498" s="54" t="n">
        <f aca="false">I7493*Assumptions!$E$71/Assumptions!$E$69/4</f>
        <v>18475.8928571429</v>
      </c>
      <c r="J7498" s="54" t="n">
        <f aca="false">J7493*Assumptions!$E$71/Assumptions!$E$69/4</f>
        <v>18475.8928571429</v>
      </c>
      <c r="K7498" s="54" t="n">
        <f aca="false">K7493*Assumptions!$E$71/Assumptions!$E$69/4</f>
        <v>18475.8928571429</v>
      </c>
      <c r="L7498" s="54" t="n">
        <f aca="false">L7493*Assumptions!$E$71/Assumptions!$E$69/4</f>
        <v>18475.8928571429</v>
      </c>
      <c r="M7498" s="54" t="n">
        <f aca="false">M7493*Assumptions!$E$71/Assumptions!$E$69/4</f>
        <v>18475.8928571429</v>
      </c>
      <c r="N7498" s="54" t="n">
        <f aca="false">N7493*Assumptions!$E$71/Assumptions!$E$69/4</f>
        <v>18475.8928571429</v>
      </c>
      <c r="P7498" s="55" t="n">
        <f aca="false">SUM(C7498:F7498)</f>
        <v>73903.5714285714</v>
      </c>
      <c r="Q7498" s="55" t="n">
        <f aca="false">SUM(G7498:J7498)</f>
        <v>73903.5714285714</v>
      </c>
      <c r="R7498" s="55" t="n">
        <f aca="false">SUM(K7498:N7498)</f>
        <v>73903.5714285714</v>
      </c>
      <c r="S7498" s="56" t="n">
        <f aca="false">SUM(P7498:R7498)</f>
        <v>221710.714285714</v>
      </c>
    </row>
    <row r="7499" customFormat="false" ht="15" hidden="false" customHeight="false" outlineLevel="0" collapsed="false">
      <c r="A7499" s="4" t="s">
        <v>558</v>
      </c>
      <c r="B7499" s="36" t="s">
        <v>125</v>
      </c>
      <c r="C7499" s="54" t="n">
        <f aca="false">(Assumptions!$D$103+Assumptions!$E$77*((C7430=Assumptions!$E$13)+(C7430=Assumptions!$E$14)+(C7430=Assumptions!$E$15)))*C7431</f>
        <v>65000</v>
      </c>
      <c r="D7499" s="54" t="n">
        <f aca="false">(Assumptions!$D$103+Assumptions!$E$77*((D7430=Assumptions!$E$13)+(D7430=Assumptions!$E$14)+(D7430=Assumptions!$E$15)))*D7431</f>
        <v>25000</v>
      </c>
      <c r="E7499" s="54" t="n">
        <f aca="false">(Assumptions!$D$103+Assumptions!$E$77*((E7430=Assumptions!$E$13)+(E7430=Assumptions!$E$14)+(E7430=Assumptions!$E$15)))*E7431</f>
        <v>25000</v>
      </c>
      <c r="F7499" s="54" t="n">
        <f aca="false">(Assumptions!$D$103+Assumptions!$E$77*((F7430=Assumptions!$E$13)+(F7430=Assumptions!$E$14)+(F7430=Assumptions!$E$15)))*F7431</f>
        <v>25000</v>
      </c>
      <c r="G7499" s="54" t="n">
        <f aca="false">(Assumptions!$D$103+Assumptions!$E$77*((G7430=Assumptions!$E$13)+(G7430=Assumptions!$E$14)+(G7430=Assumptions!$E$15)))*G7431</f>
        <v>65000</v>
      </c>
      <c r="H7499" s="54" t="n">
        <f aca="false">(Assumptions!$D$103+Assumptions!$E$77*((H7430=Assumptions!$E$13)+(H7430=Assumptions!$E$14)+(H7430=Assumptions!$E$15)))*H7431</f>
        <v>25000</v>
      </c>
      <c r="I7499" s="54" t="n">
        <f aca="false">(Assumptions!$D$103+Assumptions!$E$77*((I7430=Assumptions!$E$13)+(I7430=Assumptions!$E$14)+(I7430=Assumptions!$E$15)))*I7431</f>
        <v>65000</v>
      </c>
      <c r="J7499" s="54" t="n">
        <f aca="false">(Assumptions!$D$103+Assumptions!$E$77*((J7430=Assumptions!$E$13)+(J7430=Assumptions!$E$14)+(J7430=Assumptions!$E$15)))*J7431</f>
        <v>25000</v>
      </c>
      <c r="K7499" s="54" t="n">
        <f aca="false">(Assumptions!$D$103+Assumptions!$E$77*((K7430=Assumptions!$E$13)+(K7430=Assumptions!$E$14)+(K7430=Assumptions!$E$15)))*K7431</f>
        <v>25000</v>
      </c>
      <c r="L7499" s="54" t="n">
        <f aca="false">(Assumptions!$D$103+Assumptions!$E$77*((L7430=Assumptions!$E$13)+(L7430=Assumptions!$E$14)+(L7430=Assumptions!$E$15)))*L7431</f>
        <v>25000</v>
      </c>
      <c r="M7499" s="54" t="n">
        <f aca="false">(Assumptions!$D$103+Assumptions!$E$77*((M7430=Assumptions!$E$13)+(M7430=Assumptions!$E$14)+(M7430=Assumptions!$E$15)))*M7431</f>
        <v>25000</v>
      </c>
      <c r="N7499" s="54" t="n">
        <f aca="false">(Assumptions!$D$103+Assumptions!$E$77*((N7430=Assumptions!$E$13)+(N7430=Assumptions!$E$14)+(N7430=Assumptions!$E$15)))*N7431</f>
        <v>25000</v>
      </c>
      <c r="P7499" s="55" t="n">
        <f aca="false">SUM(C7499:F7499)</f>
        <v>140000</v>
      </c>
      <c r="Q7499" s="55" t="n">
        <f aca="false">SUM(G7499:J7499)</f>
        <v>180000</v>
      </c>
      <c r="R7499" s="55" t="n">
        <f aca="false">SUM(K7499:N7499)</f>
        <v>100000</v>
      </c>
      <c r="S7499" s="56" t="n">
        <f aca="false">SUM(P7499:R7499)</f>
        <v>420000</v>
      </c>
    </row>
    <row r="7500" customFormat="false" ht="15" hidden="false" customHeight="false" outlineLevel="0" collapsed="false">
      <c r="A7500" s="4" t="s">
        <v>559</v>
      </c>
      <c r="B7500" s="36" t="s">
        <v>125</v>
      </c>
      <c r="C7500" s="54" t="n">
        <f aca="false">C7485*C7465*Assumptions!$E$79</f>
        <v>0</v>
      </c>
      <c r="D7500" s="54" t="n">
        <f aca="false">D7485*D7465*Assumptions!$E$79</f>
        <v>815.338873355417</v>
      </c>
      <c r="E7500" s="54" t="n">
        <f aca="false">E7485*E7465*Assumptions!$E$79</f>
        <v>1576.95453714349</v>
      </c>
      <c r="F7500" s="54" t="n">
        <f aca="false">F7485*F7465*Assumptions!$E$79</f>
        <v>2363.78759030579</v>
      </c>
      <c r="G7500" s="54" t="n">
        <f aca="false">G7485*G7465*Assumptions!$E$79</f>
        <v>2961.23316349717</v>
      </c>
      <c r="H7500" s="54" t="n">
        <f aca="false">H7485*H7465*Assumptions!$E$79</f>
        <v>3401.8566535345</v>
      </c>
      <c r="I7500" s="54" t="n">
        <f aca="false">I7485*I7465*Assumptions!$E$79</f>
        <v>3951.44098442022</v>
      </c>
      <c r="J7500" s="54" t="n">
        <f aca="false">J7485*J7465*Assumptions!$E$79</f>
        <v>4240.17604272452</v>
      </c>
      <c r="K7500" s="54" t="n">
        <f aca="false">K7485*K7465*Assumptions!$E$79</f>
        <v>4805.46240923336</v>
      </c>
      <c r="L7500" s="54" t="n">
        <f aca="false">L7485*L7465*Assumptions!$E$79</f>
        <v>5627.63185752923</v>
      </c>
      <c r="M7500" s="54" t="n">
        <f aca="false">M7485*M7465*Assumptions!$E$79</f>
        <v>5687.10015383768</v>
      </c>
      <c r="N7500" s="54" t="n">
        <f aca="false">N7485*N7465*Assumptions!$E$79</f>
        <v>5685.06198652904</v>
      </c>
      <c r="P7500" s="55" t="n">
        <f aca="false">SUM(C7500:F7500)</f>
        <v>4756.0810008047</v>
      </c>
      <c r="Q7500" s="55" t="n">
        <f aca="false">SUM(G7500:J7500)</f>
        <v>14554.7068441764</v>
      </c>
      <c r="R7500" s="55" t="n">
        <f aca="false">SUM(K7500:N7500)</f>
        <v>21805.2564071293</v>
      </c>
      <c r="S7500" s="56" t="n">
        <f aca="false">SUM(P7500:R7500)</f>
        <v>41116.0442521104</v>
      </c>
    </row>
    <row r="7501" customFormat="false" ht="15" hidden="false" customHeight="false" outlineLevel="0" collapsed="false">
      <c r="A7501" s="4" t="s">
        <v>560</v>
      </c>
      <c r="B7501" s="36" t="s">
        <v>125</v>
      </c>
      <c r="C7501" s="54" t="n">
        <f aca="false">C7450*Assumptions!$E$80</f>
        <v>4000</v>
      </c>
      <c r="D7501" s="54" t="n">
        <f aca="false">D7450*Assumptions!$E$80</f>
        <v>6000</v>
      </c>
      <c r="E7501" s="54" t="n">
        <f aca="false">E7450*Assumptions!$E$80</f>
        <v>8000</v>
      </c>
      <c r="F7501" s="54" t="n">
        <f aca="false">F7450*Assumptions!$E$80</f>
        <v>10000</v>
      </c>
      <c r="G7501" s="54" t="n">
        <f aca="false">G7450*Assumptions!$E$80</f>
        <v>12000</v>
      </c>
      <c r="H7501" s="54" t="n">
        <f aca="false">H7450*Assumptions!$E$80</f>
        <v>14000</v>
      </c>
      <c r="I7501" s="54" t="n">
        <f aca="false">I7450*Assumptions!$E$80</f>
        <v>16000</v>
      </c>
      <c r="J7501" s="54" t="n">
        <f aca="false">J7450*Assumptions!$E$80</f>
        <v>18000</v>
      </c>
      <c r="K7501" s="54" t="n">
        <f aca="false">K7450*Assumptions!$E$80</f>
        <v>20000</v>
      </c>
      <c r="L7501" s="54" t="n">
        <f aca="false">L7450*Assumptions!$E$80</f>
        <v>20000</v>
      </c>
      <c r="M7501" s="54" t="n">
        <f aca="false">M7450*Assumptions!$E$80</f>
        <v>20000</v>
      </c>
      <c r="N7501" s="54" t="n">
        <f aca="false">N7450*Assumptions!$E$80</f>
        <v>20000</v>
      </c>
      <c r="P7501" s="55" t="n">
        <f aca="false">SUM(C7501:F7501)</f>
        <v>28000</v>
      </c>
      <c r="Q7501" s="55" t="n">
        <f aca="false">SUM(G7501:J7501)</f>
        <v>60000</v>
      </c>
      <c r="R7501" s="55" t="n">
        <f aca="false">SUM(K7501:N7501)</f>
        <v>80000</v>
      </c>
      <c r="S7501" s="56" t="n">
        <f aca="false">SUM(P7501:R7501)</f>
        <v>168000</v>
      </c>
    </row>
    <row r="7502" customFormat="false" ht="15" hidden="false" customHeight="false" outlineLevel="0" collapsed="false">
      <c r="A7502" s="4" t="s">
        <v>561</v>
      </c>
      <c r="B7502" s="36" t="s">
        <v>125</v>
      </c>
      <c r="C7502" s="54" t="n">
        <f aca="false">(C7473*$C$7422+C7474*$C$7423)*Assumptions!$E$81</f>
        <v>0</v>
      </c>
      <c r="D7502" s="54" t="n">
        <f aca="false">(D7473*$C$7422+D7474*$C$7423)*Assumptions!$E$81</f>
        <v>635.937968364564</v>
      </c>
      <c r="E7502" s="54" t="n">
        <f aca="false">(E7473*$C$7422+E7474*$C$7423)*Assumptions!$E$81</f>
        <v>1750.54055351793</v>
      </c>
      <c r="F7502" s="54" t="n">
        <f aca="false">(F7473*$C$7422+F7474*$C$7423)*Assumptions!$E$81</f>
        <v>2334.90810210795</v>
      </c>
      <c r="G7502" s="54" t="n">
        <f aca="false">(G7473*$C$7422+G7474*$C$7423)*Assumptions!$E$81</f>
        <v>2567.01977128764</v>
      </c>
      <c r="H7502" s="54" t="n">
        <f aca="false">(H7473*$C$7422+H7474*$C$7423)*Assumptions!$E$81</f>
        <v>3030.96924471942</v>
      </c>
      <c r="I7502" s="54" t="n">
        <f aca="false">(I7473*$C$7422+I7474*$C$7423)*Assumptions!$E$81</f>
        <v>3599.72954781419</v>
      </c>
      <c r="J7502" s="54" t="n">
        <f aca="false">(J7473*$C$7422+J7474*$C$7423)*Assumptions!$E$81</f>
        <v>4611.5696968051</v>
      </c>
      <c r="K7502" s="54" t="n">
        <f aca="false">(K7473*$C$7422+K7474*$C$7423)*Assumptions!$E$81</f>
        <v>5939.56455642065</v>
      </c>
      <c r="L7502" s="54" t="n">
        <f aca="false">(L7473*$C$7422+L7474*$C$7423)*Assumptions!$E$81</f>
        <v>6537.87185823684</v>
      </c>
      <c r="M7502" s="54" t="n">
        <f aca="false">(M7473*$C$7422+M7474*$C$7423)*Assumptions!$E$81</f>
        <v>6455.63010570383</v>
      </c>
      <c r="N7502" s="54" t="n">
        <f aca="false">(N7473*$C$7422+N7474*$C$7423)*Assumptions!$E$81</f>
        <v>6268.61318404599</v>
      </c>
      <c r="P7502" s="55" t="n">
        <f aca="false">SUM(C7502:F7502)</f>
        <v>4721.38662399044</v>
      </c>
      <c r="Q7502" s="55" t="n">
        <f aca="false">SUM(G7502:J7502)</f>
        <v>13809.2882606264</v>
      </c>
      <c r="R7502" s="55" t="n">
        <f aca="false">SUM(K7502:N7502)</f>
        <v>25201.6797044073</v>
      </c>
      <c r="S7502" s="56" t="n">
        <f aca="false">SUM(P7502:R7502)</f>
        <v>43732.3545890241</v>
      </c>
    </row>
    <row r="7503" customFormat="false" ht="15" hidden="false" customHeight="false" outlineLevel="0" collapsed="false">
      <c r="A7503" s="9" t="s">
        <v>562</v>
      </c>
      <c r="B7503" s="36" t="s">
        <v>125</v>
      </c>
      <c r="C7503" s="55" t="n">
        <f aca="false">C7495+C7496+C7497+C7498+C7499+C7500+C7501+C7502</f>
        <v>154229.464285714</v>
      </c>
      <c r="D7503" s="55" t="n">
        <f aca="false">D7495+D7496+D7497+D7498+D7499+D7500+D7501+D7502</f>
        <v>120956.16713165</v>
      </c>
      <c r="E7503" s="55" t="n">
        <f aca="false">E7495+E7496+E7497+E7498+E7499+E7500+E7501+E7502</f>
        <v>129225.307519926</v>
      </c>
      <c r="F7503" s="55" t="n">
        <f aca="false">F7495+F7496+F7497+F7498+F7499+F7500+F7501+F7502</f>
        <v>134643.82184792</v>
      </c>
      <c r="G7503" s="55" t="n">
        <f aca="false">G7495+G7496+G7497+G7498+G7499+G7500+G7501+G7502</f>
        <v>211806.745090127</v>
      </c>
      <c r="H7503" s="55" t="n">
        <f aca="false">H7495+H7496+H7497+H7498+H7499+H7500+H7501+H7502</f>
        <v>176925.357198291</v>
      </c>
      <c r="I7503" s="55" t="n">
        <f aca="false">I7495+I7496+I7497+I7498+I7499+I7500+I7501+I7502</f>
        <v>222532.819507455</v>
      </c>
      <c r="J7503" s="55" t="n">
        <f aca="false">J7495+J7496+J7497+J7498+J7499+J7500+J7501+J7502</f>
        <v>190986.639294712</v>
      </c>
      <c r="K7503" s="55" t="n">
        <f aca="false">K7495+K7496+K7497+K7498+K7499+K7500+K7501+K7502</f>
        <v>200825.9349467</v>
      </c>
      <c r="L7503" s="55" t="n">
        <f aca="false">L7495+L7496+L7497+L7498+L7499+L7500+L7501+L7502</f>
        <v>204163.90754579</v>
      </c>
      <c r="M7503" s="55" t="n">
        <f aca="false">M7495+M7496+M7497+M7498+M7499+M7500+M7501+M7502</f>
        <v>203646.709806918</v>
      </c>
      <c r="N7503" s="55" t="n">
        <f aca="false">N7495+N7496+N7497+N7498+N7499+N7500+N7501+N7502</f>
        <v>202653.961378533</v>
      </c>
      <c r="P7503" s="55" t="n">
        <f aca="false">SUM(C7503:F7503)</f>
        <v>539054.760785211</v>
      </c>
      <c r="Q7503" s="55" t="n">
        <f aca="false">SUM(G7503:J7503)</f>
        <v>802251.561090584</v>
      </c>
      <c r="R7503" s="55" t="n">
        <f aca="false">SUM(K7503:N7503)</f>
        <v>811290.513677941</v>
      </c>
      <c r="S7503" s="56" t="n">
        <f aca="false">SUM(P7503:R7503)</f>
        <v>2152596.83555374</v>
      </c>
    </row>
    <row r="7504" customFormat="false" ht="15" hidden="false" customHeight="false" outlineLevel="0" collapsed="false">
      <c r="A7504" s="4" t="s">
        <v>563</v>
      </c>
      <c r="B7504" s="36" t="s">
        <v>125</v>
      </c>
      <c r="C7504" s="54" t="n">
        <f aca="false">C7492*Assumptions!$E$72/Assumptions!$E$69/4</f>
        <v>56535.7142857143</v>
      </c>
      <c r="D7504" s="54" t="n">
        <f aca="false">D7492*Assumptions!$E$72/Assumptions!$E$69/4</f>
        <v>56535.7142857143</v>
      </c>
      <c r="E7504" s="54" t="n">
        <f aca="false">E7492*Assumptions!$E$72/Assumptions!$E$69/4</f>
        <v>56535.7142857143</v>
      </c>
      <c r="F7504" s="54" t="n">
        <f aca="false">F7492*Assumptions!$E$72/Assumptions!$E$69/4</f>
        <v>56535.7142857143</v>
      </c>
      <c r="G7504" s="54" t="n">
        <f aca="false">G7492*Assumptions!$E$72/Assumptions!$E$69/4</f>
        <v>28267.8571428571</v>
      </c>
      <c r="H7504" s="54" t="n">
        <f aca="false">H7492*Assumptions!$E$72/Assumptions!$E$69/4</f>
        <v>28267.8571428571</v>
      </c>
      <c r="I7504" s="54" t="n">
        <f aca="false">I7492*Assumptions!$E$72/Assumptions!$E$69/4</f>
        <v>28267.8571428571</v>
      </c>
      <c r="J7504" s="54" t="n">
        <f aca="false">J7492*Assumptions!$E$72/Assumptions!$E$69/4</f>
        <v>28267.8571428571</v>
      </c>
      <c r="K7504" s="54" t="n">
        <f aca="false">K7492*Assumptions!$E$72/Assumptions!$E$69/4</f>
        <v>28267.8571428571</v>
      </c>
      <c r="L7504" s="54" t="n">
        <f aca="false">L7492*Assumptions!$E$72/Assumptions!$E$69/4</f>
        <v>28267.8571428571</v>
      </c>
      <c r="M7504" s="54" t="n">
        <f aca="false">M7492*Assumptions!$E$72/Assumptions!$E$69/4</f>
        <v>28267.8571428571</v>
      </c>
      <c r="N7504" s="54" t="n">
        <f aca="false">N7492*Assumptions!$E$72/Assumptions!$E$69/4</f>
        <v>28267.8571428571</v>
      </c>
      <c r="P7504" s="55" t="n">
        <f aca="false">SUM(C7504:F7504)</f>
        <v>226142.857142857</v>
      </c>
      <c r="Q7504" s="55" t="n">
        <f aca="false">SUM(G7504:J7504)</f>
        <v>113071.428571429</v>
      </c>
      <c r="R7504" s="55" t="n">
        <f aca="false">SUM(K7504:N7504)</f>
        <v>113071.428571429</v>
      </c>
      <c r="S7504" s="56" t="n">
        <f aca="false">SUM(P7504:R7504)</f>
        <v>452285.714285714</v>
      </c>
    </row>
    <row r="7505" customFormat="false" ht="15" hidden="false" customHeight="false" outlineLevel="0" collapsed="false">
      <c r="A7505" s="4" t="s">
        <v>564</v>
      </c>
      <c r="B7505" s="36" t="s">
        <v>125</v>
      </c>
      <c r="C7505" s="54" t="n">
        <f aca="false">IF(C7430&lt;=Assumptions!$E$83,Assumptions!$E$82*Assumptions!$D$108/Assumptions!$E$83,0)</f>
        <v>62500</v>
      </c>
      <c r="D7505" s="54" t="n">
        <f aca="false">IF(D7430&lt;=Assumptions!$E$83,Assumptions!$E$82*Assumptions!$D$108/Assumptions!$E$83,0)</f>
        <v>62500</v>
      </c>
      <c r="E7505" s="54" t="n">
        <f aca="false">IF(E7430&lt;=Assumptions!$E$83,Assumptions!$E$82*Assumptions!$D$108/Assumptions!$E$83,0)</f>
        <v>62500</v>
      </c>
      <c r="F7505" s="54" t="n">
        <f aca="false">IF(F7430&lt;=Assumptions!$E$83,Assumptions!$E$82*Assumptions!$D$108/Assumptions!$E$83,0)</f>
        <v>62500</v>
      </c>
      <c r="G7505" s="54" t="n">
        <f aca="false">IF(G7430&lt;=Assumptions!$E$83,Assumptions!$E$82*Assumptions!$D$108/Assumptions!$E$83,0)</f>
        <v>0</v>
      </c>
      <c r="H7505" s="54" t="n">
        <f aca="false">IF(H7430&lt;=Assumptions!$E$83,Assumptions!$E$82*Assumptions!$D$108/Assumptions!$E$83,0)</f>
        <v>0</v>
      </c>
      <c r="I7505" s="54" t="n">
        <f aca="false">IF(I7430&lt;=Assumptions!$E$83,Assumptions!$E$82*Assumptions!$D$108/Assumptions!$E$83,0)</f>
        <v>0</v>
      </c>
      <c r="J7505" s="54" t="n">
        <f aca="false">IF(J7430&lt;=Assumptions!$E$83,Assumptions!$E$82*Assumptions!$D$108/Assumptions!$E$83,0)</f>
        <v>0</v>
      </c>
      <c r="K7505" s="54" t="n">
        <f aca="false">IF(K7430&lt;=Assumptions!$E$83,Assumptions!$E$82*Assumptions!$D$108/Assumptions!$E$83,0)</f>
        <v>0</v>
      </c>
      <c r="L7505" s="54" t="n">
        <f aca="false">IF(L7430&lt;=Assumptions!$E$83,Assumptions!$E$82*Assumptions!$D$108/Assumptions!$E$83,0)</f>
        <v>0</v>
      </c>
      <c r="M7505" s="54" t="n">
        <f aca="false">IF(M7430&lt;=Assumptions!$E$83,Assumptions!$E$82*Assumptions!$D$108/Assumptions!$E$83,0)</f>
        <v>0</v>
      </c>
      <c r="N7505" s="54" t="n">
        <f aca="false">IF(N7430&lt;=Assumptions!$E$83,Assumptions!$E$82*Assumptions!$D$108/Assumptions!$E$83,0)</f>
        <v>0</v>
      </c>
      <c r="P7505" s="55" t="n">
        <f aca="false">SUM(C7505:F7505)</f>
        <v>250000</v>
      </c>
      <c r="Q7505" s="55" t="n">
        <f aca="false">SUM(G7505:J7505)</f>
        <v>0</v>
      </c>
      <c r="R7505" s="55" t="n">
        <f aca="false">SUM(K7505:N7505)</f>
        <v>0</v>
      </c>
      <c r="S7505" s="56" t="n">
        <f aca="false">SUM(P7505:R7505)</f>
        <v>250000</v>
      </c>
    </row>
    <row r="7506" customFormat="false" ht="15" hidden="false" customHeight="false" outlineLevel="0" collapsed="false">
      <c r="A7506" s="4" t="s">
        <v>565</v>
      </c>
      <c r="B7506" s="36" t="s">
        <v>125</v>
      </c>
      <c r="C7506" s="54" t="n">
        <f aca="false">C7494*Assumptions!$E$73/Assumptions!$E$69/4</f>
        <v>0</v>
      </c>
      <c r="D7506" s="54" t="n">
        <f aca="false">D7494*Assumptions!$E$73/Assumptions!$E$69/4</f>
        <v>575.3130595573</v>
      </c>
      <c r="E7506" s="54" t="n">
        <f aca="false">E7494*Assumptions!$E$73/Assumptions!$E$69/4</f>
        <v>1617.32906717661</v>
      </c>
      <c r="F7506" s="54" t="n">
        <f aca="false">F7494*Assumptions!$E$73/Assumptions!$E$69/4</f>
        <v>2784.46806400723</v>
      </c>
      <c r="G7506" s="54" t="n">
        <f aca="false">G7494*Assumptions!$E$73/Assumptions!$E$69/4</f>
        <v>4037.30390559473</v>
      </c>
      <c r="H7506" s="54" t="n">
        <f aca="false">H7494*Assumptions!$E$73/Assumptions!$E$69/4</f>
        <v>5588.71900339185</v>
      </c>
      <c r="I7506" s="54" t="n">
        <f aca="false">I7494*Assumptions!$E$73/Assumptions!$E$69/4</f>
        <v>7423.89520049251</v>
      </c>
      <c r="J7506" s="54" t="n">
        <f aca="false">J7494*Assumptions!$E$73/Assumptions!$E$69/4</f>
        <v>9984.21295072483</v>
      </c>
      <c r="K7506" s="54" t="n">
        <f aca="false">K7494*Assumptions!$E$73/Assumptions!$E$69/4</f>
        <v>13228.7197241336</v>
      </c>
      <c r="L7506" s="54" t="n">
        <f aca="false">L7494*Assumptions!$E$73/Assumptions!$E$69/4</f>
        <v>16471.1613499398</v>
      </c>
      <c r="M7506" s="54" t="n">
        <f aca="false">M7494*Assumptions!$E$73/Assumptions!$E$69/4</f>
        <v>19532.3193424529</v>
      </c>
      <c r="N7506" s="54" t="n">
        <f aca="false">N7494*Assumptions!$E$73/Assumptions!$E$69/4</f>
        <v>22411.7337529877</v>
      </c>
      <c r="P7506" s="55" t="n">
        <f aca="false">SUM(C7506:F7506)</f>
        <v>4977.11019074114</v>
      </c>
      <c r="Q7506" s="55" t="n">
        <f aca="false">SUM(G7506:J7506)</f>
        <v>27034.1310602039</v>
      </c>
      <c r="R7506" s="55" t="n">
        <f aca="false">SUM(K7506:N7506)</f>
        <v>71643.934169514</v>
      </c>
      <c r="S7506" s="56" t="n">
        <f aca="false">SUM(P7506:R7506)</f>
        <v>103655.175420459</v>
      </c>
    </row>
    <row r="7507" customFormat="false" ht="15" hidden="false" customHeight="false" outlineLevel="0" collapsed="false">
      <c r="A7507" s="9" t="s">
        <v>566</v>
      </c>
      <c r="B7507" s="36" t="s">
        <v>125</v>
      </c>
      <c r="C7507" s="55" t="n">
        <f aca="false">C7503+C7504+C7505+C7506</f>
        <v>273265.178571429</v>
      </c>
      <c r="D7507" s="55" t="n">
        <f aca="false">D7503+D7504+D7505+D7506</f>
        <v>240567.194476922</v>
      </c>
      <c r="E7507" s="55" t="n">
        <f aca="false">E7503+E7504+E7505+E7506</f>
        <v>249878.350872817</v>
      </c>
      <c r="F7507" s="55" t="n">
        <f aca="false">F7503+F7504+F7505+F7506</f>
        <v>256464.004197642</v>
      </c>
      <c r="G7507" s="55" t="n">
        <f aca="false">G7503+G7504+G7505+G7506</f>
        <v>244111.906138579</v>
      </c>
      <c r="H7507" s="55" t="n">
        <f aca="false">H7503+H7504+H7505+H7506</f>
        <v>210781.93334454</v>
      </c>
      <c r="I7507" s="55" t="n">
        <f aca="false">I7503+I7504+I7505+I7506</f>
        <v>258224.571850804</v>
      </c>
      <c r="J7507" s="55" t="n">
        <f aca="false">J7503+J7504+J7505+J7506</f>
        <v>229238.709388294</v>
      </c>
      <c r="K7507" s="55" t="n">
        <f aca="false">K7503+K7504+K7505+K7506</f>
        <v>242322.511813691</v>
      </c>
      <c r="L7507" s="55" t="n">
        <f aca="false">L7503+L7504+L7505+L7506</f>
        <v>248902.926038587</v>
      </c>
      <c r="M7507" s="55" t="n">
        <f aca="false">M7503+M7504+M7505+M7506</f>
        <v>251446.886292228</v>
      </c>
      <c r="N7507" s="55" t="n">
        <f aca="false">N7503+N7504+N7505+N7506</f>
        <v>253333.552274378</v>
      </c>
      <c r="P7507" s="55" t="n">
        <f aca="false">SUM(C7507:F7507)</f>
        <v>1020174.72811881</v>
      </c>
      <c r="Q7507" s="55" t="n">
        <f aca="false">SUM(G7507:J7507)</f>
        <v>942357.120722217</v>
      </c>
      <c r="R7507" s="55" t="n">
        <f aca="false">SUM(K7507:N7507)</f>
        <v>996005.876418884</v>
      </c>
      <c r="S7507" s="56" t="n">
        <f aca="false">SUM(P7507:R7507)</f>
        <v>2958537.72525991</v>
      </c>
    </row>
    <row r="7508" customFormat="false" ht="15" hidden="false" customHeight="false" outlineLevel="0" collapsed="false">
      <c r="A7508" s="35" t="s">
        <v>567</v>
      </c>
      <c r="B7508" s="35" t="s">
        <v>444</v>
      </c>
      <c r="C7508" s="6" t="s">
        <v>354</v>
      </c>
      <c r="D7508" s="6" t="s">
        <v>355</v>
      </c>
      <c r="E7508" s="6" t="s">
        <v>356</v>
      </c>
      <c r="F7508" s="6" t="s">
        <v>357</v>
      </c>
      <c r="G7508" s="6" t="s">
        <v>358</v>
      </c>
      <c r="H7508" s="6" t="s">
        <v>359</v>
      </c>
      <c r="I7508" s="6" t="s">
        <v>360</v>
      </c>
      <c r="J7508" s="6" t="s">
        <v>361</v>
      </c>
      <c r="K7508" s="6" t="s">
        <v>362</v>
      </c>
      <c r="L7508" s="6" t="s">
        <v>363</v>
      </c>
      <c r="M7508" s="6" t="s">
        <v>364</v>
      </c>
      <c r="N7508" s="6" t="s">
        <v>365</v>
      </c>
      <c r="P7508" s="6" t="s">
        <v>445</v>
      </c>
      <c r="Q7508" s="6" t="s">
        <v>446</v>
      </c>
      <c r="R7508" s="6" t="s">
        <v>447</v>
      </c>
      <c r="S7508" s="6" t="s">
        <v>448</v>
      </c>
    </row>
    <row r="7509" customFormat="false" ht="15" hidden="false" customHeight="false" outlineLevel="0" collapsed="false">
      <c r="A7509" s="9" t="s">
        <v>568</v>
      </c>
      <c r="B7509" s="36" t="s">
        <v>125</v>
      </c>
      <c r="C7509" s="55" t="n">
        <f aca="false">C7487-C7507</f>
        <v>-273265.178571429</v>
      </c>
      <c r="D7509" s="55" t="n">
        <f aca="false">D7487-D7507</f>
        <v>-239845.984280203</v>
      </c>
      <c r="E7509" s="55" t="n">
        <f aca="false">E7487-E7507</f>
        <v>-246836.898004607</v>
      </c>
      <c r="F7509" s="55" t="n">
        <f aca="false">F7487-F7507</f>
        <v>-249819.714144989</v>
      </c>
      <c r="G7509" s="55" t="n">
        <f aca="false">G7487-G7507</f>
        <v>-233234.1095737</v>
      </c>
      <c r="H7509" s="55" t="n">
        <f aca="false">H7487-H7507</f>
        <v>-194933.41163006</v>
      </c>
      <c r="I7509" s="55" t="n">
        <f aca="false">I7487-I7507</f>
        <v>-236334.577365291</v>
      </c>
      <c r="J7509" s="55" t="n">
        <f aca="false">J7487-J7507</f>
        <v>-199566.47650012</v>
      </c>
      <c r="K7509" s="55" t="n">
        <f aca="false">K7487-K7507</f>
        <v>-202377.241220189</v>
      </c>
      <c r="L7509" s="55" t="n">
        <f aca="false">L7487-L7507</f>
        <v>-196952.458302989</v>
      </c>
      <c r="M7509" s="55" t="n">
        <f aca="false">M7487-M7507</f>
        <v>-187086.688365408</v>
      </c>
      <c r="N7509" s="55" t="n">
        <f aca="false">N7487-N7507</f>
        <v>-176649.528376079</v>
      </c>
      <c r="P7509" s="55" t="n">
        <f aca="false">SUM(C7509:F7509)</f>
        <v>-1009767.77500123</v>
      </c>
      <c r="Q7509" s="55" t="n">
        <f aca="false">SUM(G7509:J7509)</f>
        <v>-864068.575069171</v>
      </c>
      <c r="R7509" s="55" t="n">
        <f aca="false">SUM(K7509:N7509)</f>
        <v>-763065.916264665</v>
      </c>
      <c r="S7509" s="56" t="n">
        <f aca="false">SUM(P7509:R7509)</f>
        <v>-2636902.26633506</v>
      </c>
    </row>
    <row r="7510" customFormat="false" ht="15" hidden="false" customHeight="false" outlineLevel="0" collapsed="false">
      <c r="A7510" s="9" t="s">
        <v>569</v>
      </c>
      <c r="B7510" s="36" t="s">
        <v>125</v>
      </c>
      <c r="C7510" s="55" t="n">
        <f aca="false">0+C7509</f>
        <v>-273265.178571429</v>
      </c>
      <c r="D7510" s="55" t="n">
        <f aca="false">C7510+D7509</f>
        <v>-513111.162851631</v>
      </c>
      <c r="E7510" s="55" t="n">
        <f aca="false">D7510+E7509</f>
        <v>-759948.060856238</v>
      </c>
      <c r="F7510" s="55" t="n">
        <f aca="false">E7510+F7509</f>
        <v>-1009767.77500123</v>
      </c>
      <c r="G7510" s="55" t="n">
        <f aca="false">F7510+G7509</f>
        <v>-1243001.88457493</v>
      </c>
      <c r="H7510" s="55" t="n">
        <f aca="false">G7510+H7509</f>
        <v>-1437935.29620499</v>
      </c>
      <c r="I7510" s="55" t="n">
        <f aca="false">H7510+I7509</f>
        <v>-1674269.87357028</v>
      </c>
      <c r="J7510" s="55" t="n">
        <f aca="false">I7510+J7509</f>
        <v>-1873836.3500704</v>
      </c>
      <c r="K7510" s="55" t="n">
        <f aca="false">J7510+K7509</f>
        <v>-2076213.59129059</v>
      </c>
      <c r="L7510" s="55" t="n">
        <f aca="false">K7510+L7509</f>
        <v>-2273166.04959358</v>
      </c>
      <c r="M7510" s="55" t="n">
        <f aca="false">L7510+M7509</f>
        <v>-2460252.73795898</v>
      </c>
      <c r="N7510" s="55" t="n">
        <f aca="false">M7510+N7509</f>
        <v>-2636902.26633506</v>
      </c>
      <c r="P7510" s="55" t="n">
        <f aca="false">F7510</f>
        <v>-1009767.77500123</v>
      </c>
      <c r="Q7510" s="55" t="n">
        <f aca="false">J7510</f>
        <v>-1873836.3500704</v>
      </c>
      <c r="R7510" s="55" t="n">
        <f aca="false">N7510</f>
        <v>-2636902.26633506</v>
      </c>
      <c r="S7510" s="56" t="n">
        <f aca="false">R7510</f>
        <v>-2636902.26633506</v>
      </c>
    </row>
    <row r="7511" customFormat="false" ht="15" hidden="false" customHeight="false" outlineLevel="0" collapsed="false">
      <c r="A7511" s="4" t="s">
        <v>570</v>
      </c>
      <c r="B7511" s="36" t="s">
        <v>107</v>
      </c>
      <c r="C7511" s="57" t="n">
        <f aca="false">1/(1+Assumptions!$E$87)^(C7430/4)</f>
        <v>0.972065420906982</v>
      </c>
      <c r="D7511" s="57" t="n">
        <f aca="false">1/(1+Assumptions!$E$87)^(D7430/4)</f>
        <v>0.944911182523068</v>
      </c>
      <c r="E7511" s="57" t="n">
        <f aca="false">1/(1+Assumptions!$E$87)^(E7430/4)</f>
        <v>0.918515486359</v>
      </c>
      <c r="F7511" s="57" t="n">
        <f aca="false">1/(1+Assumptions!$E$87)^(F7430/4)</f>
        <v>0.892857142857143</v>
      </c>
      <c r="G7511" s="57" t="n">
        <f aca="false">1/(1+Assumptions!$E$87)^(G7430/4)</f>
        <v>0.867915554381234</v>
      </c>
      <c r="H7511" s="57" t="n">
        <f aca="false">1/(1+Assumptions!$E$87)^(H7430/4)</f>
        <v>0.843670698681311</v>
      </c>
      <c r="I7511" s="57" t="n">
        <f aca="false">1/(1+Assumptions!$E$87)^(I7430/4)</f>
        <v>0.820103112820536</v>
      </c>
      <c r="J7511" s="57" t="n">
        <f aca="false">1/(1+Assumptions!$E$87)^(J7430/4)</f>
        <v>0.79719387755102</v>
      </c>
      <c r="K7511" s="57" t="n">
        <f aca="false">1/(1+Assumptions!$E$87)^(K7430/4)</f>
        <v>0.774924602126102</v>
      </c>
      <c r="L7511" s="57" t="n">
        <f aca="false">1/(1+Assumptions!$E$87)^(L7430/4)</f>
        <v>0.753277409536885</v>
      </c>
      <c r="M7511" s="57" t="n">
        <f aca="false">1/(1+Assumptions!$E$87)^(M7430/4)</f>
        <v>0.732234922161193</v>
      </c>
      <c r="N7511" s="57" t="n">
        <f aca="false">1/(1+Assumptions!$E$87)^(N7430/4)</f>
        <v>0.711780247813411</v>
      </c>
      <c r="P7511" s="58"/>
      <c r="Q7511" s="58"/>
      <c r="R7511" s="58"/>
      <c r="S7511" s="59"/>
    </row>
    <row r="7512" customFormat="false" ht="15" hidden="false" customHeight="false" outlineLevel="0" collapsed="false">
      <c r="A7512" s="4" t="s">
        <v>571</v>
      </c>
      <c r="B7512" s="36" t="s">
        <v>125</v>
      </c>
      <c r="C7512" s="54" t="n">
        <f aca="false">(C7487*(1-Assumptions!$E$88)-C7507)*C7511</f>
        <v>-265631.630827257</v>
      </c>
      <c r="D7512" s="54" t="n">
        <f aca="false">(D7487*(1-Assumptions!$E$88)-D7507)*D7511</f>
        <v>-226769.448545582</v>
      </c>
      <c r="E7512" s="54" t="n">
        <f aca="false">(E7487*(1-Assumptions!$E$88)-E7507)*E7511</f>
        <v>-227282.237734145</v>
      </c>
      <c r="F7512" s="54" t="n">
        <f aca="false">(F7487*(1-Assumptions!$E$88)-F7507)*F7511</f>
        <v>-224239.796567428</v>
      </c>
      <c r="G7512" s="54" t="n">
        <f aca="false">(G7487*(1-Assumptions!$E$88)-G7507)*G7511</f>
        <v>-204315.713278482</v>
      </c>
      <c r="H7512" s="54" t="n">
        <f aca="false">(H7487*(1-Assumptions!$E$88)-H7507)*H7511</f>
        <v>-167133.794263849</v>
      </c>
      <c r="I7512" s="54" t="n">
        <f aca="false">(I7487*(1-Assumptions!$E$88)-I7507)*I7511</f>
        <v>-197409.13308784</v>
      </c>
      <c r="J7512" s="54" t="n">
        <f aca="false">(J7487*(1-Assumptions!$E$88)-J7507)*J7511</f>
        <v>-163824.077708669</v>
      </c>
      <c r="K7512" s="54" t="n">
        <f aca="false">(K7487*(1-Assumptions!$E$88)-K7507)*K7511</f>
        <v>-163018.017716231</v>
      </c>
      <c r="L7512" s="54" t="n">
        <f aca="false">(L7487*(1-Assumptions!$E$88)-L7507)*L7511</f>
        <v>-156186.460344417</v>
      </c>
      <c r="M7512" s="54" t="n">
        <f aca="false">(M7487*(1-Assumptions!$E$88)-M7507)*M7511</f>
        <v>-146416.763596484</v>
      </c>
      <c r="N7512" s="54" t="n">
        <f aca="false">(N7487*(1-Assumptions!$E$88)-N7507)*N7511</f>
        <v>-136652.07979038</v>
      </c>
      <c r="P7512" s="55" t="n">
        <f aca="false">SUM(C7512:F7512)</f>
        <v>-943923.113674412</v>
      </c>
      <c r="Q7512" s="55" t="n">
        <f aca="false">SUM(G7512:J7512)</f>
        <v>-732682.718338839</v>
      </c>
      <c r="R7512" s="55" t="n">
        <f aca="false">SUM(K7512:N7512)</f>
        <v>-602273.321447512</v>
      </c>
      <c r="S7512" s="56" t="n">
        <f aca="false">SUM(P7512:R7512)</f>
        <v>-2278879.15346076</v>
      </c>
    </row>
    <row r="7513" customFormat="false" ht="15" hidden="false" customHeight="false" outlineLevel="0" collapsed="false">
      <c r="A7513" s="4" t="s">
        <v>572</v>
      </c>
      <c r="B7513" s="36" t="s">
        <v>125</v>
      </c>
      <c r="C7513" s="54" t="n">
        <f aca="false">(C7507-C7506)*12/(Assumptions!$E$89*Assumptions!$E$76)*Assumptions!$E$90</f>
        <v>189183.585164835</v>
      </c>
      <c r="D7513" s="54" t="n">
        <f aca="false">(D7507-D7506)*12/(Assumptions!$E$89*Assumptions!$E$76)*Assumptions!$E$90</f>
        <v>166148.225596637</v>
      </c>
      <c r="E7513" s="54" t="n">
        <f aca="false">(E7507-E7506)*12/(Assumptions!$E$89*Assumptions!$E$76)*Assumptions!$E$90</f>
        <v>171873.015096213</v>
      </c>
      <c r="F7513" s="54" t="n">
        <f aca="false">(F7507-F7506)*12/(Assumptions!$E$89*Assumptions!$E$76)*Assumptions!$E$90</f>
        <v>175624.294246362</v>
      </c>
      <c r="G7513" s="54" t="n">
        <f aca="false">(G7507-G7506)*12/(Assumptions!$E$89*Assumptions!$E$76)*Assumptions!$E$90</f>
        <v>166205.493853604</v>
      </c>
      <c r="H7513" s="54" t="n">
        <f aca="false">(H7507-H7506)*12/(Assumptions!$E$89*Assumptions!$E$76)*Assumptions!$E$90</f>
        <v>142056.840697718</v>
      </c>
      <c r="I7513" s="54" t="n">
        <f aca="false">(I7507-I7506)*12/(Assumptions!$E$89*Assumptions!$E$76)*Assumptions!$E$90</f>
        <v>173631.237680985</v>
      </c>
      <c r="J7513" s="54" t="n">
        <f aca="false">(J7507-J7506)*12/(Assumptions!$E$89*Assumptions!$E$76)*Assumptions!$E$90</f>
        <v>151791.574456778</v>
      </c>
      <c r="K7513" s="54" t="n">
        <f aca="false">(K7507-K7506)*12/(Assumptions!$E$89*Assumptions!$E$76)*Assumptions!$E$90</f>
        <v>158603.39452354</v>
      </c>
      <c r="L7513" s="54" t="n">
        <f aca="false">(L7507-L7506)*12/(Assumptions!$E$89*Assumptions!$E$76)*Assumptions!$E$90</f>
        <v>160914.298630602</v>
      </c>
      <c r="M7513" s="54" t="n">
        <f aca="false">(M7507-M7506)*12/(Assumptions!$E$89*Assumptions!$E$76)*Assumptions!$E$90</f>
        <v>160556.238657537</v>
      </c>
      <c r="N7513" s="54" t="n">
        <f aca="false">(N7507-N7506)*12/(Assumptions!$E$89*Assumptions!$E$76)*Assumptions!$E$90</f>
        <v>159868.95128404</v>
      </c>
      <c r="P7513" s="55" t="n">
        <f aca="false">SUM(C7513:F7513)</f>
        <v>702829.120104047</v>
      </c>
      <c r="Q7513" s="55" t="n">
        <f aca="false">SUM(G7513:J7513)</f>
        <v>633685.146689086</v>
      </c>
      <c r="R7513" s="55" t="n">
        <f aca="false">SUM(K7513:N7513)</f>
        <v>639942.883095718</v>
      </c>
      <c r="S7513" s="56" t="n">
        <f aca="false">SUM(P7513:R7513)</f>
        <v>1976457.14988885</v>
      </c>
    </row>
    <row r="7514" customFormat="false" ht="15" hidden="false" customHeight="false" outlineLevel="0" collapsed="false">
      <c r="A7514" s="4" t="s">
        <v>573</v>
      </c>
      <c r="B7514" s="36" t="s">
        <v>125</v>
      </c>
      <c r="C7514" s="54" t="n">
        <f aca="false">0*Assumptions!$E$92^(1/4)+C7513</f>
        <v>189183.585164835</v>
      </c>
      <c r="D7514" s="54" t="n">
        <f aca="false">C7514*Assumptions!$E$92^(1/4)+D7513</f>
        <v>355803.006403651</v>
      </c>
      <c r="E7514" s="54" t="n">
        <f aca="false">D7514*Assumptions!$E$92^(1/4)+E7513</f>
        <v>528562.212687887</v>
      </c>
      <c r="F7514" s="54" t="n">
        <f aca="false">E7514*Assumptions!$E$92^(1/4)+F7513</f>
        <v>705502.985903723</v>
      </c>
      <c r="G7514" s="54" t="n">
        <f aca="false">F7514*Assumptions!$E$92^(1/4)+G7513</f>
        <v>873465.661450509</v>
      </c>
      <c r="H7514" s="54" t="n">
        <f aca="false">G7514*Assumptions!$E$92^(1/4)+H7513</f>
        <v>1017698.02500297</v>
      </c>
      <c r="I7514" s="54" t="n">
        <f aca="false">H7514*Assumptions!$E$92^(1/4)+I7513</f>
        <v>1193864.02210306</v>
      </c>
      <c r="J7514" s="54" t="n">
        <f aca="false">I7514*Assumptions!$E$92^(1/4)+J7513</f>
        <v>1348629.1289838</v>
      </c>
      <c r="K7514" s="54" t="n">
        <f aca="false">J7514*Assumptions!$E$92^(1/4)+K7513</f>
        <v>1510591.52618159</v>
      </c>
      <c r="L7514" s="54" t="n">
        <f aca="false">K7514*Assumptions!$E$92^(1/4)+L7513</f>
        <v>1675268.22387884</v>
      </c>
      <c r="M7514" s="54" t="n">
        <f aca="false">L7514*Assumptions!$E$92^(1/4)+M7513</f>
        <v>1839997.01844753</v>
      </c>
      <c r="N7514" s="54" t="n">
        <f aca="false">M7514*Assumptions!$E$92^(1/4)+N7513</f>
        <v>2004448.81224383</v>
      </c>
      <c r="P7514" s="55" t="n">
        <f aca="false">F7514</f>
        <v>705502.985903723</v>
      </c>
      <c r="Q7514" s="55" t="n">
        <f aca="false">J7514</f>
        <v>1348629.1289838</v>
      </c>
      <c r="R7514" s="55" t="n">
        <f aca="false">N7514</f>
        <v>2004448.81224383</v>
      </c>
      <c r="S7514" s="56" t="n">
        <f aca="false">R7514</f>
        <v>2004448.81224383</v>
      </c>
    </row>
    <row r="7515" customFormat="false" ht="15" hidden="false" customHeight="false" outlineLevel="0" collapsed="false">
      <c r="A7515" s="4" t="s">
        <v>574</v>
      </c>
      <c r="B7515" s="36" t="s">
        <v>125</v>
      </c>
      <c r="C7515" s="54" t="n">
        <f aca="false">(0+C7514)/8*Assumptions!$E$76-(C7507-C7506)-C7514*Assumptions!$E$93/4</f>
        <v>-260258.807091346</v>
      </c>
      <c r="D7515" s="54" t="n">
        <f aca="false">(C7514+D7514)/8*Assumptions!$E$76-(D7507-D7506)-D7514*Assumptions!$E$93/4</f>
        <v>-200159.258432471</v>
      </c>
      <c r="E7515" s="54" t="n">
        <f aca="false">(D7514+E7514)/8*Assumptions!$E$76-(E7507-E7506)-E7514*Assumptions!$E$93/4</f>
        <v>-183013.375413052</v>
      </c>
      <c r="F7515" s="54" t="n">
        <f aca="false">(E7514+F7514)/8*Assumptions!$E$76-(F7507-F7506)-F7514*Assumptions!$E$93/4</f>
        <v>-162230.526071863</v>
      </c>
      <c r="G7515" s="54" t="n">
        <f aca="false">(F7514+G7514)/8*Assumptions!$E$76-(G7507-G7506)-G7514*Assumptions!$E$93/4</f>
        <v>-122701.720403584</v>
      </c>
      <c r="H7515" s="54" t="n">
        <f aca="false">(G7514+H7514)/8*Assumptions!$E$76-(H7507-H7506)-H7514*Assumptions!$E$93/4</f>
        <v>-64257.3901293397</v>
      </c>
      <c r="I7515" s="54" t="n">
        <f aca="false">(H7514+I7514)/8*Assumptions!$E$76-(I7507-I7506)-I7514*Assumptions!$E$93/4</f>
        <v>-86034.5605992352</v>
      </c>
      <c r="J7515" s="54" t="n">
        <f aca="false">(I7514+J7514)/8*Assumptions!$E$76-(J7507-J7506)-J7514*Assumptions!$E$93/4</f>
        <v>-29534.7920240591</v>
      </c>
      <c r="K7515" s="54" t="n">
        <f aca="false">(J7514+K7514)/8*Assumptions!$E$76-(K7507-K7506)-K7514*Assumptions!$E$93/4</f>
        <v>-15664.5079346395</v>
      </c>
      <c r="L7515" s="54" t="n">
        <f aca="false">(K7514+L7514)/8*Assumptions!$E$76-(L7507-L7506)-L7514*Assumptions!$E$93/4</f>
        <v>5478.48720527769</v>
      </c>
      <c r="M7515" s="54" t="n">
        <f aca="false">(L7514+M7514)/8*Assumptions!$E$76-(M7507-M7506)-M7514*Assumptions!$E$93/4</f>
        <v>30700.7712586487</v>
      </c>
      <c r="N7515" s="54" t="n">
        <f aca="false">(M7514+N7514)/8*Assumptions!$E$76-(N7507-N7506)-N7514*Assumptions!$E$93/4</f>
        <v>56383.7950692349</v>
      </c>
      <c r="P7515" s="55" t="n">
        <f aca="false">SUM(C7515:F7515)</f>
        <v>-805661.967008731</v>
      </c>
      <c r="Q7515" s="55" t="n">
        <f aca="false">SUM(G7515:J7515)</f>
        <v>-302528.463156218</v>
      </c>
      <c r="R7515" s="55" t="n">
        <f aca="false">SUM(K7515:N7515)</f>
        <v>76898.5455985217</v>
      </c>
      <c r="S7515" s="56" t="n">
        <f aca="false">SUM(P7515:R7515)</f>
        <v>-1031291.88456643</v>
      </c>
    </row>
    <row r="7516" customFormat="false" ht="15" hidden="false" customHeight="false" outlineLevel="0" collapsed="false">
      <c r="A7516" s="4" t="s">
        <v>575</v>
      </c>
      <c r="B7516" s="36" t="s">
        <v>125</v>
      </c>
      <c r="C7516" s="54" t="n">
        <f aca="false">C7515*C7511</f>
        <v>-252988.586859998</v>
      </c>
      <c r="D7516" s="54" t="n">
        <f aca="false">D7515*D7511</f>
        <v>-189132.721578366</v>
      </c>
      <c r="E7516" s="54" t="n">
        <f aca="false">E7515*E7511</f>
        <v>-168100.619527721</v>
      </c>
      <c r="F7516" s="54" t="n">
        <f aca="false">F7515*F7511</f>
        <v>-144848.683992735</v>
      </c>
      <c r="G7516" s="54" t="n">
        <f aca="false">G7515*G7511</f>
        <v>-106494.731687608</v>
      </c>
      <c r="H7516" s="54" t="n">
        <f aca="false">H7515*H7511</f>
        <v>-54212.0772258576</v>
      </c>
      <c r="I7516" s="54" t="n">
        <f aca="false">I7515*I7511</f>
        <v>-70557.2109575798</v>
      </c>
      <c r="J7516" s="54" t="n">
        <f aca="false">J7515*J7511</f>
        <v>-23544.9553763226</v>
      </c>
      <c r="K7516" s="54" t="n">
        <f aca="false">K7515*K7511</f>
        <v>-12138.8125787517</v>
      </c>
      <c r="L7516" s="54" t="n">
        <f aca="false">L7515*L7511</f>
        <v>4126.82065017255</v>
      </c>
      <c r="M7516" s="54" t="n">
        <f aca="false">M7515*M7511</f>
        <v>22480.1768528652</v>
      </c>
      <c r="N7516" s="54" t="n">
        <f aca="false">N7515*N7511</f>
        <v>40132.8716270406</v>
      </c>
      <c r="P7516" s="55" t="n">
        <f aca="false">SUM(C7516:F7516)</f>
        <v>-755070.611958821</v>
      </c>
      <c r="Q7516" s="55" t="n">
        <f aca="false">SUM(G7516:J7516)</f>
        <v>-254808.975247368</v>
      </c>
      <c r="R7516" s="55" t="n">
        <f aca="false">SUM(K7516:N7516)</f>
        <v>54601.0565513266</v>
      </c>
      <c r="S7516" s="56" t="n">
        <f aca="false">SUM(P7516:R7516)</f>
        <v>-955278.530654862</v>
      </c>
    </row>
    <row r="7517" customFormat="false" ht="15" hidden="false" customHeight="false" outlineLevel="0" collapsed="false">
      <c r="A7517" s="4" t="s">
        <v>576</v>
      </c>
      <c r="B7517" s="36"/>
      <c r="C7517" s="37" t="n">
        <f aca="false">IFERROR((S7472*$C$7421*Assumptions!$E$59+S7473*$C$7422*Assumptions!$E$60+S7474*$C$7423*Assumptions!$E$61)/(S7472*$C$7421+S7473*$C$7422+S7474*$C$7423),0.9)</f>
        <v>0.897372181179546</v>
      </c>
    </row>
    <row r="7518" customFormat="false" ht="15" hidden="false" customHeight="false" outlineLevel="0" collapsed="false">
      <c r="A7518" s="4" t="s">
        <v>577</v>
      </c>
      <c r="B7518" s="36"/>
      <c r="C7518" s="37" t="n">
        <f aca="false">IFERROR(N7506*4/N7484,0)</f>
        <v>0.175911884278844</v>
      </c>
    </row>
    <row r="7519" customFormat="false" ht="15" hidden="false" customHeight="false" outlineLevel="0" collapsed="false">
      <c r="A7519" s="4" t="s">
        <v>578</v>
      </c>
      <c r="B7519" s="36"/>
      <c r="C7519" s="60" t="n">
        <f aca="false">$C$7517/(1+Assumptions!$E$87)</f>
        <v>0.801225161767451</v>
      </c>
    </row>
    <row r="7520" customFormat="false" ht="15" hidden="false" customHeight="false" outlineLevel="0" collapsed="false">
      <c r="A7520" s="4" t="s">
        <v>579</v>
      </c>
      <c r="B7520" s="36"/>
      <c r="C7520" s="60" t="n">
        <f aca="false">Assumptions!$E$91/(1+Assumptions!$E$87)</f>
        <v>0.803571428571429</v>
      </c>
    </row>
    <row r="7521" customFormat="false" ht="15" hidden="false" customHeight="false" outlineLevel="0" collapsed="false">
      <c r="A7521" s="35" t="s">
        <v>580</v>
      </c>
      <c r="B7521" s="35" t="s">
        <v>444</v>
      </c>
      <c r="C7521" s="6" t="s">
        <v>354</v>
      </c>
      <c r="D7521" s="6" t="s">
        <v>355</v>
      </c>
      <c r="E7521" s="6" t="s">
        <v>356</v>
      </c>
      <c r="F7521" s="6" t="s">
        <v>357</v>
      </c>
      <c r="G7521" s="6" t="s">
        <v>358</v>
      </c>
      <c r="H7521" s="6" t="s">
        <v>359</v>
      </c>
      <c r="I7521" s="6" t="s">
        <v>360</v>
      </c>
      <c r="J7521" s="6" t="s">
        <v>361</v>
      </c>
      <c r="K7521" s="6" t="s">
        <v>362</v>
      </c>
      <c r="L7521" s="6" t="s">
        <v>363</v>
      </c>
      <c r="M7521" s="6" t="s">
        <v>364</v>
      </c>
      <c r="N7521" s="6" t="s">
        <v>365</v>
      </c>
      <c r="P7521" s="6" t="s">
        <v>445</v>
      </c>
      <c r="Q7521" s="6" t="s">
        <v>446</v>
      </c>
      <c r="R7521" s="6" t="s">
        <v>447</v>
      </c>
      <c r="S7521" s="6" t="s">
        <v>448</v>
      </c>
    </row>
    <row r="7522" customFormat="false" ht="15" hidden="false" customHeight="false" outlineLevel="0" collapsed="false">
      <c r="A7522" s="9" t="s">
        <v>581</v>
      </c>
      <c r="C7522" s="61" t="n">
        <f aca="false">N7484</f>
        <v>509612.726732255</v>
      </c>
      <c r="D7522" s="61"/>
    </row>
    <row r="7523" customFormat="false" ht="15" hidden="false" customHeight="false" outlineLevel="0" collapsed="false">
      <c r="A7523" s="9" t="s">
        <v>582</v>
      </c>
      <c r="C7523" s="62" t="n">
        <f aca="false">N7480</f>
        <v>49.5280990541991</v>
      </c>
      <c r="D7523" s="62"/>
    </row>
    <row r="7524" customFormat="false" ht="15" hidden="false" customHeight="false" outlineLevel="0" collapsed="false">
      <c r="A7524" s="9" t="s">
        <v>583</v>
      </c>
      <c r="C7524" s="63" t="n">
        <f aca="false">S7475</f>
        <v>54.7491194625937</v>
      </c>
      <c r="D7524" s="63"/>
    </row>
    <row r="7525" customFormat="false" ht="15" hidden="false" customHeight="false" outlineLevel="0" collapsed="false">
      <c r="A7525" s="9" t="s">
        <v>584</v>
      </c>
      <c r="C7525" s="61" t="n">
        <f aca="false">S7486</f>
        <v>494823.782961303</v>
      </c>
      <c r="D7525" s="61"/>
    </row>
    <row r="7526" customFormat="false" ht="15" hidden="false" customHeight="false" outlineLevel="0" collapsed="false">
      <c r="A7526" s="9" t="s">
        <v>22</v>
      </c>
      <c r="C7526" s="61" t="n">
        <f aca="false">IFERROR(S7485/S7475,0)</f>
        <v>8847.97350983958</v>
      </c>
      <c r="D7526" s="61"/>
    </row>
    <row r="7527" customFormat="false" ht="15" hidden="false" customHeight="false" outlineLevel="0" collapsed="false">
      <c r="A7527" s="9" t="s">
        <v>585</v>
      </c>
      <c r="C7527" s="61" t="n">
        <f aca="false">IFERROR(S7503/S7475,0)</f>
        <v>39317.4695170113</v>
      </c>
      <c r="D7527" s="61"/>
    </row>
    <row r="7528" customFormat="false" ht="23.85" hidden="false" customHeight="false" outlineLevel="0" collapsed="false">
      <c r="A7528" s="9" t="s">
        <v>586</v>
      </c>
      <c r="C7528" s="61" t="n">
        <f aca="false">IFERROR((S7497+S7499+S7500+S7501+S7502)/S7475,0)</f>
        <v>15759.6868567063</v>
      </c>
      <c r="D7528" s="61"/>
    </row>
    <row r="7529" customFormat="false" ht="15" hidden="false" customHeight="false" outlineLevel="0" collapsed="false">
      <c r="A7529" s="9" t="s">
        <v>587</v>
      </c>
      <c r="C7529" s="64" t="n">
        <f aca="false">IFERROR('Engine Runs'!$C$7527/('Engine Runs'!$C$7526*Assumptions!$E$76/12),0)</f>
        <v>82.0369743299367</v>
      </c>
      <c r="D7529" s="64"/>
    </row>
    <row r="7530" customFormat="false" ht="15" hidden="false" customHeight="false" outlineLevel="0" collapsed="false">
      <c r="A7530" s="9" t="s">
        <v>588</v>
      </c>
      <c r="C7530" s="64" t="n">
        <f aca="false">IFERROR((R7503/R7475)/((R7485/R7475)*Assumptions!$E$76/12),0)</f>
        <v>53.3947940466417</v>
      </c>
      <c r="D7530" s="64"/>
    </row>
    <row r="7531" customFormat="false" ht="15" hidden="false" customHeight="false" outlineLevel="0" collapsed="false">
      <c r="A7531" s="9" t="s">
        <v>589</v>
      </c>
      <c r="C7531" s="61" t="n">
        <f aca="false">S7507</f>
        <v>2958537.72525991</v>
      </c>
      <c r="D7531" s="61"/>
    </row>
    <row r="7532" customFormat="false" ht="15" hidden="false" customHeight="false" outlineLevel="0" collapsed="false">
      <c r="A7532" s="9" t="s">
        <v>590</v>
      </c>
      <c r="C7532" s="61" t="n">
        <f aca="false">N7510</f>
        <v>-2636902.26633506</v>
      </c>
      <c r="D7532" s="61"/>
    </row>
    <row r="7533" customFormat="false" ht="15" hidden="false" customHeight="false" outlineLevel="0" collapsed="false">
      <c r="A7533" s="9" t="s">
        <v>591</v>
      </c>
      <c r="C7533" s="61" t="n">
        <f aca="false">MIN($C$7510:$N$7510)</f>
        <v>-2636902.26633506</v>
      </c>
      <c r="D7533" s="61"/>
    </row>
    <row r="7534" customFormat="false" ht="15" hidden="false" customHeight="false" outlineLevel="0" collapsed="false">
      <c r="A7534" s="9" t="s">
        <v>592</v>
      </c>
      <c r="C7534" s="61" t="n">
        <f aca="false">N7484*(Assumptions!$E$76-$C$7518)*$C$7517*(1-$C$7517^Assumptions!$E$85)/(1-$C$7517)</f>
        <v>883215.352678571</v>
      </c>
      <c r="D7534" s="61"/>
    </row>
    <row r="7535" customFormat="false" ht="15" hidden="false" customHeight="false" outlineLevel="0" collapsed="false">
      <c r="A7535" s="9" t="s">
        <v>593</v>
      </c>
      <c r="C7535" s="61" t="n">
        <f aca="false">N7484*(Assumptions!$E$76-$C$7518)*(1-Assumptions!$E$88)/(1+Assumptions!$E$87)^2.5*$C$7519*(1-$C$7519^Assumptions!$E$85)/(1-$C$7519)</f>
        <v>393083.337460226</v>
      </c>
      <c r="D7535" s="61"/>
    </row>
    <row r="7536" customFormat="false" ht="15" hidden="false" customHeight="false" outlineLevel="0" collapsed="false">
      <c r="A7536" s="9" t="s">
        <v>594</v>
      </c>
      <c r="C7536" s="61" t="n">
        <f aca="false">SUM($C$7512:$N$7512)+'Engine Runs'!$C$7535</f>
        <v>-1885795.81600054</v>
      </c>
      <c r="D7536" s="61"/>
    </row>
    <row r="7537" customFormat="false" ht="15" hidden="false" customHeight="false" outlineLevel="0" collapsed="false">
      <c r="A7537" s="9" t="s">
        <v>595</v>
      </c>
      <c r="C7537" s="61" t="n">
        <f aca="false">SUM($C$7516:$N$7516)+N7514*(Assumptions!$E$76-Assumptions!$E$93)/(1+Assumptions!$E$87)^2.5*$C$7520*(1-$C$7520^Assumptions!$E$85)/(1-$C$7520)</f>
        <v>1509077.93012612</v>
      </c>
      <c r="D7537" s="61"/>
    </row>
    <row r="7538" customFormat="false" ht="15" hidden="false" customHeight="false" outlineLevel="0" collapsed="false">
      <c r="A7538" s="9" t="s">
        <v>596</v>
      </c>
      <c r="C7538" s="61" t="n">
        <f aca="false">'Engine Runs'!$C$7536-'Engine Runs'!$C$7537</f>
        <v>-3394873.74612666</v>
      </c>
      <c r="D7538" s="61"/>
    </row>
    <row r="7539" customFormat="false" ht="15" hidden="false" customHeight="false" outlineLevel="0" collapsed="false">
      <c r="A7539" s="9" t="s">
        <v>597</v>
      </c>
      <c r="C7539" s="61" t="n">
        <f aca="false">S7471</f>
        <v>0</v>
      </c>
      <c r="D7539" s="61"/>
    </row>
    <row r="7540" customFormat="false" ht="15" hidden="false" customHeight="false" outlineLevel="0" collapsed="false">
      <c r="A7540" s="9" t="s">
        <v>598</v>
      </c>
      <c r="C7540" s="63" t="n">
        <f aca="false">P7455</f>
        <v>43.6188722246667</v>
      </c>
      <c r="D7540" s="63"/>
    </row>
    <row r="7541" customFormat="false" ht="15" hidden="false" customHeight="false" outlineLevel="0" collapsed="false">
      <c r="A7541" s="9" t="s">
        <v>599</v>
      </c>
      <c r="C7541" s="63" t="n">
        <f aca="false">P7475</f>
        <v>6.18260904948639</v>
      </c>
      <c r="D7541" s="63"/>
    </row>
    <row r="7542" customFormat="false" ht="15" hidden="false" customHeight="false" outlineLevel="0" collapsed="false">
      <c r="A7542" s="9" t="s">
        <v>600</v>
      </c>
      <c r="C7542" s="63" t="n">
        <f aca="false">P7451</f>
        <v>42</v>
      </c>
      <c r="D7542" s="63"/>
    </row>
    <row r="7543" customFormat="false" ht="15" hidden="false" customHeight="false" outlineLevel="0" collapsed="false">
      <c r="A7543" s="9" t="s">
        <v>601</v>
      </c>
      <c r="C7543" s="61" t="n">
        <f aca="false">IFERROR(P7485/P7475,0)</f>
        <v>8545.01753177967</v>
      </c>
      <c r="D7543" s="61"/>
    </row>
    <row r="7546" customFormat="false" ht="15" hidden="false" customHeight="true" outlineLevel="0" collapsed="false">
      <c r="A7546" s="78" t="s">
        <v>903</v>
      </c>
      <c r="B7546" s="78"/>
      <c r="C7546" s="78"/>
      <c r="D7546" s="78"/>
      <c r="E7546" s="78"/>
      <c r="F7546" s="78"/>
      <c r="G7546" s="78"/>
      <c r="H7546" s="78"/>
      <c r="I7546" s="78"/>
      <c r="J7546" s="78"/>
      <c r="K7546" s="78"/>
      <c r="L7546" s="78"/>
      <c r="M7546" s="78"/>
      <c r="N7546" s="78"/>
    </row>
    <row r="7547" customFormat="false" ht="15" hidden="false" customHeight="true" outlineLevel="0" collapsed="false">
      <c r="A7547" s="79" t="s">
        <v>904</v>
      </c>
      <c r="B7547" s="79"/>
      <c r="C7547" s="79"/>
      <c r="D7547" s="79"/>
      <c r="E7547" s="79"/>
      <c r="F7547" s="79"/>
      <c r="G7547" s="79"/>
      <c r="H7547" s="79"/>
      <c r="I7547" s="79"/>
      <c r="J7547" s="79"/>
      <c r="K7547" s="79"/>
      <c r="L7547" s="79"/>
      <c r="M7547" s="79"/>
      <c r="N7547" s="79"/>
    </row>
    <row r="7548" customFormat="false" ht="23.85" hidden="false" customHeight="false" outlineLevel="0" collapsed="false">
      <c r="A7548" s="35" t="s">
        <v>905</v>
      </c>
      <c r="B7548" s="35" t="s">
        <v>444</v>
      </c>
      <c r="C7548" s="6" t="s">
        <v>354</v>
      </c>
      <c r="D7548" s="6" t="s">
        <v>355</v>
      </c>
      <c r="E7548" s="6" t="s">
        <v>356</v>
      </c>
      <c r="F7548" s="6" t="s">
        <v>357</v>
      </c>
      <c r="G7548" s="6" t="s">
        <v>358</v>
      </c>
      <c r="H7548" s="6" t="s">
        <v>359</v>
      </c>
      <c r="I7548" s="6" t="s">
        <v>360</v>
      </c>
      <c r="J7548" s="6" t="s">
        <v>361</v>
      </c>
      <c r="K7548" s="6" t="s">
        <v>362</v>
      </c>
      <c r="L7548" s="6" t="s">
        <v>363</v>
      </c>
      <c r="M7548" s="6" t="s">
        <v>364</v>
      </c>
      <c r="N7548" s="6" t="s">
        <v>365</v>
      </c>
      <c r="P7548" s="6" t="s">
        <v>445</v>
      </c>
      <c r="Q7548" s="6" t="s">
        <v>446</v>
      </c>
      <c r="R7548" s="6" t="s">
        <v>447</v>
      </c>
      <c r="S7548" s="6" t="s">
        <v>448</v>
      </c>
    </row>
    <row r="7549" customFormat="false" ht="15" hidden="false" customHeight="false" outlineLevel="0" collapsed="false">
      <c r="A7549" s="4" t="s">
        <v>449</v>
      </c>
      <c r="B7549" s="36" t="s">
        <v>450</v>
      </c>
      <c r="C7549" s="34" t="n">
        <f aca="false">'Market Sizing'!$C$17*Assumptions!$E$10*Assumptions!$E$11*(1-Assumptions!$E$12)</f>
        <v>843.03944704</v>
      </c>
    </row>
    <row r="7550" customFormat="false" ht="15" hidden="false" customHeight="false" outlineLevel="0" collapsed="false">
      <c r="A7550" s="4" t="s">
        <v>451</v>
      </c>
      <c r="B7550" s="36" t="s">
        <v>450</v>
      </c>
      <c r="C7550" s="34" t="n">
        <f aca="false">'Market Sizing'!$D$17*Assumptions!$E$10*Assumptions!$E$11*(1-Assumptions!$E$12)</f>
        <v>211.19616</v>
      </c>
    </row>
    <row r="7551" customFormat="false" ht="15" hidden="false" customHeight="false" outlineLevel="0" collapsed="false">
      <c r="A7551" s="4" t="s">
        <v>452</v>
      </c>
      <c r="B7551" s="36" t="s">
        <v>450</v>
      </c>
      <c r="C7551" s="34" t="n">
        <f aca="false">'Market Sizing'!$E$17*Assumptions!$E$10*Assumptions!$E$11*(1-Assumptions!$E$12)</f>
        <v>49.53984</v>
      </c>
    </row>
    <row r="7552" customFormat="false" ht="15" hidden="false" customHeight="false" outlineLevel="0" collapsed="false">
      <c r="A7552" s="4" t="s">
        <v>453</v>
      </c>
      <c r="B7552" s="36"/>
      <c r="C7552" s="34" t="n">
        <f aca="false">$C$7549+$C$7550+$C$7551</f>
        <v>1103.77544704</v>
      </c>
    </row>
    <row r="7553" customFormat="false" ht="15" hidden="false" customHeight="false" outlineLevel="0" collapsed="false">
      <c r="A7553" s="4" t="s">
        <v>454</v>
      </c>
      <c r="B7553" s="36" t="s">
        <v>450</v>
      </c>
      <c r="C7553" s="34" t="n">
        <f aca="false">'Market Sizing'!$C$18*Assumptions!$E$10*Assumptions!$E$11*(1-Assumptions!$E$12)</f>
        <v>612.57706944</v>
      </c>
    </row>
    <row r="7554" customFormat="false" ht="15" hidden="false" customHeight="false" outlineLevel="0" collapsed="false">
      <c r="A7554" s="4" t="s">
        <v>455</v>
      </c>
      <c r="B7554" s="36" t="s">
        <v>450</v>
      </c>
      <c r="C7554" s="34" t="n">
        <f aca="false">'Market Sizing'!$D$18*Assumptions!$E$10*Assumptions!$E$11*(1-Assumptions!$E$12)</f>
        <v>142.10112</v>
      </c>
    </row>
    <row r="7555" customFormat="false" ht="15" hidden="false" customHeight="false" outlineLevel="0" collapsed="false">
      <c r="A7555" s="4" t="s">
        <v>456</v>
      </c>
      <c r="B7555" s="36" t="s">
        <v>450</v>
      </c>
      <c r="C7555" s="34" t="n">
        <f aca="false">'Market Sizing'!$E$18*Assumptions!$E$10*Assumptions!$E$11*(1-Assumptions!$E$12)</f>
        <v>24.76992</v>
      </c>
    </row>
    <row r="7556" customFormat="false" ht="15" hidden="false" customHeight="false" outlineLevel="0" collapsed="false">
      <c r="A7556" s="4" t="s">
        <v>457</v>
      </c>
      <c r="B7556" s="36"/>
      <c r="C7556" s="34" t="n">
        <f aca="false">$C$7553+$C$7554+$C$7555</f>
        <v>779.44810944</v>
      </c>
    </row>
    <row r="7557" customFormat="false" ht="15" hidden="false" customHeight="false" outlineLevel="0" collapsed="false">
      <c r="A7557" s="4" t="s">
        <v>458</v>
      </c>
      <c r="B7557" s="36" t="s">
        <v>450</v>
      </c>
      <c r="C7557" s="34" t="n">
        <f aca="false">'Market Sizing'!$C$19*Assumptions!$E$10*Assumptions!$E$11*(1-Assumptions!$E$12)</f>
        <v>2060.77303936</v>
      </c>
    </row>
    <row r="7558" customFormat="false" ht="15" hidden="false" customHeight="false" outlineLevel="0" collapsed="false">
      <c r="A7558" s="4" t="s">
        <v>459</v>
      </c>
      <c r="B7558" s="36" t="s">
        <v>450</v>
      </c>
      <c r="C7558" s="34" t="n">
        <f aca="false">'Market Sizing'!$D$19*Assumptions!$E$10*Assumptions!$E$11*(1-Assumptions!$E$12)</f>
        <v>428.47616</v>
      </c>
    </row>
    <row r="7559" customFormat="false" ht="15" hidden="false" customHeight="false" outlineLevel="0" collapsed="false">
      <c r="A7559" s="4" t="s">
        <v>460</v>
      </c>
      <c r="B7559" s="36" t="s">
        <v>450</v>
      </c>
      <c r="C7559" s="34" t="n">
        <f aca="false">'Market Sizing'!$E$19*Assumptions!$E$10*Assumptions!$E$11*(1-Assumptions!$E$12)</f>
        <v>79.52448</v>
      </c>
    </row>
    <row r="7560" customFormat="false" ht="15" hidden="false" customHeight="false" outlineLevel="0" collapsed="false">
      <c r="A7560" s="4" t="s">
        <v>461</v>
      </c>
      <c r="B7560" s="36"/>
      <c r="C7560" s="34" t="n">
        <f aca="false">$C$7557+$C$7558+$C$7559</f>
        <v>2568.77367936</v>
      </c>
    </row>
    <row r="7561" customFormat="false" ht="15" hidden="false" customHeight="false" outlineLevel="0" collapsed="false">
      <c r="A7561" s="4" t="s">
        <v>462</v>
      </c>
      <c r="B7561" s="36" t="s">
        <v>463</v>
      </c>
      <c r="C7561" s="33" t="n">
        <f aca="false">MAX((Assumptions!$E$51+Assumptions!$E$53)*12,(((('Market Sizing'!$E$25*Assumptions!$E$41*Assumptions!$E$42*Assumptions!$E$43)*Assumptions!$E$44)*Assumptions!$E$45*Assumptions!$E$46+('Market Sizing'!$E$25*Assumptions!$E$41*Assumptions!$E$42*Assumptions!$E$43)*Assumptions!$E$47+('Market Sizing'!$E$25*Assumptions!$E$41*Assumptions!$E$42*Assumptions!$E$43)*Assumptions!$E$48*Assumptions!$E$49)*(Assumptions!$E$51*12/Assumptions!$E$52)+((('Market Sizing'!$E$25*Assumptions!$E$41*Assumptions!$E$42*Assumptions!$E$43)*Assumptions!$E$44)*Assumptions!$E$45+('Market Sizing'!$E$25*Assumptions!$E$41*Assumptions!$E$42*Assumptions!$E$43)+('Market Sizing'!$E$25*Assumptions!$E$41*Assumptions!$E$42*Assumptions!$E$43)*Assumptions!$E$48)*Assumptions!$E$50*(Assumptions!$E$53*12/Assumptions!$E$54)))</f>
        <v>5352</v>
      </c>
    </row>
    <row r="7562" customFormat="false" ht="15" hidden="false" customHeight="false" outlineLevel="0" collapsed="false">
      <c r="A7562" s="4" t="s">
        <v>464</v>
      </c>
      <c r="B7562" s="36" t="s">
        <v>463</v>
      </c>
      <c r="C7562" s="33" t="n">
        <f aca="false">MAX((Assumptions!$E$51+Assumptions!$E$53)*12,(((('Market Sizing'!$E$26*Assumptions!$E$41*Assumptions!$E$42*Assumptions!$E$43)*Assumptions!$E$44)*Assumptions!$E$45*Assumptions!$E$46+('Market Sizing'!$E$26*Assumptions!$E$41*Assumptions!$E$42*Assumptions!$E$43)*Assumptions!$E$47+('Market Sizing'!$E$26*Assumptions!$E$41*Assumptions!$E$42*Assumptions!$E$43)*Assumptions!$E$48*Assumptions!$E$49)*(Assumptions!$E$51*12/Assumptions!$E$52)+((('Market Sizing'!$E$26*Assumptions!$E$41*Assumptions!$E$42*Assumptions!$E$43)*Assumptions!$E$44)*Assumptions!$E$45+('Market Sizing'!$E$26*Assumptions!$E$41*Assumptions!$E$42*Assumptions!$E$43)+('Market Sizing'!$E$26*Assumptions!$E$41*Assumptions!$E$42*Assumptions!$E$43)*Assumptions!$E$48)*Assumptions!$E$50*(Assumptions!$E$53*12/Assumptions!$E$54)))</f>
        <v>9766.72012875208</v>
      </c>
    </row>
    <row r="7563" customFormat="false" ht="15" hidden="false" customHeight="false" outlineLevel="0" collapsed="false">
      <c r="A7563" s="4" t="s">
        <v>465</v>
      </c>
      <c r="B7563" s="36" t="s">
        <v>463</v>
      </c>
      <c r="C7563" s="33" t="n">
        <f aca="false">MAX(Assumptions!$E$55*(Assumptions!$E$51*12/Assumptions!$E$52)+Assumptions!$E$56*(Assumptions!$E$53*12/Assumptions!$E$54),(((('Market Sizing'!$E$27*Assumptions!$E$41*Assumptions!$E$42*Assumptions!$E$43)*Assumptions!$E$44)*Assumptions!$E$45*Assumptions!$E$46+('Market Sizing'!$E$27*Assumptions!$E$41*Assumptions!$E$42*Assumptions!$E$43)*Assumptions!$E$47+('Market Sizing'!$E$27*Assumptions!$E$41*Assumptions!$E$42*Assumptions!$E$43)*Assumptions!$E$48*Assumptions!$E$49)*(Assumptions!$E$51*12/Assumptions!$E$52)+((('Market Sizing'!$E$27*Assumptions!$E$41*Assumptions!$E$42*Assumptions!$E$43)*Assumptions!$E$44)*Assumptions!$E$45+('Market Sizing'!$E$27*Assumptions!$E$41*Assumptions!$E$42*Assumptions!$E$43)+('Market Sizing'!$E$27*Assumptions!$E$41*Assumptions!$E$42*Assumptions!$E$43)*Assumptions!$E$48)*Assumptions!$E$50*(Assumptions!$E$53*12/Assumptions!$E$54)))*(1-Assumptions!$E$57)</f>
        <v>61778.2562194386</v>
      </c>
    </row>
    <row r="7564" customFormat="false" ht="23.85" hidden="false" customHeight="false" outlineLevel="0" collapsed="false">
      <c r="A7564" s="4" t="s">
        <v>466</v>
      </c>
      <c r="B7564" s="36" t="s">
        <v>467</v>
      </c>
      <c r="C7564" s="37" t="n">
        <f aca="false">Assumptions!$E$17*Assumptions!$D$106</f>
        <v>0.4</v>
      </c>
    </row>
    <row r="7565" customFormat="false" ht="23.85" hidden="false" customHeight="false" outlineLevel="0" collapsed="false">
      <c r="A7565" s="4" t="s">
        <v>468</v>
      </c>
      <c r="B7565" s="36" t="s">
        <v>469</v>
      </c>
      <c r="C7565" s="33" t="n">
        <f aca="false">Assumptions!$E$68/Assumptions!$E$69</f>
        <v>285714.285714286</v>
      </c>
    </row>
    <row r="7566" customFormat="false" ht="23.85" hidden="false" customHeight="false" outlineLevel="0" collapsed="false">
      <c r="A7566" s="4" t="s">
        <v>470</v>
      </c>
      <c r="B7566" s="36" t="s">
        <v>471</v>
      </c>
      <c r="C7566" s="33" t="n">
        <f aca="false">Assumptions!$E$66*Assumptions!$E$67/4</f>
        <v>153125</v>
      </c>
    </row>
    <row r="7567" customFormat="false" ht="15" hidden="false" customHeight="false" outlineLevel="0" collapsed="false">
      <c r="A7567" s="4" t="s">
        <v>472</v>
      </c>
      <c r="B7567" s="36"/>
      <c r="C7567" s="38" t="n">
        <f aca="false">$C$7565/Assumptions!$E$66/Assumptions!$E$67</f>
        <v>0.466472303206997</v>
      </c>
    </row>
    <row r="7568" customFormat="false" ht="15" hidden="false" customHeight="false" outlineLevel="0" collapsed="false">
      <c r="A7568" s="4" t="s">
        <v>473</v>
      </c>
      <c r="B7568" s="36"/>
      <c r="C7568" s="33" t="n">
        <f aca="false">MAX(0,Assumptions!$D$103-Assumptions!$E$78)</f>
        <v>0</v>
      </c>
    </row>
    <row r="7569" customFormat="false" ht="15" hidden="false" customHeight="false" outlineLevel="0" collapsed="false">
      <c r="A7569" s="35" t="s">
        <v>474</v>
      </c>
      <c r="B7569" s="35" t="s">
        <v>444</v>
      </c>
      <c r="C7569" s="6" t="s">
        <v>354</v>
      </c>
      <c r="D7569" s="6" t="s">
        <v>355</v>
      </c>
      <c r="E7569" s="6" t="s">
        <v>356</v>
      </c>
      <c r="F7569" s="6" t="s">
        <v>357</v>
      </c>
      <c r="G7569" s="6" t="s">
        <v>358</v>
      </c>
      <c r="H7569" s="6" t="s">
        <v>359</v>
      </c>
      <c r="I7569" s="6" t="s">
        <v>360</v>
      </c>
      <c r="J7569" s="6" t="s">
        <v>361</v>
      </c>
      <c r="K7569" s="6" t="s">
        <v>362</v>
      </c>
      <c r="L7569" s="6" t="s">
        <v>363</v>
      </c>
      <c r="M7569" s="6" t="s">
        <v>364</v>
      </c>
      <c r="N7569" s="6" t="s">
        <v>365</v>
      </c>
      <c r="P7569" s="6" t="s">
        <v>445</v>
      </c>
      <c r="Q7569" s="6" t="s">
        <v>446</v>
      </c>
      <c r="R7569" s="6" t="s">
        <v>447</v>
      </c>
      <c r="S7569" s="6" t="s">
        <v>448</v>
      </c>
    </row>
    <row r="7570" customFormat="false" ht="15" hidden="false" customHeight="false" outlineLevel="0" collapsed="false">
      <c r="A7570" s="4" t="s">
        <v>475</v>
      </c>
      <c r="B7570" s="36" t="s">
        <v>133</v>
      </c>
      <c r="C7570" s="39" t="n">
        <v>1</v>
      </c>
      <c r="D7570" s="39" t="n">
        <v>2</v>
      </c>
      <c r="E7570" s="39" t="n">
        <v>3</v>
      </c>
      <c r="F7570" s="39" t="n">
        <v>4</v>
      </c>
      <c r="G7570" s="39" t="n">
        <v>5</v>
      </c>
      <c r="H7570" s="39" t="n">
        <v>6</v>
      </c>
      <c r="I7570" s="39" t="n">
        <v>7</v>
      </c>
      <c r="J7570" s="39" t="n">
        <v>8</v>
      </c>
      <c r="K7570" s="39" t="n">
        <v>9</v>
      </c>
      <c r="L7570" s="39" t="n">
        <v>10</v>
      </c>
      <c r="M7570" s="39" t="n">
        <v>11</v>
      </c>
      <c r="N7570" s="39" t="n">
        <v>12</v>
      </c>
      <c r="P7570" s="40"/>
      <c r="Q7570" s="40"/>
      <c r="R7570" s="40"/>
      <c r="S7570" s="41"/>
    </row>
    <row r="7571" customFormat="false" ht="15" hidden="false" customHeight="false" outlineLevel="0" collapsed="false">
      <c r="A7571" s="4" t="s">
        <v>476</v>
      </c>
      <c r="B7571" s="36" t="s">
        <v>343</v>
      </c>
      <c r="C7571" s="39" t="n">
        <f aca="false">IF(C7570&lt;=Assumptions!$E$84,1,0)</f>
        <v>1</v>
      </c>
      <c r="D7571" s="39" t="n">
        <f aca="false">IF(D7570&lt;=Assumptions!$E$84,1,0)</f>
        <v>1</v>
      </c>
      <c r="E7571" s="39" t="n">
        <f aca="false">IF(E7570&lt;=Assumptions!$E$84,1,0)</f>
        <v>1</v>
      </c>
      <c r="F7571" s="39" t="n">
        <f aca="false">IF(F7570&lt;=Assumptions!$E$84,1,0)</f>
        <v>1</v>
      </c>
      <c r="G7571" s="39" t="n">
        <f aca="false">IF(G7570&lt;=Assumptions!$E$84,1,0)</f>
        <v>1</v>
      </c>
      <c r="H7571" s="39" t="n">
        <f aca="false">IF(H7570&lt;=Assumptions!$E$84,1,0)</f>
        <v>1</v>
      </c>
      <c r="I7571" s="39" t="n">
        <f aca="false">IF(I7570&lt;=Assumptions!$E$84,1,0)</f>
        <v>1</v>
      </c>
      <c r="J7571" s="39" t="n">
        <f aca="false">IF(J7570&lt;=Assumptions!$E$84,1,0)</f>
        <v>1</v>
      </c>
      <c r="K7571" s="39" t="n">
        <f aca="false">IF(K7570&lt;=Assumptions!$E$84,1,0)</f>
        <v>1</v>
      </c>
      <c r="L7571" s="39" t="n">
        <f aca="false">IF(L7570&lt;=Assumptions!$E$84,1,0)</f>
        <v>1</v>
      </c>
      <c r="M7571" s="39" t="n">
        <f aca="false">IF(M7570&lt;=Assumptions!$E$84,1,0)</f>
        <v>1</v>
      </c>
      <c r="N7571" s="39" t="n">
        <f aca="false">IF(N7570&lt;=Assumptions!$E$84,1,0)</f>
        <v>1</v>
      </c>
      <c r="P7571" s="40"/>
      <c r="Q7571" s="40"/>
      <c r="R7571" s="40"/>
      <c r="S7571" s="41"/>
    </row>
    <row r="7572" customFormat="false" ht="15" hidden="false" customHeight="false" outlineLevel="0" collapsed="false">
      <c r="A7572" s="4" t="s">
        <v>477</v>
      </c>
      <c r="B7572" s="36" t="s">
        <v>478</v>
      </c>
      <c r="C7572" s="42" t="n">
        <f aca="false">IF(C7570=Assumptions!$E$13,0.5,IF(C7570&gt;Assumptions!$E$13,1,0))</f>
        <v>0.5</v>
      </c>
      <c r="D7572" s="42" t="n">
        <f aca="false">IF(D7570=Assumptions!$E$13,0.5,IF(D7570&gt;Assumptions!$E$13,1,0))</f>
        <v>1</v>
      </c>
      <c r="E7572" s="42" t="n">
        <f aca="false">IF(E7570=Assumptions!$E$13,0.5,IF(E7570&gt;Assumptions!$E$13,1,0))</f>
        <v>1</v>
      </c>
      <c r="F7572" s="42" t="n">
        <f aca="false">IF(F7570=Assumptions!$E$13,0.5,IF(F7570&gt;Assumptions!$E$13,1,0))</f>
        <v>1</v>
      </c>
      <c r="G7572" s="42" t="n">
        <f aca="false">IF(G7570=Assumptions!$E$13,0.5,IF(G7570&gt;Assumptions!$E$13,1,0))</f>
        <v>1</v>
      </c>
      <c r="H7572" s="42" t="n">
        <f aca="false">IF(H7570=Assumptions!$E$13,0.5,IF(H7570&gt;Assumptions!$E$13,1,0))</f>
        <v>1</v>
      </c>
      <c r="I7572" s="42" t="n">
        <f aca="false">IF(I7570=Assumptions!$E$13,0.5,IF(I7570&gt;Assumptions!$E$13,1,0))</f>
        <v>1</v>
      </c>
      <c r="J7572" s="42" t="n">
        <f aca="false">IF(J7570=Assumptions!$E$13,0.5,IF(J7570&gt;Assumptions!$E$13,1,0))</f>
        <v>1</v>
      </c>
      <c r="K7572" s="42" t="n">
        <f aca="false">IF(K7570=Assumptions!$E$13,0.5,IF(K7570&gt;Assumptions!$E$13,1,0))</f>
        <v>1</v>
      </c>
      <c r="L7572" s="42" t="n">
        <f aca="false">IF(L7570=Assumptions!$E$13,0.5,IF(L7570&gt;Assumptions!$E$13,1,0))</f>
        <v>1</v>
      </c>
      <c r="M7572" s="42" t="n">
        <f aca="false">IF(M7570=Assumptions!$E$13,0.5,IF(M7570&gt;Assumptions!$E$13,1,0))</f>
        <v>1</v>
      </c>
      <c r="N7572" s="42" t="n">
        <f aca="false">IF(N7570=Assumptions!$E$13,0.5,IF(N7570&gt;Assumptions!$E$13,1,0))</f>
        <v>1</v>
      </c>
      <c r="P7572" s="43"/>
      <c r="Q7572" s="43"/>
      <c r="R7572" s="43"/>
      <c r="S7572" s="44"/>
    </row>
    <row r="7573" customFormat="false" ht="15" hidden="false" customHeight="false" outlineLevel="0" collapsed="false">
      <c r="A7573" s="4" t="s">
        <v>479</v>
      </c>
      <c r="B7573" s="36" t="s">
        <v>478</v>
      </c>
      <c r="C7573" s="42" t="n">
        <f aca="false">IF(C7570=Assumptions!$E$14,0.5,IF(C7570&gt;Assumptions!$E$14,1,0))</f>
        <v>0</v>
      </c>
      <c r="D7573" s="42" t="n">
        <f aca="false">IF(D7570=Assumptions!$E$14,0.5,IF(D7570&gt;Assumptions!$E$14,1,0))</f>
        <v>0</v>
      </c>
      <c r="E7573" s="42" t="n">
        <f aca="false">IF(E7570=Assumptions!$E$14,0.5,IF(E7570&gt;Assumptions!$E$14,1,0))</f>
        <v>0</v>
      </c>
      <c r="F7573" s="42" t="n">
        <f aca="false">IF(F7570=Assumptions!$E$14,0.5,IF(F7570&gt;Assumptions!$E$14,1,0))</f>
        <v>0</v>
      </c>
      <c r="G7573" s="42" t="n">
        <f aca="false">IF(G7570=Assumptions!$E$14,0.5,IF(G7570&gt;Assumptions!$E$14,1,0))</f>
        <v>0.5</v>
      </c>
      <c r="H7573" s="42" t="n">
        <f aca="false">IF(H7570=Assumptions!$E$14,0.5,IF(H7570&gt;Assumptions!$E$14,1,0))</f>
        <v>1</v>
      </c>
      <c r="I7573" s="42" t="n">
        <f aca="false">IF(I7570=Assumptions!$E$14,0.5,IF(I7570&gt;Assumptions!$E$14,1,0))</f>
        <v>1</v>
      </c>
      <c r="J7573" s="42" t="n">
        <f aca="false">IF(J7570=Assumptions!$E$14,0.5,IF(J7570&gt;Assumptions!$E$14,1,0))</f>
        <v>1</v>
      </c>
      <c r="K7573" s="42" t="n">
        <f aca="false">IF(K7570=Assumptions!$E$14,0.5,IF(K7570&gt;Assumptions!$E$14,1,0))</f>
        <v>1</v>
      </c>
      <c r="L7573" s="42" t="n">
        <f aca="false">IF(L7570=Assumptions!$E$14,0.5,IF(L7570&gt;Assumptions!$E$14,1,0))</f>
        <v>1</v>
      </c>
      <c r="M7573" s="42" t="n">
        <f aca="false">IF(M7570=Assumptions!$E$14,0.5,IF(M7570&gt;Assumptions!$E$14,1,0))</f>
        <v>1</v>
      </c>
      <c r="N7573" s="42" t="n">
        <f aca="false">IF(N7570=Assumptions!$E$14,0.5,IF(N7570&gt;Assumptions!$E$14,1,0))</f>
        <v>1</v>
      </c>
      <c r="P7573" s="43"/>
      <c r="Q7573" s="43"/>
      <c r="R7573" s="43"/>
      <c r="S7573" s="44"/>
    </row>
    <row r="7574" customFormat="false" ht="15" hidden="false" customHeight="false" outlineLevel="0" collapsed="false">
      <c r="A7574" s="4" t="s">
        <v>480</v>
      </c>
      <c r="B7574" s="36" t="s">
        <v>478</v>
      </c>
      <c r="C7574" s="42" t="n">
        <f aca="false">IF(C7570=Assumptions!$E$15,0.5,IF(C7570&gt;Assumptions!$E$15,1,0))</f>
        <v>0</v>
      </c>
      <c r="D7574" s="42" t="n">
        <f aca="false">IF(D7570=Assumptions!$E$15,0.5,IF(D7570&gt;Assumptions!$E$15,1,0))</f>
        <v>0</v>
      </c>
      <c r="E7574" s="42" t="n">
        <f aca="false">IF(E7570=Assumptions!$E$15,0.5,IF(E7570&gt;Assumptions!$E$15,1,0))</f>
        <v>0</v>
      </c>
      <c r="F7574" s="42" t="n">
        <f aca="false">IF(F7570=Assumptions!$E$15,0.5,IF(F7570&gt;Assumptions!$E$15,1,0))</f>
        <v>0</v>
      </c>
      <c r="G7574" s="42" t="n">
        <f aca="false">IF(G7570=Assumptions!$E$15,0.5,IF(G7570&gt;Assumptions!$E$15,1,0))</f>
        <v>0</v>
      </c>
      <c r="H7574" s="42" t="n">
        <f aca="false">IF(H7570=Assumptions!$E$15,0.5,IF(H7570&gt;Assumptions!$E$15,1,0))</f>
        <v>0</v>
      </c>
      <c r="I7574" s="42" t="n">
        <f aca="false">IF(I7570=Assumptions!$E$15,0.5,IF(I7570&gt;Assumptions!$E$15,1,0))</f>
        <v>0.5</v>
      </c>
      <c r="J7574" s="42" t="n">
        <f aca="false">IF(J7570=Assumptions!$E$15,0.5,IF(J7570&gt;Assumptions!$E$15,1,0))</f>
        <v>1</v>
      </c>
      <c r="K7574" s="42" t="n">
        <f aca="false">IF(K7570=Assumptions!$E$15,0.5,IF(K7570&gt;Assumptions!$E$15,1,0))</f>
        <v>1</v>
      </c>
      <c r="L7574" s="42" t="n">
        <f aca="false">IF(L7570=Assumptions!$E$15,0.5,IF(L7570&gt;Assumptions!$E$15,1,0))</f>
        <v>1</v>
      </c>
      <c r="M7574" s="42" t="n">
        <f aca="false">IF(M7570=Assumptions!$E$15,0.5,IF(M7570&gt;Assumptions!$E$15,1,0))</f>
        <v>1</v>
      </c>
      <c r="N7574" s="42" t="n">
        <f aca="false">IF(N7570=Assumptions!$E$15,0.5,IF(N7570&gt;Assumptions!$E$15,1,0))</f>
        <v>1</v>
      </c>
      <c r="P7574" s="43"/>
      <c r="Q7574" s="43"/>
      <c r="R7574" s="43"/>
      <c r="S7574" s="44"/>
    </row>
    <row r="7575" customFormat="false" ht="15" hidden="false" customHeight="false" outlineLevel="0" collapsed="false">
      <c r="A7575" s="4" t="s">
        <v>481</v>
      </c>
      <c r="B7575" s="36" t="s">
        <v>478</v>
      </c>
      <c r="C7575" s="45" t="n">
        <f aca="false">Assumptions!$E$21^(MAX(0,C7570-Assumptions!$E$13)/4)</f>
        <v>1</v>
      </c>
      <c r="D7575" s="45" t="n">
        <f aca="false">Assumptions!$E$21^(MAX(0,D7570-Assumptions!$E$13)/4)</f>
        <v>0.9306048591021</v>
      </c>
      <c r="E7575" s="45" t="n">
        <f aca="false">Assumptions!$E$21^(MAX(0,E7570-Assumptions!$E$13)/4)</f>
        <v>0.866025403784439</v>
      </c>
      <c r="F7575" s="45" t="n">
        <f aca="false">Assumptions!$E$21^(MAX(0,F7570-Assumptions!$E$13)/4)</f>
        <v>0.805927448867656</v>
      </c>
      <c r="G7575" s="45" t="n">
        <f aca="false">Assumptions!$E$21^(MAX(0,G7570-Assumptions!$E$13)/4)</f>
        <v>0.75</v>
      </c>
      <c r="H7575" s="45" t="n">
        <f aca="false">Assumptions!$E$21^(MAX(0,H7570-Assumptions!$E$13)/4)</f>
        <v>0.697953644326575</v>
      </c>
      <c r="I7575" s="45" t="n">
        <f aca="false">Assumptions!$E$21^(MAX(0,I7570-Assumptions!$E$13)/4)</f>
        <v>0.649519052838329</v>
      </c>
      <c r="J7575" s="45" t="n">
        <f aca="false">Assumptions!$E$21^(MAX(0,J7570-Assumptions!$E$13)/4)</f>
        <v>0.604445586650742</v>
      </c>
      <c r="K7575" s="45" t="n">
        <f aca="false">Assumptions!$E$21^(MAX(0,K7570-Assumptions!$E$13)/4)</f>
        <v>0.5625</v>
      </c>
      <c r="L7575" s="45" t="n">
        <f aca="false">Assumptions!$E$21^(MAX(0,L7570-Assumptions!$E$13)/4)</f>
        <v>0.523465233244931</v>
      </c>
      <c r="M7575" s="45" t="n">
        <f aca="false">Assumptions!$E$21^(MAX(0,M7570-Assumptions!$E$13)/4)</f>
        <v>0.487139289628747</v>
      </c>
      <c r="N7575" s="45" t="n">
        <f aca="false">Assumptions!$E$21^(MAX(0,N7570-Assumptions!$E$13)/4)</f>
        <v>0.453334189988057</v>
      </c>
      <c r="P7575" s="46"/>
      <c r="Q7575" s="46"/>
      <c r="R7575" s="46"/>
      <c r="S7575" s="47"/>
    </row>
    <row r="7576" customFormat="false" ht="15" hidden="false" customHeight="false" outlineLevel="0" collapsed="false">
      <c r="A7576" s="4" t="s">
        <v>482</v>
      </c>
      <c r="B7576" s="36" t="s">
        <v>478</v>
      </c>
      <c r="C7576" s="45" t="n">
        <f aca="false">Assumptions!$E$21^(MAX(0,C7570-Assumptions!$E$14)/4)</f>
        <v>1</v>
      </c>
      <c r="D7576" s="45" t="n">
        <f aca="false">Assumptions!$E$21^(MAX(0,D7570-Assumptions!$E$14)/4)</f>
        <v>1</v>
      </c>
      <c r="E7576" s="45" t="n">
        <f aca="false">Assumptions!$E$21^(MAX(0,E7570-Assumptions!$E$14)/4)</f>
        <v>1</v>
      </c>
      <c r="F7576" s="45" t="n">
        <f aca="false">Assumptions!$E$21^(MAX(0,F7570-Assumptions!$E$14)/4)</f>
        <v>1</v>
      </c>
      <c r="G7576" s="45" t="n">
        <f aca="false">Assumptions!$E$21^(MAX(0,G7570-Assumptions!$E$14)/4)</f>
        <v>1</v>
      </c>
      <c r="H7576" s="45" t="n">
        <f aca="false">Assumptions!$E$21^(MAX(0,H7570-Assumptions!$E$14)/4)</f>
        <v>0.9306048591021</v>
      </c>
      <c r="I7576" s="45" t="n">
        <f aca="false">Assumptions!$E$21^(MAX(0,I7570-Assumptions!$E$14)/4)</f>
        <v>0.866025403784439</v>
      </c>
      <c r="J7576" s="45" t="n">
        <f aca="false">Assumptions!$E$21^(MAX(0,J7570-Assumptions!$E$14)/4)</f>
        <v>0.805927448867656</v>
      </c>
      <c r="K7576" s="45" t="n">
        <f aca="false">Assumptions!$E$21^(MAX(0,K7570-Assumptions!$E$14)/4)</f>
        <v>0.75</v>
      </c>
      <c r="L7576" s="45" t="n">
        <f aca="false">Assumptions!$E$21^(MAX(0,L7570-Assumptions!$E$14)/4)</f>
        <v>0.697953644326575</v>
      </c>
      <c r="M7576" s="45" t="n">
        <f aca="false">Assumptions!$E$21^(MAX(0,M7570-Assumptions!$E$14)/4)</f>
        <v>0.649519052838329</v>
      </c>
      <c r="N7576" s="45" t="n">
        <f aca="false">Assumptions!$E$21^(MAX(0,N7570-Assumptions!$E$14)/4)</f>
        <v>0.604445586650742</v>
      </c>
      <c r="P7576" s="46"/>
      <c r="Q7576" s="46"/>
      <c r="R7576" s="46"/>
      <c r="S7576" s="47"/>
    </row>
    <row r="7577" customFormat="false" ht="15" hidden="false" customHeight="false" outlineLevel="0" collapsed="false">
      <c r="A7577" s="4" t="s">
        <v>483</v>
      </c>
      <c r="B7577" s="36" t="s">
        <v>478</v>
      </c>
      <c r="C7577" s="45" t="n">
        <f aca="false">Assumptions!$E$21^(MAX(0,C7570-Assumptions!$E$15)/4)</f>
        <v>1</v>
      </c>
      <c r="D7577" s="45" t="n">
        <f aca="false">Assumptions!$E$21^(MAX(0,D7570-Assumptions!$E$15)/4)</f>
        <v>1</v>
      </c>
      <c r="E7577" s="45" t="n">
        <f aca="false">Assumptions!$E$21^(MAX(0,E7570-Assumptions!$E$15)/4)</f>
        <v>1</v>
      </c>
      <c r="F7577" s="45" t="n">
        <f aca="false">Assumptions!$E$21^(MAX(0,F7570-Assumptions!$E$15)/4)</f>
        <v>1</v>
      </c>
      <c r="G7577" s="45" t="n">
        <f aca="false">Assumptions!$E$21^(MAX(0,G7570-Assumptions!$E$15)/4)</f>
        <v>1</v>
      </c>
      <c r="H7577" s="45" t="n">
        <f aca="false">Assumptions!$E$21^(MAX(0,H7570-Assumptions!$E$15)/4)</f>
        <v>1</v>
      </c>
      <c r="I7577" s="45" t="n">
        <f aca="false">Assumptions!$E$21^(MAX(0,I7570-Assumptions!$E$15)/4)</f>
        <v>1</v>
      </c>
      <c r="J7577" s="45" t="n">
        <f aca="false">Assumptions!$E$21^(MAX(0,J7570-Assumptions!$E$15)/4)</f>
        <v>0.9306048591021</v>
      </c>
      <c r="K7577" s="45" t="n">
        <f aca="false">Assumptions!$E$21^(MAX(0,K7570-Assumptions!$E$15)/4)</f>
        <v>0.866025403784439</v>
      </c>
      <c r="L7577" s="45" t="n">
        <f aca="false">Assumptions!$E$21^(MAX(0,L7570-Assumptions!$E$15)/4)</f>
        <v>0.805927448867656</v>
      </c>
      <c r="M7577" s="45" t="n">
        <f aca="false">Assumptions!$E$21^(MAX(0,M7570-Assumptions!$E$15)/4)</f>
        <v>0.75</v>
      </c>
      <c r="N7577" s="45" t="n">
        <f aca="false">Assumptions!$E$21^(MAX(0,N7570-Assumptions!$E$15)/4)</f>
        <v>0.697953644326575</v>
      </c>
      <c r="P7577" s="46"/>
      <c r="Q7577" s="46"/>
      <c r="R7577" s="46"/>
      <c r="S7577" s="47"/>
    </row>
    <row r="7578" customFormat="false" ht="15" hidden="false" customHeight="false" outlineLevel="0" collapsed="false">
      <c r="A7578" s="4" t="s">
        <v>484</v>
      </c>
      <c r="B7578" s="36" t="s">
        <v>485</v>
      </c>
      <c r="C7578" s="39" t="n">
        <f aca="false">$C$7549*C7572+$C$7553*C7573+$C$7557*C7574</f>
        <v>421.51972352</v>
      </c>
      <c r="D7578" s="39" t="n">
        <f aca="false">$C$7549*D7572+$C$7553*D7573+$C$7557*D7574</f>
        <v>843.03944704</v>
      </c>
      <c r="E7578" s="39" t="n">
        <f aca="false">$C$7549*E7572+$C$7553*E7573+$C$7557*E7574</f>
        <v>843.03944704</v>
      </c>
      <c r="F7578" s="39" t="n">
        <f aca="false">$C$7549*F7572+$C$7553*F7573+$C$7557*F7574</f>
        <v>843.03944704</v>
      </c>
      <c r="G7578" s="39" t="n">
        <f aca="false">$C$7549*G7572+$C$7553*G7573+$C$7557*G7574</f>
        <v>1149.32798176</v>
      </c>
      <c r="H7578" s="39" t="n">
        <f aca="false">$C$7549*H7572+$C$7553*H7573+$C$7557*H7574</f>
        <v>1455.61651648</v>
      </c>
      <c r="I7578" s="39" t="n">
        <f aca="false">$C$7549*I7572+$C$7553*I7573+$C$7557*I7574</f>
        <v>2486.00303616</v>
      </c>
      <c r="J7578" s="39" t="n">
        <f aca="false">$C$7549*J7572+$C$7553*J7573+$C$7557*J7574</f>
        <v>3516.38955584</v>
      </c>
      <c r="K7578" s="39" t="n">
        <f aca="false">$C$7549*K7572+$C$7553*K7573+$C$7557*K7574</f>
        <v>3516.38955584</v>
      </c>
      <c r="L7578" s="39" t="n">
        <f aca="false">$C$7549*L7572+$C$7553*L7573+$C$7557*L7574</f>
        <v>3516.38955584</v>
      </c>
      <c r="M7578" s="39" t="n">
        <f aca="false">$C$7549*M7572+$C$7553*M7573+$C$7557*M7574</f>
        <v>3516.38955584</v>
      </c>
      <c r="N7578" s="39" t="n">
        <f aca="false">$C$7549*N7572+$C$7553*N7573+$C$7557*N7574</f>
        <v>3516.38955584</v>
      </c>
      <c r="P7578" s="40" t="n">
        <f aca="false">F7578</f>
        <v>843.03944704</v>
      </c>
      <c r="Q7578" s="40" t="n">
        <f aca="false">J7578</f>
        <v>3516.38955584</v>
      </c>
      <c r="R7578" s="40" t="n">
        <f aca="false">N7578</f>
        <v>3516.38955584</v>
      </c>
      <c r="S7578" s="41" t="n">
        <f aca="false">R7578</f>
        <v>3516.38955584</v>
      </c>
    </row>
    <row r="7579" customFormat="false" ht="15" hidden="false" customHeight="false" outlineLevel="0" collapsed="false">
      <c r="A7579" s="4" t="s">
        <v>486</v>
      </c>
      <c r="B7579" s="36" t="s">
        <v>485</v>
      </c>
      <c r="C7579" s="39" t="n">
        <f aca="false">$C$7550*C7572+$C$7554*C7573+$C$7558*C7574</f>
        <v>105.59808</v>
      </c>
      <c r="D7579" s="39" t="n">
        <f aca="false">$C$7550*D7572+$C$7554*D7573+$C$7558*D7574</f>
        <v>211.19616</v>
      </c>
      <c r="E7579" s="39" t="n">
        <f aca="false">$C$7550*E7572+$C$7554*E7573+$C$7558*E7574</f>
        <v>211.19616</v>
      </c>
      <c r="F7579" s="39" t="n">
        <f aca="false">$C$7550*F7572+$C$7554*F7573+$C$7558*F7574</f>
        <v>211.19616</v>
      </c>
      <c r="G7579" s="39" t="n">
        <f aca="false">$C$7550*G7572+$C$7554*G7573+$C$7558*G7574</f>
        <v>282.24672</v>
      </c>
      <c r="H7579" s="39" t="n">
        <f aca="false">$C$7550*H7572+$C$7554*H7573+$C$7558*H7574</f>
        <v>353.29728</v>
      </c>
      <c r="I7579" s="39" t="n">
        <f aca="false">$C$7550*I7572+$C$7554*I7573+$C$7558*I7574</f>
        <v>567.53536</v>
      </c>
      <c r="J7579" s="39" t="n">
        <f aca="false">$C$7550*J7572+$C$7554*J7573+$C$7558*J7574</f>
        <v>781.77344</v>
      </c>
      <c r="K7579" s="39" t="n">
        <f aca="false">$C$7550*K7572+$C$7554*K7573+$C$7558*K7574</f>
        <v>781.77344</v>
      </c>
      <c r="L7579" s="39" t="n">
        <f aca="false">$C$7550*L7572+$C$7554*L7573+$C$7558*L7574</f>
        <v>781.77344</v>
      </c>
      <c r="M7579" s="39" t="n">
        <f aca="false">$C$7550*M7572+$C$7554*M7573+$C$7558*M7574</f>
        <v>781.77344</v>
      </c>
      <c r="N7579" s="39" t="n">
        <f aca="false">$C$7550*N7572+$C$7554*N7573+$C$7558*N7574</f>
        <v>781.77344</v>
      </c>
      <c r="P7579" s="40" t="n">
        <f aca="false">F7579</f>
        <v>211.19616</v>
      </c>
      <c r="Q7579" s="40" t="n">
        <f aca="false">J7579</f>
        <v>781.77344</v>
      </c>
      <c r="R7579" s="40" t="n">
        <f aca="false">N7579</f>
        <v>781.77344</v>
      </c>
      <c r="S7579" s="41" t="n">
        <f aca="false">R7579</f>
        <v>781.77344</v>
      </c>
    </row>
    <row r="7580" customFormat="false" ht="15" hidden="false" customHeight="false" outlineLevel="0" collapsed="false">
      <c r="A7580" s="4" t="s">
        <v>487</v>
      </c>
      <c r="B7580" s="36" t="s">
        <v>485</v>
      </c>
      <c r="C7580" s="39" t="n">
        <f aca="false">$C$7551*C7572+$C$7555*C7573+$C$7559*C7574</f>
        <v>24.76992</v>
      </c>
      <c r="D7580" s="39" t="n">
        <f aca="false">$C$7551*D7572+$C$7555*D7573+$C$7559*D7574</f>
        <v>49.53984</v>
      </c>
      <c r="E7580" s="39" t="n">
        <f aca="false">$C$7551*E7572+$C$7555*E7573+$C$7559*E7574</f>
        <v>49.53984</v>
      </c>
      <c r="F7580" s="39" t="n">
        <f aca="false">$C$7551*F7572+$C$7555*F7573+$C$7559*F7574</f>
        <v>49.53984</v>
      </c>
      <c r="G7580" s="39" t="n">
        <f aca="false">$C$7551*G7572+$C$7555*G7573+$C$7559*G7574</f>
        <v>61.9248</v>
      </c>
      <c r="H7580" s="39" t="n">
        <f aca="false">$C$7551*H7572+$C$7555*H7573+$C$7559*H7574</f>
        <v>74.30976</v>
      </c>
      <c r="I7580" s="39" t="n">
        <f aca="false">$C$7551*I7572+$C$7555*I7573+$C$7559*I7574</f>
        <v>114.072</v>
      </c>
      <c r="J7580" s="39" t="n">
        <f aca="false">$C$7551*J7572+$C$7555*J7573+$C$7559*J7574</f>
        <v>153.83424</v>
      </c>
      <c r="K7580" s="39" t="n">
        <f aca="false">$C$7551*K7572+$C$7555*K7573+$C$7559*K7574</f>
        <v>153.83424</v>
      </c>
      <c r="L7580" s="39" t="n">
        <f aca="false">$C$7551*L7572+$C$7555*L7573+$C$7559*L7574</f>
        <v>153.83424</v>
      </c>
      <c r="M7580" s="39" t="n">
        <f aca="false">$C$7551*M7572+$C$7555*M7573+$C$7559*M7574</f>
        <v>153.83424</v>
      </c>
      <c r="N7580" s="39" t="n">
        <f aca="false">$C$7551*N7572+$C$7555*N7573+$C$7559*N7574</f>
        <v>153.83424</v>
      </c>
      <c r="P7580" s="40" t="n">
        <f aca="false">F7580</f>
        <v>49.53984</v>
      </c>
      <c r="Q7580" s="40" t="n">
        <f aca="false">J7580</f>
        <v>153.83424</v>
      </c>
      <c r="R7580" s="40" t="n">
        <f aca="false">N7580</f>
        <v>153.83424</v>
      </c>
      <c r="S7580" s="41" t="n">
        <f aca="false">R7580</f>
        <v>153.83424</v>
      </c>
    </row>
    <row r="7581" customFormat="false" ht="15" hidden="false" customHeight="false" outlineLevel="0" collapsed="false">
      <c r="A7581" s="4" t="s">
        <v>488</v>
      </c>
      <c r="B7581" s="36" t="s">
        <v>485</v>
      </c>
      <c r="C7581" s="39" t="n">
        <f aca="false">C7578+C7579+C7580</f>
        <v>551.88772352</v>
      </c>
      <c r="D7581" s="39" t="n">
        <f aca="false">D7578+D7579+D7580</f>
        <v>1103.77544704</v>
      </c>
      <c r="E7581" s="39" t="n">
        <f aca="false">E7578+E7579+E7580</f>
        <v>1103.77544704</v>
      </c>
      <c r="F7581" s="39" t="n">
        <f aca="false">F7578+F7579+F7580</f>
        <v>1103.77544704</v>
      </c>
      <c r="G7581" s="39" t="n">
        <f aca="false">G7578+G7579+G7580</f>
        <v>1493.49950176</v>
      </c>
      <c r="H7581" s="39" t="n">
        <f aca="false">H7578+H7579+H7580</f>
        <v>1883.22355648</v>
      </c>
      <c r="I7581" s="39" t="n">
        <f aca="false">I7578+I7579+I7580</f>
        <v>3167.61039616</v>
      </c>
      <c r="J7581" s="39" t="n">
        <f aca="false">J7578+J7579+J7580</f>
        <v>4451.99723584</v>
      </c>
      <c r="K7581" s="39" t="n">
        <f aca="false">K7578+K7579+K7580</f>
        <v>4451.99723584</v>
      </c>
      <c r="L7581" s="39" t="n">
        <f aca="false">L7578+L7579+L7580</f>
        <v>4451.99723584</v>
      </c>
      <c r="M7581" s="39" t="n">
        <f aca="false">M7578+M7579+M7580</f>
        <v>4451.99723584</v>
      </c>
      <c r="N7581" s="39" t="n">
        <f aca="false">N7578+N7579+N7580</f>
        <v>4451.99723584</v>
      </c>
      <c r="P7581" s="40" t="n">
        <f aca="false">F7581</f>
        <v>1103.77544704</v>
      </c>
      <c r="Q7581" s="40" t="n">
        <f aca="false">J7581</f>
        <v>4451.99723584</v>
      </c>
      <c r="R7581" s="40" t="n">
        <f aca="false">N7581</f>
        <v>4451.99723584</v>
      </c>
      <c r="S7581" s="41" t="n">
        <f aca="false">R7581</f>
        <v>4451.99723584</v>
      </c>
    </row>
    <row r="7582" customFormat="false" ht="15" hidden="false" customHeight="false" outlineLevel="0" collapsed="false">
      <c r="A7582" s="4" t="s">
        <v>489</v>
      </c>
      <c r="B7582" s="36" t="s">
        <v>485</v>
      </c>
      <c r="C7582" s="39" t="n">
        <f aca="false">$C$7552*C7572*C7575+$C$7556*C7573*C7576+$C$7560*C7574*C7577</f>
        <v>551.88772352</v>
      </c>
      <c r="D7582" s="39" t="n">
        <f aca="false">$C$7552*D7572*D7575+$C$7556*D7573*D7576+$C$7560*D7574*D7577</f>
        <v>1027.17879437302</v>
      </c>
      <c r="E7582" s="39" t="n">
        <f aca="false">$C$7552*E7572*E7575+$C$7556*E7573*E7576+$C$7560*E7574*E7577</f>
        <v>955.897577210165</v>
      </c>
      <c r="F7582" s="39" t="n">
        <f aca="false">$C$7552*F7572*F7575+$C$7556*F7573*F7576+$C$7560*F7574*F7577</f>
        <v>889.562930155704</v>
      </c>
      <c r="G7582" s="39" t="n">
        <f aca="false">$C$7552*G7572*G7575+$C$7556*G7573*G7576+$C$7560*G7574*G7577</f>
        <v>1217.55564</v>
      </c>
      <c r="H7582" s="39" t="n">
        <f aca="false">$C$7552*H7572*H7575+$C$7556*H7573*H7576+$C$7560*H7574*H7577</f>
        <v>1495.74229384257</v>
      </c>
      <c r="I7582" s="39" t="n">
        <f aca="false">$C$7552*I7572*I7575+$C$7556*I7573*I7576+$C$7560*I7574*I7577</f>
        <v>2676.33188629442</v>
      </c>
      <c r="J7582" s="39" t="n">
        <f aca="false">$C$7552*J7572*J7575+$C$7556*J7573*J7576+$C$7560*J7574*J7577</f>
        <v>3685.86409192847</v>
      </c>
      <c r="K7582" s="39" t="n">
        <f aca="false">$C$7552*K7572*K7575+$C$7556*K7573*K7576+$C$7560*K7574*K7577</f>
        <v>3430.08303393858</v>
      </c>
      <c r="L7582" s="39" t="n">
        <f aca="false">$C$7552*L7572*L7575+$C$7556*L7573*L7576+$C$7560*L7574*L7577</f>
        <v>3192.05193850692</v>
      </c>
      <c r="M7582" s="39" t="n">
        <f aca="false">$C$7552*M7572*M7575+$C$7556*M7573*M7576+$C$7560*M7574*M7577</f>
        <v>2970.53904448081</v>
      </c>
      <c r="N7582" s="39" t="n">
        <f aca="false">$C$7552*N7572*N7575+$C$7556*N7573*N7576+$C$7560*N7574*N7577</f>
        <v>2764.39806894635</v>
      </c>
      <c r="P7582" s="40"/>
      <c r="Q7582" s="40"/>
      <c r="R7582" s="40"/>
      <c r="S7582" s="41"/>
    </row>
    <row r="7583" customFormat="false" ht="15" hidden="false" customHeight="false" outlineLevel="0" collapsed="false">
      <c r="A7583" s="4" t="s">
        <v>490</v>
      </c>
      <c r="B7583" s="36" t="s">
        <v>491</v>
      </c>
      <c r="C7583" s="48" t="n">
        <f aca="false">$C$7564*Assumptions!$E$20*C7571*C7582</f>
        <v>6.62265268224</v>
      </c>
      <c r="D7583" s="48" t="n">
        <f aca="false">$C$7564*Assumptions!$E$20*D7571*D7582</f>
        <v>12.3261455324762</v>
      </c>
      <c r="E7583" s="48" t="n">
        <f aca="false">$C$7564*Assumptions!$E$20*E7571*E7582</f>
        <v>11.470770926522</v>
      </c>
      <c r="F7583" s="48" t="n">
        <f aca="false">$C$7564*Assumptions!$E$20*F7571*F7582</f>
        <v>10.6747551618685</v>
      </c>
      <c r="G7583" s="48" t="n">
        <f aca="false">$C$7564*Assumptions!$E$20*G7571*G7582</f>
        <v>14.61066768</v>
      </c>
      <c r="H7583" s="48" t="n">
        <f aca="false">$C$7564*Assumptions!$E$20*H7571*H7582</f>
        <v>17.9489075261109</v>
      </c>
      <c r="I7583" s="48" t="n">
        <f aca="false">$C$7564*Assumptions!$E$20*I7571*I7582</f>
        <v>32.115982635533</v>
      </c>
      <c r="J7583" s="48" t="n">
        <f aca="false">$C$7564*Assumptions!$E$20*J7571*J7582</f>
        <v>44.2303691031417</v>
      </c>
      <c r="K7583" s="48" t="n">
        <f aca="false">$C$7564*Assumptions!$E$20*K7571*K7582</f>
        <v>41.160996407263</v>
      </c>
      <c r="L7583" s="48" t="n">
        <f aca="false">$C$7564*Assumptions!$E$20*L7571*L7582</f>
        <v>38.304623262083</v>
      </c>
      <c r="M7583" s="48" t="n">
        <f aca="false">$C$7564*Assumptions!$E$20*M7571*M7582</f>
        <v>35.6464685337698</v>
      </c>
      <c r="N7583" s="48" t="n">
        <f aca="false">$C$7564*Assumptions!$E$20*N7571*N7582</f>
        <v>33.1727768273562</v>
      </c>
      <c r="P7583" s="49" t="n">
        <f aca="false">SUM(C7583:F7583)</f>
        <v>41.0943243031066</v>
      </c>
      <c r="Q7583" s="49" t="n">
        <f aca="false">SUM(G7583:J7583)</f>
        <v>108.905926944786</v>
      </c>
      <c r="R7583" s="49" t="n">
        <f aca="false">SUM(K7583:N7583)</f>
        <v>148.284865030472</v>
      </c>
      <c r="S7583" s="50" t="n">
        <f aca="false">SUM(P7583:R7583)</f>
        <v>298.285116278364</v>
      </c>
    </row>
    <row r="7584" customFormat="false" ht="15" hidden="false" customHeight="false" outlineLevel="0" collapsed="false">
      <c r="A7584" s="4" t="s">
        <v>492</v>
      </c>
      <c r="B7584" s="36" t="s">
        <v>321</v>
      </c>
      <c r="C7584" s="48" t="n">
        <f aca="false">Assumptions!$D$111</f>
        <v>0</v>
      </c>
      <c r="D7584" s="48" t="n">
        <f aca="false">Assumptions!$E$111</f>
        <v>0</v>
      </c>
      <c r="E7584" s="48" t="n">
        <f aca="false">Assumptions!$F$111</f>
        <v>0</v>
      </c>
      <c r="F7584" s="48" t="n">
        <f aca="false">Assumptions!$G$111</f>
        <v>0</v>
      </c>
      <c r="G7584" s="48" t="n">
        <f aca="false">Assumptions!$H$111</f>
        <v>0</v>
      </c>
      <c r="H7584" s="48" t="n">
        <f aca="false">Assumptions!$I$111</f>
        <v>0</v>
      </c>
      <c r="I7584" s="48" t="n">
        <f aca="false">Assumptions!$J$111</f>
        <v>0</v>
      </c>
      <c r="J7584" s="48" t="n">
        <f aca="false">Assumptions!$K$111</f>
        <v>0</v>
      </c>
      <c r="K7584" s="48" t="n">
        <f aca="false">Assumptions!$L$111</f>
        <v>0</v>
      </c>
      <c r="L7584" s="48" t="n">
        <f aca="false">Assumptions!$M$111</f>
        <v>0</v>
      </c>
      <c r="M7584" s="48" t="n">
        <f aca="false">Assumptions!$N$111</f>
        <v>0</v>
      </c>
      <c r="N7584" s="48" t="n">
        <f aca="false">Assumptions!$O$111</f>
        <v>0</v>
      </c>
      <c r="P7584" s="49" t="n">
        <f aca="false">F7584</f>
        <v>0</v>
      </c>
      <c r="Q7584" s="49" t="n">
        <f aca="false">J7584</f>
        <v>0</v>
      </c>
      <c r="R7584" s="49" t="n">
        <f aca="false">N7584</f>
        <v>0</v>
      </c>
      <c r="S7584" s="50" t="n">
        <f aca="false">R7584</f>
        <v>0</v>
      </c>
    </row>
    <row r="7585" customFormat="false" ht="15" hidden="false" customHeight="false" outlineLevel="0" collapsed="false">
      <c r="A7585" s="4" t="s">
        <v>493</v>
      </c>
      <c r="B7585" s="36" t="s">
        <v>321</v>
      </c>
      <c r="C7585" s="48" t="n">
        <f aca="false">0</f>
        <v>0</v>
      </c>
      <c r="D7585" s="48" t="n">
        <f aca="false">0.5*C7584</f>
        <v>0</v>
      </c>
      <c r="E7585" s="48" t="n">
        <f aca="false">C7584+0.5*(D7584-C7584)</f>
        <v>0</v>
      </c>
      <c r="F7585" s="48" t="n">
        <f aca="false">D7584+0.5*(E7584-D7584)</f>
        <v>0</v>
      </c>
      <c r="G7585" s="48" t="n">
        <f aca="false">E7584+0.5*(F7584-E7584)</f>
        <v>0</v>
      </c>
      <c r="H7585" s="48" t="n">
        <f aca="false">F7584+0.5*(G7584-F7584)</f>
        <v>0</v>
      </c>
      <c r="I7585" s="48" t="n">
        <f aca="false">G7584+0.5*(H7584-G7584)</f>
        <v>0</v>
      </c>
      <c r="J7585" s="48" t="n">
        <f aca="false">H7584+0.5*(I7584-H7584)</f>
        <v>0</v>
      </c>
      <c r="K7585" s="48" t="n">
        <f aca="false">I7584+0.5*(J7584-I7584)</f>
        <v>0</v>
      </c>
      <c r="L7585" s="48" t="n">
        <f aca="false">J7584+0.5*(K7584-J7584)</f>
        <v>0</v>
      </c>
      <c r="M7585" s="48" t="n">
        <f aca="false">K7584+0.5*(L7584-K7584)</f>
        <v>0</v>
      </c>
      <c r="N7585" s="48" t="n">
        <f aca="false">L7584+0.5*(M7584-L7584)</f>
        <v>0</v>
      </c>
      <c r="P7585" s="49" t="n">
        <f aca="false">F7585</f>
        <v>0</v>
      </c>
      <c r="Q7585" s="49" t="n">
        <f aca="false">J7585</f>
        <v>0</v>
      </c>
      <c r="R7585" s="49" t="n">
        <f aca="false">N7585</f>
        <v>0</v>
      </c>
      <c r="S7585" s="50" t="n">
        <f aca="false">R7585</f>
        <v>0</v>
      </c>
    </row>
    <row r="7586" customFormat="false" ht="15" hidden="false" customHeight="false" outlineLevel="0" collapsed="false">
      <c r="A7586" s="4" t="s">
        <v>494</v>
      </c>
      <c r="B7586" s="36" t="s">
        <v>485</v>
      </c>
      <c r="C7586" s="39" t="n">
        <f aca="false">MIN(C7585*Assumptions!$E$38,C7581*(1-$C$7564))</f>
        <v>0</v>
      </c>
      <c r="D7586" s="39" t="n">
        <f aca="false">MIN(D7585*Assumptions!$E$38,D7581*(1-$C$7564))</f>
        <v>0</v>
      </c>
      <c r="E7586" s="39" t="n">
        <f aca="false">MIN(E7585*Assumptions!$E$38,E7581*(1-$C$7564))</f>
        <v>0</v>
      </c>
      <c r="F7586" s="39" t="n">
        <f aca="false">MIN(F7585*Assumptions!$E$38,F7581*(1-$C$7564))</f>
        <v>0</v>
      </c>
      <c r="G7586" s="39" t="n">
        <f aca="false">MIN(G7585*Assumptions!$E$38,G7581*(1-$C$7564))</f>
        <v>0</v>
      </c>
      <c r="H7586" s="39" t="n">
        <f aca="false">MIN(H7585*Assumptions!$E$38,H7581*(1-$C$7564))</f>
        <v>0</v>
      </c>
      <c r="I7586" s="39" t="n">
        <f aca="false">MIN(I7585*Assumptions!$E$38,I7581*(1-$C$7564))</f>
        <v>0</v>
      </c>
      <c r="J7586" s="39" t="n">
        <f aca="false">MIN(J7585*Assumptions!$E$38,J7581*(1-$C$7564))</f>
        <v>0</v>
      </c>
      <c r="K7586" s="39" t="n">
        <f aca="false">MIN(K7585*Assumptions!$E$38,K7581*(1-$C$7564))</f>
        <v>0</v>
      </c>
      <c r="L7586" s="39" t="n">
        <f aca="false">MIN(L7585*Assumptions!$E$38,L7581*(1-$C$7564))</f>
        <v>0</v>
      </c>
      <c r="M7586" s="39" t="n">
        <f aca="false">MIN(M7585*Assumptions!$E$38,M7581*(1-$C$7564))</f>
        <v>0</v>
      </c>
      <c r="N7586" s="39" t="n">
        <f aca="false">MIN(N7585*Assumptions!$E$38,N7581*(1-$C$7564))</f>
        <v>0</v>
      </c>
      <c r="P7586" s="40" t="n">
        <f aca="false">SUM(C7586:F7586)</f>
        <v>0</v>
      </c>
      <c r="Q7586" s="40" t="n">
        <f aca="false">SUM(G7586:J7586)</f>
        <v>0</v>
      </c>
      <c r="R7586" s="40" t="n">
        <f aca="false">SUM(K7586:N7586)</f>
        <v>0</v>
      </c>
      <c r="S7586" s="41" t="n">
        <f aca="false">SUM(P7586:R7586)</f>
        <v>0</v>
      </c>
    </row>
    <row r="7587" customFormat="false" ht="15" hidden="false" customHeight="false" outlineLevel="0" collapsed="false">
      <c r="A7587" s="4" t="s">
        <v>495</v>
      </c>
      <c r="B7587" s="36" t="s">
        <v>491</v>
      </c>
      <c r="C7587" s="48" t="n">
        <f aca="false">C7586*Assumptions!$E$20*Assumptions!$E$39*IF(C7581&gt;0,C7582/C7581,0)*C7571</f>
        <v>0</v>
      </c>
      <c r="D7587" s="48" t="n">
        <f aca="false">D7586*Assumptions!$E$20*Assumptions!$E$39*IF(D7581&gt;0,D7582/D7581,0)*D7571</f>
        <v>0</v>
      </c>
      <c r="E7587" s="48" t="n">
        <f aca="false">E7586*Assumptions!$E$20*Assumptions!$E$39*IF(E7581&gt;0,E7582/E7581,0)*E7571</f>
        <v>0</v>
      </c>
      <c r="F7587" s="48" t="n">
        <f aca="false">F7586*Assumptions!$E$20*Assumptions!$E$39*IF(F7581&gt;0,F7582/F7581,0)*F7571</f>
        <v>0</v>
      </c>
      <c r="G7587" s="48" t="n">
        <f aca="false">G7586*Assumptions!$E$20*Assumptions!$E$39*IF(G7581&gt;0,G7582/G7581,0)*G7571</f>
        <v>0</v>
      </c>
      <c r="H7587" s="48" t="n">
        <f aca="false">H7586*Assumptions!$E$20*Assumptions!$E$39*IF(H7581&gt;0,H7582/H7581,0)*H7571</f>
        <v>0</v>
      </c>
      <c r="I7587" s="48" t="n">
        <f aca="false">I7586*Assumptions!$E$20*Assumptions!$E$39*IF(I7581&gt;0,I7582/I7581,0)*I7571</f>
        <v>0</v>
      </c>
      <c r="J7587" s="48" t="n">
        <f aca="false">J7586*Assumptions!$E$20*Assumptions!$E$39*IF(J7581&gt;0,J7582/J7581,0)*J7571</f>
        <v>0</v>
      </c>
      <c r="K7587" s="48" t="n">
        <f aca="false">K7586*Assumptions!$E$20*Assumptions!$E$39*IF(K7581&gt;0,K7582/K7581,0)*K7571</f>
        <v>0</v>
      </c>
      <c r="L7587" s="48" t="n">
        <f aca="false">L7586*Assumptions!$E$20*Assumptions!$E$39*IF(L7581&gt;0,L7582/L7581,0)*L7571</f>
        <v>0</v>
      </c>
      <c r="M7587" s="48" t="n">
        <f aca="false">M7586*Assumptions!$E$20*Assumptions!$E$39*IF(M7581&gt;0,M7582/M7581,0)*M7571</f>
        <v>0</v>
      </c>
      <c r="N7587" s="48" t="n">
        <f aca="false">N7586*Assumptions!$E$20*Assumptions!$E$39*IF(N7581&gt;0,N7582/N7581,0)*N7571</f>
        <v>0</v>
      </c>
      <c r="P7587" s="49" t="n">
        <f aca="false">SUM(C7587:F7587)</f>
        <v>0</v>
      </c>
      <c r="Q7587" s="49" t="n">
        <f aca="false">SUM(G7587:J7587)</f>
        <v>0</v>
      </c>
      <c r="R7587" s="49" t="n">
        <f aca="false">SUM(K7587:N7587)</f>
        <v>0</v>
      </c>
      <c r="S7587" s="50" t="n">
        <f aca="false">SUM(P7587:R7587)</f>
        <v>0</v>
      </c>
    </row>
    <row r="7588" customFormat="false" ht="15" hidden="false" customHeight="false" outlineLevel="0" collapsed="false">
      <c r="A7588" s="4" t="s">
        <v>496</v>
      </c>
      <c r="B7588" s="36" t="s">
        <v>497</v>
      </c>
      <c r="C7588" s="48" t="n">
        <f aca="false">IF(AND(C7581&gt;0,$C$7568&gt;0),C7581*Assumptions!$E$24*(1-EXP(-$C$7568/(Assumptions!$E$23*C7581*Assumptions!$E$24))),0)</f>
        <v>0</v>
      </c>
      <c r="D7588" s="48" t="n">
        <f aca="false">IF(AND(D7581&gt;0,$C$7568&gt;0),D7581*Assumptions!$E$24*(1-EXP(-$C$7568/(Assumptions!$E$23*D7581*Assumptions!$E$24))),0)</f>
        <v>0</v>
      </c>
      <c r="E7588" s="48" t="n">
        <f aca="false">IF(AND(E7581&gt;0,$C$7568&gt;0),E7581*Assumptions!$E$24*(1-EXP(-$C$7568/(Assumptions!$E$23*E7581*Assumptions!$E$24))),0)</f>
        <v>0</v>
      </c>
      <c r="F7588" s="48" t="n">
        <f aca="false">IF(AND(F7581&gt;0,$C$7568&gt;0),F7581*Assumptions!$E$24*(1-EXP(-$C$7568/(Assumptions!$E$23*F7581*Assumptions!$E$24))),0)</f>
        <v>0</v>
      </c>
      <c r="G7588" s="48" t="n">
        <f aca="false">IF(AND(G7581&gt;0,$C$7568&gt;0),G7581*Assumptions!$E$24*(1-EXP(-$C$7568/(Assumptions!$E$23*G7581*Assumptions!$E$24))),0)</f>
        <v>0</v>
      </c>
      <c r="H7588" s="48" t="n">
        <f aca="false">IF(AND(H7581&gt;0,$C$7568&gt;0),H7581*Assumptions!$E$24*(1-EXP(-$C$7568/(Assumptions!$E$23*H7581*Assumptions!$E$24))),0)</f>
        <v>0</v>
      </c>
      <c r="I7588" s="48" t="n">
        <f aca="false">IF(AND(I7581&gt;0,$C$7568&gt;0),I7581*Assumptions!$E$24*(1-EXP(-$C$7568/(Assumptions!$E$23*I7581*Assumptions!$E$24))),0)</f>
        <v>0</v>
      </c>
      <c r="J7588" s="48" t="n">
        <f aca="false">IF(AND(J7581&gt;0,$C$7568&gt;0),J7581*Assumptions!$E$24*(1-EXP(-$C$7568/(Assumptions!$E$23*J7581*Assumptions!$E$24))),0)</f>
        <v>0</v>
      </c>
      <c r="K7588" s="48" t="n">
        <f aca="false">IF(AND(K7581&gt;0,$C$7568&gt;0),K7581*Assumptions!$E$24*(1-EXP(-$C$7568/(Assumptions!$E$23*K7581*Assumptions!$E$24))),0)</f>
        <v>0</v>
      </c>
      <c r="L7588" s="48" t="n">
        <f aca="false">IF(AND(L7581&gt;0,$C$7568&gt;0),L7581*Assumptions!$E$24*(1-EXP(-$C$7568/(Assumptions!$E$23*L7581*Assumptions!$E$24))),0)</f>
        <v>0</v>
      </c>
      <c r="M7588" s="48" t="n">
        <f aca="false">IF(AND(M7581&gt;0,$C$7568&gt;0),M7581*Assumptions!$E$24*(1-EXP(-$C$7568/(Assumptions!$E$23*M7581*Assumptions!$E$24))),0)</f>
        <v>0</v>
      </c>
      <c r="N7588" s="48" t="n">
        <f aca="false">IF(AND(N7581&gt;0,$C$7568&gt;0),N7581*Assumptions!$E$24*(1-EXP(-$C$7568/(Assumptions!$E$23*N7581*Assumptions!$E$24))),0)</f>
        <v>0</v>
      </c>
      <c r="P7588" s="49" t="n">
        <f aca="false">SUM(C7588:F7588)</f>
        <v>0</v>
      </c>
      <c r="Q7588" s="49" t="n">
        <f aca="false">SUM(G7588:J7588)</f>
        <v>0</v>
      </c>
      <c r="R7588" s="49" t="n">
        <f aca="false">SUM(K7588:N7588)</f>
        <v>0</v>
      </c>
      <c r="S7588" s="50" t="n">
        <f aca="false">SUM(P7588:R7588)</f>
        <v>0</v>
      </c>
    </row>
    <row r="7589" customFormat="false" ht="15" hidden="false" customHeight="false" outlineLevel="0" collapsed="false">
      <c r="A7589" s="4" t="s">
        <v>498</v>
      </c>
      <c r="B7589" s="36" t="s">
        <v>497</v>
      </c>
      <c r="C7589" s="48" t="n">
        <f aca="false">(C7581*Assumptions!$E$22*MIN(1,Assumptions!$D$103/Assumptions!$E$78)+C7588)*C7571</f>
        <v>5.5188772352</v>
      </c>
      <c r="D7589" s="48" t="n">
        <f aca="false">(D7581*Assumptions!$E$22*MIN(1,Assumptions!$D$103/Assumptions!$E$78)+D7588)*D7571</f>
        <v>11.0377544704</v>
      </c>
      <c r="E7589" s="48" t="n">
        <f aca="false">(E7581*Assumptions!$E$22*MIN(1,Assumptions!$D$103/Assumptions!$E$78)+E7588)*E7571</f>
        <v>11.0377544704</v>
      </c>
      <c r="F7589" s="48" t="n">
        <f aca="false">(F7581*Assumptions!$E$22*MIN(1,Assumptions!$D$103/Assumptions!$E$78)+F7588)*F7571</f>
        <v>11.0377544704</v>
      </c>
      <c r="G7589" s="48" t="n">
        <f aca="false">(G7581*Assumptions!$E$22*MIN(1,Assumptions!$D$103/Assumptions!$E$78)+G7588)*G7571</f>
        <v>14.9349950176</v>
      </c>
      <c r="H7589" s="48" t="n">
        <f aca="false">(H7581*Assumptions!$E$22*MIN(1,Assumptions!$D$103/Assumptions!$E$78)+H7588)*H7571</f>
        <v>18.8322355648</v>
      </c>
      <c r="I7589" s="48" t="n">
        <f aca="false">(I7581*Assumptions!$E$22*MIN(1,Assumptions!$D$103/Assumptions!$E$78)+I7588)*I7571</f>
        <v>31.6761039616</v>
      </c>
      <c r="J7589" s="48" t="n">
        <f aca="false">(J7581*Assumptions!$E$22*MIN(1,Assumptions!$D$103/Assumptions!$E$78)+J7588)*J7571</f>
        <v>44.5199723584</v>
      </c>
      <c r="K7589" s="48" t="n">
        <f aca="false">(K7581*Assumptions!$E$22*MIN(1,Assumptions!$D$103/Assumptions!$E$78)+K7588)*K7571</f>
        <v>44.5199723584</v>
      </c>
      <c r="L7589" s="48" t="n">
        <f aca="false">(L7581*Assumptions!$E$22*MIN(1,Assumptions!$D$103/Assumptions!$E$78)+L7588)*L7571</f>
        <v>44.5199723584</v>
      </c>
      <c r="M7589" s="48" t="n">
        <f aca="false">(M7581*Assumptions!$E$22*MIN(1,Assumptions!$D$103/Assumptions!$E$78)+M7588)*M7571</f>
        <v>44.5199723584</v>
      </c>
      <c r="N7589" s="48" t="n">
        <f aca="false">(N7581*Assumptions!$E$22*MIN(1,Assumptions!$D$103/Assumptions!$E$78)+N7588)*N7571</f>
        <v>44.5199723584</v>
      </c>
      <c r="P7589" s="49" t="n">
        <f aca="false">SUM(C7589:F7589)</f>
        <v>38.6321406464</v>
      </c>
      <c r="Q7589" s="49" t="n">
        <f aca="false">SUM(G7589:J7589)</f>
        <v>109.9633069024</v>
      </c>
      <c r="R7589" s="49" t="n">
        <f aca="false">SUM(K7589:N7589)</f>
        <v>178.0798894336</v>
      </c>
      <c r="S7589" s="50" t="n">
        <f aca="false">SUM(P7589:R7589)</f>
        <v>326.6753369824</v>
      </c>
    </row>
    <row r="7590" customFormat="false" ht="15" hidden="false" customHeight="false" outlineLevel="0" collapsed="false">
      <c r="A7590" s="4" t="s">
        <v>499</v>
      </c>
      <c r="B7590" s="36" t="s">
        <v>500</v>
      </c>
      <c r="C7590" s="48" t="n">
        <f aca="false">C7571*MIN(Assumptions!$E$27,Assumptions!$E$25+Assumptions!$E$26*(C7570-1))*Assumptions!$D$107</f>
        <v>2</v>
      </c>
      <c r="D7590" s="48" t="n">
        <f aca="false">D7571*MIN(Assumptions!$E$27,Assumptions!$E$25+Assumptions!$E$26*(D7570-1))*Assumptions!$D$107</f>
        <v>3</v>
      </c>
      <c r="E7590" s="48" t="n">
        <f aca="false">E7571*MIN(Assumptions!$E$27,Assumptions!$E$25+Assumptions!$E$26*(E7570-1))*Assumptions!$D$107</f>
        <v>4</v>
      </c>
      <c r="F7590" s="48" t="n">
        <f aca="false">F7571*MIN(Assumptions!$E$27,Assumptions!$E$25+Assumptions!$E$26*(F7570-1))*Assumptions!$D$107</f>
        <v>5</v>
      </c>
      <c r="G7590" s="48" t="n">
        <f aca="false">G7571*MIN(Assumptions!$E$27,Assumptions!$E$25+Assumptions!$E$26*(G7570-1))*Assumptions!$D$107</f>
        <v>6</v>
      </c>
      <c r="H7590" s="48" t="n">
        <f aca="false">H7571*MIN(Assumptions!$E$27,Assumptions!$E$25+Assumptions!$E$26*(H7570-1))*Assumptions!$D$107</f>
        <v>7</v>
      </c>
      <c r="I7590" s="48" t="n">
        <f aca="false">I7571*MIN(Assumptions!$E$27,Assumptions!$E$25+Assumptions!$E$26*(I7570-1))*Assumptions!$D$107</f>
        <v>8</v>
      </c>
      <c r="J7590" s="48" t="n">
        <f aca="false">J7571*MIN(Assumptions!$E$27,Assumptions!$E$25+Assumptions!$E$26*(J7570-1))*Assumptions!$D$107</f>
        <v>9</v>
      </c>
      <c r="K7590" s="48" t="n">
        <f aca="false">K7571*MIN(Assumptions!$E$27,Assumptions!$E$25+Assumptions!$E$26*(K7570-1))*Assumptions!$D$107</f>
        <v>10</v>
      </c>
      <c r="L7590" s="48" t="n">
        <f aca="false">L7571*MIN(Assumptions!$E$27,Assumptions!$E$25+Assumptions!$E$26*(L7570-1))*Assumptions!$D$107</f>
        <v>10</v>
      </c>
      <c r="M7590" s="48" t="n">
        <f aca="false">M7571*MIN(Assumptions!$E$27,Assumptions!$E$25+Assumptions!$E$26*(M7570-1))*Assumptions!$D$107</f>
        <v>10</v>
      </c>
      <c r="N7590" s="48" t="n">
        <f aca="false">N7571*MIN(Assumptions!$E$27,Assumptions!$E$25+Assumptions!$E$26*(N7570-1))*Assumptions!$D$107</f>
        <v>10</v>
      </c>
      <c r="P7590" s="49" t="n">
        <f aca="false">F7590</f>
        <v>5</v>
      </c>
      <c r="Q7590" s="49" t="n">
        <f aca="false">J7590</f>
        <v>9</v>
      </c>
      <c r="R7590" s="49" t="n">
        <f aca="false">N7590</f>
        <v>10</v>
      </c>
      <c r="S7590" s="50" t="n">
        <f aca="false">R7590</f>
        <v>10</v>
      </c>
    </row>
    <row r="7591" customFormat="false" ht="15" hidden="false" customHeight="false" outlineLevel="0" collapsed="false">
      <c r="A7591" s="4" t="s">
        <v>501</v>
      </c>
      <c r="B7591" s="36" t="s">
        <v>502</v>
      </c>
      <c r="C7591" s="48" t="n">
        <f aca="false">C7590*Assumptions!$E$28</f>
        <v>6</v>
      </c>
      <c r="D7591" s="48" t="n">
        <f aca="false">D7590*Assumptions!$E$28</f>
        <v>9</v>
      </c>
      <c r="E7591" s="48" t="n">
        <f aca="false">E7590*Assumptions!$E$28</f>
        <v>12</v>
      </c>
      <c r="F7591" s="48" t="n">
        <f aca="false">F7590*Assumptions!$E$28</f>
        <v>15</v>
      </c>
      <c r="G7591" s="48" t="n">
        <f aca="false">G7590*Assumptions!$E$28</f>
        <v>18</v>
      </c>
      <c r="H7591" s="48" t="n">
        <f aca="false">H7590*Assumptions!$E$28</f>
        <v>21</v>
      </c>
      <c r="I7591" s="48" t="n">
        <f aca="false">I7590*Assumptions!$E$28</f>
        <v>24</v>
      </c>
      <c r="J7591" s="48" t="n">
        <f aca="false">J7590*Assumptions!$E$28</f>
        <v>27</v>
      </c>
      <c r="K7591" s="48" t="n">
        <f aca="false">K7590*Assumptions!$E$28</f>
        <v>30</v>
      </c>
      <c r="L7591" s="48" t="n">
        <f aca="false">L7590*Assumptions!$E$28</f>
        <v>30</v>
      </c>
      <c r="M7591" s="48" t="n">
        <f aca="false">M7590*Assumptions!$E$28</f>
        <v>30</v>
      </c>
      <c r="N7591" s="48" t="n">
        <f aca="false">N7590*Assumptions!$E$28</f>
        <v>30</v>
      </c>
      <c r="P7591" s="49" t="n">
        <f aca="false">SUM(C7591:F7591)</f>
        <v>42</v>
      </c>
      <c r="Q7591" s="49" t="n">
        <f aca="false">SUM(G7591:J7591)</f>
        <v>90</v>
      </c>
      <c r="R7591" s="49" t="n">
        <f aca="false">SUM(K7591:N7591)</f>
        <v>120</v>
      </c>
      <c r="S7591" s="50" t="n">
        <f aca="false">SUM(P7591:R7591)</f>
        <v>252</v>
      </c>
    </row>
    <row r="7592" customFormat="false" ht="15" hidden="false" customHeight="false" outlineLevel="0" collapsed="false">
      <c r="A7592" s="4" t="s">
        <v>503</v>
      </c>
      <c r="B7592" s="36" t="s">
        <v>504</v>
      </c>
      <c r="C7592" s="48" t="n">
        <f aca="false">(C7583+C7587)*Assumptions!$E$29</f>
        <v>2.649061072896</v>
      </c>
      <c r="D7592" s="48" t="n">
        <f aca="false">(D7583+D7587)*Assumptions!$E$29</f>
        <v>4.93045821299048</v>
      </c>
      <c r="E7592" s="48" t="n">
        <f aca="false">(E7583+E7587)*Assumptions!$E$29</f>
        <v>4.58830837060879</v>
      </c>
      <c r="F7592" s="48" t="n">
        <f aca="false">(F7583+F7587)*Assumptions!$E$29</f>
        <v>4.26990206474738</v>
      </c>
      <c r="G7592" s="48" t="n">
        <f aca="false">(G7583+G7587)*Assumptions!$E$29</f>
        <v>5.844267072</v>
      </c>
      <c r="H7592" s="48" t="n">
        <f aca="false">(H7583+H7587)*Assumptions!$E$29</f>
        <v>7.17956301044434</v>
      </c>
      <c r="I7592" s="48" t="n">
        <f aca="false">(I7583+I7587)*Assumptions!$E$29</f>
        <v>12.8463930542132</v>
      </c>
      <c r="J7592" s="48" t="n">
        <f aca="false">(J7583+J7587)*Assumptions!$E$29</f>
        <v>17.6921476412567</v>
      </c>
      <c r="K7592" s="48" t="n">
        <f aca="false">(K7583+K7587)*Assumptions!$E$29</f>
        <v>16.4643985629052</v>
      </c>
      <c r="L7592" s="48" t="n">
        <f aca="false">(L7583+L7587)*Assumptions!$E$29</f>
        <v>15.3218493048332</v>
      </c>
      <c r="M7592" s="48" t="n">
        <f aca="false">(M7583+M7587)*Assumptions!$E$29</f>
        <v>14.2585874135079</v>
      </c>
      <c r="N7592" s="48" t="n">
        <f aca="false">(N7583+N7587)*Assumptions!$E$29</f>
        <v>13.2691107309425</v>
      </c>
      <c r="P7592" s="49" t="n">
        <f aca="false">SUM(C7592:F7592)</f>
        <v>16.4377297212427</v>
      </c>
      <c r="Q7592" s="49" t="n">
        <f aca="false">SUM(G7592:J7592)</f>
        <v>43.5623707779142</v>
      </c>
      <c r="R7592" s="49" t="n">
        <f aca="false">SUM(K7592:N7592)</f>
        <v>59.3139460121888</v>
      </c>
      <c r="S7592" s="50" t="n">
        <f aca="false">SUM(P7592:R7592)</f>
        <v>119.314046511346</v>
      </c>
    </row>
    <row r="7593" customFormat="false" ht="15" hidden="false" customHeight="false" outlineLevel="0" collapsed="false">
      <c r="A7593" s="4" t="s">
        <v>505</v>
      </c>
      <c r="B7593" s="36" t="s">
        <v>504</v>
      </c>
      <c r="C7593" s="48" t="n">
        <f aca="false">C7589*Assumptions!$E$31</f>
        <v>0.883020357632</v>
      </c>
      <c r="D7593" s="48" t="n">
        <f aca="false">D7589*Assumptions!$E$31</f>
        <v>1.766040715264</v>
      </c>
      <c r="E7593" s="48" t="n">
        <f aca="false">E7589*Assumptions!$E$31</f>
        <v>1.766040715264</v>
      </c>
      <c r="F7593" s="48" t="n">
        <f aca="false">F7589*Assumptions!$E$31</f>
        <v>1.766040715264</v>
      </c>
      <c r="G7593" s="48" t="n">
        <f aca="false">G7589*Assumptions!$E$31</f>
        <v>2.389599202816</v>
      </c>
      <c r="H7593" s="48" t="n">
        <f aca="false">H7589*Assumptions!$E$31</f>
        <v>3.013157690368</v>
      </c>
      <c r="I7593" s="48" t="n">
        <f aca="false">I7589*Assumptions!$E$31</f>
        <v>5.068176633856</v>
      </c>
      <c r="J7593" s="48" t="n">
        <f aca="false">J7589*Assumptions!$E$31</f>
        <v>7.123195577344</v>
      </c>
      <c r="K7593" s="48" t="n">
        <f aca="false">K7589*Assumptions!$E$31</f>
        <v>7.123195577344</v>
      </c>
      <c r="L7593" s="48" t="n">
        <f aca="false">L7589*Assumptions!$E$31</f>
        <v>7.123195577344</v>
      </c>
      <c r="M7593" s="48" t="n">
        <f aca="false">M7589*Assumptions!$E$31</f>
        <v>7.123195577344</v>
      </c>
      <c r="N7593" s="48" t="n">
        <f aca="false">N7589*Assumptions!$E$31</f>
        <v>7.123195577344</v>
      </c>
      <c r="P7593" s="49" t="n">
        <f aca="false">SUM(C7593:F7593)</f>
        <v>6.181142503424</v>
      </c>
      <c r="Q7593" s="49" t="n">
        <f aca="false">SUM(G7593:J7593)</f>
        <v>17.594129104384</v>
      </c>
      <c r="R7593" s="49" t="n">
        <f aca="false">SUM(K7593:N7593)</f>
        <v>28.492782309376</v>
      </c>
      <c r="S7593" s="50" t="n">
        <f aca="false">SUM(P7593:R7593)</f>
        <v>52.268053917184</v>
      </c>
    </row>
    <row r="7594" customFormat="false" ht="15" hidden="false" customHeight="false" outlineLevel="0" collapsed="false">
      <c r="A7594" s="4" t="s">
        <v>506</v>
      </c>
      <c r="B7594" s="36" t="s">
        <v>504</v>
      </c>
      <c r="C7594" s="48" t="n">
        <f aca="false">C7591*Assumptions!$E$30</f>
        <v>3</v>
      </c>
      <c r="D7594" s="48" t="n">
        <f aca="false">D7591*Assumptions!$E$30</f>
        <v>4.5</v>
      </c>
      <c r="E7594" s="48" t="n">
        <f aca="false">E7591*Assumptions!$E$30</f>
        <v>6</v>
      </c>
      <c r="F7594" s="48" t="n">
        <f aca="false">F7591*Assumptions!$E$30</f>
        <v>7.5</v>
      </c>
      <c r="G7594" s="48" t="n">
        <f aca="false">G7591*Assumptions!$E$30</f>
        <v>9</v>
      </c>
      <c r="H7594" s="48" t="n">
        <f aca="false">H7591*Assumptions!$E$30</f>
        <v>10.5</v>
      </c>
      <c r="I7594" s="48" t="n">
        <f aca="false">I7591*Assumptions!$E$30</f>
        <v>12</v>
      </c>
      <c r="J7594" s="48" t="n">
        <f aca="false">J7591*Assumptions!$E$30</f>
        <v>13.5</v>
      </c>
      <c r="K7594" s="48" t="n">
        <f aca="false">K7591*Assumptions!$E$30</f>
        <v>15</v>
      </c>
      <c r="L7594" s="48" t="n">
        <f aca="false">L7591*Assumptions!$E$30</f>
        <v>15</v>
      </c>
      <c r="M7594" s="48" t="n">
        <f aca="false">M7591*Assumptions!$E$30</f>
        <v>15</v>
      </c>
      <c r="N7594" s="48" t="n">
        <f aca="false">N7591*Assumptions!$E$30</f>
        <v>15</v>
      </c>
      <c r="P7594" s="49" t="n">
        <f aca="false">SUM(C7594:F7594)</f>
        <v>21</v>
      </c>
      <c r="Q7594" s="49" t="n">
        <f aca="false">SUM(G7594:J7594)</f>
        <v>45</v>
      </c>
      <c r="R7594" s="49" t="n">
        <f aca="false">SUM(K7594:N7594)</f>
        <v>60</v>
      </c>
      <c r="S7594" s="50" t="n">
        <f aca="false">SUM(P7594:R7594)</f>
        <v>126</v>
      </c>
    </row>
    <row r="7595" customFormat="false" ht="15" hidden="false" customHeight="false" outlineLevel="0" collapsed="false">
      <c r="A7595" s="9" t="s">
        <v>507</v>
      </c>
      <c r="B7595" s="36" t="s">
        <v>504</v>
      </c>
      <c r="C7595" s="49" t="n">
        <f aca="false">C7592+C7593+C7594</f>
        <v>6.532081430528</v>
      </c>
      <c r="D7595" s="49" t="n">
        <f aca="false">D7592+D7593+D7594</f>
        <v>11.1964989282545</v>
      </c>
      <c r="E7595" s="49" t="n">
        <f aca="false">E7592+E7593+E7594</f>
        <v>12.3543490858728</v>
      </c>
      <c r="F7595" s="49" t="n">
        <f aca="false">F7592+F7593+F7594</f>
        <v>13.5359427800114</v>
      </c>
      <c r="G7595" s="49" t="n">
        <f aca="false">G7592+G7593+G7594</f>
        <v>17.233866274816</v>
      </c>
      <c r="H7595" s="49" t="n">
        <f aca="false">H7592+H7593+H7594</f>
        <v>20.6927207008123</v>
      </c>
      <c r="I7595" s="49" t="n">
        <f aca="false">I7592+I7593+I7594</f>
        <v>29.9145696880692</v>
      </c>
      <c r="J7595" s="49" t="n">
        <f aca="false">J7592+J7593+J7594</f>
        <v>38.3153432186007</v>
      </c>
      <c r="K7595" s="49" t="n">
        <f aca="false">K7592+K7593+K7594</f>
        <v>38.5875941402492</v>
      </c>
      <c r="L7595" s="49" t="n">
        <f aca="false">L7592+L7593+L7594</f>
        <v>37.4450448821772</v>
      </c>
      <c r="M7595" s="49" t="n">
        <f aca="false">M7592+M7593+M7594</f>
        <v>36.3817829908519</v>
      </c>
      <c r="N7595" s="49" t="n">
        <f aca="false">N7592+N7593+N7594</f>
        <v>35.3923063082865</v>
      </c>
      <c r="P7595" s="49" t="n">
        <f aca="false">SUM(C7595:F7595)</f>
        <v>43.6188722246667</v>
      </c>
      <c r="Q7595" s="49" t="n">
        <f aca="false">SUM(G7595:J7595)</f>
        <v>106.156499882298</v>
      </c>
      <c r="R7595" s="49" t="n">
        <f aca="false">SUM(K7595:N7595)</f>
        <v>147.806728321565</v>
      </c>
      <c r="S7595" s="50" t="n">
        <f aca="false">SUM(P7595:R7595)</f>
        <v>297.58210042853</v>
      </c>
    </row>
    <row r="7596" customFormat="false" ht="15" hidden="false" customHeight="false" outlineLevel="0" collapsed="false">
      <c r="A7596" s="4" t="s">
        <v>508</v>
      </c>
      <c r="B7596" s="36" t="s">
        <v>509</v>
      </c>
      <c r="C7596" s="48" t="n">
        <f aca="false">C7578</f>
        <v>421.51972352</v>
      </c>
      <c r="D7596" s="48" t="n">
        <f aca="false">D7578</f>
        <v>843.03944704</v>
      </c>
      <c r="E7596" s="48" t="n">
        <f aca="false">E7578</f>
        <v>843.03944704</v>
      </c>
      <c r="F7596" s="48" t="n">
        <f aca="false">F7578</f>
        <v>843.03944704</v>
      </c>
      <c r="G7596" s="48" t="n">
        <f aca="false">G7578</f>
        <v>1149.32798176</v>
      </c>
      <c r="H7596" s="48" t="n">
        <f aca="false">H7578</f>
        <v>1455.61651648</v>
      </c>
      <c r="I7596" s="48" t="n">
        <f aca="false">I7578</f>
        <v>2486.00303616</v>
      </c>
      <c r="J7596" s="48" t="n">
        <f aca="false">J7578</f>
        <v>3516.38955584</v>
      </c>
      <c r="K7596" s="48" t="n">
        <f aca="false">K7578</f>
        <v>3516.38955584</v>
      </c>
      <c r="L7596" s="48" t="n">
        <f aca="false">L7578</f>
        <v>3516.38955584</v>
      </c>
      <c r="M7596" s="48" t="n">
        <f aca="false">M7578</f>
        <v>3516.38955584</v>
      </c>
      <c r="N7596" s="48" t="n">
        <f aca="false">N7578</f>
        <v>3516.38955584</v>
      </c>
      <c r="P7596" s="49"/>
      <c r="Q7596" s="49"/>
      <c r="R7596" s="49"/>
      <c r="S7596" s="50"/>
    </row>
    <row r="7597" customFormat="false" ht="15" hidden="false" customHeight="false" outlineLevel="0" collapsed="false">
      <c r="A7597" s="4" t="s">
        <v>510</v>
      </c>
      <c r="B7597" s="36" t="s">
        <v>509</v>
      </c>
      <c r="C7597" s="48" t="n">
        <f aca="false">C7579*Assumptions!$E$18*Assumptions!$E$33</f>
        <v>211.19616</v>
      </c>
      <c r="D7597" s="48" t="n">
        <f aca="false">D7579*Assumptions!$E$18*Assumptions!$E$33</f>
        <v>422.39232</v>
      </c>
      <c r="E7597" s="48" t="n">
        <f aca="false">E7579*Assumptions!$E$18*Assumptions!$E$33</f>
        <v>422.39232</v>
      </c>
      <c r="F7597" s="48" t="n">
        <f aca="false">F7579*Assumptions!$E$18*Assumptions!$E$33</f>
        <v>422.39232</v>
      </c>
      <c r="G7597" s="48" t="n">
        <f aca="false">G7579*Assumptions!$E$18*Assumptions!$E$33</f>
        <v>564.49344</v>
      </c>
      <c r="H7597" s="48" t="n">
        <f aca="false">H7579*Assumptions!$E$18*Assumptions!$E$33</f>
        <v>706.59456</v>
      </c>
      <c r="I7597" s="48" t="n">
        <f aca="false">I7579*Assumptions!$E$18*Assumptions!$E$33</f>
        <v>1135.07072</v>
      </c>
      <c r="J7597" s="48" t="n">
        <f aca="false">J7579*Assumptions!$E$18*Assumptions!$E$33</f>
        <v>1563.54688</v>
      </c>
      <c r="K7597" s="48" t="n">
        <f aca="false">K7579*Assumptions!$E$18*Assumptions!$E$33</f>
        <v>1563.54688</v>
      </c>
      <c r="L7597" s="48" t="n">
        <f aca="false">L7579*Assumptions!$E$18*Assumptions!$E$33</f>
        <v>1563.54688</v>
      </c>
      <c r="M7597" s="48" t="n">
        <f aca="false">M7579*Assumptions!$E$18*Assumptions!$E$33</f>
        <v>1563.54688</v>
      </c>
      <c r="N7597" s="48" t="n">
        <f aca="false">N7579*Assumptions!$E$18*Assumptions!$E$33</f>
        <v>1563.54688</v>
      </c>
      <c r="P7597" s="49"/>
      <c r="Q7597" s="49"/>
      <c r="R7597" s="49"/>
      <c r="S7597" s="50"/>
    </row>
    <row r="7598" customFormat="false" ht="15" hidden="false" customHeight="false" outlineLevel="0" collapsed="false">
      <c r="A7598" s="4" t="s">
        <v>511</v>
      </c>
      <c r="B7598" s="36" t="s">
        <v>509</v>
      </c>
      <c r="C7598" s="48" t="n">
        <f aca="false">C7580*Assumptions!$E$19*Assumptions!$E$34</f>
        <v>34.677888</v>
      </c>
      <c r="D7598" s="48" t="n">
        <f aca="false">D7580*Assumptions!$E$19*Assumptions!$E$34</f>
        <v>69.355776</v>
      </c>
      <c r="E7598" s="48" t="n">
        <f aca="false">E7580*Assumptions!$E$19*Assumptions!$E$34</f>
        <v>69.355776</v>
      </c>
      <c r="F7598" s="48" t="n">
        <f aca="false">F7580*Assumptions!$E$19*Assumptions!$E$34</f>
        <v>69.355776</v>
      </c>
      <c r="G7598" s="48" t="n">
        <f aca="false">G7580*Assumptions!$E$19*Assumptions!$E$34</f>
        <v>86.69472</v>
      </c>
      <c r="H7598" s="48" t="n">
        <f aca="false">H7580*Assumptions!$E$19*Assumptions!$E$34</f>
        <v>104.033664</v>
      </c>
      <c r="I7598" s="48" t="n">
        <f aca="false">I7580*Assumptions!$E$19*Assumptions!$E$34</f>
        <v>159.7008</v>
      </c>
      <c r="J7598" s="48" t="n">
        <f aca="false">J7580*Assumptions!$E$19*Assumptions!$E$34</f>
        <v>215.367936</v>
      </c>
      <c r="K7598" s="48" t="n">
        <f aca="false">K7580*Assumptions!$E$19*Assumptions!$E$34</f>
        <v>215.367936</v>
      </c>
      <c r="L7598" s="48" t="n">
        <f aca="false">L7580*Assumptions!$E$19*Assumptions!$E$34</f>
        <v>215.367936</v>
      </c>
      <c r="M7598" s="48" t="n">
        <f aca="false">M7580*Assumptions!$E$19*Assumptions!$E$34</f>
        <v>215.367936</v>
      </c>
      <c r="N7598" s="48" t="n">
        <f aca="false">N7580*Assumptions!$E$19*Assumptions!$E$34</f>
        <v>215.367936</v>
      </c>
      <c r="P7598" s="49"/>
      <c r="Q7598" s="49"/>
      <c r="R7598" s="49"/>
      <c r="S7598" s="50"/>
    </row>
    <row r="7599" customFormat="false" ht="15" hidden="false" customHeight="false" outlineLevel="0" collapsed="false">
      <c r="A7599" s="4" t="s">
        <v>512</v>
      </c>
      <c r="B7599" s="36" t="s">
        <v>77</v>
      </c>
      <c r="C7599" s="51" t="n">
        <f aca="false">IFERROR(C7596/(C7596+C7597+C7598),0)</f>
        <v>0.631590736245533</v>
      </c>
      <c r="D7599" s="51" t="n">
        <f aca="false">IFERROR(D7596/(D7596+D7597+D7598),0)</f>
        <v>0.631590736245533</v>
      </c>
      <c r="E7599" s="51" t="n">
        <f aca="false">IFERROR(E7596/(E7596+E7597+E7598),0)</f>
        <v>0.631590736245533</v>
      </c>
      <c r="F7599" s="51" t="n">
        <f aca="false">IFERROR(F7596/(F7596+F7597+F7598),0)</f>
        <v>0.631590736245533</v>
      </c>
      <c r="G7599" s="51" t="n">
        <f aca="false">IFERROR(G7596/(G7596+G7597+G7598),0)</f>
        <v>0.638332506498128</v>
      </c>
      <c r="H7599" s="51" t="n">
        <f aca="false">IFERROR(H7596/(H7596+H7597+H7598),0)</f>
        <v>0.642303318118984</v>
      </c>
      <c r="I7599" s="51" t="n">
        <f aca="false">IFERROR(I7596/(I7596+I7597+I7598),0)</f>
        <v>0.657538025405288</v>
      </c>
      <c r="J7599" s="51" t="n">
        <f aca="false">IFERROR(J7596/(J7596+J7597+J7598),0)</f>
        <v>0.664058061428891</v>
      </c>
      <c r="K7599" s="51" t="n">
        <f aca="false">IFERROR(K7596/(K7596+K7597+K7598),0)</f>
        <v>0.664058061428891</v>
      </c>
      <c r="L7599" s="51" t="n">
        <f aca="false">IFERROR(L7596/(L7596+L7597+L7598),0)</f>
        <v>0.664058061428891</v>
      </c>
      <c r="M7599" s="51" t="n">
        <f aca="false">IFERROR(M7596/(M7596+M7597+M7598),0)</f>
        <v>0.664058061428891</v>
      </c>
      <c r="N7599" s="51" t="n">
        <f aca="false">IFERROR(N7596/(N7596+N7597+N7598),0)</f>
        <v>0.664058061428891</v>
      </c>
      <c r="P7599" s="52"/>
      <c r="Q7599" s="52"/>
      <c r="R7599" s="52"/>
      <c r="S7599" s="53"/>
    </row>
    <row r="7600" customFormat="false" ht="15" hidden="false" customHeight="false" outlineLevel="0" collapsed="false">
      <c r="A7600" s="4" t="s">
        <v>513</v>
      </c>
      <c r="B7600" s="36" t="s">
        <v>77</v>
      </c>
      <c r="C7600" s="51" t="n">
        <f aca="false">IFERROR(C7597/(C7596+C7597+C7598),0)</f>
        <v>0.316449102482628</v>
      </c>
      <c r="D7600" s="51" t="n">
        <f aca="false">IFERROR(D7597/(D7596+D7597+D7598),0)</f>
        <v>0.316449102482628</v>
      </c>
      <c r="E7600" s="51" t="n">
        <f aca="false">IFERROR(E7597/(E7596+E7597+E7598),0)</f>
        <v>0.316449102482628</v>
      </c>
      <c r="F7600" s="51" t="n">
        <f aca="false">IFERROR(F7597/(F7596+F7597+F7598),0)</f>
        <v>0.316449102482628</v>
      </c>
      <c r="G7600" s="51" t="n">
        <f aca="false">IFERROR(G7597/(G7596+G7597+G7598),0)</f>
        <v>0.313517566939561</v>
      </c>
      <c r="H7600" s="51" t="n">
        <f aca="false">IFERROR(H7597/(H7596+H7597+H7598),0)</f>
        <v>0.311790932099567</v>
      </c>
      <c r="I7600" s="51" t="n">
        <f aca="false">IFERROR(I7597/(I7596+I7597+I7598),0)</f>
        <v>0.300221741111391</v>
      </c>
      <c r="J7600" s="51" t="n">
        <f aca="false">IFERROR(J7597/(J7596+J7597+J7598),0)</f>
        <v>0.295270445324128</v>
      </c>
      <c r="K7600" s="51" t="n">
        <f aca="false">IFERROR(K7597/(K7596+K7597+K7598),0)</f>
        <v>0.295270445324128</v>
      </c>
      <c r="L7600" s="51" t="n">
        <f aca="false">IFERROR(L7597/(L7596+L7597+L7598),0)</f>
        <v>0.295270445324128</v>
      </c>
      <c r="M7600" s="51" t="n">
        <f aca="false">IFERROR(M7597/(M7596+M7597+M7598),0)</f>
        <v>0.295270445324128</v>
      </c>
      <c r="N7600" s="51" t="n">
        <f aca="false">IFERROR(N7597/(N7596+N7597+N7598),0)</f>
        <v>0.295270445324128</v>
      </c>
      <c r="P7600" s="52"/>
      <c r="Q7600" s="52"/>
      <c r="R7600" s="52"/>
      <c r="S7600" s="53"/>
    </row>
    <row r="7601" customFormat="false" ht="15" hidden="false" customHeight="false" outlineLevel="0" collapsed="false">
      <c r="A7601" s="4" t="s">
        <v>514</v>
      </c>
      <c r="B7601" s="36" t="s">
        <v>77</v>
      </c>
      <c r="C7601" s="51" t="n">
        <f aca="false">IFERROR(C7598/(C7596+C7597+C7598),0)</f>
        <v>0.0519601612718389</v>
      </c>
      <c r="D7601" s="51" t="n">
        <f aca="false">IFERROR(D7598/(D7596+D7597+D7598),0)</f>
        <v>0.0519601612718389</v>
      </c>
      <c r="E7601" s="51" t="n">
        <f aca="false">IFERROR(E7598/(E7596+E7597+E7598),0)</f>
        <v>0.0519601612718389</v>
      </c>
      <c r="F7601" s="51" t="n">
        <f aca="false">IFERROR(F7598/(F7596+F7597+F7598),0)</f>
        <v>0.0519601612718389</v>
      </c>
      <c r="G7601" s="51" t="n">
        <f aca="false">IFERROR(G7598/(G7596+G7597+G7598),0)</f>
        <v>0.0481499265623113</v>
      </c>
      <c r="H7601" s="51" t="n">
        <f aca="false">IFERROR(H7598/(H7596+H7597+H7598),0)</f>
        <v>0.0459057497814491</v>
      </c>
      <c r="I7601" s="51" t="n">
        <f aca="false">IFERROR(I7598/(I7596+I7597+I7598),0)</f>
        <v>0.0422402334833216</v>
      </c>
      <c r="J7601" s="51" t="n">
        <f aca="false">IFERROR(J7598/(J7596+J7597+J7598),0)</f>
        <v>0.0406714932469811</v>
      </c>
      <c r="K7601" s="51" t="n">
        <f aca="false">IFERROR(K7598/(K7596+K7597+K7598),0)</f>
        <v>0.0406714932469811</v>
      </c>
      <c r="L7601" s="51" t="n">
        <f aca="false">IFERROR(L7598/(L7596+L7597+L7598),0)</f>
        <v>0.0406714932469811</v>
      </c>
      <c r="M7601" s="51" t="n">
        <f aca="false">IFERROR(M7598/(M7596+M7597+M7598),0)</f>
        <v>0.0406714932469811</v>
      </c>
      <c r="N7601" s="51" t="n">
        <f aca="false">IFERROR(N7598/(N7596+N7597+N7598),0)</f>
        <v>0.0406714932469811</v>
      </c>
      <c r="P7601" s="52"/>
      <c r="Q7601" s="52"/>
      <c r="R7601" s="52"/>
      <c r="S7601" s="53"/>
    </row>
    <row r="7602" customFormat="false" ht="15" hidden="false" customHeight="false" outlineLevel="0" collapsed="false">
      <c r="A7602" s="4" t="s">
        <v>515</v>
      </c>
      <c r="B7602" s="36" t="s">
        <v>516</v>
      </c>
      <c r="C7602" s="48" t="n">
        <f aca="false">IF(C7570-Assumptions!$E$35&lt;1,0,INDEX($C$7595:$N$7595,1,C7570-Assumptions!$E$35)*INDEX($C$7599:$N$7599,1,C7570-Assumptions!$E$35)*Assumptions!$E$32)</f>
        <v>0</v>
      </c>
      <c r="D7602" s="48" t="n">
        <f aca="false">IF(D7570-Assumptions!$E$35&lt;1,0,INDEX($C$7595:$N$7595,1,D7570-Assumptions!$E$35)*INDEX($C$7599:$N$7599,1,D7570-Assumptions!$E$35)*Assumptions!$E$32)</f>
        <v>0.866376445183821</v>
      </c>
      <c r="E7602" s="48" t="n">
        <f aca="false">IF(E7570-Assumptions!$E$35&lt;1,0,INDEX($C$7595:$N$7595,1,E7570-Assumptions!$E$35)*INDEX($C$7599:$N$7599,1,E7570-Assumptions!$E$35)*Assumptions!$E$32)</f>
        <v>1.4850370503084</v>
      </c>
      <c r="F7602" s="48" t="n">
        <f aca="false">IF(F7570-Assumptions!$E$35&lt;1,0,INDEX($C$7595:$N$7595,1,F7570-Assumptions!$E$35)*INDEX($C$7599:$N$7599,1,F7570-Assumptions!$E$35)*Assumptions!$E$32)</f>
        <v>1.63860741134595</v>
      </c>
      <c r="G7602" s="48" t="n">
        <f aca="false">IF(G7570-Assumptions!$E$35&lt;1,0,INDEX($C$7595:$N$7595,1,G7570-Assumptions!$E$35)*INDEX($C$7599:$N$7599,1,G7570-Assumptions!$E$35)*Assumptions!$E$32)</f>
        <v>1.79532697390301</v>
      </c>
      <c r="H7602" s="48" t="n">
        <f aca="false">IF(H7570-Assumptions!$E$35&lt;1,0,INDEX($C$7595:$N$7595,1,H7570-Assumptions!$E$35)*INDEX($C$7599:$N$7599,1,H7570-Assumptions!$E$35)*Assumptions!$E$32)</f>
        <v>2.31019678172994</v>
      </c>
      <c r="I7602" s="48" t="n">
        <f aca="false">IF(I7570-Assumptions!$E$35&lt;1,0,INDEX($C$7595:$N$7595,1,I7570-Assumptions!$E$35)*INDEX($C$7599:$N$7599,1,I7570-Assumptions!$E$35)*Assumptions!$E$32)</f>
        <v>2.79111066507864</v>
      </c>
      <c r="J7602" s="48" t="n">
        <f aca="false">IF(J7570-Assumptions!$E$35&lt;1,0,INDEX($C$7595:$N$7595,1,J7570-Assumptions!$E$35)*INDEX($C$7599:$N$7599,1,J7570-Assumptions!$E$35)*Assumptions!$E$32)</f>
        <v>4.1306930875438</v>
      </c>
      <c r="K7602" s="48" t="n">
        <f aca="false">IF(K7570-Assumptions!$E$35&lt;1,0,INDEX($C$7595:$N$7595,1,K7570-Assumptions!$E$35)*INDEX($C$7599:$N$7599,1,K7570-Assumptions!$E$35)*Assumptions!$E$32)</f>
        <v>5.34315863355258</v>
      </c>
      <c r="L7602" s="48" t="n">
        <f aca="false">IF(L7570-Assumptions!$E$35&lt;1,0,INDEX($C$7595:$N$7595,1,L7570-Assumptions!$E$35)*INDEX($C$7599:$N$7599,1,L7570-Assumptions!$E$35)*Assumptions!$E$32)</f>
        <v>5.38112462159553</v>
      </c>
      <c r="M7602" s="48" t="n">
        <f aca="false">IF(M7570-Assumptions!$E$35&lt;1,0,INDEX($C$7595:$N$7595,1,M7570-Assumptions!$E$35)*INDEX($C$7599:$N$7599,1,M7570-Assumptions!$E$35)*Assumptions!$E$32)</f>
        <v>5.22179362206104</v>
      </c>
      <c r="N7602" s="48" t="n">
        <f aca="false">IF(N7570-Assumptions!$E$35&lt;1,0,INDEX($C$7595:$N$7595,1,N7570-Assumptions!$E$35)*INDEX($C$7599:$N$7599,1,N7570-Assumptions!$E$35)*Assumptions!$E$32)</f>
        <v>5.07351941968866</v>
      </c>
      <c r="P7602" s="49" t="n">
        <f aca="false">SUM(C7602:F7602)</f>
        <v>3.99002090683817</v>
      </c>
      <c r="Q7602" s="49" t="n">
        <f aca="false">SUM(G7602:J7602)</f>
        <v>11.0273275082554</v>
      </c>
      <c r="R7602" s="49" t="n">
        <f aca="false">SUM(K7602:N7602)</f>
        <v>21.0195962968978</v>
      </c>
      <c r="S7602" s="50" t="n">
        <f aca="false">SUM(P7602:R7602)</f>
        <v>36.0369447119914</v>
      </c>
    </row>
    <row r="7603" customFormat="false" ht="15" hidden="false" customHeight="false" outlineLevel="0" collapsed="false">
      <c r="A7603" s="4" t="s">
        <v>517</v>
      </c>
      <c r="B7603" s="36" t="s">
        <v>516</v>
      </c>
      <c r="C7603" s="48" t="n">
        <f aca="false">IF(C7570-Assumptions!$E$35&lt;1,0,INDEX($C$7595:$N$7595,1,C7570-Assumptions!$E$35)*INDEX($C$7600:$N$7600,1,C7570-Assumptions!$E$35)*Assumptions!$E$32)</f>
        <v>0</v>
      </c>
      <c r="D7603" s="48" t="n">
        <f aca="false">IF(D7570-Assumptions!$E$35&lt;1,0,INDEX($C$7595:$N$7595,1,D7570-Assumptions!$E$35)*INDEX($C$7600:$N$7600,1,D7570-Assumptions!$E$35)*Assumptions!$E$32)</f>
        <v>0.434084974267145</v>
      </c>
      <c r="E7603" s="48" t="n">
        <f aca="false">IF(E7570-Assumptions!$E$35&lt;1,0,INDEX($C$7595:$N$7595,1,E7570-Assumptions!$E$35)*INDEX($C$7600:$N$7600,1,E7570-Assumptions!$E$35)*Assumptions!$E$32)</f>
        <v>0.744055627726705</v>
      </c>
      <c r="F7603" s="48" t="n">
        <f aca="false">IF(F7570-Assumptions!$E$35&lt;1,0,INDEX($C$7595:$N$7595,1,F7570-Assumptions!$E$35)*INDEX($C$7600:$N$7600,1,F7570-Assumptions!$E$35)*Assumptions!$E$32)</f>
        <v>0.820999762796119</v>
      </c>
      <c r="G7603" s="48" t="n">
        <f aca="false">IF(G7570-Assumptions!$E$35&lt;1,0,INDEX($C$7595:$N$7595,1,G7570-Assumptions!$E$35)*INDEX($C$7600:$N$7600,1,G7570-Assumptions!$E$35)*Assumptions!$E$32)</f>
        <v>0.89952175823807</v>
      </c>
      <c r="H7603" s="48" t="n">
        <f aca="false">IF(H7570-Assumptions!$E$35&lt;1,0,INDEX($C$7595:$N$7595,1,H7570-Assumptions!$E$35)*INDEX($C$7600:$N$7600,1,H7570-Assumptions!$E$35)*Assumptions!$E$32)</f>
        <v>1.13465516292283</v>
      </c>
      <c r="I7603" s="48" t="n">
        <f aca="false">IF(I7570-Assumptions!$E$35&lt;1,0,INDEX($C$7595:$N$7595,1,I7570-Assumptions!$E$35)*INDEX($C$7600:$N$7600,1,I7570-Assumptions!$E$35)*Assumptions!$E$32)</f>
        <v>1.35487856174628</v>
      </c>
      <c r="J7603" s="48" t="n">
        <f aca="false">IF(J7570-Assumptions!$E$35&lt;1,0,INDEX($C$7595:$N$7595,1,J7570-Assumptions!$E$35)*INDEX($C$7600:$N$7600,1,J7570-Assumptions!$E$35)*Assumptions!$E$32)</f>
        <v>1.88601088123353</v>
      </c>
      <c r="K7603" s="48" t="n">
        <f aca="false">IF(K7570-Assumptions!$E$35&lt;1,0,INDEX($C$7595:$N$7595,1,K7570-Assumptions!$E$35)*INDEX($C$7600:$N$7600,1,K7570-Assumptions!$E$35)*Assumptions!$E$32)</f>
        <v>2.37581157552964</v>
      </c>
      <c r="L7603" s="48" t="n">
        <f aca="false">IF(L7570-Assumptions!$E$35&lt;1,0,INDEX($C$7595:$N$7595,1,L7570-Assumptions!$E$35)*INDEX($C$7600:$N$7600,1,L7570-Assumptions!$E$35)*Assumptions!$E$32)</f>
        <v>2.3926929822134</v>
      </c>
      <c r="M7603" s="48" t="n">
        <f aca="false">IF(M7570-Assumptions!$E$35&lt;1,0,INDEX($C$7595:$N$7595,1,M7570-Assumptions!$E$35)*INDEX($C$7600:$N$7600,1,M7570-Assumptions!$E$35)*Assumptions!$E$32)</f>
        <v>2.32184716628391</v>
      </c>
      <c r="N7603" s="48" t="n">
        <f aca="false">IF(N7570-Assumptions!$E$35&lt;1,0,INDEX($C$7595:$N$7595,1,N7570-Assumptions!$E$35)*INDEX($C$7600:$N$7600,1,N7570-Assumptions!$E$35)*Assumptions!$E$32)</f>
        <v>2.25591770573287</v>
      </c>
      <c r="P7603" s="49" t="n">
        <f aca="false">SUM(C7603:F7603)</f>
        <v>1.99914036478997</v>
      </c>
      <c r="Q7603" s="49" t="n">
        <f aca="false">SUM(G7603:J7603)</f>
        <v>5.27506636414072</v>
      </c>
      <c r="R7603" s="49" t="n">
        <f aca="false">SUM(K7603:N7603)</f>
        <v>9.34626942975982</v>
      </c>
      <c r="S7603" s="50" t="n">
        <f aca="false">SUM(P7603:R7603)</f>
        <v>16.6204761586905</v>
      </c>
    </row>
    <row r="7604" customFormat="false" ht="15" hidden="false" customHeight="false" outlineLevel="0" collapsed="false">
      <c r="A7604" s="4" t="s">
        <v>518</v>
      </c>
      <c r="B7604" s="36" t="s">
        <v>516</v>
      </c>
      <c r="C7604" s="48" t="n">
        <f aca="false">IF(C7570-Assumptions!$E$36&lt;1,0,INDEX($C$7595:$N$7595,1,C7570-Assumptions!$E$36)*INDEX($C$7601:$N$7601,1,C7570-Assumptions!$E$36)*Assumptions!$E$32)</f>
        <v>0</v>
      </c>
      <c r="D7604" s="48" t="n">
        <f aca="false">IF(D7570-Assumptions!$E$36&lt;1,0,INDEX($C$7595:$N$7595,1,D7570-Assumptions!$E$36)*INDEX($C$7601:$N$7601,1,D7570-Assumptions!$E$36)*Assumptions!$E$32)</f>
        <v>0</v>
      </c>
      <c r="E7604" s="48" t="n">
        <f aca="false">IF(E7570-Assumptions!$E$36&lt;1,0,INDEX($C$7595:$N$7595,1,E7570-Assumptions!$E$36)*INDEX($C$7601:$N$7601,1,E7570-Assumptions!$E$36)*Assumptions!$E$32)</f>
        <v>0.071275680959914</v>
      </c>
      <c r="F7604" s="48" t="n">
        <f aca="false">IF(F7570-Assumptions!$E$36&lt;1,0,INDEX($C$7595:$N$7595,1,F7570-Assumptions!$E$36)*INDEX($C$7601:$N$7601,1,F7570-Assumptions!$E$36)*Assumptions!$E$32)</f>
        <v>0.122172096898336</v>
      </c>
      <c r="G7604" s="48" t="n">
        <f aca="false">IF(G7570-Assumptions!$E$36&lt;1,0,INDEX($C$7595:$N$7595,1,G7570-Assumptions!$E$36)*INDEX($C$7601:$N$7601,1,G7570-Assumptions!$E$36)*Assumptions!$E$32)</f>
        <v>0.134806133891215</v>
      </c>
      <c r="H7604" s="48" t="n">
        <f aca="false">IF(H7570-Assumptions!$E$36&lt;1,0,INDEX($C$7595:$N$7595,1,H7570-Assumptions!$E$36)*INDEX($C$7601:$N$7601,1,H7570-Assumptions!$E$36)*Assumptions!$E$32)</f>
        <v>0.147699251661313</v>
      </c>
      <c r="I7604" s="48" t="n">
        <f aca="false">IF(I7570-Assumptions!$E$36&lt;1,0,INDEX($C$7595:$N$7595,1,I7570-Assumptions!$E$36)*INDEX($C$7601:$N$7601,1,I7570-Assumptions!$E$36)*Assumptions!$E$32)</f>
        <v>0.174259973058587</v>
      </c>
      <c r="J7604" s="48" t="n">
        <f aca="false">IF(J7570-Assumptions!$E$36&lt;1,0,INDEX($C$7595:$N$7595,1,J7570-Assumptions!$E$36)*INDEX($C$7601:$N$7601,1,J7570-Assumptions!$E$36)*Assumptions!$E$32)</f>
        <v>0.19948212034567</v>
      </c>
      <c r="K7604" s="48" t="n">
        <f aca="false">IF(K7570-Assumptions!$E$36&lt;1,0,INDEX($C$7595:$N$7595,1,K7570-Assumptions!$E$36)*INDEX($C$7601:$N$7601,1,K7570-Assumptions!$E$36)*Assumptions!$E$32)</f>
        <v>0.265355665717199</v>
      </c>
      <c r="L7604" s="48" t="n">
        <f aca="false">IF(L7570-Assumptions!$E$36&lt;1,0,INDEX($C$7595:$N$7595,1,L7570-Assumptions!$E$36)*INDEX($C$7601:$N$7601,1,L7570-Assumptions!$E$36)*Assumptions!$E$32)</f>
        <v>0.327251866823927</v>
      </c>
      <c r="M7604" s="48" t="n">
        <f aca="false">IF(M7570-Assumptions!$E$36&lt;1,0,INDEX($C$7595:$N$7595,1,M7570-Assumptions!$E$36)*INDEX($C$7601:$N$7601,1,M7570-Assumptions!$E$36)*Assumptions!$E$32)</f>
        <v>0.329577165643402</v>
      </c>
      <c r="N7604" s="48" t="n">
        <f aca="false">IF(N7570-Assumptions!$E$36&lt;1,0,INDEX($C$7595:$N$7595,1,N7570-Assumptions!$E$36)*INDEX($C$7601:$N$7601,1,N7570-Assumptions!$E$36)*Assumptions!$E$32)</f>
        <v>0.319818636912259</v>
      </c>
      <c r="P7604" s="49" t="n">
        <f aca="false">SUM(C7604:F7604)</f>
        <v>0.19344777785825</v>
      </c>
      <c r="Q7604" s="49" t="n">
        <f aca="false">SUM(G7604:J7604)</f>
        <v>0.656247478956785</v>
      </c>
      <c r="R7604" s="49" t="n">
        <f aca="false">SUM(K7604:N7604)</f>
        <v>1.24200333509679</v>
      </c>
      <c r="S7604" s="50" t="n">
        <f aca="false">SUM(P7604:R7604)</f>
        <v>2.09169859191182</v>
      </c>
    </row>
    <row r="7605" customFormat="false" ht="15" hidden="false" customHeight="false" outlineLevel="0" collapsed="false">
      <c r="A7605" s="4" t="s">
        <v>519</v>
      </c>
      <c r="B7605" s="36" t="s">
        <v>77</v>
      </c>
      <c r="C7605" s="51" t="n">
        <f aca="false">IF(C7570-Assumptions!$E$35&lt;1,0,IFERROR(INDEX($C$7594:$N$7594,1,C7570-Assumptions!$E$35)/INDEX($C$7595:$N$7595,1,C7570-Assumptions!$E$35),0))</f>
        <v>0</v>
      </c>
      <c r="D7605" s="51" t="n">
        <f aca="false">IF(D7570-Assumptions!$E$35&lt;1,0,IFERROR(INDEX($C$7594:$N$7594,1,D7570-Assumptions!$E$35)/INDEX($C$7595:$N$7595,1,D7570-Assumptions!$E$35),0))</f>
        <v>0.459271678087073</v>
      </c>
      <c r="E7605" s="51" t="n">
        <f aca="false">IF(E7570-Assumptions!$E$35&lt;1,0,IFERROR(INDEX($C$7594:$N$7594,1,E7570-Assumptions!$E$35)/INDEX($C$7595:$N$7595,1,E7570-Assumptions!$E$35),0))</f>
        <v>0.401911350042128</v>
      </c>
      <c r="F7605" s="51" t="n">
        <f aca="false">IF(F7570-Assumptions!$E$35&lt;1,0,IFERROR(INDEX($C$7594:$N$7594,1,F7570-Assumptions!$E$35)/INDEX($C$7595:$N$7595,1,F7570-Assumptions!$E$35),0))</f>
        <v>0.485658933408398</v>
      </c>
      <c r="G7605" s="51" t="n">
        <f aca="false">IF(G7570-Assumptions!$E$35&lt;1,0,IFERROR(INDEX($C$7594:$N$7594,1,G7570-Assumptions!$E$35)/INDEX($C$7595:$N$7595,1,G7570-Assumptions!$E$35),0))</f>
        <v>0.554080356417826</v>
      </c>
      <c r="H7605" s="51" t="n">
        <f aca="false">IF(H7570-Assumptions!$E$35&lt;1,0,IFERROR(INDEX($C$7594:$N$7594,1,H7570-Assumptions!$E$35)/INDEX($C$7595:$N$7595,1,H7570-Assumptions!$E$35),0))</f>
        <v>0.522227563825987</v>
      </c>
      <c r="I7605" s="51" t="n">
        <f aca="false">IF(I7570-Assumptions!$E$35&lt;1,0,IFERROR(INDEX($C$7594:$N$7594,1,I7570-Assumptions!$E$35)/INDEX($C$7595:$N$7595,1,I7570-Assumptions!$E$35),0))</f>
        <v>0.507424816282752</v>
      </c>
      <c r="J7605" s="51" t="n">
        <f aca="false">IF(J7570-Assumptions!$E$35&lt;1,0,IFERROR(INDEX($C$7594:$N$7594,1,J7570-Assumptions!$E$35)/INDEX($C$7595:$N$7595,1,J7570-Assumptions!$E$35),0))</f>
        <v>0.401142323795015</v>
      </c>
      <c r="K7605" s="51" t="n">
        <f aca="false">IF(K7570-Assumptions!$E$35&lt;1,0,IFERROR(INDEX($C$7594:$N$7594,1,K7570-Assumptions!$E$35)/INDEX($C$7595:$N$7595,1,K7570-Assumptions!$E$35),0))</f>
        <v>0.352339268448632</v>
      </c>
      <c r="L7605" s="51" t="n">
        <f aca="false">IF(L7570-Assumptions!$E$35&lt;1,0,IFERROR(INDEX($C$7594:$N$7594,1,L7570-Assumptions!$E$35)/INDEX($C$7595:$N$7595,1,L7570-Assumptions!$E$35),0))</f>
        <v>0.388725970981282</v>
      </c>
      <c r="M7605" s="51" t="n">
        <f aca="false">IF(M7570-Assumptions!$E$35&lt;1,0,IFERROR(INDEX($C$7594:$N$7594,1,M7570-Assumptions!$E$35)/INDEX($C$7595:$N$7595,1,M7570-Assumptions!$E$35),0))</f>
        <v>0.400587048224893</v>
      </c>
      <c r="N7605" s="51" t="n">
        <f aca="false">IF(N7570-Assumptions!$E$35&lt;1,0,IFERROR(INDEX($C$7594:$N$7594,1,N7570-Assumptions!$E$35)/INDEX($C$7595:$N$7595,1,N7570-Assumptions!$E$35),0))</f>
        <v>0.412294251872474</v>
      </c>
      <c r="P7605" s="52"/>
      <c r="Q7605" s="52"/>
      <c r="R7605" s="52"/>
      <c r="S7605" s="53"/>
    </row>
    <row r="7606" customFormat="false" ht="15" hidden="false" customHeight="false" outlineLevel="0" collapsed="false">
      <c r="A7606" s="4" t="s">
        <v>520</v>
      </c>
      <c r="B7606" s="36" t="s">
        <v>516</v>
      </c>
      <c r="C7606" s="48" t="n">
        <f aca="false">C7602*Assumptions!$E$37</f>
        <v>0</v>
      </c>
      <c r="D7606" s="48" t="n">
        <f aca="false">D7602*Assumptions!$E$37</f>
        <v>0.259912933555146</v>
      </c>
      <c r="E7606" s="48" t="n">
        <f aca="false">E7602*Assumptions!$E$37</f>
        <v>0.44551111509252</v>
      </c>
      <c r="F7606" s="48" t="n">
        <f aca="false">F7602*Assumptions!$E$37</f>
        <v>0.491582223403786</v>
      </c>
      <c r="G7606" s="48" t="n">
        <f aca="false">G7602*Assumptions!$E$37</f>
        <v>0.538598092170902</v>
      </c>
      <c r="H7606" s="48" t="n">
        <f aca="false">H7602*Assumptions!$E$37</f>
        <v>0.693059034518982</v>
      </c>
      <c r="I7606" s="48" t="n">
        <f aca="false">I7602*Assumptions!$E$37</f>
        <v>0.837333199523593</v>
      </c>
      <c r="J7606" s="48" t="n">
        <f aca="false">J7602*Assumptions!$E$37</f>
        <v>1.23920792626314</v>
      </c>
      <c r="K7606" s="48" t="n">
        <f aca="false">K7602*Assumptions!$E$37</f>
        <v>1.60294759006577</v>
      </c>
      <c r="L7606" s="48" t="n">
        <f aca="false">L7602*Assumptions!$E$37</f>
        <v>1.61433738647866</v>
      </c>
      <c r="M7606" s="48" t="n">
        <f aca="false">M7602*Assumptions!$E$37</f>
        <v>1.56653808661831</v>
      </c>
      <c r="N7606" s="48" t="n">
        <f aca="false">N7602*Assumptions!$E$37</f>
        <v>1.5220558259066</v>
      </c>
      <c r="P7606" s="49" t="n">
        <f aca="false">SUM(C7606:F7606)</f>
        <v>1.19700627205145</v>
      </c>
      <c r="Q7606" s="49" t="n">
        <f aca="false">SUM(G7606:J7606)</f>
        <v>3.30819825247662</v>
      </c>
      <c r="R7606" s="49" t="n">
        <f aca="false">SUM(K7606:N7606)</f>
        <v>6.30587888906934</v>
      </c>
      <c r="S7606" s="50" t="n">
        <f aca="false">SUM(P7606:R7606)</f>
        <v>10.8110834135974</v>
      </c>
    </row>
    <row r="7607" customFormat="false" ht="15" hidden="false" customHeight="false" outlineLevel="0" collapsed="false">
      <c r="A7607" s="4" t="s">
        <v>521</v>
      </c>
      <c r="B7607" s="36" t="s">
        <v>516</v>
      </c>
      <c r="C7607" s="48" t="n">
        <f aca="false">C7602*(1-Assumptions!$E$37)</f>
        <v>0</v>
      </c>
      <c r="D7607" s="48" t="n">
        <f aca="false">D7602*(1-Assumptions!$E$37)</f>
        <v>0.606463511628675</v>
      </c>
      <c r="E7607" s="48" t="n">
        <f aca="false">E7602*(1-Assumptions!$E$37)</f>
        <v>1.03952593521588</v>
      </c>
      <c r="F7607" s="48" t="n">
        <f aca="false">F7602*(1-Assumptions!$E$37)</f>
        <v>1.14702518794217</v>
      </c>
      <c r="G7607" s="48" t="n">
        <f aca="false">G7602*(1-Assumptions!$E$37)</f>
        <v>1.25672888173211</v>
      </c>
      <c r="H7607" s="48" t="n">
        <f aca="false">H7602*(1-Assumptions!$E$37)</f>
        <v>1.61713774721096</v>
      </c>
      <c r="I7607" s="48" t="n">
        <f aca="false">I7602*(1-Assumptions!$E$37)</f>
        <v>1.95377746555505</v>
      </c>
      <c r="J7607" s="48" t="n">
        <f aca="false">J7602*(1-Assumptions!$E$37)</f>
        <v>2.89148516128066</v>
      </c>
      <c r="K7607" s="48" t="n">
        <f aca="false">K7602*(1-Assumptions!$E$37)</f>
        <v>3.7402110434868</v>
      </c>
      <c r="L7607" s="48" t="n">
        <f aca="false">L7602*(1-Assumptions!$E$37)</f>
        <v>3.76678723511687</v>
      </c>
      <c r="M7607" s="48" t="n">
        <f aca="false">M7602*(1-Assumptions!$E$37)</f>
        <v>3.65525553544273</v>
      </c>
      <c r="N7607" s="48" t="n">
        <f aca="false">N7602*(1-Assumptions!$E$37)</f>
        <v>3.55146359378206</v>
      </c>
      <c r="P7607" s="49" t="n">
        <f aca="false">SUM(C7607:F7607)</f>
        <v>2.79301463478672</v>
      </c>
      <c r="Q7607" s="49" t="n">
        <f aca="false">SUM(G7607:J7607)</f>
        <v>7.71912925577877</v>
      </c>
      <c r="R7607" s="49" t="n">
        <f aca="false">SUM(K7607:N7607)</f>
        <v>14.7137174078285</v>
      </c>
      <c r="S7607" s="50" t="n">
        <f aca="false">SUM(P7607:R7607)</f>
        <v>25.225861298394</v>
      </c>
    </row>
    <row r="7608" customFormat="false" ht="15" hidden="false" customHeight="false" outlineLevel="0" collapsed="false">
      <c r="A7608" s="4" t="s">
        <v>522</v>
      </c>
      <c r="B7608" s="36" t="s">
        <v>125</v>
      </c>
      <c r="C7608" s="54" t="n">
        <f aca="false">C7607*$C$7561+C7603*$C$7562+C7604*$C$7563</f>
        <v>0</v>
      </c>
      <c r="D7608" s="54" t="n">
        <f aca="false">D7607*$C$7561+D7603*$C$7562+D7604*$C$7563</f>
        <v>7485.37917000042</v>
      </c>
      <c r="E7608" s="54" t="n">
        <f aca="false">E7607*$C$7561+E7603*$C$7562+E7604*$C$7563</f>
        <v>17233.8131620616</v>
      </c>
      <c r="F7608" s="54" t="n">
        <f aca="false">F7607*$C$7561+F7603*$C$7562+F7604*$C$7563</f>
        <v>21704.9328199195</v>
      </c>
      <c r="G7608" s="54" t="n">
        <f aca="false">G7607*$C$7561+G7603*$C$7562+G7604*$C$7563</f>
        <v>23839.4781169478</v>
      </c>
      <c r="H7608" s="54" t="n">
        <f aca="false">H7607*$C$7561+H7603*$C$7562+H7604*$C$7563</f>
        <v>28861.3828545359</v>
      </c>
      <c r="I7608" s="54" t="n">
        <f aca="false">I7607*$C$7561+I7603*$C$7562+I7604*$C$7563</f>
        <v>34454.8139810786</v>
      </c>
      <c r="J7608" s="54" t="n">
        <f aca="false">J7607*$C$7561+J7603*$C$7562+J7604*$C$7563</f>
        <v>46219.0265618748</v>
      </c>
      <c r="K7608" s="54" t="n">
        <f aca="false">K7607*$C$7561+K7603*$C$7562+K7604*$C$7563</f>
        <v>59614.7065475457</v>
      </c>
      <c r="L7608" s="54" t="n">
        <f aca="false">L7607*$C$7561+L7603*$C$7562+L7604*$C$7563</f>
        <v>63745.6576705911</v>
      </c>
      <c r="M7608" s="54" t="n">
        <f aca="false">M7607*$C$7561+M7603*$C$7562+M7604*$C$7563</f>
        <v>62600.461663715</v>
      </c>
      <c r="N7608" s="54" t="n">
        <f aca="false">N7607*$C$7561+N7603*$C$7562+N7604*$C$7563</f>
        <v>60798.1877142281</v>
      </c>
      <c r="P7608" s="55" t="n">
        <f aca="false">SUM(C7608:F7608)</f>
        <v>46424.1251519815</v>
      </c>
      <c r="Q7608" s="55" t="n">
        <f aca="false">SUM(G7608:J7608)</f>
        <v>133374.701514437</v>
      </c>
      <c r="R7608" s="55" t="n">
        <f aca="false">SUM(K7608:N7608)</f>
        <v>246759.01359608</v>
      </c>
      <c r="S7608" s="56" t="n">
        <f aca="false">SUM(P7608:R7608)</f>
        <v>426557.840262498</v>
      </c>
    </row>
    <row r="7609" customFormat="false" ht="15" hidden="false" customHeight="false" outlineLevel="0" collapsed="false">
      <c r="A7609" s="4" t="s">
        <v>523</v>
      </c>
      <c r="B7609" s="36" t="s">
        <v>125</v>
      </c>
      <c r="C7609" s="54" t="n">
        <f aca="false">(C7585+Assumptions!$D$104*C7571)*$C$7566</f>
        <v>306250</v>
      </c>
      <c r="D7609" s="54" t="n">
        <f aca="false">(D7585+Assumptions!$D$104*D7571)*$C$7566</f>
        <v>306250</v>
      </c>
      <c r="E7609" s="54" t="n">
        <f aca="false">(E7585+Assumptions!$D$104*E7571)*$C$7566</f>
        <v>306250</v>
      </c>
      <c r="F7609" s="54" t="n">
        <f aca="false">(F7585+Assumptions!$D$104*F7571)*$C$7566</f>
        <v>306250</v>
      </c>
      <c r="G7609" s="54" t="n">
        <f aca="false">(G7585+Assumptions!$D$104*G7571)*$C$7566</f>
        <v>306250</v>
      </c>
      <c r="H7609" s="54" t="n">
        <f aca="false">(H7585+Assumptions!$D$104*H7571)*$C$7566</f>
        <v>306250</v>
      </c>
      <c r="I7609" s="54" t="n">
        <f aca="false">(I7585+Assumptions!$D$104*I7571)*$C$7566</f>
        <v>306250</v>
      </c>
      <c r="J7609" s="54" t="n">
        <f aca="false">(J7585+Assumptions!$D$104*J7571)*$C$7566</f>
        <v>306250</v>
      </c>
      <c r="K7609" s="54" t="n">
        <f aca="false">(K7585+Assumptions!$D$104*K7571)*$C$7566</f>
        <v>306250</v>
      </c>
      <c r="L7609" s="54" t="n">
        <f aca="false">(L7585+Assumptions!$D$104*L7571)*$C$7566</f>
        <v>306250</v>
      </c>
      <c r="M7609" s="54" t="n">
        <f aca="false">(M7585+Assumptions!$D$104*M7571)*$C$7566</f>
        <v>306250</v>
      </c>
      <c r="N7609" s="54" t="n">
        <f aca="false">(N7585+Assumptions!$D$104*N7571)*$C$7566</f>
        <v>306250</v>
      </c>
      <c r="P7609" s="55" t="n">
        <f aca="false">SUM(C7609:F7609)</f>
        <v>1225000</v>
      </c>
      <c r="Q7609" s="55" t="n">
        <f aca="false">SUM(G7609:J7609)</f>
        <v>1225000</v>
      </c>
      <c r="R7609" s="55" t="n">
        <f aca="false">SUM(K7609:N7609)</f>
        <v>1225000</v>
      </c>
      <c r="S7609" s="56" t="n">
        <f aca="false">SUM(P7609:R7609)</f>
        <v>3675000</v>
      </c>
    </row>
    <row r="7610" customFormat="false" ht="15" hidden="false" customHeight="false" outlineLevel="0" collapsed="false">
      <c r="A7610" s="4" t="s">
        <v>524</v>
      </c>
      <c r="B7610" s="36" t="s">
        <v>77</v>
      </c>
      <c r="C7610" s="51" t="n">
        <f aca="false">IF(C7608&gt;0,MIN(1,C7609/C7608),1)</f>
        <v>1</v>
      </c>
      <c r="D7610" s="51" t="n">
        <f aca="false">IF(D7608&gt;0,MIN(1,D7609/D7608),1)</f>
        <v>1</v>
      </c>
      <c r="E7610" s="51" t="n">
        <f aca="false">IF(E7608&gt;0,MIN(1,E7609/E7608),1)</f>
        <v>1</v>
      </c>
      <c r="F7610" s="51" t="n">
        <f aca="false">IF(F7608&gt;0,MIN(1,F7609/F7608),1)</f>
        <v>1</v>
      </c>
      <c r="G7610" s="51" t="n">
        <f aca="false">IF(G7608&gt;0,MIN(1,G7609/G7608),1)</f>
        <v>1</v>
      </c>
      <c r="H7610" s="51" t="n">
        <f aca="false">IF(H7608&gt;0,MIN(1,H7609/H7608),1)</f>
        <v>1</v>
      </c>
      <c r="I7610" s="51" t="n">
        <f aca="false">IF(I7608&gt;0,MIN(1,I7609/I7608),1)</f>
        <v>1</v>
      </c>
      <c r="J7610" s="51" t="n">
        <f aca="false">IF(J7608&gt;0,MIN(1,J7609/J7608),1)</f>
        <v>1</v>
      </c>
      <c r="K7610" s="51" t="n">
        <f aca="false">IF(K7608&gt;0,MIN(1,K7609/K7608),1)</f>
        <v>1</v>
      </c>
      <c r="L7610" s="51" t="n">
        <f aca="false">IF(L7608&gt;0,MIN(1,L7609/L7608),1)</f>
        <v>1</v>
      </c>
      <c r="M7610" s="51" t="n">
        <f aca="false">IF(M7608&gt;0,MIN(1,M7609/M7608),1)</f>
        <v>1</v>
      </c>
      <c r="N7610" s="51" t="n">
        <f aca="false">IF(N7608&gt;0,MIN(1,N7609/N7608),1)</f>
        <v>1</v>
      </c>
      <c r="P7610" s="52"/>
      <c r="Q7610" s="52"/>
      <c r="R7610" s="52"/>
      <c r="S7610" s="53"/>
    </row>
    <row r="7611" customFormat="false" ht="15" hidden="false" customHeight="false" outlineLevel="0" collapsed="false">
      <c r="A7611" s="4" t="s">
        <v>525</v>
      </c>
      <c r="B7611" s="36" t="s">
        <v>125</v>
      </c>
      <c r="C7611" s="54" t="n">
        <f aca="false">C7608*(1-C7610)</f>
        <v>0</v>
      </c>
      <c r="D7611" s="54" t="n">
        <f aca="false">D7608*(1-D7610)</f>
        <v>0</v>
      </c>
      <c r="E7611" s="54" t="n">
        <f aca="false">E7608*(1-E7610)</f>
        <v>0</v>
      </c>
      <c r="F7611" s="54" t="n">
        <f aca="false">F7608*(1-F7610)</f>
        <v>0</v>
      </c>
      <c r="G7611" s="54" t="n">
        <f aca="false">G7608*(1-G7610)</f>
        <v>0</v>
      </c>
      <c r="H7611" s="54" t="n">
        <f aca="false">H7608*(1-H7610)</f>
        <v>0</v>
      </c>
      <c r="I7611" s="54" t="n">
        <f aca="false">I7608*(1-I7610)</f>
        <v>0</v>
      </c>
      <c r="J7611" s="54" t="n">
        <f aca="false">J7608*(1-J7610)</f>
        <v>0</v>
      </c>
      <c r="K7611" s="54" t="n">
        <f aca="false">K7608*(1-K7610)</f>
        <v>0</v>
      </c>
      <c r="L7611" s="54" t="n">
        <f aca="false">L7608*(1-L7610)</f>
        <v>0</v>
      </c>
      <c r="M7611" s="54" t="n">
        <f aca="false">M7608*(1-M7610)</f>
        <v>0</v>
      </c>
      <c r="N7611" s="54" t="n">
        <f aca="false">N7608*(1-N7610)</f>
        <v>0</v>
      </c>
      <c r="P7611" s="55" t="n">
        <f aca="false">SUM(C7611:F7611)</f>
        <v>0</v>
      </c>
      <c r="Q7611" s="55" t="n">
        <f aca="false">SUM(G7611:J7611)</f>
        <v>0</v>
      </c>
      <c r="R7611" s="55" t="n">
        <f aca="false">SUM(K7611:N7611)</f>
        <v>0</v>
      </c>
      <c r="S7611" s="56" t="n">
        <f aca="false">SUM(P7611:R7611)</f>
        <v>0</v>
      </c>
    </row>
    <row r="7612" customFormat="false" ht="15" hidden="false" customHeight="false" outlineLevel="0" collapsed="false">
      <c r="A7612" s="4" t="s">
        <v>526</v>
      </c>
      <c r="B7612" s="36" t="s">
        <v>527</v>
      </c>
      <c r="C7612" s="48" t="n">
        <f aca="false">C7606+C7607*C7610</f>
        <v>0</v>
      </c>
      <c r="D7612" s="48" t="n">
        <f aca="false">D7606+D7607*D7610</f>
        <v>0.866376445183821</v>
      </c>
      <c r="E7612" s="48" t="n">
        <f aca="false">E7606+E7607*E7610</f>
        <v>1.4850370503084</v>
      </c>
      <c r="F7612" s="48" t="n">
        <f aca="false">F7606+F7607*F7610</f>
        <v>1.63860741134595</v>
      </c>
      <c r="G7612" s="48" t="n">
        <f aca="false">G7606+G7607*G7610</f>
        <v>1.79532697390301</v>
      </c>
      <c r="H7612" s="48" t="n">
        <f aca="false">H7606+H7607*H7610</f>
        <v>2.31019678172994</v>
      </c>
      <c r="I7612" s="48" t="n">
        <f aca="false">I7606+I7607*I7610</f>
        <v>2.79111066507864</v>
      </c>
      <c r="J7612" s="48" t="n">
        <f aca="false">J7606+J7607*J7610</f>
        <v>4.1306930875438</v>
      </c>
      <c r="K7612" s="48" t="n">
        <f aca="false">K7606+K7607*K7610</f>
        <v>5.34315863355258</v>
      </c>
      <c r="L7612" s="48" t="n">
        <f aca="false">L7606+L7607*L7610</f>
        <v>5.38112462159553</v>
      </c>
      <c r="M7612" s="48" t="n">
        <f aca="false">M7606+M7607*M7610</f>
        <v>5.22179362206104</v>
      </c>
      <c r="N7612" s="48" t="n">
        <f aca="false">N7606+N7607*N7610</f>
        <v>5.07351941968866</v>
      </c>
      <c r="P7612" s="49" t="n">
        <f aca="false">SUM(C7612:F7612)</f>
        <v>3.99002090683817</v>
      </c>
      <c r="Q7612" s="49" t="n">
        <f aca="false">SUM(G7612:J7612)</f>
        <v>11.0273275082554</v>
      </c>
      <c r="R7612" s="49" t="n">
        <f aca="false">SUM(K7612:N7612)</f>
        <v>21.0195962968978</v>
      </c>
      <c r="S7612" s="50" t="n">
        <f aca="false">SUM(P7612:R7612)</f>
        <v>36.0369447119914</v>
      </c>
    </row>
    <row r="7613" customFormat="false" ht="15" hidden="false" customHeight="false" outlineLevel="0" collapsed="false">
      <c r="A7613" s="4" t="s">
        <v>528</v>
      </c>
      <c r="B7613" s="36" t="s">
        <v>527</v>
      </c>
      <c r="C7613" s="48" t="n">
        <f aca="false">C7603*C7610</f>
        <v>0</v>
      </c>
      <c r="D7613" s="48" t="n">
        <f aca="false">D7603*D7610</f>
        <v>0.434084974267145</v>
      </c>
      <c r="E7613" s="48" t="n">
        <f aca="false">E7603*E7610</f>
        <v>0.744055627726705</v>
      </c>
      <c r="F7613" s="48" t="n">
        <f aca="false">F7603*F7610</f>
        <v>0.820999762796119</v>
      </c>
      <c r="G7613" s="48" t="n">
        <f aca="false">G7603*G7610</f>
        <v>0.89952175823807</v>
      </c>
      <c r="H7613" s="48" t="n">
        <f aca="false">H7603*H7610</f>
        <v>1.13465516292283</v>
      </c>
      <c r="I7613" s="48" t="n">
        <f aca="false">I7603*I7610</f>
        <v>1.35487856174628</v>
      </c>
      <c r="J7613" s="48" t="n">
        <f aca="false">J7603*J7610</f>
        <v>1.88601088123353</v>
      </c>
      <c r="K7613" s="48" t="n">
        <f aca="false">K7603*K7610</f>
        <v>2.37581157552964</v>
      </c>
      <c r="L7613" s="48" t="n">
        <f aca="false">L7603*L7610</f>
        <v>2.3926929822134</v>
      </c>
      <c r="M7613" s="48" t="n">
        <f aca="false">M7603*M7610</f>
        <v>2.32184716628391</v>
      </c>
      <c r="N7613" s="48" t="n">
        <f aca="false">N7603*N7610</f>
        <v>2.25591770573287</v>
      </c>
      <c r="P7613" s="49" t="n">
        <f aca="false">SUM(C7613:F7613)</f>
        <v>1.99914036478997</v>
      </c>
      <c r="Q7613" s="49" t="n">
        <f aca="false">SUM(G7613:J7613)</f>
        <v>5.27506636414072</v>
      </c>
      <c r="R7613" s="49" t="n">
        <f aca="false">SUM(K7613:N7613)</f>
        <v>9.34626942975982</v>
      </c>
      <c r="S7613" s="50" t="n">
        <f aca="false">SUM(P7613:R7613)</f>
        <v>16.6204761586905</v>
      </c>
    </row>
    <row r="7614" customFormat="false" ht="15" hidden="false" customHeight="false" outlineLevel="0" collapsed="false">
      <c r="A7614" s="4" t="s">
        <v>529</v>
      </c>
      <c r="B7614" s="36" t="s">
        <v>527</v>
      </c>
      <c r="C7614" s="48" t="n">
        <f aca="false">C7604*C7610</f>
        <v>0</v>
      </c>
      <c r="D7614" s="48" t="n">
        <f aca="false">D7604*D7610</f>
        <v>0</v>
      </c>
      <c r="E7614" s="48" t="n">
        <f aca="false">E7604*E7610</f>
        <v>0.071275680959914</v>
      </c>
      <c r="F7614" s="48" t="n">
        <f aca="false">F7604*F7610</f>
        <v>0.122172096898336</v>
      </c>
      <c r="G7614" s="48" t="n">
        <f aca="false">G7604*G7610</f>
        <v>0.134806133891215</v>
      </c>
      <c r="H7614" s="48" t="n">
        <f aca="false">H7604*H7610</f>
        <v>0.147699251661313</v>
      </c>
      <c r="I7614" s="48" t="n">
        <f aca="false">I7604*I7610</f>
        <v>0.174259973058587</v>
      </c>
      <c r="J7614" s="48" t="n">
        <f aca="false">J7604*J7610</f>
        <v>0.19948212034567</v>
      </c>
      <c r="K7614" s="48" t="n">
        <f aca="false">K7604*K7610</f>
        <v>0.265355665717199</v>
      </c>
      <c r="L7614" s="48" t="n">
        <f aca="false">L7604*L7610</f>
        <v>0.327251866823927</v>
      </c>
      <c r="M7614" s="48" t="n">
        <f aca="false">M7604*M7610</f>
        <v>0.329577165643402</v>
      </c>
      <c r="N7614" s="48" t="n">
        <f aca="false">N7604*N7610</f>
        <v>0.319818636912259</v>
      </c>
      <c r="P7614" s="49" t="n">
        <f aca="false">SUM(C7614:F7614)</f>
        <v>0.19344777785825</v>
      </c>
      <c r="Q7614" s="49" t="n">
        <f aca="false">SUM(G7614:J7614)</f>
        <v>0.656247478956785</v>
      </c>
      <c r="R7614" s="49" t="n">
        <f aca="false">SUM(K7614:N7614)</f>
        <v>1.24200333509679</v>
      </c>
      <c r="S7614" s="50" t="n">
        <f aca="false">SUM(P7614:R7614)</f>
        <v>2.09169859191182</v>
      </c>
    </row>
    <row r="7615" customFormat="false" ht="15" hidden="false" customHeight="false" outlineLevel="0" collapsed="false">
      <c r="A7615" s="9" t="s">
        <v>530</v>
      </c>
      <c r="B7615" s="36" t="s">
        <v>527</v>
      </c>
      <c r="C7615" s="49" t="n">
        <f aca="false">C7612+C7613+C7614</f>
        <v>0</v>
      </c>
      <c r="D7615" s="49" t="n">
        <f aca="false">D7612+D7613+D7614</f>
        <v>1.30046141945097</v>
      </c>
      <c r="E7615" s="49" t="n">
        <f aca="false">E7612+E7613+E7614</f>
        <v>2.30036835899502</v>
      </c>
      <c r="F7615" s="49" t="n">
        <f aca="false">F7612+F7613+F7614</f>
        <v>2.58177927104041</v>
      </c>
      <c r="G7615" s="49" t="n">
        <f aca="false">G7612+G7613+G7614</f>
        <v>2.82965486603229</v>
      </c>
      <c r="H7615" s="49" t="n">
        <f aca="false">H7612+H7613+H7614</f>
        <v>3.59255119631409</v>
      </c>
      <c r="I7615" s="49" t="n">
        <f aca="false">I7612+I7613+I7614</f>
        <v>4.32024919988351</v>
      </c>
      <c r="J7615" s="49" t="n">
        <f aca="false">J7612+J7613+J7614</f>
        <v>6.216186089123</v>
      </c>
      <c r="K7615" s="49" t="n">
        <f aca="false">K7612+K7613+K7614</f>
        <v>7.98432587479941</v>
      </c>
      <c r="L7615" s="49" t="n">
        <f aca="false">L7612+L7613+L7614</f>
        <v>8.10106947063285</v>
      </c>
      <c r="M7615" s="49" t="n">
        <f aca="false">M7612+M7613+M7614</f>
        <v>7.87321795398836</v>
      </c>
      <c r="N7615" s="49" t="n">
        <f aca="false">N7612+N7613+N7614</f>
        <v>7.64925576233379</v>
      </c>
      <c r="P7615" s="49" t="n">
        <f aca="false">SUM(C7615:F7615)</f>
        <v>6.18260904948639</v>
      </c>
      <c r="Q7615" s="49" t="n">
        <f aca="false">SUM(G7615:J7615)</f>
        <v>16.9586413513529</v>
      </c>
      <c r="R7615" s="49" t="n">
        <f aca="false">SUM(K7615:N7615)</f>
        <v>31.6078690617544</v>
      </c>
      <c r="S7615" s="50" t="n">
        <f aca="false">SUM(P7615:R7615)</f>
        <v>54.7491194625937</v>
      </c>
    </row>
    <row r="7616" customFormat="false" ht="15" hidden="false" customHeight="false" outlineLevel="0" collapsed="false">
      <c r="A7616" s="35" t="s">
        <v>533</v>
      </c>
      <c r="B7616" s="35" t="s">
        <v>444</v>
      </c>
      <c r="C7616" s="6" t="s">
        <v>354</v>
      </c>
      <c r="D7616" s="6" t="s">
        <v>355</v>
      </c>
      <c r="E7616" s="6" t="s">
        <v>356</v>
      </c>
      <c r="F7616" s="6" t="s">
        <v>357</v>
      </c>
      <c r="G7616" s="6" t="s">
        <v>358</v>
      </c>
      <c r="H7616" s="6" t="s">
        <v>359</v>
      </c>
      <c r="I7616" s="6" t="s">
        <v>360</v>
      </c>
      <c r="J7616" s="6" t="s">
        <v>361</v>
      </c>
      <c r="K7616" s="6" t="s">
        <v>362</v>
      </c>
      <c r="L7616" s="6" t="s">
        <v>363</v>
      </c>
      <c r="M7616" s="6" t="s">
        <v>364</v>
      </c>
      <c r="N7616" s="6" t="s">
        <v>365</v>
      </c>
      <c r="P7616" s="6" t="s">
        <v>445</v>
      </c>
      <c r="Q7616" s="6" t="s">
        <v>446</v>
      </c>
      <c r="R7616" s="6" t="s">
        <v>447</v>
      </c>
      <c r="S7616" s="6" t="s">
        <v>448</v>
      </c>
    </row>
    <row r="7617" customFormat="false" ht="15" hidden="false" customHeight="false" outlineLevel="0" collapsed="false">
      <c r="A7617" s="4" t="s">
        <v>534</v>
      </c>
      <c r="B7617" s="36" t="s">
        <v>527</v>
      </c>
      <c r="C7617" s="48" t="n">
        <f aca="false">0*Assumptions!$E$59^(1/4)+C7612</f>
        <v>0</v>
      </c>
      <c r="D7617" s="48" t="n">
        <f aca="false">C7617*Assumptions!$E$59^(1/4)+D7612</f>
        <v>0.866376445183821</v>
      </c>
      <c r="E7617" s="48" t="n">
        <f aca="false">D7617*Assumptions!$E$59^(1/4)+E7612</f>
        <v>2.32416329488403</v>
      </c>
      <c r="F7617" s="48" t="n">
        <f aca="false">E7617*Assumptions!$E$59^(1/4)+F7612</f>
        <v>3.88966863104794</v>
      </c>
      <c r="G7617" s="48" t="n">
        <f aca="false">F7617*Assumptions!$E$59^(1/4)+G7612</f>
        <v>5.56265357789716</v>
      </c>
      <c r="H7617" s="48" t="n">
        <f aca="false">G7617*Assumptions!$E$59^(1/4)+H7612</f>
        <v>7.69788781678072</v>
      </c>
      <c r="I7617" s="48" t="n">
        <f aca="false">H7617*Assumptions!$E$59^(1/4)+I7612</f>
        <v>10.2468762630101</v>
      </c>
      <c r="J7617" s="48" t="n">
        <f aca="false">I7617*Assumptions!$E$59^(1/4)+J7612</f>
        <v>14.0552736148763</v>
      </c>
      <c r="K7617" s="48" t="n">
        <f aca="false">J7617*Assumptions!$E$59^(1/4)+K7612</f>
        <v>18.9563507170835</v>
      </c>
      <c r="L7617" s="48" t="n">
        <f aca="false">K7617*Assumptions!$E$59^(1/4)+L7612</f>
        <v>23.7412398769334</v>
      </c>
      <c r="M7617" s="48" t="n">
        <f aca="false">L7617*Assumptions!$E$59^(1/4)+M7612</f>
        <v>28.2162985745513</v>
      </c>
      <c r="N7617" s="48" t="n">
        <f aca="false">M7617*Assumptions!$E$59^(1/4)+N7612</f>
        <v>32.4023287268997</v>
      </c>
      <c r="P7617" s="49" t="n">
        <f aca="false">F7617</f>
        <v>3.88966863104794</v>
      </c>
      <c r="Q7617" s="49" t="n">
        <f aca="false">J7617</f>
        <v>14.0552736148763</v>
      </c>
      <c r="R7617" s="49" t="n">
        <f aca="false">N7617</f>
        <v>32.4023287268997</v>
      </c>
      <c r="S7617" s="50" t="n">
        <f aca="false">R7617</f>
        <v>32.4023287268997</v>
      </c>
    </row>
    <row r="7618" customFormat="false" ht="15" hidden="false" customHeight="false" outlineLevel="0" collapsed="false">
      <c r="A7618" s="4" t="s">
        <v>535</v>
      </c>
      <c r="B7618" s="36" t="s">
        <v>527</v>
      </c>
      <c r="C7618" s="48" t="n">
        <f aca="false">0*Assumptions!$E$60^(1/4)+C7613</f>
        <v>0</v>
      </c>
      <c r="D7618" s="48" t="n">
        <f aca="false">C7618*Assumptions!$E$60^(1/4)+D7613</f>
        <v>0.434084974267145</v>
      </c>
      <c r="E7618" s="48" t="n">
        <f aca="false">D7618*Assumptions!$E$60^(1/4)+E7613</f>
        <v>1.16685601892983</v>
      </c>
      <c r="F7618" s="48" t="n">
        <f aca="false">E7618*Assumptions!$E$60^(1/4)+F7613</f>
        <v>1.95752189677268</v>
      </c>
      <c r="G7618" s="48" t="n">
        <f aca="false">F7618*Assumptions!$E$60^(1/4)+G7613</f>
        <v>2.80615541940422</v>
      </c>
      <c r="H7618" s="48" t="n">
        <f aca="false">G7618*Assumptions!$E$60^(1/4)+H7613</f>
        <v>3.86786105447419</v>
      </c>
      <c r="I7618" s="48" t="n">
        <f aca="false">H7618*Assumptions!$E$60^(1/4)+I7613</f>
        <v>5.12218971945664</v>
      </c>
      <c r="J7618" s="48" t="n">
        <f aca="false">I7618*Assumptions!$E$60^(1/4)+J7613</f>
        <v>6.87504285788544</v>
      </c>
      <c r="K7618" s="48" t="n">
        <f aca="false">J7618*Assumptions!$E$60^(1/4)+K7613</f>
        <v>9.07212907594454</v>
      </c>
      <c r="L7618" s="48" t="n">
        <f aca="false">K7618*Assumptions!$E$60^(1/4)+L7613</f>
        <v>11.2289806902372</v>
      </c>
      <c r="M7618" s="48" t="n">
        <f aca="false">L7618*Assumptions!$E$60^(1/4)+M7613</f>
        <v>13.2589164271123</v>
      </c>
      <c r="N7618" s="48" t="n">
        <f aca="false">M7618*Assumptions!$E$60^(1/4)+N7613</f>
        <v>15.1701519792802</v>
      </c>
      <c r="P7618" s="49" t="n">
        <f aca="false">F7618</f>
        <v>1.95752189677268</v>
      </c>
      <c r="Q7618" s="49" t="n">
        <f aca="false">J7618</f>
        <v>6.87504285788544</v>
      </c>
      <c r="R7618" s="49" t="n">
        <f aca="false">N7618</f>
        <v>15.1701519792802</v>
      </c>
      <c r="S7618" s="50" t="n">
        <f aca="false">R7618</f>
        <v>15.1701519792802</v>
      </c>
    </row>
    <row r="7619" customFormat="false" ht="15" hidden="false" customHeight="false" outlineLevel="0" collapsed="false">
      <c r="A7619" s="4" t="s">
        <v>536</v>
      </c>
      <c r="B7619" s="36" t="s">
        <v>527</v>
      </c>
      <c r="C7619" s="48" t="n">
        <f aca="false">0*Assumptions!$E$61^(1/4)+C7614</f>
        <v>0</v>
      </c>
      <c r="D7619" s="48" t="n">
        <f aca="false">C7619*Assumptions!$E$61^(1/4)+D7614</f>
        <v>0</v>
      </c>
      <c r="E7619" s="48" t="n">
        <f aca="false">D7619*Assumptions!$E$61^(1/4)+E7614</f>
        <v>0.071275680959914</v>
      </c>
      <c r="F7619" s="48" t="n">
        <f aca="false">E7619*Assumptions!$E$61^(1/4)+F7614</f>
        <v>0.191977386314485</v>
      </c>
      <c r="G7619" s="48" t="n">
        <f aca="false">F7619*Assumptions!$E$61^(1/4)+G7614</f>
        <v>0.322823096094288</v>
      </c>
      <c r="H7619" s="48" t="n">
        <f aca="false">G7619*Assumptions!$E$61^(1/4)+H7614</f>
        <v>0.463862623930639</v>
      </c>
      <c r="I7619" s="48" t="n">
        <f aca="false">H7619*Assumptions!$E$61^(1/4)+I7614</f>
        <v>0.628553278667598</v>
      </c>
      <c r="J7619" s="48" t="n">
        <f aca="false">I7619*Assumptions!$E$61^(1/4)+J7614</f>
        <v>0.815068571993006</v>
      </c>
      <c r="K7619" s="48" t="n">
        <f aca="false">J7619*Assumptions!$E$61^(1/4)+K7614</f>
        <v>1.06360966758325</v>
      </c>
      <c r="L7619" s="48" t="n">
        <f aca="false">K7619*Assumptions!$E$61^(1/4)+L7614</f>
        <v>1.36891965128493</v>
      </c>
      <c r="M7619" s="48" t="n">
        <f aca="false">L7619*Assumptions!$E$61^(1/4)+M7614</f>
        <v>1.67025649916167</v>
      </c>
      <c r="N7619" s="48" t="n">
        <f aca="false">M7619*Assumptions!$E$61^(1/4)+N7614</f>
        <v>1.95561834801929</v>
      </c>
      <c r="P7619" s="49" t="n">
        <f aca="false">F7619</f>
        <v>0.191977386314485</v>
      </c>
      <c r="Q7619" s="49" t="n">
        <f aca="false">J7619</f>
        <v>0.815068571993006</v>
      </c>
      <c r="R7619" s="49" t="n">
        <f aca="false">N7619</f>
        <v>1.95561834801929</v>
      </c>
      <c r="S7619" s="50" t="n">
        <f aca="false">R7619</f>
        <v>1.95561834801929</v>
      </c>
    </row>
    <row r="7620" customFormat="false" ht="15" hidden="false" customHeight="false" outlineLevel="0" collapsed="false">
      <c r="A7620" s="9" t="s">
        <v>537</v>
      </c>
      <c r="B7620" s="36" t="s">
        <v>527</v>
      </c>
      <c r="C7620" s="49" t="n">
        <f aca="false">C7617+C7618+C7619</f>
        <v>0</v>
      </c>
      <c r="D7620" s="49" t="n">
        <f aca="false">D7617+D7618+D7619</f>
        <v>1.30046141945097</v>
      </c>
      <c r="E7620" s="49" t="n">
        <f aca="false">E7617+E7618+E7619</f>
        <v>3.56229499477378</v>
      </c>
      <c r="F7620" s="49" t="n">
        <f aca="false">F7617+F7618+F7619</f>
        <v>6.0391679141351</v>
      </c>
      <c r="G7620" s="49" t="n">
        <f aca="false">G7617+G7618+G7619</f>
        <v>8.69163209339566</v>
      </c>
      <c r="H7620" s="49" t="n">
        <f aca="false">H7617+H7618+H7619</f>
        <v>12.0296114951856</v>
      </c>
      <c r="I7620" s="49" t="n">
        <f aca="false">I7617+I7618+I7619</f>
        <v>15.9976192611344</v>
      </c>
      <c r="J7620" s="49" t="n">
        <f aca="false">J7617+J7618+J7619</f>
        <v>21.7453850447547</v>
      </c>
      <c r="K7620" s="49" t="n">
        <f aca="false">K7617+K7618+K7619</f>
        <v>29.0920894606113</v>
      </c>
      <c r="L7620" s="49" t="n">
        <f aca="false">L7617+L7618+L7619</f>
        <v>36.3391402184556</v>
      </c>
      <c r="M7620" s="49" t="n">
        <f aca="false">M7617+M7618+M7619</f>
        <v>43.1454715008253</v>
      </c>
      <c r="N7620" s="49" t="n">
        <f aca="false">N7617+N7618+N7619</f>
        <v>49.5280990541991</v>
      </c>
      <c r="P7620" s="49" t="n">
        <f aca="false">F7620</f>
        <v>6.0391679141351</v>
      </c>
      <c r="Q7620" s="49" t="n">
        <f aca="false">J7620</f>
        <v>21.7453850447547</v>
      </c>
      <c r="R7620" s="49" t="n">
        <f aca="false">N7620</f>
        <v>49.5280990541991</v>
      </c>
      <c r="S7620" s="50" t="n">
        <f aca="false">R7620</f>
        <v>49.5280990541991</v>
      </c>
    </row>
    <row r="7621" customFormat="false" ht="15" hidden="false" customHeight="false" outlineLevel="0" collapsed="false">
      <c r="A7621" s="4" t="s">
        <v>538</v>
      </c>
      <c r="B7621" s="36" t="s">
        <v>125</v>
      </c>
      <c r="C7621" s="54" t="n">
        <f aca="false">0*Assumptions!$E$62^(1/4)+C7612*$C$7561</f>
        <v>0</v>
      </c>
      <c r="D7621" s="54" t="n">
        <f aca="false">C7621*Assumptions!$E$62^(1/4)+D7612*$C$7561</f>
        <v>4636.84673462381</v>
      </c>
      <c r="E7621" s="54" t="n">
        <f aca="false">D7621*Assumptions!$E$62^(1/4)+E7612*$C$7561</f>
        <v>12584.7650278744</v>
      </c>
      <c r="F7621" s="54" t="n">
        <f aca="false">E7621*Assumptions!$E$62^(1/4)+F7612*$C$7561</f>
        <v>21354.5918933979</v>
      </c>
      <c r="G7621" s="54" t="n">
        <f aca="false">F7621*Assumptions!$E$62^(1/4)+G7612*$C$7561</f>
        <v>30963.1818577268</v>
      </c>
      <c r="H7621" s="54" t="n">
        <f aca="false">G7621*Assumptions!$E$62^(1/4)+H7612*$C$7561</f>
        <v>43327.3550335454</v>
      </c>
      <c r="I7621" s="54" t="n">
        <f aca="false">H7621*Assumptions!$E$62^(1/4)+I7612*$C$7561</f>
        <v>58265.3793130463</v>
      </c>
      <c r="J7621" s="54" t="n">
        <f aca="false">I7621*Assumptions!$E$62^(1/4)+J7612*$C$7561</f>
        <v>80372.8487175808</v>
      </c>
      <c r="K7621" s="54" t="n">
        <f aca="false">J7621*Assumptions!$E$62^(1/4)+K7612*$C$7561</f>
        <v>108969.433724354</v>
      </c>
      <c r="L7621" s="54" t="n">
        <f aca="false">K7621*Assumptions!$E$62^(1/4)+L7612*$C$7561</f>
        <v>137769.212699133</v>
      </c>
      <c r="M7621" s="54" t="n">
        <f aca="false">L7621*Assumptions!$E$62^(1/4)+M7612*$C$7561</f>
        <v>165716.252164404</v>
      </c>
      <c r="N7621" s="54" t="n">
        <f aca="false">M7621*Assumptions!$E$62^(1/4)+N7612*$C$7561</f>
        <v>192869.728098578</v>
      </c>
      <c r="P7621" s="55" t="n">
        <f aca="false">F7621</f>
        <v>21354.5918933979</v>
      </c>
      <c r="Q7621" s="55" t="n">
        <f aca="false">J7621</f>
        <v>80372.8487175808</v>
      </c>
      <c r="R7621" s="55" t="n">
        <f aca="false">N7621</f>
        <v>192869.728098578</v>
      </c>
      <c r="S7621" s="56" t="n">
        <f aca="false">R7621</f>
        <v>192869.728098578</v>
      </c>
    </row>
    <row r="7622" customFormat="false" ht="15" hidden="false" customHeight="false" outlineLevel="0" collapsed="false">
      <c r="A7622" s="4" t="s">
        <v>539</v>
      </c>
      <c r="B7622" s="36" t="s">
        <v>125</v>
      </c>
      <c r="C7622" s="54" t="n">
        <f aca="false">0*Assumptions!$E$63^(1/4)+C7613*$C$7562</f>
        <v>0</v>
      </c>
      <c r="D7622" s="54" t="n">
        <f aca="false">C7622*Assumptions!$E$63^(1/4)+D7613*$C$7562</f>
        <v>4239.58645576376</v>
      </c>
      <c r="E7622" s="54" t="n">
        <f aca="false">D7622*Assumptions!$E$63^(1/4)+E7613*$C$7562</f>
        <v>11568.780571464</v>
      </c>
      <c r="F7622" s="54" t="n">
        <f aca="false">E7622*Assumptions!$E$63^(1/4)+F7613*$C$7562</f>
        <v>19757.0139869302</v>
      </c>
      <c r="G7622" s="54" t="n">
        <f aca="false">F7622*Assumptions!$E$63^(1/4)+G7613*$C$7562</f>
        <v>28832.3026333607</v>
      </c>
      <c r="H7622" s="54" t="n">
        <f aca="false">G7622*Assumptions!$E$63^(1/4)+H7613*$C$7562</f>
        <v>40337.2428258018</v>
      </c>
      <c r="I7622" s="54" t="n">
        <f aca="false">H7622*Assumptions!$E$63^(1/4)+I7613*$C$7562</f>
        <v>54161.8650429175</v>
      </c>
      <c r="J7622" s="54" t="n">
        <f aca="false">I7622*Assumptions!$E$63^(1/4)+J7613*$C$7562</f>
        <v>73376.768355554</v>
      </c>
      <c r="K7622" s="54" t="n">
        <f aca="false">J7622*Assumptions!$E$63^(1/4)+K7613*$C$7562</f>
        <v>97657.3745036042</v>
      </c>
      <c r="L7622" s="54" t="n">
        <f aca="false">K7622*Assumptions!$E$63^(1/4)+L7613*$C$7562</f>
        <v>122459.146505613</v>
      </c>
      <c r="M7622" s="54" t="n">
        <f aca="false">L7622*Assumptions!$E$63^(1/4)+M7613*$C$7562</f>
        <v>146932.924638212</v>
      </c>
      <c r="N7622" s="54" t="n">
        <f aca="false">M7622*Assumptions!$E$63^(1/4)+N7613*$C$7562</f>
        <v>171121.912636854</v>
      </c>
      <c r="P7622" s="55" t="n">
        <f aca="false">F7622</f>
        <v>19757.0139869302</v>
      </c>
      <c r="Q7622" s="55" t="n">
        <f aca="false">J7622</f>
        <v>73376.768355554</v>
      </c>
      <c r="R7622" s="55" t="n">
        <f aca="false">N7622</f>
        <v>171121.912636854</v>
      </c>
      <c r="S7622" s="56" t="n">
        <f aca="false">R7622</f>
        <v>171121.912636854</v>
      </c>
    </row>
    <row r="7623" customFormat="false" ht="15" hidden="false" customHeight="false" outlineLevel="0" collapsed="false">
      <c r="A7623" s="4" t="s">
        <v>540</v>
      </c>
      <c r="B7623" s="36" t="s">
        <v>125</v>
      </c>
      <c r="C7623" s="54" t="n">
        <f aca="false">0*Assumptions!$E$64^(1/4)+C7614*$C$7563</f>
        <v>0</v>
      </c>
      <c r="D7623" s="54" t="n">
        <f aca="false">C7623*Assumptions!$E$64^(1/4)+D7614*$C$7563</f>
        <v>0</v>
      </c>
      <c r="E7623" s="54" t="n">
        <f aca="false">D7623*Assumptions!$E$64^(1/4)+E7614*$C$7563</f>
        <v>4403.28728055653</v>
      </c>
      <c r="F7623" s="54" t="n">
        <f aca="false">E7623*Assumptions!$E$64^(1/4)+F7614*$C$7563</f>
        <v>12107.4388108841</v>
      </c>
      <c r="G7623" s="54" t="n">
        <f aca="false">F7623*Assumptions!$E$64^(1/4)+G7614*$C$7563</f>
        <v>20866.0439239064</v>
      </c>
      <c r="H7623" s="54" t="n">
        <f aca="false">G7623*Assumptions!$E$64^(1/4)+H7614*$C$7563</f>
        <v>30732.6025192522</v>
      </c>
      <c r="I7623" s="54" t="n">
        <f aca="false">H7623*Assumptions!$E$64^(1/4)+I7614*$C$7563</f>
        <v>42590.8720102144</v>
      </c>
      <c r="J7623" s="54" t="n">
        <f aca="false">I7623*Assumptions!$E$64^(1/4)+J7614*$C$7563</f>
        <v>56428.9790305215</v>
      </c>
      <c r="K7623" s="54" t="n">
        <f aca="false">J7623*Assumptions!$E$64^(1/4)+K7614*$C$7563</f>
        <v>74828.6952807254</v>
      </c>
      <c r="L7623" s="54" t="n">
        <f aca="false">K7623*Assumptions!$E$64^(1/4)+L7614*$C$7563</f>
        <v>97706.5094169996</v>
      </c>
      <c r="M7623" s="54" t="n">
        <f aca="false">L7623*Assumptions!$E$64^(1/4)+M7614*$C$7563</f>
        <v>121541.467521117</v>
      </c>
      <c r="N7623" s="54" t="n">
        <f aca="false">M7623*Assumptions!$E$64^(1/4)+N7614*$C$7563</f>
        <v>145621.085996823</v>
      </c>
      <c r="P7623" s="55" t="n">
        <f aca="false">F7623</f>
        <v>12107.4388108841</v>
      </c>
      <c r="Q7623" s="55" t="n">
        <f aca="false">J7623</f>
        <v>56428.9790305215</v>
      </c>
      <c r="R7623" s="55" t="n">
        <f aca="false">N7623</f>
        <v>145621.085996823</v>
      </c>
      <c r="S7623" s="56" t="n">
        <f aca="false">R7623</f>
        <v>145621.085996823</v>
      </c>
    </row>
    <row r="7624" customFormat="false" ht="15" hidden="false" customHeight="false" outlineLevel="0" collapsed="false">
      <c r="A7624" s="9" t="s">
        <v>541</v>
      </c>
      <c r="B7624" s="36" t="s">
        <v>125</v>
      </c>
      <c r="C7624" s="55" t="n">
        <f aca="false">C7621+C7622+C7623</f>
        <v>0</v>
      </c>
      <c r="D7624" s="55" t="n">
        <f aca="false">D7621+D7622+D7623</f>
        <v>8876.43319038757</v>
      </c>
      <c r="E7624" s="55" t="n">
        <f aca="false">E7621+E7622+E7623</f>
        <v>28556.8328798949</v>
      </c>
      <c r="F7624" s="55" t="n">
        <f aca="false">F7621+F7622+F7623</f>
        <v>53219.0446912122</v>
      </c>
      <c r="G7624" s="55" t="n">
        <f aca="false">G7621+G7622+G7623</f>
        <v>80661.5284149939</v>
      </c>
      <c r="H7624" s="55" t="n">
        <f aca="false">H7621+H7622+H7623</f>
        <v>114397.200378599</v>
      </c>
      <c r="I7624" s="55" t="n">
        <f aca="false">I7621+I7622+I7623</f>
        <v>155018.116366178</v>
      </c>
      <c r="J7624" s="55" t="n">
        <f aca="false">J7621+J7622+J7623</f>
        <v>210178.596103656</v>
      </c>
      <c r="K7624" s="55" t="n">
        <f aca="false">K7621+K7622+K7623</f>
        <v>281455.503508684</v>
      </c>
      <c r="L7624" s="55" t="n">
        <f aca="false">L7621+L7622+L7623</f>
        <v>357934.868621746</v>
      </c>
      <c r="M7624" s="55" t="n">
        <f aca="false">M7621+M7622+M7623</f>
        <v>434190.644323734</v>
      </c>
      <c r="N7624" s="55" t="n">
        <f aca="false">N7621+N7622+N7623</f>
        <v>509612.726732255</v>
      </c>
      <c r="P7624" s="55" t="n">
        <f aca="false">F7624</f>
        <v>53219.0446912122</v>
      </c>
      <c r="Q7624" s="55" t="n">
        <f aca="false">J7624</f>
        <v>210178.596103656</v>
      </c>
      <c r="R7624" s="55" t="n">
        <f aca="false">N7624</f>
        <v>509612.726732255</v>
      </c>
      <c r="S7624" s="56" t="n">
        <f aca="false">R7624</f>
        <v>509612.726732255</v>
      </c>
    </row>
    <row r="7625" customFormat="false" ht="15" hidden="false" customHeight="false" outlineLevel="0" collapsed="false">
      <c r="A7625" s="4" t="s">
        <v>542</v>
      </c>
      <c r="B7625" s="36" t="s">
        <v>125</v>
      </c>
      <c r="C7625" s="54" t="n">
        <f aca="false">C7612*$C$7561+C7613*$C$7562+C7614*$C$7563</f>
        <v>0</v>
      </c>
      <c r="D7625" s="54" t="n">
        <f aca="false">D7612*$C$7561+D7613*$C$7562+D7614*$C$7563</f>
        <v>8876.43319038757</v>
      </c>
      <c r="E7625" s="54" t="n">
        <f aca="false">E7612*$C$7561+E7613*$C$7562+E7614*$C$7563</f>
        <v>19618.1886500368</v>
      </c>
      <c r="F7625" s="54" t="n">
        <f aca="false">F7612*$C$7561+F7613*$C$7562+F7614*$C$7563</f>
        <v>24335.8808795765</v>
      </c>
      <c r="G7625" s="54" t="n">
        <f aca="false">G7612*$C$7561+G7613*$C$7562+G7614*$C$7563</f>
        <v>26722.0551062465</v>
      </c>
      <c r="H7625" s="54" t="n">
        <f aca="false">H7612*$C$7561+H7613*$C$7562+H7614*$C$7563</f>
        <v>32570.6348072815</v>
      </c>
      <c r="I7625" s="54" t="n">
        <f aca="false">I7612*$C$7561+I7613*$C$7562+I7614*$C$7563</f>
        <v>38936.2212649288</v>
      </c>
      <c r="J7625" s="54" t="n">
        <f aca="false">J7612*$C$7561+J7613*$C$7562+J7614*$C$7563</f>
        <v>52851.2673832351</v>
      </c>
      <c r="K7625" s="54" t="n">
        <f aca="false">K7612*$C$7561+K7613*$C$7562+K7614*$C$7563</f>
        <v>68193.6820495777</v>
      </c>
      <c r="L7625" s="54" t="n">
        <f aca="false">L7612*$C$7561+L7613*$C$7562+L7614*$C$7563</f>
        <v>72385.5913630249</v>
      </c>
      <c r="M7625" s="54" t="n">
        <f aca="false">M7612*$C$7561+M7613*$C$7562+M7614*$C$7563</f>
        <v>70984.5735032962</v>
      </c>
      <c r="N7625" s="54" t="n">
        <f aca="false">N7612*$C$7561+N7613*$C$7562+N7614*$C$7563</f>
        <v>68944.2304944803</v>
      </c>
      <c r="P7625" s="55" t="n">
        <f aca="false">SUM(C7625:F7625)</f>
        <v>52830.5027200009</v>
      </c>
      <c r="Q7625" s="55" t="n">
        <f aca="false">SUM(G7625:J7625)</f>
        <v>151080.178561692</v>
      </c>
      <c r="R7625" s="55" t="n">
        <f aca="false">SUM(K7625:N7625)</f>
        <v>280508.077410379</v>
      </c>
      <c r="S7625" s="56" t="n">
        <f aca="false">SUM(P7625:R7625)</f>
        <v>484418.758692072</v>
      </c>
    </row>
    <row r="7626" customFormat="false" ht="15" hidden="false" customHeight="false" outlineLevel="0" collapsed="false">
      <c r="A7626" s="9" t="s">
        <v>543</v>
      </c>
      <c r="B7626" s="36" t="s">
        <v>125</v>
      </c>
      <c r="C7626" s="55" t="n">
        <f aca="false">(0+C7624)/8</f>
        <v>0</v>
      </c>
      <c r="D7626" s="55" t="n">
        <f aca="false">(C7624+D7624)/8</f>
        <v>1109.55414879845</v>
      </c>
      <c r="E7626" s="55" t="n">
        <f aca="false">(D7624+E7624)/8</f>
        <v>4679.15825878531</v>
      </c>
      <c r="F7626" s="55" t="n">
        <f aca="false">(E7624+F7624)/8</f>
        <v>10221.9846963884</v>
      </c>
      <c r="G7626" s="55" t="n">
        <f aca="false">(F7624+G7624)/8</f>
        <v>16735.0716382758</v>
      </c>
      <c r="H7626" s="55" t="n">
        <f aca="false">(G7624+H7624)/8</f>
        <v>24382.3410991992</v>
      </c>
      <c r="I7626" s="55" t="n">
        <f aca="false">(H7624+I7624)/8</f>
        <v>33676.9145930972</v>
      </c>
      <c r="J7626" s="55" t="n">
        <f aca="false">(I7624+J7624)/8</f>
        <v>45649.5890587293</v>
      </c>
      <c r="K7626" s="55" t="n">
        <f aca="false">(J7624+K7624)/8</f>
        <v>61454.2624515425</v>
      </c>
      <c r="L7626" s="55" t="n">
        <f aca="false">(K7624+L7624)/8</f>
        <v>79923.7965163037</v>
      </c>
      <c r="M7626" s="55" t="n">
        <f aca="false">(L7624+M7624)/8</f>
        <v>99015.6891181849</v>
      </c>
      <c r="N7626" s="55" t="n">
        <f aca="false">(M7624+N7624)/8</f>
        <v>117975.421381999</v>
      </c>
      <c r="P7626" s="55" t="n">
        <f aca="false">SUM(C7626:F7626)</f>
        <v>16010.6971039722</v>
      </c>
      <c r="Q7626" s="55" t="n">
        <f aca="false">SUM(G7626:J7626)</f>
        <v>120443.916389301</v>
      </c>
      <c r="R7626" s="55" t="n">
        <f aca="false">SUM(K7626:N7626)</f>
        <v>358369.16946803</v>
      </c>
      <c r="S7626" s="56" t="n">
        <f aca="false">SUM(P7626:R7626)</f>
        <v>494823.782961303</v>
      </c>
    </row>
    <row r="7627" customFormat="false" ht="15" hidden="false" customHeight="false" outlineLevel="0" collapsed="false">
      <c r="A7627" s="4" t="s">
        <v>544</v>
      </c>
      <c r="B7627" s="36" t="s">
        <v>125</v>
      </c>
      <c r="C7627" s="54" t="n">
        <f aca="false">C7626*Assumptions!$E$76</f>
        <v>0</v>
      </c>
      <c r="D7627" s="54" t="n">
        <f aca="false">D7626*Assumptions!$E$76</f>
        <v>721.21019671899</v>
      </c>
      <c r="E7627" s="54" t="n">
        <f aca="false">E7626*Assumptions!$E$76</f>
        <v>3041.45286821045</v>
      </c>
      <c r="F7627" s="54" t="n">
        <f aca="false">F7626*Assumptions!$E$76</f>
        <v>6644.29005265246</v>
      </c>
      <c r="G7627" s="54" t="n">
        <f aca="false">G7626*Assumptions!$E$76</f>
        <v>10877.7965648792</v>
      </c>
      <c r="H7627" s="54" t="n">
        <f aca="false">H7626*Assumptions!$E$76</f>
        <v>15848.5217144795</v>
      </c>
      <c r="I7627" s="54" t="n">
        <f aca="false">I7626*Assumptions!$E$76</f>
        <v>21889.9944855132</v>
      </c>
      <c r="J7627" s="54" t="n">
        <f aca="false">J7626*Assumptions!$E$76</f>
        <v>29672.2328881741</v>
      </c>
      <c r="K7627" s="54" t="n">
        <f aca="false">K7626*Assumptions!$E$76</f>
        <v>39945.2705935026</v>
      </c>
      <c r="L7627" s="54" t="n">
        <f aca="false">L7626*Assumptions!$E$76</f>
        <v>51950.4677355974</v>
      </c>
      <c r="M7627" s="54" t="n">
        <f aca="false">M7626*Assumptions!$E$76</f>
        <v>64360.1979268202</v>
      </c>
      <c r="N7627" s="54" t="n">
        <f aca="false">N7626*Assumptions!$E$76</f>
        <v>76684.0238982991</v>
      </c>
      <c r="P7627" s="55" t="n">
        <f aca="false">SUM(C7627:F7627)</f>
        <v>10406.9531175819</v>
      </c>
      <c r="Q7627" s="55" t="n">
        <f aca="false">SUM(G7627:J7627)</f>
        <v>78288.545653046</v>
      </c>
      <c r="R7627" s="55" t="n">
        <f aca="false">SUM(K7627:N7627)</f>
        <v>232939.960154219</v>
      </c>
      <c r="S7627" s="56" t="n">
        <f aca="false">SUM(P7627:R7627)</f>
        <v>321635.458924847</v>
      </c>
    </row>
    <row r="7628" customFormat="false" ht="15" hidden="false" customHeight="false" outlineLevel="0" collapsed="false">
      <c r="A7628" s="35" t="s">
        <v>547</v>
      </c>
      <c r="B7628" s="35" t="s">
        <v>444</v>
      </c>
      <c r="C7628" s="6" t="s">
        <v>354</v>
      </c>
      <c r="D7628" s="6" t="s">
        <v>355</v>
      </c>
      <c r="E7628" s="6" t="s">
        <v>356</v>
      </c>
      <c r="F7628" s="6" t="s">
        <v>357</v>
      </c>
      <c r="G7628" s="6" t="s">
        <v>358</v>
      </c>
      <c r="H7628" s="6" t="s">
        <v>359</v>
      </c>
      <c r="I7628" s="6" t="s">
        <v>360</v>
      </c>
      <c r="J7628" s="6" t="s">
        <v>361</v>
      </c>
      <c r="K7628" s="6" t="s">
        <v>362</v>
      </c>
      <c r="L7628" s="6" t="s">
        <v>363</v>
      </c>
      <c r="M7628" s="6" t="s">
        <v>364</v>
      </c>
      <c r="N7628" s="6" t="s">
        <v>365</v>
      </c>
      <c r="P7628" s="6" t="s">
        <v>445</v>
      </c>
      <c r="Q7628" s="6" t="s">
        <v>446</v>
      </c>
      <c r="R7628" s="6" t="s">
        <v>447</v>
      </c>
      <c r="S7628" s="6" t="s">
        <v>448</v>
      </c>
    </row>
    <row r="7629" customFormat="false" ht="15" hidden="false" customHeight="false" outlineLevel="0" collapsed="false">
      <c r="A7629" s="4" t="s">
        <v>548</v>
      </c>
      <c r="B7629" s="36" t="s">
        <v>321</v>
      </c>
      <c r="C7629" s="48" t="n">
        <f aca="false">Assumptions!$D$97*C7571</f>
        <v>1</v>
      </c>
      <c r="D7629" s="48" t="n">
        <f aca="false">Assumptions!$D$97*D7571</f>
        <v>1</v>
      </c>
      <c r="E7629" s="48" t="n">
        <f aca="false">Assumptions!$D$97*E7571</f>
        <v>1</v>
      </c>
      <c r="F7629" s="48" t="n">
        <f aca="false">Assumptions!$D$97*F7571</f>
        <v>1</v>
      </c>
      <c r="G7629" s="48" t="n">
        <f aca="false">Assumptions!$D$97*G7571</f>
        <v>1</v>
      </c>
      <c r="H7629" s="48" t="n">
        <f aca="false">Assumptions!$D$97*H7571</f>
        <v>1</v>
      </c>
      <c r="I7629" s="48" t="n">
        <f aca="false">Assumptions!$D$97*I7571</f>
        <v>1</v>
      </c>
      <c r="J7629" s="48" t="n">
        <f aca="false">Assumptions!$D$97*J7571</f>
        <v>1</v>
      </c>
      <c r="K7629" s="48" t="n">
        <f aca="false">Assumptions!$D$97*K7571</f>
        <v>1</v>
      </c>
      <c r="L7629" s="48" t="n">
        <f aca="false">Assumptions!$D$97*L7571</f>
        <v>1</v>
      </c>
      <c r="M7629" s="48" t="n">
        <f aca="false">Assumptions!$D$97*M7571</f>
        <v>1</v>
      </c>
      <c r="N7629" s="48" t="n">
        <f aca="false">Assumptions!$D$97*N7571</f>
        <v>1</v>
      </c>
      <c r="P7629" s="49" t="n">
        <f aca="false">AVERAGE(C7629:F7629)</f>
        <v>1</v>
      </c>
      <c r="Q7629" s="49" t="n">
        <f aca="false">AVERAGE(G7629:J7629)</f>
        <v>1</v>
      </c>
      <c r="R7629" s="49" t="n">
        <f aca="false">AVERAGE(K7629:N7629)</f>
        <v>1</v>
      </c>
      <c r="S7629" s="50"/>
    </row>
    <row r="7630" customFormat="false" ht="15" hidden="false" customHeight="false" outlineLevel="0" collapsed="false">
      <c r="A7630" s="4" t="s">
        <v>549</v>
      </c>
      <c r="B7630" s="36" t="s">
        <v>321</v>
      </c>
      <c r="C7630" s="48" t="n">
        <f aca="false">C7584*C7571</f>
        <v>0</v>
      </c>
      <c r="D7630" s="48" t="n">
        <f aca="false">D7584*D7571</f>
        <v>0</v>
      </c>
      <c r="E7630" s="48" t="n">
        <f aca="false">E7584*E7571</f>
        <v>0</v>
      </c>
      <c r="F7630" s="48" t="n">
        <f aca="false">F7584*F7571</f>
        <v>0</v>
      </c>
      <c r="G7630" s="48" t="n">
        <f aca="false">G7584*G7571</f>
        <v>0</v>
      </c>
      <c r="H7630" s="48" t="n">
        <f aca="false">H7584*H7571</f>
        <v>0</v>
      </c>
      <c r="I7630" s="48" t="n">
        <f aca="false">I7584*I7571</f>
        <v>0</v>
      </c>
      <c r="J7630" s="48" t="n">
        <f aca="false">J7584*J7571</f>
        <v>0</v>
      </c>
      <c r="K7630" s="48" t="n">
        <f aca="false">K7584*K7571</f>
        <v>0</v>
      </c>
      <c r="L7630" s="48" t="n">
        <f aca="false">L7584*L7571</f>
        <v>0</v>
      </c>
      <c r="M7630" s="48" t="n">
        <f aca="false">M7584*M7571</f>
        <v>0</v>
      </c>
      <c r="N7630" s="48" t="n">
        <f aca="false">N7584*N7571</f>
        <v>0</v>
      </c>
      <c r="P7630" s="49" t="n">
        <f aca="false">AVERAGE(C7630:F7630)</f>
        <v>0</v>
      </c>
      <c r="Q7630" s="49" t="n">
        <f aca="false">AVERAGE(G7630:J7630)</f>
        <v>0</v>
      </c>
      <c r="R7630" s="49" t="n">
        <f aca="false">AVERAGE(K7630:N7630)</f>
        <v>0</v>
      </c>
      <c r="S7630" s="50"/>
    </row>
    <row r="7631" customFormat="false" ht="15" hidden="false" customHeight="false" outlineLevel="0" collapsed="false">
      <c r="A7631" s="4" t="s">
        <v>550</v>
      </c>
      <c r="B7631" s="36" t="s">
        <v>321</v>
      </c>
      <c r="C7631" s="48" t="n">
        <f aca="false">IF(C7570&lt;=4,Assumptions!$D$98,Assumptions!$D$99)*C7571</f>
        <v>0</v>
      </c>
      <c r="D7631" s="48" t="n">
        <f aca="false">IF(D7570&lt;=4,Assumptions!$D$98,Assumptions!$D$99)*D7571</f>
        <v>0</v>
      </c>
      <c r="E7631" s="48" t="n">
        <f aca="false">IF(E7570&lt;=4,Assumptions!$D$98,Assumptions!$D$99)*E7571</f>
        <v>0</v>
      </c>
      <c r="F7631" s="48" t="n">
        <f aca="false">IF(F7570&lt;=4,Assumptions!$D$98,Assumptions!$D$99)*F7571</f>
        <v>0</v>
      </c>
      <c r="G7631" s="48" t="n">
        <f aca="false">IF(G7570&lt;=4,Assumptions!$D$98,Assumptions!$D$99)*G7571</f>
        <v>0.5</v>
      </c>
      <c r="H7631" s="48" t="n">
        <f aca="false">IF(H7570&lt;=4,Assumptions!$D$98,Assumptions!$D$99)*H7571</f>
        <v>0.5</v>
      </c>
      <c r="I7631" s="48" t="n">
        <f aca="false">IF(I7570&lt;=4,Assumptions!$D$98,Assumptions!$D$99)*I7571</f>
        <v>0.5</v>
      </c>
      <c r="J7631" s="48" t="n">
        <f aca="false">IF(J7570&lt;=4,Assumptions!$D$98,Assumptions!$D$99)*J7571</f>
        <v>0.5</v>
      </c>
      <c r="K7631" s="48" t="n">
        <f aca="false">IF(K7570&lt;=4,Assumptions!$D$98,Assumptions!$D$99)*K7571</f>
        <v>0.5</v>
      </c>
      <c r="L7631" s="48" t="n">
        <f aca="false">IF(L7570&lt;=4,Assumptions!$D$98,Assumptions!$D$99)*L7571</f>
        <v>0.5</v>
      </c>
      <c r="M7631" s="48" t="n">
        <f aca="false">IF(M7570&lt;=4,Assumptions!$D$98,Assumptions!$D$99)*M7571</f>
        <v>0.5</v>
      </c>
      <c r="N7631" s="48" t="n">
        <f aca="false">IF(N7570&lt;=4,Assumptions!$D$98,Assumptions!$D$99)*N7571</f>
        <v>0.5</v>
      </c>
      <c r="P7631" s="49" t="n">
        <f aca="false">AVERAGE(C7631:F7631)</f>
        <v>0</v>
      </c>
      <c r="Q7631" s="49" t="n">
        <f aca="false">AVERAGE(G7631:J7631)</f>
        <v>0.5</v>
      </c>
      <c r="R7631" s="49" t="n">
        <f aca="false">AVERAGE(K7631:N7631)</f>
        <v>0.5</v>
      </c>
      <c r="S7631" s="50"/>
    </row>
    <row r="7632" customFormat="false" ht="15" hidden="false" customHeight="false" outlineLevel="0" collapsed="false">
      <c r="A7632" s="4" t="s">
        <v>551</v>
      </c>
      <c r="B7632" s="36" t="s">
        <v>321</v>
      </c>
      <c r="C7632" s="48" t="n">
        <f aca="false">IF(C7570&lt;=4,Assumptions!$D$100,Assumptions!$D$101)*C7571</f>
        <v>1</v>
      </c>
      <c r="D7632" s="48" t="n">
        <f aca="false">IF(D7570&lt;=4,Assumptions!$D$100,Assumptions!$D$101)*D7571</f>
        <v>1</v>
      </c>
      <c r="E7632" s="48" t="n">
        <f aca="false">IF(E7570&lt;=4,Assumptions!$D$100,Assumptions!$D$101)*E7571</f>
        <v>1</v>
      </c>
      <c r="F7632" s="48" t="n">
        <f aca="false">IF(F7570&lt;=4,Assumptions!$D$100,Assumptions!$D$101)*F7571</f>
        <v>1</v>
      </c>
      <c r="G7632" s="48" t="n">
        <f aca="false">IF(G7570&lt;=4,Assumptions!$D$100,Assumptions!$D$101)*G7571</f>
        <v>0.5</v>
      </c>
      <c r="H7632" s="48" t="n">
        <f aca="false">IF(H7570&lt;=4,Assumptions!$D$100,Assumptions!$D$101)*H7571</f>
        <v>0.5</v>
      </c>
      <c r="I7632" s="48" t="n">
        <f aca="false">IF(I7570&lt;=4,Assumptions!$D$100,Assumptions!$D$101)*I7571</f>
        <v>0.5</v>
      </c>
      <c r="J7632" s="48" t="n">
        <f aca="false">IF(J7570&lt;=4,Assumptions!$D$100,Assumptions!$D$101)*J7571</f>
        <v>0.5</v>
      </c>
      <c r="K7632" s="48" t="n">
        <f aca="false">IF(K7570&lt;=4,Assumptions!$D$100,Assumptions!$D$101)*K7571</f>
        <v>0.5</v>
      </c>
      <c r="L7632" s="48" t="n">
        <f aca="false">IF(L7570&lt;=4,Assumptions!$D$100,Assumptions!$D$101)*L7571</f>
        <v>0.5</v>
      </c>
      <c r="M7632" s="48" t="n">
        <f aca="false">IF(M7570&lt;=4,Assumptions!$D$100,Assumptions!$D$101)*M7571</f>
        <v>0.5</v>
      </c>
      <c r="N7632" s="48" t="n">
        <f aca="false">IF(N7570&lt;=4,Assumptions!$D$100,Assumptions!$D$101)*N7571</f>
        <v>0.5</v>
      </c>
      <c r="P7632" s="49" t="n">
        <f aca="false">AVERAGE(C7632:F7632)</f>
        <v>1</v>
      </c>
      <c r="Q7632" s="49" t="n">
        <f aca="false">AVERAGE(G7632:J7632)</f>
        <v>0.5</v>
      </c>
      <c r="R7632" s="49" t="n">
        <f aca="false">AVERAGE(K7632:N7632)</f>
        <v>0.5</v>
      </c>
      <c r="S7632" s="50"/>
    </row>
    <row r="7633" customFormat="false" ht="15" hidden="false" customHeight="false" outlineLevel="0" collapsed="false">
      <c r="A7633" s="4" t="s">
        <v>552</v>
      </c>
      <c r="B7633" s="36" t="s">
        <v>321</v>
      </c>
      <c r="C7633" s="48" t="n">
        <f aca="false">Assumptions!$D$102*C7571</f>
        <v>0.25</v>
      </c>
      <c r="D7633" s="48" t="n">
        <f aca="false">Assumptions!$D$102*D7571</f>
        <v>0.25</v>
      </c>
      <c r="E7633" s="48" t="n">
        <f aca="false">Assumptions!$D$102*E7571</f>
        <v>0.25</v>
      </c>
      <c r="F7633" s="48" t="n">
        <f aca="false">Assumptions!$D$102*F7571</f>
        <v>0.25</v>
      </c>
      <c r="G7633" s="48" t="n">
        <f aca="false">Assumptions!$D$102*G7571</f>
        <v>0.25</v>
      </c>
      <c r="H7633" s="48" t="n">
        <f aca="false">Assumptions!$D$102*H7571</f>
        <v>0.25</v>
      </c>
      <c r="I7633" s="48" t="n">
        <f aca="false">Assumptions!$D$102*I7571</f>
        <v>0.25</v>
      </c>
      <c r="J7633" s="48" t="n">
        <f aca="false">Assumptions!$D$102*J7571</f>
        <v>0.25</v>
      </c>
      <c r="K7633" s="48" t="n">
        <f aca="false">Assumptions!$D$102*K7571</f>
        <v>0.25</v>
      </c>
      <c r="L7633" s="48" t="n">
        <f aca="false">Assumptions!$D$102*L7571</f>
        <v>0.25</v>
      </c>
      <c r="M7633" s="48" t="n">
        <f aca="false">Assumptions!$D$102*M7571</f>
        <v>0.25</v>
      </c>
      <c r="N7633" s="48" t="n">
        <f aca="false">Assumptions!$D$102*N7571</f>
        <v>0.25</v>
      </c>
      <c r="P7633" s="49" t="n">
        <f aca="false">AVERAGE(C7633:F7633)</f>
        <v>0.25</v>
      </c>
      <c r="Q7633" s="49" t="n">
        <f aca="false">AVERAGE(G7633:J7633)</f>
        <v>0.25</v>
      </c>
      <c r="R7633" s="49" t="n">
        <f aca="false">AVERAGE(K7633:N7633)</f>
        <v>0.25</v>
      </c>
      <c r="S7633" s="50"/>
    </row>
    <row r="7634" customFormat="false" ht="15" hidden="false" customHeight="false" outlineLevel="0" collapsed="false">
      <c r="A7634" s="4" t="s">
        <v>553</v>
      </c>
      <c r="B7634" s="36" t="s">
        <v>321</v>
      </c>
      <c r="C7634" s="48" t="n">
        <f aca="false">(C7618+C7619)/Assumptions!$E$74+C7617/Assumptions!$E$75</f>
        <v>0</v>
      </c>
      <c r="D7634" s="48" t="n">
        <f aca="false">(D7618+D7619)/Assumptions!$E$74+D7617/Assumptions!$E$75</f>
        <v>0.0143176301374139</v>
      </c>
      <c r="E7634" s="48" t="n">
        <f aca="false">(E7618+E7619)/Assumptions!$E$74+E7617/Assumptions!$E$75</f>
        <v>0.0402499456767798</v>
      </c>
      <c r="F7634" s="48" t="n">
        <f aca="false">(F7618+F7619)/Assumptions!$E$74+F7617/Assumptions!$E$75</f>
        <v>0.069296156601371</v>
      </c>
      <c r="G7634" s="48" t="n">
        <f aca="false">(G7618+G7619)/Assumptions!$E$74+G7617/Assumptions!$E$75</f>
        <v>0.100475077199051</v>
      </c>
      <c r="H7634" s="48" t="n">
        <f aca="false">(H7618+H7619)/Assumptions!$E$74+H7617/Assumptions!$E$75</f>
        <v>0.139084643227244</v>
      </c>
      <c r="I7634" s="48" t="n">
        <f aca="false">(I7618+I7619)/Assumptions!$E$74+I7617/Assumptions!$E$75</f>
        <v>0.184756080005146</v>
      </c>
      <c r="J7634" s="48" t="n">
        <f aca="false">(J7618+J7619)/Assumptions!$E$74+J7617/Assumptions!$E$75</f>
        <v>0.248473880206466</v>
      </c>
      <c r="K7634" s="48" t="n">
        <f aca="false">(K7618+K7619)/Assumptions!$E$74+K7617/Assumptions!$E$75</f>
        <v>0.329218871456529</v>
      </c>
      <c r="L7634" s="48" t="n">
        <f aca="false">(L7618+L7619)/Assumptions!$E$74+L7617/Assumptions!$E$75</f>
        <v>0.409912468045788</v>
      </c>
      <c r="M7634" s="48" t="n">
        <f aca="false">(M7618+M7619)/Assumptions!$E$74+M7617/Assumptions!$E$75</f>
        <v>0.486094517455055</v>
      </c>
      <c r="N7634" s="48" t="n">
        <f aca="false">(N7618+N7619)/Assumptions!$E$74+N7617/Assumptions!$E$75</f>
        <v>0.557753573090085</v>
      </c>
      <c r="P7634" s="49" t="n">
        <f aca="false">AVERAGE(C7634:F7634)</f>
        <v>0.0309659331038912</v>
      </c>
      <c r="Q7634" s="49" t="n">
        <f aca="false">AVERAGE(G7634:J7634)</f>
        <v>0.168197420159477</v>
      </c>
      <c r="R7634" s="49" t="n">
        <f aca="false">AVERAGE(K7634:N7634)</f>
        <v>0.445744857511864</v>
      </c>
      <c r="S7634" s="50"/>
    </row>
    <row r="7635" customFormat="false" ht="15" hidden="false" customHeight="false" outlineLevel="0" collapsed="false">
      <c r="A7635" s="4" t="s">
        <v>554</v>
      </c>
      <c r="B7635" s="36" t="s">
        <v>125</v>
      </c>
      <c r="C7635" s="54" t="n">
        <f aca="false">(C7629+C7631)*Assumptions!$E$70/Assumptions!$E$69/4</f>
        <v>66753.5714285714</v>
      </c>
      <c r="D7635" s="54" t="n">
        <f aca="false">(D7629+D7631)*Assumptions!$E$70/Assumptions!$E$69/4</f>
        <v>66753.5714285714</v>
      </c>
      <c r="E7635" s="54" t="n">
        <f aca="false">(E7629+E7631)*Assumptions!$E$70/Assumptions!$E$69/4</f>
        <v>66753.5714285714</v>
      </c>
      <c r="F7635" s="54" t="n">
        <f aca="false">(F7629+F7631)*Assumptions!$E$70/Assumptions!$E$69/4</f>
        <v>66753.5714285714</v>
      </c>
      <c r="G7635" s="54" t="n">
        <f aca="false">(G7629+G7631)*Assumptions!$E$70/Assumptions!$E$69/4</f>
        <v>100130.357142857</v>
      </c>
      <c r="H7635" s="54" t="n">
        <f aca="false">(H7629+H7631)*Assumptions!$E$70/Assumptions!$E$69/4</f>
        <v>100130.357142857</v>
      </c>
      <c r="I7635" s="54" t="n">
        <f aca="false">(I7629+I7631)*Assumptions!$E$70/Assumptions!$E$69/4</f>
        <v>100130.357142857</v>
      </c>
      <c r="J7635" s="54" t="n">
        <f aca="false">(J7629+J7631)*Assumptions!$E$70/Assumptions!$E$69/4</f>
        <v>100130.357142857</v>
      </c>
      <c r="K7635" s="54" t="n">
        <f aca="false">(K7629+K7631)*Assumptions!$E$70/Assumptions!$E$69/4</f>
        <v>100130.357142857</v>
      </c>
      <c r="L7635" s="54" t="n">
        <f aca="false">(L7629+L7631)*Assumptions!$E$70/Assumptions!$E$69/4</f>
        <v>100130.357142857</v>
      </c>
      <c r="M7635" s="54" t="n">
        <f aca="false">(M7629+M7631)*Assumptions!$E$70/Assumptions!$E$69/4</f>
        <v>100130.357142857</v>
      </c>
      <c r="N7635" s="54" t="n">
        <f aca="false">(N7629+N7631)*Assumptions!$E$70/Assumptions!$E$69/4</f>
        <v>100130.357142857</v>
      </c>
      <c r="P7635" s="55" t="n">
        <f aca="false">SUM(C7635:F7635)</f>
        <v>267014.285714286</v>
      </c>
      <c r="Q7635" s="55" t="n">
        <f aca="false">SUM(G7635:J7635)</f>
        <v>400521.428571429</v>
      </c>
      <c r="R7635" s="55" t="n">
        <f aca="false">SUM(K7635:N7635)</f>
        <v>400521.428571429</v>
      </c>
      <c r="S7635" s="56" t="n">
        <f aca="false">SUM(P7635:R7635)</f>
        <v>1068057.14285714</v>
      </c>
    </row>
    <row r="7636" customFormat="false" ht="15" hidden="false" customHeight="false" outlineLevel="0" collapsed="false">
      <c r="A7636" s="4" t="s">
        <v>555</v>
      </c>
      <c r="B7636" s="36" t="s">
        <v>125</v>
      </c>
      <c r="C7636" s="54" t="n">
        <f aca="false">C7630*$C$7565/4</f>
        <v>0</v>
      </c>
      <c r="D7636" s="54" t="n">
        <f aca="false">D7630*$C$7565/4</f>
        <v>0</v>
      </c>
      <c r="E7636" s="54" t="n">
        <f aca="false">E7630*$C$7565/4</f>
        <v>0</v>
      </c>
      <c r="F7636" s="54" t="n">
        <f aca="false">F7630*$C$7565/4</f>
        <v>0</v>
      </c>
      <c r="G7636" s="54" t="n">
        <f aca="false">G7630*$C$7565/4</f>
        <v>0</v>
      </c>
      <c r="H7636" s="54" t="n">
        <f aca="false">H7630*$C$7565/4</f>
        <v>0</v>
      </c>
      <c r="I7636" s="54" t="n">
        <f aca="false">I7630*$C$7565/4</f>
        <v>0</v>
      </c>
      <c r="J7636" s="54" t="n">
        <f aca="false">J7630*$C$7565/4</f>
        <v>0</v>
      </c>
      <c r="K7636" s="54" t="n">
        <f aca="false">K7630*$C$7565/4</f>
        <v>0</v>
      </c>
      <c r="L7636" s="54" t="n">
        <f aca="false">L7630*$C$7565/4</f>
        <v>0</v>
      </c>
      <c r="M7636" s="54" t="n">
        <f aca="false">M7630*$C$7565/4</f>
        <v>0</v>
      </c>
      <c r="N7636" s="54" t="n">
        <f aca="false">N7630*$C$7565/4</f>
        <v>0</v>
      </c>
      <c r="P7636" s="55" t="n">
        <f aca="false">SUM(C7636:F7636)</f>
        <v>0</v>
      </c>
      <c r="Q7636" s="55" t="n">
        <f aca="false">SUM(G7636:J7636)</f>
        <v>0</v>
      </c>
      <c r="R7636" s="55" t="n">
        <f aca="false">SUM(K7636:N7636)</f>
        <v>0</v>
      </c>
      <c r="S7636" s="56" t="n">
        <f aca="false">SUM(P7636:R7636)</f>
        <v>0</v>
      </c>
    </row>
    <row r="7637" customFormat="false" ht="15" hidden="false" customHeight="false" outlineLevel="0" collapsed="false">
      <c r="A7637" s="4" t="s">
        <v>556</v>
      </c>
      <c r="B7637" s="36" t="s">
        <v>125</v>
      </c>
      <c r="C7637" s="54" t="n">
        <f aca="false">MAX(0,(C7625-C7606*$C$7561)-C7585*$C$7566)*$C$7567*Assumptions!$D$105</f>
        <v>0</v>
      </c>
      <c r="D7637" s="54" t="n">
        <f aca="false">MAX(0,(D7625-D7606*$C$7561)-D7585*$C$7566)*$C$7567*Assumptions!$D$105</f>
        <v>3491.72206180778</v>
      </c>
      <c r="E7637" s="54" t="n">
        <f aca="false">MAX(0,(E7625-E7606*$C$7561)-E7585*$C$7566)*$C$7567*Assumptions!$D$105</f>
        <v>8039.09651874593</v>
      </c>
      <c r="F7637" s="54" t="n">
        <f aca="false">MAX(0,(F7625-F7606*$C$7561)-F7585*$C$7566)*$C$7567*Assumptions!$D$105</f>
        <v>10124.750003461</v>
      </c>
      <c r="G7637" s="54" t="n">
        <f aca="false">MAX(0,(G7625-G7606*$C$7561)-G7585*$C$7566)*$C$7567*Assumptions!$D$105</f>
        <v>11120.4562644655</v>
      </c>
      <c r="H7637" s="54" t="n">
        <f aca="false">MAX(0,(H7625-H7606*$C$7561)-H7585*$C$7566)*$C$7567*Assumptions!$D$105</f>
        <v>13463.0357338943</v>
      </c>
      <c r="I7637" s="54" t="n">
        <f aca="false">MAX(0,(I7625-I7606*$C$7561)-I7585*$C$7566)*$C$7567*Assumptions!$D$105</f>
        <v>16072.2164343224</v>
      </c>
      <c r="J7637" s="54" t="n">
        <f aca="false">MAX(0,(J7625-J7606*$C$7561)-J7585*$C$7566)*$C$7567*Assumptions!$D$105</f>
        <v>21559.8957723031</v>
      </c>
      <c r="K7637" s="54" t="n">
        <f aca="false">MAX(0,(K7625-K7606*$C$7561)-K7585*$C$7566)*$C$7567*Assumptions!$D$105</f>
        <v>27808.6094682429</v>
      </c>
      <c r="L7637" s="54" t="n">
        <f aca="false">MAX(0,(L7625-L7606*$C$7561)-L7585*$C$7566)*$C$7567*Assumptions!$D$105</f>
        <v>29735.5837530454</v>
      </c>
      <c r="M7637" s="54" t="n">
        <f aca="false">MAX(0,(M7625-M7606*$C$7561)-M7585*$C$7566)*$C$7567*Assumptions!$D$105</f>
        <v>29201.3815340945</v>
      </c>
      <c r="N7637" s="54" t="n">
        <f aca="false">MAX(0,(N7625-N7606*$C$7561)-N7585*$C$7566)*$C$7567*Assumptions!$D$105</f>
        <v>28360.6706538674</v>
      </c>
      <c r="P7637" s="55" t="n">
        <f aca="false">SUM(C7637:F7637)</f>
        <v>21655.5685840147</v>
      </c>
      <c r="Q7637" s="55" t="n">
        <f aca="false">SUM(G7637:J7637)</f>
        <v>62215.6042049852</v>
      </c>
      <c r="R7637" s="55" t="n">
        <f aca="false">SUM(K7637:N7637)</f>
        <v>115106.24540925</v>
      </c>
      <c r="S7637" s="56" t="n">
        <f aca="false">SUM(P7637:R7637)</f>
        <v>198977.41819825</v>
      </c>
    </row>
    <row r="7638" customFormat="false" ht="15" hidden="false" customHeight="false" outlineLevel="0" collapsed="false">
      <c r="A7638" s="4" t="s">
        <v>557</v>
      </c>
      <c r="B7638" s="36" t="s">
        <v>125</v>
      </c>
      <c r="C7638" s="54" t="n">
        <f aca="false">C7633*Assumptions!$E$71/Assumptions!$E$69/4</f>
        <v>18475.8928571429</v>
      </c>
      <c r="D7638" s="54" t="n">
        <f aca="false">D7633*Assumptions!$E$71/Assumptions!$E$69/4</f>
        <v>18475.8928571429</v>
      </c>
      <c r="E7638" s="54" t="n">
        <f aca="false">E7633*Assumptions!$E$71/Assumptions!$E$69/4</f>
        <v>18475.8928571429</v>
      </c>
      <c r="F7638" s="54" t="n">
        <f aca="false">F7633*Assumptions!$E$71/Assumptions!$E$69/4</f>
        <v>18475.8928571429</v>
      </c>
      <c r="G7638" s="54" t="n">
        <f aca="false">G7633*Assumptions!$E$71/Assumptions!$E$69/4</f>
        <v>18475.8928571429</v>
      </c>
      <c r="H7638" s="54" t="n">
        <f aca="false">H7633*Assumptions!$E$71/Assumptions!$E$69/4</f>
        <v>18475.8928571429</v>
      </c>
      <c r="I7638" s="54" t="n">
        <f aca="false">I7633*Assumptions!$E$71/Assumptions!$E$69/4</f>
        <v>18475.8928571429</v>
      </c>
      <c r="J7638" s="54" t="n">
        <f aca="false">J7633*Assumptions!$E$71/Assumptions!$E$69/4</f>
        <v>18475.8928571429</v>
      </c>
      <c r="K7638" s="54" t="n">
        <f aca="false">K7633*Assumptions!$E$71/Assumptions!$E$69/4</f>
        <v>18475.8928571429</v>
      </c>
      <c r="L7638" s="54" t="n">
        <f aca="false">L7633*Assumptions!$E$71/Assumptions!$E$69/4</f>
        <v>18475.8928571429</v>
      </c>
      <c r="M7638" s="54" t="n">
        <f aca="false">M7633*Assumptions!$E$71/Assumptions!$E$69/4</f>
        <v>18475.8928571429</v>
      </c>
      <c r="N7638" s="54" t="n">
        <f aca="false">N7633*Assumptions!$E$71/Assumptions!$E$69/4</f>
        <v>18475.8928571429</v>
      </c>
      <c r="P7638" s="55" t="n">
        <f aca="false">SUM(C7638:F7638)</f>
        <v>73903.5714285714</v>
      </c>
      <c r="Q7638" s="55" t="n">
        <f aca="false">SUM(G7638:J7638)</f>
        <v>73903.5714285714</v>
      </c>
      <c r="R7638" s="55" t="n">
        <f aca="false">SUM(K7638:N7638)</f>
        <v>73903.5714285714</v>
      </c>
      <c r="S7638" s="56" t="n">
        <f aca="false">SUM(P7638:R7638)</f>
        <v>221710.714285714</v>
      </c>
    </row>
    <row r="7639" customFormat="false" ht="15" hidden="false" customHeight="false" outlineLevel="0" collapsed="false">
      <c r="A7639" s="4" t="s">
        <v>558</v>
      </c>
      <c r="B7639" s="36" t="s">
        <v>125</v>
      </c>
      <c r="C7639" s="54" t="n">
        <f aca="false">(Assumptions!$D$103+Assumptions!$E$77*((C7570=Assumptions!$E$13)+(C7570=Assumptions!$E$14)+(C7570=Assumptions!$E$15)))*C7571</f>
        <v>65000</v>
      </c>
      <c r="D7639" s="54" t="n">
        <f aca="false">(Assumptions!$D$103+Assumptions!$E$77*((D7570=Assumptions!$E$13)+(D7570=Assumptions!$E$14)+(D7570=Assumptions!$E$15)))*D7571</f>
        <v>25000</v>
      </c>
      <c r="E7639" s="54" t="n">
        <f aca="false">(Assumptions!$D$103+Assumptions!$E$77*((E7570=Assumptions!$E$13)+(E7570=Assumptions!$E$14)+(E7570=Assumptions!$E$15)))*E7571</f>
        <v>25000</v>
      </c>
      <c r="F7639" s="54" t="n">
        <f aca="false">(Assumptions!$D$103+Assumptions!$E$77*((F7570=Assumptions!$E$13)+(F7570=Assumptions!$E$14)+(F7570=Assumptions!$E$15)))*F7571</f>
        <v>25000</v>
      </c>
      <c r="G7639" s="54" t="n">
        <f aca="false">(Assumptions!$D$103+Assumptions!$E$77*((G7570=Assumptions!$E$13)+(G7570=Assumptions!$E$14)+(G7570=Assumptions!$E$15)))*G7571</f>
        <v>65000</v>
      </c>
      <c r="H7639" s="54" t="n">
        <f aca="false">(Assumptions!$D$103+Assumptions!$E$77*((H7570=Assumptions!$E$13)+(H7570=Assumptions!$E$14)+(H7570=Assumptions!$E$15)))*H7571</f>
        <v>25000</v>
      </c>
      <c r="I7639" s="54" t="n">
        <f aca="false">(Assumptions!$D$103+Assumptions!$E$77*((I7570=Assumptions!$E$13)+(I7570=Assumptions!$E$14)+(I7570=Assumptions!$E$15)))*I7571</f>
        <v>65000</v>
      </c>
      <c r="J7639" s="54" t="n">
        <f aca="false">(Assumptions!$D$103+Assumptions!$E$77*((J7570=Assumptions!$E$13)+(J7570=Assumptions!$E$14)+(J7570=Assumptions!$E$15)))*J7571</f>
        <v>25000</v>
      </c>
      <c r="K7639" s="54" t="n">
        <f aca="false">(Assumptions!$D$103+Assumptions!$E$77*((K7570=Assumptions!$E$13)+(K7570=Assumptions!$E$14)+(K7570=Assumptions!$E$15)))*K7571</f>
        <v>25000</v>
      </c>
      <c r="L7639" s="54" t="n">
        <f aca="false">(Assumptions!$D$103+Assumptions!$E$77*((L7570=Assumptions!$E$13)+(L7570=Assumptions!$E$14)+(L7570=Assumptions!$E$15)))*L7571</f>
        <v>25000</v>
      </c>
      <c r="M7639" s="54" t="n">
        <f aca="false">(Assumptions!$D$103+Assumptions!$E$77*((M7570=Assumptions!$E$13)+(M7570=Assumptions!$E$14)+(M7570=Assumptions!$E$15)))*M7571</f>
        <v>25000</v>
      </c>
      <c r="N7639" s="54" t="n">
        <f aca="false">(Assumptions!$D$103+Assumptions!$E$77*((N7570=Assumptions!$E$13)+(N7570=Assumptions!$E$14)+(N7570=Assumptions!$E$15)))*N7571</f>
        <v>25000</v>
      </c>
      <c r="P7639" s="55" t="n">
        <f aca="false">SUM(C7639:F7639)</f>
        <v>140000</v>
      </c>
      <c r="Q7639" s="55" t="n">
        <f aca="false">SUM(G7639:J7639)</f>
        <v>180000</v>
      </c>
      <c r="R7639" s="55" t="n">
        <f aca="false">SUM(K7639:N7639)</f>
        <v>100000</v>
      </c>
      <c r="S7639" s="56" t="n">
        <f aca="false">SUM(P7639:R7639)</f>
        <v>420000</v>
      </c>
    </row>
    <row r="7640" customFormat="false" ht="15" hidden="false" customHeight="false" outlineLevel="0" collapsed="false">
      <c r="A7640" s="4" t="s">
        <v>559</v>
      </c>
      <c r="B7640" s="36" t="s">
        <v>125</v>
      </c>
      <c r="C7640" s="54" t="n">
        <f aca="false">C7625*C7605*Assumptions!$E$79</f>
        <v>0</v>
      </c>
      <c r="D7640" s="54" t="n">
        <f aca="false">D7625*D7605*Assumptions!$E$79</f>
        <v>815.338873355417</v>
      </c>
      <c r="E7640" s="54" t="n">
        <f aca="false">E7625*E7605*Assumptions!$E$79</f>
        <v>1576.95453714349</v>
      </c>
      <c r="F7640" s="54" t="n">
        <f aca="false">F7625*F7605*Assumptions!$E$79</f>
        <v>2363.78759030579</v>
      </c>
      <c r="G7640" s="54" t="n">
        <f aca="false">G7625*G7605*Assumptions!$E$79</f>
        <v>2961.23316349717</v>
      </c>
      <c r="H7640" s="54" t="n">
        <f aca="false">H7625*H7605*Assumptions!$E$79</f>
        <v>3401.8566535345</v>
      </c>
      <c r="I7640" s="54" t="n">
        <f aca="false">I7625*I7605*Assumptions!$E$79</f>
        <v>3951.44098442022</v>
      </c>
      <c r="J7640" s="54" t="n">
        <f aca="false">J7625*J7605*Assumptions!$E$79</f>
        <v>4240.17604272452</v>
      </c>
      <c r="K7640" s="54" t="n">
        <f aca="false">K7625*K7605*Assumptions!$E$79</f>
        <v>4805.46240923336</v>
      </c>
      <c r="L7640" s="54" t="n">
        <f aca="false">L7625*L7605*Assumptions!$E$79</f>
        <v>5627.63185752923</v>
      </c>
      <c r="M7640" s="54" t="n">
        <f aca="false">M7625*M7605*Assumptions!$E$79</f>
        <v>5687.10015383768</v>
      </c>
      <c r="N7640" s="54" t="n">
        <f aca="false">N7625*N7605*Assumptions!$E$79</f>
        <v>5685.06198652904</v>
      </c>
      <c r="P7640" s="55" t="n">
        <f aca="false">SUM(C7640:F7640)</f>
        <v>4756.0810008047</v>
      </c>
      <c r="Q7640" s="55" t="n">
        <f aca="false">SUM(G7640:J7640)</f>
        <v>14554.7068441764</v>
      </c>
      <c r="R7640" s="55" t="n">
        <f aca="false">SUM(K7640:N7640)</f>
        <v>21805.2564071293</v>
      </c>
      <c r="S7640" s="56" t="n">
        <f aca="false">SUM(P7640:R7640)</f>
        <v>41116.0442521104</v>
      </c>
    </row>
    <row r="7641" customFormat="false" ht="15" hidden="false" customHeight="false" outlineLevel="0" collapsed="false">
      <c r="A7641" s="4" t="s">
        <v>560</v>
      </c>
      <c r="B7641" s="36" t="s">
        <v>125</v>
      </c>
      <c r="C7641" s="54" t="n">
        <f aca="false">C7590*Assumptions!$E$80</f>
        <v>4000</v>
      </c>
      <c r="D7641" s="54" t="n">
        <f aca="false">D7590*Assumptions!$E$80</f>
        <v>6000</v>
      </c>
      <c r="E7641" s="54" t="n">
        <f aca="false">E7590*Assumptions!$E$80</f>
        <v>8000</v>
      </c>
      <c r="F7641" s="54" t="n">
        <f aca="false">F7590*Assumptions!$E$80</f>
        <v>10000</v>
      </c>
      <c r="G7641" s="54" t="n">
        <f aca="false">G7590*Assumptions!$E$80</f>
        <v>12000</v>
      </c>
      <c r="H7641" s="54" t="n">
        <f aca="false">H7590*Assumptions!$E$80</f>
        <v>14000</v>
      </c>
      <c r="I7641" s="54" t="n">
        <f aca="false">I7590*Assumptions!$E$80</f>
        <v>16000</v>
      </c>
      <c r="J7641" s="54" t="n">
        <f aca="false">J7590*Assumptions!$E$80</f>
        <v>18000</v>
      </c>
      <c r="K7641" s="54" t="n">
        <f aca="false">K7590*Assumptions!$E$80</f>
        <v>20000</v>
      </c>
      <c r="L7641" s="54" t="n">
        <f aca="false">L7590*Assumptions!$E$80</f>
        <v>20000</v>
      </c>
      <c r="M7641" s="54" t="n">
        <f aca="false">M7590*Assumptions!$E$80</f>
        <v>20000</v>
      </c>
      <c r="N7641" s="54" t="n">
        <f aca="false">N7590*Assumptions!$E$80</f>
        <v>20000</v>
      </c>
      <c r="P7641" s="55" t="n">
        <f aca="false">SUM(C7641:F7641)</f>
        <v>28000</v>
      </c>
      <c r="Q7641" s="55" t="n">
        <f aca="false">SUM(G7641:J7641)</f>
        <v>60000</v>
      </c>
      <c r="R7641" s="55" t="n">
        <f aca="false">SUM(K7641:N7641)</f>
        <v>80000</v>
      </c>
      <c r="S7641" s="56" t="n">
        <f aca="false">SUM(P7641:R7641)</f>
        <v>168000</v>
      </c>
    </row>
    <row r="7642" customFormat="false" ht="15" hidden="false" customHeight="false" outlineLevel="0" collapsed="false">
      <c r="A7642" s="4" t="s">
        <v>561</v>
      </c>
      <c r="B7642" s="36" t="s">
        <v>125</v>
      </c>
      <c r="C7642" s="54" t="n">
        <f aca="false">(C7613*$C$7562+C7614*$C$7563)*Assumptions!$E$81</f>
        <v>0</v>
      </c>
      <c r="D7642" s="54" t="n">
        <f aca="false">(D7613*$C$7562+D7614*$C$7563)*Assumptions!$E$81</f>
        <v>635.937968364564</v>
      </c>
      <c r="E7642" s="54" t="n">
        <f aca="false">(E7613*$C$7562+E7614*$C$7563)*Assumptions!$E$81</f>
        <v>1750.54055351793</v>
      </c>
      <c r="F7642" s="54" t="n">
        <f aca="false">(F7613*$C$7562+F7614*$C$7563)*Assumptions!$E$81</f>
        <v>2334.90810210795</v>
      </c>
      <c r="G7642" s="54" t="n">
        <f aca="false">(G7613*$C$7562+G7614*$C$7563)*Assumptions!$E$81</f>
        <v>2567.01977128764</v>
      </c>
      <c r="H7642" s="54" t="n">
        <f aca="false">(H7613*$C$7562+H7614*$C$7563)*Assumptions!$E$81</f>
        <v>3030.96924471942</v>
      </c>
      <c r="I7642" s="54" t="n">
        <f aca="false">(I7613*$C$7562+I7614*$C$7563)*Assumptions!$E$81</f>
        <v>3599.72954781419</v>
      </c>
      <c r="J7642" s="54" t="n">
        <f aca="false">(J7613*$C$7562+J7614*$C$7563)*Assumptions!$E$81</f>
        <v>4611.5696968051</v>
      </c>
      <c r="K7642" s="54" t="n">
        <f aca="false">(K7613*$C$7562+K7614*$C$7563)*Assumptions!$E$81</f>
        <v>5939.56455642065</v>
      </c>
      <c r="L7642" s="54" t="n">
        <f aca="false">(L7613*$C$7562+L7614*$C$7563)*Assumptions!$E$81</f>
        <v>6537.87185823684</v>
      </c>
      <c r="M7642" s="54" t="n">
        <f aca="false">(M7613*$C$7562+M7614*$C$7563)*Assumptions!$E$81</f>
        <v>6455.63010570383</v>
      </c>
      <c r="N7642" s="54" t="n">
        <f aca="false">(N7613*$C$7562+N7614*$C$7563)*Assumptions!$E$81</f>
        <v>6268.61318404599</v>
      </c>
      <c r="P7642" s="55" t="n">
        <f aca="false">SUM(C7642:F7642)</f>
        <v>4721.38662399044</v>
      </c>
      <c r="Q7642" s="55" t="n">
        <f aca="false">SUM(G7642:J7642)</f>
        <v>13809.2882606264</v>
      </c>
      <c r="R7642" s="55" t="n">
        <f aca="false">SUM(K7642:N7642)</f>
        <v>25201.6797044073</v>
      </c>
      <c r="S7642" s="56" t="n">
        <f aca="false">SUM(P7642:R7642)</f>
        <v>43732.3545890241</v>
      </c>
    </row>
    <row r="7643" customFormat="false" ht="15" hidden="false" customHeight="false" outlineLevel="0" collapsed="false">
      <c r="A7643" s="9" t="s">
        <v>562</v>
      </c>
      <c r="B7643" s="36" t="s">
        <v>125</v>
      </c>
      <c r="C7643" s="55" t="n">
        <f aca="false">C7635+C7636+C7637+C7638+C7639+C7640+C7641+C7642</f>
        <v>154229.464285714</v>
      </c>
      <c r="D7643" s="55" t="n">
        <f aca="false">D7635+D7636+D7637+D7638+D7639+D7640+D7641+D7642</f>
        <v>121172.463189242</v>
      </c>
      <c r="E7643" s="55" t="n">
        <f aca="false">E7635+E7636+E7637+E7638+E7639+E7640+E7641+E7642</f>
        <v>129596.055895122</v>
      </c>
      <c r="F7643" s="55" t="n">
        <f aca="false">F7635+F7636+F7637+F7638+F7639+F7640+F7641+F7642</f>
        <v>135052.909981589</v>
      </c>
      <c r="G7643" s="55" t="n">
        <f aca="false">G7635+G7636+G7637+G7638+G7639+G7640+G7641+G7642</f>
        <v>212254.95919925</v>
      </c>
      <c r="H7643" s="55" t="n">
        <f aca="false">H7635+H7636+H7637+H7638+H7639+H7640+H7641+H7642</f>
        <v>177502.111632148</v>
      </c>
      <c r="I7643" s="55" t="n">
        <f aca="false">I7635+I7636+I7637+I7638+I7639+I7640+I7641+I7642</f>
        <v>223229.636966557</v>
      </c>
      <c r="J7643" s="55" t="n">
        <f aca="false">J7635+J7636+J7637+J7638+J7639+J7640+J7641+J7642</f>
        <v>192017.891511833</v>
      </c>
      <c r="K7643" s="55" t="n">
        <f aca="false">K7635+K7636+K7637+K7638+K7639+K7640+K7641+K7642</f>
        <v>202159.886433897</v>
      </c>
      <c r="L7643" s="55" t="n">
        <f aca="false">L7635+L7636+L7637+L7638+L7639+L7640+L7641+L7642</f>
        <v>205507.337468812</v>
      </c>
      <c r="M7643" s="55" t="n">
        <f aca="false">M7635+M7636+M7637+M7638+M7639+M7640+M7641+M7642</f>
        <v>204950.361793636</v>
      </c>
      <c r="N7643" s="55" t="n">
        <f aca="false">N7635+N7636+N7637+N7638+N7639+N7640+N7641+N7642</f>
        <v>203920.595824442</v>
      </c>
      <c r="P7643" s="55" t="n">
        <f aca="false">SUM(C7643:F7643)</f>
        <v>540050.893351667</v>
      </c>
      <c r="Q7643" s="55" t="n">
        <f aca="false">SUM(G7643:J7643)</f>
        <v>805004.599309788</v>
      </c>
      <c r="R7643" s="55" t="n">
        <f aca="false">SUM(K7643:N7643)</f>
        <v>816538.181520787</v>
      </c>
      <c r="S7643" s="56" t="n">
        <f aca="false">SUM(P7643:R7643)</f>
        <v>2161593.67418224</v>
      </c>
    </row>
    <row r="7644" customFormat="false" ht="15" hidden="false" customHeight="false" outlineLevel="0" collapsed="false">
      <c r="A7644" s="4" t="s">
        <v>563</v>
      </c>
      <c r="B7644" s="36" t="s">
        <v>125</v>
      </c>
      <c r="C7644" s="54" t="n">
        <f aca="false">C7632*Assumptions!$E$72/Assumptions!$E$69/4</f>
        <v>56535.7142857143</v>
      </c>
      <c r="D7644" s="54" t="n">
        <f aca="false">D7632*Assumptions!$E$72/Assumptions!$E$69/4</f>
        <v>56535.7142857143</v>
      </c>
      <c r="E7644" s="54" t="n">
        <f aca="false">E7632*Assumptions!$E$72/Assumptions!$E$69/4</f>
        <v>56535.7142857143</v>
      </c>
      <c r="F7644" s="54" t="n">
        <f aca="false">F7632*Assumptions!$E$72/Assumptions!$E$69/4</f>
        <v>56535.7142857143</v>
      </c>
      <c r="G7644" s="54" t="n">
        <f aca="false">G7632*Assumptions!$E$72/Assumptions!$E$69/4</f>
        <v>28267.8571428571</v>
      </c>
      <c r="H7644" s="54" t="n">
        <f aca="false">H7632*Assumptions!$E$72/Assumptions!$E$69/4</f>
        <v>28267.8571428571</v>
      </c>
      <c r="I7644" s="54" t="n">
        <f aca="false">I7632*Assumptions!$E$72/Assumptions!$E$69/4</f>
        <v>28267.8571428571</v>
      </c>
      <c r="J7644" s="54" t="n">
        <f aca="false">J7632*Assumptions!$E$72/Assumptions!$E$69/4</f>
        <v>28267.8571428571</v>
      </c>
      <c r="K7644" s="54" t="n">
        <f aca="false">K7632*Assumptions!$E$72/Assumptions!$E$69/4</f>
        <v>28267.8571428571</v>
      </c>
      <c r="L7644" s="54" t="n">
        <f aca="false">L7632*Assumptions!$E$72/Assumptions!$E$69/4</f>
        <v>28267.8571428571</v>
      </c>
      <c r="M7644" s="54" t="n">
        <f aca="false">M7632*Assumptions!$E$72/Assumptions!$E$69/4</f>
        <v>28267.8571428571</v>
      </c>
      <c r="N7644" s="54" t="n">
        <f aca="false">N7632*Assumptions!$E$72/Assumptions!$E$69/4</f>
        <v>28267.8571428571</v>
      </c>
      <c r="P7644" s="55" t="n">
        <f aca="false">SUM(C7644:F7644)</f>
        <v>226142.857142857</v>
      </c>
      <c r="Q7644" s="55" t="n">
        <f aca="false">SUM(G7644:J7644)</f>
        <v>113071.428571429</v>
      </c>
      <c r="R7644" s="55" t="n">
        <f aca="false">SUM(K7644:N7644)</f>
        <v>113071.428571429</v>
      </c>
      <c r="S7644" s="56" t="n">
        <f aca="false">SUM(P7644:R7644)</f>
        <v>452285.714285714</v>
      </c>
    </row>
    <row r="7645" customFormat="false" ht="15" hidden="false" customHeight="false" outlineLevel="0" collapsed="false">
      <c r="A7645" s="4" t="s">
        <v>564</v>
      </c>
      <c r="B7645" s="36" t="s">
        <v>125</v>
      </c>
      <c r="C7645" s="54" t="n">
        <f aca="false">IF(C7570&lt;=Assumptions!$E$83,Assumptions!$E$82*Assumptions!$D$108/Assumptions!$E$83,0)</f>
        <v>62500</v>
      </c>
      <c r="D7645" s="54" t="n">
        <f aca="false">IF(D7570&lt;=Assumptions!$E$83,Assumptions!$E$82*Assumptions!$D$108/Assumptions!$E$83,0)</f>
        <v>62500</v>
      </c>
      <c r="E7645" s="54" t="n">
        <f aca="false">IF(E7570&lt;=Assumptions!$E$83,Assumptions!$E$82*Assumptions!$D$108/Assumptions!$E$83,0)</f>
        <v>62500</v>
      </c>
      <c r="F7645" s="54" t="n">
        <f aca="false">IF(F7570&lt;=Assumptions!$E$83,Assumptions!$E$82*Assumptions!$D$108/Assumptions!$E$83,0)</f>
        <v>62500</v>
      </c>
      <c r="G7645" s="54" t="n">
        <f aca="false">IF(G7570&lt;=Assumptions!$E$83,Assumptions!$E$82*Assumptions!$D$108/Assumptions!$E$83,0)</f>
        <v>0</v>
      </c>
      <c r="H7645" s="54" t="n">
        <f aca="false">IF(H7570&lt;=Assumptions!$E$83,Assumptions!$E$82*Assumptions!$D$108/Assumptions!$E$83,0)</f>
        <v>0</v>
      </c>
      <c r="I7645" s="54" t="n">
        <f aca="false">IF(I7570&lt;=Assumptions!$E$83,Assumptions!$E$82*Assumptions!$D$108/Assumptions!$E$83,0)</f>
        <v>0</v>
      </c>
      <c r="J7645" s="54" t="n">
        <f aca="false">IF(J7570&lt;=Assumptions!$E$83,Assumptions!$E$82*Assumptions!$D$108/Assumptions!$E$83,0)</f>
        <v>0</v>
      </c>
      <c r="K7645" s="54" t="n">
        <f aca="false">IF(K7570&lt;=Assumptions!$E$83,Assumptions!$E$82*Assumptions!$D$108/Assumptions!$E$83,0)</f>
        <v>0</v>
      </c>
      <c r="L7645" s="54" t="n">
        <f aca="false">IF(L7570&lt;=Assumptions!$E$83,Assumptions!$E$82*Assumptions!$D$108/Assumptions!$E$83,0)</f>
        <v>0</v>
      </c>
      <c r="M7645" s="54" t="n">
        <f aca="false">IF(M7570&lt;=Assumptions!$E$83,Assumptions!$E$82*Assumptions!$D$108/Assumptions!$E$83,0)</f>
        <v>0</v>
      </c>
      <c r="N7645" s="54" t="n">
        <f aca="false">IF(N7570&lt;=Assumptions!$E$83,Assumptions!$E$82*Assumptions!$D$108/Assumptions!$E$83,0)</f>
        <v>0</v>
      </c>
      <c r="P7645" s="55" t="n">
        <f aca="false">SUM(C7645:F7645)</f>
        <v>250000</v>
      </c>
      <c r="Q7645" s="55" t="n">
        <f aca="false">SUM(G7645:J7645)</f>
        <v>0</v>
      </c>
      <c r="R7645" s="55" t="n">
        <f aca="false">SUM(K7645:N7645)</f>
        <v>0</v>
      </c>
      <c r="S7645" s="56" t="n">
        <f aca="false">SUM(P7645:R7645)</f>
        <v>250000</v>
      </c>
    </row>
    <row r="7646" customFormat="false" ht="15" hidden="false" customHeight="false" outlineLevel="0" collapsed="false">
      <c r="A7646" s="4" t="s">
        <v>565</v>
      </c>
      <c r="B7646" s="36" t="s">
        <v>125</v>
      </c>
      <c r="C7646" s="54" t="n">
        <f aca="false">C7634*Assumptions!$E$73/Assumptions!$E$69/4</f>
        <v>0</v>
      </c>
      <c r="D7646" s="54" t="n">
        <f aca="false">D7634*Assumptions!$E$73/Assumptions!$E$69/4</f>
        <v>575.3130595573</v>
      </c>
      <c r="E7646" s="54" t="n">
        <f aca="false">E7634*Assumptions!$E$73/Assumptions!$E$69/4</f>
        <v>1617.32906717661</v>
      </c>
      <c r="F7646" s="54" t="n">
        <f aca="false">F7634*Assumptions!$E$73/Assumptions!$E$69/4</f>
        <v>2784.46806400723</v>
      </c>
      <c r="G7646" s="54" t="n">
        <f aca="false">G7634*Assumptions!$E$73/Assumptions!$E$69/4</f>
        <v>4037.30390559473</v>
      </c>
      <c r="H7646" s="54" t="n">
        <f aca="false">H7634*Assumptions!$E$73/Assumptions!$E$69/4</f>
        <v>5588.71900339185</v>
      </c>
      <c r="I7646" s="54" t="n">
        <f aca="false">I7634*Assumptions!$E$73/Assumptions!$E$69/4</f>
        <v>7423.89520049251</v>
      </c>
      <c r="J7646" s="54" t="n">
        <f aca="false">J7634*Assumptions!$E$73/Assumptions!$E$69/4</f>
        <v>9984.21295072483</v>
      </c>
      <c r="K7646" s="54" t="n">
        <f aca="false">K7634*Assumptions!$E$73/Assumptions!$E$69/4</f>
        <v>13228.7197241336</v>
      </c>
      <c r="L7646" s="54" t="n">
        <f aca="false">L7634*Assumptions!$E$73/Assumptions!$E$69/4</f>
        <v>16471.1613499398</v>
      </c>
      <c r="M7646" s="54" t="n">
        <f aca="false">M7634*Assumptions!$E$73/Assumptions!$E$69/4</f>
        <v>19532.3193424529</v>
      </c>
      <c r="N7646" s="54" t="n">
        <f aca="false">N7634*Assumptions!$E$73/Assumptions!$E$69/4</f>
        <v>22411.7337529877</v>
      </c>
      <c r="P7646" s="55" t="n">
        <f aca="false">SUM(C7646:F7646)</f>
        <v>4977.11019074114</v>
      </c>
      <c r="Q7646" s="55" t="n">
        <f aca="false">SUM(G7646:J7646)</f>
        <v>27034.1310602039</v>
      </c>
      <c r="R7646" s="55" t="n">
        <f aca="false">SUM(K7646:N7646)</f>
        <v>71643.934169514</v>
      </c>
      <c r="S7646" s="56" t="n">
        <f aca="false">SUM(P7646:R7646)</f>
        <v>103655.175420459</v>
      </c>
    </row>
    <row r="7647" customFormat="false" ht="15" hidden="false" customHeight="false" outlineLevel="0" collapsed="false">
      <c r="A7647" s="9" t="s">
        <v>566</v>
      </c>
      <c r="B7647" s="36" t="s">
        <v>125</v>
      </c>
      <c r="C7647" s="55" t="n">
        <f aca="false">C7643+C7644+C7645+C7646</f>
        <v>273265.178571429</v>
      </c>
      <c r="D7647" s="55" t="n">
        <f aca="false">D7643+D7644+D7645+D7646</f>
        <v>240783.490534514</v>
      </c>
      <c r="E7647" s="55" t="n">
        <f aca="false">E7643+E7644+E7645+E7646</f>
        <v>250249.099248013</v>
      </c>
      <c r="F7647" s="55" t="n">
        <f aca="false">F7643+F7644+F7645+F7646</f>
        <v>256873.092331311</v>
      </c>
      <c r="G7647" s="55" t="n">
        <f aca="false">G7643+G7644+G7645+G7646</f>
        <v>244560.120247702</v>
      </c>
      <c r="H7647" s="55" t="n">
        <f aca="false">H7643+H7644+H7645+H7646</f>
        <v>211358.687778397</v>
      </c>
      <c r="I7647" s="55" t="n">
        <f aca="false">I7643+I7644+I7645+I7646</f>
        <v>258921.389309906</v>
      </c>
      <c r="J7647" s="55" t="n">
        <f aca="false">J7643+J7644+J7645+J7646</f>
        <v>230269.961605415</v>
      </c>
      <c r="K7647" s="55" t="n">
        <f aca="false">K7643+K7644+K7645+K7646</f>
        <v>243656.463300888</v>
      </c>
      <c r="L7647" s="55" t="n">
        <f aca="false">L7643+L7644+L7645+L7646</f>
        <v>250246.355961609</v>
      </c>
      <c r="M7647" s="55" t="n">
        <f aca="false">M7643+M7644+M7645+M7646</f>
        <v>252750.538278946</v>
      </c>
      <c r="N7647" s="55" t="n">
        <f aca="false">N7643+N7644+N7645+N7646</f>
        <v>254600.186720287</v>
      </c>
      <c r="P7647" s="55" t="n">
        <f aca="false">SUM(C7647:F7647)</f>
        <v>1021170.86068527</v>
      </c>
      <c r="Q7647" s="55" t="n">
        <f aca="false">SUM(G7647:J7647)</f>
        <v>945110.158941421</v>
      </c>
      <c r="R7647" s="55" t="n">
        <f aca="false">SUM(K7647:N7647)</f>
        <v>1001253.54426173</v>
      </c>
      <c r="S7647" s="56" t="n">
        <f aca="false">SUM(P7647:R7647)</f>
        <v>2967534.56388842</v>
      </c>
    </row>
    <row r="7648" customFormat="false" ht="15" hidden="false" customHeight="false" outlineLevel="0" collapsed="false">
      <c r="A7648" s="35" t="s">
        <v>567</v>
      </c>
      <c r="B7648" s="35" t="s">
        <v>444</v>
      </c>
      <c r="C7648" s="6" t="s">
        <v>354</v>
      </c>
      <c r="D7648" s="6" t="s">
        <v>355</v>
      </c>
      <c r="E7648" s="6" t="s">
        <v>356</v>
      </c>
      <c r="F7648" s="6" t="s">
        <v>357</v>
      </c>
      <c r="G7648" s="6" t="s">
        <v>358</v>
      </c>
      <c r="H7648" s="6" t="s">
        <v>359</v>
      </c>
      <c r="I7648" s="6" t="s">
        <v>360</v>
      </c>
      <c r="J7648" s="6" t="s">
        <v>361</v>
      </c>
      <c r="K7648" s="6" t="s">
        <v>362</v>
      </c>
      <c r="L7648" s="6" t="s">
        <v>363</v>
      </c>
      <c r="M7648" s="6" t="s">
        <v>364</v>
      </c>
      <c r="N7648" s="6" t="s">
        <v>365</v>
      </c>
      <c r="P7648" s="6" t="s">
        <v>445</v>
      </c>
      <c r="Q7648" s="6" t="s">
        <v>446</v>
      </c>
      <c r="R7648" s="6" t="s">
        <v>447</v>
      </c>
      <c r="S7648" s="6" t="s">
        <v>448</v>
      </c>
    </row>
    <row r="7649" customFormat="false" ht="15" hidden="false" customHeight="false" outlineLevel="0" collapsed="false">
      <c r="A7649" s="9" t="s">
        <v>568</v>
      </c>
      <c r="B7649" s="36" t="s">
        <v>125</v>
      </c>
      <c r="C7649" s="55" t="n">
        <f aca="false">C7627-C7647</f>
        <v>-273265.178571429</v>
      </c>
      <c r="D7649" s="55" t="n">
        <f aca="false">D7627-D7647</f>
        <v>-240062.280337795</v>
      </c>
      <c r="E7649" s="55" t="n">
        <f aca="false">E7627-E7647</f>
        <v>-247207.646379802</v>
      </c>
      <c r="F7649" s="55" t="n">
        <f aca="false">F7627-F7647</f>
        <v>-250228.802278658</v>
      </c>
      <c r="G7649" s="55" t="n">
        <f aca="false">G7627-G7647</f>
        <v>-233682.323682823</v>
      </c>
      <c r="H7649" s="55" t="n">
        <f aca="false">H7627-H7647</f>
        <v>-195510.166063918</v>
      </c>
      <c r="I7649" s="55" t="n">
        <f aca="false">I7627-I7647</f>
        <v>-237031.394824393</v>
      </c>
      <c r="J7649" s="55" t="n">
        <f aca="false">J7627-J7647</f>
        <v>-200597.728717241</v>
      </c>
      <c r="K7649" s="55" t="n">
        <f aca="false">K7627-K7647</f>
        <v>-203711.192707385</v>
      </c>
      <c r="L7649" s="55" t="n">
        <f aca="false">L7627-L7647</f>
        <v>-198295.888226011</v>
      </c>
      <c r="M7649" s="55" t="n">
        <f aca="false">M7627-M7647</f>
        <v>-188390.340352126</v>
      </c>
      <c r="N7649" s="55" t="n">
        <f aca="false">N7627-N7647</f>
        <v>-177916.162821988</v>
      </c>
      <c r="P7649" s="55" t="n">
        <f aca="false">SUM(C7649:F7649)</f>
        <v>-1010763.90756768</v>
      </c>
      <c r="Q7649" s="55" t="n">
        <f aca="false">SUM(G7649:J7649)</f>
        <v>-866821.613288375</v>
      </c>
      <c r="R7649" s="55" t="n">
        <f aca="false">SUM(K7649:N7649)</f>
        <v>-768313.58410751</v>
      </c>
      <c r="S7649" s="56" t="n">
        <f aca="false">SUM(P7649:R7649)</f>
        <v>-2645899.10496357</v>
      </c>
    </row>
    <row r="7650" customFormat="false" ht="15" hidden="false" customHeight="false" outlineLevel="0" collapsed="false">
      <c r="A7650" s="9" t="s">
        <v>569</v>
      </c>
      <c r="B7650" s="36" t="s">
        <v>125</v>
      </c>
      <c r="C7650" s="55" t="n">
        <f aca="false">0+C7649</f>
        <v>-273265.178571429</v>
      </c>
      <c r="D7650" s="55" t="n">
        <f aca="false">C7650+D7649</f>
        <v>-513327.458909223</v>
      </c>
      <c r="E7650" s="55" t="n">
        <f aca="false">D7650+E7649</f>
        <v>-760535.105289025</v>
      </c>
      <c r="F7650" s="55" t="n">
        <f aca="false">E7650+F7649</f>
        <v>-1010763.90756768</v>
      </c>
      <c r="G7650" s="55" t="n">
        <f aca="false">F7650+G7649</f>
        <v>-1244446.23125051</v>
      </c>
      <c r="H7650" s="55" t="n">
        <f aca="false">G7650+H7649</f>
        <v>-1439956.39731442</v>
      </c>
      <c r="I7650" s="55" t="n">
        <f aca="false">H7650+I7649</f>
        <v>-1676987.79213882</v>
      </c>
      <c r="J7650" s="55" t="n">
        <f aca="false">I7650+J7649</f>
        <v>-1877585.52085606</v>
      </c>
      <c r="K7650" s="55" t="n">
        <f aca="false">J7650+K7649</f>
        <v>-2081296.71356344</v>
      </c>
      <c r="L7650" s="55" t="n">
        <f aca="false">K7650+L7649</f>
        <v>-2279592.60178945</v>
      </c>
      <c r="M7650" s="55" t="n">
        <f aca="false">L7650+M7649</f>
        <v>-2467982.94214158</v>
      </c>
      <c r="N7650" s="55" t="n">
        <f aca="false">M7650+N7649</f>
        <v>-2645899.10496357</v>
      </c>
      <c r="P7650" s="55" t="n">
        <f aca="false">F7650</f>
        <v>-1010763.90756768</v>
      </c>
      <c r="Q7650" s="55" t="n">
        <f aca="false">J7650</f>
        <v>-1877585.52085606</v>
      </c>
      <c r="R7650" s="55" t="n">
        <f aca="false">N7650</f>
        <v>-2645899.10496357</v>
      </c>
      <c r="S7650" s="56" t="n">
        <f aca="false">R7650</f>
        <v>-2645899.10496357</v>
      </c>
    </row>
    <row r="7651" customFormat="false" ht="15" hidden="false" customHeight="false" outlineLevel="0" collapsed="false">
      <c r="A7651" s="4" t="s">
        <v>570</v>
      </c>
      <c r="B7651" s="36" t="s">
        <v>107</v>
      </c>
      <c r="C7651" s="57" t="n">
        <f aca="false">1/(1+Assumptions!$E$87)^(C7570/4)</f>
        <v>0.972065420906982</v>
      </c>
      <c r="D7651" s="57" t="n">
        <f aca="false">1/(1+Assumptions!$E$87)^(D7570/4)</f>
        <v>0.944911182523068</v>
      </c>
      <c r="E7651" s="57" t="n">
        <f aca="false">1/(1+Assumptions!$E$87)^(E7570/4)</f>
        <v>0.918515486359</v>
      </c>
      <c r="F7651" s="57" t="n">
        <f aca="false">1/(1+Assumptions!$E$87)^(F7570/4)</f>
        <v>0.892857142857143</v>
      </c>
      <c r="G7651" s="57" t="n">
        <f aca="false">1/(1+Assumptions!$E$87)^(G7570/4)</f>
        <v>0.867915554381234</v>
      </c>
      <c r="H7651" s="57" t="n">
        <f aca="false">1/(1+Assumptions!$E$87)^(H7570/4)</f>
        <v>0.843670698681311</v>
      </c>
      <c r="I7651" s="57" t="n">
        <f aca="false">1/(1+Assumptions!$E$87)^(I7570/4)</f>
        <v>0.820103112820536</v>
      </c>
      <c r="J7651" s="57" t="n">
        <f aca="false">1/(1+Assumptions!$E$87)^(J7570/4)</f>
        <v>0.79719387755102</v>
      </c>
      <c r="K7651" s="57" t="n">
        <f aca="false">1/(1+Assumptions!$E$87)^(K7570/4)</f>
        <v>0.774924602126102</v>
      </c>
      <c r="L7651" s="57" t="n">
        <f aca="false">1/(1+Assumptions!$E$87)^(L7570/4)</f>
        <v>0.753277409536885</v>
      </c>
      <c r="M7651" s="57" t="n">
        <f aca="false">1/(1+Assumptions!$E$87)^(M7570/4)</f>
        <v>0.732234922161193</v>
      </c>
      <c r="N7651" s="57" t="n">
        <f aca="false">1/(1+Assumptions!$E$87)^(N7570/4)</f>
        <v>0.711780247813411</v>
      </c>
      <c r="P7651" s="58"/>
      <c r="Q7651" s="58"/>
      <c r="R7651" s="58"/>
      <c r="S7651" s="59"/>
    </row>
    <row r="7652" customFormat="false" ht="15" hidden="false" customHeight="false" outlineLevel="0" collapsed="false">
      <c r="A7652" s="4" t="s">
        <v>571</v>
      </c>
      <c r="B7652" s="36" t="s">
        <v>125</v>
      </c>
      <c r="C7652" s="54" t="n">
        <f aca="false">(C7627*(1-Assumptions!$D$88)-C7647)*C7651</f>
        <v>-265631.630827257</v>
      </c>
      <c r="D7652" s="54" t="n">
        <f aca="false">(D7627*(1-Assumptions!$D$88)-D7647)*D7651</f>
        <v>-227041.977067119</v>
      </c>
      <c r="E7652" s="54" t="n">
        <f aca="false">(E7627*(1-Assumptions!$D$88)-E7647)*E7651</f>
        <v>-227902.138014352</v>
      </c>
      <c r="F7652" s="54" t="n">
        <f aca="false">(F7627*(1-Assumptions!$D$88)-F7647)*F7651</f>
        <v>-225198.294012905</v>
      </c>
      <c r="G7652" s="54" t="n">
        <f aca="false">(G7627*(1-Assumptions!$D$88)-G7647)*G7651</f>
        <v>-205648.826159088</v>
      </c>
      <c r="H7652" s="54" t="n">
        <f aca="false">(H7627*(1-Assumptions!$D$88)-H7647)*H7651</f>
        <v>-168957.478418821</v>
      </c>
      <c r="I7652" s="54" t="n">
        <f aca="false">(I7627*(1-Assumptions!$D$88)-I7647)*I7651</f>
        <v>-199775.800516836</v>
      </c>
      <c r="J7652" s="54" t="n">
        <f aca="false">(J7627*(1-Assumptions!$D$88)-J7647)*J7651</f>
        <v>-167011.637901541</v>
      </c>
      <c r="K7652" s="54" t="n">
        <f aca="false">(K7627*(1-Assumptions!$D$88)-K7647)*K7651</f>
        <v>-167147.186833851</v>
      </c>
      <c r="L7652" s="54" t="n">
        <f aca="false">(L7627*(1-Assumptions!$D$88)-L7647)*L7651</f>
        <v>-161111.747132735</v>
      </c>
      <c r="M7652" s="54" t="n">
        <f aca="false">(M7627*(1-Assumptions!$D$88)-M7647)*M7651</f>
        <v>-152084.021559427</v>
      </c>
      <c r="N7652" s="54" t="n">
        <f aca="false">(N7627*(1-Assumptions!$D$88)-N7647)*N7651</f>
        <v>-143011.862523544</v>
      </c>
      <c r="P7652" s="55" t="n">
        <f aca="false">SUM(C7652:F7652)</f>
        <v>-945774.039921633</v>
      </c>
      <c r="Q7652" s="55" t="n">
        <f aca="false">SUM(G7652:J7652)</f>
        <v>-741393.742996286</v>
      </c>
      <c r="R7652" s="55" t="n">
        <f aca="false">SUM(K7652:N7652)</f>
        <v>-623354.818049557</v>
      </c>
      <c r="S7652" s="56" t="n">
        <f aca="false">SUM(P7652:R7652)</f>
        <v>-2310522.60096748</v>
      </c>
    </row>
    <row r="7653" customFormat="false" ht="15" hidden="false" customHeight="false" outlineLevel="0" collapsed="false">
      <c r="A7653" s="4" t="s">
        <v>572</v>
      </c>
      <c r="B7653" s="36" t="s">
        <v>125</v>
      </c>
      <c r="C7653" s="54" t="n">
        <f aca="false">(C7647-C7646)*12/(Assumptions!$E$89*Assumptions!$E$76)*Assumptions!$E$90</f>
        <v>189183.585164835</v>
      </c>
      <c r="D7653" s="54" t="n">
        <f aca="false">(D7647-D7646)*12/(Assumptions!$E$89*Assumptions!$E$76)*Assumptions!$E$90</f>
        <v>166297.969021124</v>
      </c>
      <c r="E7653" s="54" t="n">
        <f aca="false">(E7647-E7646)*12/(Assumptions!$E$89*Assumptions!$E$76)*Assumptions!$E$90</f>
        <v>172129.687048271</v>
      </c>
      <c r="F7653" s="54" t="n">
        <f aca="false">(F7647-F7646)*12/(Assumptions!$E$89*Assumptions!$E$76)*Assumptions!$E$90</f>
        <v>175907.509108133</v>
      </c>
      <c r="G7653" s="54" t="n">
        <f aca="false">(G7647-G7646)*12/(Assumptions!$E$89*Assumptions!$E$76)*Assumptions!$E$90</f>
        <v>166515.795929151</v>
      </c>
      <c r="H7653" s="54" t="n">
        <f aca="false">(H7647-H7646)*12/(Assumptions!$E$89*Assumptions!$E$76)*Assumptions!$E$90</f>
        <v>142456.13222885</v>
      </c>
      <c r="I7653" s="54" t="n">
        <f aca="false">(I7647-I7646)*12/(Assumptions!$E$89*Assumptions!$E$76)*Assumptions!$E$90</f>
        <v>174113.649768056</v>
      </c>
      <c r="J7653" s="54" t="n">
        <f aca="false">(J7647-J7646)*12/(Assumptions!$E$89*Assumptions!$E$76)*Assumptions!$E$90</f>
        <v>152505.518299401</v>
      </c>
      <c r="K7653" s="54" t="n">
        <f aca="false">(K7647-K7646)*12/(Assumptions!$E$89*Assumptions!$E$76)*Assumptions!$E$90</f>
        <v>159526.899399291</v>
      </c>
      <c r="L7653" s="54" t="n">
        <f aca="false">(L7647-L7646)*12/(Assumptions!$E$89*Assumptions!$E$76)*Assumptions!$E$90</f>
        <v>161844.365500386</v>
      </c>
      <c r="M7653" s="54" t="n">
        <f aca="false">(M7647-M7646)*12/(Assumptions!$E$89*Assumptions!$E$76)*Assumptions!$E$90</f>
        <v>161458.766956034</v>
      </c>
      <c r="N7653" s="54" t="n">
        <f aca="false">(N7647-N7646)*12/(Assumptions!$E$89*Assumptions!$E$76)*Assumptions!$E$90</f>
        <v>160745.852054284</v>
      </c>
      <c r="P7653" s="55" t="n">
        <f aca="false">SUM(C7653:F7653)</f>
        <v>703518.750342363</v>
      </c>
      <c r="Q7653" s="55" t="n">
        <f aca="false">SUM(G7653:J7653)</f>
        <v>635591.096225458</v>
      </c>
      <c r="R7653" s="55" t="n">
        <f aca="false">SUM(K7653:N7653)</f>
        <v>643575.883909995</v>
      </c>
      <c r="S7653" s="56" t="n">
        <f aca="false">SUM(P7653:R7653)</f>
        <v>1982685.73047782</v>
      </c>
    </row>
    <row r="7654" customFormat="false" ht="15" hidden="false" customHeight="false" outlineLevel="0" collapsed="false">
      <c r="A7654" s="4" t="s">
        <v>573</v>
      </c>
      <c r="B7654" s="36" t="s">
        <v>125</v>
      </c>
      <c r="C7654" s="54" t="n">
        <f aca="false">0*Assumptions!$E$92^(1/4)+C7653</f>
        <v>189183.585164835</v>
      </c>
      <c r="D7654" s="54" t="n">
        <f aca="false">C7654*Assumptions!$E$92^(1/4)+D7653</f>
        <v>355952.749828138</v>
      </c>
      <c r="E7654" s="54" t="n">
        <f aca="false">D7654*Assumptions!$E$92^(1/4)+E7653</f>
        <v>528969.001027282</v>
      </c>
      <c r="F7654" s="54" t="n">
        <f aca="false">E7654*Assumptions!$E$92^(1/4)+F7653</f>
        <v>706194.00228419</v>
      </c>
      <c r="G7654" s="54" t="n">
        <f aca="false">F7654*Assumptions!$E$92^(1/4)+G7653</f>
        <v>874468.701006729</v>
      </c>
      <c r="H7654" s="54" t="n">
        <f aca="false">G7654*Assumptions!$E$92^(1/4)+H7653</f>
        <v>1019102.8543402</v>
      </c>
      <c r="I7654" s="54" t="n">
        <f aca="false">H7654*Assumptions!$E$92^(1/4)+I7653</f>
        <v>1195754.76250672</v>
      </c>
      <c r="J7654" s="54" t="n">
        <f aca="false">I7654*Assumptions!$E$92^(1/4)+J7653</f>
        <v>1351238.5224581</v>
      </c>
      <c r="K7654" s="54" t="n">
        <f aca="false">J7654*Assumptions!$E$92^(1/4)+K7653</f>
        <v>1514130.92369399</v>
      </c>
      <c r="L7654" s="54" t="n">
        <f aca="false">K7654*Assumptions!$E$92^(1/4)+L7653</f>
        <v>1679746.5037652</v>
      </c>
      <c r="M7654" s="54" t="n">
        <f aca="false">L7654*Assumptions!$E$92^(1/4)+M7653</f>
        <v>1845388.98059146</v>
      </c>
      <c r="N7654" s="54" t="n">
        <f aca="false">M7654*Assumptions!$E$92^(1/4)+N7653</f>
        <v>2010731.10480658</v>
      </c>
      <c r="P7654" s="55" t="n">
        <f aca="false">F7654</f>
        <v>706194.00228419</v>
      </c>
      <c r="Q7654" s="55" t="n">
        <f aca="false">J7654</f>
        <v>1351238.5224581</v>
      </c>
      <c r="R7654" s="55" t="n">
        <f aca="false">N7654</f>
        <v>2010731.10480658</v>
      </c>
      <c r="S7654" s="56" t="n">
        <f aca="false">R7654</f>
        <v>2010731.10480658</v>
      </c>
    </row>
    <row r="7655" customFormat="false" ht="15" hidden="false" customHeight="false" outlineLevel="0" collapsed="false">
      <c r="A7655" s="4" t="s">
        <v>574</v>
      </c>
      <c r="B7655" s="36" t="s">
        <v>125</v>
      </c>
      <c r="C7655" s="54" t="n">
        <f aca="false">(0+C7654)/8*Assumptions!$E$76-(C7647-C7646)-C7654*Assumptions!$E$93/4</f>
        <v>-260258.807091346</v>
      </c>
      <c r="D7655" s="54" t="n">
        <f aca="false">(C7654+D7654)/8*Assumptions!$E$76-(D7647-D7646)-D7654*Assumptions!$E$93/4</f>
        <v>-200365.259629629</v>
      </c>
      <c r="E7655" s="54" t="n">
        <f aca="false">(D7654+E7654)/8*Assumptions!$E$76-(E7647-E7646)-E7654*Assumptions!$E$93/4</f>
        <v>-183343.990436674</v>
      </c>
      <c r="F7655" s="54" t="n">
        <f aca="false">(E7654+F7654)/8*Assumptions!$E$76-(F7647-F7646)-F7654*Assumptions!$E$93/4</f>
        <v>-162559.055276799</v>
      </c>
      <c r="G7655" s="54" t="n">
        <f aca="false">(F7654+G7654)/8*Assumptions!$E$76-(G7647-G7646)-G7654*Assumptions!$E$93/4</f>
        <v>-123024.830462304</v>
      </c>
      <c r="H7655" s="54" t="n">
        <f aca="false">(G7654+H7654)/8*Assumptions!$E$76-(H7647-H7646)-H7654*Assumptions!$E$93/4</f>
        <v>-64656.0655823201</v>
      </c>
      <c r="I7655" s="54" t="n">
        <f aca="false">(H7654+I7654)/8*Assumptions!$E$76-(I7647-I7646)-I7654*Assumptions!$E$93/4</f>
        <v>-86487.2472719356</v>
      </c>
      <c r="J7655" s="54" t="n">
        <f aca="false">(I7654+J7654)/8*Assumptions!$E$76-(J7647-J7646)-J7654*Assumptions!$E$93/4</f>
        <v>-30233.0257820242</v>
      </c>
      <c r="K7655" s="54" t="n">
        <f aca="false">(J7654+K7654)/8*Assumptions!$E$76-(K7647-K7646)-K7654*Assumptions!$E$93/4</f>
        <v>-16543.1126230714</v>
      </c>
      <c r="L7655" s="54" t="n">
        <f aca="false">(K7654+L7654)/8*Assumptions!$E$76-(L7647-L7646)-L7654*Assumptions!$E$93/4</f>
        <v>4730.51507232551</v>
      </c>
      <c r="M7655" s="54" t="n">
        <f aca="false">(L7654+M7654)/8*Assumptions!$E$76-(M7647-M7646)-M7654*Assumptions!$E$93/4</f>
        <v>30131.676910092</v>
      </c>
      <c r="N7655" s="54" t="n">
        <f aca="false">(M7654+N7654)/8*Assumptions!$E$76-(N7647-N7646)-N7654*Assumptions!$E$93/4</f>
        <v>55987.1651612092</v>
      </c>
      <c r="P7655" s="55" t="n">
        <f aca="false">SUM(C7655:F7655)</f>
        <v>-806527.112434448</v>
      </c>
      <c r="Q7655" s="55" t="n">
        <f aca="false">SUM(G7655:J7655)</f>
        <v>-304401.169098584</v>
      </c>
      <c r="R7655" s="55" t="n">
        <f aca="false">SUM(K7655:N7655)</f>
        <v>74306.2445205553</v>
      </c>
      <c r="S7655" s="56" t="n">
        <f aca="false">SUM(P7655:R7655)</f>
        <v>-1036622.03701248</v>
      </c>
    </row>
    <row r="7656" customFormat="false" ht="15" hidden="false" customHeight="false" outlineLevel="0" collapsed="false">
      <c r="A7656" s="4" t="s">
        <v>575</v>
      </c>
      <c r="B7656" s="36" t="s">
        <v>125</v>
      </c>
      <c r="C7656" s="54" t="n">
        <f aca="false">C7655*C7651</f>
        <v>-252988.586859998</v>
      </c>
      <c r="D7656" s="54" t="n">
        <f aca="false">D7655*D7651</f>
        <v>-189327.374413174</v>
      </c>
      <c r="E7656" s="54" t="n">
        <f aca="false">E7655*E7651</f>
        <v>-168404.294546942</v>
      </c>
      <c r="F7656" s="54" t="n">
        <f aca="false">F7655*F7651</f>
        <v>-145142.013639999</v>
      </c>
      <c r="G7656" s="54" t="n">
        <f aca="false">G7655*G7651</f>
        <v>-106775.163933348</v>
      </c>
      <c r="H7656" s="54" t="n">
        <f aca="false">H7655*H7651</f>
        <v>-54548.4280238207</v>
      </c>
      <c r="I7656" s="54" t="n">
        <f aca="false">I7655*I7651</f>
        <v>-70928.4607069938</v>
      </c>
      <c r="J7656" s="54" t="n">
        <f aca="false">J7655*J7651</f>
        <v>-24101.5830532718</v>
      </c>
      <c r="K7656" s="54" t="n">
        <f aca="false">K7655*K7651</f>
        <v>-12819.6649673609</v>
      </c>
      <c r="L7656" s="54" t="n">
        <f aca="false">L7655*L7651</f>
        <v>3563.39013945655</v>
      </c>
      <c r="M7656" s="54" t="n">
        <f aca="false">M7655*M7651</f>
        <v>22063.4660968474</v>
      </c>
      <c r="N7656" s="54" t="n">
        <f aca="false">N7655*N7651</f>
        <v>39850.5582928159</v>
      </c>
      <c r="P7656" s="55" t="n">
        <f aca="false">SUM(C7656:F7656)</f>
        <v>-755862.269460113</v>
      </c>
      <c r="Q7656" s="55" t="n">
        <f aca="false">SUM(G7656:J7656)</f>
        <v>-256353.635717434</v>
      </c>
      <c r="R7656" s="55" t="n">
        <f aca="false">SUM(K7656:N7656)</f>
        <v>52657.749561759</v>
      </c>
      <c r="S7656" s="56" t="n">
        <f aca="false">SUM(P7656:R7656)</f>
        <v>-959558.155615789</v>
      </c>
    </row>
    <row r="7657" customFormat="false" ht="15" hidden="false" customHeight="false" outlineLevel="0" collapsed="false">
      <c r="A7657" s="4" t="s">
        <v>576</v>
      </c>
      <c r="B7657" s="36"/>
      <c r="C7657" s="37" t="n">
        <f aca="false">IFERROR((S7612*$C$7561*Assumptions!$E$59+S7613*$C$7562*Assumptions!$E$60+S7614*$C$7563*Assumptions!$E$61)/(S7612*$C$7561+S7613*$C$7562+S7614*$C$7563),0.9)</f>
        <v>0.897372181179546</v>
      </c>
    </row>
    <row r="7658" customFormat="false" ht="15" hidden="false" customHeight="false" outlineLevel="0" collapsed="false">
      <c r="A7658" s="4" t="s">
        <v>577</v>
      </c>
      <c r="B7658" s="36"/>
      <c r="C7658" s="37" t="n">
        <f aca="false">IFERROR(N7646*4/N7624,0)</f>
        <v>0.175911884278844</v>
      </c>
    </row>
    <row r="7659" customFormat="false" ht="15" hidden="false" customHeight="false" outlineLevel="0" collapsed="false">
      <c r="A7659" s="4" t="s">
        <v>578</v>
      </c>
      <c r="B7659" s="36"/>
      <c r="C7659" s="60" t="n">
        <f aca="false">$C$7657/(1+Assumptions!$E$87)</f>
        <v>0.801225161767451</v>
      </c>
    </row>
    <row r="7660" customFormat="false" ht="15" hidden="false" customHeight="false" outlineLevel="0" collapsed="false">
      <c r="A7660" s="4" t="s">
        <v>579</v>
      </c>
      <c r="B7660" s="36"/>
      <c r="C7660" s="60" t="n">
        <f aca="false">Assumptions!$E$91/(1+Assumptions!$E$87)</f>
        <v>0.803571428571429</v>
      </c>
    </row>
    <row r="7661" customFormat="false" ht="15" hidden="false" customHeight="false" outlineLevel="0" collapsed="false">
      <c r="A7661" s="35" t="s">
        <v>580</v>
      </c>
      <c r="B7661" s="35" t="s">
        <v>444</v>
      </c>
      <c r="C7661" s="6" t="s">
        <v>354</v>
      </c>
      <c r="D7661" s="6" t="s">
        <v>355</v>
      </c>
      <c r="E7661" s="6" t="s">
        <v>356</v>
      </c>
      <c r="F7661" s="6" t="s">
        <v>357</v>
      </c>
      <c r="G7661" s="6" t="s">
        <v>358</v>
      </c>
      <c r="H7661" s="6" t="s">
        <v>359</v>
      </c>
      <c r="I7661" s="6" t="s">
        <v>360</v>
      </c>
      <c r="J7661" s="6" t="s">
        <v>361</v>
      </c>
      <c r="K7661" s="6" t="s">
        <v>362</v>
      </c>
      <c r="L7661" s="6" t="s">
        <v>363</v>
      </c>
      <c r="M7661" s="6" t="s">
        <v>364</v>
      </c>
      <c r="N7661" s="6" t="s">
        <v>365</v>
      </c>
      <c r="P7661" s="6" t="s">
        <v>445</v>
      </c>
      <c r="Q7661" s="6" t="s">
        <v>446</v>
      </c>
      <c r="R7661" s="6" t="s">
        <v>447</v>
      </c>
      <c r="S7661" s="6" t="s">
        <v>448</v>
      </c>
    </row>
    <row r="7662" customFormat="false" ht="15" hidden="false" customHeight="false" outlineLevel="0" collapsed="false">
      <c r="A7662" s="9" t="s">
        <v>581</v>
      </c>
      <c r="C7662" s="61" t="n">
        <f aca="false">N7624</f>
        <v>509612.726732255</v>
      </c>
      <c r="D7662" s="61"/>
    </row>
    <row r="7663" customFormat="false" ht="15" hidden="false" customHeight="false" outlineLevel="0" collapsed="false">
      <c r="A7663" s="9" t="s">
        <v>582</v>
      </c>
      <c r="C7663" s="62" t="n">
        <f aca="false">N7620</f>
        <v>49.5280990541991</v>
      </c>
      <c r="D7663" s="62"/>
    </row>
    <row r="7664" customFormat="false" ht="15" hidden="false" customHeight="false" outlineLevel="0" collapsed="false">
      <c r="A7664" s="9" t="s">
        <v>583</v>
      </c>
      <c r="C7664" s="63" t="n">
        <f aca="false">S7615</f>
        <v>54.7491194625937</v>
      </c>
      <c r="D7664" s="63"/>
    </row>
    <row r="7665" customFormat="false" ht="15" hidden="false" customHeight="false" outlineLevel="0" collapsed="false">
      <c r="A7665" s="9" t="s">
        <v>584</v>
      </c>
      <c r="C7665" s="61" t="n">
        <f aca="false">S7626</f>
        <v>494823.782961303</v>
      </c>
      <c r="D7665" s="61"/>
    </row>
    <row r="7666" customFormat="false" ht="15" hidden="false" customHeight="false" outlineLevel="0" collapsed="false">
      <c r="A7666" s="9" t="s">
        <v>22</v>
      </c>
      <c r="C7666" s="61" t="n">
        <f aca="false">IFERROR(S7625/S7615,0)</f>
        <v>8847.97350983958</v>
      </c>
      <c r="D7666" s="61"/>
    </row>
    <row r="7667" customFormat="false" ht="15" hidden="false" customHeight="false" outlineLevel="0" collapsed="false">
      <c r="A7667" s="9" t="s">
        <v>585</v>
      </c>
      <c r="C7667" s="61" t="n">
        <f aca="false">IFERROR(S7643/S7615,0)</f>
        <v>39481.7979795841</v>
      </c>
      <c r="D7667" s="61"/>
    </row>
    <row r="7668" customFormat="false" ht="23.85" hidden="false" customHeight="false" outlineLevel="0" collapsed="false">
      <c r="A7668" s="9" t="s">
        <v>586</v>
      </c>
      <c r="C7668" s="61" t="n">
        <f aca="false">IFERROR((S7637+S7639+S7640+S7641+S7642)/S7615,0)</f>
        <v>15924.0153192791</v>
      </c>
      <c r="D7668" s="61"/>
    </row>
    <row r="7669" customFormat="false" ht="15" hidden="false" customHeight="false" outlineLevel="0" collapsed="false">
      <c r="A7669" s="9" t="s">
        <v>587</v>
      </c>
      <c r="C7669" s="64" t="n">
        <f aca="false">IFERROR('Engine Runs'!$C$7667/('Engine Runs'!$C$7666*Assumptions!$E$76/12),0)</f>
        <v>82.3798501566715</v>
      </c>
      <c r="D7669" s="64"/>
    </row>
    <row r="7670" customFormat="false" ht="15" hidden="false" customHeight="false" outlineLevel="0" collapsed="false">
      <c r="A7670" s="9" t="s">
        <v>588</v>
      </c>
      <c r="C7670" s="64" t="n">
        <f aca="false">IFERROR((R7643/R7615)/((R7625/R7615)*Assumptions!$E$76/12),0)</f>
        <v>53.7401674227257</v>
      </c>
      <c r="D7670" s="64"/>
    </row>
    <row r="7671" customFormat="false" ht="15" hidden="false" customHeight="false" outlineLevel="0" collapsed="false">
      <c r="A7671" s="9" t="s">
        <v>589</v>
      </c>
      <c r="C7671" s="61" t="n">
        <f aca="false">S7647</f>
        <v>2967534.56388842</v>
      </c>
      <c r="D7671" s="61"/>
    </row>
    <row r="7672" customFormat="false" ht="15" hidden="false" customHeight="false" outlineLevel="0" collapsed="false">
      <c r="A7672" s="9" t="s">
        <v>590</v>
      </c>
      <c r="C7672" s="61" t="n">
        <f aca="false">N7650</f>
        <v>-2645899.10496357</v>
      </c>
      <c r="D7672" s="61"/>
    </row>
    <row r="7673" customFormat="false" ht="15" hidden="false" customHeight="false" outlineLevel="0" collapsed="false">
      <c r="A7673" s="9" t="s">
        <v>591</v>
      </c>
      <c r="C7673" s="61" t="n">
        <f aca="false">MIN($C$7650:$N$7650)</f>
        <v>-2645899.10496357</v>
      </c>
      <c r="D7673" s="61"/>
    </row>
    <row r="7674" customFormat="false" ht="15" hidden="false" customHeight="false" outlineLevel="0" collapsed="false">
      <c r="A7674" s="9" t="s">
        <v>592</v>
      </c>
      <c r="C7674" s="61" t="n">
        <f aca="false">N7624*(Assumptions!$E$76-$C$7658)*$C$7657*(1-$C$7657^Assumptions!$E$85)/(1-$C$7657)</f>
        <v>883215.352678571</v>
      </c>
      <c r="D7674" s="61"/>
    </row>
    <row r="7675" customFormat="false" ht="15" hidden="false" customHeight="false" outlineLevel="0" collapsed="false">
      <c r="A7675" s="9" t="s">
        <v>593</v>
      </c>
      <c r="C7675" s="61" t="n">
        <f aca="false">N7624*(Assumptions!$E$76-$C$7658)*(1-Assumptions!$D$88)/(1+Assumptions!$E$87)^2.5*$C$7659*(1-$C$7659^Assumptions!$E$85)/(1-$C$7659)</f>
        <v>343947.920277697</v>
      </c>
      <c r="D7675" s="61"/>
    </row>
    <row r="7676" customFormat="false" ht="15" hidden="false" customHeight="false" outlineLevel="0" collapsed="false">
      <c r="A7676" s="9" t="s">
        <v>594</v>
      </c>
      <c r="C7676" s="61" t="n">
        <f aca="false">SUM($C$7652:$N$7652)+'Engine Runs'!$C$7675</f>
        <v>-1966574.68068978</v>
      </c>
      <c r="D7676" s="61"/>
    </row>
    <row r="7677" customFormat="false" ht="15" hidden="false" customHeight="false" outlineLevel="0" collapsed="false">
      <c r="A7677" s="9" t="s">
        <v>595</v>
      </c>
      <c r="C7677" s="61" t="n">
        <f aca="false">SUM($C$7656:$N$7656)+N7654*(Assumptions!$E$76-Assumptions!$E$93)/(1+Assumptions!$E$87)^2.5*$C$7660*(1-$C$7660^Assumptions!$E$85)/(1-$C$7660)</f>
        <v>1512522.02860027</v>
      </c>
      <c r="D7677" s="61"/>
    </row>
    <row r="7678" customFormat="false" ht="15" hidden="false" customHeight="false" outlineLevel="0" collapsed="false">
      <c r="A7678" s="9" t="s">
        <v>596</v>
      </c>
      <c r="C7678" s="61" t="n">
        <f aca="false">'Engine Runs'!$C$7676-'Engine Runs'!$C$7677</f>
        <v>-3479096.70929005</v>
      </c>
      <c r="D7678" s="61"/>
    </row>
    <row r="7679" customFormat="false" ht="15" hidden="false" customHeight="false" outlineLevel="0" collapsed="false">
      <c r="A7679" s="9" t="s">
        <v>597</v>
      </c>
      <c r="C7679" s="61" t="n">
        <f aca="false">S7611</f>
        <v>0</v>
      </c>
      <c r="D7679" s="61"/>
    </row>
    <row r="7680" customFormat="false" ht="15" hidden="false" customHeight="false" outlineLevel="0" collapsed="false">
      <c r="A7680" s="9" t="s">
        <v>598</v>
      </c>
      <c r="C7680" s="63" t="n">
        <f aca="false">P7595</f>
        <v>43.6188722246667</v>
      </c>
      <c r="D7680" s="63"/>
    </row>
    <row r="7681" customFormat="false" ht="15" hidden="false" customHeight="false" outlineLevel="0" collapsed="false">
      <c r="A7681" s="9" t="s">
        <v>599</v>
      </c>
      <c r="C7681" s="63" t="n">
        <f aca="false">P7615</f>
        <v>6.18260904948639</v>
      </c>
      <c r="D7681" s="63"/>
    </row>
    <row r="7682" customFormat="false" ht="15" hidden="false" customHeight="false" outlineLevel="0" collapsed="false">
      <c r="A7682" s="9" t="s">
        <v>600</v>
      </c>
      <c r="C7682" s="63" t="n">
        <f aca="false">P7591</f>
        <v>42</v>
      </c>
      <c r="D7682" s="63"/>
    </row>
    <row r="7683" customFormat="false" ht="15" hidden="false" customHeight="false" outlineLevel="0" collapsed="false">
      <c r="A7683" s="9" t="s">
        <v>601</v>
      </c>
      <c r="C7683" s="61" t="n">
        <f aca="false">IFERROR(P7625/P7615,0)</f>
        <v>8545.01753177967</v>
      </c>
      <c r="D7683" s="61"/>
    </row>
    <row r="7686" customFormat="false" ht="15" hidden="false" customHeight="true" outlineLevel="0" collapsed="false">
      <c r="A7686" s="78" t="s">
        <v>906</v>
      </c>
      <c r="B7686" s="78"/>
      <c r="C7686" s="78"/>
      <c r="D7686" s="78"/>
      <c r="E7686" s="78"/>
      <c r="F7686" s="78"/>
      <c r="G7686" s="78"/>
      <c r="H7686" s="78"/>
      <c r="I7686" s="78"/>
      <c r="J7686" s="78"/>
      <c r="K7686" s="78"/>
      <c r="L7686" s="78"/>
      <c r="M7686" s="78"/>
      <c r="N7686" s="78"/>
    </row>
    <row r="7687" customFormat="false" ht="15" hidden="false" customHeight="true" outlineLevel="0" collapsed="false">
      <c r="A7687" s="79" t="s">
        <v>907</v>
      </c>
      <c r="B7687" s="79"/>
      <c r="C7687" s="79"/>
      <c r="D7687" s="79"/>
      <c r="E7687" s="79"/>
      <c r="F7687" s="79"/>
      <c r="G7687" s="79"/>
      <c r="H7687" s="79"/>
      <c r="I7687" s="79"/>
      <c r="J7687" s="79"/>
      <c r="K7687" s="79"/>
      <c r="L7687" s="79"/>
      <c r="M7687" s="79"/>
      <c r="N7687" s="79"/>
    </row>
    <row r="7688" customFormat="false" ht="23.85" hidden="false" customHeight="false" outlineLevel="0" collapsed="false">
      <c r="A7688" s="35" t="s">
        <v>908</v>
      </c>
      <c r="B7688" s="35" t="s">
        <v>444</v>
      </c>
      <c r="C7688" s="6" t="s">
        <v>354</v>
      </c>
      <c r="D7688" s="6" t="s">
        <v>355</v>
      </c>
      <c r="E7688" s="6" t="s">
        <v>356</v>
      </c>
      <c r="F7688" s="6" t="s">
        <v>357</v>
      </c>
      <c r="G7688" s="6" t="s">
        <v>358</v>
      </c>
      <c r="H7688" s="6" t="s">
        <v>359</v>
      </c>
      <c r="I7688" s="6" t="s">
        <v>360</v>
      </c>
      <c r="J7688" s="6" t="s">
        <v>361</v>
      </c>
      <c r="K7688" s="6" t="s">
        <v>362</v>
      </c>
      <c r="L7688" s="6" t="s">
        <v>363</v>
      </c>
      <c r="M7688" s="6" t="s">
        <v>364</v>
      </c>
      <c r="N7688" s="6" t="s">
        <v>365</v>
      </c>
      <c r="P7688" s="6" t="s">
        <v>445</v>
      </c>
      <c r="Q7688" s="6" t="s">
        <v>446</v>
      </c>
      <c r="R7688" s="6" t="s">
        <v>447</v>
      </c>
      <c r="S7688" s="6" t="s">
        <v>448</v>
      </c>
    </row>
    <row r="7689" customFormat="false" ht="15" hidden="false" customHeight="false" outlineLevel="0" collapsed="false">
      <c r="A7689" s="4" t="s">
        <v>449</v>
      </c>
      <c r="B7689" s="36" t="s">
        <v>450</v>
      </c>
      <c r="C7689" s="34" t="n">
        <f aca="false">'Market Sizing'!$C$17*Assumptions!$E$10*Assumptions!$E$11*(1-Assumptions!$E$12)</f>
        <v>843.03944704</v>
      </c>
    </row>
    <row r="7690" customFormat="false" ht="15" hidden="false" customHeight="false" outlineLevel="0" collapsed="false">
      <c r="A7690" s="4" t="s">
        <v>451</v>
      </c>
      <c r="B7690" s="36" t="s">
        <v>450</v>
      </c>
      <c r="C7690" s="34" t="n">
        <f aca="false">'Market Sizing'!$D$17*Assumptions!$E$10*Assumptions!$E$11*(1-Assumptions!$E$12)</f>
        <v>211.19616</v>
      </c>
    </row>
    <row r="7691" customFormat="false" ht="15" hidden="false" customHeight="false" outlineLevel="0" collapsed="false">
      <c r="A7691" s="4" t="s">
        <v>452</v>
      </c>
      <c r="B7691" s="36" t="s">
        <v>450</v>
      </c>
      <c r="C7691" s="34" t="n">
        <f aca="false">'Market Sizing'!$E$17*Assumptions!$E$10*Assumptions!$E$11*(1-Assumptions!$E$12)</f>
        <v>49.53984</v>
      </c>
    </row>
    <row r="7692" customFormat="false" ht="15" hidden="false" customHeight="false" outlineLevel="0" collapsed="false">
      <c r="A7692" s="4" t="s">
        <v>453</v>
      </c>
      <c r="B7692" s="36"/>
      <c r="C7692" s="34" t="n">
        <f aca="false">$C$7689+$C$7690+$C$7691</f>
        <v>1103.77544704</v>
      </c>
    </row>
    <row r="7693" customFormat="false" ht="15" hidden="false" customHeight="false" outlineLevel="0" collapsed="false">
      <c r="A7693" s="4" t="s">
        <v>454</v>
      </c>
      <c r="B7693" s="36" t="s">
        <v>450</v>
      </c>
      <c r="C7693" s="34" t="n">
        <f aca="false">'Market Sizing'!$C$18*Assumptions!$E$10*Assumptions!$E$11*(1-Assumptions!$E$12)</f>
        <v>612.57706944</v>
      </c>
    </row>
    <row r="7694" customFormat="false" ht="15" hidden="false" customHeight="false" outlineLevel="0" collapsed="false">
      <c r="A7694" s="4" t="s">
        <v>455</v>
      </c>
      <c r="B7694" s="36" t="s">
        <v>450</v>
      </c>
      <c r="C7694" s="34" t="n">
        <f aca="false">'Market Sizing'!$D$18*Assumptions!$E$10*Assumptions!$E$11*(1-Assumptions!$E$12)</f>
        <v>142.10112</v>
      </c>
    </row>
    <row r="7695" customFormat="false" ht="15" hidden="false" customHeight="false" outlineLevel="0" collapsed="false">
      <c r="A7695" s="4" t="s">
        <v>456</v>
      </c>
      <c r="B7695" s="36" t="s">
        <v>450</v>
      </c>
      <c r="C7695" s="34" t="n">
        <f aca="false">'Market Sizing'!$E$18*Assumptions!$E$10*Assumptions!$E$11*(1-Assumptions!$E$12)</f>
        <v>24.76992</v>
      </c>
    </row>
    <row r="7696" customFormat="false" ht="15" hidden="false" customHeight="false" outlineLevel="0" collapsed="false">
      <c r="A7696" s="4" t="s">
        <v>457</v>
      </c>
      <c r="B7696" s="36"/>
      <c r="C7696" s="34" t="n">
        <f aca="false">$C$7693+$C$7694+$C$7695</f>
        <v>779.44810944</v>
      </c>
    </row>
    <row r="7697" customFormat="false" ht="15" hidden="false" customHeight="false" outlineLevel="0" collapsed="false">
      <c r="A7697" s="4" t="s">
        <v>458</v>
      </c>
      <c r="B7697" s="36" t="s">
        <v>450</v>
      </c>
      <c r="C7697" s="34" t="n">
        <f aca="false">'Market Sizing'!$C$19*Assumptions!$E$10*Assumptions!$E$11*(1-Assumptions!$E$12)</f>
        <v>2060.77303936</v>
      </c>
    </row>
    <row r="7698" customFormat="false" ht="15" hidden="false" customHeight="false" outlineLevel="0" collapsed="false">
      <c r="A7698" s="4" t="s">
        <v>459</v>
      </c>
      <c r="B7698" s="36" t="s">
        <v>450</v>
      </c>
      <c r="C7698" s="34" t="n">
        <f aca="false">'Market Sizing'!$D$19*Assumptions!$E$10*Assumptions!$E$11*(1-Assumptions!$E$12)</f>
        <v>428.47616</v>
      </c>
    </row>
    <row r="7699" customFormat="false" ht="15" hidden="false" customHeight="false" outlineLevel="0" collapsed="false">
      <c r="A7699" s="4" t="s">
        <v>460</v>
      </c>
      <c r="B7699" s="36" t="s">
        <v>450</v>
      </c>
      <c r="C7699" s="34" t="n">
        <f aca="false">'Market Sizing'!$E$19*Assumptions!$E$10*Assumptions!$E$11*(1-Assumptions!$E$12)</f>
        <v>79.52448</v>
      </c>
    </row>
    <row r="7700" customFormat="false" ht="15" hidden="false" customHeight="false" outlineLevel="0" collapsed="false">
      <c r="A7700" s="4" t="s">
        <v>461</v>
      </c>
      <c r="B7700" s="36"/>
      <c r="C7700" s="34" t="n">
        <f aca="false">$C$7697+$C$7698+$C$7699</f>
        <v>2568.77367936</v>
      </c>
    </row>
    <row r="7701" customFormat="false" ht="15" hidden="false" customHeight="false" outlineLevel="0" collapsed="false">
      <c r="A7701" s="4" t="s">
        <v>462</v>
      </c>
      <c r="B7701" s="36" t="s">
        <v>463</v>
      </c>
      <c r="C7701" s="33" t="n">
        <f aca="false">MAX((Assumptions!$E$51+Assumptions!$E$53)*12,(((('Market Sizing'!$E$25*Assumptions!$E$41*Assumptions!$E$42*Assumptions!$E$43)*Assumptions!$E$44)*Assumptions!$E$45*Assumptions!$E$46+('Market Sizing'!$E$25*Assumptions!$E$41*Assumptions!$E$42*Assumptions!$E$43)*Assumptions!$E$47+('Market Sizing'!$E$25*Assumptions!$E$41*Assumptions!$E$42*Assumptions!$E$43)*Assumptions!$E$48*Assumptions!$E$49)*(Assumptions!$E$51*12/Assumptions!$E$52)+((('Market Sizing'!$E$25*Assumptions!$E$41*Assumptions!$E$42*Assumptions!$E$43)*Assumptions!$E$44)*Assumptions!$E$45+('Market Sizing'!$E$25*Assumptions!$E$41*Assumptions!$E$42*Assumptions!$E$43)+('Market Sizing'!$E$25*Assumptions!$E$41*Assumptions!$E$42*Assumptions!$E$43)*Assumptions!$E$48)*Assumptions!$E$50*(Assumptions!$E$53*12/Assumptions!$E$54)))</f>
        <v>5352</v>
      </c>
    </row>
    <row r="7702" customFormat="false" ht="15" hidden="false" customHeight="false" outlineLevel="0" collapsed="false">
      <c r="A7702" s="4" t="s">
        <v>464</v>
      </c>
      <c r="B7702" s="36" t="s">
        <v>463</v>
      </c>
      <c r="C7702" s="33" t="n">
        <f aca="false">MAX((Assumptions!$E$51+Assumptions!$E$53)*12,(((('Market Sizing'!$E$26*Assumptions!$E$41*Assumptions!$E$42*Assumptions!$E$43)*Assumptions!$E$44)*Assumptions!$E$45*Assumptions!$E$46+('Market Sizing'!$E$26*Assumptions!$E$41*Assumptions!$E$42*Assumptions!$E$43)*Assumptions!$E$47+('Market Sizing'!$E$26*Assumptions!$E$41*Assumptions!$E$42*Assumptions!$E$43)*Assumptions!$E$48*Assumptions!$E$49)*(Assumptions!$E$51*12/Assumptions!$E$52)+((('Market Sizing'!$E$26*Assumptions!$E$41*Assumptions!$E$42*Assumptions!$E$43)*Assumptions!$E$44)*Assumptions!$E$45+('Market Sizing'!$E$26*Assumptions!$E$41*Assumptions!$E$42*Assumptions!$E$43)+('Market Sizing'!$E$26*Assumptions!$E$41*Assumptions!$E$42*Assumptions!$E$43)*Assumptions!$E$48)*Assumptions!$E$50*(Assumptions!$E$53*12/Assumptions!$E$54)))</f>
        <v>9766.72012875208</v>
      </c>
    </row>
    <row r="7703" customFormat="false" ht="15" hidden="false" customHeight="false" outlineLevel="0" collapsed="false">
      <c r="A7703" s="4" t="s">
        <v>465</v>
      </c>
      <c r="B7703" s="36" t="s">
        <v>463</v>
      </c>
      <c r="C7703" s="33" t="n">
        <f aca="false">MAX(Assumptions!$E$55*(Assumptions!$E$51*12/Assumptions!$E$52)+Assumptions!$E$56*(Assumptions!$E$53*12/Assumptions!$E$54),(((('Market Sizing'!$E$27*Assumptions!$E$41*Assumptions!$E$42*Assumptions!$E$43)*Assumptions!$E$44)*Assumptions!$E$45*Assumptions!$E$46+('Market Sizing'!$E$27*Assumptions!$E$41*Assumptions!$E$42*Assumptions!$E$43)*Assumptions!$E$47+('Market Sizing'!$E$27*Assumptions!$E$41*Assumptions!$E$42*Assumptions!$E$43)*Assumptions!$E$48*Assumptions!$E$49)*(Assumptions!$E$51*12/Assumptions!$E$52)+((('Market Sizing'!$E$27*Assumptions!$E$41*Assumptions!$E$42*Assumptions!$E$43)*Assumptions!$E$44)*Assumptions!$E$45+('Market Sizing'!$E$27*Assumptions!$E$41*Assumptions!$E$42*Assumptions!$E$43)+('Market Sizing'!$E$27*Assumptions!$E$41*Assumptions!$E$42*Assumptions!$E$43)*Assumptions!$E$48)*Assumptions!$E$50*(Assumptions!$E$53*12/Assumptions!$E$54)))*(1-Assumptions!$E$57)</f>
        <v>61778.2562194386</v>
      </c>
    </row>
    <row r="7704" customFormat="false" ht="23.85" hidden="false" customHeight="false" outlineLevel="0" collapsed="false">
      <c r="A7704" s="4" t="s">
        <v>466</v>
      </c>
      <c r="B7704" s="36" t="s">
        <v>467</v>
      </c>
      <c r="C7704" s="37" t="n">
        <f aca="false">Assumptions!$E$17*Assumptions!$D$106</f>
        <v>0.4</v>
      </c>
    </row>
    <row r="7705" customFormat="false" ht="23.85" hidden="false" customHeight="false" outlineLevel="0" collapsed="false">
      <c r="A7705" s="4" t="s">
        <v>468</v>
      </c>
      <c r="B7705" s="36" t="s">
        <v>469</v>
      </c>
      <c r="C7705" s="33" t="n">
        <f aca="false">Assumptions!$E$68/Assumptions!$E$69</f>
        <v>285714.285714286</v>
      </c>
    </row>
    <row r="7706" customFormat="false" ht="23.85" hidden="false" customHeight="false" outlineLevel="0" collapsed="false">
      <c r="A7706" s="4" t="s">
        <v>470</v>
      </c>
      <c r="B7706" s="36" t="s">
        <v>471</v>
      </c>
      <c r="C7706" s="33" t="n">
        <f aca="false">Assumptions!$E$66*Assumptions!$E$67/4</f>
        <v>153125</v>
      </c>
    </row>
    <row r="7707" customFormat="false" ht="15" hidden="false" customHeight="false" outlineLevel="0" collapsed="false">
      <c r="A7707" s="4" t="s">
        <v>472</v>
      </c>
      <c r="B7707" s="36"/>
      <c r="C7707" s="38" t="n">
        <f aca="false">$C$7705/Assumptions!$E$66/Assumptions!$E$67</f>
        <v>0.466472303206997</v>
      </c>
    </row>
    <row r="7708" customFormat="false" ht="15" hidden="false" customHeight="false" outlineLevel="0" collapsed="false">
      <c r="A7708" s="4" t="s">
        <v>473</v>
      </c>
      <c r="B7708" s="36"/>
      <c r="C7708" s="33" t="n">
        <f aca="false">MAX(0,Assumptions!$D$103-Assumptions!$E$78)</f>
        <v>0</v>
      </c>
    </row>
    <row r="7709" customFormat="false" ht="15" hidden="false" customHeight="false" outlineLevel="0" collapsed="false">
      <c r="A7709" s="35" t="s">
        <v>474</v>
      </c>
      <c r="B7709" s="35" t="s">
        <v>444</v>
      </c>
      <c r="C7709" s="6" t="s">
        <v>354</v>
      </c>
      <c r="D7709" s="6" t="s">
        <v>355</v>
      </c>
      <c r="E7709" s="6" t="s">
        <v>356</v>
      </c>
      <c r="F7709" s="6" t="s">
        <v>357</v>
      </c>
      <c r="G7709" s="6" t="s">
        <v>358</v>
      </c>
      <c r="H7709" s="6" t="s">
        <v>359</v>
      </c>
      <c r="I7709" s="6" t="s">
        <v>360</v>
      </c>
      <c r="J7709" s="6" t="s">
        <v>361</v>
      </c>
      <c r="K7709" s="6" t="s">
        <v>362</v>
      </c>
      <c r="L7709" s="6" t="s">
        <v>363</v>
      </c>
      <c r="M7709" s="6" t="s">
        <v>364</v>
      </c>
      <c r="N7709" s="6" t="s">
        <v>365</v>
      </c>
      <c r="P7709" s="6" t="s">
        <v>445</v>
      </c>
      <c r="Q7709" s="6" t="s">
        <v>446</v>
      </c>
      <c r="R7709" s="6" t="s">
        <v>447</v>
      </c>
      <c r="S7709" s="6" t="s">
        <v>448</v>
      </c>
    </row>
    <row r="7710" customFormat="false" ht="15" hidden="false" customHeight="false" outlineLevel="0" collapsed="false">
      <c r="A7710" s="4" t="s">
        <v>475</v>
      </c>
      <c r="B7710" s="36" t="s">
        <v>133</v>
      </c>
      <c r="C7710" s="39" t="n">
        <v>1</v>
      </c>
      <c r="D7710" s="39" t="n">
        <v>2</v>
      </c>
      <c r="E7710" s="39" t="n">
        <v>3</v>
      </c>
      <c r="F7710" s="39" t="n">
        <v>4</v>
      </c>
      <c r="G7710" s="39" t="n">
        <v>5</v>
      </c>
      <c r="H7710" s="39" t="n">
        <v>6</v>
      </c>
      <c r="I7710" s="39" t="n">
        <v>7</v>
      </c>
      <c r="J7710" s="39" t="n">
        <v>8</v>
      </c>
      <c r="K7710" s="39" t="n">
        <v>9</v>
      </c>
      <c r="L7710" s="39" t="n">
        <v>10</v>
      </c>
      <c r="M7710" s="39" t="n">
        <v>11</v>
      </c>
      <c r="N7710" s="39" t="n">
        <v>12</v>
      </c>
      <c r="P7710" s="40"/>
      <c r="Q7710" s="40"/>
      <c r="R7710" s="40"/>
      <c r="S7710" s="41"/>
    </row>
    <row r="7711" customFormat="false" ht="15" hidden="false" customHeight="false" outlineLevel="0" collapsed="false">
      <c r="A7711" s="4" t="s">
        <v>476</v>
      </c>
      <c r="B7711" s="36" t="s">
        <v>343</v>
      </c>
      <c r="C7711" s="39" t="n">
        <f aca="false">IF(C7710&lt;=Assumptions!$E$84,1,0)</f>
        <v>1</v>
      </c>
      <c r="D7711" s="39" t="n">
        <f aca="false">IF(D7710&lt;=Assumptions!$E$84,1,0)</f>
        <v>1</v>
      </c>
      <c r="E7711" s="39" t="n">
        <f aca="false">IF(E7710&lt;=Assumptions!$E$84,1,0)</f>
        <v>1</v>
      </c>
      <c r="F7711" s="39" t="n">
        <f aca="false">IF(F7710&lt;=Assumptions!$E$84,1,0)</f>
        <v>1</v>
      </c>
      <c r="G7711" s="39" t="n">
        <f aca="false">IF(G7710&lt;=Assumptions!$E$84,1,0)</f>
        <v>1</v>
      </c>
      <c r="H7711" s="39" t="n">
        <f aca="false">IF(H7710&lt;=Assumptions!$E$84,1,0)</f>
        <v>1</v>
      </c>
      <c r="I7711" s="39" t="n">
        <f aca="false">IF(I7710&lt;=Assumptions!$E$84,1,0)</f>
        <v>1</v>
      </c>
      <c r="J7711" s="39" t="n">
        <f aca="false">IF(J7710&lt;=Assumptions!$E$84,1,0)</f>
        <v>1</v>
      </c>
      <c r="K7711" s="39" t="n">
        <f aca="false">IF(K7710&lt;=Assumptions!$E$84,1,0)</f>
        <v>1</v>
      </c>
      <c r="L7711" s="39" t="n">
        <f aca="false">IF(L7710&lt;=Assumptions!$E$84,1,0)</f>
        <v>1</v>
      </c>
      <c r="M7711" s="39" t="n">
        <f aca="false">IF(M7710&lt;=Assumptions!$E$84,1,0)</f>
        <v>1</v>
      </c>
      <c r="N7711" s="39" t="n">
        <f aca="false">IF(N7710&lt;=Assumptions!$E$84,1,0)</f>
        <v>1</v>
      </c>
      <c r="P7711" s="40"/>
      <c r="Q7711" s="40"/>
      <c r="R7711" s="40"/>
      <c r="S7711" s="41"/>
    </row>
    <row r="7712" customFormat="false" ht="15" hidden="false" customHeight="false" outlineLevel="0" collapsed="false">
      <c r="A7712" s="4" t="s">
        <v>477</v>
      </c>
      <c r="B7712" s="36" t="s">
        <v>478</v>
      </c>
      <c r="C7712" s="42" t="n">
        <f aca="false">IF(C7710=Assumptions!$E$13,0.5,IF(C7710&gt;Assumptions!$E$13,1,0))</f>
        <v>0.5</v>
      </c>
      <c r="D7712" s="42" t="n">
        <f aca="false">IF(D7710=Assumptions!$E$13,0.5,IF(D7710&gt;Assumptions!$E$13,1,0))</f>
        <v>1</v>
      </c>
      <c r="E7712" s="42" t="n">
        <f aca="false">IF(E7710=Assumptions!$E$13,0.5,IF(E7710&gt;Assumptions!$E$13,1,0))</f>
        <v>1</v>
      </c>
      <c r="F7712" s="42" t="n">
        <f aca="false">IF(F7710=Assumptions!$E$13,0.5,IF(F7710&gt;Assumptions!$E$13,1,0))</f>
        <v>1</v>
      </c>
      <c r="G7712" s="42" t="n">
        <f aca="false">IF(G7710=Assumptions!$E$13,0.5,IF(G7710&gt;Assumptions!$E$13,1,0))</f>
        <v>1</v>
      </c>
      <c r="H7712" s="42" t="n">
        <f aca="false">IF(H7710=Assumptions!$E$13,0.5,IF(H7710&gt;Assumptions!$E$13,1,0))</f>
        <v>1</v>
      </c>
      <c r="I7712" s="42" t="n">
        <f aca="false">IF(I7710=Assumptions!$E$13,0.5,IF(I7710&gt;Assumptions!$E$13,1,0))</f>
        <v>1</v>
      </c>
      <c r="J7712" s="42" t="n">
        <f aca="false">IF(J7710=Assumptions!$E$13,0.5,IF(J7710&gt;Assumptions!$E$13,1,0))</f>
        <v>1</v>
      </c>
      <c r="K7712" s="42" t="n">
        <f aca="false">IF(K7710=Assumptions!$E$13,0.5,IF(K7710&gt;Assumptions!$E$13,1,0))</f>
        <v>1</v>
      </c>
      <c r="L7712" s="42" t="n">
        <f aca="false">IF(L7710=Assumptions!$E$13,0.5,IF(L7710&gt;Assumptions!$E$13,1,0))</f>
        <v>1</v>
      </c>
      <c r="M7712" s="42" t="n">
        <f aca="false">IF(M7710=Assumptions!$E$13,0.5,IF(M7710&gt;Assumptions!$E$13,1,0))</f>
        <v>1</v>
      </c>
      <c r="N7712" s="42" t="n">
        <f aca="false">IF(N7710=Assumptions!$E$13,0.5,IF(N7710&gt;Assumptions!$E$13,1,0))</f>
        <v>1</v>
      </c>
      <c r="P7712" s="43"/>
      <c r="Q7712" s="43"/>
      <c r="R7712" s="43"/>
      <c r="S7712" s="44"/>
    </row>
    <row r="7713" customFormat="false" ht="15" hidden="false" customHeight="false" outlineLevel="0" collapsed="false">
      <c r="A7713" s="4" t="s">
        <v>479</v>
      </c>
      <c r="B7713" s="36" t="s">
        <v>478</v>
      </c>
      <c r="C7713" s="42" t="n">
        <f aca="false">IF(C7710=Assumptions!$E$14,0.5,IF(C7710&gt;Assumptions!$E$14,1,0))</f>
        <v>0</v>
      </c>
      <c r="D7713" s="42" t="n">
        <f aca="false">IF(D7710=Assumptions!$E$14,0.5,IF(D7710&gt;Assumptions!$E$14,1,0))</f>
        <v>0</v>
      </c>
      <c r="E7713" s="42" t="n">
        <f aca="false">IF(E7710=Assumptions!$E$14,0.5,IF(E7710&gt;Assumptions!$E$14,1,0))</f>
        <v>0</v>
      </c>
      <c r="F7713" s="42" t="n">
        <f aca="false">IF(F7710=Assumptions!$E$14,0.5,IF(F7710&gt;Assumptions!$E$14,1,0))</f>
        <v>0</v>
      </c>
      <c r="G7713" s="42" t="n">
        <f aca="false">IF(G7710=Assumptions!$E$14,0.5,IF(G7710&gt;Assumptions!$E$14,1,0))</f>
        <v>0.5</v>
      </c>
      <c r="H7713" s="42" t="n">
        <f aca="false">IF(H7710=Assumptions!$E$14,0.5,IF(H7710&gt;Assumptions!$E$14,1,0))</f>
        <v>1</v>
      </c>
      <c r="I7713" s="42" t="n">
        <f aca="false">IF(I7710=Assumptions!$E$14,0.5,IF(I7710&gt;Assumptions!$E$14,1,0))</f>
        <v>1</v>
      </c>
      <c r="J7713" s="42" t="n">
        <f aca="false">IF(J7710=Assumptions!$E$14,0.5,IF(J7710&gt;Assumptions!$E$14,1,0))</f>
        <v>1</v>
      </c>
      <c r="K7713" s="42" t="n">
        <f aca="false">IF(K7710=Assumptions!$E$14,0.5,IF(K7710&gt;Assumptions!$E$14,1,0))</f>
        <v>1</v>
      </c>
      <c r="L7713" s="42" t="n">
        <f aca="false">IF(L7710=Assumptions!$E$14,0.5,IF(L7710&gt;Assumptions!$E$14,1,0))</f>
        <v>1</v>
      </c>
      <c r="M7713" s="42" t="n">
        <f aca="false">IF(M7710=Assumptions!$E$14,0.5,IF(M7710&gt;Assumptions!$E$14,1,0))</f>
        <v>1</v>
      </c>
      <c r="N7713" s="42" t="n">
        <f aca="false">IF(N7710=Assumptions!$E$14,0.5,IF(N7710&gt;Assumptions!$E$14,1,0))</f>
        <v>1</v>
      </c>
      <c r="P7713" s="43"/>
      <c r="Q7713" s="43"/>
      <c r="R7713" s="43"/>
      <c r="S7713" s="44"/>
    </row>
    <row r="7714" customFormat="false" ht="15" hidden="false" customHeight="false" outlineLevel="0" collapsed="false">
      <c r="A7714" s="4" t="s">
        <v>480</v>
      </c>
      <c r="B7714" s="36" t="s">
        <v>478</v>
      </c>
      <c r="C7714" s="42" t="n">
        <f aca="false">IF(C7710=Assumptions!$E$15,0.5,IF(C7710&gt;Assumptions!$E$15,1,0))</f>
        <v>0</v>
      </c>
      <c r="D7714" s="42" t="n">
        <f aca="false">IF(D7710=Assumptions!$E$15,0.5,IF(D7710&gt;Assumptions!$E$15,1,0))</f>
        <v>0</v>
      </c>
      <c r="E7714" s="42" t="n">
        <f aca="false">IF(E7710=Assumptions!$E$15,0.5,IF(E7710&gt;Assumptions!$E$15,1,0))</f>
        <v>0</v>
      </c>
      <c r="F7714" s="42" t="n">
        <f aca="false">IF(F7710=Assumptions!$E$15,0.5,IF(F7710&gt;Assumptions!$E$15,1,0))</f>
        <v>0</v>
      </c>
      <c r="G7714" s="42" t="n">
        <f aca="false">IF(G7710=Assumptions!$E$15,0.5,IF(G7710&gt;Assumptions!$E$15,1,0))</f>
        <v>0</v>
      </c>
      <c r="H7714" s="42" t="n">
        <f aca="false">IF(H7710=Assumptions!$E$15,0.5,IF(H7710&gt;Assumptions!$E$15,1,0))</f>
        <v>0</v>
      </c>
      <c r="I7714" s="42" t="n">
        <f aca="false">IF(I7710=Assumptions!$E$15,0.5,IF(I7710&gt;Assumptions!$E$15,1,0))</f>
        <v>0.5</v>
      </c>
      <c r="J7714" s="42" t="n">
        <f aca="false">IF(J7710=Assumptions!$E$15,0.5,IF(J7710&gt;Assumptions!$E$15,1,0))</f>
        <v>1</v>
      </c>
      <c r="K7714" s="42" t="n">
        <f aca="false">IF(K7710=Assumptions!$E$15,0.5,IF(K7710&gt;Assumptions!$E$15,1,0))</f>
        <v>1</v>
      </c>
      <c r="L7714" s="42" t="n">
        <f aca="false">IF(L7710=Assumptions!$E$15,0.5,IF(L7710&gt;Assumptions!$E$15,1,0))</f>
        <v>1</v>
      </c>
      <c r="M7714" s="42" t="n">
        <f aca="false">IF(M7710=Assumptions!$E$15,0.5,IF(M7710&gt;Assumptions!$E$15,1,0))</f>
        <v>1</v>
      </c>
      <c r="N7714" s="42" t="n">
        <f aca="false">IF(N7710=Assumptions!$E$15,0.5,IF(N7710&gt;Assumptions!$E$15,1,0))</f>
        <v>1</v>
      </c>
      <c r="P7714" s="43"/>
      <c r="Q7714" s="43"/>
      <c r="R7714" s="43"/>
      <c r="S7714" s="44"/>
    </row>
    <row r="7715" customFormat="false" ht="15" hidden="false" customHeight="false" outlineLevel="0" collapsed="false">
      <c r="A7715" s="4" t="s">
        <v>481</v>
      </c>
      <c r="B7715" s="36" t="s">
        <v>478</v>
      </c>
      <c r="C7715" s="45" t="n">
        <f aca="false">Assumptions!$E$21^(MAX(0,C7710-Assumptions!$E$13)/4)</f>
        <v>1</v>
      </c>
      <c r="D7715" s="45" t="n">
        <f aca="false">Assumptions!$E$21^(MAX(0,D7710-Assumptions!$E$13)/4)</f>
        <v>0.9306048591021</v>
      </c>
      <c r="E7715" s="45" t="n">
        <f aca="false">Assumptions!$E$21^(MAX(0,E7710-Assumptions!$E$13)/4)</f>
        <v>0.866025403784439</v>
      </c>
      <c r="F7715" s="45" t="n">
        <f aca="false">Assumptions!$E$21^(MAX(0,F7710-Assumptions!$E$13)/4)</f>
        <v>0.805927448867656</v>
      </c>
      <c r="G7715" s="45" t="n">
        <f aca="false">Assumptions!$E$21^(MAX(0,G7710-Assumptions!$E$13)/4)</f>
        <v>0.75</v>
      </c>
      <c r="H7715" s="45" t="n">
        <f aca="false">Assumptions!$E$21^(MAX(0,H7710-Assumptions!$E$13)/4)</f>
        <v>0.697953644326575</v>
      </c>
      <c r="I7715" s="45" t="n">
        <f aca="false">Assumptions!$E$21^(MAX(0,I7710-Assumptions!$E$13)/4)</f>
        <v>0.649519052838329</v>
      </c>
      <c r="J7715" s="45" t="n">
        <f aca="false">Assumptions!$E$21^(MAX(0,J7710-Assumptions!$E$13)/4)</f>
        <v>0.604445586650742</v>
      </c>
      <c r="K7715" s="45" t="n">
        <f aca="false">Assumptions!$E$21^(MAX(0,K7710-Assumptions!$E$13)/4)</f>
        <v>0.5625</v>
      </c>
      <c r="L7715" s="45" t="n">
        <f aca="false">Assumptions!$E$21^(MAX(0,L7710-Assumptions!$E$13)/4)</f>
        <v>0.523465233244931</v>
      </c>
      <c r="M7715" s="45" t="n">
        <f aca="false">Assumptions!$E$21^(MAX(0,M7710-Assumptions!$E$13)/4)</f>
        <v>0.487139289628747</v>
      </c>
      <c r="N7715" s="45" t="n">
        <f aca="false">Assumptions!$E$21^(MAX(0,N7710-Assumptions!$E$13)/4)</f>
        <v>0.453334189988057</v>
      </c>
      <c r="P7715" s="46"/>
      <c r="Q7715" s="46"/>
      <c r="R7715" s="46"/>
      <c r="S7715" s="47"/>
    </row>
    <row r="7716" customFormat="false" ht="15" hidden="false" customHeight="false" outlineLevel="0" collapsed="false">
      <c r="A7716" s="4" t="s">
        <v>482</v>
      </c>
      <c r="B7716" s="36" t="s">
        <v>478</v>
      </c>
      <c r="C7716" s="45" t="n">
        <f aca="false">Assumptions!$E$21^(MAX(0,C7710-Assumptions!$E$14)/4)</f>
        <v>1</v>
      </c>
      <c r="D7716" s="45" t="n">
        <f aca="false">Assumptions!$E$21^(MAX(0,D7710-Assumptions!$E$14)/4)</f>
        <v>1</v>
      </c>
      <c r="E7716" s="45" t="n">
        <f aca="false">Assumptions!$E$21^(MAX(0,E7710-Assumptions!$E$14)/4)</f>
        <v>1</v>
      </c>
      <c r="F7716" s="45" t="n">
        <f aca="false">Assumptions!$E$21^(MAX(0,F7710-Assumptions!$E$14)/4)</f>
        <v>1</v>
      </c>
      <c r="G7716" s="45" t="n">
        <f aca="false">Assumptions!$E$21^(MAX(0,G7710-Assumptions!$E$14)/4)</f>
        <v>1</v>
      </c>
      <c r="H7716" s="45" t="n">
        <f aca="false">Assumptions!$E$21^(MAX(0,H7710-Assumptions!$E$14)/4)</f>
        <v>0.9306048591021</v>
      </c>
      <c r="I7716" s="45" t="n">
        <f aca="false">Assumptions!$E$21^(MAX(0,I7710-Assumptions!$E$14)/4)</f>
        <v>0.866025403784439</v>
      </c>
      <c r="J7716" s="45" t="n">
        <f aca="false">Assumptions!$E$21^(MAX(0,J7710-Assumptions!$E$14)/4)</f>
        <v>0.805927448867656</v>
      </c>
      <c r="K7716" s="45" t="n">
        <f aca="false">Assumptions!$E$21^(MAX(0,K7710-Assumptions!$E$14)/4)</f>
        <v>0.75</v>
      </c>
      <c r="L7716" s="45" t="n">
        <f aca="false">Assumptions!$E$21^(MAX(0,L7710-Assumptions!$E$14)/4)</f>
        <v>0.697953644326575</v>
      </c>
      <c r="M7716" s="45" t="n">
        <f aca="false">Assumptions!$E$21^(MAX(0,M7710-Assumptions!$E$14)/4)</f>
        <v>0.649519052838329</v>
      </c>
      <c r="N7716" s="45" t="n">
        <f aca="false">Assumptions!$E$21^(MAX(0,N7710-Assumptions!$E$14)/4)</f>
        <v>0.604445586650742</v>
      </c>
      <c r="P7716" s="46"/>
      <c r="Q7716" s="46"/>
      <c r="R7716" s="46"/>
      <c r="S7716" s="47"/>
    </row>
    <row r="7717" customFormat="false" ht="15" hidden="false" customHeight="false" outlineLevel="0" collapsed="false">
      <c r="A7717" s="4" t="s">
        <v>483</v>
      </c>
      <c r="B7717" s="36" t="s">
        <v>478</v>
      </c>
      <c r="C7717" s="45" t="n">
        <f aca="false">Assumptions!$E$21^(MAX(0,C7710-Assumptions!$E$15)/4)</f>
        <v>1</v>
      </c>
      <c r="D7717" s="45" t="n">
        <f aca="false">Assumptions!$E$21^(MAX(0,D7710-Assumptions!$E$15)/4)</f>
        <v>1</v>
      </c>
      <c r="E7717" s="45" t="n">
        <f aca="false">Assumptions!$E$21^(MAX(0,E7710-Assumptions!$E$15)/4)</f>
        <v>1</v>
      </c>
      <c r="F7717" s="45" t="n">
        <f aca="false">Assumptions!$E$21^(MAX(0,F7710-Assumptions!$E$15)/4)</f>
        <v>1</v>
      </c>
      <c r="G7717" s="45" t="n">
        <f aca="false">Assumptions!$E$21^(MAX(0,G7710-Assumptions!$E$15)/4)</f>
        <v>1</v>
      </c>
      <c r="H7717" s="45" t="n">
        <f aca="false">Assumptions!$E$21^(MAX(0,H7710-Assumptions!$E$15)/4)</f>
        <v>1</v>
      </c>
      <c r="I7717" s="45" t="n">
        <f aca="false">Assumptions!$E$21^(MAX(0,I7710-Assumptions!$E$15)/4)</f>
        <v>1</v>
      </c>
      <c r="J7717" s="45" t="n">
        <f aca="false">Assumptions!$E$21^(MAX(0,J7710-Assumptions!$E$15)/4)</f>
        <v>0.9306048591021</v>
      </c>
      <c r="K7717" s="45" t="n">
        <f aca="false">Assumptions!$E$21^(MAX(0,K7710-Assumptions!$E$15)/4)</f>
        <v>0.866025403784439</v>
      </c>
      <c r="L7717" s="45" t="n">
        <f aca="false">Assumptions!$E$21^(MAX(0,L7710-Assumptions!$E$15)/4)</f>
        <v>0.805927448867656</v>
      </c>
      <c r="M7717" s="45" t="n">
        <f aca="false">Assumptions!$E$21^(MAX(0,M7710-Assumptions!$E$15)/4)</f>
        <v>0.75</v>
      </c>
      <c r="N7717" s="45" t="n">
        <f aca="false">Assumptions!$E$21^(MAX(0,N7710-Assumptions!$E$15)/4)</f>
        <v>0.697953644326575</v>
      </c>
      <c r="P7717" s="46"/>
      <c r="Q7717" s="46"/>
      <c r="R7717" s="46"/>
      <c r="S7717" s="47"/>
    </row>
    <row r="7718" customFormat="false" ht="15" hidden="false" customHeight="false" outlineLevel="0" collapsed="false">
      <c r="A7718" s="4" t="s">
        <v>484</v>
      </c>
      <c r="B7718" s="36" t="s">
        <v>485</v>
      </c>
      <c r="C7718" s="39" t="n">
        <f aca="false">$C$7689*C7712+$C$7693*C7713+$C$7697*C7714</f>
        <v>421.51972352</v>
      </c>
      <c r="D7718" s="39" t="n">
        <f aca="false">$C$7689*D7712+$C$7693*D7713+$C$7697*D7714</f>
        <v>843.03944704</v>
      </c>
      <c r="E7718" s="39" t="n">
        <f aca="false">$C$7689*E7712+$C$7693*E7713+$C$7697*E7714</f>
        <v>843.03944704</v>
      </c>
      <c r="F7718" s="39" t="n">
        <f aca="false">$C$7689*F7712+$C$7693*F7713+$C$7697*F7714</f>
        <v>843.03944704</v>
      </c>
      <c r="G7718" s="39" t="n">
        <f aca="false">$C$7689*G7712+$C$7693*G7713+$C$7697*G7714</f>
        <v>1149.32798176</v>
      </c>
      <c r="H7718" s="39" t="n">
        <f aca="false">$C$7689*H7712+$C$7693*H7713+$C$7697*H7714</f>
        <v>1455.61651648</v>
      </c>
      <c r="I7718" s="39" t="n">
        <f aca="false">$C$7689*I7712+$C$7693*I7713+$C$7697*I7714</f>
        <v>2486.00303616</v>
      </c>
      <c r="J7718" s="39" t="n">
        <f aca="false">$C$7689*J7712+$C$7693*J7713+$C$7697*J7714</f>
        <v>3516.38955584</v>
      </c>
      <c r="K7718" s="39" t="n">
        <f aca="false">$C$7689*K7712+$C$7693*K7713+$C$7697*K7714</f>
        <v>3516.38955584</v>
      </c>
      <c r="L7718" s="39" t="n">
        <f aca="false">$C$7689*L7712+$C$7693*L7713+$C$7697*L7714</f>
        <v>3516.38955584</v>
      </c>
      <c r="M7718" s="39" t="n">
        <f aca="false">$C$7689*M7712+$C$7693*M7713+$C$7697*M7714</f>
        <v>3516.38955584</v>
      </c>
      <c r="N7718" s="39" t="n">
        <f aca="false">$C$7689*N7712+$C$7693*N7713+$C$7697*N7714</f>
        <v>3516.38955584</v>
      </c>
      <c r="P7718" s="40" t="n">
        <f aca="false">F7718</f>
        <v>843.03944704</v>
      </c>
      <c r="Q7718" s="40" t="n">
        <f aca="false">J7718</f>
        <v>3516.38955584</v>
      </c>
      <c r="R7718" s="40" t="n">
        <f aca="false">N7718</f>
        <v>3516.38955584</v>
      </c>
      <c r="S7718" s="41" t="n">
        <f aca="false">R7718</f>
        <v>3516.38955584</v>
      </c>
    </row>
    <row r="7719" customFormat="false" ht="15" hidden="false" customHeight="false" outlineLevel="0" collapsed="false">
      <c r="A7719" s="4" t="s">
        <v>486</v>
      </c>
      <c r="B7719" s="36" t="s">
        <v>485</v>
      </c>
      <c r="C7719" s="39" t="n">
        <f aca="false">$C$7690*C7712+$C$7694*C7713+$C$7698*C7714</f>
        <v>105.59808</v>
      </c>
      <c r="D7719" s="39" t="n">
        <f aca="false">$C$7690*D7712+$C$7694*D7713+$C$7698*D7714</f>
        <v>211.19616</v>
      </c>
      <c r="E7719" s="39" t="n">
        <f aca="false">$C$7690*E7712+$C$7694*E7713+$C$7698*E7714</f>
        <v>211.19616</v>
      </c>
      <c r="F7719" s="39" t="n">
        <f aca="false">$C$7690*F7712+$C$7694*F7713+$C$7698*F7714</f>
        <v>211.19616</v>
      </c>
      <c r="G7719" s="39" t="n">
        <f aca="false">$C$7690*G7712+$C$7694*G7713+$C$7698*G7714</f>
        <v>282.24672</v>
      </c>
      <c r="H7719" s="39" t="n">
        <f aca="false">$C$7690*H7712+$C$7694*H7713+$C$7698*H7714</f>
        <v>353.29728</v>
      </c>
      <c r="I7719" s="39" t="n">
        <f aca="false">$C$7690*I7712+$C$7694*I7713+$C$7698*I7714</f>
        <v>567.53536</v>
      </c>
      <c r="J7719" s="39" t="n">
        <f aca="false">$C$7690*J7712+$C$7694*J7713+$C$7698*J7714</f>
        <v>781.77344</v>
      </c>
      <c r="K7719" s="39" t="n">
        <f aca="false">$C$7690*K7712+$C$7694*K7713+$C$7698*K7714</f>
        <v>781.77344</v>
      </c>
      <c r="L7719" s="39" t="n">
        <f aca="false">$C$7690*L7712+$C$7694*L7713+$C$7698*L7714</f>
        <v>781.77344</v>
      </c>
      <c r="M7719" s="39" t="n">
        <f aca="false">$C$7690*M7712+$C$7694*M7713+$C$7698*M7714</f>
        <v>781.77344</v>
      </c>
      <c r="N7719" s="39" t="n">
        <f aca="false">$C$7690*N7712+$C$7694*N7713+$C$7698*N7714</f>
        <v>781.77344</v>
      </c>
      <c r="P7719" s="40" t="n">
        <f aca="false">F7719</f>
        <v>211.19616</v>
      </c>
      <c r="Q7719" s="40" t="n">
        <f aca="false">J7719</f>
        <v>781.77344</v>
      </c>
      <c r="R7719" s="40" t="n">
        <f aca="false">N7719</f>
        <v>781.77344</v>
      </c>
      <c r="S7719" s="41" t="n">
        <f aca="false">R7719</f>
        <v>781.77344</v>
      </c>
    </row>
    <row r="7720" customFormat="false" ht="15" hidden="false" customHeight="false" outlineLevel="0" collapsed="false">
      <c r="A7720" s="4" t="s">
        <v>487</v>
      </c>
      <c r="B7720" s="36" t="s">
        <v>485</v>
      </c>
      <c r="C7720" s="39" t="n">
        <f aca="false">$C$7691*C7712+$C$7695*C7713+$C$7699*C7714</f>
        <v>24.76992</v>
      </c>
      <c r="D7720" s="39" t="n">
        <f aca="false">$C$7691*D7712+$C$7695*D7713+$C$7699*D7714</f>
        <v>49.53984</v>
      </c>
      <c r="E7720" s="39" t="n">
        <f aca="false">$C$7691*E7712+$C$7695*E7713+$C$7699*E7714</f>
        <v>49.53984</v>
      </c>
      <c r="F7720" s="39" t="n">
        <f aca="false">$C$7691*F7712+$C$7695*F7713+$C$7699*F7714</f>
        <v>49.53984</v>
      </c>
      <c r="G7720" s="39" t="n">
        <f aca="false">$C$7691*G7712+$C$7695*G7713+$C$7699*G7714</f>
        <v>61.9248</v>
      </c>
      <c r="H7720" s="39" t="n">
        <f aca="false">$C$7691*H7712+$C$7695*H7713+$C$7699*H7714</f>
        <v>74.30976</v>
      </c>
      <c r="I7720" s="39" t="n">
        <f aca="false">$C$7691*I7712+$C$7695*I7713+$C$7699*I7714</f>
        <v>114.072</v>
      </c>
      <c r="J7720" s="39" t="n">
        <f aca="false">$C$7691*J7712+$C$7695*J7713+$C$7699*J7714</f>
        <v>153.83424</v>
      </c>
      <c r="K7720" s="39" t="n">
        <f aca="false">$C$7691*K7712+$C$7695*K7713+$C$7699*K7714</f>
        <v>153.83424</v>
      </c>
      <c r="L7720" s="39" t="n">
        <f aca="false">$C$7691*L7712+$C$7695*L7713+$C$7699*L7714</f>
        <v>153.83424</v>
      </c>
      <c r="M7720" s="39" t="n">
        <f aca="false">$C$7691*M7712+$C$7695*M7713+$C$7699*M7714</f>
        <v>153.83424</v>
      </c>
      <c r="N7720" s="39" t="n">
        <f aca="false">$C$7691*N7712+$C$7695*N7713+$C$7699*N7714</f>
        <v>153.83424</v>
      </c>
      <c r="P7720" s="40" t="n">
        <f aca="false">F7720</f>
        <v>49.53984</v>
      </c>
      <c r="Q7720" s="40" t="n">
        <f aca="false">J7720</f>
        <v>153.83424</v>
      </c>
      <c r="R7720" s="40" t="n">
        <f aca="false">N7720</f>
        <v>153.83424</v>
      </c>
      <c r="S7720" s="41" t="n">
        <f aca="false">R7720</f>
        <v>153.83424</v>
      </c>
    </row>
    <row r="7721" customFormat="false" ht="15" hidden="false" customHeight="false" outlineLevel="0" collapsed="false">
      <c r="A7721" s="4" t="s">
        <v>488</v>
      </c>
      <c r="B7721" s="36" t="s">
        <v>485</v>
      </c>
      <c r="C7721" s="39" t="n">
        <f aca="false">C7718+C7719+C7720</f>
        <v>551.88772352</v>
      </c>
      <c r="D7721" s="39" t="n">
        <f aca="false">D7718+D7719+D7720</f>
        <v>1103.77544704</v>
      </c>
      <c r="E7721" s="39" t="n">
        <f aca="false">E7718+E7719+E7720</f>
        <v>1103.77544704</v>
      </c>
      <c r="F7721" s="39" t="n">
        <f aca="false">F7718+F7719+F7720</f>
        <v>1103.77544704</v>
      </c>
      <c r="G7721" s="39" t="n">
        <f aca="false">G7718+G7719+G7720</f>
        <v>1493.49950176</v>
      </c>
      <c r="H7721" s="39" t="n">
        <f aca="false">H7718+H7719+H7720</f>
        <v>1883.22355648</v>
      </c>
      <c r="I7721" s="39" t="n">
        <f aca="false">I7718+I7719+I7720</f>
        <v>3167.61039616</v>
      </c>
      <c r="J7721" s="39" t="n">
        <f aca="false">J7718+J7719+J7720</f>
        <v>4451.99723584</v>
      </c>
      <c r="K7721" s="39" t="n">
        <f aca="false">K7718+K7719+K7720</f>
        <v>4451.99723584</v>
      </c>
      <c r="L7721" s="39" t="n">
        <f aca="false">L7718+L7719+L7720</f>
        <v>4451.99723584</v>
      </c>
      <c r="M7721" s="39" t="n">
        <f aca="false">M7718+M7719+M7720</f>
        <v>4451.99723584</v>
      </c>
      <c r="N7721" s="39" t="n">
        <f aca="false">N7718+N7719+N7720</f>
        <v>4451.99723584</v>
      </c>
      <c r="P7721" s="40" t="n">
        <f aca="false">F7721</f>
        <v>1103.77544704</v>
      </c>
      <c r="Q7721" s="40" t="n">
        <f aca="false">J7721</f>
        <v>4451.99723584</v>
      </c>
      <c r="R7721" s="40" t="n">
        <f aca="false">N7721</f>
        <v>4451.99723584</v>
      </c>
      <c r="S7721" s="41" t="n">
        <f aca="false">R7721</f>
        <v>4451.99723584</v>
      </c>
    </row>
    <row r="7722" customFormat="false" ht="15" hidden="false" customHeight="false" outlineLevel="0" collapsed="false">
      <c r="A7722" s="4" t="s">
        <v>489</v>
      </c>
      <c r="B7722" s="36" t="s">
        <v>485</v>
      </c>
      <c r="C7722" s="39" t="n">
        <f aca="false">$C$7692*C7712*C7715+$C$7696*C7713*C7716+$C$7700*C7714*C7717</f>
        <v>551.88772352</v>
      </c>
      <c r="D7722" s="39" t="n">
        <f aca="false">$C$7692*D7712*D7715+$C$7696*D7713*D7716+$C$7700*D7714*D7717</f>
        <v>1027.17879437302</v>
      </c>
      <c r="E7722" s="39" t="n">
        <f aca="false">$C$7692*E7712*E7715+$C$7696*E7713*E7716+$C$7700*E7714*E7717</f>
        <v>955.897577210165</v>
      </c>
      <c r="F7722" s="39" t="n">
        <f aca="false">$C$7692*F7712*F7715+$C$7696*F7713*F7716+$C$7700*F7714*F7717</f>
        <v>889.562930155704</v>
      </c>
      <c r="G7722" s="39" t="n">
        <f aca="false">$C$7692*G7712*G7715+$C$7696*G7713*G7716+$C$7700*G7714*G7717</f>
        <v>1217.55564</v>
      </c>
      <c r="H7722" s="39" t="n">
        <f aca="false">$C$7692*H7712*H7715+$C$7696*H7713*H7716+$C$7700*H7714*H7717</f>
        <v>1495.74229384257</v>
      </c>
      <c r="I7722" s="39" t="n">
        <f aca="false">$C$7692*I7712*I7715+$C$7696*I7713*I7716+$C$7700*I7714*I7717</f>
        <v>2676.33188629442</v>
      </c>
      <c r="J7722" s="39" t="n">
        <f aca="false">$C$7692*J7712*J7715+$C$7696*J7713*J7716+$C$7700*J7714*J7717</f>
        <v>3685.86409192847</v>
      </c>
      <c r="K7722" s="39" t="n">
        <f aca="false">$C$7692*K7712*K7715+$C$7696*K7713*K7716+$C$7700*K7714*K7717</f>
        <v>3430.08303393858</v>
      </c>
      <c r="L7722" s="39" t="n">
        <f aca="false">$C$7692*L7712*L7715+$C$7696*L7713*L7716+$C$7700*L7714*L7717</f>
        <v>3192.05193850692</v>
      </c>
      <c r="M7722" s="39" t="n">
        <f aca="false">$C$7692*M7712*M7715+$C$7696*M7713*M7716+$C$7700*M7714*M7717</f>
        <v>2970.53904448081</v>
      </c>
      <c r="N7722" s="39" t="n">
        <f aca="false">$C$7692*N7712*N7715+$C$7696*N7713*N7716+$C$7700*N7714*N7717</f>
        <v>2764.39806894635</v>
      </c>
      <c r="P7722" s="40"/>
      <c r="Q7722" s="40"/>
      <c r="R7722" s="40"/>
      <c r="S7722" s="41"/>
    </row>
    <row r="7723" customFormat="false" ht="15" hidden="false" customHeight="false" outlineLevel="0" collapsed="false">
      <c r="A7723" s="4" t="s">
        <v>490</v>
      </c>
      <c r="B7723" s="36" t="s">
        <v>491</v>
      </c>
      <c r="C7723" s="48" t="n">
        <f aca="false">$C$7704*Assumptions!$E$20*C7711*C7722</f>
        <v>6.62265268224</v>
      </c>
      <c r="D7723" s="48" t="n">
        <f aca="false">$C$7704*Assumptions!$E$20*D7711*D7722</f>
        <v>12.3261455324762</v>
      </c>
      <c r="E7723" s="48" t="n">
        <f aca="false">$C$7704*Assumptions!$E$20*E7711*E7722</f>
        <v>11.470770926522</v>
      </c>
      <c r="F7723" s="48" t="n">
        <f aca="false">$C$7704*Assumptions!$E$20*F7711*F7722</f>
        <v>10.6747551618685</v>
      </c>
      <c r="G7723" s="48" t="n">
        <f aca="false">$C$7704*Assumptions!$E$20*G7711*G7722</f>
        <v>14.61066768</v>
      </c>
      <c r="H7723" s="48" t="n">
        <f aca="false">$C$7704*Assumptions!$E$20*H7711*H7722</f>
        <v>17.9489075261109</v>
      </c>
      <c r="I7723" s="48" t="n">
        <f aca="false">$C$7704*Assumptions!$E$20*I7711*I7722</f>
        <v>32.115982635533</v>
      </c>
      <c r="J7723" s="48" t="n">
        <f aca="false">$C$7704*Assumptions!$E$20*J7711*J7722</f>
        <v>44.2303691031417</v>
      </c>
      <c r="K7723" s="48" t="n">
        <f aca="false">$C$7704*Assumptions!$E$20*K7711*K7722</f>
        <v>41.160996407263</v>
      </c>
      <c r="L7723" s="48" t="n">
        <f aca="false">$C$7704*Assumptions!$E$20*L7711*L7722</f>
        <v>38.304623262083</v>
      </c>
      <c r="M7723" s="48" t="n">
        <f aca="false">$C$7704*Assumptions!$E$20*M7711*M7722</f>
        <v>35.6464685337698</v>
      </c>
      <c r="N7723" s="48" t="n">
        <f aca="false">$C$7704*Assumptions!$E$20*N7711*N7722</f>
        <v>33.1727768273562</v>
      </c>
      <c r="P7723" s="49" t="n">
        <f aca="false">SUM(C7723:F7723)</f>
        <v>41.0943243031066</v>
      </c>
      <c r="Q7723" s="49" t="n">
        <f aca="false">SUM(G7723:J7723)</f>
        <v>108.905926944786</v>
      </c>
      <c r="R7723" s="49" t="n">
        <f aca="false">SUM(K7723:N7723)</f>
        <v>148.284865030472</v>
      </c>
      <c r="S7723" s="50" t="n">
        <f aca="false">SUM(P7723:R7723)</f>
        <v>298.285116278364</v>
      </c>
    </row>
    <row r="7724" customFormat="false" ht="15" hidden="false" customHeight="false" outlineLevel="0" collapsed="false">
      <c r="A7724" s="4" t="s">
        <v>492</v>
      </c>
      <c r="B7724" s="36" t="s">
        <v>321</v>
      </c>
      <c r="C7724" s="48" t="n">
        <f aca="false">Assumptions!$D$111</f>
        <v>0</v>
      </c>
      <c r="D7724" s="48" t="n">
        <f aca="false">Assumptions!$E$111</f>
        <v>0</v>
      </c>
      <c r="E7724" s="48" t="n">
        <f aca="false">Assumptions!$F$111</f>
        <v>0</v>
      </c>
      <c r="F7724" s="48" t="n">
        <f aca="false">Assumptions!$G$111</f>
        <v>0</v>
      </c>
      <c r="G7724" s="48" t="n">
        <f aca="false">Assumptions!$H$111</f>
        <v>0</v>
      </c>
      <c r="H7724" s="48" t="n">
        <f aca="false">Assumptions!$I$111</f>
        <v>0</v>
      </c>
      <c r="I7724" s="48" t="n">
        <f aca="false">Assumptions!$J$111</f>
        <v>0</v>
      </c>
      <c r="J7724" s="48" t="n">
        <f aca="false">Assumptions!$K$111</f>
        <v>0</v>
      </c>
      <c r="K7724" s="48" t="n">
        <f aca="false">Assumptions!$L$111</f>
        <v>0</v>
      </c>
      <c r="L7724" s="48" t="n">
        <f aca="false">Assumptions!$M$111</f>
        <v>0</v>
      </c>
      <c r="M7724" s="48" t="n">
        <f aca="false">Assumptions!$N$111</f>
        <v>0</v>
      </c>
      <c r="N7724" s="48" t="n">
        <f aca="false">Assumptions!$O$111</f>
        <v>0</v>
      </c>
      <c r="P7724" s="49" t="n">
        <f aca="false">F7724</f>
        <v>0</v>
      </c>
      <c r="Q7724" s="49" t="n">
        <f aca="false">J7724</f>
        <v>0</v>
      </c>
      <c r="R7724" s="49" t="n">
        <f aca="false">N7724</f>
        <v>0</v>
      </c>
      <c r="S7724" s="50" t="n">
        <f aca="false">R7724</f>
        <v>0</v>
      </c>
    </row>
    <row r="7725" customFormat="false" ht="15" hidden="false" customHeight="false" outlineLevel="0" collapsed="false">
      <c r="A7725" s="4" t="s">
        <v>493</v>
      </c>
      <c r="B7725" s="36" t="s">
        <v>321</v>
      </c>
      <c r="C7725" s="48" t="n">
        <f aca="false">0</f>
        <v>0</v>
      </c>
      <c r="D7725" s="48" t="n">
        <f aca="false">0.5*C7724</f>
        <v>0</v>
      </c>
      <c r="E7725" s="48" t="n">
        <f aca="false">C7724+0.5*(D7724-C7724)</f>
        <v>0</v>
      </c>
      <c r="F7725" s="48" t="n">
        <f aca="false">D7724+0.5*(E7724-D7724)</f>
        <v>0</v>
      </c>
      <c r="G7725" s="48" t="n">
        <f aca="false">E7724+0.5*(F7724-E7724)</f>
        <v>0</v>
      </c>
      <c r="H7725" s="48" t="n">
        <f aca="false">F7724+0.5*(G7724-F7724)</f>
        <v>0</v>
      </c>
      <c r="I7725" s="48" t="n">
        <f aca="false">G7724+0.5*(H7724-G7724)</f>
        <v>0</v>
      </c>
      <c r="J7725" s="48" t="n">
        <f aca="false">H7724+0.5*(I7724-H7724)</f>
        <v>0</v>
      </c>
      <c r="K7725" s="48" t="n">
        <f aca="false">I7724+0.5*(J7724-I7724)</f>
        <v>0</v>
      </c>
      <c r="L7725" s="48" t="n">
        <f aca="false">J7724+0.5*(K7724-J7724)</f>
        <v>0</v>
      </c>
      <c r="M7725" s="48" t="n">
        <f aca="false">K7724+0.5*(L7724-K7724)</f>
        <v>0</v>
      </c>
      <c r="N7725" s="48" t="n">
        <f aca="false">L7724+0.5*(M7724-L7724)</f>
        <v>0</v>
      </c>
      <c r="P7725" s="49" t="n">
        <f aca="false">F7725</f>
        <v>0</v>
      </c>
      <c r="Q7725" s="49" t="n">
        <f aca="false">J7725</f>
        <v>0</v>
      </c>
      <c r="R7725" s="49" t="n">
        <f aca="false">N7725</f>
        <v>0</v>
      </c>
      <c r="S7725" s="50" t="n">
        <f aca="false">R7725</f>
        <v>0</v>
      </c>
    </row>
    <row r="7726" customFormat="false" ht="15" hidden="false" customHeight="false" outlineLevel="0" collapsed="false">
      <c r="A7726" s="4" t="s">
        <v>494</v>
      </c>
      <c r="B7726" s="36" t="s">
        <v>485</v>
      </c>
      <c r="C7726" s="39" t="n">
        <f aca="false">MIN(C7725*Assumptions!$E$38,C7721*(1-$C$7704))</f>
        <v>0</v>
      </c>
      <c r="D7726" s="39" t="n">
        <f aca="false">MIN(D7725*Assumptions!$E$38,D7721*(1-$C$7704))</f>
        <v>0</v>
      </c>
      <c r="E7726" s="39" t="n">
        <f aca="false">MIN(E7725*Assumptions!$E$38,E7721*(1-$C$7704))</f>
        <v>0</v>
      </c>
      <c r="F7726" s="39" t="n">
        <f aca="false">MIN(F7725*Assumptions!$E$38,F7721*(1-$C$7704))</f>
        <v>0</v>
      </c>
      <c r="G7726" s="39" t="n">
        <f aca="false">MIN(G7725*Assumptions!$E$38,G7721*(1-$C$7704))</f>
        <v>0</v>
      </c>
      <c r="H7726" s="39" t="n">
        <f aca="false">MIN(H7725*Assumptions!$E$38,H7721*(1-$C$7704))</f>
        <v>0</v>
      </c>
      <c r="I7726" s="39" t="n">
        <f aca="false">MIN(I7725*Assumptions!$E$38,I7721*(1-$C$7704))</f>
        <v>0</v>
      </c>
      <c r="J7726" s="39" t="n">
        <f aca="false">MIN(J7725*Assumptions!$E$38,J7721*(1-$C$7704))</f>
        <v>0</v>
      </c>
      <c r="K7726" s="39" t="n">
        <f aca="false">MIN(K7725*Assumptions!$E$38,K7721*(1-$C$7704))</f>
        <v>0</v>
      </c>
      <c r="L7726" s="39" t="n">
        <f aca="false">MIN(L7725*Assumptions!$E$38,L7721*(1-$C$7704))</f>
        <v>0</v>
      </c>
      <c r="M7726" s="39" t="n">
        <f aca="false">MIN(M7725*Assumptions!$E$38,M7721*(1-$C$7704))</f>
        <v>0</v>
      </c>
      <c r="N7726" s="39" t="n">
        <f aca="false">MIN(N7725*Assumptions!$E$38,N7721*(1-$C$7704))</f>
        <v>0</v>
      </c>
      <c r="P7726" s="40" t="n">
        <f aca="false">SUM(C7726:F7726)</f>
        <v>0</v>
      </c>
      <c r="Q7726" s="40" t="n">
        <f aca="false">SUM(G7726:J7726)</f>
        <v>0</v>
      </c>
      <c r="R7726" s="40" t="n">
        <f aca="false">SUM(K7726:N7726)</f>
        <v>0</v>
      </c>
      <c r="S7726" s="41" t="n">
        <f aca="false">SUM(P7726:R7726)</f>
        <v>0</v>
      </c>
    </row>
    <row r="7727" customFormat="false" ht="15" hidden="false" customHeight="false" outlineLevel="0" collapsed="false">
      <c r="A7727" s="4" t="s">
        <v>495</v>
      </c>
      <c r="B7727" s="36" t="s">
        <v>491</v>
      </c>
      <c r="C7727" s="48" t="n">
        <f aca="false">C7726*Assumptions!$E$20*Assumptions!$E$39*IF(C7721&gt;0,C7722/C7721,0)*C7711</f>
        <v>0</v>
      </c>
      <c r="D7727" s="48" t="n">
        <f aca="false">D7726*Assumptions!$E$20*Assumptions!$E$39*IF(D7721&gt;0,D7722/D7721,0)*D7711</f>
        <v>0</v>
      </c>
      <c r="E7727" s="48" t="n">
        <f aca="false">E7726*Assumptions!$E$20*Assumptions!$E$39*IF(E7721&gt;0,E7722/E7721,0)*E7711</f>
        <v>0</v>
      </c>
      <c r="F7727" s="48" t="n">
        <f aca="false">F7726*Assumptions!$E$20*Assumptions!$E$39*IF(F7721&gt;0,F7722/F7721,0)*F7711</f>
        <v>0</v>
      </c>
      <c r="G7727" s="48" t="n">
        <f aca="false">G7726*Assumptions!$E$20*Assumptions!$E$39*IF(G7721&gt;0,G7722/G7721,0)*G7711</f>
        <v>0</v>
      </c>
      <c r="H7727" s="48" t="n">
        <f aca="false">H7726*Assumptions!$E$20*Assumptions!$E$39*IF(H7721&gt;0,H7722/H7721,0)*H7711</f>
        <v>0</v>
      </c>
      <c r="I7727" s="48" t="n">
        <f aca="false">I7726*Assumptions!$E$20*Assumptions!$E$39*IF(I7721&gt;0,I7722/I7721,0)*I7711</f>
        <v>0</v>
      </c>
      <c r="J7727" s="48" t="n">
        <f aca="false">J7726*Assumptions!$E$20*Assumptions!$E$39*IF(J7721&gt;0,J7722/J7721,0)*J7711</f>
        <v>0</v>
      </c>
      <c r="K7727" s="48" t="n">
        <f aca="false">K7726*Assumptions!$E$20*Assumptions!$E$39*IF(K7721&gt;0,K7722/K7721,0)*K7711</f>
        <v>0</v>
      </c>
      <c r="L7727" s="48" t="n">
        <f aca="false">L7726*Assumptions!$E$20*Assumptions!$E$39*IF(L7721&gt;0,L7722/L7721,0)*L7711</f>
        <v>0</v>
      </c>
      <c r="M7727" s="48" t="n">
        <f aca="false">M7726*Assumptions!$E$20*Assumptions!$E$39*IF(M7721&gt;0,M7722/M7721,0)*M7711</f>
        <v>0</v>
      </c>
      <c r="N7727" s="48" t="n">
        <f aca="false">N7726*Assumptions!$E$20*Assumptions!$E$39*IF(N7721&gt;0,N7722/N7721,0)*N7711</f>
        <v>0</v>
      </c>
      <c r="P7727" s="49" t="n">
        <f aca="false">SUM(C7727:F7727)</f>
        <v>0</v>
      </c>
      <c r="Q7727" s="49" t="n">
        <f aca="false">SUM(G7727:J7727)</f>
        <v>0</v>
      </c>
      <c r="R7727" s="49" t="n">
        <f aca="false">SUM(K7727:N7727)</f>
        <v>0</v>
      </c>
      <c r="S7727" s="50" t="n">
        <f aca="false">SUM(P7727:R7727)</f>
        <v>0</v>
      </c>
    </row>
    <row r="7728" customFormat="false" ht="15" hidden="false" customHeight="false" outlineLevel="0" collapsed="false">
      <c r="A7728" s="4" t="s">
        <v>496</v>
      </c>
      <c r="B7728" s="36" t="s">
        <v>497</v>
      </c>
      <c r="C7728" s="48" t="n">
        <f aca="false">IF(AND(C7721&gt;0,$C$7708&gt;0),C7721*Assumptions!$E$24*(1-EXP(-$C$7708/(Assumptions!$E$23*C7721*Assumptions!$E$24))),0)</f>
        <v>0</v>
      </c>
      <c r="D7728" s="48" t="n">
        <f aca="false">IF(AND(D7721&gt;0,$C$7708&gt;0),D7721*Assumptions!$E$24*(1-EXP(-$C$7708/(Assumptions!$E$23*D7721*Assumptions!$E$24))),0)</f>
        <v>0</v>
      </c>
      <c r="E7728" s="48" t="n">
        <f aca="false">IF(AND(E7721&gt;0,$C$7708&gt;0),E7721*Assumptions!$E$24*(1-EXP(-$C$7708/(Assumptions!$E$23*E7721*Assumptions!$E$24))),0)</f>
        <v>0</v>
      </c>
      <c r="F7728" s="48" t="n">
        <f aca="false">IF(AND(F7721&gt;0,$C$7708&gt;0),F7721*Assumptions!$E$24*(1-EXP(-$C$7708/(Assumptions!$E$23*F7721*Assumptions!$E$24))),0)</f>
        <v>0</v>
      </c>
      <c r="G7728" s="48" t="n">
        <f aca="false">IF(AND(G7721&gt;0,$C$7708&gt;0),G7721*Assumptions!$E$24*(1-EXP(-$C$7708/(Assumptions!$E$23*G7721*Assumptions!$E$24))),0)</f>
        <v>0</v>
      </c>
      <c r="H7728" s="48" t="n">
        <f aca="false">IF(AND(H7721&gt;0,$C$7708&gt;0),H7721*Assumptions!$E$24*(1-EXP(-$C$7708/(Assumptions!$E$23*H7721*Assumptions!$E$24))),0)</f>
        <v>0</v>
      </c>
      <c r="I7728" s="48" t="n">
        <f aca="false">IF(AND(I7721&gt;0,$C$7708&gt;0),I7721*Assumptions!$E$24*(1-EXP(-$C$7708/(Assumptions!$E$23*I7721*Assumptions!$E$24))),0)</f>
        <v>0</v>
      </c>
      <c r="J7728" s="48" t="n">
        <f aca="false">IF(AND(J7721&gt;0,$C$7708&gt;0),J7721*Assumptions!$E$24*(1-EXP(-$C$7708/(Assumptions!$E$23*J7721*Assumptions!$E$24))),0)</f>
        <v>0</v>
      </c>
      <c r="K7728" s="48" t="n">
        <f aca="false">IF(AND(K7721&gt;0,$C$7708&gt;0),K7721*Assumptions!$E$24*(1-EXP(-$C$7708/(Assumptions!$E$23*K7721*Assumptions!$E$24))),0)</f>
        <v>0</v>
      </c>
      <c r="L7728" s="48" t="n">
        <f aca="false">IF(AND(L7721&gt;0,$C$7708&gt;0),L7721*Assumptions!$E$24*(1-EXP(-$C$7708/(Assumptions!$E$23*L7721*Assumptions!$E$24))),0)</f>
        <v>0</v>
      </c>
      <c r="M7728" s="48" t="n">
        <f aca="false">IF(AND(M7721&gt;0,$C$7708&gt;0),M7721*Assumptions!$E$24*(1-EXP(-$C$7708/(Assumptions!$E$23*M7721*Assumptions!$E$24))),0)</f>
        <v>0</v>
      </c>
      <c r="N7728" s="48" t="n">
        <f aca="false">IF(AND(N7721&gt;0,$C$7708&gt;0),N7721*Assumptions!$E$24*(1-EXP(-$C$7708/(Assumptions!$E$23*N7721*Assumptions!$E$24))),0)</f>
        <v>0</v>
      </c>
      <c r="P7728" s="49" t="n">
        <f aca="false">SUM(C7728:F7728)</f>
        <v>0</v>
      </c>
      <c r="Q7728" s="49" t="n">
        <f aca="false">SUM(G7728:J7728)</f>
        <v>0</v>
      </c>
      <c r="R7728" s="49" t="n">
        <f aca="false">SUM(K7728:N7728)</f>
        <v>0</v>
      </c>
      <c r="S7728" s="50" t="n">
        <f aca="false">SUM(P7728:R7728)</f>
        <v>0</v>
      </c>
    </row>
    <row r="7729" customFormat="false" ht="15" hidden="false" customHeight="false" outlineLevel="0" collapsed="false">
      <c r="A7729" s="4" t="s">
        <v>498</v>
      </c>
      <c r="B7729" s="36" t="s">
        <v>497</v>
      </c>
      <c r="C7729" s="48" t="n">
        <f aca="false">(C7721*Assumptions!$E$22*MIN(1,Assumptions!$D$103/Assumptions!$E$78)+C7728)*C7711</f>
        <v>5.5188772352</v>
      </c>
      <c r="D7729" s="48" t="n">
        <f aca="false">(D7721*Assumptions!$E$22*MIN(1,Assumptions!$D$103/Assumptions!$E$78)+D7728)*D7711</f>
        <v>11.0377544704</v>
      </c>
      <c r="E7729" s="48" t="n">
        <f aca="false">(E7721*Assumptions!$E$22*MIN(1,Assumptions!$D$103/Assumptions!$E$78)+E7728)*E7711</f>
        <v>11.0377544704</v>
      </c>
      <c r="F7729" s="48" t="n">
        <f aca="false">(F7721*Assumptions!$E$22*MIN(1,Assumptions!$D$103/Assumptions!$E$78)+F7728)*F7711</f>
        <v>11.0377544704</v>
      </c>
      <c r="G7729" s="48" t="n">
        <f aca="false">(G7721*Assumptions!$E$22*MIN(1,Assumptions!$D$103/Assumptions!$E$78)+G7728)*G7711</f>
        <v>14.9349950176</v>
      </c>
      <c r="H7729" s="48" t="n">
        <f aca="false">(H7721*Assumptions!$E$22*MIN(1,Assumptions!$D$103/Assumptions!$E$78)+H7728)*H7711</f>
        <v>18.8322355648</v>
      </c>
      <c r="I7729" s="48" t="n">
        <f aca="false">(I7721*Assumptions!$E$22*MIN(1,Assumptions!$D$103/Assumptions!$E$78)+I7728)*I7711</f>
        <v>31.6761039616</v>
      </c>
      <c r="J7729" s="48" t="n">
        <f aca="false">(J7721*Assumptions!$E$22*MIN(1,Assumptions!$D$103/Assumptions!$E$78)+J7728)*J7711</f>
        <v>44.5199723584</v>
      </c>
      <c r="K7729" s="48" t="n">
        <f aca="false">(K7721*Assumptions!$E$22*MIN(1,Assumptions!$D$103/Assumptions!$E$78)+K7728)*K7711</f>
        <v>44.5199723584</v>
      </c>
      <c r="L7729" s="48" t="n">
        <f aca="false">(L7721*Assumptions!$E$22*MIN(1,Assumptions!$D$103/Assumptions!$E$78)+L7728)*L7711</f>
        <v>44.5199723584</v>
      </c>
      <c r="M7729" s="48" t="n">
        <f aca="false">(M7721*Assumptions!$E$22*MIN(1,Assumptions!$D$103/Assumptions!$E$78)+M7728)*M7711</f>
        <v>44.5199723584</v>
      </c>
      <c r="N7729" s="48" t="n">
        <f aca="false">(N7721*Assumptions!$E$22*MIN(1,Assumptions!$D$103/Assumptions!$E$78)+N7728)*N7711</f>
        <v>44.5199723584</v>
      </c>
      <c r="P7729" s="49" t="n">
        <f aca="false">SUM(C7729:F7729)</f>
        <v>38.6321406464</v>
      </c>
      <c r="Q7729" s="49" t="n">
        <f aca="false">SUM(G7729:J7729)</f>
        <v>109.9633069024</v>
      </c>
      <c r="R7729" s="49" t="n">
        <f aca="false">SUM(K7729:N7729)</f>
        <v>178.0798894336</v>
      </c>
      <c r="S7729" s="50" t="n">
        <f aca="false">SUM(P7729:R7729)</f>
        <v>326.6753369824</v>
      </c>
    </row>
    <row r="7730" customFormat="false" ht="15" hidden="false" customHeight="false" outlineLevel="0" collapsed="false">
      <c r="A7730" s="4" t="s">
        <v>499</v>
      </c>
      <c r="B7730" s="36" t="s">
        <v>500</v>
      </c>
      <c r="C7730" s="48" t="n">
        <f aca="false">C7711*MIN(Assumptions!$E$27,Assumptions!$E$25+Assumptions!$E$26*(C7710-1))*Assumptions!$D$107</f>
        <v>2</v>
      </c>
      <c r="D7730" s="48" t="n">
        <f aca="false">D7711*MIN(Assumptions!$E$27,Assumptions!$E$25+Assumptions!$E$26*(D7710-1))*Assumptions!$D$107</f>
        <v>3</v>
      </c>
      <c r="E7730" s="48" t="n">
        <f aca="false">E7711*MIN(Assumptions!$E$27,Assumptions!$E$25+Assumptions!$E$26*(E7710-1))*Assumptions!$D$107</f>
        <v>4</v>
      </c>
      <c r="F7730" s="48" t="n">
        <f aca="false">F7711*MIN(Assumptions!$E$27,Assumptions!$E$25+Assumptions!$E$26*(F7710-1))*Assumptions!$D$107</f>
        <v>5</v>
      </c>
      <c r="G7730" s="48" t="n">
        <f aca="false">G7711*MIN(Assumptions!$E$27,Assumptions!$E$25+Assumptions!$E$26*(G7710-1))*Assumptions!$D$107</f>
        <v>6</v>
      </c>
      <c r="H7730" s="48" t="n">
        <f aca="false">H7711*MIN(Assumptions!$E$27,Assumptions!$E$25+Assumptions!$E$26*(H7710-1))*Assumptions!$D$107</f>
        <v>7</v>
      </c>
      <c r="I7730" s="48" t="n">
        <f aca="false">I7711*MIN(Assumptions!$E$27,Assumptions!$E$25+Assumptions!$E$26*(I7710-1))*Assumptions!$D$107</f>
        <v>8</v>
      </c>
      <c r="J7730" s="48" t="n">
        <f aca="false">J7711*MIN(Assumptions!$E$27,Assumptions!$E$25+Assumptions!$E$26*(J7710-1))*Assumptions!$D$107</f>
        <v>9</v>
      </c>
      <c r="K7730" s="48" t="n">
        <f aca="false">K7711*MIN(Assumptions!$E$27,Assumptions!$E$25+Assumptions!$E$26*(K7710-1))*Assumptions!$D$107</f>
        <v>10</v>
      </c>
      <c r="L7730" s="48" t="n">
        <f aca="false">L7711*MIN(Assumptions!$E$27,Assumptions!$E$25+Assumptions!$E$26*(L7710-1))*Assumptions!$D$107</f>
        <v>10</v>
      </c>
      <c r="M7730" s="48" t="n">
        <f aca="false">M7711*MIN(Assumptions!$E$27,Assumptions!$E$25+Assumptions!$E$26*(M7710-1))*Assumptions!$D$107</f>
        <v>10</v>
      </c>
      <c r="N7730" s="48" t="n">
        <f aca="false">N7711*MIN(Assumptions!$E$27,Assumptions!$E$25+Assumptions!$E$26*(N7710-1))*Assumptions!$D$107</f>
        <v>10</v>
      </c>
      <c r="P7730" s="49" t="n">
        <f aca="false">F7730</f>
        <v>5</v>
      </c>
      <c r="Q7730" s="49" t="n">
        <f aca="false">J7730</f>
        <v>9</v>
      </c>
      <c r="R7730" s="49" t="n">
        <f aca="false">N7730</f>
        <v>10</v>
      </c>
      <c r="S7730" s="50" t="n">
        <f aca="false">R7730</f>
        <v>10</v>
      </c>
    </row>
    <row r="7731" customFormat="false" ht="15" hidden="false" customHeight="false" outlineLevel="0" collapsed="false">
      <c r="A7731" s="4" t="s">
        <v>501</v>
      </c>
      <c r="B7731" s="36" t="s">
        <v>502</v>
      </c>
      <c r="C7731" s="48" t="n">
        <f aca="false">C7730*Assumptions!$E$28</f>
        <v>6</v>
      </c>
      <c r="D7731" s="48" t="n">
        <f aca="false">D7730*Assumptions!$E$28</f>
        <v>9</v>
      </c>
      <c r="E7731" s="48" t="n">
        <f aca="false">E7730*Assumptions!$E$28</f>
        <v>12</v>
      </c>
      <c r="F7731" s="48" t="n">
        <f aca="false">F7730*Assumptions!$E$28</f>
        <v>15</v>
      </c>
      <c r="G7731" s="48" t="n">
        <f aca="false">G7730*Assumptions!$E$28</f>
        <v>18</v>
      </c>
      <c r="H7731" s="48" t="n">
        <f aca="false">H7730*Assumptions!$E$28</f>
        <v>21</v>
      </c>
      <c r="I7731" s="48" t="n">
        <f aca="false">I7730*Assumptions!$E$28</f>
        <v>24</v>
      </c>
      <c r="J7731" s="48" t="n">
        <f aca="false">J7730*Assumptions!$E$28</f>
        <v>27</v>
      </c>
      <c r="K7731" s="48" t="n">
        <f aca="false">K7730*Assumptions!$E$28</f>
        <v>30</v>
      </c>
      <c r="L7731" s="48" t="n">
        <f aca="false">L7730*Assumptions!$E$28</f>
        <v>30</v>
      </c>
      <c r="M7731" s="48" t="n">
        <f aca="false">M7730*Assumptions!$E$28</f>
        <v>30</v>
      </c>
      <c r="N7731" s="48" t="n">
        <f aca="false">N7730*Assumptions!$E$28</f>
        <v>30</v>
      </c>
      <c r="P7731" s="49" t="n">
        <f aca="false">SUM(C7731:F7731)</f>
        <v>42</v>
      </c>
      <c r="Q7731" s="49" t="n">
        <f aca="false">SUM(G7731:J7731)</f>
        <v>90</v>
      </c>
      <c r="R7731" s="49" t="n">
        <f aca="false">SUM(K7731:N7731)</f>
        <v>120</v>
      </c>
      <c r="S7731" s="50" t="n">
        <f aca="false">SUM(P7731:R7731)</f>
        <v>252</v>
      </c>
    </row>
    <row r="7732" customFormat="false" ht="15" hidden="false" customHeight="false" outlineLevel="0" collapsed="false">
      <c r="A7732" s="4" t="s">
        <v>503</v>
      </c>
      <c r="B7732" s="36" t="s">
        <v>504</v>
      </c>
      <c r="C7732" s="48" t="n">
        <f aca="false">(C7723+C7727)*Assumptions!$E$29</f>
        <v>2.649061072896</v>
      </c>
      <c r="D7732" s="48" t="n">
        <f aca="false">(D7723+D7727)*Assumptions!$E$29</f>
        <v>4.93045821299048</v>
      </c>
      <c r="E7732" s="48" t="n">
        <f aca="false">(E7723+E7727)*Assumptions!$E$29</f>
        <v>4.58830837060879</v>
      </c>
      <c r="F7732" s="48" t="n">
        <f aca="false">(F7723+F7727)*Assumptions!$E$29</f>
        <v>4.26990206474738</v>
      </c>
      <c r="G7732" s="48" t="n">
        <f aca="false">(G7723+G7727)*Assumptions!$E$29</f>
        <v>5.844267072</v>
      </c>
      <c r="H7732" s="48" t="n">
        <f aca="false">(H7723+H7727)*Assumptions!$E$29</f>
        <v>7.17956301044434</v>
      </c>
      <c r="I7732" s="48" t="n">
        <f aca="false">(I7723+I7727)*Assumptions!$E$29</f>
        <v>12.8463930542132</v>
      </c>
      <c r="J7732" s="48" t="n">
        <f aca="false">(J7723+J7727)*Assumptions!$E$29</f>
        <v>17.6921476412567</v>
      </c>
      <c r="K7732" s="48" t="n">
        <f aca="false">(K7723+K7727)*Assumptions!$E$29</f>
        <v>16.4643985629052</v>
      </c>
      <c r="L7732" s="48" t="n">
        <f aca="false">(L7723+L7727)*Assumptions!$E$29</f>
        <v>15.3218493048332</v>
      </c>
      <c r="M7732" s="48" t="n">
        <f aca="false">(M7723+M7727)*Assumptions!$E$29</f>
        <v>14.2585874135079</v>
      </c>
      <c r="N7732" s="48" t="n">
        <f aca="false">(N7723+N7727)*Assumptions!$E$29</f>
        <v>13.2691107309425</v>
      </c>
      <c r="P7732" s="49" t="n">
        <f aca="false">SUM(C7732:F7732)</f>
        <v>16.4377297212427</v>
      </c>
      <c r="Q7732" s="49" t="n">
        <f aca="false">SUM(G7732:J7732)</f>
        <v>43.5623707779142</v>
      </c>
      <c r="R7732" s="49" t="n">
        <f aca="false">SUM(K7732:N7732)</f>
        <v>59.3139460121888</v>
      </c>
      <c r="S7732" s="50" t="n">
        <f aca="false">SUM(P7732:R7732)</f>
        <v>119.314046511346</v>
      </c>
    </row>
    <row r="7733" customFormat="false" ht="15" hidden="false" customHeight="false" outlineLevel="0" collapsed="false">
      <c r="A7733" s="4" t="s">
        <v>505</v>
      </c>
      <c r="B7733" s="36" t="s">
        <v>504</v>
      </c>
      <c r="C7733" s="48" t="n">
        <f aca="false">C7729*Assumptions!$E$31</f>
        <v>0.883020357632</v>
      </c>
      <c r="D7733" s="48" t="n">
        <f aca="false">D7729*Assumptions!$E$31</f>
        <v>1.766040715264</v>
      </c>
      <c r="E7733" s="48" t="n">
        <f aca="false">E7729*Assumptions!$E$31</f>
        <v>1.766040715264</v>
      </c>
      <c r="F7733" s="48" t="n">
        <f aca="false">F7729*Assumptions!$E$31</f>
        <v>1.766040715264</v>
      </c>
      <c r="G7733" s="48" t="n">
        <f aca="false">G7729*Assumptions!$E$31</f>
        <v>2.389599202816</v>
      </c>
      <c r="H7733" s="48" t="n">
        <f aca="false">H7729*Assumptions!$E$31</f>
        <v>3.013157690368</v>
      </c>
      <c r="I7733" s="48" t="n">
        <f aca="false">I7729*Assumptions!$E$31</f>
        <v>5.068176633856</v>
      </c>
      <c r="J7733" s="48" t="n">
        <f aca="false">J7729*Assumptions!$E$31</f>
        <v>7.123195577344</v>
      </c>
      <c r="K7733" s="48" t="n">
        <f aca="false">K7729*Assumptions!$E$31</f>
        <v>7.123195577344</v>
      </c>
      <c r="L7733" s="48" t="n">
        <f aca="false">L7729*Assumptions!$E$31</f>
        <v>7.123195577344</v>
      </c>
      <c r="M7733" s="48" t="n">
        <f aca="false">M7729*Assumptions!$E$31</f>
        <v>7.123195577344</v>
      </c>
      <c r="N7733" s="48" t="n">
        <f aca="false">N7729*Assumptions!$E$31</f>
        <v>7.123195577344</v>
      </c>
      <c r="P7733" s="49" t="n">
        <f aca="false">SUM(C7733:F7733)</f>
        <v>6.181142503424</v>
      </c>
      <c r="Q7733" s="49" t="n">
        <f aca="false">SUM(G7733:J7733)</f>
        <v>17.594129104384</v>
      </c>
      <c r="R7733" s="49" t="n">
        <f aca="false">SUM(K7733:N7733)</f>
        <v>28.492782309376</v>
      </c>
      <c r="S7733" s="50" t="n">
        <f aca="false">SUM(P7733:R7733)</f>
        <v>52.268053917184</v>
      </c>
    </row>
    <row r="7734" customFormat="false" ht="15" hidden="false" customHeight="false" outlineLevel="0" collapsed="false">
      <c r="A7734" s="4" t="s">
        <v>506</v>
      </c>
      <c r="B7734" s="36" t="s">
        <v>504</v>
      </c>
      <c r="C7734" s="48" t="n">
        <f aca="false">C7731*Assumptions!$E$30</f>
        <v>3</v>
      </c>
      <c r="D7734" s="48" t="n">
        <f aca="false">D7731*Assumptions!$E$30</f>
        <v>4.5</v>
      </c>
      <c r="E7734" s="48" t="n">
        <f aca="false">E7731*Assumptions!$E$30</f>
        <v>6</v>
      </c>
      <c r="F7734" s="48" t="n">
        <f aca="false">F7731*Assumptions!$E$30</f>
        <v>7.5</v>
      </c>
      <c r="G7734" s="48" t="n">
        <f aca="false">G7731*Assumptions!$E$30</f>
        <v>9</v>
      </c>
      <c r="H7734" s="48" t="n">
        <f aca="false">H7731*Assumptions!$E$30</f>
        <v>10.5</v>
      </c>
      <c r="I7734" s="48" t="n">
        <f aca="false">I7731*Assumptions!$E$30</f>
        <v>12</v>
      </c>
      <c r="J7734" s="48" t="n">
        <f aca="false">J7731*Assumptions!$E$30</f>
        <v>13.5</v>
      </c>
      <c r="K7734" s="48" t="n">
        <f aca="false">K7731*Assumptions!$E$30</f>
        <v>15</v>
      </c>
      <c r="L7734" s="48" t="n">
        <f aca="false">L7731*Assumptions!$E$30</f>
        <v>15</v>
      </c>
      <c r="M7734" s="48" t="n">
        <f aca="false">M7731*Assumptions!$E$30</f>
        <v>15</v>
      </c>
      <c r="N7734" s="48" t="n">
        <f aca="false">N7731*Assumptions!$E$30</f>
        <v>15</v>
      </c>
      <c r="P7734" s="49" t="n">
        <f aca="false">SUM(C7734:F7734)</f>
        <v>21</v>
      </c>
      <c r="Q7734" s="49" t="n">
        <f aca="false">SUM(G7734:J7734)</f>
        <v>45</v>
      </c>
      <c r="R7734" s="49" t="n">
        <f aca="false">SUM(K7734:N7734)</f>
        <v>60</v>
      </c>
      <c r="S7734" s="50" t="n">
        <f aca="false">SUM(P7734:R7734)</f>
        <v>126</v>
      </c>
    </row>
    <row r="7735" customFormat="false" ht="15" hidden="false" customHeight="false" outlineLevel="0" collapsed="false">
      <c r="A7735" s="9" t="s">
        <v>507</v>
      </c>
      <c r="B7735" s="36" t="s">
        <v>504</v>
      </c>
      <c r="C7735" s="49" t="n">
        <f aca="false">C7732+C7733+C7734</f>
        <v>6.532081430528</v>
      </c>
      <c r="D7735" s="49" t="n">
        <f aca="false">D7732+D7733+D7734</f>
        <v>11.1964989282545</v>
      </c>
      <c r="E7735" s="49" t="n">
        <f aca="false">E7732+E7733+E7734</f>
        <v>12.3543490858728</v>
      </c>
      <c r="F7735" s="49" t="n">
        <f aca="false">F7732+F7733+F7734</f>
        <v>13.5359427800114</v>
      </c>
      <c r="G7735" s="49" t="n">
        <f aca="false">G7732+G7733+G7734</f>
        <v>17.233866274816</v>
      </c>
      <c r="H7735" s="49" t="n">
        <f aca="false">H7732+H7733+H7734</f>
        <v>20.6927207008123</v>
      </c>
      <c r="I7735" s="49" t="n">
        <f aca="false">I7732+I7733+I7734</f>
        <v>29.9145696880692</v>
      </c>
      <c r="J7735" s="49" t="n">
        <f aca="false">J7732+J7733+J7734</f>
        <v>38.3153432186007</v>
      </c>
      <c r="K7735" s="49" t="n">
        <f aca="false">K7732+K7733+K7734</f>
        <v>38.5875941402492</v>
      </c>
      <c r="L7735" s="49" t="n">
        <f aca="false">L7732+L7733+L7734</f>
        <v>37.4450448821772</v>
      </c>
      <c r="M7735" s="49" t="n">
        <f aca="false">M7732+M7733+M7734</f>
        <v>36.3817829908519</v>
      </c>
      <c r="N7735" s="49" t="n">
        <f aca="false">N7732+N7733+N7734</f>
        <v>35.3923063082865</v>
      </c>
      <c r="P7735" s="49" t="n">
        <f aca="false">SUM(C7735:F7735)</f>
        <v>43.6188722246667</v>
      </c>
      <c r="Q7735" s="49" t="n">
        <f aca="false">SUM(G7735:J7735)</f>
        <v>106.156499882298</v>
      </c>
      <c r="R7735" s="49" t="n">
        <f aca="false">SUM(K7735:N7735)</f>
        <v>147.806728321565</v>
      </c>
      <c r="S7735" s="50" t="n">
        <f aca="false">SUM(P7735:R7735)</f>
        <v>297.58210042853</v>
      </c>
    </row>
    <row r="7736" customFormat="false" ht="15" hidden="false" customHeight="false" outlineLevel="0" collapsed="false">
      <c r="A7736" s="4" t="s">
        <v>508</v>
      </c>
      <c r="B7736" s="36" t="s">
        <v>509</v>
      </c>
      <c r="C7736" s="48" t="n">
        <f aca="false">C7718</f>
        <v>421.51972352</v>
      </c>
      <c r="D7736" s="48" t="n">
        <f aca="false">D7718</f>
        <v>843.03944704</v>
      </c>
      <c r="E7736" s="48" t="n">
        <f aca="false">E7718</f>
        <v>843.03944704</v>
      </c>
      <c r="F7736" s="48" t="n">
        <f aca="false">F7718</f>
        <v>843.03944704</v>
      </c>
      <c r="G7736" s="48" t="n">
        <f aca="false">G7718</f>
        <v>1149.32798176</v>
      </c>
      <c r="H7736" s="48" t="n">
        <f aca="false">H7718</f>
        <v>1455.61651648</v>
      </c>
      <c r="I7736" s="48" t="n">
        <f aca="false">I7718</f>
        <v>2486.00303616</v>
      </c>
      <c r="J7736" s="48" t="n">
        <f aca="false">J7718</f>
        <v>3516.38955584</v>
      </c>
      <c r="K7736" s="48" t="n">
        <f aca="false">K7718</f>
        <v>3516.38955584</v>
      </c>
      <c r="L7736" s="48" t="n">
        <f aca="false">L7718</f>
        <v>3516.38955584</v>
      </c>
      <c r="M7736" s="48" t="n">
        <f aca="false">M7718</f>
        <v>3516.38955584</v>
      </c>
      <c r="N7736" s="48" t="n">
        <f aca="false">N7718</f>
        <v>3516.38955584</v>
      </c>
      <c r="P7736" s="49"/>
      <c r="Q7736" s="49"/>
      <c r="R7736" s="49"/>
      <c r="S7736" s="50"/>
    </row>
    <row r="7737" customFormat="false" ht="15" hidden="false" customHeight="false" outlineLevel="0" collapsed="false">
      <c r="A7737" s="4" t="s">
        <v>510</v>
      </c>
      <c r="B7737" s="36" t="s">
        <v>509</v>
      </c>
      <c r="C7737" s="48" t="n">
        <f aca="false">C7719*Assumptions!$E$18*Assumptions!$E$33</f>
        <v>211.19616</v>
      </c>
      <c r="D7737" s="48" t="n">
        <f aca="false">D7719*Assumptions!$E$18*Assumptions!$E$33</f>
        <v>422.39232</v>
      </c>
      <c r="E7737" s="48" t="n">
        <f aca="false">E7719*Assumptions!$E$18*Assumptions!$E$33</f>
        <v>422.39232</v>
      </c>
      <c r="F7737" s="48" t="n">
        <f aca="false">F7719*Assumptions!$E$18*Assumptions!$E$33</f>
        <v>422.39232</v>
      </c>
      <c r="G7737" s="48" t="n">
        <f aca="false">G7719*Assumptions!$E$18*Assumptions!$E$33</f>
        <v>564.49344</v>
      </c>
      <c r="H7737" s="48" t="n">
        <f aca="false">H7719*Assumptions!$E$18*Assumptions!$E$33</f>
        <v>706.59456</v>
      </c>
      <c r="I7737" s="48" t="n">
        <f aca="false">I7719*Assumptions!$E$18*Assumptions!$E$33</f>
        <v>1135.07072</v>
      </c>
      <c r="J7737" s="48" t="n">
        <f aca="false">J7719*Assumptions!$E$18*Assumptions!$E$33</f>
        <v>1563.54688</v>
      </c>
      <c r="K7737" s="48" t="n">
        <f aca="false">K7719*Assumptions!$E$18*Assumptions!$E$33</f>
        <v>1563.54688</v>
      </c>
      <c r="L7737" s="48" t="n">
        <f aca="false">L7719*Assumptions!$E$18*Assumptions!$E$33</f>
        <v>1563.54688</v>
      </c>
      <c r="M7737" s="48" t="n">
        <f aca="false">M7719*Assumptions!$E$18*Assumptions!$E$33</f>
        <v>1563.54688</v>
      </c>
      <c r="N7737" s="48" t="n">
        <f aca="false">N7719*Assumptions!$E$18*Assumptions!$E$33</f>
        <v>1563.54688</v>
      </c>
      <c r="P7737" s="49"/>
      <c r="Q7737" s="49"/>
      <c r="R7737" s="49"/>
      <c r="S7737" s="50"/>
    </row>
    <row r="7738" customFormat="false" ht="15" hidden="false" customHeight="false" outlineLevel="0" collapsed="false">
      <c r="A7738" s="4" t="s">
        <v>511</v>
      </c>
      <c r="B7738" s="36" t="s">
        <v>509</v>
      </c>
      <c r="C7738" s="48" t="n">
        <f aca="false">C7720*Assumptions!$E$19*Assumptions!$E$34</f>
        <v>34.677888</v>
      </c>
      <c r="D7738" s="48" t="n">
        <f aca="false">D7720*Assumptions!$E$19*Assumptions!$E$34</f>
        <v>69.355776</v>
      </c>
      <c r="E7738" s="48" t="n">
        <f aca="false">E7720*Assumptions!$E$19*Assumptions!$E$34</f>
        <v>69.355776</v>
      </c>
      <c r="F7738" s="48" t="n">
        <f aca="false">F7720*Assumptions!$E$19*Assumptions!$E$34</f>
        <v>69.355776</v>
      </c>
      <c r="G7738" s="48" t="n">
        <f aca="false">G7720*Assumptions!$E$19*Assumptions!$E$34</f>
        <v>86.69472</v>
      </c>
      <c r="H7738" s="48" t="n">
        <f aca="false">H7720*Assumptions!$E$19*Assumptions!$E$34</f>
        <v>104.033664</v>
      </c>
      <c r="I7738" s="48" t="n">
        <f aca="false">I7720*Assumptions!$E$19*Assumptions!$E$34</f>
        <v>159.7008</v>
      </c>
      <c r="J7738" s="48" t="n">
        <f aca="false">J7720*Assumptions!$E$19*Assumptions!$E$34</f>
        <v>215.367936</v>
      </c>
      <c r="K7738" s="48" t="n">
        <f aca="false">K7720*Assumptions!$E$19*Assumptions!$E$34</f>
        <v>215.367936</v>
      </c>
      <c r="L7738" s="48" t="n">
        <f aca="false">L7720*Assumptions!$E$19*Assumptions!$E$34</f>
        <v>215.367936</v>
      </c>
      <c r="M7738" s="48" t="n">
        <f aca="false">M7720*Assumptions!$E$19*Assumptions!$E$34</f>
        <v>215.367936</v>
      </c>
      <c r="N7738" s="48" t="n">
        <f aca="false">N7720*Assumptions!$E$19*Assumptions!$E$34</f>
        <v>215.367936</v>
      </c>
      <c r="P7738" s="49"/>
      <c r="Q7738" s="49"/>
      <c r="R7738" s="49"/>
      <c r="S7738" s="50"/>
    </row>
    <row r="7739" customFormat="false" ht="15" hidden="false" customHeight="false" outlineLevel="0" collapsed="false">
      <c r="A7739" s="4" t="s">
        <v>512</v>
      </c>
      <c r="B7739" s="36" t="s">
        <v>77</v>
      </c>
      <c r="C7739" s="51" t="n">
        <f aca="false">IFERROR(C7736/(C7736+C7737+C7738),0)</f>
        <v>0.631590736245533</v>
      </c>
      <c r="D7739" s="51" t="n">
        <f aca="false">IFERROR(D7736/(D7736+D7737+D7738),0)</f>
        <v>0.631590736245533</v>
      </c>
      <c r="E7739" s="51" t="n">
        <f aca="false">IFERROR(E7736/(E7736+E7737+E7738),0)</f>
        <v>0.631590736245533</v>
      </c>
      <c r="F7739" s="51" t="n">
        <f aca="false">IFERROR(F7736/(F7736+F7737+F7738),0)</f>
        <v>0.631590736245533</v>
      </c>
      <c r="G7739" s="51" t="n">
        <f aca="false">IFERROR(G7736/(G7736+G7737+G7738),0)</f>
        <v>0.638332506498128</v>
      </c>
      <c r="H7739" s="51" t="n">
        <f aca="false">IFERROR(H7736/(H7736+H7737+H7738),0)</f>
        <v>0.642303318118984</v>
      </c>
      <c r="I7739" s="51" t="n">
        <f aca="false">IFERROR(I7736/(I7736+I7737+I7738),0)</f>
        <v>0.657538025405288</v>
      </c>
      <c r="J7739" s="51" t="n">
        <f aca="false">IFERROR(J7736/(J7736+J7737+J7738),0)</f>
        <v>0.664058061428891</v>
      </c>
      <c r="K7739" s="51" t="n">
        <f aca="false">IFERROR(K7736/(K7736+K7737+K7738),0)</f>
        <v>0.664058061428891</v>
      </c>
      <c r="L7739" s="51" t="n">
        <f aca="false">IFERROR(L7736/(L7736+L7737+L7738),0)</f>
        <v>0.664058061428891</v>
      </c>
      <c r="M7739" s="51" t="n">
        <f aca="false">IFERROR(M7736/(M7736+M7737+M7738),0)</f>
        <v>0.664058061428891</v>
      </c>
      <c r="N7739" s="51" t="n">
        <f aca="false">IFERROR(N7736/(N7736+N7737+N7738),0)</f>
        <v>0.664058061428891</v>
      </c>
      <c r="P7739" s="52"/>
      <c r="Q7739" s="52"/>
      <c r="R7739" s="52"/>
      <c r="S7739" s="53"/>
    </row>
    <row r="7740" customFormat="false" ht="15" hidden="false" customHeight="false" outlineLevel="0" collapsed="false">
      <c r="A7740" s="4" t="s">
        <v>513</v>
      </c>
      <c r="B7740" s="36" t="s">
        <v>77</v>
      </c>
      <c r="C7740" s="51" t="n">
        <f aca="false">IFERROR(C7737/(C7736+C7737+C7738),0)</f>
        <v>0.316449102482628</v>
      </c>
      <c r="D7740" s="51" t="n">
        <f aca="false">IFERROR(D7737/(D7736+D7737+D7738),0)</f>
        <v>0.316449102482628</v>
      </c>
      <c r="E7740" s="51" t="n">
        <f aca="false">IFERROR(E7737/(E7736+E7737+E7738),0)</f>
        <v>0.316449102482628</v>
      </c>
      <c r="F7740" s="51" t="n">
        <f aca="false">IFERROR(F7737/(F7736+F7737+F7738),0)</f>
        <v>0.316449102482628</v>
      </c>
      <c r="G7740" s="51" t="n">
        <f aca="false">IFERROR(G7737/(G7736+G7737+G7738),0)</f>
        <v>0.313517566939561</v>
      </c>
      <c r="H7740" s="51" t="n">
        <f aca="false">IFERROR(H7737/(H7736+H7737+H7738),0)</f>
        <v>0.311790932099567</v>
      </c>
      <c r="I7740" s="51" t="n">
        <f aca="false">IFERROR(I7737/(I7736+I7737+I7738),0)</f>
        <v>0.300221741111391</v>
      </c>
      <c r="J7740" s="51" t="n">
        <f aca="false">IFERROR(J7737/(J7736+J7737+J7738),0)</f>
        <v>0.295270445324128</v>
      </c>
      <c r="K7740" s="51" t="n">
        <f aca="false">IFERROR(K7737/(K7736+K7737+K7738),0)</f>
        <v>0.295270445324128</v>
      </c>
      <c r="L7740" s="51" t="n">
        <f aca="false">IFERROR(L7737/(L7736+L7737+L7738),0)</f>
        <v>0.295270445324128</v>
      </c>
      <c r="M7740" s="51" t="n">
        <f aca="false">IFERROR(M7737/(M7736+M7737+M7738),0)</f>
        <v>0.295270445324128</v>
      </c>
      <c r="N7740" s="51" t="n">
        <f aca="false">IFERROR(N7737/(N7736+N7737+N7738),0)</f>
        <v>0.295270445324128</v>
      </c>
      <c r="P7740" s="52"/>
      <c r="Q7740" s="52"/>
      <c r="R7740" s="52"/>
      <c r="S7740" s="53"/>
    </row>
    <row r="7741" customFormat="false" ht="15" hidden="false" customHeight="false" outlineLevel="0" collapsed="false">
      <c r="A7741" s="4" t="s">
        <v>514</v>
      </c>
      <c r="B7741" s="36" t="s">
        <v>77</v>
      </c>
      <c r="C7741" s="51" t="n">
        <f aca="false">IFERROR(C7738/(C7736+C7737+C7738),0)</f>
        <v>0.0519601612718389</v>
      </c>
      <c r="D7741" s="51" t="n">
        <f aca="false">IFERROR(D7738/(D7736+D7737+D7738),0)</f>
        <v>0.0519601612718389</v>
      </c>
      <c r="E7741" s="51" t="n">
        <f aca="false">IFERROR(E7738/(E7736+E7737+E7738),0)</f>
        <v>0.0519601612718389</v>
      </c>
      <c r="F7741" s="51" t="n">
        <f aca="false">IFERROR(F7738/(F7736+F7737+F7738),0)</f>
        <v>0.0519601612718389</v>
      </c>
      <c r="G7741" s="51" t="n">
        <f aca="false">IFERROR(G7738/(G7736+G7737+G7738),0)</f>
        <v>0.0481499265623113</v>
      </c>
      <c r="H7741" s="51" t="n">
        <f aca="false">IFERROR(H7738/(H7736+H7737+H7738),0)</f>
        <v>0.0459057497814491</v>
      </c>
      <c r="I7741" s="51" t="n">
        <f aca="false">IFERROR(I7738/(I7736+I7737+I7738),0)</f>
        <v>0.0422402334833216</v>
      </c>
      <c r="J7741" s="51" t="n">
        <f aca="false">IFERROR(J7738/(J7736+J7737+J7738),0)</f>
        <v>0.0406714932469811</v>
      </c>
      <c r="K7741" s="51" t="n">
        <f aca="false">IFERROR(K7738/(K7736+K7737+K7738),0)</f>
        <v>0.0406714932469811</v>
      </c>
      <c r="L7741" s="51" t="n">
        <f aca="false">IFERROR(L7738/(L7736+L7737+L7738),0)</f>
        <v>0.0406714932469811</v>
      </c>
      <c r="M7741" s="51" t="n">
        <f aca="false">IFERROR(M7738/(M7736+M7737+M7738),0)</f>
        <v>0.0406714932469811</v>
      </c>
      <c r="N7741" s="51" t="n">
        <f aca="false">IFERROR(N7738/(N7736+N7737+N7738),0)</f>
        <v>0.0406714932469811</v>
      </c>
      <c r="P7741" s="52"/>
      <c r="Q7741" s="52"/>
      <c r="R7741" s="52"/>
      <c r="S7741" s="53"/>
    </row>
    <row r="7742" customFormat="false" ht="15" hidden="false" customHeight="false" outlineLevel="0" collapsed="false">
      <c r="A7742" s="4" t="s">
        <v>515</v>
      </c>
      <c r="B7742" s="36" t="s">
        <v>516</v>
      </c>
      <c r="C7742" s="48" t="n">
        <f aca="false">IF(C7710-Assumptions!$E$35&lt;1,0,INDEX($C$7735:$N$7735,1,C7710-Assumptions!$E$35)*INDEX($C$7739:$N$7739,1,C7710-Assumptions!$E$35)*Assumptions!$E$32)</f>
        <v>0</v>
      </c>
      <c r="D7742" s="48" t="n">
        <f aca="false">IF(D7710-Assumptions!$E$35&lt;1,0,INDEX($C$7735:$N$7735,1,D7710-Assumptions!$E$35)*INDEX($C$7739:$N$7739,1,D7710-Assumptions!$E$35)*Assumptions!$E$32)</f>
        <v>0.866376445183821</v>
      </c>
      <c r="E7742" s="48" t="n">
        <f aca="false">IF(E7710-Assumptions!$E$35&lt;1,0,INDEX($C$7735:$N$7735,1,E7710-Assumptions!$E$35)*INDEX($C$7739:$N$7739,1,E7710-Assumptions!$E$35)*Assumptions!$E$32)</f>
        <v>1.4850370503084</v>
      </c>
      <c r="F7742" s="48" t="n">
        <f aca="false">IF(F7710-Assumptions!$E$35&lt;1,0,INDEX($C$7735:$N$7735,1,F7710-Assumptions!$E$35)*INDEX($C$7739:$N$7739,1,F7710-Assumptions!$E$35)*Assumptions!$E$32)</f>
        <v>1.63860741134595</v>
      </c>
      <c r="G7742" s="48" t="n">
        <f aca="false">IF(G7710-Assumptions!$E$35&lt;1,0,INDEX($C$7735:$N$7735,1,G7710-Assumptions!$E$35)*INDEX($C$7739:$N$7739,1,G7710-Assumptions!$E$35)*Assumptions!$E$32)</f>
        <v>1.79532697390301</v>
      </c>
      <c r="H7742" s="48" t="n">
        <f aca="false">IF(H7710-Assumptions!$E$35&lt;1,0,INDEX($C$7735:$N$7735,1,H7710-Assumptions!$E$35)*INDEX($C$7739:$N$7739,1,H7710-Assumptions!$E$35)*Assumptions!$E$32)</f>
        <v>2.31019678172994</v>
      </c>
      <c r="I7742" s="48" t="n">
        <f aca="false">IF(I7710-Assumptions!$E$35&lt;1,0,INDEX($C$7735:$N$7735,1,I7710-Assumptions!$E$35)*INDEX($C$7739:$N$7739,1,I7710-Assumptions!$E$35)*Assumptions!$E$32)</f>
        <v>2.79111066507864</v>
      </c>
      <c r="J7742" s="48" t="n">
        <f aca="false">IF(J7710-Assumptions!$E$35&lt;1,0,INDEX($C$7735:$N$7735,1,J7710-Assumptions!$E$35)*INDEX($C$7739:$N$7739,1,J7710-Assumptions!$E$35)*Assumptions!$E$32)</f>
        <v>4.1306930875438</v>
      </c>
      <c r="K7742" s="48" t="n">
        <f aca="false">IF(K7710-Assumptions!$E$35&lt;1,0,INDEX($C$7735:$N$7735,1,K7710-Assumptions!$E$35)*INDEX($C$7739:$N$7739,1,K7710-Assumptions!$E$35)*Assumptions!$E$32)</f>
        <v>5.34315863355258</v>
      </c>
      <c r="L7742" s="48" t="n">
        <f aca="false">IF(L7710-Assumptions!$E$35&lt;1,0,INDEX($C$7735:$N$7735,1,L7710-Assumptions!$E$35)*INDEX($C$7739:$N$7739,1,L7710-Assumptions!$E$35)*Assumptions!$E$32)</f>
        <v>5.38112462159553</v>
      </c>
      <c r="M7742" s="48" t="n">
        <f aca="false">IF(M7710-Assumptions!$E$35&lt;1,0,INDEX($C$7735:$N$7735,1,M7710-Assumptions!$E$35)*INDEX($C$7739:$N$7739,1,M7710-Assumptions!$E$35)*Assumptions!$E$32)</f>
        <v>5.22179362206104</v>
      </c>
      <c r="N7742" s="48" t="n">
        <f aca="false">IF(N7710-Assumptions!$E$35&lt;1,0,INDEX($C$7735:$N$7735,1,N7710-Assumptions!$E$35)*INDEX($C$7739:$N$7739,1,N7710-Assumptions!$E$35)*Assumptions!$E$32)</f>
        <v>5.07351941968866</v>
      </c>
      <c r="P7742" s="49" t="n">
        <f aca="false">SUM(C7742:F7742)</f>
        <v>3.99002090683817</v>
      </c>
      <c r="Q7742" s="49" t="n">
        <f aca="false">SUM(G7742:J7742)</f>
        <v>11.0273275082554</v>
      </c>
      <c r="R7742" s="49" t="n">
        <f aca="false">SUM(K7742:N7742)</f>
        <v>21.0195962968978</v>
      </c>
      <c r="S7742" s="50" t="n">
        <f aca="false">SUM(P7742:R7742)</f>
        <v>36.0369447119914</v>
      </c>
    </row>
    <row r="7743" customFormat="false" ht="15" hidden="false" customHeight="false" outlineLevel="0" collapsed="false">
      <c r="A7743" s="4" t="s">
        <v>517</v>
      </c>
      <c r="B7743" s="36" t="s">
        <v>516</v>
      </c>
      <c r="C7743" s="48" t="n">
        <f aca="false">IF(C7710-Assumptions!$E$35&lt;1,0,INDEX($C$7735:$N$7735,1,C7710-Assumptions!$E$35)*INDEX($C$7740:$N$7740,1,C7710-Assumptions!$E$35)*Assumptions!$E$32)</f>
        <v>0</v>
      </c>
      <c r="D7743" s="48" t="n">
        <f aca="false">IF(D7710-Assumptions!$E$35&lt;1,0,INDEX($C$7735:$N$7735,1,D7710-Assumptions!$E$35)*INDEX($C$7740:$N$7740,1,D7710-Assumptions!$E$35)*Assumptions!$E$32)</f>
        <v>0.434084974267145</v>
      </c>
      <c r="E7743" s="48" t="n">
        <f aca="false">IF(E7710-Assumptions!$E$35&lt;1,0,INDEX($C$7735:$N$7735,1,E7710-Assumptions!$E$35)*INDEX($C$7740:$N$7740,1,E7710-Assumptions!$E$35)*Assumptions!$E$32)</f>
        <v>0.744055627726705</v>
      </c>
      <c r="F7743" s="48" t="n">
        <f aca="false">IF(F7710-Assumptions!$E$35&lt;1,0,INDEX($C$7735:$N$7735,1,F7710-Assumptions!$E$35)*INDEX($C$7740:$N$7740,1,F7710-Assumptions!$E$35)*Assumptions!$E$32)</f>
        <v>0.820999762796119</v>
      </c>
      <c r="G7743" s="48" t="n">
        <f aca="false">IF(G7710-Assumptions!$E$35&lt;1,0,INDEX($C$7735:$N$7735,1,G7710-Assumptions!$E$35)*INDEX($C$7740:$N$7740,1,G7710-Assumptions!$E$35)*Assumptions!$E$32)</f>
        <v>0.89952175823807</v>
      </c>
      <c r="H7743" s="48" t="n">
        <f aca="false">IF(H7710-Assumptions!$E$35&lt;1,0,INDEX($C$7735:$N$7735,1,H7710-Assumptions!$E$35)*INDEX($C$7740:$N$7740,1,H7710-Assumptions!$E$35)*Assumptions!$E$32)</f>
        <v>1.13465516292283</v>
      </c>
      <c r="I7743" s="48" t="n">
        <f aca="false">IF(I7710-Assumptions!$E$35&lt;1,0,INDEX($C$7735:$N$7735,1,I7710-Assumptions!$E$35)*INDEX($C$7740:$N$7740,1,I7710-Assumptions!$E$35)*Assumptions!$E$32)</f>
        <v>1.35487856174628</v>
      </c>
      <c r="J7743" s="48" t="n">
        <f aca="false">IF(J7710-Assumptions!$E$35&lt;1,0,INDEX($C$7735:$N$7735,1,J7710-Assumptions!$E$35)*INDEX($C$7740:$N$7740,1,J7710-Assumptions!$E$35)*Assumptions!$E$32)</f>
        <v>1.88601088123353</v>
      </c>
      <c r="K7743" s="48" t="n">
        <f aca="false">IF(K7710-Assumptions!$E$35&lt;1,0,INDEX($C$7735:$N$7735,1,K7710-Assumptions!$E$35)*INDEX($C$7740:$N$7740,1,K7710-Assumptions!$E$35)*Assumptions!$E$32)</f>
        <v>2.37581157552964</v>
      </c>
      <c r="L7743" s="48" t="n">
        <f aca="false">IF(L7710-Assumptions!$E$35&lt;1,0,INDEX($C$7735:$N$7735,1,L7710-Assumptions!$E$35)*INDEX($C$7740:$N$7740,1,L7710-Assumptions!$E$35)*Assumptions!$E$32)</f>
        <v>2.3926929822134</v>
      </c>
      <c r="M7743" s="48" t="n">
        <f aca="false">IF(M7710-Assumptions!$E$35&lt;1,0,INDEX($C$7735:$N$7735,1,M7710-Assumptions!$E$35)*INDEX($C$7740:$N$7740,1,M7710-Assumptions!$E$35)*Assumptions!$E$32)</f>
        <v>2.32184716628391</v>
      </c>
      <c r="N7743" s="48" t="n">
        <f aca="false">IF(N7710-Assumptions!$E$35&lt;1,0,INDEX($C$7735:$N$7735,1,N7710-Assumptions!$E$35)*INDEX($C$7740:$N$7740,1,N7710-Assumptions!$E$35)*Assumptions!$E$32)</f>
        <v>2.25591770573287</v>
      </c>
      <c r="P7743" s="49" t="n">
        <f aca="false">SUM(C7743:F7743)</f>
        <v>1.99914036478997</v>
      </c>
      <c r="Q7743" s="49" t="n">
        <f aca="false">SUM(G7743:J7743)</f>
        <v>5.27506636414072</v>
      </c>
      <c r="R7743" s="49" t="n">
        <f aca="false">SUM(K7743:N7743)</f>
        <v>9.34626942975982</v>
      </c>
      <c r="S7743" s="50" t="n">
        <f aca="false">SUM(P7743:R7743)</f>
        <v>16.6204761586905</v>
      </c>
    </row>
    <row r="7744" customFormat="false" ht="15" hidden="false" customHeight="false" outlineLevel="0" collapsed="false">
      <c r="A7744" s="4" t="s">
        <v>518</v>
      </c>
      <c r="B7744" s="36" t="s">
        <v>516</v>
      </c>
      <c r="C7744" s="48" t="n">
        <f aca="false">IF(C7710-Assumptions!$E$36&lt;1,0,INDEX($C$7735:$N$7735,1,C7710-Assumptions!$E$36)*INDEX($C$7741:$N$7741,1,C7710-Assumptions!$E$36)*Assumptions!$E$32)</f>
        <v>0</v>
      </c>
      <c r="D7744" s="48" t="n">
        <f aca="false">IF(D7710-Assumptions!$E$36&lt;1,0,INDEX($C$7735:$N$7735,1,D7710-Assumptions!$E$36)*INDEX($C$7741:$N$7741,1,D7710-Assumptions!$E$36)*Assumptions!$E$32)</f>
        <v>0</v>
      </c>
      <c r="E7744" s="48" t="n">
        <f aca="false">IF(E7710-Assumptions!$E$36&lt;1,0,INDEX($C$7735:$N$7735,1,E7710-Assumptions!$E$36)*INDEX($C$7741:$N$7741,1,E7710-Assumptions!$E$36)*Assumptions!$E$32)</f>
        <v>0.071275680959914</v>
      </c>
      <c r="F7744" s="48" t="n">
        <f aca="false">IF(F7710-Assumptions!$E$36&lt;1,0,INDEX($C$7735:$N$7735,1,F7710-Assumptions!$E$36)*INDEX($C$7741:$N$7741,1,F7710-Assumptions!$E$36)*Assumptions!$E$32)</f>
        <v>0.122172096898336</v>
      </c>
      <c r="G7744" s="48" t="n">
        <f aca="false">IF(G7710-Assumptions!$E$36&lt;1,0,INDEX($C$7735:$N$7735,1,G7710-Assumptions!$E$36)*INDEX($C$7741:$N$7741,1,G7710-Assumptions!$E$36)*Assumptions!$E$32)</f>
        <v>0.134806133891215</v>
      </c>
      <c r="H7744" s="48" t="n">
        <f aca="false">IF(H7710-Assumptions!$E$36&lt;1,0,INDEX($C$7735:$N$7735,1,H7710-Assumptions!$E$36)*INDEX($C$7741:$N$7741,1,H7710-Assumptions!$E$36)*Assumptions!$E$32)</f>
        <v>0.147699251661313</v>
      </c>
      <c r="I7744" s="48" t="n">
        <f aca="false">IF(I7710-Assumptions!$E$36&lt;1,0,INDEX($C$7735:$N$7735,1,I7710-Assumptions!$E$36)*INDEX($C$7741:$N$7741,1,I7710-Assumptions!$E$36)*Assumptions!$E$32)</f>
        <v>0.174259973058587</v>
      </c>
      <c r="J7744" s="48" t="n">
        <f aca="false">IF(J7710-Assumptions!$E$36&lt;1,0,INDEX($C$7735:$N$7735,1,J7710-Assumptions!$E$36)*INDEX($C$7741:$N$7741,1,J7710-Assumptions!$E$36)*Assumptions!$E$32)</f>
        <v>0.19948212034567</v>
      </c>
      <c r="K7744" s="48" t="n">
        <f aca="false">IF(K7710-Assumptions!$E$36&lt;1,0,INDEX($C$7735:$N$7735,1,K7710-Assumptions!$E$36)*INDEX($C$7741:$N$7741,1,K7710-Assumptions!$E$36)*Assumptions!$E$32)</f>
        <v>0.265355665717199</v>
      </c>
      <c r="L7744" s="48" t="n">
        <f aca="false">IF(L7710-Assumptions!$E$36&lt;1,0,INDEX($C$7735:$N$7735,1,L7710-Assumptions!$E$36)*INDEX($C$7741:$N$7741,1,L7710-Assumptions!$E$36)*Assumptions!$E$32)</f>
        <v>0.327251866823927</v>
      </c>
      <c r="M7744" s="48" t="n">
        <f aca="false">IF(M7710-Assumptions!$E$36&lt;1,0,INDEX($C$7735:$N$7735,1,M7710-Assumptions!$E$36)*INDEX($C$7741:$N$7741,1,M7710-Assumptions!$E$36)*Assumptions!$E$32)</f>
        <v>0.329577165643402</v>
      </c>
      <c r="N7744" s="48" t="n">
        <f aca="false">IF(N7710-Assumptions!$E$36&lt;1,0,INDEX($C$7735:$N$7735,1,N7710-Assumptions!$E$36)*INDEX($C$7741:$N$7741,1,N7710-Assumptions!$E$36)*Assumptions!$E$32)</f>
        <v>0.319818636912259</v>
      </c>
      <c r="P7744" s="49" t="n">
        <f aca="false">SUM(C7744:F7744)</f>
        <v>0.19344777785825</v>
      </c>
      <c r="Q7744" s="49" t="n">
        <f aca="false">SUM(G7744:J7744)</f>
        <v>0.656247478956785</v>
      </c>
      <c r="R7744" s="49" t="n">
        <f aca="false">SUM(K7744:N7744)</f>
        <v>1.24200333509679</v>
      </c>
      <c r="S7744" s="50" t="n">
        <f aca="false">SUM(P7744:R7744)</f>
        <v>2.09169859191182</v>
      </c>
    </row>
    <row r="7745" customFormat="false" ht="15" hidden="false" customHeight="false" outlineLevel="0" collapsed="false">
      <c r="A7745" s="4" t="s">
        <v>519</v>
      </c>
      <c r="B7745" s="36" t="s">
        <v>77</v>
      </c>
      <c r="C7745" s="51" t="n">
        <f aca="false">IF(C7710-Assumptions!$E$35&lt;1,0,IFERROR(INDEX($C$7734:$N$7734,1,C7710-Assumptions!$E$35)/INDEX($C$7735:$N$7735,1,C7710-Assumptions!$E$35),0))</f>
        <v>0</v>
      </c>
      <c r="D7745" s="51" t="n">
        <f aca="false">IF(D7710-Assumptions!$E$35&lt;1,0,IFERROR(INDEX($C$7734:$N$7734,1,D7710-Assumptions!$E$35)/INDEX($C$7735:$N$7735,1,D7710-Assumptions!$E$35),0))</f>
        <v>0.459271678087073</v>
      </c>
      <c r="E7745" s="51" t="n">
        <f aca="false">IF(E7710-Assumptions!$E$35&lt;1,0,IFERROR(INDEX($C$7734:$N$7734,1,E7710-Assumptions!$E$35)/INDEX($C$7735:$N$7735,1,E7710-Assumptions!$E$35),0))</f>
        <v>0.401911350042128</v>
      </c>
      <c r="F7745" s="51" t="n">
        <f aca="false">IF(F7710-Assumptions!$E$35&lt;1,0,IFERROR(INDEX($C$7734:$N$7734,1,F7710-Assumptions!$E$35)/INDEX($C$7735:$N$7735,1,F7710-Assumptions!$E$35),0))</f>
        <v>0.485658933408398</v>
      </c>
      <c r="G7745" s="51" t="n">
        <f aca="false">IF(G7710-Assumptions!$E$35&lt;1,0,IFERROR(INDEX($C$7734:$N$7734,1,G7710-Assumptions!$E$35)/INDEX($C$7735:$N$7735,1,G7710-Assumptions!$E$35),0))</f>
        <v>0.554080356417826</v>
      </c>
      <c r="H7745" s="51" t="n">
        <f aca="false">IF(H7710-Assumptions!$E$35&lt;1,0,IFERROR(INDEX($C$7734:$N$7734,1,H7710-Assumptions!$E$35)/INDEX($C$7735:$N$7735,1,H7710-Assumptions!$E$35),0))</f>
        <v>0.522227563825987</v>
      </c>
      <c r="I7745" s="51" t="n">
        <f aca="false">IF(I7710-Assumptions!$E$35&lt;1,0,IFERROR(INDEX($C$7734:$N$7734,1,I7710-Assumptions!$E$35)/INDEX($C$7735:$N$7735,1,I7710-Assumptions!$E$35),0))</f>
        <v>0.507424816282752</v>
      </c>
      <c r="J7745" s="51" t="n">
        <f aca="false">IF(J7710-Assumptions!$E$35&lt;1,0,IFERROR(INDEX($C$7734:$N$7734,1,J7710-Assumptions!$E$35)/INDEX($C$7735:$N$7735,1,J7710-Assumptions!$E$35),0))</f>
        <v>0.401142323795015</v>
      </c>
      <c r="K7745" s="51" t="n">
        <f aca="false">IF(K7710-Assumptions!$E$35&lt;1,0,IFERROR(INDEX($C$7734:$N$7734,1,K7710-Assumptions!$E$35)/INDEX($C$7735:$N$7735,1,K7710-Assumptions!$E$35),0))</f>
        <v>0.352339268448632</v>
      </c>
      <c r="L7745" s="51" t="n">
        <f aca="false">IF(L7710-Assumptions!$E$35&lt;1,0,IFERROR(INDEX($C$7734:$N$7734,1,L7710-Assumptions!$E$35)/INDEX($C$7735:$N$7735,1,L7710-Assumptions!$E$35),0))</f>
        <v>0.388725970981282</v>
      </c>
      <c r="M7745" s="51" t="n">
        <f aca="false">IF(M7710-Assumptions!$E$35&lt;1,0,IFERROR(INDEX($C$7734:$N$7734,1,M7710-Assumptions!$E$35)/INDEX($C$7735:$N$7735,1,M7710-Assumptions!$E$35),0))</f>
        <v>0.400587048224893</v>
      </c>
      <c r="N7745" s="51" t="n">
        <f aca="false">IF(N7710-Assumptions!$E$35&lt;1,0,IFERROR(INDEX($C$7734:$N$7734,1,N7710-Assumptions!$E$35)/INDEX($C$7735:$N$7735,1,N7710-Assumptions!$E$35),0))</f>
        <v>0.412294251872474</v>
      </c>
      <c r="P7745" s="52"/>
      <c r="Q7745" s="52"/>
      <c r="R7745" s="52"/>
      <c r="S7745" s="53"/>
    </row>
    <row r="7746" customFormat="false" ht="15" hidden="false" customHeight="false" outlineLevel="0" collapsed="false">
      <c r="A7746" s="4" t="s">
        <v>520</v>
      </c>
      <c r="B7746" s="36" t="s">
        <v>516</v>
      </c>
      <c r="C7746" s="48" t="n">
        <f aca="false">C7742*Assumptions!$E$37</f>
        <v>0</v>
      </c>
      <c r="D7746" s="48" t="n">
        <f aca="false">D7742*Assumptions!$E$37</f>
        <v>0.259912933555146</v>
      </c>
      <c r="E7746" s="48" t="n">
        <f aca="false">E7742*Assumptions!$E$37</f>
        <v>0.44551111509252</v>
      </c>
      <c r="F7746" s="48" t="n">
        <f aca="false">F7742*Assumptions!$E$37</f>
        <v>0.491582223403786</v>
      </c>
      <c r="G7746" s="48" t="n">
        <f aca="false">G7742*Assumptions!$E$37</f>
        <v>0.538598092170902</v>
      </c>
      <c r="H7746" s="48" t="n">
        <f aca="false">H7742*Assumptions!$E$37</f>
        <v>0.693059034518982</v>
      </c>
      <c r="I7746" s="48" t="n">
        <f aca="false">I7742*Assumptions!$E$37</f>
        <v>0.837333199523593</v>
      </c>
      <c r="J7746" s="48" t="n">
        <f aca="false">J7742*Assumptions!$E$37</f>
        <v>1.23920792626314</v>
      </c>
      <c r="K7746" s="48" t="n">
        <f aca="false">K7742*Assumptions!$E$37</f>
        <v>1.60294759006577</v>
      </c>
      <c r="L7746" s="48" t="n">
        <f aca="false">L7742*Assumptions!$E$37</f>
        <v>1.61433738647866</v>
      </c>
      <c r="M7746" s="48" t="n">
        <f aca="false">M7742*Assumptions!$E$37</f>
        <v>1.56653808661831</v>
      </c>
      <c r="N7746" s="48" t="n">
        <f aca="false">N7742*Assumptions!$E$37</f>
        <v>1.5220558259066</v>
      </c>
      <c r="P7746" s="49" t="n">
        <f aca="false">SUM(C7746:F7746)</f>
        <v>1.19700627205145</v>
      </c>
      <c r="Q7746" s="49" t="n">
        <f aca="false">SUM(G7746:J7746)</f>
        <v>3.30819825247662</v>
      </c>
      <c r="R7746" s="49" t="n">
        <f aca="false">SUM(K7746:N7746)</f>
        <v>6.30587888906934</v>
      </c>
      <c r="S7746" s="50" t="n">
        <f aca="false">SUM(P7746:R7746)</f>
        <v>10.8110834135974</v>
      </c>
    </row>
    <row r="7747" customFormat="false" ht="15" hidden="false" customHeight="false" outlineLevel="0" collapsed="false">
      <c r="A7747" s="4" t="s">
        <v>521</v>
      </c>
      <c r="B7747" s="36" t="s">
        <v>516</v>
      </c>
      <c r="C7747" s="48" t="n">
        <f aca="false">C7742*(1-Assumptions!$E$37)</f>
        <v>0</v>
      </c>
      <c r="D7747" s="48" t="n">
        <f aca="false">D7742*(1-Assumptions!$E$37)</f>
        <v>0.606463511628675</v>
      </c>
      <c r="E7747" s="48" t="n">
        <f aca="false">E7742*(1-Assumptions!$E$37)</f>
        <v>1.03952593521588</v>
      </c>
      <c r="F7747" s="48" t="n">
        <f aca="false">F7742*(1-Assumptions!$E$37)</f>
        <v>1.14702518794217</v>
      </c>
      <c r="G7747" s="48" t="n">
        <f aca="false">G7742*(1-Assumptions!$E$37)</f>
        <v>1.25672888173211</v>
      </c>
      <c r="H7747" s="48" t="n">
        <f aca="false">H7742*(1-Assumptions!$E$37)</f>
        <v>1.61713774721096</v>
      </c>
      <c r="I7747" s="48" t="n">
        <f aca="false">I7742*(1-Assumptions!$E$37)</f>
        <v>1.95377746555505</v>
      </c>
      <c r="J7747" s="48" t="n">
        <f aca="false">J7742*(1-Assumptions!$E$37)</f>
        <v>2.89148516128066</v>
      </c>
      <c r="K7747" s="48" t="n">
        <f aca="false">K7742*(1-Assumptions!$E$37)</f>
        <v>3.7402110434868</v>
      </c>
      <c r="L7747" s="48" t="n">
        <f aca="false">L7742*(1-Assumptions!$E$37)</f>
        <v>3.76678723511687</v>
      </c>
      <c r="M7747" s="48" t="n">
        <f aca="false">M7742*(1-Assumptions!$E$37)</f>
        <v>3.65525553544273</v>
      </c>
      <c r="N7747" s="48" t="n">
        <f aca="false">N7742*(1-Assumptions!$E$37)</f>
        <v>3.55146359378206</v>
      </c>
      <c r="P7747" s="49" t="n">
        <f aca="false">SUM(C7747:F7747)</f>
        <v>2.79301463478672</v>
      </c>
      <c r="Q7747" s="49" t="n">
        <f aca="false">SUM(G7747:J7747)</f>
        <v>7.71912925577877</v>
      </c>
      <c r="R7747" s="49" t="n">
        <f aca="false">SUM(K7747:N7747)</f>
        <v>14.7137174078285</v>
      </c>
      <c r="S7747" s="50" t="n">
        <f aca="false">SUM(P7747:R7747)</f>
        <v>25.225861298394</v>
      </c>
    </row>
    <row r="7748" customFormat="false" ht="15" hidden="false" customHeight="false" outlineLevel="0" collapsed="false">
      <c r="A7748" s="4" t="s">
        <v>522</v>
      </c>
      <c r="B7748" s="36" t="s">
        <v>125</v>
      </c>
      <c r="C7748" s="54" t="n">
        <f aca="false">C7747*$C$7701+C7743*$C$7702+C7744*$C$7703</f>
        <v>0</v>
      </c>
      <c r="D7748" s="54" t="n">
        <f aca="false">D7747*$C$7701+D7743*$C$7702+D7744*$C$7703</f>
        <v>7485.37917000042</v>
      </c>
      <c r="E7748" s="54" t="n">
        <f aca="false">E7747*$C$7701+E7743*$C$7702+E7744*$C$7703</f>
        <v>17233.8131620616</v>
      </c>
      <c r="F7748" s="54" t="n">
        <f aca="false">F7747*$C$7701+F7743*$C$7702+F7744*$C$7703</f>
        <v>21704.9328199195</v>
      </c>
      <c r="G7748" s="54" t="n">
        <f aca="false">G7747*$C$7701+G7743*$C$7702+G7744*$C$7703</f>
        <v>23839.4781169478</v>
      </c>
      <c r="H7748" s="54" t="n">
        <f aca="false">H7747*$C$7701+H7743*$C$7702+H7744*$C$7703</f>
        <v>28861.3828545359</v>
      </c>
      <c r="I7748" s="54" t="n">
        <f aca="false">I7747*$C$7701+I7743*$C$7702+I7744*$C$7703</f>
        <v>34454.8139810786</v>
      </c>
      <c r="J7748" s="54" t="n">
        <f aca="false">J7747*$C$7701+J7743*$C$7702+J7744*$C$7703</f>
        <v>46219.0265618748</v>
      </c>
      <c r="K7748" s="54" t="n">
        <f aca="false">K7747*$C$7701+K7743*$C$7702+K7744*$C$7703</f>
        <v>59614.7065475457</v>
      </c>
      <c r="L7748" s="54" t="n">
        <f aca="false">L7747*$C$7701+L7743*$C$7702+L7744*$C$7703</f>
        <v>63745.6576705911</v>
      </c>
      <c r="M7748" s="54" t="n">
        <f aca="false">M7747*$C$7701+M7743*$C$7702+M7744*$C$7703</f>
        <v>62600.461663715</v>
      </c>
      <c r="N7748" s="54" t="n">
        <f aca="false">N7747*$C$7701+N7743*$C$7702+N7744*$C$7703</f>
        <v>60798.1877142281</v>
      </c>
      <c r="P7748" s="55" t="n">
        <f aca="false">SUM(C7748:F7748)</f>
        <v>46424.1251519815</v>
      </c>
      <c r="Q7748" s="55" t="n">
        <f aca="false">SUM(G7748:J7748)</f>
        <v>133374.701514437</v>
      </c>
      <c r="R7748" s="55" t="n">
        <f aca="false">SUM(K7748:N7748)</f>
        <v>246759.01359608</v>
      </c>
      <c r="S7748" s="56" t="n">
        <f aca="false">SUM(P7748:R7748)</f>
        <v>426557.840262498</v>
      </c>
    </row>
    <row r="7749" customFormat="false" ht="15" hidden="false" customHeight="false" outlineLevel="0" collapsed="false">
      <c r="A7749" s="4" t="s">
        <v>523</v>
      </c>
      <c r="B7749" s="36" t="s">
        <v>125</v>
      </c>
      <c r="C7749" s="54" t="n">
        <f aca="false">(C7725+Assumptions!$D$104*C7711)*$C$7706</f>
        <v>306250</v>
      </c>
      <c r="D7749" s="54" t="n">
        <f aca="false">(D7725+Assumptions!$D$104*D7711)*$C$7706</f>
        <v>306250</v>
      </c>
      <c r="E7749" s="54" t="n">
        <f aca="false">(E7725+Assumptions!$D$104*E7711)*$C$7706</f>
        <v>306250</v>
      </c>
      <c r="F7749" s="54" t="n">
        <f aca="false">(F7725+Assumptions!$D$104*F7711)*$C$7706</f>
        <v>306250</v>
      </c>
      <c r="G7749" s="54" t="n">
        <f aca="false">(G7725+Assumptions!$D$104*G7711)*$C$7706</f>
        <v>306250</v>
      </c>
      <c r="H7749" s="54" t="n">
        <f aca="false">(H7725+Assumptions!$D$104*H7711)*$C$7706</f>
        <v>306250</v>
      </c>
      <c r="I7749" s="54" t="n">
        <f aca="false">(I7725+Assumptions!$D$104*I7711)*$C$7706</f>
        <v>306250</v>
      </c>
      <c r="J7749" s="54" t="n">
        <f aca="false">(J7725+Assumptions!$D$104*J7711)*$C$7706</f>
        <v>306250</v>
      </c>
      <c r="K7749" s="54" t="n">
        <f aca="false">(K7725+Assumptions!$D$104*K7711)*$C$7706</f>
        <v>306250</v>
      </c>
      <c r="L7749" s="54" t="n">
        <f aca="false">(L7725+Assumptions!$D$104*L7711)*$C$7706</f>
        <v>306250</v>
      </c>
      <c r="M7749" s="54" t="n">
        <f aca="false">(M7725+Assumptions!$D$104*M7711)*$C$7706</f>
        <v>306250</v>
      </c>
      <c r="N7749" s="54" t="n">
        <f aca="false">(N7725+Assumptions!$D$104*N7711)*$C$7706</f>
        <v>306250</v>
      </c>
      <c r="P7749" s="55" t="n">
        <f aca="false">SUM(C7749:F7749)</f>
        <v>1225000</v>
      </c>
      <c r="Q7749" s="55" t="n">
        <f aca="false">SUM(G7749:J7749)</f>
        <v>1225000</v>
      </c>
      <c r="R7749" s="55" t="n">
        <f aca="false">SUM(K7749:N7749)</f>
        <v>1225000</v>
      </c>
      <c r="S7749" s="56" t="n">
        <f aca="false">SUM(P7749:R7749)</f>
        <v>3675000</v>
      </c>
    </row>
    <row r="7750" customFormat="false" ht="15" hidden="false" customHeight="false" outlineLevel="0" collapsed="false">
      <c r="A7750" s="4" t="s">
        <v>524</v>
      </c>
      <c r="B7750" s="36" t="s">
        <v>77</v>
      </c>
      <c r="C7750" s="51" t="n">
        <f aca="false">IF(C7748&gt;0,MIN(1,C7749/C7748),1)</f>
        <v>1</v>
      </c>
      <c r="D7750" s="51" t="n">
        <f aca="false">IF(D7748&gt;0,MIN(1,D7749/D7748),1)</f>
        <v>1</v>
      </c>
      <c r="E7750" s="51" t="n">
        <f aca="false">IF(E7748&gt;0,MIN(1,E7749/E7748),1)</f>
        <v>1</v>
      </c>
      <c r="F7750" s="51" t="n">
        <f aca="false">IF(F7748&gt;0,MIN(1,F7749/F7748),1)</f>
        <v>1</v>
      </c>
      <c r="G7750" s="51" t="n">
        <f aca="false">IF(G7748&gt;0,MIN(1,G7749/G7748),1)</f>
        <v>1</v>
      </c>
      <c r="H7750" s="51" t="n">
        <f aca="false">IF(H7748&gt;0,MIN(1,H7749/H7748),1)</f>
        <v>1</v>
      </c>
      <c r="I7750" s="51" t="n">
        <f aca="false">IF(I7748&gt;0,MIN(1,I7749/I7748),1)</f>
        <v>1</v>
      </c>
      <c r="J7750" s="51" t="n">
        <f aca="false">IF(J7748&gt;0,MIN(1,J7749/J7748),1)</f>
        <v>1</v>
      </c>
      <c r="K7750" s="51" t="n">
        <f aca="false">IF(K7748&gt;0,MIN(1,K7749/K7748),1)</f>
        <v>1</v>
      </c>
      <c r="L7750" s="51" t="n">
        <f aca="false">IF(L7748&gt;0,MIN(1,L7749/L7748),1)</f>
        <v>1</v>
      </c>
      <c r="M7750" s="51" t="n">
        <f aca="false">IF(M7748&gt;0,MIN(1,M7749/M7748),1)</f>
        <v>1</v>
      </c>
      <c r="N7750" s="51" t="n">
        <f aca="false">IF(N7748&gt;0,MIN(1,N7749/N7748),1)</f>
        <v>1</v>
      </c>
      <c r="P7750" s="52"/>
      <c r="Q7750" s="52"/>
      <c r="R7750" s="52"/>
      <c r="S7750" s="53"/>
    </row>
    <row r="7751" customFormat="false" ht="15" hidden="false" customHeight="false" outlineLevel="0" collapsed="false">
      <c r="A7751" s="4" t="s">
        <v>525</v>
      </c>
      <c r="B7751" s="36" t="s">
        <v>125</v>
      </c>
      <c r="C7751" s="54" t="n">
        <f aca="false">C7748*(1-C7750)</f>
        <v>0</v>
      </c>
      <c r="D7751" s="54" t="n">
        <f aca="false">D7748*(1-D7750)</f>
        <v>0</v>
      </c>
      <c r="E7751" s="54" t="n">
        <f aca="false">E7748*(1-E7750)</f>
        <v>0</v>
      </c>
      <c r="F7751" s="54" t="n">
        <f aca="false">F7748*(1-F7750)</f>
        <v>0</v>
      </c>
      <c r="G7751" s="54" t="n">
        <f aca="false">G7748*(1-G7750)</f>
        <v>0</v>
      </c>
      <c r="H7751" s="54" t="n">
        <f aca="false">H7748*(1-H7750)</f>
        <v>0</v>
      </c>
      <c r="I7751" s="54" t="n">
        <f aca="false">I7748*(1-I7750)</f>
        <v>0</v>
      </c>
      <c r="J7751" s="54" t="n">
        <f aca="false">J7748*(1-J7750)</f>
        <v>0</v>
      </c>
      <c r="K7751" s="54" t="n">
        <f aca="false">K7748*(1-K7750)</f>
        <v>0</v>
      </c>
      <c r="L7751" s="54" t="n">
        <f aca="false">L7748*(1-L7750)</f>
        <v>0</v>
      </c>
      <c r="M7751" s="54" t="n">
        <f aca="false">M7748*(1-M7750)</f>
        <v>0</v>
      </c>
      <c r="N7751" s="54" t="n">
        <f aca="false">N7748*(1-N7750)</f>
        <v>0</v>
      </c>
      <c r="P7751" s="55" t="n">
        <f aca="false">SUM(C7751:F7751)</f>
        <v>0</v>
      </c>
      <c r="Q7751" s="55" t="n">
        <f aca="false">SUM(G7751:J7751)</f>
        <v>0</v>
      </c>
      <c r="R7751" s="55" t="n">
        <f aca="false">SUM(K7751:N7751)</f>
        <v>0</v>
      </c>
      <c r="S7751" s="56" t="n">
        <f aca="false">SUM(P7751:R7751)</f>
        <v>0</v>
      </c>
    </row>
    <row r="7752" customFormat="false" ht="15" hidden="false" customHeight="false" outlineLevel="0" collapsed="false">
      <c r="A7752" s="4" t="s">
        <v>526</v>
      </c>
      <c r="B7752" s="36" t="s">
        <v>527</v>
      </c>
      <c r="C7752" s="48" t="n">
        <f aca="false">C7746+C7747*C7750</f>
        <v>0</v>
      </c>
      <c r="D7752" s="48" t="n">
        <f aca="false">D7746+D7747*D7750</f>
        <v>0.866376445183821</v>
      </c>
      <c r="E7752" s="48" t="n">
        <f aca="false">E7746+E7747*E7750</f>
        <v>1.4850370503084</v>
      </c>
      <c r="F7752" s="48" t="n">
        <f aca="false">F7746+F7747*F7750</f>
        <v>1.63860741134595</v>
      </c>
      <c r="G7752" s="48" t="n">
        <f aca="false">G7746+G7747*G7750</f>
        <v>1.79532697390301</v>
      </c>
      <c r="H7752" s="48" t="n">
        <f aca="false">H7746+H7747*H7750</f>
        <v>2.31019678172994</v>
      </c>
      <c r="I7752" s="48" t="n">
        <f aca="false">I7746+I7747*I7750</f>
        <v>2.79111066507864</v>
      </c>
      <c r="J7752" s="48" t="n">
        <f aca="false">J7746+J7747*J7750</f>
        <v>4.1306930875438</v>
      </c>
      <c r="K7752" s="48" t="n">
        <f aca="false">K7746+K7747*K7750</f>
        <v>5.34315863355258</v>
      </c>
      <c r="L7752" s="48" t="n">
        <f aca="false">L7746+L7747*L7750</f>
        <v>5.38112462159553</v>
      </c>
      <c r="M7752" s="48" t="n">
        <f aca="false">M7746+M7747*M7750</f>
        <v>5.22179362206104</v>
      </c>
      <c r="N7752" s="48" t="n">
        <f aca="false">N7746+N7747*N7750</f>
        <v>5.07351941968866</v>
      </c>
      <c r="P7752" s="49" t="n">
        <f aca="false">SUM(C7752:F7752)</f>
        <v>3.99002090683817</v>
      </c>
      <c r="Q7752" s="49" t="n">
        <f aca="false">SUM(G7752:J7752)</f>
        <v>11.0273275082554</v>
      </c>
      <c r="R7752" s="49" t="n">
        <f aca="false">SUM(K7752:N7752)</f>
        <v>21.0195962968978</v>
      </c>
      <c r="S7752" s="50" t="n">
        <f aca="false">SUM(P7752:R7752)</f>
        <v>36.0369447119914</v>
      </c>
    </row>
    <row r="7753" customFormat="false" ht="15" hidden="false" customHeight="false" outlineLevel="0" collapsed="false">
      <c r="A7753" s="4" t="s">
        <v>528</v>
      </c>
      <c r="B7753" s="36" t="s">
        <v>527</v>
      </c>
      <c r="C7753" s="48" t="n">
        <f aca="false">C7743*C7750</f>
        <v>0</v>
      </c>
      <c r="D7753" s="48" t="n">
        <f aca="false">D7743*D7750</f>
        <v>0.434084974267145</v>
      </c>
      <c r="E7753" s="48" t="n">
        <f aca="false">E7743*E7750</f>
        <v>0.744055627726705</v>
      </c>
      <c r="F7753" s="48" t="n">
        <f aca="false">F7743*F7750</f>
        <v>0.820999762796119</v>
      </c>
      <c r="G7753" s="48" t="n">
        <f aca="false">G7743*G7750</f>
        <v>0.89952175823807</v>
      </c>
      <c r="H7753" s="48" t="n">
        <f aca="false">H7743*H7750</f>
        <v>1.13465516292283</v>
      </c>
      <c r="I7753" s="48" t="n">
        <f aca="false">I7743*I7750</f>
        <v>1.35487856174628</v>
      </c>
      <c r="J7753" s="48" t="n">
        <f aca="false">J7743*J7750</f>
        <v>1.88601088123353</v>
      </c>
      <c r="K7753" s="48" t="n">
        <f aca="false">K7743*K7750</f>
        <v>2.37581157552964</v>
      </c>
      <c r="L7753" s="48" t="n">
        <f aca="false">L7743*L7750</f>
        <v>2.3926929822134</v>
      </c>
      <c r="M7753" s="48" t="n">
        <f aca="false">M7743*M7750</f>
        <v>2.32184716628391</v>
      </c>
      <c r="N7753" s="48" t="n">
        <f aca="false">N7743*N7750</f>
        <v>2.25591770573287</v>
      </c>
      <c r="P7753" s="49" t="n">
        <f aca="false">SUM(C7753:F7753)</f>
        <v>1.99914036478997</v>
      </c>
      <c r="Q7753" s="49" t="n">
        <f aca="false">SUM(G7753:J7753)</f>
        <v>5.27506636414072</v>
      </c>
      <c r="R7753" s="49" t="n">
        <f aca="false">SUM(K7753:N7753)</f>
        <v>9.34626942975982</v>
      </c>
      <c r="S7753" s="50" t="n">
        <f aca="false">SUM(P7753:R7753)</f>
        <v>16.6204761586905</v>
      </c>
    </row>
    <row r="7754" customFormat="false" ht="15" hidden="false" customHeight="false" outlineLevel="0" collapsed="false">
      <c r="A7754" s="4" t="s">
        <v>529</v>
      </c>
      <c r="B7754" s="36" t="s">
        <v>527</v>
      </c>
      <c r="C7754" s="48" t="n">
        <f aca="false">C7744*C7750</f>
        <v>0</v>
      </c>
      <c r="D7754" s="48" t="n">
        <f aca="false">D7744*D7750</f>
        <v>0</v>
      </c>
      <c r="E7754" s="48" t="n">
        <f aca="false">E7744*E7750</f>
        <v>0.071275680959914</v>
      </c>
      <c r="F7754" s="48" t="n">
        <f aca="false">F7744*F7750</f>
        <v>0.122172096898336</v>
      </c>
      <c r="G7754" s="48" t="n">
        <f aca="false">G7744*G7750</f>
        <v>0.134806133891215</v>
      </c>
      <c r="H7754" s="48" t="n">
        <f aca="false">H7744*H7750</f>
        <v>0.147699251661313</v>
      </c>
      <c r="I7754" s="48" t="n">
        <f aca="false">I7744*I7750</f>
        <v>0.174259973058587</v>
      </c>
      <c r="J7754" s="48" t="n">
        <f aca="false">J7744*J7750</f>
        <v>0.19948212034567</v>
      </c>
      <c r="K7754" s="48" t="n">
        <f aca="false">K7744*K7750</f>
        <v>0.265355665717199</v>
      </c>
      <c r="L7754" s="48" t="n">
        <f aca="false">L7744*L7750</f>
        <v>0.327251866823927</v>
      </c>
      <c r="M7754" s="48" t="n">
        <f aca="false">M7744*M7750</f>
        <v>0.329577165643402</v>
      </c>
      <c r="N7754" s="48" t="n">
        <f aca="false">N7744*N7750</f>
        <v>0.319818636912259</v>
      </c>
      <c r="P7754" s="49" t="n">
        <f aca="false">SUM(C7754:F7754)</f>
        <v>0.19344777785825</v>
      </c>
      <c r="Q7754" s="49" t="n">
        <f aca="false">SUM(G7754:J7754)</f>
        <v>0.656247478956785</v>
      </c>
      <c r="R7754" s="49" t="n">
        <f aca="false">SUM(K7754:N7754)</f>
        <v>1.24200333509679</v>
      </c>
      <c r="S7754" s="50" t="n">
        <f aca="false">SUM(P7754:R7754)</f>
        <v>2.09169859191182</v>
      </c>
    </row>
    <row r="7755" customFormat="false" ht="15" hidden="false" customHeight="false" outlineLevel="0" collapsed="false">
      <c r="A7755" s="9" t="s">
        <v>530</v>
      </c>
      <c r="B7755" s="36" t="s">
        <v>527</v>
      </c>
      <c r="C7755" s="49" t="n">
        <f aca="false">C7752+C7753+C7754</f>
        <v>0</v>
      </c>
      <c r="D7755" s="49" t="n">
        <f aca="false">D7752+D7753+D7754</f>
        <v>1.30046141945097</v>
      </c>
      <c r="E7755" s="49" t="n">
        <f aca="false">E7752+E7753+E7754</f>
        <v>2.30036835899502</v>
      </c>
      <c r="F7755" s="49" t="n">
        <f aca="false">F7752+F7753+F7754</f>
        <v>2.58177927104041</v>
      </c>
      <c r="G7755" s="49" t="n">
        <f aca="false">G7752+G7753+G7754</f>
        <v>2.82965486603229</v>
      </c>
      <c r="H7755" s="49" t="n">
        <f aca="false">H7752+H7753+H7754</f>
        <v>3.59255119631409</v>
      </c>
      <c r="I7755" s="49" t="n">
        <f aca="false">I7752+I7753+I7754</f>
        <v>4.32024919988351</v>
      </c>
      <c r="J7755" s="49" t="n">
        <f aca="false">J7752+J7753+J7754</f>
        <v>6.216186089123</v>
      </c>
      <c r="K7755" s="49" t="n">
        <f aca="false">K7752+K7753+K7754</f>
        <v>7.98432587479941</v>
      </c>
      <c r="L7755" s="49" t="n">
        <f aca="false">L7752+L7753+L7754</f>
        <v>8.10106947063285</v>
      </c>
      <c r="M7755" s="49" t="n">
        <f aca="false">M7752+M7753+M7754</f>
        <v>7.87321795398836</v>
      </c>
      <c r="N7755" s="49" t="n">
        <f aca="false">N7752+N7753+N7754</f>
        <v>7.64925576233379</v>
      </c>
      <c r="P7755" s="49" t="n">
        <f aca="false">SUM(C7755:F7755)</f>
        <v>6.18260904948639</v>
      </c>
      <c r="Q7755" s="49" t="n">
        <f aca="false">SUM(G7755:J7755)</f>
        <v>16.9586413513529</v>
      </c>
      <c r="R7755" s="49" t="n">
        <f aca="false">SUM(K7755:N7755)</f>
        <v>31.6078690617544</v>
      </c>
      <c r="S7755" s="50" t="n">
        <f aca="false">SUM(P7755:R7755)</f>
        <v>54.7491194625937</v>
      </c>
    </row>
    <row r="7756" customFormat="false" ht="15" hidden="false" customHeight="false" outlineLevel="0" collapsed="false">
      <c r="A7756" s="35" t="s">
        <v>533</v>
      </c>
      <c r="B7756" s="35" t="s">
        <v>444</v>
      </c>
      <c r="C7756" s="6" t="s">
        <v>354</v>
      </c>
      <c r="D7756" s="6" t="s">
        <v>355</v>
      </c>
      <c r="E7756" s="6" t="s">
        <v>356</v>
      </c>
      <c r="F7756" s="6" t="s">
        <v>357</v>
      </c>
      <c r="G7756" s="6" t="s">
        <v>358</v>
      </c>
      <c r="H7756" s="6" t="s">
        <v>359</v>
      </c>
      <c r="I7756" s="6" t="s">
        <v>360</v>
      </c>
      <c r="J7756" s="6" t="s">
        <v>361</v>
      </c>
      <c r="K7756" s="6" t="s">
        <v>362</v>
      </c>
      <c r="L7756" s="6" t="s">
        <v>363</v>
      </c>
      <c r="M7756" s="6" t="s">
        <v>364</v>
      </c>
      <c r="N7756" s="6" t="s">
        <v>365</v>
      </c>
      <c r="P7756" s="6" t="s">
        <v>445</v>
      </c>
      <c r="Q7756" s="6" t="s">
        <v>446</v>
      </c>
      <c r="R7756" s="6" t="s">
        <v>447</v>
      </c>
      <c r="S7756" s="6" t="s">
        <v>448</v>
      </c>
    </row>
    <row r="7757" customFormat="false" ht="15" hidden="false" customHeight="false" outlineLevel="0" collapsed="false">
      <c r="A7757" s="4" t="s">
        <v>534</v>
      </c>
      <c r="B7757" s="36" t="s">
        <v>527</v>
      </c>
      <c r="C7757" s="48" t="n">
        <f aca="false">0*Assumptions!$E$59^(1/4)+C7752</f>
        <v>0</v>
      </c>
      <c r="D7757" s="48" t="n">
        <f aca="false">C7757*Assumptions!$E$59^(1/4)+D7752</f>
        <v>0.866376445183821</v>
      </c>
      <c r="E7757" s="48" t="n">
        <f aca="false">D7757*Assumptions!$E$59^(1/4)+E7752</f>
        <v>2.32416329488403</v>
      </c>
      <c r="F7757" s="48" t="n">
        <f aca="false">E7757*Assumptions!$E$59^(1/4)+F7752</f>
        <v>3.88966863104794</v>
      </c>
      <c r="G7757" s="48" t="n">
        <f aca="false">F7757*Assumptions!$E$59^(1/4)+G7752</f>
        <v>5.56265357789716</v>
      </c>
      <c r="H7757" s="48" t="n">
        <f aca="false">G7757*Assumptions!$E$59^(1/4)+H7752</f>
        <v>7.69788781678072</v>
      </c>
      <c r="I7757" s="48" t="n">
        <f aca="false">H7757*Assumptions!$E$59^(1/4)+I7752</f>
        <v>10.2468762630101</v>
      </c>
      <c r="J7757" s="48" t="n">
        <f aca="false">I7757*Assumptions!$E$59^(1/4)+J7752</f>
        <v>14.0552736148763</v>
      </c>
      <c r="K7757" s="48" t="n">
        <f aca="false">J7757*Assumptions!$E$59^(1/4)+K7752</f>
        <v>18.9563507170835</v>
      </c>
      <c r="L7757" s="48" t="n">
        <f aca="false">K7757*Assumptions!$E$59^(1/4)+L7752</f>
        <v>23.7412398769334</v>
      </c>
      <c r="M7757" s="48" t="n">
        <f aca="false">L7757*Assumptions!$E$59^(1/4)+M7752</f>
        <v>28.2162985745513</v>
      </c>
      <c r="N7757" s="48" t="n">
        <f aca="false">M7757*Assumptions!$E$59^(1/4)+N7752</f>
        <v>32.4023287268997</v>
      </c>
      <c r="P7757" s="49" t="n">
        <f aca="false">F7757</f>
        <v>3.88966863104794</v>
      </c>
      <c r="Q7757" s="49" t="n">
        <f aca="false">J7757</f>
        <v>14.0552736148763</v>
      </c>
      <c r="R7757" s="49" t="n">
        <f aca="false">N7757</f>
        <v>32.4023287268997</v>
      </c>
      <c r="S7757" s="50" t="n">
        <f aca="false">R7757</f>
        <v>32.4023287268997</v>
      </c>
    </row>
    <row r="7758" customFormat="false" ht="15" hidden="false" customHeight="false" outlineLevel="0" collapsed="false">
      <c r="A7758" s="4" t="s">
        <v>535</v>
      </c>
      <c r="B7758" s="36" t="s">
        <v>527</v>
      </c>
      <c r="C7758" s="48" t="n">
        <f aca="false">0*Assumptions!$E$60^(1/4)+C7753</f>
        <v>0</v>
      </c>
      <c r="D7758" s="48" t="n">
        <f aca="false">C7758*Assumptions!$E$60^(1/4)+D7753</f>
        <v>0.434084974267145</v>
      </c>
      <c r="E7758" s="48" t="n">
        <f aca="false">D7758*Assumptions!$E$60^(1/4)+E7753</f>
        <v>1.16685601892983</v>
      </c>
      <c r="F7758" s="48" t="n">
        <f aca="false">E7758*Assumptions!$E$60^(1/4)+F7753</f>
        <v>1.95752189677268</v>
      </c>
      <c r="G7758" s="48" t="n">
        <f aca="false">F7758*Assumptions!$E$60^(1/4)+G7753</f>
        <v>2.80615541940422</v>
      </c>
      <c r="H7758" s="48" t="n">
        <f aca="false">G7758*Assumptions!$E$60^(1/4)+H7753</f>
        <v>3.86786105447419</v>
      </c>
      <c r="I7758" s="48" t="n">
        <f aca="false">H7758*Assumptions!$E$60^(1/4)+I7753</f>
        <v>5.12218971945664</v>
      </c>
      <c r="J7758" s="48" t="n">
        <f aca="false">I7758*Assumptions!$E$60^(1/4)+J7753</f>
        <v>6.87504285788544</v>
      </c>
      <c r="K7758" s="48" t="n">
        <f aca="false">J7758*Assumptions!$E$60^(1/4)+K7753</f>
        <v>9.07212907594454</v>
      </c>
      <c r="L7758" s="48" t="n">
        <f aca="false">K7758*Assumptions!$E$60^(1/4)+L7753</f>
        <v>11.2289806902372</v>
      </c>
      <c r="M7758" s="48" t="n">
        <f aca="false">L7758*Assumptions!$E$60^(1/4)+M7753</f>
        <v>13.2589164271123</v>
      </c>
      <c r="N7758" s="48" t="n">
        <f aca="false">M7758*Assumptions!$E$60^(1/4)+N7753</f>
        <v>15.1701519792802</v>
      </c>
      <c r="P7758" s="49" t="n">
        <f aca="false">F7758</f>
        <v>1.95752189677268</v>
      </c>
      <c r="Q7758" s="49" t="n">
        <f aca="false">J7758</f>
        <v>6.87504285788544</v>
      </c>
      <c r="R7758" s="49" t="n">
        <f aca="false">N7758</f>
        <v>15.1701519792802</v>
      </c>
      <c r="S7758" s="50" t="n">
        <f aca="false">R7758</f>
        <v>15.1701519792802</v>
      </c>
    </row>
    <row r="7759" customFormat="false" ht="15" hidden="false" customHeight="false" outlineLevel="0" collapsed="false">
      <c r="A7759" s="4" t="s">
        <v>536</v>
      </c>
      <c r="B7759" s="36" t="s">
        <v>527</v>
      </c>
      <c r="C7759" s="48" t="n">
        <f aca="false">0*Assumptions!$E$61^(1/4)+C7754</f>
        <v>0</v>
      </c>
      <c r="D7759" s="48" t="n">
        <f aca="false">C7759*Assumptions!$E$61^(1/4)+D7754</f>
        <v>0</v>
      </c>
      <c r="E7759" s="48" t="n">
        <f aca="false">D7759*Assumptions!$E$61^(1/4)+E7754</f>
        <v>0.071275680959914</v>
      </c>
      <c r="F7759" s="48" t="n">
        <f aca="false">E7759*Assumptions!$E$61^(1/4)+F7754</f>
        <v>0.191977386314485</v>
      </c>
      <c r="G7759" s="48" t="n">
        <f aca="false">F7759*Assumptions!$E$61^(1/4)+G7754</f>
        <v>0.322823096094288</v>
      </c>
      <c r="H7759" s="48" t="n">
        <f aca="false">G7759*Assumptions!$E$61^(1/4)+H7754</f>
        <v>0.463862623930639</v>
      </c>
      <c r="I7759" s="48" t="n">
        <f aca="false">H7759*Assumptions!$E$61^(1/4)+I7754</f>
        <v>0.628553278667598</v>
      </c>
      <c r="J7759" s="48" t="n">
        <f aca="false">I7759*Assumptions!$E$61^(1/4)+J7754</f>
        <v>0.815068571993006</v>
      </c>
      <c r="K7759" s="48" t="n">
        <f aca="false">J7759*Assumptions!$E$61^(1/4)+K7754</f>
        <v>1.06360966758325</v>
      </c>
      <c r="L7759" s="48" t="n">
        <f aca="false">K7759*Assumptions!$E$61^(1/4)+L7754</f>
        <v>1.36891965128493</v>
      </c>
      <c r="M7759" s="48" t="n">
        <f aca="false">L7759*Assumptions!$E$61^(1/4)+M7754</f>
        <v>1.67025649916167</v>
      </c>
      <c r="N7759" s="48" t="n">
        <f aca="false">M7759*Assumptions!$E$61^(1/4)+N7754</f>
        <v>1.95561834801929</v>
      </c>
      <c r="P7759" s="49" t="n">
        <f aca="false">F7759</f>
        <v>0.191977386314485</v>
      </c>
      <c r="Q7759" s="49" t="n">
        <f aca="false">J7759</f>
        <v>0.815068571993006</v>
      </c>
      <c r="R7759" s="49" t="n">
        <f aca="false">N7759</f>
        <v>1.95561834801929</v>
      </c>
      <c r="S7759" s="50" t="n">
        <f aca="false">R7759</f>
        <v>1.95561834801929</v>
      </c>
    </row>
    <row r="7760" customFormat="false" ht="15" hidden="false" customHeight="false" outlineLevel="0" collapsed="false">
      <c r="A7760" s="9" t="s">
        <v>537</v>
      </c>
      <c r="B7760" s="36" t="s">
        <v>527</v>
      </c>
      <c r="C7760" s="49" t="n">
        <f aca="false">C7757+C7758+C7759</f>
        <v>0</v>
      </c>
      <c r="D7760" s="49" t="n">
        <f aca="false">D7757+D7758+D7759</f>
        <v>1.30046141945097</v>
      </c>
      <c r="E7760" s="49" t="n">
        <f aca="false">E7757+E7758+E7759</f>
        <v>3.56229499477378</v>
      </c>
      <c r="F7760" s="49" t="n">
        <f aca="false">F7757+F7758+F7759</f>
        <v>6.0391679141351</v>
      </c>
      <c r="G7760" s="49" t="n">
        <f aca="false">G7757+G7758+G7759</f>
        <v>8.69163209339566</v>
      </c>
      <c r="H7760" s="49" t="n">
        <f aca="false">H7757+H7758+H7759</f>
        <v>12.0296114951856</v>
      </c>
      <c r="I7760" s="49" t="n">
        <f aca="false">I7757+I7758+I7759</f>
        <v>15.9976192611344</v>
      </c>
      <c r="J7760" s="49" t="n">
        <f aca="false">J7757+J7758+J7759</f>
        <v>21.7453850447547</v>
      </c>
      <c r="K7760" s="49" t="n">
        <f aca="false">K7757+K7758+K7759</f>
        <v>29.0920894606113</v>
      </c>
      <c r="L7760" s="49" t="n">
        <f aca="false">L7757+L7758+L7759</f>
        <v>36.3391402184556</v>
      </c>
      <c r="M7760" s="49" t="n">
        <f aca="false">M7757+M7758+M7759</f>
        <v>43.1454715008253</v>
      </c>
      <c r="N7760" s="49" t="n">
        <f aca="false">N7757+N7758+N7759</f>
        <v>49.5280990541991</v>
      </c>
      <c r="P7760" s="49" t="n">
        <f aca="false">F7760</f>
        <v>6.0391679141351</v>
      </c>
      <c r="Q7760" s="49" t="n">
        <f aca="false">J7760</f>
        <v>21.7453850447547</v>
      </c>
      <c r="R7760" s="49" t="n">
        <f aca="false">N7760</f>
        <v>49.5280990541991</v>
      </c>
      <c r="S7760" s="50" t="n">
        <f aca="false">R7760</f>
        <v>49.5280990541991</v>
      </c>
    </row>
    <row r="7761" customFormat="false" ht="15" hidden="false" customHeight="false" outlineLevel="0" collapsed="false">
      <c r="A7761" s="4" t="s">
        <v>538</v>
      </c>
      <c r="B7761" s="36" t="s">
        <v>125</v>
      </c>
      <c r="C7761" s="54" t="n">
        <f aca="false">0*Assumptions!$E$62^(1/4)+C7752*$C$7701</f>
        <v>0</v>
      </c>
      <c r="D7761" s="54" t="n">
        <f aca="false">C7761*Assumptions!$E$62^(1/4)+D7752*$C$7701</f>
        <v>4636.84673462381</v>
      </c>
      <c r="E7761" s="54" t="n">
        <f aca="false">D7761*Assumptions!$E$62^(1/4)+E7752*$C$7701</f>
        <v>12584.7650278744</v>
      </c>
      <c r="F7761" s="54" t="n">
        <f aca="false">E7761*Assumptions!$E$62^(1/4)+F7752*$C$7701</f>
        <v>21354.5918933979</v>
      </c>
      <c r="G7761" s="54" t="n">
        <f aca="false">F7761*Assumptions!$E$62^(1/4)+G7752*$C$7701</f>
        <v>30963.1818577268</v>
      </c>
      <c r="H7761" s="54" t="n">
        <f aca="false">G7761*Assumptions!$E$62^(1/4)+H7752*$C$7701</f>
        <v>43327.3550335454</v>
      </c>
      <c r="I7761" s="54" t="n">
        <f aca="false">H7761*Assumptions!$E$62^(1/4)+I7752*$C$7701</f>
        <v>58265.3793130463</v>
      </c>
      <c r="J7761" s="54" t="n">
        <f aca="false">I7761*Assumptions!$E$62^(1/4)+J7752*$C$7701</f>
        <v>80372.8487175808</v>
      </c>
      <c r="K7761" s="54" t="n">
        <f aca="false">J7761*Assumptions!$E$62^(1/4)+K7752*$C$7701</f>
        <v>108969.433724354</v>
      </c>
      <c r="L7761" s="54" t="n">
        <f aca="false">K7761*Assumptions!$E$62^(1/4)+L7752*$C$7701</f>
        <v>137769.212699133</v>
      </c>
      <c r="M7761" s="54" t="n">
        <f aca="false">L7761*Assumptions!$E$62^(1/4)+M7752*$C$7701</f>
        <v>165716.252164404</v>
      </c>
      <c r="N7761" s="54" t="n">
        <f aca="false">M7761*Assumptions!$E$62^(1/4)+N7752*$C$7701</f>
        <v>192869.728098578</v>
      </c>
      <c r="P7761" s="55" t="n">
        <f aca="false">F7761</f>
        <v>21354.5918933979</v>
      </c>
      <c r="Q7761" s="55" t="n">
        <f aca="false">J7761</f>
        <v>80372.8487175808</v>
      </c>
      <c r="R7761" s="55" t="n">
        <f aca="false">N7761</f>
        <v>192869.728098578</v>
      </c>
      <c r="S7761" s="56" t="n">
        <f aca="false">R7761</f>
        <v>192869.728098578</v>
      </c>
    </row>
    <row r="7762" customFormat="false" ht="15" hidden="false" customHeight="false" outlineLevel="0" collapsed="false">
      <c r="A7762" s="4" t="s">
        <v>539</v>
      </c>
      <c r="B7762" s="36" t="s">
        <v>125</v>
      </c>
      <c r="C7762" s="54" t="n">
        <f aca="false">0*Assumptions!$E$63^(1/4)+C7753*$C$7702</f>
        <v>0</v>
      </c>
      <c r="D7762" s="54" t="n">
        <f aca="false">C7762*Assumptions!$E$63^(1/4)+D7753*$C$7702</f>
        <v>4239.58645576376</v>
      </c>
      <c r="E7762" s="54" t="n">
        <f aca="false">D7762*Assumptions!$E$63^(1/4)+E7753*$C$7702</f>
        <v>11568.780571464</v>
      </c>
      <c r="F7762" s="54" t="n">
        <f aca="false">E7762*Assumptions!$E$63^(1/4)+F7753*$C$7702</f>
        <v>19757.0139869302</v>
      </c>
      <c r="G7762" s="54" t="n">
        <f aca="false">F7762*Assumptions!$E$63^(1/4)+G7753*$C$7702</f>
        <v>28832.3026333607</v>
      </c>
      <c r="H7762" s="54" t="n">
        <f aca="false">G7762*Assumptions!$E$63^(1/4)+H7753*$C$7702</f>
        <v>40337.2428258018</v>
      </c>
      <c r="I7762" s="54" t="n">
        <f aca="false">H7762*Assumptions!$E$63^(1/4)+I7753*$C$7702</f>
        <v>54161.8650429175</v>
      </c>
      <c r="J7762" s="54" t="n">
        <f aca="false">I7762*Assumptions!$E$63^(1/4)+J7753*$C$7702</f>
        <v>73376.768355554</v>
      </c>
      <c r="K7762" s="54" t="n">
        <f aca="false">J7762*Assumptions!$E$63^(1/4)+K7753*$C$7702</f>
        <v>97657.3745036042</v>
      </c>
      <c r="L7762" s="54" t="n">
        <f aca="false">K7762*Assumptions!$E$63^(1/4)+L7753*$C$7702</f>
        <v>122459.146505613</v>
      </c>
      <c r="M7762" s="54" t="n">
        <f aca="false">L7762*Assumptions!$E$63^(1/4)+M7753*$C$7702</f>
        <v>146932.924638212</v>
      </c>
      <c r="N7762" s="54" t="n">
        <f aca="false">M7762*Assumptions!$E$63^(1/4)+N7753*$C$7702</f>
        <v>171121.912636854</v>
      </c>
      <c r="P7762" s="55" t="n">
        <f aca="false">F7762</f>
        <v>19757.0139869302</v>
      </c>
      <c r="Q7762" s="55" t="n">
        <f aca="false">J7762</f>
        <v>73376.768355554</v>
      </c>
      <c r="R7762" s="55" t="n">
        <f aca="false">N7762</f>
        <v>171121.912636854</v>
      </c>
      <c r="S7762" s="56" t="n">
        <f aca="false">R7762</f>
        <v>171121.912636854</v>
      </c>
    </row>
    <row r="7763" customFormat="false" ht="15" hidden="false" customHeight="false" outlineLevel="0" collapsed="false">
      <c r="A7763" s="4" t="s">
        <v>540</v>
      </c>
      <c r="B7763" s="36" t="s">
        <v>125</v>
      </c>
      <c r="C7763" s="54" t="n">
        <f aca="false">0*Assumptions!$E$64^(1/4)+C7754*$C$7703</f>
        <v>0</v>
      </c>
      <c r="D7763" s="54" t="n">
        <f aca="false">C7763*Assumptions!$E$64^(1/4)+D7754*$C$7703</f>
        <v>0</v>
      </c>
      <c r="E7763" s="54" t="n">
        <f aca="false">D7763*Assumptions!$E$64^(1/4)+E7754*$C$7703</f>
        <v>4403.28728055653</v>
      </c>
      <c r="F7763" s="54" t="n">
        <f aca="false">E7763*Assumptions!$E$64^(1/4)+F7754*$C$7703</f>
        <v>12107.4388108841</v>
      </c>
      <c r="G7763" s="54" t="n">
        <f aca="false">F7763*Assumptions!$E$64^(1/4)+G7754*$C$7703</f>
        <v>20866.0439239064</v>
      </c>
      <c r="H7763" s="54" t="n">
        <f aca="false">G7763*Assumptions!$E$64^(1/4)+H7754*$C$7703</f>
        <v>30732.6025192522</v>
      </c>
      <c r="I7763" s="54" t="n">
        <f aca="false">H7763*Assumptions!$E$64^(1/4)+I7754*$C$7703</f>
        <v>42590.8720102144</v>
      </c>
      <c r="J7763" s="54" t="n">
        <f aca="false">I7763*Assumptions!$E$64^(1/4)+J7754*$C$7703</f>
        <v>56428.9790305215</v>
      </c>
      <c r="K7763" s="54" t="n">
        <f aca="false">J7763*Assumptions!$E$64^(1/4)+K7754*$C$7703</f>
        <v>74828.6952807254</v>
      </c>
      <c r="L7763" s="54" t="n">
        <f aca="false">K7763*Assumptions!$E$64^(1/4)+L7754*$C$7703</f>
        <v>97706.5094169996</v>
      </c>
      <c r="M7763" s="54" t="n">
        <f aca="false">L7763*Assumptions!$E$64^(1/4)+M7754*$C$7703</f>
        <v>121541.467521117</v>
      </c>
      <c r="N7763" s="54" t="n">
        <f aca="false">M7763*Assumptions!$E$64^(1/4)+N7754*$C$7703</f>
        <v>145621.085996823</v>
      </c>
      <c r="P7763" s="55" t="n">
        <f aca="false">F7763</f>
        <v>12107.4388108841</v>
      </c>
      <c r="Q7763" s="55" t="n">
        <f aca="false">J7763</f>
        <v>56428.9790305215</v>
      </c>
      <c r="R7763" s="55" t="n">
        <f aca="false">N7763</f>
        <v>145621.085996823</v>
      </c>
      <c r="S7763" s="56" t="n">
        <f aca="false">R7763</f>
        <v>145621.085996823</v>
      </c>
    </row>
    <row r="7764" customFormat="false" ht="15" hidden="false" customHeight="false" outlineLevel="0" collapsed="false">
      <c r="A7764" s="9" t="s">
        <v>541</v>
      </c>
      <c r="B7764" s="36" t="s">
        <v>125</v>
      </c>
      <c r="C7764" s="55" t="n">
        <f aca="false">C7761+C7762+C7763</f>
        <v>0</v>
      </c>
      <c r="D7764" s="55" t="n">
        <f aca="false">D7761+D7762+D7763</f>
        <v>8876.43319038757</v>
      </c>
      <c r="E7764" s="55" t="n">
        <f aca="false">E7761+E7762+E7763</f>
        <v>28556.8328798949</v>
      </c>
      <c r="F7764" s="55" t="n">
        <f aca="false">F7761+F7762+F7763</f>
        <v>53219.0446912122</v>
      </c>
      <c r="G7764" s="55" t="n">
        <f aca="false">G7761+G7762+G7763</f>
        <v>80661.5284149939</v>
      </c>
      <c r="H7764" s="55" t="n">
        <f aca="false">H7761+H7762+H7763</f>
        <v>114397.200378599</v>
      </c>
      <c r="I7764" s="55" t="n">
        <f aca="false">I7761+I7762+I7763</f>
        <v>155018.116366178</v>
      </c>
      <c r="J7764" s="55" t="n">
        <f aca="false">J7761+J7762+J7763</f>
        <v>210178.596103656</v>
      </c>
      <c r="K7764" s="55" t="n">
        <f aca="false">K7761+K7762+K7763</f>
        <v>281455.503508684</v>
      </c>
      <c r="L7764" s="55" t="n">
        <f aca="false">L7761+L7762+L7763</f>
        <v>357934.868621746</v>
      </c>
      <c r="M7764" s="55" t="n">
        <f aca="false">M7761+M7762+M7763</f>
        <v>434190.644323734</v>
      </c>
      <c r="N7764" s="55" t="n">
        <f aca="false">N7761+N7762+N7763</f>
        <v>509612.726732255</v>
      </c>
      <c r="P7764" s="55" t="n">
        <f aca="false">F7764</f>
        <v>53219.0446912122</v>
      </c>
      <c r="Q7764" s="55" t="n">
        <f aca="false">J7764</f>
        <v>210178.596103656</v>
      </c>
      <c r="R7764" s="55" t="n">
        <f aca="false">N7764</f>
        <v>509612.726732255</v>
      </c>
      <c r="S7764" s="56" t="n">
        <f aca="false">R7764</f>
        <v>509612.726732255</v>
      </c>
    </row>
    <row r="7765" customFormat="false" ht="15" hidden="false" customHeight="false" outlineLevel="0" collapsed="false">
      <c r="A7765" s="4" t="s">
        <v>542</v>
      </c>
      <c r="B7765" s="36" t="s">
        <v>125</v>
      </c>
      <c r="C7765" s="54" t="n">
        <f aca="false">C7752*$C$7701+C7753*$C$7702+C7754*$C$7703</f>
        <v>0</v>
      </c>
      <c r="D7765" s="54" t="n">
        <f aca="false">D7752*$C$7701+D7753*$C$7702+D7754*$C$7703</f>
        <v>8876.43319038757</v>
      </c>
      <c r="E7765" s="54" t="n">
        <f aca="false">E7752*$C$7701+E7753*$C$7702+E7754*$C$7703</f>
        <v>19618.1886500368</v>
      </c>
      <c r="F7765" s="54" t="n">
        <f aca="false">F7752*$C$7701+F7753*$C$7702+F7754*$C$7703</f>
        <v>24335.8808795765</v>
      </c>
      <c r="G7765" s="54" t="n">
        <f aca="false">G7752*$C$7701+G7753*$C$7702+G7754*$C$7703</f>
        <v>26722.0551062465</v>
      </c>
      <c r="H7765" s="54" t="n">
        <f aca="false">H7752*$C$7701+H7753*$C$7702+H7754*$C$7703</f>
        <v>32570.6348072815</v>
      </c>
      <c r="I7765" s="54" t="n">
        <f aca="false">I7752*$C$7701+I7753*$C$7702+I7754*$C$7703</f>
        <v>38936.2212649288</v>
      </c>
      <c r="J7765" s="54" t="n">
        <f aca="false">J7752*$C$7701+J7753*$C$7702+J7754*$C$7703</f>
        <v>52851.2673832351</v>
      </c>
      <c r="K7765" s="54" t="n">
        <f aca="false">K7752*$C$7701+K7753*$C$7702+K7754*$C$7703</f>
        <v>68193.6820495777</v>
      </c>
      <c r="L7765" s="54" t="n">
        <f aca="false">L7752*$C$7701+L7753*$C$7702+L7754*$C$7703</f>
        <v>72385.5913630249</v>
      </c>
      <c r="M7765" s="54" t="n">
        <f aca="false">M7752*$C$7701+M7753*$C$7702+M7754*$C$7703</f>
        <v>70984.5735032962</v>
      </c>
      <c r="N7765" s="54" t="n">
        <f aca="false">N7752*$C$7701+N7753*$C$7702+N7754*$C$7703</f>
        <v>68944.2304944803</v>
      </c>
      <c r="P7765" s="55" t="n">
        <f aca="false">SUM(C7765:F7765)</f>
        <v>52830.5027200009</v>
      </c>
      <c r="Q7765" s="55" t="n">
        <f aca="false">SUM(G7765:J7765)</f>
        <v>151080.178561692</v>
      </c>
      <c r="R7765" s="55" t="n">
        <f aca="false">SUM(K7765:N7765)</f>
        <v>280508.077410379</v>
      </c>
      <c r="S7765" s="56" t="n">
        <f aca="false">SUM(P7765:R7765)</f>
        <v>484418.758692072</v>
      </c>
    </row>
    <row r="7766" customFormat="false" ht="15" hidden="false" customHeight="false" outlineLevel="0" collapsed="false">
      <c r="A7766" s="9" t="s">
        <v>543</v>
      </c>
      <c r="B7766" s="36" t="s">
        <v>125</v>
      </c>
      <c r="C7766" s="55" t="n">
        <f aca="false">(0+C7764)/8</f>
        <v>0</v>
      </c>
      <c r="D7766" s="55" t="n">
        <f aca="false">(C7764+D7764)/8</f>
        <v>1109.55414879845</v>
      </c>
      <c r="E7766" s="55" t="n">
        <f aca="false">(D7764+E7764)/8</f>
        <v>4679.15825878531</v>
      </c>
      <c r="F7766" s="55" t="n">
        <f aca="false">(E7764+F7764)/8</f>
        <v>10221.9846963884</v>
      </c>
      <c r="G7766" s="55" t="n">
        <f aca="false">(F7764+G7764)/8</f>
        <v>16735.0716382758</v>
      </c>
      <c r="H7766" s="55" t="n">
        <f aca="false">(G7764+H7764)/8</f>
        <v>24382.3410991992</v>
      </c>
      <c r="I7766" s="55" t="n">
        <f aca="false">(H7764+I7764)/8</f>
        <v>33676.9145930972</v>
      </c>
      <c r="J7766" s="55" t="n">
        <f aca="false">(I7764+J7764)/8</f>
        <v>45649.5890587293</v>
      </c>
      <c r="K7766" s="55" t="n">
        <f aca="false">(J7764+K7764)/8</f>
        <v>61454.2624515425</v>
      </c>
      <c r="L7766" s="55" t="n">
        <f aca="false">(K7764+L7764)/8</f>
        <v>79923.7965163037</v>
      </c>
      <c r="M7766" s="55" t="n">
        <f aca="false">(L7764+M7764)/8</f>
        <v>99015.6891181849</v>
      </c>
      <c r="N7766" s="55" t="n">
        <f aca="false">(M7764+N7764)/8</f>
        <v>117975.421381999</v>
      </c>
      <c r="P7766" s="55" t="n">
        <f aca="false">SUM(C7766:F7766)</f>
        <v>16010.6971039722</v>
      </c>
      <c r="Q7766" s="55" t="n">
        <f aca="false">SUM(G7766:J7766)</f>
        <v>120443.916389301</v>
      </c>
      <c r="R7766" s="55" t="n">
        <f aca="false">SUM(K7766:N7766)</f>
        <v>358369.16946803</v>
      </c>
      <c r="S7766" s="56" t="n">
        <f aca="false">SUM(P7766:R7766)</f>
        <v>494823.782961303</v>
      </c>
    </row>
    <row r="7767" customFormat="false" ht="15" hidden="false" customHeight="false" outlineLevel="0" collapsed="false">
      <c r="A7767" s="4" t="s">
        <v>544</v>
      </c>
      <c r="B7767" s="36" t="s">
        <v>125</v>
      </c>
      <c r="C7767" s="54" t="n">
        <f aca="false">C7766*Assumptions!$E$76</f>
        <v>0</v>
      </c>
      <c r="D7767" s="54" t="n">
        <f aca="false">D7766*Assumptions!$E$76</f>
        <v>721.21019671899</v>
      </c>
      <c r="E7767" s="54" t="n">
        <f aca="false">E7766*Assumptions!$E$76</f>
        <v>3041.45286821045</v>
      </c>
      <c r="F7767" s="54" t="n">
        <f aca="false">F7766*Assumptions!$E$76</f>
        <v>6644.29005265246</v>
      </c>
      <c r="G7767" s="54" t="n">
        <f aca="false">G7766*Assumptions!$E$76</f>
        <v>10877.7965648792</v>
      </c>
      <c r="H7767" s="54" t="n">
        <f aca="false">H7766*Assumptions!$E$76</f>
        <v>15848.5217144795</v>
      </c>
      <c r="I7767" s="54" t="n">
        <f aca="false">I7766*Assumptions!$E$76</f>
        <v>21889.9944855132</v>
      </c>
      <c r="J7767" s="54" t="n">
        <f aca="false">J7766*Assumptions!$E$76</f>
        <v>29672.2328881741</v>
      </c>
      <c r="K7767" s="54" t="n">
        <f aca="false">K7766*Assumptions!$E$76</f>
        <v>39945.2705935026</v>
      </c>
      <c r="L7767" s="54" t="n">
        <f aca="false">L7766*Assumptions!$E$76</f>
        <v>51950.4677355974</v>
      </c>
      <c r="M7767" s="54" t="n">
        <f aca="false">M7766*Assumptions!$E$76</f>
        <v>64360.1979268202</v>
      </c>
      <c r="N7767" s="54" t="n">
        <f aca="false">N7766*Assumptions!$E$76</f>
        <v>76684.0238982991</v>
      </c>
      <c r="P7767" s="55" t="n">
        <f aca="false">SUM(C7767:F7767)</f>
        <v>10406.9531175819</v>
      </c>
      <c r="Q7767" s="55" t="n">
        <f aca="false">SUM(G7767:J7767)</f>
        <v>78288.545653046</v>
      </c>
      <c r="R7767" s="55" t="n">
        <f aca="false">SUM(K7767:N7767)</f>
        <v>232939.960154219</v>
      </c>
      <c r="S7767" s="56" t="n">
        <f aca="false">SUM(P7767:R7767)</f>
        <v>321635.458924847</v>
      </c>
    </row>
    <row r="7768" customFormat="false" ht="15" hidden="false" customHeight="false" outlineLevel="0" collapsed="false">
      <c r="A7768" s="35" t="s">
        <v>547</v>
      </c>
      <c r="B7768" s="35" t="s">
        <v>444</v>
      </c>
      <c r="C7768" s="6" t="s">
        <v>354</v>
      </c>
      <c r="D7768" s="6" t="s">
        <v>355</v>
      </c>
      <c r="E7768" s="6" t="s">
        <v>356</v>
      </c>
      <c r="F7768" s="6" t="s">
        <v>357</v>
      </c>
      <c r="G7768" s="6" t="s">
        <v>358</v>
      </c>
      <c r="H7768" s="6" t="s">
        <v>359</v>
      </c>
      <c r="I7768" s="6" t="s">
        <v>360</v>
      </c>
      <c r="J7768" s="6" t="s">
        <v>361</v>
      </c>
      <c r="K7768" s="6" t="s">
        <v>362</v>
      </c>
      <c r="L7768" s="6" t="s">
        <v>363</v>
      </c>
      <c r="M7768" s="6" t="s">
        <v>364</v>
      </c>
      <c r="N7768" s="6" t="s">
        <v>365</v>
      </c>
      <c r="P7768" s="6" t="s">
        <v>445</v>
      </c>
      <c r="Q7768" s="6" t="s">
        <v>446</v>
      </c>
      <c r="R7768" s="6" t="s">
        <v>447</v>
      </c>
      <c r="S7768" s="6" t="s">
        <v>448</v>
      </c>
    </row>
    <row r="7769" customFormat="false" ht="15" hidden="false" customHeight="false" outlineLevel="0" collapsed="false">
      <c r="A7769" s="4" t="s">
        <v>548</v>
      </c>
      <c r="B7769" s="36" t="s">
        <v>321</v>
      </c>
      <c r="C7769" s="48" t="n">
        <f aca="false">Assumptions!$D$97*C7711</f>
        <v>1</v>
      </c>
      <c r="D7769" s="48" t="n">
        <f aca="false">Assumptions!$D$97*D7711</f>
        <v>1</v>
      </c>
      <c r="E7769" s="48" t="n">
        <f aca="false">Assumptions!$D$97*E7711</f>
        <v>1</v>
      </c>
      <c r="F7769" s="48" t="n">
        <f aca="false">Assumptions!$D$97*F7711</f>
        <v>1</v>
      </c>
      <c r="G7769" s="48" t="n">
        <f aca="false">Assumptions!$D$97*G7711</f>
        <v>1</v>
      </c>
      <c r="H7769" s="48" t="n">
        <f aca="false">Assumptions!$D$97*H7711</f>
        <v>1</v>
      </c>
      <c r="I7769" s="48" t="n">
        <f aca="false">Assumptions!$D$97*I7711</f>
        <v>1</v>
      </c>
      <c r="J7769" s="48" t="n">
        <f aca="false">Assumptions!$D$97*J7711</f>
        <v>1</v>
      </c>
      <c r="K7769" s="48" t="n">
        <f aca="false">Assumptions!$D$97*K7711</f>
        <v>1</v>
      </c>
      <c r="L7769" s="48" t="n">
        <f aca="false">Assumptions!$D$97*L7711</f>
        <v>1</v>
      </c>
      <c r="M7769" s="48" t="n">
        <f aca="false">Assumptions!$D$97*M7711</f>
        <v>1</v>
      </c>
      <c r="N7769" s="48" t="n">
        <f aca="false">Assumptions!$D$97*N7711</f>
        <v>1</v>
      </c>
      <c r="P7769" s="49" t="n">
        <f aca="false">AVERAGE(C7769:F7769)</f>
        <v>1</v>
      </c>
      <c r="Q7769" s="49" t="n">
        <f aca="false">AVERAGE(G7769:J7769)</f>
        <v>1</v>
      </c>
      <c r="R7769" s="49" t="n">
        <f aca="false">AVERAGE(K7769:N7769)</f>
        <v>1</v>
      </c>
      <c r="S7769" s="50"/>
    </row>
    <row r="7770" customFormat="false" ht="15" hidden="false" customHeight="false" outlineLevel="0" collapsed="false">
      <c r="A7770" s="4" t="s">
        <v>549</v>
      </c>
      <c r="B7770" s="36" t="s">
        <v>321</v>
      </c>
      <c r="C7770" s="48" t="n">
        <f aca="false">C7724*C7711</f>
        <v>0</v>
      </c>
      <c r="D7770" s="48" t="n">
        <f aca="false">D7724*D7711</f>
        <v>0</v>
      </c>
      <c r="E7770" s="48" t="n">
        <f aca="false">E7724*E7711</f>
        <v>0</v>
      </c>
      <c r="F7770" s="48" t="n">
        <f aca="false">F7724*F7711</f>
        <v>0</v>
      </c>
      <c r="G7770" s="48" t="n">
        <f aca="false">G7724*G7711</f>
        <v>0</v>
      </c>
      <c r="H7770" s="48" t="n">
        <f aca="false">H7724*H7711</f>
        <v>0</v>
      </c>
      <c r="I7770" s="48" t="n">
        <f aca="false">I7724*I7711</f>
        <v>0</v>
      </c>
      <c r="J7770" s="48" t="n">
        <f aca="false">J7724*J7711</f>
        <v>0</v>
      </c>
      <c r="K7770" s="48" t="n">
        <f aca="false">K7724*K7711</f>
        <v>0</v>
      </c>
      <c r="L7770" s="48" t="n">
        <f aca="false">L7724*L7711</f>
        <v>0</v>
      </c>
      <c r="M7770" s="48" t="n">
        <f aca="false">M7724*M7711</f>
        <v>0</v>
      </c>
      <c r="N7770" s="48" t="n">
        <f aca="false">N7724*N7711</f>
        <v>0</v>
      </c>
      <c r="P7770" s="49" t="n">
        <f aca="false">AVERAGE(C7770:F7770)</f>
        <v>0</v>
      </c>
      <c r="Q7770" s="49" t="n">
        <f aca="false">AVERAGE(G7770:J7770)</f>
        <v>0</v>
      </c>
      <c r="R7770" s="49" t="n">
        <f aca="false">AVERAGE(K7770:N7770)</f>
        <v>0</v>
      </c>
      <c r="S7770" s="50"/>
    </row>
    <row r="7771" customFormat="false" ht="15" hidden="false" customHeight="false" outlineLevel="0" collapsed="false">
      <c r="A7771" s="4" t="s">
        <v>550</v>
      </c>
      <c r="B7771" s="36" t="s">
        <v>321</v>
      </c>
      <c r="C7771" s="48" t="n">
        <f aca="false">IF(C7710&lt;=4,Assumptions!$D$98,Assumptions!$D$99)*C7711</f>
        <v>0</v>
      </c>
      <c r="D7771" s="48" t="n">
        <f aca="false">IF(D7710&lt;=4,Assumptions!$D$98,Assumptions!$D$99)*D7711</f>
        <v>0</v>
      </c>
      <c r="E7771" s="48" t="n">
        <f aca="false">IF(E7710&lt;=4,Assumptions!$D$98,Assumptions!$D$99)*E7711</f>
        <v>0</v>
      </c>
      <c r="F7771" s="48" t="n">
        <f aca="false">IF(F7710&lt;=4,Assumptions!$D$98,Assumptions!$D$99)*F7711</f>
        <v>0</v>
      </c>
      <c r="G7771" s="48" t="n">
        <f aca="false">IF(G7710&lt;=4,Assumptions!$D$98,Assumptions!$D$99)*G7711</f>
        <v>0.5</v>
      </c>
      <c r="H7771" s="48" t="n">
        <f aca="false">IF(H7710&lt;=4,Assumptions!$D$98,Assumptions!$D$99)*H7711</f>
        <v>0.5</v>
      </c>
      <c r="I7771" s="48" t="n">
        <f aca="false">IF(I7710&lt;=4,Assumptions!$D$98,Assumptions!$D$99)*I7711</f>
        <v>0.5</v>
      </c>
      <c r="J7771" s="48" t="n">
        <f aca="false">IF(J7710&lt;=4,Assumptions!$D$98,Assumptions!$D$99)*J7711</f>
        <v>0.5</v>
      </c>
      <c r="K7771" s="48" t="n">
        <f aca="false">IF(K7710&lt;=4,Assumptions!$D$98,Assumptions!$D$99)*K7711</f>
        <v>0.5</v>
      </c>
      <c r="L7771" s="48" t="n">
        <f aca="false">IF(L7710&lt;=4,Assumptions!$D$98,Assumptions!$D$99)*L7711</f>
        <v>0.5</v>
      </c>
      <c r="M7771" s="48" t="n">
        <f aca="false">IF(M7710&lt;=4,Assumptions!$D$98,Assumptions!$D$99)*M7711</f>
        <v>0.5</v>
      </c>
      <c r="N7771" s="48" t="n">
        <f aca="false">IF(N7710&lt;=4,Assumptions!$D$98,Assumptions!$D$99)*N7711</f>
        <v>0.5</v>
      </c>
      <c r="P7771" s="49" t="n">
        <f aca="false">AVERAGE(C7771:F7771)</f>
        <v>0</v>
      </c>
      <c r="Q7771" s="49" t="n">
        <f aca="false">AVERAGE(G7771:J7771)</f>
        <v>0.5</v>
      </c>
      <c r="R7771" s="49" t="n">
        <f aca="false">AVERAGE(K7771:N7771)</f>
        <v>0.5</v>
      </c>
      <c r="S7771" s="50"/>
    </row>
    <row r="7772" customFormat="false" ht="15" hidden="false" customHeight="false" outlineLevel="0" collapsed="false">
      <c r="A7772" s="4" t="s">
        <v>551</v>
      </c>
      <c r="B7772" s="36" t="s">
        <v>321</v>
      </c>
      <c r="C7772" s="48" t="n">
        <f aca="false">IF(C7710&lt;=4,Assumptions!$D$100,Assumptions!$D$101)*C7711</f>
        <v>1</v>
      </c>
      <c r="D7772" s="48" t="n">
        <f aca="false">IF(D7710&lt;=4,Assumptions!$D$100,Assumptions!$D$101)*D7711</f>
        <v>1</v>
      </c>
      <c r="E7772" s="48" t="n">
        <f aca="false">IF(E7710&lt;=4,Assumptions!$D$100,Assumptions!$D$101)*E7711</f>
        <v>1</v>
      </c>
      <c r="F7772" s="48" t="n">
        <f aca="false">IF(F7710&lt;=4,Assumptions!$D$100,Assumptions!$D$101)*F7711</f>
        <v>1</v>
      </c>
      <c r="G7772" s="48" t="n">
        <f aca="false">IF(G7710&lt;=4,Assumptions!$D$100,Assumptions!$D$101)*G7711</f>
        <v>0.5</v>
      </c>
      <c r="H7772" s="48" t="n">
        <f aca="false">IF(H7710&lt;=4,Assumptions!$D$100,Assumptions!$D$101)*H7711</f>
        <v>0.5</v>
      </c>
      <c r="I7772" s="48" t="n">
        <f aca="false">IF(I7710&lt;=4,Assumptions!$D$100,Assumptions!$D$101)*I7711</f>
        <v>0.5</v>
      </c>
      <c r="J7772" s="48" t="n">
        <f aca="false">IF(J7710&lt;=4,Assumptions!$D$100,Assumptions!$D$101)*J7711</f>
        <v>0.5</v>
      </c>
      <c r="K7772" s="48" t="n">
        <f aca="false">IF(K7710&lt;=4,Assumptions!$D$100,Assumptions!$D$101)*K7711</f>
        <v>0.5</v>
      </c>
      <c r="L7772" s="48" t="n">
        <f aca="false">IF(L7710&lt;=4,Assumptions!$D$100,Assumptions!$D$101)*L7711</f>
        <v>0.5</v>
      </c>
      <c r="M7772" s="48" t="n">
        <f aca="false">IF(M7710&lt;=4,Assumptions!$D$100,Assumptions!$D$101)*M7711</f>
        <v>0.5</v>
      </c>
      <c r="N7772" s="48" t="n">
        <f aca="false">IF(N7710&lt;=4,Assumptions!$D$100,Assumptions!$D$101)*N7711</f>
        <v>0.5</v>
      </c>
      <c r="P7772" s="49" t="n">
        <f aca="false">AVERAGE(C7772:F7772)</f>
        <v>1</v>
      </c>
      <c r="Q7772" s="49" t="n">
        <f aca="false">AVERAGE(G7772:J7772)</f>
        <v>0.5</v>
      </c>
      <c r="R7772" s="49" t="n">
        <f aca="false">AVERAGE(K7772:N7772)</f>
        <v>0.5</v>
      </c>
      <c r="S7772" s="50"/>
    </row>
    <row r="7773" customFormat="false" ht="15" hidden="false" customHeight="false" outlineLevel="0" collapsed="false">
      <c r="A7773" s="4" t="s">
        <v>552</v>
      </c>
      <c r="B7773" s="36" t="s">
        <v>321</v>
      </c>
      <c r="C7773" s="48" t="n">
        <f aca="false">Assumptions!$D$102*C7711</f>
        <v>0.25</v>
      </c>
      <c r="D7773" s="48" t="n">
        <f aca="false">Assumptions!$D$102*D7711</f>
        <v>0.25</v>
      </c>
      <c r="E7773" s="48" t="n">
        <f aca="false">Assumptions!$D$102*E7711</f>
        <v>0.25</v>
      </c>
      <c r="F7773" s="48" t="n">
        <f aca="false">Assumptions!$D$102*F7711</f>
        <v>0.25</v>
      </c>
      <c r="G7773" s="48" t="n">
        <f aca="false">Assumptions!$D$102*G7711</f>
        <v>0.25</v>
      </c>
      <c r="H7773" s="48" t="n">
        <f aca="false">Assumptions!$D$102*H7711</f>
        <v>0.25</v>
      </c>
      <c r="I7773" s="48" t="n">
        <f aca="false">Assumptions!$D$102*I7711</f>
        <v>0.25</v>
      </c>
      <c r="J7773" s="48" t="n">
        <f aca="false">Assumptions!$D$102*J7711</f>
        <v>0.25</v>
      </c>
      <c r="K7773" s="48" t="n">
        <f aca="false">Assumptions!$D$102*K7711</f>
        <v>0.25</v>
      </c>
      <c r="L7773" s="48" t="n">
        <f aca="false">Assumptions!$D$102*L7711</f>
        <v>0.25</v>
      </c>
      <c r="M7773" s="48" t="n">
        <f aca="false">Assumptions!$D$102*M7711</f>
        <v>0.25</v>
      </c>
      <c r="N7773" s="48" t="n">
        <f aca="false">Assumptions!$D$102*N7711</f>
        <v>0.25</v>
      </c>
      <c r="P7773" s="49" t="n">
        <f aca="false">AVERAGE(C7773:F7773)</f>
        <v>0.25</v>
      </c>
      <c r="Q7773" s="49" t="n">
        <f aca="false">AVERAGE(G7773:J7773)</f>
        <v>0.25</v>
      </c>
      <c r="R7773" s="49" t="n">
        <f aca="false">AVERAGE(K7773:N7773)</f>
        <v>0.25</v>
      </c>
      <c r="S7773" s="50"/>
    </row>
    <row r="7774" customFormat="false" ht="15" hidden="false" customHeight="false" outlineLevel="0" collapsed="false">
      <c r="A7774" s="4" t="s">
        <v>553</v>
      </c>
      <c r="B7774" s="36" t="s">
        <v>321</v>
      </c>
      <c r="C7774" s="48" t="n">
        <f aca="false">(C7758+C7759)/Assumptions!$E$74+C7757/Assumptions!$E$75</f>
        <v>0</v>
      </c>
      <c r="D7774" s="48" t="n">
        <f aca="false">(D7758+D7759)/Assumptions!$E$74+D7757/Assumptions!$E$75</f>
        <v>0.0143176301374139</v>
      </c>
      <c r="E7774" s="48" t="n">
        <f aca="false">(E7758+E7759)/Assumptions!$E$74+E7757/Assumptions!$E$75</f>
        <v>0.0402499456767798</v>
      </c>
      <c r="F7774" s="48" t="n">
        <f aca="false">(F7758+F7759)/Assumptions!$E$74+F7757/Assumptions!$E$75</f>
        <v>0.069296156601371</v>
      </c>
      <c r="G7774" s="48" t="n">
        <f aca="false">(G7758+G7759)/Assumptions!$E$74+G7757/Assumptions!$E$75</f>
        <v>0.100475077199051</v>
      </c>
      <c r="H7774" s="48" t="n">
        <f aca="false">(H7758+H7759)/Assumptions!$E$74+H7757/Assumptions!$E$75</f>
        <v>0.139084643227244</v>
      </c>
      <c r="I7774" s="48" t="n">
        <f aca="false">(I7758+I7759)/Assumptions!$E$74+I7757/Assumptions!$E$75</f>
        <v>0.184756080005146</v>
      </c>
      <c r="J7774" s="48" t="n">
        <f aca="false">(J7758+J7759)/Assumptions!$E$74+J7757/Assumptions!$E$75</f>
        <v>0.248473880206466</v>
      </c>
      <c r="K7774" s="48" t="n">
        <f aca="false">(K7758+K7759)/Assumptions!$E$74+K7757/Assumptions!$E$75</f>
        <v>0.329218871456529</v>
      </c>
      <c r="L7774" s="48" t="n">
        <f aca="false">(L7758+L7759)/Assumptions!$E$74+L7757/Assumptions!$E$75</f>
        <v>0.409912468045788</v>
      </c>
      <c r="M7774" s="48" t="n">
        <f aca="false">(M7758+M7759)/Assumptions!$E$74+M7757/Assumptions!$E$75</f>
        <v>0.486094517455055</v>
      </c>
      <c r="N7774" s="48" t="n">
        <f aca="false">(N7758+N7759)/Assumptions!$E$74+N7757/Assumptions!$E$75</f>
        <v>0.557753573090085</v>
      </c>
      <c r="P7774" s="49" t="n">
        <f aca="false">AVERAGE(C7774:F7774)</f>
        <v>0.0309659331038912</v>
      </c>
      <c r="Q7774" s="49" t="n">
        <f aca="false">AVERAGE(G7774:J7774)</f>
        <v>0.168197420159477</v>
      </c>
      <c r="R7774" s="49" t="n">
        <f aca="false">AVERAGE(K7774:N7774)</f>
        <v>0.445744857511864</v>
      </c>
      <c r="S7774" s="50"/>
    </row>
    <row r="7775" customFormat="false" ht="15" hidden="false" customHeight="false" outlineLevel="0" collapsed="false">
      <c r="A7775" s="4" t="s">
        <v>554</v>
      </c>
      <c r="B7775" s="36" t="s">
        <v>125</v>
      </c>
      <c r="C7775" s="54" t="n">
        <f aca="false">(C7769+C7771)*Assumptions!$E$70/Assumptions!$E$69/4</f>
        <v>66753.5714285714</v>
      </c>
      <c r="D7775" s="54" t="n">
        <f aca="false">(D7769+D7771)*Assumptions!$E$70/Assumptions!$E$69/4</f>
        <v>66753.5714285714</v>
      </c>
      <c r="E7775" s="54" t="n">
        <f aca="false">(E7769+E7771)*Assumptions!$E$70/Assumptions!$E$69/4</f>
        <v>66753.5714285714</v>
      </c>
      <c r="F7775" s="54" t="n">
        <f aca="false">(F7769+F7771)*Assumptions!$E$70/Assumptions!$E$69/4</f>
        <v>66753.5714285714</v>
      </c>
      <c r="G7775" s="54" t="n">
        <f aca="false">(G7769+G7771)*Assumptions!$E$70/Assumptions!$E$69/4</f>
        <v>100130.357142857</v>
      </c>
      <c r="H7775" s="54" t="n">
        <f aca="false">(H7769+H7771)*Assumptions!$E$70/Assumptions!$E$69/4</f>
        <v>100130.357142857</v>
      </c>
      <c r="I7775" s="54" t="n">
        <f aca="false">(I7769+I7771)*Assumptions!$E$70/Assumptions!$E$69/4</f>
        <v>100130.357142857</v>
      </c>
      <c r="J7775" s="54" t="n">
        <f aca="false">(J7769+J7771)*Assumptions!$E$70/Assumptions!$E$69/4</f>
        <v>100130.357142857</v>
      </c>
      <c r="K7775" s="54" t="n">
        <f aca="false">(K7769+K7771)*Assumptions!$E$70/Assumptions!$E$69/4</f>
        <v>100130.357142857</v>
      </c>
      <c r="L7775" s="54" t="n">
        <f aca="false">(L7769+L7771)*Assumptions!$E$70/Assumptions!$E$69/4</f>
        <v>100130.357142857</v>
      </c>
      <c r="M7775" s="54" t="n">
        <f aca="false">(M7769+M7771)*Assumptions!$E$70/Assumptions!$E$69/4</f>
        <v>100130.357142857</v>
      </c>
      <c r="N7775" s="54" t="n">
        <f aca="false">(N7769+N7771)*Assumptions!$E$70/Assumptions!$E$69/4</f>
        <v>100130.357142857</v>
      </c>
      <c r="P7775" s="55" t="n">
        <f aca="false">SUM(C7775:F7775)</f>
        <v>267014.285714286</v>
      </c>
      <c r="Q7775" s="55" t="n">
        <f aca="false">SUM(G7775:J7775)</f>
        <v>400521.428571429</v>
      </c>
      <c r="R7775" s="55" t="n">
        <f aca="false">SUM(K7775:N7775)</f>
        <v>400521.428571429</v>
      </c>
      <c r="S7775" s="56" t="n">
        <f aca="false">SUM(P7775:R7775)</f>
        <v>1068057.14285714</v>
      </c>
    </row>
    <row r="7776" customFormat="false" ht="15" hidden="false" customHeight="false" outlineLevel="0" collapsed="false">
      <c r="A7776" s="4" t="s">
        <v>555</v>
      </c>
      <c r="B7776" s="36" t="s">
        <v>125</v>
      </c>
      <c r="C7776" s="54" t="n">
        <f aca="false">C7770*$C$7705/4</f>
        <v>0</v>
      </c>
      <c r="D7776" s="54" t="n">
        <f aca="false">D7770*$C$7705/4</f>
        <v>0</v>
      </c>
      <c r="E7776" s="54" t="n">
        <f aca="false">E7770*$C$7705/4</f>
        <v>0</v>
      </c>
      <c r="F7776" s="54" t="n">
        <f aca="false">F7770*$C$7705/4</f>
        <v>0</v>
      </c>
      <c r="G7776" s="54" t="n">
        <f aca="false">G7770*$C$7705/4</f>
        <v>0</v>
      </c>
      <c r="H7776" s="54" t="n">
        <f aca="false">H7770*$C$7705/4</f>
        <v>0</v>
      </c>
      <c r="I7776" s="54" t="n">
        <f aca="false">I7770*$C$7705/4</f>
        <v>0</v>
      </c>
      <c r="J7776" s="54" t="n">
        <f aca="false">J7770*$C$7705/4</f>
        <v>0</v>
      </c>
      <c r="K7776" s="54" t="n">
        <f aca="false">K7770*$C$7705/4</f>
        <v>0</v>
      </c>
      <c r="L7776" s="54" t="n">
        <f aca="false">L7770*$C$7705/4</f>
        <v>0</v>
      </c>
      <c r="M7776" s="54" t="n">
        <f aca="false">M7770*$C$7705/4</f>
        <v>0</v>
      </c>
      <c r="N7776" s="54" t="n">
        <f aca="false">N7770*$C$7705/4</f>
        <v>0</v>
      </c>
      <c r="P7776" s="55" t="n">
        <f aca="false">SUM(C7776:F7776)</f>
        <v>0</v>
      </c>
      <c r="Q7776" s="55" t="n">
        <f aca="false">SUM(G7776:J7776)</f>
        <v>0</v>
      </c>
      <c r="R7776" s="55" t="n">
        <f aca="false">SUM(K7776:N7776)</f>
        <v>0</v>
      </c>
      <c r="S7776" s="56" t="n">
        <f aca="false">SUM(P7776:R7776)</f>
        <v>0</v>
      </c>
    </row>
    <row r="7777" customFormat="false" ht="15" hidden="false" customHeight="false" outlineLevel="0" collapsed="false">
      <c r="A7777" s="4" t="s">
        <v>556</v>
      </c>
      <c r="B7777" s="36" t="s">
        <v>125</v>
      </c>
      <c r="C7777" s="54" t="n">
        <f aca="false">MAX(0,(C7765-C7746*$C$7701)-C7725*$C$7706)*$C$7707*Assumptions!$D$105</f>
        <v>0</v>
      </c>
      <c r="D7777" s="54" t="n">
        <f aca="false">MAX(0,(D7765-D7746*$C$7701)-D7725*$C$7706)*$C$7707*Assumptions!$D$105</f>
        <v>3491.72206180778</v>
      </c>
      <c r="E7777" s="54" t="n">
        <f aca="false">MAX(0,(E7765-E7746*$C$7701)-E7725*$C$7706)*$C$7707*Assumptions!$D$105</f>
        <v>8039.09651874593</v>
      </c>
      <c r="F7777" s="54" t="n">
        <f aca="false">MAX(0,(F7765-F7746*$C$7701)-F7725*$C$7706)*$C$7707*Assumptions!$D$105</f>
        <v>10124.750003461</v>
      </c>
      <c r="G7777" s="54" t="n">
        <f aca="false">MAX(0,(G7765-G7746*$C$7701)-G7725*$C$7706)*$C$7707*Assumptions!$D$105</f>
        <v>11120.4562644655</v>
      </c>
      <c r="H7777" s="54" t="n">
        <f aca="false">MAX(0,(H7765-H7746*$C$7701)-H7725*$C$7706)*$C$7707*Assumptions!$D$105</f>
        <v>13463.0357338943</v>
      </c>
      <c r="I7777" s="54" t="n">
        <f aca="false">MAX(0,(I7765-I7746*$C$7701)-I7725*$C$7706)*$C$7707*Assumptions!$D$105</f>
        <v>16072.2164343224</v>
      </c>
      <c r="J7777" s="54" t="n">
        <f aca="false">MAX(0,(J7765-J7746*$C$7701)-J7725*$C$7706)*$C$7707*Assumptions!$D$105</f>
        <v>21559.8957723031</v>
      </c>
      <c r="K7777" s="54" t="n">
        <f aca="false">MAX(0,(K7765-K7746*$C$7701)-K7725*$C$7706)*$C$7707*Assumptions!$D$105</f>
        <v>27808.6094682429</v>
      </c>
      <c r="L7777" s="54" t="n">
        <f aca="false">MAX(0,(L7765-L7746*$C$7701)-L7725*$C$7706)*$C$7707*Assumptions!$D$105</f>
        <v>29735.5837530454</v>
      </c>
      <c r="M7777" s="54" t="n">
        <f aca="false">MAX(0,(M7765-M7746*$C$7701)-M7725*$C$7706)*$C$7707*Assumptions!$D$105</f>
        <v>29201.3815340945</v>
      </c>
      <c r="N7777" s="54" t="n">
        <f aca="false">MAX(0,(N7765-N7746*$C$7701)-N7725*$C$7706)*$C$7707*Assumptions!$D$105</f>
        <v>28360.6706538674</v>
      </c>
      <c r="P7777" s="55" t="n">
        <f aca="false">SUM(C7777:F7777)</f>
        <v>21655.5685840147</v>
      </c>
      <c r="Q7777" s="55" t="n">
        <f aca="false">SUM(G7777:J7777)</f>
        <v>62215.6042049852</v>
      </c>
      <c r="R7777" s="55" t="n">
        <f aca="false">SUM(K7777:N7777)</f>
        <v>115106.24540925</v>
      </c>
      <c r="S7777" s="56" t="n">
        <f aca="false">SUM(P7777:R7777)</f>
        <v>198977.41819825</v>
      </c>
    </row>
    <row r="7778" customFormat="false" ht="15" hidden="false" customHeight="false" outlineLevel="0" collapsed="false">
      <c r="A7778" s="4" t="s">
        <v>557</v>
      </c>
      <c r="B7778" s="36" t="s">
        <v>125</v>
      </c>
      <c r="C7778" s="54" t="n">
        <f aca="false">C7773*Assumptions!$E$71/Assumptions!$E$69/4</f>
        <v>18475.8928571429</v>
      </c>
      <c r="D7778" s="54" t="n">
        <f aca="false">D7773*Assumptions!$E$71/Assumptions!$E$69/4</f>
        <v>18475.8928571429</v>
      </c>
      <c r="E7778" s="54" t="n">
        <f aca="false">E7773*Assumptions!$E$71/Assumptions!$E$69/4</f>
        <v>18475.8928571429</v>
      </c>
      <c r="F7778" s="54" t="n">
        <f aca="false">F7773*Assumptions!$E$71/Assumptions!$E$69/4</f>
        <v>18475.8928571429</v>
      </c>
      <c r="G7778" s="54" t="n">
        <f aca="false">G7773*Assumptions!$E$71/Assumptions!$E$69/4</f>
        <v>18475.8928571429</v>
      </c>
      <c r="H7778" s="54" t="n">
        <f aca="false">H7773*Assumptions!$E$71/Assumptions!$E$69/4</f>
        <v>18475.8928571429</v>
      </c>
      <c r="I7778" s="54" t="n">
        <f aca="false">I7773*Assumptions!$E$71/Assumptions!$E$69/4</f>
        <v>18475.8928571429</v>
      </c>
      <c r="J7778" s="54" t="n">
        <f aca="false">J7773*Assumptions!$E$71/Assumptions!$E$69/4</f>
        <v>18475.8928571429</v>
      </c>
      <c r="K7778" s="54" t="n">
        <f aca="false">K7773*Assumptions!$E$71/Assumptions!$E$69/4</f>
        <v>18475.8928571429</v>
      </c>
      <c r="L7778" s="54" t="n">
        <f aca="false">L7773*Assumptions!$E$71/Assumptions!$E$69/4</f>
        <v>18475.8928571429</v>
      </c>
      <c r="M7778" s="54" t="n">
        <f aca="false">M7773*Assumptions!$E$71/Assumptions!$E$69/4</f>
        <v>18475.8928571429</v>
      </c>
      <c r="N7778" s="54" t="n">
        <f aca="false">N7773*Assumptions!$E$71/Assumptions!$E$69/4</f>
        <v>18475.8928571429</v>
      </c>
      <c r="P7778" s="55" t="n">
        <f aca="false">SUM(C7778:F7778)</f>
        <v>73903.5714285714</v>
      </c>
      <c r="Q7778" s="55" t="n">
        <f aca="false">SUM(G7778:J7778)</f>
        <v>73903.5714285714</v>
      </c>
      <c r="R7778" s="55" t="n">
        <f aca="false">SUM(K7778:N7778)</f>
        <v>73903.5714285714</v>
      </c>
      <c r="S7778" s="56" t="n">
        <f aca="false">SUM(P7778:R7778)</f>
        <v>221710.714285714</v>
      </c>
    </row>
    <row r="7779" customFormat="false" ht="15" hidden="false" customHeight="false" outlineLevel="0" collapsed="false">
      <c r="A7779" s="4" t="s">
        <v>558</v>
      </c>
      <c r="B7779" s="36" t="s">
        <v>125</v>
      </c>
      <c r="C7779" s="54" t="n">
        <f aca="false">(Assumptions!$D$103+Assumptions!$E$77*((C7710=Assumptions!$E$13)+(C7710=Assumptions!$E$14)+(C7710=Assumptions!$E$15)))*C7711</f>
        <v>65000</v>
      </c>
      <c r="D7779" s="54" t="n">
        <f aca="false">(Assumptions!$D$103+Assumptions!$E$77*((D7710=Assumptions!$E$13)+(D7710=Assumptions!$E$14)+(D7710=Assumptions!$E$15)))*D7711</f>
        <v>25000</v>
      </c>
      <c r="E7779" s="54" t="n">
        <f aca="false">(Assumptions!$D$103+Assumptions!$E$77*((E7710=Assumptions!$E$13)+(E7710=Assumptions!$E$14)+(E7710=Assumptions!$E$15)))*E7711</f>
        <v>25000</v>
      </c>
      <c r="F7779" s="54" t="n">
        <f aca="false">(Assumptions!$D$103+Assumptions!$E$77*((F7710=Assumptions!$E$13)+(F7710=Assumptions!$E$14)+(F7710=Assumptions!$E$15)))*F7711</f>
        <v>25000</v>
      </c>
      <c r="G7779" s="54" t="n">
        <f aca="false">(Assumptions!$D$103+Assumptions!$E$77*((G7710=Assumptions!$E$13)+(G7710=Assumptions!$E$14)+(G7710=Assumptions!$E$15)))*G7711</f>
        <v>65000</v>
      </c>
      <c r="H7779" s="54" t="n">
        <f aca="false">(Assumptions!$D$103+Assumptions!$E$77*((H7710=Assumptions!$E$13)+(H7710=Assumptions!$E$14)+(H7710=Assumptions!$E$15)))*H7711</f>
        <v>25000</v>
      </c>
      <c r="I7779" s="54" t="n">
        <f aca="false">(Assumptions!$D$103+Assumptions!$E$77*((I7710=Assumptions!$E$13)+(I7710=Assumptions!$E$14)+(I7710=Assumptions!$E$15)))*I7711</f>
        <v>65000</v>
      </c>
      <c r="J7779" s="54" t="n">
        <f aca="false">(Assumptions!$D$103+Assumptions!$E$77*((J7710=Assumptions!$E$13)+(J7710=Assumptions!$E$14)+(J7710=Assumptions!$E$15)))*J7711</f>
        <v>25000</v>
      </c>
      <c r="K7779" s="54" t="n">
        <f aca="false">(Assumptions!$D$103+Assumptions!$E$77*((K7710=Assumptions!$E$13)+(K7710=Assumptions!$E$14)+(K7710=Assumptions!$E$15)))*K7711</f>
        <v>25000</v>
      </c>
      <c r="L7779" s="54" t="n">
        <f aca="false">(Assumptions!$D$103+Assumptions!$E$77*((L7710=Assumptions!$E$13)+(L7710=Assumptions!$E$14)+(L7710=Assumptions!$E$15)))*L7711</f>
        <v>25000</v>
      </c>
      <c r="M7779" s="54" t="n">
        <f aca="false">(Assumptions!$D$103+Assumptions!$E$77*((M7710=Assumptions!$E$13)+(M7710=Assumptions!$E$14)+(M7710=Assumptions!$E$15)))*M7711</f>
        <v>25000</v>
      </c>
      <c r="N7779" s="54" t="n">
        <f aca="false">(Assumptions!$D$103+Assumptions!$E$77*((N7710=Assumptions!$E$13)+(N7710=Assumptions!$E$14)+(N7710=Assumptions!$E$15)))*N7711</f>
        <v>25000</v>
      </c>
      <c r="P7779" s="55" t="n">
        <f aca="false">SUM(C7779:F7779)</f>
        <v>140000</v>
      </c>
      <c r="Q7779" s="55" t="n">
        <f aca="false">SUM(G7779:J7779)</f>
        <v>180000</v>
      </c>
      <c r="R7779" s="55" t="n">
        <f aca="false">SUM(K7779:N7779)</f>
        <v>100000</v>
      </c>
      <c r="S7779" s="56" t="n">
        <f aca="false">SUM(P7779:R7779)</f>
        <v>420000</v>
      </c>
    </row>
    <row r="7780" customFormat="false" ht="15" hidden="false" customHeight="false" outlineLevel="0" collapsed="false">
      <c r="A7780" s="4" t="s">
        <v>559</v>
      </c>
      <c r="B7780" s="36" t="s">
        <v>125</v>
      </c>
      <c r="C7780" s="54" t="n">
        <f aca="false">C7765*C7745*Assumptions!$E$79</f>
        <v>0</v>
      </c>
      <c r="D7780" s="54" t="n">
        <f aca="false">D7765*D7745*Assumptions!$E$79</f>
        <v>815.338873355417</v>
      </c>
      <c r="E7780" s="54" t="n">
        <f aca="false">E7765*E7745*Assumptions!$E$79</f>
        <v>1576.95453714349</v>
      </c>
      <c r="F7780" s="54" t="n">
        <f aca="false">F7765*F7745*Assumptions!$E$79</f>
        <v>2363.78759030579</v>
      </c>
      <c r="G7780" s="54" t="n">
        <f aca="false">G7765*G7745*Assumptions!$E$79</f>
        <v>2961.23316349717</v>
      </c>
      <c r="H7780" s="54" t="n">
        <f aca="false">H7765*H7745*Assumptions!$E$79</f>
        <v>3401.8566535345</v>
      </c>
      <c r="I7780" s="54" t="n">
        <f aca="false">I7765*I7745*Assumptions!$E$79</f>
        <v>3951.44098442022</v>
      </c>
      <c r="J7780" s="54" t="n">
        <f aca="false">J7765*J7745*Assumptions!$E$79</f>
        <v>4240.17604272452</v>
      </c>
      <c r="K7780" s="54" t="n">
        <f aca="false">K7765*K7745*Assumptions!$E$79</f>
        <v>4805.46240923336</v>
      </c>
      <c r="L7780" s="54" t="n">
        <f aca="false">L7765*L7745*Assumptions!$E$79</f>
        <v>5627.63185752923</v>
      </c>
      <c r="M7780" s="54" t="n">
        <f aca="false">M7765*M7745*Assumptions!$E$79</f>
        <v>5687.10015383768</v>
      </c>
      <c r="N7780" s="54" t="n">
        <f aca="false">N7765*N7745*Assumptions!$E$79</f>
        <v>5685.06198652904</v>
      </c>
      <c r="P7780" s="55" t="n">
        <f aca="false">SUM(C7780:F7780)</f>
        <v>4756.0810008047</v>
      </c>
      <c r="Q7780" s="55" t="n">
        <f aca="false">SUM(G7780:J7780)</f>
        <v>14554.7068441764</v>
      </c>
      <c r="R7780" s="55" t="n">
        <f aca="false">SUM(K7780:N7780)</f>
        <v>21805.2564071293</v>
      </c>
      <c r="S7780" s="56" t="n">
        <f aca="false">SUM(P7780:R7780)</f>
        <v>41116.0442521104</v>
      </c>
    </row>
    <row r="7781" customFormat="false" ht="15" hidden="false" customHeight="false" outlineLevel="0" collapsed="false">
      <c r="A7781" s="4" t="s">
        <v>560</v>
      </c>
      <c r="B7781" s="36" t="s">
        <v>125</v>
      </c>
      <c r="C7781" s="54" t="n">
        <f aca="false">C7730*Assumptions!$E$80</f>
        <v>4000</v>
      </c>
      <c r="D7781" s="54" t="n">
        <f aca="false">D7730*Assumptions!$E$80</f>
        <v>6000</v>
      </c>
      <c r="E7781" s="54" t="n">
        <f aca="false">E7730*Assumptions!$E$80</f>
        <v>8000</v>
      </c>
      <c r="F7781" s="54" t="n">
        <f aca="false">F7730*Assumptions!$E$80</f>
        <v>10000</v>
      </c>
      <c r="G7781" s="54" t="n">
        <f aca="false">G7730*Assumptions!$E$80</f>
        <v>12000</v>
      </c>
      <c r="H7781" s="54" t="n">
        <f aca="false">H7730*Assumptions!$E$80</f>
        <v>14000</v>
      </c>
      <c r="I7781" s="54" t="n">
        <f aca="false">I7730*Assumptions!$E$80</f>
        <v>16000</v>
      </c>
      <c r="J7781" s="54" t="n">
        <f aca="false">J7730*Assumptions!$E$80</f>
        <v>18000</v>
      </c>
      <c r="K7781" s="54" t="n">
        <f aca="false">K7730*Assumptions!$E$80</f>
        <v>20000</v>
      </c>
      <c r="L7781" s="54" t="n">
        <f aca="false">L7730*Assumptions!$E$80</f>
        <v>20000</v>
      </c>
      <c r="M7781" s="54" t="n">
        <f aca="false">M7730*Assumptions!$E$80</f>
        <v>20000</v>
      </c>
      <c r="N7781" s="54" t="n">
        <f aca="false">N7730*Assumptions!$E$80</f>
        <v>20000</v>
      </c>
      <c r="P7781" s="55" t="n">
        <f aca="false">SUM(C7781:F7781)</f>
        <v>28000</v>
      </c>
      <c r="Q7781" s="55" t="n">
        <f aca="false">SUM(G7781:J7781)</f>
        <v>60000</v>
      </c>
      <c r="R7781" s="55" t="n">
        <f aca="false">SUM(K7781:N7781)</f>
        <v>80000</v>
      </c>
      <c r="S7781" s="56" t="n">
        <f aca="false">SUM(P7781:R7781)</f>
        <v>168000</v>
      </c>
    </row>
    <row r="7782" customFormat="false" ht="15" hidden="false" customHeight="false" outlineLevel="0" collapsed="false">
      <c r="A7782" s="4" t="s">
        <v>561</v>
      </c>
      <c r="B7782" s="36" t="s">
        <v>125</v>
      </c>
      <c r="C7782" s="54" t="n">
        <f aca="false">(C7753*$C$7702+C7754*$C$7703)*Assumptions!$E$81</f>
        <v>0</v>
      </c>
      <c r="D7782" s="54" t="n">
        <f aca="false">(D7753*$C$7702+D7754*$C$7703)*Assumptions!$E$81</f>
        <v>635.937968364564</v>
      </c>
      <c r="E7782" s="54" t="n">
        <f aca="false">(E7753*$C$7702+E7754*$C$7703)*Assumptions!$E$81</f>
        <v>1750.54055351793</v>
      </c>
      <c r="F7782" s="54" t="n">
        <f aca="false">(F7753*$C$7702+F7754*$C$7703)*Assumptions!$E$81</f>
        <v>2334.90810210795</v>
      </c>
      <c r="G7782" s="54" t="n">
        <f aca="false">(G7753*$C$7702+G7754*$C$7703)*Assumptions!$E$81</f>
        <v>2567.01977128764</v>
      </c>
      <c r="H7782" s="54" t="n">
        <f aca="false">(H7753*$C$7702+H7754*$C$7703)*Assumptions!$E$81</f>
        <v>3030.96924471942</v>
      </c>
      <c r="I7782" s="54" t="n">
        <f aca="false">(I7753*$C$7702+I7754*$C$7703)*Assumptions!$E$81</f>
        <v>3599.72954781419</v>
      </c>
      <c r="J7782" s="54" t="n">
        <f aca="false">(J7753*$C$7702+J7754*$C$7703)*Assumptions!$E$81</f>
        <v>4611.5696968051</v>
      </c>
      <c r="K7782" s="54" t="n">
        <f aca="false">(K7753*$C$7702+K7754*$C$7703)*Assumptions!$E$81</f>
        <v>5939.56455642065</v>
      </c>
      <c r="L7782" s="54" t="n">
        <f aca="false">(L7753*$C$7702+L7754*$C$7703)*Assumptions!$E$81</f>
        <v>6537.87185823684</v>
      </c>
      <c r="M7782" s="54" t="n">
        <f aca="false">(M7753*$C$7702+M7754*$C$7703)*Assumptions!$E$81</f>
        <v>6455.63010570383</v>
      </c>
      <c r="N7782" s="54" t="n">
        <f aca="false">(N7753*$C$7702+N7754*$C$7703)*Assumptions!$E$81</f>
        <v>6268.61318404599</v>
      </c>
      <c r="P7782" s="55" t="n">
        <f aca="false">SUM(C7782:F7782)</f>
        <v>4721.38662399044</v>
      </c>
      <c r="Q7782" s="55" t="n">
        <f aca="false">SUM(G7782:J7782)</f>
        <v>13809.2882606264</v>
      </c>
      <c r="R7782" s="55" t="n">
        <f aca="false">SUM(K7782:N7782)</f>
        <v>25201.6797044073</v>
      </c>
      <c r="S7782" s="56" t="n">
        <f aca="false">SUM(P7782:R7782)</f>
        <v>43732.3545890241</v>
      </c>
    </row>
    <row r="7783" customFormat="false" ht="15" hidden="false" customHeight="false" outlineLevel="0" collapsed="false">
      <c r="A7783" s="9" t="s">
        <v>562</v>
      </c>
      <c r="B7783" s="36" t="s">
        <v>125</v>
      </c>
      <c r="C7783" s="55" t="n">
        <f aca="false">C7775+C7776+C7777+C7778+C7779+C7780+C7781+C7782</f>
        <v>154229.464285714</v>
      </c>
      <c r="D7783" s="55" t="n">
        <f aca="false">D7775+D7776+D7777+D7778+D7779+D7780+D7781+D7782</f>
        <v>121172.463189242</v>
      </c>
      <c r="E7783" s="55" t="n">
        <f aca="false">E7775+E7776+E7777+E7778+E7779+E7780+E7781+E7782</f>
        <v>129596.055895122</v>
      </c>
      <c r="F7783" s="55" t="n">
        <f aca="false">F7775+F7776+F7777+F7778+F7779+F7780+F7781+F7782</f>
        <v>135052.909981589</v>
      </c>
      <c r="G7783" s="55" t="n">
        <f aca="false">G7775+G7776+G7777+G7778+G7779+G7780+G7781+G7782</f>
        <v>212254.95919925</v>
      </c>
      <c r="H7783" s="55" t="n">
        <f aca="false">H7775+H7776+H7777+H7778+H7779+H7780+H7781+H7782</f>
        <v>177502.111632148</v>
      </c>
      <c r="I7783" s="55" t="n">
        <f aca="false">I7775+I7776+I7777+I7778+I7779+I7780+I7781+I7782</f>
        <v>223229.636966557</v>
      </c>
      <c r="J7783" s="55" t="n">
        <f aca="false">J7775+J7776+J7777+J7778+J7779+J7780+J7781+J7782</f>
        <v>192017.891511833</v>
      </c>
      <c r="K7783" s="55" t="n">
        <f aca="false">K7775+K7776+K7777+K7778+K7779+K7780+K7781+K7782</f>
        <v>202159.886433897</v>
      </c>
      <c r="L7783" s="55" t="n">
        <f aca="false">L7775+L7776+L7777+L7778+L7779+L7780+L7781+L7782</f>
        <v>205507.337468812</v>
      </c>
      <c r="M7783" s="55" t="n">
        <f aca="false">M7775+M7776+M7777+M7778+M7779+M7780+M7781+M7782</f>
        <v>204950.361793636</v>
      </c>
      <c r="N7783" s="55" t="n">
        <f aca="false">N7775+N7776+N7777+N7778+N7779+N7780+N7781+N7782</f>
        <v>203920.595824442</v>
      </c>
      <c r="P7783" s="55" t="n">
        <f aca="false">SUM(C7783:F7783)</f>
        <v>540050.893351667</v>
      </c>
      <c r="Q7783" s="55" t="n">
        <f aca="false">SUM(G7783:J7783)</f>
        <v>805004.599309788</v>
      </c>
      <c r="R7783" s="55" t="n">
        <f aca="false">SUM(K7783:N7783)</f>
        <v>816538.181520787</v>
      </c>
      <c r="S7783" s="56" t="n">
        <f aca="false">SUM(P7783:R7783)</f>
        <v>2161593.67418224</v>
      </c>
    </row>
    <row r="7784" customFormat="false" ht="15" hidden="false" customHeight="false" outlineLevel="0" collapsed="false">
      <c r="A7784" s="4" t="s">
        <v>563</v>
      </c>
      <c r="B7784" s="36" t="s">
        <v>125</v>
      </c>
      <c r="C7784" s="54" t="n">
        <f aca="false">C7772*Assumptions!$E$72/Assumptions!$E$69/4</f>
        <v>56535.7142857143</v>
      </c>
      <c r="D7784" s="54" t="n">
        <f aca="false">D7772*Assumptions!$E$72/Assumptions!$E$69/4</f>
        <v>56535.7142857143</v>
      </c>
      <c r="E7784" s="54" t="n">
        <f aca="false">E7772*Assumptions!$E$72/Assumptions!$E$69/4</f>
        <v>56535.7142857143</v>
      </c>
      <c r="F7784" s="54" t="n">
        <f aca="false">F7772*Assumptions!$E$72/Assumptions!$E$69/4</f>
        <v>56535.7142857143</v>
      </c>
      <c r="G7784" s="54" t="n">
        <f aca="false">G7772*Assumptions!$E$72/Assumptions!$E$69/4</f>
        <v>28267.8571428571</v>
      </c>
      <c r="H7784" s="54" t="n">
        <f aca="false">H7772*Assumptions!$E$72/Assumptions!$E$69/4</f>
        <v>28267.8571428571</v>
      </c>
      <c r="I7784" s="54" t="n">
        <f aca="false">I7772*Assumptions!$E$72/Assumptions!$E$69/4</f>
        <v>28267.8571428571</v>
      </c>
      <c r="J7784" s="54" t="n">
        <f aca="false">J7772*Assumptions!$E$72/Assumptions!$E$69/4</f>
        <v>28267.8571428571</v>
      </c>
      <c r="K7784" s="54" t="n">
        <f aca="false">K7772*Assumptions!$E$72/Assumptions!$E$69/4</f>
        <v>28267.8571428571</v>
      </c>
      <c r="L7784" s="54" t="n">
        <f aca="false">L7772*Assumptions!$E$72/Assumptions!$E$69/4</f>
        <v>28267.8571428571</v>
      </c>
      <c r="M7784" s="54" t="n">
        <f aca="false">M7772*Assumptions!$E$72/Assumptions!$E$69/4</f>
        <v>28267.8571428571</v>
      </c>
      <c r="N7784" s="54" t="n">
        <f aca="false">N7772*Assumptions!$E$72/Assumptions!$E$69/4</f>
        <v>28267.8571428571</v>
      </c>
      <c r="P7784" s="55" t="n">
        <f aca="false">SUM(C7784:F7784)</f>
        <v>226142.857142857</v>
      </c>
      <c r="Q7784" s="55" t="n">
        <f aca="false">SUM(G7784:J7784)</f>
        <v>113071.428571429</v>
      </c>
      <c r="R7784" s="55" t="n">
        <f aca="false">SUM(K7784:N7784)</f>
        <v>113071.428571429</v>
      </c>
      <c r="S7784" s="56" t="n">
        <f aca="false">SUM(P7784:R7784)</f>
        <v>452285.714285714</v>
      </c>
    </row>
    <row r="7785" customFormat="false" ht="15" hidden="false" customHeight="false" outlineLevel="0" collapsed="false">
      <c r="A7785" s="4" t="s">
        <v>564</v>
      </c>
      <c r="B7785" s="36" t="s">
        <v>125</v>
      </c>
      <c r="C7785" s="54" t="n">
        <f aca="false">IF(C7710&lt;=Assumptions!$E$83,Assumptions!$E$82*Assumptions!$D$108/Assumptions!$E$83,0)</f>
        <v>62500</v>
      </c>
      <c r="D7785" s="54" t="n">
        <f aca="false">IF(D7710&lt;=Assumptions!$E$83,Assumptions!$E$82*Assumptions!$D$108/Assumptions!$E$83,0)</f>
        <v>62500</v>
      </c>
      <c r="E7785" s="54" t="n">
        <f aca="false">IF(E7710&lt;=Assumptions!$E$83,Assumptions!$E$82*Assumptions!$D$108/Assumptions!$E$83,0)</f>
        <v>62500</v>
      </c>
      <c r="F7785" s="54" t="n">
        <f aca="false">IF(F7710&lt;=Assumptions!$E$83,Assumptions!$E$82*Assumptions!$D$108/Assumptions!$E$83,0)</f>
        <v>62500</v>
      </c>
      <c r="G7785" s="54" t="n">
        <f aca="false">IF(G7710&lt;=Assumptions!$E$83,Assumptions!$E$82*Assumptions!$D$108/Assumptions!$E$83,0)</f>
        <v>0</v>
      </c>
      <c r="H7785" s="54" t="n">
        <f aca="false">IF(H7710&lt;=Assumptions!$E$83,Assumptions!$E$82*Assumptions!$D$108/Assumptions!$E$83,0)</f>
        <v>0</v>
      </c>
      <c r="I7785" s="54" t="n">
        <f aca="false">IF(I7710&lt;=Assumptions!$E$83,Assumptions!$E$82*Assumptions!$D$108/Assumptions!$E$83,0)</f>
        <v>0</v>
      </c>
      <c r="J7785" s="54" t="n">
        <f aca="false">IF(J7710&lt;=Assumptions!$E$83,Assumptions!$E$82*Assumptions!$D$108/Assumptions!$E$83,0)</f>
        <v>0</v>
      </c>
      <c r="K7785" s="54" t="n">
        <f aca="false">IF(K7710&lt;=Assumptions!$E$83,Assumptions!$E$82*Assumptions!$D$108/Assumptions!$E$83,0)</f>
        <v>0</v>
      </c>
      <c r="L7785" s="54" t="n">
        <f aca="false">IF(L7710&lt;=Assumptions!$E$83,Assumptions!$E$82*Assumptions!$D$108/Assumptions!$E$83,0)</f>
        <v>0</v>
      </c>
      <c r="M7785" s="54" t="n">
        <f aca="false">IF(M7710&lt;=Assumptions!$E$83,Assumptions!$E$82*Assumptions!$D$108/Assumptions!$E$83,0)</f>
        <v>0</v>
      </c>
      <c r="N7785" s="54" t="n">
        <f aca="false">IF(N7710&lt;=Assumptions!$E$83,Assumptions!$E$82*Assumptions!$D$108/Assumptions!$E$83,0)</f>
        <v>0</v>
      </c>
      <c r="P7785" s="55" t="n">
        <f aca="false">SUM(C7785:F7785)</f>
        <v>250000</v>
      </c>
      <c r="Q7785" s="55" t="n">
        <f aca="false">SUM(G7785:J7785)</f>
        <v>0</v>
      </c>
      <c r="R7785" s="55" t="n">
        <f aca="false">SUM(K7785:N7785)</f>
        <v>0</v>
      </c>
      <c r="S7785" s="56" t="n">
        <f aca="false">SUM(P7785:R7785)</f>
        <v>250000</v>
      </c>
    </row>
    <row r="7786" customFormat="false" ht="15" hidden="false" customHeight="false" outlineLevel="0" collapsed="false">
      <c r="A7786" s="4" t="s">
        <v>565</v>
      </c>
      <c r="B7786" s="36" t="s">
        <v>125</v>
      </c>
      <c r="C7786" s="54" t="n">
        <f aca="false">C7774*Assumptions!$E$73/Assumptions!$E$69/4</f>
        <v>0</v>
      </c>
      <c r="D7786" s="54" t="n">
        <f aca="false">D7774*Assumptions!$E$73/Assumptions!$E$69/4</f>
        <v>575.3130595573</v>
      </c>
      <c r="E7786" s="54" t="n">
        <f aca="false">E7774*Assumptions!$E$73/Assumptions!$E$69/4</f>
        <v>1617.32906717661</v>
      </c>
      <c r="F7786" s="54" t="n">
        <f aca="false">F7774*Assumptions!$E$73/Assumptions!$E$69/4</f>
        <v>2784.46806400723</v>
      </c>
      <c r="G7786" s="54" t="n">
        <f aca="false">G7774*Assumptions!$E$73/Assumptions!$E$69/4</f>
        <v>4037.30390559473</v>
      </c>
      <c r="H7786" s="54" t="n">
        <f aca="false">H7774*Assumptions!$E$73/Assumptions!$E$69/4</f>
        <v>5588.71900339185</v>
      </c>
      <c r="I7786" s="54" t="n">
        <f aca="false">I7774*Assumptions!$E$73/Assumptions!$E$69/4</f>
        <v>7423.89520049251</v>
      </c>
      <c r="J7786" s="54" t="n">
        <f aca="false">J7774*Assumptions!$E$73/Assumptions!$E$69/4</f>
        <v>9984.21295072483</v>
      </c>
      <c r="K7786" s="54" t="n">
        <f aca="false">K7774*Assumptions!$E$73/Assumptions!$E$69/4</f>
        <v>13228.7197241336</v>
      </c>
      <c r="L7786" s="54" t="n">
        <f aca="false">L7774*Assumptions!$E$73/Assumptions!$E$69/4</f>
        <v>16471.1613499398</v>
      </c>
      <c r="M7786" s="54" t="n">
        <f aca="false">M7774*Assumptions!$E$73/Assumptions!$E$69/4</f>
        <v>19532.3193424529</v>
      </c>
      <c r="N7786" s="54" t="n">
        <f aca="false">N7774*Assumptions!$E$73/Assumptions!$E$69/4</f>
        <v>22411.7337529877</v>
      </c>
      <c r="P7786" s="55" t="n">
        <f aca="false">SUM(C7786:F7786)</f>
        <v>4977.11019074114</v>
      </c>
      <c r="Q7786" s="55" t="n">
        <f aca="false">SUM(G7786:J7786)</f>
        <v>27034.1310602039</v>
      </c>
      <c r="R7786" s="55" t="n">
        <f aca="false">SUM(K7786:N7786)</f>
        <v>71643.934169514</v>
      </c>
      <c r="S7786" s="56" t="n">
        <f aca="false">SUM(P7786:R7786)</f>
        <v>103655.175420459</v>
      </c>
    </row>
    <row r="7787" customFormat="false" ht="15" hidden="false" customHeight="false" outlineLevel="0" collapsed="false">
      <c r="A7787" s="9" t="s">
        <v>566</v>
      </c>
      <c r="B7787" s="36" t="s">
        <v>125</v>
      </c>
      <c r="C7787" s="55" t="n">
        <f aca="false">C7783+C7784+C7785+C7786</f>
        <v>273265.178571429</v>
      </c>
      <c r="D7787" s="55" t="n">
        <f aca="false">D7783+D7784+D7785+D7786</f>
        <v>240783.490534514</v>
      </c>
      <c r="E7787" s="55" t="n">
        <f aca="false">E7783+E7784+E7785+E7786</f>
        <v>250249.099248013</v>
      </c>
      <c r="F7787" s="55" t="n">
        <f aca="false">F7783+F7784+F7785+F7786</f>
        <v>256873.092331311</v>
      </c>
      <c r="G7787" s="55" t="n">
        <f aca="false">G7783+G7784+G7785+G7786</f>
        <v>244560.120247702</v>
      </c>
      <c r="H7787" s="55" t="n">
        <f aca="false">H7783+H7784+H7785+H7786</f>
        <v>211358.687778397</v>
      </c>
      <c r="I7787" s="55" t="n">
        <f aca="false">I7783+I7784+I7785+I7786</f>
        <v>258921.389309906</v>
      </c>
      <c r="J7787" s="55" t="n">
        <f aca="false">J7783+J7784+J7785+J7786</f>
        <v>230269.961605415</v>
      </c>
      <c r="K7787" s="55" t="n">
        <f aca="false">K7783+K7784+K7785+K7786</f>
        <v>243656.463300888</v>
      </c>
      <c r="L7787" s="55" t="n">
        <f aca="false">L7783+L7784+L7785+L7786</f>
        <v>250246.355961609</v>
      </c>
      <c r="M7787" s="55" t="n">
        <f aca="false">M7783+M7784+M7785+M7786</f>
        <v>252750.538278946</v>
      </c>
      <c r="N7787" s="55" t="n">
        <f aca="false">N7783+N7784+N7785+N7786</f>
        <v>254600.186720287</v>
      </c>
      <c r="P7787" s="55" t="n">
        <f aca="false">SUM(C7787:F7787)</f>
        <v>1021170.86068527</v>
      </c>
      <c r="Q7787" s="55" t="n">
        <f aca="false">SUM(G7787:J7787)</f>
        <v>945110.158941421</v>
      </c>
      <c r="R7787" s="55" t="n">
        <f aca="false">SUM(K7787:N7787)</f>
        <v>1001253.54426173</v>
      </c>
      <c r="S7787" s="56" t="n">
        <f aca="false">SUM(P7787:R7787)</f>
        <v>2967534.56388842</v>
      </c>
    </row>
    <row r="7788" customFormat="false" ht="15" hidden="false" customHeight="false" outlineLevel="0" collapsed="false">
      <c r="A7788" s="35" t="s">
        <v>567</v>
      </c>
      <c r="B7788" s="35" t="s">
        <v>444</v>
      </c>
      <c r="C7788" s="6" t="s">
        <v>354</v>
      </c>
      <c r="D7788" s="6" t="s">
        <v>355</v>
      </c>
      <c r="E7788" s="6" t="s">
        <v>356</v>
      </c>
      <c r="F7788" s="6" t="s">
        <v>357</v>
      </c>
      <c r="G7788" s="6" t="s">
        <v>358</v>
      </c>
      <c r="H7788" s="6" t="s">
        <v>359</v>
      </c>
      <c r="I7788" s="6" t="s">
        <v>360</v>
      </c>
      <c r="J7788" s="6" t="s">
        <v>361</v>
      </c>
      <c r="K7788" s="6" t="s">
        <v>362</v>
      </c>
      <c r="L7788" s="6" t="s">
        <v>363</v>
      </c>
      <c r="M7788" s="6" t="s">
        <v>364</v>
      </c>
      <c r="N7788" s="6" t="s">
        <v>365</v>
      </c>
      <c r="P7788" s="6" t="s">
        <v>445</v>
      </c>
      <c r="Q7788" s="6" t="s">
        <v>446</v>
      </c>
      <c r="R7788" s="6" t="s">
        <v>447</v>
      </c>
      <c r="S7788" s="6" t="s">
        <v>448</v>
      </c>
    </row>
    <row r="7789" customFormat="false" ht="15" hidden="false" customHeight="false" outlineLevel="0" collapsed="false">
      <c r="A7789" s="9" t="s">
        <v>568</v>
      </c>
      <c r="B7789" s="36" t="s">
        <v>125</v>
      </c>
      <c r="C7789" s="55" t="n">
        <f aca="false">C7767-C7787</f>
        <v>-273265.178571429</v>
      </c>
      <c r="D7789" s="55" t="n">
        <f aca="false">D7767-D7787</f>
        <v>-240062.280337795</v>
      </c>
      <c r="E7789" s="55" t="n">
        <f aca="false">E7767-E7787</f>
        <v>-247207.646379802</v>
      </c>
      <c r="F7789" s="55" t="n">
        <f aca="false">F7767-F7787</f>
        <v>-250228.802278658</v>
      </c>
      <c r="G7789" s="55" t="n">
        <f aca="false">G7767-G7787</f>
        <v>-233682.323682823</v>
      </c>
      <c r="H7789" s="55" t="n">
        <f aca="false">H7767-H7787</f>
        <v>-195510.166063918</v>
      </c>
      <c r="I7789" s="55" t="n">
        <f aca="false">I7767-I7787</f>
        <v>-237031.394824393</v>
      </c>
      <c r="J7789" s="55" t="n">
        <f aca="false">J7767-J7787</f>
        <v>-200597.728717241</v>
      </c>
      <c r="K7789" s="55" t="n">
        <f aca="false">K7767-K7787</f>
        <v>-203711.192707385</v>
      </c>
      <c r="L7789" s="55" t="n">
        <f aca="false">L7767-L7787</f>
        <v>-198295.888226011</v>
      </c>
      <c r="M7789" s="55" t="n">
        <f aca="false">M7767-M7787</f>
        <v>-188390.340352126</v>
      </c>
      <c r="N7789" s="55" t="n">
        <f aca="false">N7767-N7787</f>
        <v>-177916.162821988</v>
      </c>
      <c r="P7789" s="55" t="n">
        <f aca="false">SUM(C7789:F7789)</f>
        <v>-1010763.90756768</v>
      </c>
      <c r="Q7789" s="55" t="n">
        <f aca="false">SUM(G7789:J7789)</f>
        <v>-866821.613288375</v>
      </c>
      <c r="R7789" s="55" t="n">
        <f aca="false">SUM(K7789:N7789)</f>
        <v>-768313.58410751</v>
      </c>
      <c r="S7789" s="56" t="n">
        <f aca="false">SUM(P7789:R7789)</f>
        <v>-2645899.10496357</v>
      </c>
    </row>
    <row r="7790" customFormat="false" ht="15" hidden="false" customHeight="false" outlineLevel="0" collapsed="false">
      <c r="A7790" s="9" t="s">
        <v>569</v>
      </c>
      <c r="B7790" s="36" t="s">
        <v>125</v>
      </c>
      <c r="C7790" s="55" t="n">
        <f aca="false">0+C7789</f>
        <v>-273265.178571429</v>
      </c>
      <c r="D7790" s="55" t="n">
        <f aca="false">C7790+D7789</f>
        <v>-513327.458909223</v>
      </c>
      <c r="E7790" s="55" t="n">
        <f aca="false">D7790+E7789</f>
        <v>-760535.105289025</v>
      </c>
      <c r="F7790" s="55" t="n">
        <f aca="false">E7790+F7789</f>
        <v>-1010763.90756768</v>
      </c>
      <c r="G7790" s="55" t="n">
        <f aca="false">F7790+G7789</f>
        <v>-1244446.23125051</v>
      </c>
      <c r="H7790" s="55" t="n">
        <f aca="false">G7790+H7789</f>
        <v>-1439956.39731442</v>
      </c>
      <c r="I7790" s="55" t="n">
        <f aca="false">H7790+I7789</f>
        <v>-1676987.79213882</v>
      </c>
      <c r="J7790" s="55" t="n">
        <f aca="false">I7790+J7789</f>
        <v>-1877585.52085606</v>
      </c>
      <c r="K7790" s="55" t="n">
        <f aca="false">J7790+K7789</f>
        <v>-2081296.71356344</v>
      </c>
      <c r="L7790" s="55" t="n">
        <f aca="false">K7790+L7789</f>
        <v>-2279592.60178945</v>
      </c>
      <c r="M7790" s="55" t="n">
        <f aca="false">L7790+M7789</f>
        <v>-2467982.94214158</v>
      </c>
      <c r="N7790" s="55" t="n">
        <f aca="false">M7790+N7789</f>
        <v>-2645899.10496357</v>
      </c>
      <c r="P7790" s="55" t="n">
        <f aca="false">F7790</f>
        <v>-1010763.90756768</v>
      </c>
      <c r="Q7790" s="55" t="n">
        <f aca="false">J7790</f>
        <v>-1877585.52085606</v>
      </c>
      <c r="R7790" s="55" t="n">
        <f aca="false">N7790</f>
        <v>-2645899.10496357</v>
      </c>
      <c r="S7790" s="56" t="n">
        <f aca="false">R7790</f>
        <v>-2645899.10496357</v>
      </c>
    </row>
    <row r="7791" customFormat="false" ht="15" hidden="false" customHeight="false" outlineLevel="0" collapsed="false">
      <c r="A7791" s="4" t="s">
        <v>570</v>
      </c>
      <c r="B7791" s="36" t="s">
        <v>107</v>
      </c>
      <c r="C7791" s="57" t="n">
        <f aca="false">1/(1+Assumptions!$E$87)^(C7710/4)</f>
        <v>0.972065420906982</v>
      </c>
      <c r="D7791" s="57" t="n">
        <f aca="false">1/(1+Assumptions!$E$87)^(D7710/4)</f>
        <v>0.944911182523068</v>
      </c>
      <c r="E7791" s="57" t="n">
        <f aca="false">1/(1+Assumptions!$E$87)^(E7710/4)</f>
        <v>0.918515486359</v>
      </c>
      <c r="F7791" s="57" t="n">
        <f aca="false">1/(1+Assumptions!$E$87)^(F7710/4)</f>
        <v>0.892857142857143</v>
      </c>
      <c r="G7791" s="57" t="n">
        <f aca="false">1/(1+Assumptions!$E$87)^(G7710/4)</f>
        <v>0.867915554381234</v>
      </c>
      <c r="H7791" s="57" t="n">
        <f aca="false">1/(1+Assumptions!$E$87)^(H7710/4)</f>
        <v>0.843670698681311</v>
      </c>
      <c r="I7791" s="57" t="n">
        <f aca="false">1/(1+Assumptions!$E$87)^(I7710/4)</f>
        <v>0.820103112820536</v>
      </c>
      <c r="J7791" s="57" t="n">
        <f aca="false">1/(1+Assumptions!$E$87)^(J7710/4)</f>
        <v>0.79719387755102</v>
      </c>
      <c r="K7791" s="57" t="n">
        <f aca="false">1/(1+Assumptions!$E$87)^(K7710/4)</f>
        <v>0.774924602126102</v>
      </c>
      <c r="L7791" s="57" t="n">
        <f aca="false">1/(1+Assumptions!$E$87)^(L7710/4)</f>
        <v>0.753277409536885</v>
      </c>
      <c r="M7791" s="57" t="n">
        <f aca="false">1/(1+Assumptions!$E$87)^(M7710/4)</f>
        <v>0.732234922161193</v>
      </c>
      <c r="N7791" s="57" t="n">
        <f aca="false">1/(1+Assumptions!$E$87)^(N7710/4)</f>
        <v>0.711780247813411</v>
      </c>
      <c r="P7791" s="58"/>
      <c r="Q7791" s="58"/>
      <c r="R7791" s="58"/>
      <c r="S7791" s="59"/>
    </row>
    <row r="7792" customFormat="false" ht="15" hidden="false" customHeight="false" outlineLevel="0" collapsed="false">
      <c r="A7792" s="4" t="s">
        <v>571</v>
      </c>
      <c r="B7792" s="36" t="s">
        <v>125</v>
      </c>
      <c r="C7792" s="54" t="n">
        <f aca="false">(C7767*(1-Assumptions!$F$88)-C7787)*C7791</f>
        <v>-265631.630827257</v>
      </c>
      <c r="D7792" s="54" t="n">
        <f aca="false">(D7767*(1-Assumptions!$F$88)-D7787)*D7791</f>
        <v>-226905.681151153</v>
      </c>
      <c r="E7792" s="54" t="n">
        <f aca="false">(E7767*(1-Assumptions!$F$88)-E7787)*E7791</f>
        <v>-227343.413702256</v>
      </c>
      <c r="F7792" s="54" t="n">
        <f aca="false">(F7767*(1-Assumptions!$F$88)-F7787)*F7791</f>
        <v>-224011.81364636</v>
      </c>
      <c r="G7792" s="54" t="n">
        <f aca="false">(G7767*(1-Assumptions!$F$88)-G7787)*G7791</f>
        <v>-203760.624391878</v>
      </c>
      <c r="H7792" s="54" t="n">
        <f aca="false">(H7767*(1-Assumptions!$F$88)-H7787)*H7791</f>
        <v>-166283.291741237</v>
      </c>
      <c r="I7792" s="54" t="n">
        <f aca="false">(I7767*(1-Assumptions!$F$88)-I7787)*I7791</f>
        <v>-196185.389993398</v>
      </c>
      <c r="J7792" s="54" t="n">
        <f aca="false">(J7767*(1-Assumptions!$F$88)-J7787)*J7791</f>
        <v>-162280.733423197</v>
      </c>
      <c r="K7792" s="54" t="n">
        <f aca="false">(K7767*(1-Assumptions!$F$88)-K7787)*K7791</f>
        <v>-160956.272249553</v>
      </c>
      <c r="L7792" s="54" t="n">
        <f aca="false">(L7767*(1-Assumptions!$F$88)-L7787)*L7791</f>
        <v>-153285.124380715</v>
      </c>
      <c r="M7792" s="54" t="n">
        <f aca="false">(M7767*(1-Assumptions!$F$88)-M7787)*M7791</f>
        <v>-142658.664655582</v>
      </c>
      <c r="N7792" s="54" t="n">
        <f aca="false">(N7767*(1-Assumptions!$F$88)-N7787)*N7791</f>
        <v>-132095.427816812</v>
      </c>
      <c r="P7792" s="55" t="n">
        <f aca="false">SUM(C7792:F7792)</f>
        <v>-943892.539327026</v>
      </c>
      <c r="Q7792" s="55" t="n">
        <f aca="false">SUM(G7792:J7792)</f>
        <v>-728510.039549709</v>
      </c>
      <c r="R7792" s="55" t="n">
        <f aca="false">SUM(K7792:N7792)</f>
        <v>-588995.489102662</v>
      </c>
      <c r="S7792" s="56" t="n">
        <f aca="false">SUM(P7792:R7792)</f>
        <v>-2261398.0679794</v>
      </c>
    </row>
    <row r="7793" customFormat="false" ht="15" hidden="false" customHeight="false" outlineLevel="0" collapsed="false">
      <c r="A7793" s="4" t="s">
        <v>572</v>
      </c>
      <c r="B7793" s="36" t="s">
        <v>125</v>
      </c>
      <c r="C7793" s="54" t="n">
        <f aca="false">(C7787-C7786)*12/(Assumptions!$E$89*Assumptions!$E$76)*Assumptions!$E$90</f>
        <v>189183.585164835</v>
      </c>
      <c r="D7793" s="54" t="n">
        <f aca="false">(D7787-D7786)*12/(Assumptions!$E$89*Assumptions!$E$76)*Assumptions!$E$90</f>
        <v>166297.969021124</v>
      </c>
      <c r="E7793" s="54" t="n">
        <f aca="false">(E7787-E7786)*12/(Assumptions!$E$89*Assumptions!$E$76)*Assumptions!$E$90</f>
        <v>172129.687048271</v>
      </c>
      <c r="F7793" s="54" t="n">
        <f aca="false">(F7787-F7786)*12/(Assumptions!$E$89*Assumptions!$E$76)*Assumptions!$E$90</f>
        <v>175907.509108133</v>
      </c>
      <c r="G7793" s="54" t="n">
        <f aca="false">(G7787-G7786)*12/(Assumptions!$E$89*Assumptions!$E$76)*Assumptions!$E$90</f>
        <v>166515.795929151</v>
      </c>
      <c r="H7793" s="54" t="n">
        <f aca="false">(H7787-H7786)*12/(Assumptions!$E$89*Assumptions!$E$76)*Assumptions!$E$90</f>
        <v>142456.13222885</v>
      </c>
      <c r="I7793" s="54" t="n">
        <f aca="false">(I7787-I7786)*12/(Assumptions!$E$89*Assumptions!$E$76)*Assumptions!$E$90</f>
        <v>174113.649768056</v>
      </c>
      <c r="J7793" s="54" t="n">
        <f aca="false">(J7787-J7786)*12/(Assumptions!$E$89*Assumptions!$E$76)*Assumptions!$E$90</f>
        <v>152505.518299401</v>
      </c>
      <c r="K7793" s="54" t="n">
        <f aca="false">(K7787-K7786)*12/(Assumptions!$E$89*Assumptions!$E$76)*Assumptions!$E$90</f>
        <v>159526.899399291</v>
      </c>
      <c r="L7793" s="54" t="n">
        <f aca="false">(L7787-L7786)*12/(Assumptions!$E$89*Assumptions!$E$76)*Assumptions!$E$90</f>
        <v>161844.365500386</v>
      </c>
      <c r="M7793" s="54" t="n">
        <f aca="false">(M7787-M7786)*12/(Assumptions!$E$89*Assumptions!$E$76)*Assumptions!$E$90</f>
        <v>161458.766956034</v>
      </c>
      <c r="N7793" s="54" t="n">
        <f aca="false">(N7787-N7786)*12/(Assumptions!$E$89*Assumptions!$E$76)*Assumptions!$E$90</f>
        <v>160745.852054284</v>
      </c>
      <c r="P7793" s="55" t="n">
        <f aca="false">SUM(C7793:F7793)</f>
        <v>703518.750342363</v>
      </c>
      <c r="Q7793" s="55" t="n">
        <f aca="false">SUM(G7793:J7793)</f>
        <v>635591.096225458</v>
      </c>
      <c r="R7793" s="55" t="n">
        <f aca="false">SUM(K7793:N7793)</f>
        <v>643575.883909995</v>
      </c>
      <c r="S7793" s="56" t="n">
        <f aca="false">SUM(P7793:R7793)</f>
        <v>1982685.73047782</v>
      </c>
    </row>
    <row r="7794" customFormat="false" ht="15" hidden="false" customHeight="false" outlineLevel="0" collapsed="false">
      <c r="A7794" s="4" t="s">
        <v>573</v>
      </c>
      <c r="B7794" s="36" t="s">
        <v>125</v>
      </c>
      <c r="C7794" s="54" t="n">
        <f aca="false">0*Assumptions!$E$92^(1/4)+C7793</f>
        <v>189183.585164835</v>
      </c>
      <c r="D7794" s="54" t="n">
        <f aca="false">C7794*Assumptions!$E$92^(1/4)+D7793</f>
        <v>355952.749828138</v>
      </c>
      <c r="E7794" s="54" t="n">
        <f aca="false">D7794*Assumptions!$E$92^(1/4)+E7793</f>
        <v>528969.001027282</v>
      </c>
      <c r="F7794" s="54" t="n">
        <f aca="false">E7794*Assumptions!$E$92^(1/4)+F7793</f>
        <v>706194.00228419</v>
      </c>
      <c r="G7794" s="54" t="n">
        <f aca="false">F7794*Assumptions!$E$92^(1/4)+G7793</f>
        <v>874468.701006729</v>
      </c>
      <c r="H7794" s="54" t="n">
        <f aca="false">G7794*Assumptions!$E$92^(1/4)+H7793</f>
        <v>1019102.8543402</v>
      </c>
      <c r="I7794" s="54" t="n">
        <f aca="false">H7794*Assumptions!$E$92^(1/4)+I7793</f>
        <v>1195754.76250672</v>
      </c>
      <c r="J7794" s="54" t="n">
        <f aca="false">I7794*Assumptions!$E$92^(1/4)+J7793</f>
        <v>1351238.5224581</v>
      </c>
      <c r="K7794" s="54" t="n">
        <f aca="false">J7794*Assumptions!$E$92^(1/4)+K7793</f>
        <v>1514130.92369399</v>
      </c>
      <c r="L7794" s="54" t="n">
        <f aca="false">K7794*Assumptions!$E$92^(1/4)+L7793</f>
        <v>1679746.5037652</v>
      </c>
      <c r="M7794" s="54" t="n">
        <f aca="false">L7794*Assumptions!$E$92^(1/4)+M7793</f>
        <v>1845388.98059146</v>
      </c>
      <c r="N7794" s="54" t="n">
        <f aca="false">M7794*Assumptions!$E$92^(1/4)+N7793</f>
        <v>2010731.10480658</v>
      </c>
      <c r="P7794" s="55" t="n">
        <f aca="false">F7794</f>
        <v>706194.00228419</v>
      </c>
      <c r="Q7794" s="55" t="n">
        <f aca="false">J7794</f>
        <v>1351238.5224581</v>
      </c>
      <c r="R7794" s="55" t="n">
        <f aca="false">N7794</f>
        <v>2010731.10480658</v>
      </c>
      <c r="S7794" s="56" t="n">
        <f aca="false">R7794</f>
        <v>2010731.10480658</v>
      </c>
    </row>
    <row r="7795" customFormat="false" ht="15" hidden="false" customHeight="false" outlineLevel="0" collapsed="false">
      <c r="A7795" s="4" t="s">
        <v>574</v>
      </c>
      <c r="B7795" s="36" t="s">
        <v>125</v>
      </c>
      <c r="C7795" s="54" t="n">
        <f aca="false">(0+C7794)/8*Assumptions!$E$76-(C7787-C7786)-C7794*Assumptions!$E$93/4</f>
        <v>-260258.807091346</v>
      </c>
      <c r="D7795" s="54" t="n">
        <f aca="false">(C7794+D7794)/8*Assumptions!$E$76-(D7787-D7786)-D7794*Assumptions!$E$93/4</f>
        <v>-200365.259629629</v>
      </c>
      <c r="E7795" s="54" t="n">
        <f aca="false">(D7794+E7794)/8*Assumptions!$E$76-(E7787-E7786)-E7794*Assumptions!$E$93/4</f>
        <v>-183343.990436674</v>
      </c>
      <c r="F7795" s="54" t="n">
        <f aca="false">(E7794+F7794)/8*Assumptions!$E$76-(F7787-F7786)-F7794*Assumptions!$E$93/4</f>
        <v>-162559.055276799</v>
      </c>
      <c r="G7795" s="54" t="n">
        <f aca="false">(F7794+G7794)/8*Assumptions!$E$76-(G7787-G7786)-G7794*Assumptions!$E$93/4</f>
        <v>-123024.830462304</v>
      </c>
      <c r="H7795" s="54" t="n">
        <f aca="false">(G7794+H7794)/8*Assumptions!$E$76-(H7787-H7786)-H7794*Assumptions!$E$93/4</f>
        <v>-64656.0655823201</v>
      </c>
      <c r="I7795" s="54" t="n">
        <f aca="false">(H7794+I7794)/8*Assumptions!$E$76-(I7787-I7786)-I7794*Assumptions!$E$93/4</f>
        <v>-86487.2472719356</v>
      </c>
      <c r="J7795" s="54" t="n">
        <f aca="false">(I7794+J7794)/8*Assumptions!$E$76-(J7787-J7786)-J7794*Assumptions!$E$93/4</f>
        <v>-30233.0257820242</v>
      </c>
      <c r="K7795" s="54" t="n">
        <f aca="false">(J7794+K7794)/8*Assumptions!$E$76-(K7787-K7786)-K7794*Assumptions!$E$93/4</f>
        <v>-16543.1126230714</v>
      </c>
      <c r="L7795" s="54" t="n">
        <f aca="false">(K7794+L7794)/8*Assumptions!$E$76-(L7787-L7786)-L7794*Assumptions!$E$93/4</f>
        <v>4730.51507232551</v>
      </c>
      <c r="M7795" s="54" t="n">
        <f aca="false">(L7794+M7794)/8*Assumptions!$E$76-(M7787-M7786)-M7794*Assumptions!$E$93/4</f>
        <v>30131.676910092</v>
      </c>
      <c r="N7795" s="54" t="n">
        <f aca="false">(M7794+N7794)/8*Assumptions!$E$76-(N7787-N7786)-N7794*Assumptions!$E$93/4</f>
        <v>55987.1651612092</v>
      </c>
      <c r="P7795" s="55" t="n">
        <f aca="false">SUM(C7795:F7795)</f>
        <v>-806527.112434448</v>
      </c>
      <c r="Q7795" s="55" t="n">
        <f aca="false">SUM(G7795:J7795)</f>
        <v>-304401.169098584</v>
      </c>
      <c r="R7795" s="55" t="n">
        <f aca="false">SUM(K7795:N7795)</f>
        <v>74306.2445205553</v>
      </c>
      <c r="S7795" s="56" t="n">
        <f aca="false">SUM(P7795:R7795)</f>
        <v>-1036622.03701248</v>
      </c>
    </row>
    <row r="7796" customFormat="false" ht="15" hidden="false" customHeight="false" outlineLevel="0" collapsed="false">
      <c r="A7796" s="4" t="s">
        <v>575</v>
      </c>
      <c r="B7796" s="36" t="s">
        <v>125</v>
      </c>
      <c r="C7796" s="54" t="n">
        <f aca="false">C7795*C7791</f>
        <v>-252988.586859998</v>
      </c>
      <c r="D7796" s="54" t="n">
        <f aca="false">D7795*D7791</f>
        <v>-189327.374413174</v>
      </c>
      <c r="E7796" s="54" t="n">
        <f aca="false">E7795*E7791</f>
        <v>-168404.294546942</v>
      </c>
      <c r="F7796" s="54" t="n">
        <f aca="false">F7795*F7791</f>
        <v>-145142.013639999</v>
      </c>
      <c r="G7796" s="54" t="n">
        <f aca="false">G7795*G7791</f>
        <v>-106775.163933348</v>
      </c>
      <c r="H7796" s="54" t="n">
        <f aca="false">H7795*H7791</f>
        <v>-54548.4280238207</v>
      </c>
      <c r="I7796" s="54" t="n">
        <f aca="false">I7795*I7791</f>
        <v>-70928.4607069938</v>
      </c>
      <c r="J7796" s="54" t="n">
        <f aca="false">J7795*J7791</f>
        <v>-24101.5830532718</v>
      </c>
      <c r="K7796" s="54" t="n">
        <f aca="false">K7795*K7791</f>
        <v>-12819.6649673609</v>
      </c>
      <c r="L7796" s="54" t="n">
        <f aca="false">L7795*L7791</f>
        <v>3563.39013945655</v>
      </c>
      <c r="M7796" s="54" t="n">
        <f aca="false">M7795*M7791</f>
        <v>22063.4660968474</v>
      </c>
      <c r="N7796" s="54" t="n">
        <f aca="false">N7795*N7791</f>
        <v>39850.5582928159</v>
      </c>
      <c r="P7796" s="55" t="n">
        <f aca="false">SUM(C7796:F7796)</f>
        <v>-755862.269460113</v>
      </c>
      <c r="Q7796" s="55" t="n">
        <f aca="false">SUM(G7796:J7796)</f>
        <v>-256353.635717434</v>
      </c>
      <c r="R7796" s="55" t="n">
        <f aca="false">SUM(K7796:N7796)</f>
        <v>52657.749561759</v>
      </c>
      <c r="S7796" s="56" t="n">
        <f aca="false">SUM(P7796:R7796)</f>
        <v>-959558.155615789</v>
      </c>
    </row>
    <row r="7797" customFormat="false" ht="15" hidden="false" customHeight="false" outlineLevel="0" collapsed="false">
      <c r="A7797" s="4" t="s">
        <v>576</v>
      </c>
      <c r="B7797" s="36"/>
      <c r="C7797" s="37" t="n">
        <f aca="false">IFERROR((S7752*$C$7701*Assumptions!$E$59+S7753*$C$7702*Assumptions!$E$60+S7754*$C$7703*Assumptions!$E$61)/(S7752*$C$7701+S7753*$C$7702+S7754*$C$7703),0.9)</f>
        <v>0.897372181179546</v>
      </c>
    </row>
    <row r="7798" customFormat="false" ht="15" hidden="false" customHeight="false" outlineLevel="0" collapsed="false">
      <c r="A7798" s="4" t="s">
        <v>577</v>
      </c>
      <c r="B7798" s="36"/>
      <c r="C7798" s="37" t="n">
        <f aca="false">IFERROR(N7786*4/N7764,0)</f>
        <v>0.175911884278844</v>
      </c>
    </row>
    <row r="7799" customFormat="false" ht="15" hidden="false" customHeight="false" outlineLevel="0" collapsed="false">
      <c r="A7799" s="4" t="s">
        <v>578</v>
      </c>
      <c r="B7799" s="36"/>
      <c r="C7799" s="60" t="n">
        <f aca="false">$C$7797/(1+Assumptions!$E$87)</f>
        <v>0.801225161767451</v>
      </c>
    </row>
    <row r="7800" customFormat="false" ht="15" hidden="false" customHeight="false" outlineLevel="0" collapsed="false">
      <c r="A7800" s="4" t="s">
        <v>579</v>
      </c>
      <c r="B7800" s="36"/>
      <c r="C7800" s="60" t="n">
        <f aca="false">Assumptions!$E$91/(1+Assumptions!$E$87)</f>
        <v>0.803571428571429</v>
      </c>
    </row>
    <row r="7801" customFormat="false" ht="15" hidden="false" customHeight="false" outlineLevel="0" collapsed="false">
      <c r="A7801" s="35" t="s">
        <v>580</v>
      </c>
      <c r="B7801" s="35" t="s">
        <v>444</v>
      </c>
      <c r="C7801" s="6" t="s">
        <v>354</v>
      </c>
      <c r="D7801" s="6" t="s">
        <v>355</v>
      </c>
      <c r="E7801" s="6" t="s">
        <v>356</v>
      </c>
      <c r="F7801" s="6" t="s">
        <v>357</v>
      </c>
      <c r="G7801" s="6" t="s">
        <v>358</v>
      </c>
      <c r="H7801" s="6" t="s">
        <v>359</v>
      </c>
      <c r="I7801" s="6" t="s">
        <v>360</v>
      </c>
      <c r="J7801" s="6" t="s">
        <v>361</v>
      </c>
      <c r="K7801" s="6" t="s">
        <v>362</v>
      </c>
      <c r="L7801" s="6" t="s">
        <v>363</v>
      </c>
      <c r="M7801" s="6" t="s">
        <v>364</v>
      </c>
      <c r="N7801" s="6" t="s">
        <v>365</v>
      </c>
      <c r="P7801" s="6" t="s">
        <v>445</v>
      </c>
      <c r="Q7801" s="6" t="s">
        <v>446</v>
      </c>
      <c r="R7801" s="6" t="s">
        <v>447</v>
      </c>
      <c r="S7801" s="6" t="s">
        <v>448</v>
      </c>
    </row>
    <row r="7802" customFormat="false" ht="15" hidden="false" customHeight="false" outlineLevel="0" collapsed="false">
      <c r="A7802" s="9" t="s">
        <v>581</v>
      </c>
      <c r="C7802" s="61" t="n">
        <f aca="false">N7764</f>
        <v>509612.726732255</v>
      </c>
      <c r="D7802" s="61"/>
    </row>
    <row r="7803" customFormat="false" ht="15" hidden="false" customHeight="false" outlineLevel="0" collapsed="false">
      <c r="A7803" s="9" t="s">
        <v>582</v>
      </c>
      <c r="C7803" s="62" t="n">
        <f aca="false">N7760</f>
        <v>49.5280990541991</v>
      </c>
      <c r="D7803" s="62"/>
    </row>
    <row r="7804" customFormat="false" ht="15" hidden="false" customHeight="false" outlineLevel="0" collapsed="false">
      <c r="A7804" s="9" t="s">
        <v>583</v>
      </c>
      <c r="C7804" s="63" t="n">
        <f aca="false">S7755</f>
        <v>54.7491194625937</v>
      </c>
      <c r="D7804" s="63"/>
    </row>
    <row r="7805" customFormat="false" ht="15" hidden="false" customHeight="false" outlineLevel="0" collapsed="false">
      <c r="A7805" s="9" t="s">
        <v>584</v>
      </c>
      <c r="C7805" s="61" t="n">
        <f aca="false">S7766</f>
        <v>494823.782961303</v>
      </c>
      <c r="D7805" s="61"/>
    </row>
    <row r="7806" customFormat="false" ht="15" hidden="false" customHeight="false" outlineLevel="0" collapsed="false">
      <c r="A7806" s="9" t="s">
        <v>22</v>
      </c>
      <c r="C7806" s="61" t="n">
        <f aca="false">IFERROR(S7765/S7755,0)</f>
        <v>8847.97350983958</v>
      </c>
      <c r="D7806" s="61"/>
    </row>
    <row r="7807" customFormat="false" ht="15" hidden="false" customHeight="false" outlineLevel="0" collapsed="false">
      <c r="A7807" s="9" t="s">
        <v>585</v>
      </c>
      <c r="C7807" s="61" t="n">
        <f aca="false">IFERROR(S7783/S7755,0)</f>
        <v>39481.7979795841</v>
      </c>
      <c r="D7807" s="61"/>
    </row>
    <row r="7808" customFormat="false" ht="23.85" hidden="false" customHeight="false" outlineLevel="0" collapsed="false">
      <c r="A7808" s="9" t="s">
        <v>586</v>
      </c>
      <c r="C7808" s="61" t="n">
        <f aca="false">IFERROR((S7777+S7779+S7780+S7781+S7782)/S7755,0)</f>
        <v>15924.0153192791</v>
      </c>
      <c r="D7808" s="61"/>
    </row>
    <row r="7809" customFormat="false" ht="15" hidden="false" customHeight="false" outlineLevel="0" collapsed="false">
      <c r="A7809" s="9" t="s">
        <v>587</v>
      </c>
      <c r="C7809" s="64" t="n">
        <f aca="false">IFERROR('Engine Runs'!$C$7807/('Engine Runs'!$C$7806*Assumptions!$E$76/12),0)</f>
        <v>82.3798501566715</v>
      </c>
      <c r="D7809" s="64"/>
    </row>
    <row r="7810" customFormat="false" ht="15" hidden="false" customHeight="false" outlineLevel="0" collapsed="false">
      <c r="A7810" s="9" t="s">
        <v>588</v>
      </c>
      <c r="C7810" s="64" t="n">
        <f aca="false">IFERROR((R7783/R7755)/((R7765/R7755)*Assumptions!$E$76/12),0)</f>
        <v>53.7401674227257</v>
      </c>
      <c r="D7810" s="64"/>
    </row>
    <row r="7811" customFormat="false" ht="15" hidden="false" customHeight="false" outlineLevel="0" collapsed="false">
      <c r="A7811" s="9" t="s">
        <v>589</v>
      </c>
      <c r="C7811" s="61" t="n">
        <f aca="false">S7787</f>
        <v>2967534.56388842</v>
      </c>
      <c r="D7811" s="61"/>
    </row>
    <row r="7812" customFormat="false" ht="15" hidden="false" customHeight="false" outlineLevel="0" collapsed="false">
      <c r="A7812" s="9" t="s">
        <v>590</v>
      </c>
      <c r="C7812" s="61" t="n">
        <f aca="false">N7790</f>
        <v>-2645899.10496357</v>
      </c>
      <c r="D7812" s="61"/>
    </row>
    <row r="7813" customFormat="false" ht="15" hidden="false" customHeight="false" outlineLevel="0" collapsed="false">
      <c r="A7813" s="9" t="s">
        <v>591</v>
      </c>
      <c r="C7813" s="61" t="n">
        <f aca="false">MIN($C$7790:$N$7790)</f>
        <v>-2645899.10496357</v>
      </c>
      <c r="D7813" s="61"/>
    </row>
    <row r="7814" customFormat="false" ht="15" hidden="false" customHeight="false" outlineLevel="0" collapsed="false">
      <c r="A7814" s="9" t="s">
        <v>592</v>
      </c>
      <c r="C7814" s="61" t="n">
        <f aca="false">N7764*(Assumptions!$E$76-$C$7798)*$C$7797*(1-$C$7797^Assumptions!$E$85)/(1-$C$7797)</f>
        <v>883215.352678571</v>
      </c>
      <c r="D7814" s="61"/>
    </row>
    <row r="7815" customFormat="false" ht="15" hidden="false" customHeight="false" outlineLevel="0" collapsed="false">
      <c r="A7815" s="9" t="s">
        <v>593</v>
      </c>
      <c r="C7815" s="61" t="n">
        <f aca="false">N7764*(Assumptions!$E$76-$C$7798)*(1-Assumptions!$F$88)/(1+Assumptions!$E$87)^2.5*$C$7799*(1-$C$7799^Assumptions!$E$85)/(1-$C$7799)</f>
        <v>442218.754642754</v>
      </c>
      <c r="D7815" s="61"/>
    </row>
    <row r="7816" customFormat="false" ht="15" hidden="false" customHeight="false" outlineLevel="0" collapsed="false">
      <c r="A7816" s="9" t="s">
        <v>594</v>
      </c>
      <c r="C7816" s="61" t="n">
        <f aca="false">SUM($C$7792:$N$7792)+'Engine Runs'!$C$7815</f>
        <v>-1819179.31333664</v>
      </c>
      <c r="D7816" s="61"/>
    </row>
    <row r="7817" customFormat="false" ht="15" hidden="false" customHeight="false" outlineLevel="0" collapsed="false">
      <c r="A7817" s="9" t="s">
        <v>595</v>
      </c>
      <c r="C7817" s="61" t="n">
        <f aca="false">SUM($C$7796:$N$7796)+N7794*(Assumptions!$E$76-Assumptions!$E$93)/(1+Assumptions!$E$87)^2.5*$C$7800*(1-$C$7800^Assumptions!$E$85)/(1-$C$7800)</f>
        <v>1512522.02860027</v>
      </c>
      <c r="D7817" s="61"/>
    </row>
    <row r="7818" customFormat="false" ht="15" hidden="false" customHeight="false" outlineLevel="0" collapsed="false">
      <c r="A7818" s="9" t="s">
        <v>596</v>
      </c>
      <c r="C7818" s="61" t="n">
        <f aca="false">'Engine Runs'!$C$7816-'Engine Runs'!$C$7817</f>
        <v>-3331701.34193691</v>
      </c>
      <c r="D7818" s="61"/>
    </row>
    <row r="7819" customFormat="false" ht="15" hidden="false" customHeight="false" outlineLevel="0" collapsed="false">
      <c r="A7819" s="9" t="s">
        <v>597</v>
      </c>
      <c r="C7819" s="61" t="n">
        <f aca="false">S7751</f>
        <v>0</v>
      </c>
      <c r="D7819" s="61"/>
    </row>
    <row r="7820" customFormat="false" ht="15" hidden="false" customHeight="false" outlineLevel="0" collapsed="false">
      <c r="A7820" s="9" t="s">
        <v>598</v>
      </c>
      <c r="C7820" s="63" t="n">
        <f aca="false">P7735</f>
        <v>43.6188722246667</v>
      </c>
      <c r="D7820" s="63"/>
    </row>
    <row r="7821" customFormat="false" ht="15" hidden="false" customHeight="false" outlineLevel="0" collapsed="false">
      <c r="A7821" s="9" t="s">
        <v>599</v>
      </c>
      <c r="C7821" s="63" t="n">
        <f aca="false">P7755</f>
        <v>6.18260904948639</v>
      </c>
      <c r="D7821" s="63"/>
    </row>
    <row r="7822" customFormat="false" ht="15" hidden="false" customHeight="false" outlineLevel="0" collapsed="false">
      <c r="A7822" s="9" t="s">
        <v>600</v>
      </c>
      <c r="C7822" s="63" t="n">
        <f aca="false">P7731</f>
        <v>42</v>
      </c>
      <c r="D7822" s="63"/>
    </row>
    <row r="7823" customFormat="false" ht="15" hidden="false" customHeight="false" outlineLevel="0" collapsed="false">
      <c r="A7823" s="9" t="s">
        <v>601</v>
      </c>
      <c r="C7823" s="61" t="n">
        <f aca="false">IFERROR(P7765/P7755,0)</f>
        <v>8545.01753177967</v>
      </c>
      <c r="D7823" s="61"/>
    </row>
    <row r="7826" customFormat="false" ht="15" hidden="false" customHeight="true" outlineLevel="0" collapsed="false">
      <c r="A7826" s="78" t="s">
        <v>909</v>
      </c>
      <c r="B7826" s="78"/>
      <c r="C7826" s="78"/>
      <c r="D7826" s="78"/>
      <c r="E7826" s="78"/>
      <c r="F7826" s="78"/>
      <c r="G7826" s="78"/>
      <c r="H7826" s="78"/>
      <c r="I7826" s="78"/>
      <c r="J7826" s="78"/>
      <c r="K7826" s="78"/>
      <c r="L7826" s="78"/>
      <c r="M7826" s="78"/>
      <c r="N7826" s="78"/>
    </row>
    <row r="7827" customFormat="false" ht="15" hidden="false" customHeight="true" outlineLevel="0" collapsed="false">
      <c r="A7827" s="79" t="s">
        <v>910</v>
      </c>
      <c r="B7827" s="79"/>
      <c r="C7827" s="79"/>
      <c r="D7827" s="79"/>
      <c r="E7827" s="79"/>
      <c r="F7827" s="79"/>
      <c r="G7827" s="79"/>
      <c r="H7827" s="79"/>
      <c r="I7827" s="79"/>
      <c r="J7827" s="79"/>
      <c r="K7827" s="79"/>
      <c r="L7827" s="79"/>
      <c r="M7827" s="79"/>
      <c r="N7827" s="79"/>
    </row>
    <row r="7828" customFormat="false" ht="15" hidden="false" customHeight="false" outlineLevel="0" collapsed="false">
      <c r="A7828" s="35" t="s">
        <v>911</v>
      </c>
      <c r="B7828" s="35" t="s">
        <v>444</v>
      </c>
      <c r="C7828" s="6" t="s">
        <v>354</v>
      </c>
      <c r="D7828" s="6" t="s">
        <v>355</v>
      </c>
      <c r="E7828" s="6" t="s">
        <v>356</v>
      </c>
      <c r="F7828" s="6" t="s">
        <v>357</v>
      </c>
      <c r="G7828" s="6" t="s">
        <v>358</v>
      </c>
      <c r="H7828" s="6" t="s">
        <v>359</v>
      </c>
      <c r="I7828" s="6" t="s">
        <v>360</v>
      </c>
      <c r="J7828" s="6" t="s">
        <v>361</v>
      </c>
      <c r="K7828" s="6" t="s">
        <v>362</v>
      </c>
      <c r="L7828" s="6" t="s">
        <v>363</v>
      </c>
      <c r="M7828" s="6" t="s">
        <v>364</v>
      </c>
      <c r="N7828" s="6" t="s">
        <v>365</v>
      </c>
      <c r="P7828" s="6" t="s">
        <v>445</v>
      </c>
      <c r="Q7828" s="6" t="s">
        <v>446</v>
      </c>
      <c r="R7828" s="6" t="s">
        <v>447</v>
      </c>
      <c r="S7828" s="6" t="s">
        <v>448</v>
      </c>
    </row>
    <row r="7829" customFormat="false" ht="15" hidden="false" customHeight="false" outlineLevel="0" collapsed="false">
      <c r="A7829" s="4" t="s">
        <v>449</v>
      </c>
      <c r="B7829" s="36" t="s">
        <v>450</v>
      </c>
      <c r="C7829" s="34" t="n">
        <f aca="false">'Market Sizing'!$C$17*Assumptions!$E$10*Assumptions!$E$11*(1-Assumptions!$E$12)</f>
        <v>843.03944704</v>
      </c>
    </row>
    <row r="7830" customFormat="false" ht="15" hidden="false" customHeight="false" outlineLevel="0" collapsed="false">
      <c r="A7830" s="4" t="s">
        <v>451</v>
      </c>
      <c r="B7830" s="36" t="s">
        <v>450</v>
      </c>
      <c r="C7830" s="34" t="n">
        <f aca="false">'Market Sizing'!$D$17*Assumptions!$E$10*Assumptions!$E$11*(1-Assumptions!$E$12)</f>
        <v>211.19616</v>
      </c>
    </row>
    <row r="7831" customFormat="false" ht="15" hidden="false" customHeight="false" outlineLevel="0" collapsed="false">
      <c r="A7831" s="4" t="s">
        <v>452</v>
      </c>
      <c r="B7831" s="36" t="s">
        <v>450</v>
      </c>
      <c r="C7831" s="34" t="n">
        <f aca="false">'Market Sizing'!$E$17*Assumptions!$E$10*Assumptions!$E$11*(1-Assumptions!$E$12)</f>
        <v>49.53984</v>
      </c>
    </row>
    <row r="7832" customFormat="false" ht="15" hidden="false" customHeight="false" outlineLevel="0" collapsed="false">
      <c r="A7832" s="4" t="s">
        <v>453</v>
      </c>
      <c r="B7832" s="36"/>
      <c r="C7832" s="34" t="n">
        <f aca="false">$C$7829+$C$7830+$C$7831</f>
        <v>1103.77544704</v>
      </c>
    </row>
    <row r="7833" customFormat="false" ht="15" hidden="false" customHeight="false" outlineLevel="0" collapsed="false">
      <c r="A7833" s="4" t="s">
        <v>454</v>
      </c>
      <c r="B7833" s="36" t="s">
        <v>450</v>
      </c>
      <c r="C7833" s="34" t="n">
        <f aca="false">'Market Sizing'!$C$18*Assumptions!$E$10*Assumptions!$E$11*(1-Assumptions!$E$12)</f>
        <v>612.57706944</v>
      </c>
    </row>
    <row r="7834" customFormat="false" ht="15" hidden="false" customHeight="false" outlineLevel="0" collapsed="false">
      <c r="A7834" s="4" t="s">
        <v>455</v>
      </c>
      <c r="B7834" s="36" t="s">
        <v>450</v>
      </c>
      <c r="C7834" s="34" t="n">
        <f aca="false">'Market Sizing'!$D$18*Assumptions!$E$10*Assumptions!$E$11*(1-Assumptions!$E$12)</f>
        <v>142.10112</v>
      </c>
    </row>
    <row r="7835" customFormat="false" ht="15" hidden="false" customHeight="false" outlineLevel="0" collapsed="false">
      <c r="A7835" s="4" t="s">
        <v>456</v>
      </c>
      <c r="B7835" s="36" t="s">
        <v>450</v>
      </c>
      <c r="C7835" s="34" t="n">
        <f aca="false">'Market Sizing'!$E$18*Assumptions!$E$10*Assumptions!$E$11*(1-Assumptions!$E$12)</f>
        <v>24.76992</v>
      </c>
    </row>
    <row r="7836" customFormat="false" ht="15" hidden="false" customHeight="false" outlineLevel="0" collapsed="false">
      <c r="A7836" s="4" t="s">
        <v>457</v>
      </c>
      <c r="B7836" s="36"/>
      <c r="C7836" s="34" t="n">
        <f aca="false">$C$7833+$C$7834+$C$7835</f>
        <v>779.44810944</v>
      </c>
    </row>
    <row r="7837" customFormat="false" ht="15" hidden="false" customHeight="false" outlineLevel="0" collapsed="false">
      <c r="A7837" s="4" t="s">
        <v>458</v>
      </c>
      <c r="B7837" s="36" t="s">
        <v>450</v>
      </c>
      <c r="C7837" s="34" t="n">
        <f aca="false">'Market Sizing'!$C$19*Assumptions!$E$10*Assumptions!$E$11*(1-Assumptions!$E$12)</f>
        <v>2060.77303936</v>
      </c>
    </row>
    <row r="7838" customFormat="false" ht="15" hidden="false" customHeight="false" outlineLevel="0" collapsed="false">
      <c r="A7838" s="4" t="s">
        <v>459</v>
      </c>
      <c r="B7838" s="36" t="s">
        <v>450</v>
      </c>
      <c r="C7838" s="34" t="n">
        <f aca="false">'Market Sizing'!$D$19*Assumptions!$E$10*Assumptions!$E$11*(1-Assumptions!$E$12)</f>
        <v>428.47616</v>
      </c>
    </row>
    <row r="7839" customFormat="false" ht="15" hidden="false" customHeight="false" outlineLevel="0" collapsed="false">
      <c r="A7839" s="4" t="s">
        <v>460</v>
      </c>
      <c r="B7839" s="36" t="s">
        <v>450</v>
      </c>
      <c r="C7839" s="34" t="n">
        <f aca="false">'Market Sizing'!$E$19*Assumptions!$E$10*Assumptions!$E$11*(1-Assumptions!$E$12)</f>
        <v>79.52448</v>
      </c>
    </row>
    <row r="7840" customFormat="false" ht="15" hidden="false" customHeight="false" outlineLevel="0" collapsed="false">
      <c r="A7840" s="4" t="s">
        <v>461</v>
      </c>
      <c r="B7840" s="36"/>
      <c r="C7840" s="34" t="n">
        <f aca="false">$C$7837+$C$7838+$C$7839</f>
        <v>2568.77367936</v>
      </c>
    </row>
    <row r="7841" customFormat="false" ht="15" hidden="false" customHeight="false" outlineLevel="0" collapsed="false">
      <c r="A7841" s="4" t="s">
        <v>462</v>
      </c>
      <c r="B7841" s="36" t="s">
        <v>463</v>
      </c>
      <c r="C7841" s="33" t="n">
        <f aca="false">MAX((Assumptions!$E$51+Assumptions!$E$53)*12,(((('Market Sizing'!$E$25*Assumptions!$E$41*Assumptions!$E$42*Assumptions!$E$43)*Assumptions!$E$44)*Assumptions!$E$45*Assumptions!$E$46+('Market Sizing'!$E$25*Assumptions!$E$41*Assumptions!$E$42*Assumptions!$E$43)*Assumptions!$E$47+('Market Sizing'!$E$25*Assumptions!$E$41*Assumptions!$E$42*Assumptions!$E$43)*Assumptions!$E$48*Assumptions!$E$49)*(Assumptions!$E$51*12/Assumptions!$E$52)+((('Market Sizing'!$E$25*Assumptions!$E$41*Assumptions!$E$42*Assumptions!$E$43)*Assumptions!$E$44)*Assumptions!$E$45+('Market Sizing'!$E$25*Assumptions!$E$41*Assumptions!$E$42*Assumptions!$E$43)+('Market Sizing'!$E$25*Assumptions!$E$41*Assumptions!$E$42*Assumptions!$E$43)*Assumptions!$E$48)*Assumptions!$E$50*(Assumptions!$E$53*12/Assumptions!$E$54)))</f>
        <v>5352</v>
      </c>
    </row>
    <row r="7842" customFormat="false" ht="15" hidden="false" customHeight="false" outlineLevel="0" collapsed="false">
      <c r="A7842" s="4" t="s">
        <v>464</v>
      </c>
      <c r="B7842" s="36" t="s">
        <v>463</v>
      </c>
      <c r="C7842" s="33" t="n">
        <f aca="false">MAX((Assumptions!$E$51+Assumptions!$E$53)*12,(((('Market Sizing'!$E$26*Assumptions!$E$41*Assumptions!$E$42*Assumptions!$E$43)*Assumptions!$E$44)*Assumptions!$E$45*Assumptions!$E$46+('Market Sizing'!$E$26*Assumptions!$E$41*Assumptions!$E$42*Assumptions!$E$43)*Assumptions!$E$47+('Market Sizing'!$E$26*Assumptions!$E$41*Assumptions!$E$42*Assumptions!$E$43)*Assumptions!$E$48*Assumptions!$E$49)*(Assumptions!$E$51*12/Assumptions!$E$52)+((('Market Sizing'!$E$26*Assumptions!$E$41*Assumptions!$E$42*Assumptions!$E$43)*Assumptions!$E$44)*Assumptions!$E$45+('Market Sizing'!$E$26*Assumptions!$E$41*Assumptions!$E$42*Assumptions!$E$43)+('Market Sizing'!$E$26*Assumptions!$E$41*Assumptions!$E$42*Assumptions!$E$43)*Assumptions!$E$48)*Assumptions!$E$50*(Assumptions!$E$53*12/Assumptions!$E$54)))</f>
        <v>9766.72012875208</v>
      </c>
    </row>
    <row r="7843" customFormat="false" ht="15" hidden="false" customHeight="false" outlineLevel="0" collapsed="false">
      <c r="A7843" s="4" t="s">
        <v>465</v>
      </c>
      <c r="B7843" s="36" t="s">
        <v>463</v>
      </c>
      <c r="C7843" s="33" t="n">
        <f aca="false">MAX(Assumptions!$E$55*(Assumptions!$E$51*12/Assumptions!$E$52)+Assumptions!$E$56*(Assumptions!$E$53*12/Assumptions!$E$54),(((('Market Sizing'!$E$27*Assumptions!$E$41*Assumptions!$E$42*Assumptions!$E$43)*Assumptions!$E$44)*Assumptions!$E$45*Assumptions!$E$46+('Market Sizing'!$E$27*Assumptions!$E$41*Assumptions!$E$42*Assumptions!$E$43)*Assumptions!$E$47+('Market Sizing'!$E$27*Assumptions!$E$41*Assumptions!$E$42*Assumptions!$E$43)*Assumptions!$E$48*Assumptions!$E$49)*(Assumptions!$E$51*12/Assumptions!$E$52)+((('Market Sizing'!$E$27*Assumptions!$E$41*Assumptions!$E$42*Assumptions!$E$43)*Assumptions!$E$44)*Assumptions!$E$45+('Market Sizing'!$E$27*Assumptions!$E$41*Assumptions!$E$42*Assumptions!$E$43)+('Market Sizing'!$E$27*Assumptions!$E$41*Assumptions!$E$42*Assumptions!$E$43)*Assumptions!$E$48)*Assumptions!$E$50*(Assumptions!$E$53*12/Assumptions!$E$54)))*(1-Assumptions!$E$57)</f>
        <v>61778.2562194386</v>
      </c>
    </row>
    <row r="7844" customFormat="false" ht="23.85" hidden="false" customHeight="false" outlineLevel="0" collapsed="false">
      <c r="A7844" s="4" t="s">
        <v>466</v>
      </c>
      <c r="B7844" s="36" t="s">
        <v>467</v>
      </c>
      <c r="C7844" s="37" t="n">
        <f aca="false">Assumptions!$E$17*Assumptions!$D$106</f>
        <v>0.4</v>
      </c>
    </row>
    <row r="7845" customFormat="false" ht="23.85" hidden="false" customHeight="false" outlineLevel="0" collapsed="false">
      <c r="A7845" s="4" t="s">
        <v>468</v>
      </c>
      <c r="B7845" s="36" t="s">
        <v>469</v>
      </c>
      <c r="C7845" s="33" t="n">
        <f aca="false">Assumptions!$E$68/Assumptions!$E$69</f>
        <v>285714.285714286</v>
      </c>
    </row>
    <row r="7846" customFormat="false" ht="23.85" hidden="false" customHeight="false" outlineLevel="0" collapsed="false">
      <c r="A7846" s="4" t="s">
        <v>470</v>
      </c>
      <c r="B7846" s="36" t="s">
        <v>471</v>
      </c>
      <c r="C7846" s="33" t="n">
        <f aca="false">Assumptions!$E$66*Assumptions!$E$67/4</f>
        <v>153125</v>
      </c>
    </row>
    <row r="7847" customFormat="false" ht="15" hidden="false" customHeight="false" outlineLevel="0" collapsed="false">
      <c r="A7847" s="4" t="s">
        <v>472</v>
      </c>
      <c r="B7847" s="36"/>
      <c r="C7847" s="38" t="n">
        <f aca="false">$C$7845/Assumptions!$E$66/Assumptions!$E$67</f>
        <v>0.466472303206997</v>
      </c>
    </row>
    <row r="7848" customFormat="false" ht="15" hidden="false" customHeight="false" outlineLevel="0" collapsed="false">
      <c r="A7848" s="4" t="s">
        <v>473</v>
      </c>
      <c r="B7848" s="36"/>
      <c r="C7848" s="33" t="n">
        <f aca="false">MAX(0,Assumptions!$D$103-Assumptions!$E$78)</f>
        <v>0</v>
      </c>
    </row>
    <row r="7849" customFormat="false" ht="15" hidden="false" customHeight="false" outlineLevel="0" collapsed="false">
      <c r="A7849" s="35" t="s">
        <v>474</v>
      </c>
      <c r="B7849" s="35" t="s">
        <v>444</v>
      </c>
      <c r="C7849" s="6" t="s">
        <v>354</v>
      </c>
      <c r="D7849" s="6" t="s">
        <v>355</v>
      </c>
      <c r="E7849" s="6" t="s">
        <v>356</v>
      </c>
      <c r="F7849" s="6" t="s">
        <v>357</v>
      </c>
      <c r="G7849" s="6" t="s">
        <v>358</v>
      </c>
      <c r="H7849" s="6" t="s">
        <v>359</v>
      </c>
      <c r="I7849" s="6" t="s">
        <v>360</v>
      </c>
      <c r="J7849" s="6" t="s">
        <v>361</v>
      </c>
      <c r="K7849" s="6" t="s">
        <v>362</v>
      </c>
      <c r="L7849" s="6" t="s">
        <v>363</v>
      </c>
      <c r="M7849" s="6" t="s">
        <v>364</v>
      </c>
      <c r="N7849" s="6" t="s">
        <v>365</v>
      </c>
      <c r="P7849" s="6" t="s">
        <v>445</v>
      </c>
      <c r="Q7849" s="6" t="s">
        <v>446</v>
      </c>
      <c r="R7849" s="6" t="s">
        <v>447</v>
      </c>
      <c r="S7849" s="6" t="s">
        <v>448</v>
      </c>
    </row>
    <row r="7850" customFormat="false" ht="15" hidden="false" customHeight="false" outlineLevel="0" collapsed="false">
      <c r="A7850" s="4" t="s">
        <v>475</v>
      </c>
      <c r="B7850" s="36" t="s">
        <v>133</v>
      </c>
      <c r="C7850" s="39" t="n">
        <v>1</v>
      </c>
      <c r="D7850" s="39" t="n">
        <v>2</v>
      </c>
      <c r="E7850" s="39" t="n">
        <v>3</v>
      </c>
      <c r="F7850" s="39" t="n">
        <v>4</v>
      </c>
      <c r="G7850" s="39" t="n">
        <v>5</v>
      </c>
      <c r="H7850" s="39" t="n">
        <v>6</v>
      </c>
      <c r="I7850" s="39" t="n">
        <v>7</v>
      </c>
      <c r="J7850" s="39" t="n">
        <v>8</v>
      </c>
      <c r="K7850" s="39" t="n">
        <v>9</v>
      </c>
      <c r="L7850" s="39" t="n">
        <v>10</v>
      </c>
      <c r="M7850" s="39" t="n">
        <v>11</v>
      </c>
      <c r="N7850" s="39" t="n">
        <v>12</v>
      </c>
      <c r="P7850" s="40"/>
      <c r="Q7850" s="40"/>
      <c r="R7850" s="40"/>
      <c r="S7850" s="41"/>
    </row>
    <row r="7851" customFormat="false" ht="15" hidden="false" customHeight="false" outlineLevel="0" collapsed="false">
      <c r="A7851" s="4" t="s">
        <v>476</v>
      </c>
      <c r="B7851" s="36" t="s">
        <v>343</v>
      </c>
      <c r="C7851" s="39" t="n">
        <f aca="false">IF(C7850&lt;=Assumptions!$E$84,1,0)</f>
        <v>1</v>
      </c>
      <c r="D7851" s="39" t="n">
        <f aca="false">IF(D7850&lt;=Assumptions!$E$84,1,0)</f>
        <v>1</v>
      </c>
      <c r="E7851" s="39" t="n">
        <f aca="false">IF(E7850&lt;=Assumptions!$E$84,1,0)</f>
        <v>1</v>
      </c>
      <c r="F7851" s="39" t="n">
        <f aca="false">IF(F7850&lt;=Assumptions!$E$84,1,0)</f>
        <v>1</v>
      </c>
      <c r="G7851" s="39" t="n">
        <f aca="false">IF(G7850&lt;=Assumptions!$E$84,1,0)</f>
        <v>1</v>
      </c>
      <c r="H7851" s="39" t="n">
        <f aca="false">IF(H7850&lt;=Assumptions!$E$84,1,0)</f>
        <v>1</v>
      </c>
      <c r="I7851" s="39" t="n">
        <f aca="false">IF(I7850&lt;=Assumptions!$E$84,1,0)</f>
        <v>1</v>
      </c>
      <c r="J7851" s="39" t="n">
        <f aca="false">IF(J7850&lt;=Assumptions!$E$84,1,0)</f>
        <v>1</v>
      </c>
      <c r="K7851" s="39" t="n">
        <f aca="false">IF(K7850&lt;=Assumptions!$E$84,1,0)</f>
        <v>1</v>
      </c>
      <c r="L7851" s="39" t="n">
        <f aca="false">IF(L7850&lt;=Assumptions!$E$84,1,0)</f>
        <v>1</v>
      </c>
      <c r="M7851" s="39" t="n">
        <f aca="false">IF(M7850&lt;=Assumptions!$E$84,1,0)</f>
        <v>1</v>
      </c>
      <c r="N7851" s="39" t="n">
        <f aca="false">IF(N7850&lt;=Assumptions!$E$84,1,0)</f>
        <v>1</v>
      </c>
      <c r="P7851" s="40"/>
      <c r="Q7851" s="40"/>
      <c r="R7851" s="40"/>
      <c r="S7851" s="41"/>
    </row>
    <row r="7852" customFormat="false" ht="15" hidden="false" customHeight="false" outlineLevel="0" collapsed="false">
      <c r="A7852" s="4" t="s">
        <v>477</v>
      </c>
      <c r="B7852" s="36" t="s">
        <v>478</v>
      </c>
      <c r="C7852" s="42" t="n">
        <f aca="false">IF(C7850=Assumptions!$E$13,0.5,IF(C7850&gt;Assumptions!$E$13,1,0))</f>
        <v>0.5</v>
      </c>
      <c r="D7852" s="42" t="n">
        <f aca="false">IF(D7850=Assumptions!$E$13,0.5,IF(D7850&gt;Assumptions!$E$13,1,0))</f>
        <v>1</v>
      </c>
      <c r="E7852" s="42" t="n">
        <f aca="false">IF(E7850=Assumptions!$E$13,0.5,IF(E7850&gt;Assumptions!$E$13,1,0))</f>
        <v>1</v>
      </c>
      <c r="F7852" s="42" t="n">
        <f aca="false">IF(F7850=Assumptions!$E$13,0.5,IF(F7850&gt;Assumptions!$E$13,1,0))</f>
        <v>1</v>
      </c>
      <c r="G7852" s="42" t="n">
        <f aca="false">IF(G7850=Assumptions!$E$13,0.5,IF(G7850&gt;Assumptions!$E$13,1,0))</f>
        <v>1</v>
      </c>
      <c r="H7852" s="42" t="n">
        <f aca="false">IF(H7850=Assumptions!$E$13,0.5,IF(H7850&gt;Assumptions!$E$13,1,0))</f>
        <v>1</v>
      </c>
      <c r="I7852" s="42" t="n">
        <f aca="false">IF(I7850=Assumptions!$E$13,0.5,IF(I7850&gt;Assumptions!$E$13,1,0))</f>
        <v>1</v>
      </c>
      <c r="J7852" s="42" t="n">
        <f aca="false">IF(J7850=Assumptions!$E$13,0.5,IF(J7850&gt;Assumptions!$E$13,1,0))</f>
        <v>1</v>
      </c>
      <c r="K7852" s="42" t="n">
        <f aca="false">IF(K7850=Assumptions!$E$13,0.5,IF(K7850&gt;Assumptions!$E$13,1,0))</f>
        <v>1</v>
      </c>
      <c r="L7852" s="42" t="n">
        <f aca="false">IF(L7850=Assumptions!$E$13,0.5,IF(L7850&gt;Assumptions!$E$13,1,0))</f>
        <v>1</v>
      </c>
      <c r="M7852" s="42" t="n">
        <f aca="false">IF(M7850=Assumptions!$E$13,0.5,IF(M7850&gt;Assumptions!$E$13,1,0))</f>
        <v>1</v>
      </c>
      <c r="N7852" s="42" t="n">
        <f aca="false">IF(N7850=Assumptions!$E$13,0.5,IF(N7850&gt;Assumptions!$E$13,1,0))</f>
        <v>1</v>
      </c>
      <c r="P7852" s="43"/>
      <c r="Q7852" s="43"/>
      <c r="R7852" s="43"/>
      <c r="S7852" s="44"/>
    </row>
    <row r="7853" customFormat="false" ht="15" hidden="false" customHeight="false" outlineLevel="0" collapsed="false">
      <c r="A7853" s="4" t="s">
        <v>479</v>
      </c>
      <c r="B7853" s="36" t="s">
        <v>478</v>
      </c>
      <c r="C7853" s="42" t="n">
        <f aca="false">IF(C7850=Assumptions!$E$14,0.5,IF(C7850&gt;Assumptions!$E$14,1,0))</f>
        <v>0</v>
      </c>
      <c r="D7853" s="42" t="n">
        <f aca="false">IF(D7850=Assumptions!$E$14,0.5,IF(D7850&gt;Assumptions!$E$14,1,0))</f>
        <v>0</v>
      </c>
      <c r="E7853" s="42" t="n">
        <f aca="false">IF(E7850=Assumptions!$E$14,0.5,IF(E7850&gt;Assumptions!$E$14,1,0))</f>
        <v>0</v>
      </c>
      <c r="F7853" s="42" t="n">
        <f aca="false">IF(F7850=Assumptions!$E$14,0.5,IF(F7850&gt;Assumptions!$E$14,1,0))</f>
        <v>0</v>
      </c>
      <c r="G7853" s="42" t="n">
        <f aca="false">IF(G7850=Assumptions!$E$14,0.5,IF(G7850&gt;Assumptions!$E$14,1,0))</f>
        <v>0.5</v>
      </c>
      <c r="H7853" s="42" t="n">
        <f aca="false">IF(H7850=Assumptions!$E$14,0.5,IF(H7850&gt;Assumptions!$E$14,1,0))</f>
        <v>1</v>
      </c>
      <c r="I7853" s="42" t="n">
        <f aca="false">IF(I7850=Assumptions!$E$14,0.5,IF(I7850&gt;Assumptions!$E$14,1,0))</f>
        <v>1</v>
      </c>
      <c r="J7853" s="42" t="n">
        <f aca="false">IF(J7850=Assumptions!$E$14,0.5,IF(J7850&gt;Assumptions!$E$14,1,0))</f>
        <v>1</v>
      </c>
      <c r="K7853" s="42" t="n">
        <f aca="false">IF(K7850=Assumptions!$E$14,0.5,IF(K7850&gt;Assumptions!$E$14,1,0))</f>
        <v>1</v>
      </c>
      <c r="L7853" s="42" t="n">
        <f aca="false">IF(L7850=Assumptions!$E$14,0.5,IF(L7850&gt;Assumptions!$E$14,1,0))</f>
        <v>1</v>
      </c>
      <c r="M7853" s="42" t="n">
        <f aca="false">IF(M7850=Assumptions!$E$14,0.5,IF(M7850&gt;Assumptions!$E$14,1,0))</f>
        <v>1</v>
      </c>
      <c r="N7853" s="42" t="n">
        <f aca="false">IF(N7850=Assumptions!$E$14,0.5,IF(N7850&gt;Assumptions!$E$14,1,0))</f>
        <v>1</v>
      </c>
      <c r="P7853" s="43"/>
      <c r="Q7853" s="43"/>
      <c r="R7853" s="43"/>
      <c r="S7853" s="44"/>
    </row>
    <row r="7854" customFormat="false" ht="15" hidden="false" customHeight="false" outlineLevel="0" collapsed="false">
      <c r="A7854" s="4" t="s">
        <v>480</v>
      </c>
      <c r="B7854" s="36" t="s">
        <v>478</v>
      </c>
      <c r="C7854" s="42" t="n">
        <f aca="false">IF(C7850=Assumptions!$E$15,0.5,IF(C7850&gt;Assumptions!$E$15,1,0))</f>
        <v>0</v>
      </c>
      <c r="D7854" s="42" t="n">
        <f aca="false">IF(D7850=Assumptions!$E$15,0.5,IF(D7850&gt;Assumptions!$E$15,1,0))</f>
        <v>0</v>
      </c>
      <c r="E7854" s="42" t="n">
        <f aca="false">IF(E7850=Assumptions!$E$15,0.5,IF(E7850&gt;Assumptions!$E$15,1,0))</f>
        <v>0</v>
      </c>
      <c r="F7854" s="42" t="n">
        <f aca="false">IF(F7850=Assumptions!$E$15,0.5,IF(F7850&gt;Assumptions!$E$15,1,0))</f>
        <v>0</v>
      </c>
      <c r="G7854" s="42" t="n">
        <f aca="false">IF(G7850=Assumptions!$E$15,0.5,IF(G7850&gt;Assumptions!$E$15,1,0))</f>
        <v>0</v>
      </c>
      <c r="H7854" s="42" t="n">
        <f aca="false">IF(H7850=Assumptions!$E$15,0.5,IF(H7850&gt;Assumptions!$E$15,1,0))</f>
        <v>0</v>
      </c>
      <c r="I7854" s="42" t="n">
        <f aca="false">IF(I7850=Assumptions!$E$15,0.5,IF(I7850&gt;Assumptions!$E$15,1,0))</f>
        <v>0.5</v>
      </c>
      <c r="J7854" s="42" t="n">
        <f aca="false">IF(J7850=Assumptions!$E$15,0.5,IF(J7850&gt;Assumptions!$E$15,1,0))</f>
        <v>1</v>
      </c>
      <c r="K7854" s="42" t="n">
        <f aca="false">IF(K7850=Assumptions!$E$15,0.5,IF(K7850&gt;Assumptions!$E$15,1,0))</f>
        <v>1</v>
      </c>
      <c r="L7854" s="42" t="n">
        <f aca="false">IF(L7850=Assumptions!$E$15,0.5,IF(L7850&gt;Assumptions!$E$15,1,0))</f>
        <v>1</v>
      </c>
      <c r="M7854" s="42" t="n">
        <f aca="false">IF(M7850=Assumptions!$E$15,0.5,IF(M7850&gt;Assumptions!$E$15,1,0))</f>
        <v>1</v>
      </c>
      <c r="N7854" s="42" t="n">
        <f aca="false">IF(N7850=Assumptions!$E$15,0.5,IF(N7850&gt;Assumptions!$E$15,1,0))</f>
        <v>1</v>
      </c>
      <c r="P7854" s="43"/>
      <c r="Q7854" s="43"/>
      <c r="R7854" s="43"/>
      <c r="S7854" s="44"/>
    </row>
    <row r="7855" customFormat="false" ht="15" hidden="false" customHeight="false" outlineLevel="0" collapsed="false">
      <c r="A7855" s="4" t="s">
        <v>481</v>
      </c>
      <c r="B7855" s="36" t="s">
        <v>478</v>
      </c>
      <c r="C7855" s="45" t="n">
        <f aca="false">Assumptions!$E$21^(MAX(0,C7850-Assumptions!$E$13)/4)</f>
        <v>1</v>
      </c>
      <c r="D7855" s="45" t="n">
        <f aca="false">Assumptions!$E$21^(MAX(0,D7850-Assumptions!$E$13)/4)</f>
        <v>0.9306048591021</v>
      </c>
      <c r="E7855" s="45" t="n">
        <f aca="false">Assumptions!$E$21^(MAX(0,E7850-Assumptions!$E$13)/4)</f>
        <v>0.866025403784439</v>
      </c>
      <c r="F7855" s="45" t="n">
        <f aca="false">Assumptions!$E$21^(MAX(0,F7850-Assumptions!$E$13)/4)</f>
        <v>0.805927448867656</v>
      </c>
      <c r="G7855" s="45" t="n">
        <f aca="false">Assumptions!$E$21^(MAX(0,G7850-Assumptions!$E$13)/4)</f>
        <v>0.75</v>
      </c>
      <c r="H7855" s="45" t="n">
        <f aca="false">Assumptions!$E$21^(MAX(0,H7850-Assumptions!$E$13)/4)</f>
        <v>0.697953644326575</v>
      </c>
      <c r="I7855" s="45" t="n">
        <f aca="false">Assumptions!$E$21^(MAX(0,I7850-Assumptions!$E$13)/4)</f>
        <v>0.649519052838329</v>
      </c>
      <c r="J7855" s="45" t="n">
        <f aca="false">Assumptions!$E$21^(MAX(0,J7850-Assumptions!$E$13)/4)</f>
        <v>0.604445586650742</v>
      </c>
      <c r="K7855" s="45" t="n">
        <f aca="false">Assumptions!$E$21^(MAX(0,K7850-Assumptions!$E$13)/4)</f>
        <v>0.5625</v>
      </c>
      <c r="L7855" s="45" t="n">
        <f aca="false">Assumptions!$E$21^(MAX(0,L7850-Assumptions!$E$13)/4)</f>
        <v>0.523465233244931</v>
      </c>
      <c r="M7855" s="45" t="n">
        <f aca="false">Assumptions!$E$21^(MAX(0,M7850-Assumptions!$E$13)/4)</f>
        <v>0.487139289628747</v>
      </c>
      <c r="N7855" s="45" t="n">
        <f aca="false">Assumptions!$E$21^(MAX(0,N7850-Assumptions!$E$13)/4)</f>
        <v>0.453334189988057</v>
      </c>
      <c r="P7855" s="46"/>
      <c r="Q7855" s="46"/>
      <c r="R7855" s="46"/>
      <c r="S7855" s="47"/>
    </row>
    <row r="7856" customFormat="false" ht="15" hidden="false" customHeight="false" outlineLevel="0" collapsed="false">
      <c r="A7856" s="4" t="s">
        <v>482</v>
      </c>
      <c r="B7856" s="36" t="s">
        <v>478</v>
      </c>
      <c r="C7856" s="45" t="n">
        <f aca="false">Assumptions!$E$21^(MAX(0,C7850-Assumptions!$E$14)/4)</f>
        <v>1</v>
      </c>
      <c r="D7856" s="45" t="n">
        <f aca="false">Assumptions!$E$21^(MAX(0,D7850-Assumptions!$E$14)/4)</f>
        <v>1</v>
      </c>
      <c r="E7856" s="45" t="n">
        <f aca="false">Assumptions!$E$21^(MAX(0,E7850-Assumptions!$E$14)/4)</f>
        <v>1</v>
      </c>
      <c r="F7856" s="45" t="n">
        <f aca="false">Assumptions!$E$21^(MAX(0,F7850-Assumptions!$E$14)/4)</f>
        <v>1</v>
      </c>
      <c r="G7856" s="45" t="n">
        <f aca="false">Assumptions!$E$21^(MAX(0,G7850-Assumptions!$E$14)/4)</f>
        <v>1</v>
      </c>
      <c r="H7856" s="45" t="n">
        <f aca="false">Assumptions!$E$21^(MAX(0,H7850-Assumptions!$E$14)/4)</f>
        <v>0.9306048591021</v>
      </c>
      <c r="I7856" s="45" t="n">
        <f aca="false">Assumptions!$E$21^(MAX(0,I7850-Assumptions!$E$14)/4)</f>
        <v>0.866025403784439</v>
      </c>
      <c r="J7856" s="45" t="n">
        <f aca="false">Assumptions!$E$21^(MAX(0,J7850-Assumptions!$E$14)/4)</f>
        <v>0.805927448867656</v>
      </c>
      <c r="K7856" s="45" t="n">
        <f aca="false">Assumptions!$E$21^(MAX(0,K7850-Assumptions!$E$14)/4)</f>
        <v>0.75</v>
      </c>
      <c r="L7856" s="45" t="n">
        <f aca="false">Assumptions!$E$21^(MAX(0,L7850-Assumptions!$E$14)/4)</f>
        <v>0.697953644326575</v>
      </c>
      <c r="M7856" s="45" t="n">
        <f aca="false">Assumptions!$E$21^(MAX(0,M7850-Assumptions!$E$14)/4)</f>
        <v>0.649519052838329</v>
      </c>
      <c r="N7856" s="45" t="n">
        <f aca="false">Assumptions!$E$21^(MAX(0,N7850-Assumptions!$E$14)/4)</f>
        <v>0.604445586650742</v>
      </c>
      <c r="P7856" s="46"/>
      <c r="Q7856" s="46"/>
      <c r="R7856" s="46"/>
      <c r="S7856" s="47"/>
    </row>
    <row r="7857" customFormat="false" ht="15" hidden="false" customHeight="false" outlineLevel="0" collapsed="false">
      <c r="A7857" s="4" t="s">
        <v>483</v>
      </c>
      <c r="B7857" s="36" t="s">
        <v>478</v>
      </c>
      <c r="C7857" s="45" t="n">
        <f aca="false">Assumptions!$E$21^(MAX(0,C7850-Assumptions!$E$15)/4)</f>
        <v>1</v>
      </c>
      <c r="D7857" s="45" t="n">
        <f aca="false">Assumptions!$E$21^(MAX(0,D7850-Assumptions!$E$15)/4)</f>
        <v>1</v>
      </c>
      <c r="E7857" s="45" t="n">
        <f aca="false">Assumptions!$E$21^(MAX(0,E7850-Assumptions!$E$15)/4)</f>
        <v>1</v>
      </c>
      <c r="F7857" s="45" t="n">
        <f aca="false">Assumptions!$E$21^(MAX(0,F7850-Assumptions!$E$15)/4)</f>
        <v>1</v>
      </c>
      <c r="G7857" s="45" t="n">
        <f aca="false">Assumptions!$E$21^(MAX(0,G7850-Assumptions!$E$15)/4)</f>
        <v>1</v>
      </c>
      <c r="H7857" s="45" t="n">
        <f aca="false">Assumptions!$E$21^(MAX(0,H7850-Assumptions!$E$15)/4)</f>
        <v>1</v>
      </c>
      <c r="I7857" s="45" t="n">
        <f aca="false">Assumptions!$E$21^(MAX(0,I7850-Assumptions!$E$15)/4)</f>
        <v>1</v>
      </c>
      <c r="J7857" s="45" t="n">
        <f aca="false">Assumptions!$E$21^(MAX(0,J7850-Assumptions!$E$15)/4)</f>
        <v>0.9306048591021</v>
      </c>
      <c r="K7857" s="45" t="n">
        <f aca="false">Assumptions!$E$21^(MAX(0,K7850-Assumptions!$E$15)/4)</f>
        <v>0.866025403784439</v>
      </c>
      <c r="L7857" s="45" t="n">
        <f aca="false">Assumptions!$E$21^(MAX(0,L7850-Assumptions!$E$15)/4)</f>
        <v>0.805927448867656</v>
      </c>
      <c r="M7857" s="45" t="n">
        <f aca="false">Assumptions!$E$21^(MAX(0,M7850-Assumptions!$E$15)/4)</f>
        <v>0.75</v>
      </c>
      <c r="N7857" s="45" t="n">
        <f aca="false">Assumptions!$E$21^(MAX(0,N7850-Assumptions!$E$15)/4)</f>
        <v>0.697953644326575</v>
      </c>
      <c r="P7857" s="46"/>
      <c r="Q7857" s="46"/>
      <c r="R7857" s="46"/>
      <c r="S7857" s="47"/>
    </row>
    <row r="7858" customFormat="false" ht="15" hidden="false" customHeight="false" outlineLevel="0" collapsed="false">
      <c r="A7858" s="4" t="s">
        <v>484</v>
      </c>
      <c r="B7858" s="36" t="s">
        <v>485</v>
      </c>
      <c r="C7858" s="39" t="n">
        <f aca="false">$C$7829*C7852+$C$7833*C7853+$C$7837*C7854</f>
        <v>421.51972352</v>
      </c>
      <c r="D7858" s="39" t="n">
        <f aca="false">$C$7829*D7852+$C$7833*D7853+$C$7837*D7854</f>
        <v>843.03944704</v>
      </c>
      <c r="E7858" s="39" t="n">
        <f aca="false">$C$7829*E7852+$C$7833*E7853+$C$7837*E7854</f>
        <v>843.03944704</v>
      </c>
      <c r="F7858" s="39" t="n">
        <f aca="false">$C$7829*F7852+$C$7833*F7853+$C$7837*F7854</f>
        <v>843.03944704</v>
      </c>
      <c r="G7858" s="39" t="n">
        <f aca="false">$C$7829*G7852+$C$7833*G7853+$C$7837*G7854</f>
        <v>1149.32798176</v>
      </c>
      <c r="H7858" s="39" t="n">
        <f aca="false">$C$7829*H7852+$C$7833*H7853+$C$7837*H7854</f>
        <v>1455.61651648</v>
      </c>
      <c r="I7858" s="39" t="n">
        <f aca="false">$C$7829*I7852+$C$7833*I7853+$C$7837*I7854</f>
        <v>2486.00303616</v>
      </c>
      <c r="J7858" s="39" t="n">
        <f aca="false">$C$7829*J7852+$C$7833*J7853+$C$7837*J7854</f>
        <v>3516.38955584</v>
      </c>
      <c r="K7858" s="39" t="n">
        <f aca="false">$C$7829*K7852+$C$7833*K7853+$C$7837*K7854</f>
        <v>3516.38955584</v>
      </c>
      <c r="L7858" s="39" t="n">
        <f aca="false">$C$7829*L7852+$C$7833*L7853+$C$7837*L7854</f>
        <v>3516.38955584</v>
      </c>
      <c r="M7858" s="39" t="n">
        <f aca="false">$C$7829*M7852+$C$7833*M7853+$C$7837*M7854</f>
        <v>3516.38955584</v>
      </c>
      <c r="N7858" s="39" t="n">
        <f aca="false">$C$7829*N7852+$C$7833*N7853+$C$7837*N7854</f>
        <v>3516.38955584</v>
      </c>
      <c r="P7858" s="40" t="n">
        <f aca="false">F7858</f>
        <v>843.03944704</v>
      </c>
      <c r="Q7858" s="40" t="n">
        <f aca="false">J7858</f>
        <v>3516.38955584</v>
      </c>
      <c r="R7858" s="40" t="n">
        <f aca="false">N7858</f>
        <v>3516.38955584</v>
      </c>
      <c r="S7858" s="41" t="n">
        <f aca="false">R7858</f>
        <v>3516.38955584</v>
      </c>
    </row>
    <row r="7859" customFormat="false" ht="15" hidden="false" customHeight="false" outlineLevel="0" collapsed="false">
      <c r="A7859" s="4" t="s">
        <v>486</v>
      </c>
      <c r="B7859" s="36" t="s">
        <v>485</v>
      </c>
      <c r="C7859" s="39" t="n">
        <f aca="false">$C$7830*C7852+$C$7834*C7853+$C$7838*C7854</f>
        <v>105.59808</v>
      </c>
      <c r="D7859" s="39" t="n">
        <f aca="false">$C$7830*D7852+$C$7834*D7853+$C$7838*D7854</f>
        <v>211.19616</v>
      </c>
      <c r="E7859" s="39" t="n">
        <f aca="false">$C$7830*E7852+$C$7834*E7853+$C$7838*E7854</f>
        <v>211.19616</v>
      </c>
      <c r="F7859" s="39" t="n">
        <f aca="false">$C$7830*F7852+$C$7834*F7853+$C$7838*F7854</f>
        <v>211.19616</v>
      </c>
      <c r="G7859" s="39" t="n">
        <f aca="false">$C$7830*G7852+$C$7834*G7853+$C$7838*G7854</f>
        <v>282.24672</v>
      </c>
      <c r="H7859" s="39" t="n">
        <f aca="false">$C$7830*H7852+$C$7834*H7853+$C$7838*H7854</f>
        <v>353.29728</v>
      </c>
      <c r="I7859" s="39" t="n">
        <f aca="false">$C$7830*I7852+$C$7834*I7853+$C$7838*I7854</f>
        <v>567.53536</v>
      </c>
      <c r="J7859" s="39" t="n">
        <f aca="false">$C$7830*J7852+$C$7834*J7853+$C$7838*J7854</f>
        <v>781.77344</v>
      </c>
      <c r="K7859" s="39" t="n">
        <f aca="false">$C$7830*K7852+$C$7834*K7853+$C$7838*K7854</f>
        <v>781.77344</v>
      </c>
      <c r="L7859" s="39" t="n">
        <f aca="false">$C$7830*L7852+$C$7834*L7853+$C$7838*L7854</f>
        <v>781.77344</v>
      </c>
      <c r="M7859" s="39" t="n">
        <f aca="false">$C$7830*M7852+$C$7834*M7853+$C$7838*M7854</f>
        <v>781.77344</v>
      </c>
      <c r="N7859" s="39" t="n">
        <f aca="false">$C$7830*N7852+$C$7834*N7853+$C$7838*N7854</f>
        <v>781.77344</v>
      </c>
      <c r="P7859" s="40" t="n">
        <f aca="false">F7859</f>
        <v>211.19616</v>
      </c>
      <c r="Q7859" s="40" t="n">
        <f aca="false">J7859</f>
        <v>781.77344</v>
      </c>
      <c r="R7859" s="40" t="n">
        <f aca="false">N7859</f>
        <v>781.77344</v>
      </c>
      <c r="S7859" s="41" t="n">
        <f aca="false">R7859</f>
        <v>781.77344</v>
      </c>
    </row>
    <row r="7860" customFormat="false" ht="15" hidden="false" customHeight="false" outlineLevel="0" collapsed="false">
      <c r="A7860" s="4" t="s">
        <v>487</v>
      </c>
      <c r="B7860" s="36" t="s">
        <v>485</v>
      </c>
      <c r="C7860" s="39" t="n">
        <f aca="false">$C$7831*C7852+$C$7835*C7853+$C$7839*C7854</f>
        <v>24.76992</v>
      </c>
      <c r="D7860" s="39" t="n">
        <f aca="false">$C$7831*D7852+$C$7835*D7853+$C$7839*D7854</f>
        <v>49.53984</v>
      </c>
      <c r="E7860" s="39" t="n">
        <f aca="false">$C$7831*E7852+$C$7835*E7853+$C$7839*E7854</f>
        <v>49.53984</v>
      </c>
      <c r="F7860" s="39" t="n">
        <f aca="false">$C$7831*F7852+$C$7835*F7853+$C$7839*F7854</f>
        <v>49.53984</v>
      </c>
      <c r="G7860" s="39" t="n">
        <f aca="false">$C$7831*G7852+$C$7835*G7853+$C$7839*G7854</f>
        <v>61.9248</v>
      </c>
      <c r="H7860" s="39" t="n">
        <f aca="false">$C$7831*H7852+$C$7835*H7853+$C$7839*H7854</f>
        <v>74.30976</v>
      </c>
      <c r="I7860" s="39" t="n">
        <f aca="false">$C$7831*I7852+$C$7835*I7853+$C$7839*I7854</f>
        <v>114.072</v>
      </c>
      <c r="J7860" s="39" t="n">
        <f aca="false">$C$7831*J7852+$C$7835*J7853+$C$7839*J7854</f>
        <v>153.83424</v>
      </c>
      <c r="K7860" s="39" t="n">
        <f aca="false">$C$7831*K7852+$C$7835*K7853+$C$7839*K7854</f>
        <v>153.83424</v>
      </c>
      <c r="L7860" s="39" t="n">
        <f aca="false">$C$7831*L7852+$C$7835*L7853+$C$7839*L7854</f>
        <v>153.83424</v>
      </c>
      <c r="M7860" s="39" t="n">
        <f aca="false">$C$7831*M7852+$C$7835*M7853+$C$7839*M7854</f>
        <v>153.83424</v>
      </c>
      <c r="N7860" s="39" t="n">
        <f aca="false">$C$7831*N7852+$C$7835*N7853+$C$7839*N7854</f>
        <v>153.83424</v>
      </c>
      <c r="P7860" s="40" t="n">
        <f aca="false">F7860</f>
        <v>49.53984</v>
      </c>
      <c r="Q7860" s="40" t="n">
        <f aca="false">J7860</f>
        <v>153.83424</v>
      </c>
      <c r="R7860" s="40" t="n">
        <f aca="false">N7860</f>
        <v>153.83424</v>
      </c>
      <c r="S7860" s="41" t="n">
        <f aca="false">R7860</f>
        <v>153.83424</v>
      </c>
    </row>
    <row r="7861" customFormat="false" ht="15" hidden="false" customHeight="false" outlineLevel="0" collapsed="false">
      <c r="A7861" s="4" t="s">
        <v>488</v>
      </c>
      <c r="B7861" s="36" t="s">
        <v>485</v>
      </c>
      <c r="C7861" s="39" t="n">
        <f aca="false">C7858+C7859+C7860</f>
        <v>551.88772352</v>
      </c>
      <c r="D7861" s="39" t="n">
        <f aca="false">D7858+D7859+D7860</f>
        <v>1103.77544704</v>
      </c>
      <c r="E7861" s="39" t="n">
        <f aca="false">E7858+E7859+E7860</f>
        <v>1103.77544704</v>
      </c>
      <c r="F7861" s="39" t="n">
        <f aca="false">F7858+F7859+F7860</f>
        <v>1103.77544704</v>
      </c>
      <c r="G7861" s="39" t="n">
        <f aca="false">G7858+G7859+G7860</f>
        <v>1493.49950176</v>
      </c>
      <c r="H7861" s="39" t="n">
        <f aca="false">H7858+H7859+H7860</f>
        <v>1883.22355648</v>
      </c>
      <c r="I7861" s="39" t="n">
        <f aca="false">I7858+I7859+I7860</f>
        <v>3167.61039616</v>
      </c>
      <c r="J7861" s="39" t="n">
        <f aca="false">J7858+J7859+J7860</f>
        <v>4451.99723584</v>
      </c>
      <c r="K7861" s="39" t="n">
        <f aca="false">K7858+K7859+K7860</f>
        <v>4451.99723584</v>
      </c>
      <c r="L7861" s="39" t="n">
        <f aca="false">L7858+L7859+L7860</f>
        <v>4451.99723584</v>
      </c>
      <c r="M7861" s="39" t="n">
        <f aca="false">M7858+M7859+M7860</f>
        <v>4451.99723584</v>
      </c>
      <c r="N7861" s="39" t="n">
        <f aca="false">N7858+N7859+N7860</f>
        <v>4451.99723584</v>
      </c>
      <c r="P7861" s="40" t="n">
        <f aca="false">F7861</f>
        <v>1103.77544704</v>
      </c>
      <c r="Q7861" s="40" t="n">
        <f aca="false">J7861</f>
        <v>4451.99723584</v>
      </c>
      <c r="R7861" s="40" t="n">
        <f aca="false">N7861</f>
        <v>4451.99723584</v>
      </c>
      <c r="S7861" s="41" t="n">
        <f aca="false">R7861</f>
        <v>4451.99723584</v>
      </c>
    </row>
    <row r="7862" customFormat="false" ht="15" hidden="false" customHeight="false" outlineLevel="0" collapsed="false">
      <c r="A7862" s="4" t="s">
        <v>489</v>
      </c>
      <c r="B7862" s="36" t="s">
        <v>485</v>
      </c>
      <c r="C7862" s="39" t="n">
        <f aca="false">$C$7832*C7852*C7855+$C$7836*C7853*C7856+$C$7840*C7854*C7857</f>
        <v>551.88772352</v>
      </c>
      <c r="D7862" s="39" t="n">
        <f aca="false">$C$7832*D7852*D7855+$C$7836*D7853*D7856+$C$7840*D7854*D7857</f>
        <v>1027.17879437302</v>
      </c>
      <c r="E7862" s="39" t="n">
        <f aca="false">$C$7832*E7852*E7855+$C$7836*E7853*E7856+$C$7840*E7854*E7857</f>
        <v>955.897577210165</v>
      </c>
      <c r="F7862" s="39" t="n">
        <f aca="false">$C$7832*F7852*F7855+$C$7836*F7853*F7856+$C$7840*F7854*F7857</f>
        <v>889.562930155704</v>
      </c>
      <c r="G7862" s="39" t="n">
        <f aca="false">$C$7832*G7852*G7855+$C$7836*G7853*G7856+$C$7840*G7854*G7857</f>
        <v>1217.55564</v>
      </c>
      <c r="H7862" s="39" t="n">
        <f aca="false">$C$7832*H7852*H7855+$C$7836*H7853*H7856+$C$7840*H7854*H7857</f>
        <v>1495.74229384257</v>
      </c>
      <c r="I7862" s="39" t="n">
        <f aca="false">$C$7832*I7852*I7855+$C$7836*I7853*I7856+$C$7840*I7854*I7857</f>
        <v>2676.33188629442</v>
      </c>
      <c r="J7862" s="39" t="n">
        <f aca="false">$C$7832*J7852*J7855+$C$7836*J7853*J7856+$C$7840*J7854*J7857</f>
        <v>3685.86409192847</v>
      </c>
      <c r="K7862" s="39" t="n">
        <f aca="false">$C$7832*K7852*K7855+$C$7836*K7853*K7856+$C$7840*K7854*K7857</f>
        <v>3430.08303393858</v>
      </c>
      <c r="L7862" s="39" t="n">
        <f aca="false">$C$7832*L7852*L7855+$C$7836*L7853*L7856+$C$7840*L7854*L7857</f>
        <v>3192.05193850692</v>
      </c>
      <c r="M7862" s="39" t="n">
        <f aca="false">$C$7832*M7852*M7855+$C$7836*M7853*M7856+$C$7840*M7854*M7857</f>
        <v>2970.53904448081</v>
      </c>
      <c r="N7862" s="39" t="n">
        <f aca="false">$C$7832*N7852*N7855+$C$7836*N7853*N7856+$C$7840*N7854*N7857</f>
        <v>2764.39806894635</v>
      </c>
      <c r="P7862" s="40"/>
      <c r="Q7862" s="40"/>
      <c r="R7862" s="40"/>
      <c r="S7862" s="41"/>
    </row>
    <row r="7863" customFormat="false" ht="15" hidden="false" customHeight="false" outlineLevel="0" collapsed="false">
      <c r="A7863" s="4" t="s">
        <v>490</v>
      </c>
      <c r="B7863" s="36" t="s">
        <v>491</v>
      </c>
      <c r="C7863" s="48" t="n">
        <f aca="false">$C$7844*Assumptions!$E$20*C7851*C7862</f>
        <v>6.62265268224</v>
      </c>
      <c r="D7863" s="48" t="n">
        <f aca="false">$C$7844*Assumptions!$E$20*D7851*D7862</f>
        <v>12.3261455324762</v>
      </c>
      <c r="E7863" s="48" t="n">
        <f aca="false">$C$7844*Assumptions!$E$20*E7851*E7862</f>
        <v>11.470770926522</v>
      </c>
      <c r="F7863" s="48" t="n">
        <f aca="false">$C$7844*Assumptions!$E$20*F7851*F7862</f>
        <v>10.6747551618685</v>
      </c>
      <c r="G7863" s="48" t="n">
        <f aca="false">$C$7844*Assumptions!$E$20*G7851*G7862</f>
        <v>14.61066768</v>
      </c>
      <c r="H7863" s="48" t="n">
        <f aca="false">$C$7844*Assumptions!$E$20*H7851*H7862</f>
        <v>17.9489075261109</v>
      </c>
      <c r="I7863" s="48" t="n">
        <f aca="false">$C$7844*Assumptions!$E$20*I7851*I7862</f>
        <v>32.115982635533</v>
      </c>
      <c r="J7863" s="48" t="n">
        <f aca="false">$C$7844*Assumptions!$E$20*J7851*J7862</f>
        <v>44.2303691031417</v>
      </c>
      <c r="K7863" s="48" t="n">
        <f aca="false">$C$7844*Assumptions!$E$20*K7851*K7862</f>
        <v>41.160996407263</v>
      </c>
      <c r="L7863" s="48" t="n">
        <f aca="false">$C$7844*Assumptions!$E$20*L7851*L7862</f>
        <v>38.304623262083</v>
      </c>
      <c r="M7863" s="48" t="n">
        <f aca="false">$C$7844*Assumptions!$E$20*M7851*M7862</f>
        <v>35.6464685337698</v>
      </c>
      <c r="N7863" s="48" t="n">
        <f aca="false">$C$7844*Assumptions!$E$20*N7851*N7862</f>
        <v>33.1727768273562</v>
      </c>
      <c r="P7863" s="49" t="n">
        <f aca="false">SUM(C7863:F7863)</f>
        <v>41.0943243031066</v>
      </c>
      <c r="Q7863" s="49" t="n">
        <f aca="false">SUM(G7863:J7863)</f>
        <v>108.905926944786</v>
      </c>
      <c r="R7863" s="49" t="n">
        <f aca="false">SUM(K7863:N7863)</f>
        <v>148.284865030472</v>
      </c>
      <c r="S7863" s="50" t="n">
        <f aca="false">SUM(P7863:R7863)</f>
        <v>298.285116278364</v>
      </c>
    </row>
    <row r="7864" customFormat="false" ht="15" hidden="false" customHeight="false" outlineLevel="0" collapsed="false">
      <c r="A7864" s="4" t="s">
        <v>492</v>
      </c>
      <c r="B7864" s="36" t="s">
        <v>321</v>
      </c>
      <c r="C7864" s="48" t="n">
        <f aca="false">Assumptions!$D$111</f>
        <v>0</v>
      </c>
      <c r="D7864" s="48" t="n">
        <f aca="false">Assumptions!$E$111</f>
        <v>0</v>
      </c>
      <c r="E7864" s="48" t="n">
        <f aca="false">Assumptions!$F$111</f>
        <v>0</v>
      </c>
      <c r="F7864" s="48" t="n">
        <f aca="false">Assumptions!$G$111</f>
        <v>0</v>
      </c>
      <c r="G7864" s="48" t="n">
        <f aca="false">Assumptions!$H$111</f>
        <v>0</v>
      </c>
      <c r="H7864" s="48" t="n">
        <f aca="false">Assumptions!$I$111</f>
        <v>0</v>
      </c>
      <c r="I7864" s="48" t="n">
        <f aca="false">Assumptions!$J$111</f>
        <v>0</v>
      </c>
      <c r="J7864" s="48" t="n">
        <f aca="false">Assumptions!$K$111</f>
        <v>0</v>
      </c>
      <c r="K7864" s="48" t="n">
        <f aca="false">Assumptions!$L$111</f>
        <v>0</v>
      </c>
      <c r="L7864" s="48" t="n">
        <f aca="false">Assumptions!$M$111</f>
        <v>0</v>
      </c>
      <c r="M7864" s="48" t="n">
        <f aca="false">Assumptions!$N$111</f>
        <v>0</v>
      </c>
      <c r="N7864" s="48" t="n">
        <f aca="false">Assumptions!$O$111</f>
        <v>0</v>
      </c>
      <c r="P7864" s="49" t="n">
        <f aca="false">F7864</f>
        <v>0</v>
      </c>
      <c r="Q7864" s="49" t="n">
        <f aca="false">J7864</f>
        <v>0</v>
      </c>
      <c r="R7864" s="49" t="n">
        <f aca="false">N7864</f>
        <v>0</v>
      </c>
      <c r="S7864" s="50" t="n">
        <f aca="false">R7864</f>
        <v>0</v>
      </c>
    </row>
    <row r="7865" customFormat="false" ht="15" hidden="false" customHeight="false" outlineLevel="0" collapsed="false">
      <c r="A7865" s="4" t="s">
        <v>493</v>
      </c>
      <c r="B7865" s="36" t="s">
        <v>321</v>
      </c>
      <c r="C7865" s="48" t="n">
        <f aca="false">0</f>
        <v>0</v>
      </c>
      <c r="D7865" s="48" t="n">
        <f aca="false">0.5*C7864</f>
        <v>0</v>
      </c>
      <c r="E7865" s="48" t="n">
        <f aca="false">C7864+0.5*(D7864-C7864)</f>
        <v>0</v>
      </c>
      <c r="F7865" s="48" t="n">
        <f aca="false">D7864+0.5*(E7864-D7864)</f>
        <v>0</v>
      </c>
      <c r="G7865" s="48" t="n">
        <f aca="false">E7864+0.5*(F7864-E7864)</f>
        <v>0</v>
      </c>
      <c r="H7865" s="48" t="n">
        <f aca="false">F7864+0.5*(G7864-F7864)</f>
        <v>0</v>
      </c>
      <c r="I7865" s="48" t="n">
        <f aca="false">G7864+0.5*(H7864-G7864)</f>
        <v>0</v>
      </c>
      <c r="J7865" s="48" t="n">
        <f aca="false">H7864+0.5*(I7864-H7864)</f>
        <v>0</v>
      </c>
      <c r="K7865" s="48" t="n">
        <f aca="false">I7864+0.5*(J7864-I7864)</f>
        <v>0</v>
      </c>
      <c r="L7865" s="48" t="n">
        <f aca="false">J7864+0.5*(K7864-J7864)</f>
        <v>0</v>
      </c>
      <c r="M7865" s="48" t="n">
        <f aca="false">K7864+0.5*(L7864-K7864)</f>
        <v>0</v>
      </c>
      <c r="N7865" s="48" t="n">
        <f aca="false">L7864+0.5*(M7864-L7864)</f>
        <v>0</v>
      </c>
      <c r="P7865" s="49" t="n">
        <f aca="false">F7865</f>
        <v>0</v>
      </c>
      <c r="Q7865" s="49" t="n">
        <f aca="false">J7865</f>
        <v>0</v>
      </c>
      <c r="R7865" s="49" t="n">
        <f aca="false">N7865</f>
        <v>0</v>
      </c>
      <c r="S7865" s="50" t="n">
        <f aca="false">R7865</f>
        <v>0</v>
      </c>
    </row>
    <row r="7866" customFormat="false" ht="15" hidden="false" customHeight="false" outlineLevel="0" collapsed="false">
      <c r="A7866" s="4" t="s">
        <v>494</v>
      </c>
      <c r="B7866" s="36" t="s">
        <v>485</v>
      </c>
      <c r="C7866" s="39" t="n">
        <f aca="false">MIN(C7865*Assumptions!$E$38,C7861*(1-$C$7844))</f>
        <v>0</v>
      </c>
      <c r="D7866" s="39" t="n">
        <f aca="false">MIN(D7865*Assumptions!$E$38,D7861*(1-$C$7844))</f>
        <v>0</v>
      </c>
      <c r="E7866" s="39" t="n">
        <f aca="false">MIN(E7865*Assumptions!$E$38,E7861*(1-$C$7844))</f>
        <v>0</v>
      </c>
      <c r="F7866" s="39" t="n">
        <f aca="false">MIN(F7865*Assumptions!$E$38,F7861*(1-$C$7844))</f>
        <v>0</v>
      </c>
      <c r="G7866" s="39" t="n">
        <f aca="false">MIN(G7865*Assumptions!$E$38,G7861*(1-$C$7844))</f>
        <v>0</v>
      </c>
      <c r="H7866" s="39" t="n">
        <f aca="false">MIN(H7865*Assumptions!$E$38,H7861*(1-$C$7844))</f>
        <v>0</v>
      </c>
      <c r="I7866" s="39" t="n">
        <f aca="false">MIN(I7865*Assumptions!$E$38,I7861*(1-$C$7844))</f>
        <v>0</v>
      </c>
      <c r="J7866" s="39" t="n">
        <f aca="false">MIN(J7865*Assumptions!$E$38,J7861*(1-$C$7844))</f>
        <v>0</v>
      </c>
      <c r="K7866" s="39" t="n">
        <f aca="false">MIN(K7865*Assumptions!$E$38,K7861*(1-$C$7844))</f>
        <v>0</v>
      </c>
      <c r="L7866" s="39" t="n">
        <f aca="false">MIN(L7865*Assumptions!$E$38,L7861*(1-$C$7844))</f>
        <v>0</v>
      </c>
      <c r="M7866" s="39" t="n">
        <f aca="false">MIN(M7865*Assumptions!$E$38,M7861*(1-$C$7844))</f>
        <v>0</v>
      </c>
      <c r="N7866" s="39" t="n">
        <f aca="false">MIN(N7865*Assumptions!$E$38,N7861*(1-$C$7844))</f>
        <v>0</v>
      </c>
      <c r="P7866" s="40" t="n">
        <f aca="false">SUM(C7866:F7866)</f>
        <v>0</v>
      </c>
      <c r="Q7866" s="40" t="n">
        <f aca="false">SUM(G7866:J7866)</f>
        <v>0</v>
      </c>
      <c r="R7866" s="40" t="n">
        <f aca="false">SUM(K7866:N7866)</f>
        <v>0</v>
      </c>
      <c r="S7866" s="41" t="n">
        <f aca="false">SUM(P7866:R7866)</f>
        <v>0</v>
      </c>
    </row>
    <row r="7867" customFormat="false" ht="15" hidden="false" customHeight="false" outlineLevel="0" collapsed="false">
      <c r="A7867" s="4" t="s">
        <v>495</v>
      </c>
      <c r="B7867" s="36" t="s">
        <v>491</v>
      </c>
      <c r="C7867" s="48" t="n">
        <f aca="false">C7866*Assumptions!$E$20*Assumptions!$E$39*IF(C7861&gt;0,C7862/C7861,0)*C7851</f>
        <v>0</v>
      </c>
      <c r="D7867" s="48" t="n">
        <f aca="false">D7866*Assumptions!$E$20*Assumptions!$E$39*IF(D7861&gt;0,D7862/D7861,0)*D7851</f>
        <v>0</v>
      </c>
      <c r="E7867" s="48" t="n">
        <f aca="false">E7866*Assumptions!$E$20*Assumptions!$E$39*IF(E7861&gt;0,E7862/E7861,0)*E7851</f>
        <v>0</v>
      </c>
      <c r="F7867" s="48" t="n">
        <f aca="false">F7866*Assumptions!$E$20*Assumptions!$E$39*IF(F7861&gt;0,F7862/F7861,0)*F7851</f>
        <v>0</v>
      </c>
      <c r="G7867" s="48" t="n">
        <f aca="false">G7866*Assumptions!$E$20*Assumptions!$E$39*IF(G7861&gt;0,G7862/G7861,0)*G7851</f>
        <v>0</v>
      </c>
      <c r="H7867" s="48" t="n">
        <f aca="false">H7866*Assumptions!$E$20*Assumptions!$E$39*IF(H7861&gt;0,H7862/H7861,0)*H7851</f>
        <v>0</v>
      </c>
      <c r="I7867" s="48" t="n">
        <f aca="false">I7866*Assumptions!$E$20*Assumptions!$E$39*IF(I7861&gt;0,I7862/I7861,0)*I7851</f>
        <v>0</v>
      </c>
      <c r="J7867" s="48" t="n">
        <f aca="false">J7866*Assumptions!$E$20*Assumptions!$E$39*IF(J7861&gt;0,J7862/J7861,0)*J7851</f>
        <v>0</v>
      </c>
      <c r="K7867" s="48" t="n">
        <f aca="false">K7866*Assumptions!$E$20*Assumptions!$E$39*IF(K7861&gt;0,K7862/K7861,0)*K7851</f>
        <v>0</v>
      </c>
      <c r="L7867" s="48" t="n">
        <f aca="false">L7866*Assumptions!$E$20*Assumptions!$E$39*IF(L7861&gt;0,L7862/L7861,0)*L7851</f>
        <v>0</v>
      </c>
      <c r="M7867" s="48" t="n">
        <f aca="false">M7866*Assumptions!$E$20*Assumptions!$E$39*IF(M7861&gt;0,M7862/M7861,0)*M7851</f>
        <v>0</v>
      </c>
      <c r="N7867" s="48" t="n">
        <f aca="false">N7866*Assumptions!$E$20*Assumptions!$E$39*IF(N7861&gt;0,N7862/N7861,0)*N7851</f>
        <v>0</v>
      </c>
      <c r="P7867" s="49" t="n">
        <f aca="false">SUM(C7867:F7867)</f>
        <v>0</v>
      </c>
      <c r="Q7867" s="49" t="n">
        <f aca="false">SUM(G7867:J7867)</f>
        <v>0</v>
      </c>
      <c r="R7867" s="49" t="n">
        <f aca="false">SUM(K7867:N7867)</f>
        <v>0</v>
      </c>
      <c r="S7867" s="50" t="n">
        <f aca="false">SUM(P7867:R7867)</f>
        <v>0</v>
      </c>
    </row>
    <row r="7868" customFormat="false" ht="15" hidden="false" customHeight="false" outlineLevel="0" collapsed="false">
      <c r="A7868" s="4" t="s">
        <v>496</v>
      </c>
      <c r="B7868" s="36" t="s">
        <v>497</v>
      </c>
      <c r="C7868" s="48" t="n">
        <f aca="false">IF(AND(C7861&gt;0,$C$7848&gt;0),C7861*Assumptions!$E$24*(1-EXP(-$C$7848/(Assumptions!$E$23*C7861*Assumptions!$E$24))),0)</f>
        <v>0</v>
      </c>
      <c r="D7868" s="48" t="n">
        <f aca="false">IF(AND(D7861&gt;0,$C$7848&gt;0),D7861*Assumptions!$E$24*(1-EXP(-$C$7848/(Assumptions!$E$23*D7861*Assumptions!$E$24))),0)</f>
        <v>0</v>
      </c>
      <c r="E7868" s="48" t="n">
        <f aca="false">IF(AND(E7861&gt;0,$C$7848&gt;0),E7861*Assumptions!$E$24*(1-EXP(-$C$7848/(Assumptions!$E$23*E7861*Assumptions!$E$24))),0)</f>
        <v>0</v>
      </c>
      <c r="F7868" s="48" t="n">
        <f aca="false">IF(AND(F7861&gt;0,$C$7848&gt;0),F7861*Assumptions!$E$24*(1-EXP(-$C$7848/(Assumptions!$E$23*F7861*Assumptions!$E$24))),0)</f>
        <v>0</v>
      </c>
      <c r="G7868" s="48" t="n">
        <f aca="false">IF(AND(G7861&gt;0,$C$7848&gt;0),G7861*Assumptions!$E$24*(1-EXP(-$C$7848/(Assumptions!$E$23*G7861*Assumptions!$E$24))),0)</f>
        <v>0</v>
      </c>
      <c r="H7868" s="48" t="n">
        <f aca="false">IF(AND(H7861&gt;0,$C$7848&gt;0),H7861*Assumptions!$E$24*(1-EXP(-$C$7848/(Assumptions!$E$23*H7861*Assumptions!$E$24))),0)</f>
        <v>0</v>
      </c>
      <c r="I7868" s="48" t="n">
        <f aca="false">IF(AND(I7861&gt;0,$C$7848&gt;0),I7861*Assumptions!$E$24*(1-EXP(-$C$7848/(Assumptions!$E$23*I7861*Assumptions!$E$24))),0)</f>
        <v>0</v>
      </c>
      <c r="J7868" s="48" t="n">
        <f aca="false">IF(AND(J7861&gt;0,$C$7848&gt;0),J7861*Assumptions!$E$24*(1-EXP(-$C$7848/(Assumptions!$E$23*J7861*Assumptions!$E$24))),0)</f>
        <v>0</v>
      </c>
      <c r="K7868" s="48" t="n">
        <f aca="false">IF(AND(K7861&gt;0,$C$7848&gt;0),K7861*Assumptions!$E$24*(1-EXP(-$C$7848/(Assumptions!$E$23*K7861*Assumptions!$E$24))),0)</f>
        <v>0</v>
      </c>
      <c r="L7868" s="48" t="n">
        <f aca="false">IF(AND(L7861&gt;0,$C$7848&gt;0),L7861*Assumptions!$E$24*(1-EXP(-$C$7848/(Assumptions!$E$23*L7861*Assumptions!$E$24))),0)</f>
        <v>0</v>
      </c>
      <c r="M7868" s="48" t="n">
        <f aca="false">IF(AND(M7861&gt;0,$C$7848&gt;0),M7861*Assumptions!$E$24*(1-EXP(-$C$7848/(Assumptions!$E$23*M7861*Assumptions!$E$24))),0)</f>
        <v>0</v>
      </c>
      <c r="N7868" s="48" t="n">
        <f aca="false">IF(AND(N7861&gt;0,$C$7848&gt;0),N7861*Assumptions!$E$24*(1-EXP(-$C$7848/(Assumptions!$E$23*N7861*Assumptions!$E$24))),0)</f>
        <v>0</v>
      </c>
      <c r="P7868" s="49" t="n">
        <f aca="false">SUM(C7868:F7868)</f>
        <v>0</v>
      </c>
      <c r="Q7868" s="49" t="n">
        <f aca="false">SUM(G7868:J7868)</f>
        <v>0</v>
      </c>
      <c r="R7868" s="49" t="n">
        <f aca="false">SUM(K7868:N7868)</f>
        <v>0</v>
      </c>
      <c r="S7868" s="50" t="n">
        <f aca="false">SUM(P7868:R7868)</f>
        <v>0</v>
      </c>
    </row>
    <row r="7869" customFormat="false" ht="15" hidden="false" customHeight="false" outlineLevel="0" collapsed="false">
      <c r="A7869" s="4" t="s">
        <v>498</v>
      </c>
      <c r="B7869" s="36" t="s">
        <v>497</v>
      </c>
      <c r="C7869" s="48" t="n">
        <f aca="false">(C7861*Assumptions!$E$22*MIN(1,Assumptions!$D$103/Assumptions!$E$78)+C7868)*C7851</f>
        <v>5.5188772352</v>
      </c>
      <c r="D7869" s="48" t="n">
        <f aca="false">(D7861*Assumptions!$E$22*MIN(1,Assumptions!$D$103/Assumptions!$E$78)+D7868)*D7851</f>
        <v>11.0377544704</v>
      </c>
      <c r="E7869" s="48" t="n">
        <f aca="false">(E7861*Assumptions!$E$22*MIN(1,Assumptions!$D$103/Assumptions!$E$78)+E7868)*E7851</f>
        <v>11.0377544704</v>
      </c>
      <c r="F7869" s="48" t="n">
        <f aca="false">(F7861*Assumptions!$E$22*MIN(1,Assumptions!$D$103/Assumptions!$E$78)+F7868)*F7851</f>
        <v>11.0377544704</v>
      </c>
      <c r="G7869" s="48" t="n">
        <f aca="false">(G7861*Assumptions!$E$22*MIN(1,Assumptions!$D$103/Assumptions!$E$78)+G7868)*G7851</f>
        <v>14.9349950176</v>
      </c>
      <c r="H7869" s="48" t="n">
        <f aca="false">(H7861*Assumptions!$E$22*MIN(1,Assumptions!$D$103/Assumptions!$E$78)+H7868)*H7851</f>
        <v>18.8322355648</v>
      </c>
      <c r="I7869" s="48" t="n">
        <f aca="false">(I7861*Assumptions!$E$22*MIN(1,Assumptions!$D$103/Assumptions!$E$78)+I7868)*I7851</f>
        <v>31.6761039616</v>
      </c>
      <c r="J7869" s="48" t="n">
        <f aca="false">(J7861*Assumptions!$E$22*MIN(1,Assumptions!$D$103/Assumptions!$E$78)+J7868)*J7851</f>
        <v>44.5199723584</v>
      </c>
      <c r="K7869" s="48" t="n">
        <f aca="false">(K7861*Assumptions!$E$22*MIN(1,Assumptions!$D$103/Assumptions!$E$78)+K7868)*K7851</f>
        <v>44.5199723584</v>
      </c>
      <c r="L7869" s="48" t="n">
        <f aca="false">(L7861*Assumptions!$E$22*MIN(1,Assumptions!$D$103/Assumptions!$E$78)+L7868)*L7851</f>
        <v>44.5199723584</v>
      </c>
      <c r="M7869" s="48" t="n">
        <f aca="false">(M7861*Assumptions!$E$22*MIN(1,Assumptions!$D$103/Assumptions!$E$78)+M7868)*M7851</f>
        <v>44.5199723584</v>
      </c>
      <c r="N7869" s="48" t="n">
        <f aca="false">(N7861*Assumptions!$E$22*MIN(1,Assumptions!$D$103/Assumptions!$E$78)+N7868)*N7851</f>
        <v>44.5199723584</v>
      </c>
      <c r="P7869" s="49" t="n">
        <f aca="false">SUM(C7869:F7869)</f>
        <v>38.6321406464</v>
      </c>
      <c r="Q7869" s="49" t="n">
        <f aca="false">SUM(G7869:J7869)</f>
        <v>109.9633069024</v>
      </c>
      <c r="R7869" s="49" t="n">
        <f aca="false">SUM(K7869:N7869)</f>
        <v>178.0798894336</v>
      </c>
      <c r="S7869" s="50" t="n">
        <f aca="false">SUM(P7869:R7869)</f>
        <v>326.6753369824</v>
      </c>
    </row>
    <row r="7870" customFormat="false" ht="15" hidden="false" customHeight="false" outlineLevel="0" collapsed="false">
      <c r="A7870" s="4" t="s">
        <v>499</v>
      </c>
      <c r="B7870" s="36" t="s">
        <v>500</v>
      </c>
      <c r="C7870" s="48" t="n">
        <f aca="false">C7851*MIN(Assumptions!$E$27,Assumptions!$E$25+Assumptions!$E$26*(C7850-1))*Assumptions!$D$107</f>
        <v>2</v>
      </c>
      <c r="D7870" s="48" t="n">
        <f aca="false">D7851*MIN(Assumptions!$E$27,Assumptions!$E$25+Assumptions!$E$26*(D7850-1))*Assumptions!$D$107</f>
        <v>3</v>
      </c>
      <c r="E7870" s="48" t="n">
        <f aca="false">E7851*MIN(Assumptions!$E$27,Assumptions!$E$25+Assumptions!$E$26*(E7850-1))*Assumptions!$D$107</f>
        <v>4</v>
      </c>
      <c r="F7870" s="48" t="n">
        <f aca="false">F7851*MIN(Assumptions!$E$27,Assumptions!$E$25+Assumptions!$E$26*(F7850-1))*Assumptions!$D$107</f>
        <v>5</v>
      </c>
      <c r="G7870" s="48" t="n">
        <f aca="false">G7851*MIN(Assumptions!$E$27,Assumptions!$E$25+Assumptions!$E$26*(G7850-1))*Assumptions!$D$107</f>
        <v>6</v>
      </c>
      <c r="H7870" s="48" t="n">
        <f aca="false">H7851*MIN(Assumptions!$E$27,Assumptions!$E$25+Assumptions!$E$26*(H7850-1))*Assumptions!$D$107</f>
        <v>7</v>
      </c>
      <c r="I7870" s="48" t="n">
        <f aca="false">I7851*MIN(Assumptions!$E$27,Assumptions!$E$25+Assumptions!$E$26*(I7850-1))*Assumptions!$D$107</f>
        <v>8</v>
      </c>
      <c r="J7870" s="48" t="n">
        <f aca="false">J7851*MIN(Assumptions!$E$27,Assumptions!$E$25+Assumptions!$E$26*(J7850-1))*Assumptions!$D$107</f>
        <v>9</v>
      </c>
      <c r="K7870" s="48" t="n">
        <f aca="false">K7851*MIN(Assumptions!$E$27,Assumptions!$E$25+Assumptions!$E$26*(K7850-1))*Assumptions!$D$107</f>
        <v>10</v>
      </c>
      <c r="L7870" s="48" t="n">
        <f aca="false">L7851*MIN(Assumptions!$E$27,Assumptions!$E$25+Assumptions!$E$26*(L7850-1))*Assumptions!$D$107</f>
        <v>10</v>
      </c>
      <c r="M7870" s="48" t="n">
        <f aca="false">M7851*MIN(Assumptions!$E$27,Assumptions!$E$25+Assumptions!$E$26*(M7850-1))*Assumptions!$D$107</f>
        <v>10</v>
      </c>
      <c r="N7870" s="48" t="n">
        <f aca="false">N7851*MIN(Assumptions!$E$27,Assumptions!$E$25+Assumptions!$E$26*(N7850-1))*Assumptions!$D$107</f>
        <v>10</v>
      </c>
      <c r="P7870" s="49" t="n">
        <f aca="false">F7870</f>
        <v>5</v>
      </c>
      <c r="Q7870" s="49" t="n">
        <f aca="false">J7870</f>
        <v>9</v>
      </c>
      <c r="R7870" s="49" t="n">
        <f aca="false">N7870</f>
        <v>10</v>
      </c>
      <c r="S7870" s="50" t="n">
        <f aca="false">R7870</f>
        <v>10</v>
      </c>
    </row>
    <row r="7871" customFormat="false" ht="15" hidden="false" customHeight="false" outlineLevel="0" collapsed="false">
      <c r="A7871" s="4" t="s">
        <v>501</v>
      </c>
      <c r="B7871" s="36" t="s">
        <v>502</v>
      </c>
      <c r="C7871" s="48" t="n">
        <f aca="false">C7870*Assumptions!$E$28</f>
        <v>6</v>
      </c>
      <c r="D7871" s="48" t="n">
        <f aca="false">D7870*Assumptions!$E$28</f>
        <v>9</v>
      </c>
      <c r="E7871" s="48" t="n">
        <f aca="false">E7870*Assumptions!$E$28</f>
        <v>12</v>
      </c>
      <c r="F7871" s="48" t="n">
        <f aca="false">F7870*Assumptions!$E$28</f>
        <v>15</v>
      </c>
      <c r="G7871" s="48" t="n">
        <f aca="false">G7870*Assumptions!$E$28</f>
        <v>18</v>
      </c>
      <c r="H7871" s="48" t="n">
        <f aca="false">H7870*Assumptions!$E$28</f>
        <v>21</v>
      </c>
      <c r="I7871" s="48" t="n">
        <f aca="false">I7870*Assumptions!$E$28</f>
        <v>24</v>
      </c>
      <c r="J7871" s="48" t="n">
        <f aca="false">J7870*Assumptions!$E$28</f>
        <v>27</v>
      </c>
      <c r="K7871" s="48" t="n">
        <f aca="false">K7870*Assumptions!$E$28</f>
        <v>30</v>
      </c>
      <c r="L7871" s="48" t="n">
        <f aca="false">L7870*Assumptions!$E$28</f>
        <v>30</v>
      </c>
      <c r="M7871" s="48" t="n">
        <f aca="false">M7870*Assumptions!$E$28</f>
        <v>30</v>
      </c>
      <c r="N7871" s="48" t="n">
        <f aca="false">N7870*Assumptions!$E$28</f>
        <v>30</v>
      </c>
      <c r="P7871" s="49" t="n">
        <f aca="false">SUM(C7871:F7871)</f>
        <v>42</v>
      </c>
      <c r="Q7871" s="49" t="n">
        <f aca="false">SUM(G7871:J7871)</f>
        <v>90</v>
      </c>
      <c r="R7871" s="49" t="n">
        <f aca="false">SUM(K7871:N7871)</f>
        <v>120</v>
      </c>
      <c r="S7871" s="50" t="n">
        <f aca="false">SUM(P7871:R7871)</f>
        <v>252</v>
      </c>
    </row>
    <row r="7872" customFormat="false" ht="15" hidden="false" customHeight="false" outlineLevel="0" collapsed="false">
      <c r="A7872" s="4" t="s">
        <v>503</v>
      </c>
      <c r="B7872" s="36" t="s">
        <v>504</v>
      </c>
      <c r="C7872" s="48" t="n">
        <f aca="false">(C7863+C7867)*Assumptions!$E$29</f>
        <v>2.649061072896</v>
      </c>
      <c r="D7872" s="48" t="n">
        <f aca="false">(D7863+D7867)*Assumptions!$E$29</f>
        <v>4.93045821299048</v>
      </c>
      <c r="E7872" s="48" t="n">
        <f aca="false">(E7863+E7867)*Assumptions!$E$29</f>
        <v>4.58830837060879</v>
      </c>
      <c r="F7872" s="48" t="n">
        <f aca="false">(F7863+F7867)*Assumptions!$E$29</f>
        <v>4.26990206474738</v>
      </c>
      <c r="G7872" s="48" t="n">
        <f aca="false">(G7863+G7867)*Assumptions!$E$29</f>
        <v>5.844267072</v>
      </c>
      <c r="H7872" s="48" t="n">
        <f aca="false">(H7863+H7867)*Assumptions!$E$29</f>
        <v>7.17956301044434</v>
      </c>
      <c r="I7872" s="48" t="n">
        <f aca="false">(I7863+I7867)*Assumptions!$E$29</f>
        <v>12.8463930542132</v>
      </c>
      <c r="J7872" s="48" t="n">
        <f aca="false">(J7863+J7867)*Assumptions!$E$29</f>
        <v>17.6921476412567</v>
      </c>
      <c r="K7872" s="48" t="n">
        <f aca="false">(K7863+K7867)*Assumptions!$E$29</f>
        <v>16.4643985629052</v>
      </c>
      <c r="L7872" s="48" t="n">
        <f aca="false">(L7863+L7867)*Assumptions!$E$29</f>
        <v>15.3218493048332</v>
      </c>
      <c r="M7872" s="48" t="n">
        <f aca="false">(M7863+M7867)*Assumptions!$E$29</f>
        <v>14.2585874135079</v>
      </c>
      <c r="N7872" s="48" t="n">
        <f aca="false">(N7863+N7867)*Assumptions!$E$29</f>
        <v>13.2691107309425</v>
      </c>
      <c r="P7872" s="49" t="n">
        <f aca="false">SUM(C7872:F7872)</f>
        <v>16.4377297212427</v>
      </c>
      <c r="Q7872" s="49" t="n">
        <f aca="false">SUM(G7872:J7872)</f>
        <v>43.5623707779142</v>
      </c>
      <c r="R7872" s="49" t="n">
        <f aca="false">SUM(K7872:N7872)</f>
        <v>59.3139460121888</v>
      </c>
      <c r="S7872" s="50" t="n">
        <f aca="false">SUM(P7872:R7872)</f>
        <v>119.314046511346</v>
      </c>
    </row>
    <row r="7873" customFormat="false" ht="15" hidden="false" customHeight="false" outlineLevel="0" collapsed="false">
      <c r="A7873" s="4" t="s">
        <v>505</v>
      </c>
      <c r="B7873" s="36" t="s">
        <v>504</v>
      </c>
      <c r="C7873" s="48" t="n">
        <f aca="false">C7869*Assumptions!$E$31</f>
        <v>0.883020357632</v>
      </c>
      <c r="D7873" s="48" t="n">
        <f aca="false">D7869*Assumptions!$E$31</f>
        <v>1.766040715264</v>
      </c>
      <c r="E7873" s="48" t="n">
        <f aca="false">E7869*Assumptions!$E$31</f>
        <v>1.766040715264</v>
      </c>
      <c r="F7873" s="48" t="n">
        <f aca="false">F7869*Assumptions!$E$31</f>
        <v>1.766040715264</v>
      </c>
      <c r="G7873" s="48" t="n">
        <f aca="false">G7869*Assumptions!$E$31</f>
        <v>2.389599202816</v>
      </c>
      <c r="H7873" s="48" t="n">
        <f aca="false">H7869*Assumptions!$E$31</f>
        <v>3.013157690368</v>
      </c>
      <c r="I7873" s="48" t="n">
        <f aca="false">I7869*Assumptions!$E$31</f>
        <v>5.068176633856</v>
      </c>
      <c r="J7873" s="48" t="n">
        <f aca="false">J7869*Assumptions!$E$31</f>
        <v>7.123195577344</v>
      </c>
      <c r="K7873" s="48" t="n">
        <f aca="false">K7869*Assumptions!$E$31</f>
        <v>7.123195577344</v>
      </c>
      <c r="L7873" s="48" t="n">
        <f aca="false">L7869*Assumptions!$E$31</f>
        <v>7.123195577344</v>
      </c>
      <c r="M7873" s="48" t="n">
        <f aca="false">M7869*Assumptions!$E$31</f>
        <v>7.123195577344</v>
      </c>
      <c r="N7873" s="48" t="n">
        <f aca="false">N7869*Assumptions!$E$31</f>
        <v>7.123195577344</v>
      </c>
      <c r="P7873" s="49" t="n">
        <f aca="false">SUM(C7873:F7873)</f>
        <v>6.181142503424</v>
      </c>
      <c r="Q7873" s="49" t="n">
        <f aca="false">SUM(G7873:J7873)</f>
        <v>17.594129104384</v>
      </c>
      <c r="R7873" s="49" t="n">
        <f aca="false">SUM(K7873:N7873)</f>
        <v>28.492782309376</v>
      </c>
      <c r="S7873" s="50" t="n">
        <f aca="false">SUM(P7873:R7873)</f>
        <v>52.268053917184</v>
      </c>
    </row>
    <row r="7874" customFormat="false" ht="15" hidden="false" customHeight="false" outlineLevel="0" collapsed="false">
      <c r="A7874" s="4" t="s">
        <v>506</v>
      </c>
      <c r="B7874" s="36" t="s">
        <v>504</v>
      </c>
      <c r="C7874" s="48" t="n">
        <f aca="false">C7871*Assumptions!$E$30</f>
        <v>3</v>
      </c>
      <c r="D7874" s="48" t="n">
        <f aca="false">D7871*Assumptions!$E$30</f>
        <v>4.5</v>
      </c>
      <c r="E7874" s="48" t="n">
        <f aca="false">E7871*Assumptions!$E$30</f>
        <v>6</v>
      </c>
      <c r="F7874" s="48" t="n">
        <f aca="false">F7871*Assumptions!$E$30</f>
        <v>7.5</v>
      </c>
      <c r="G7874" s="48" t="n">
        <f aca="false">G7871*Assumptions!$E$30</f>
        <v>9</v>
      </c>
      <c r="H7874" s="48" t="n">
        <f aca="false">H7871*Assumptions!$E$30</f>
        <v>10.5</v>
      </c>
      <c r="I7874" s="48" t="n">
        <f aca="false">I7871*Assumptions!$E$30</f>
        <v>12</v>
      </c>
      <c r="J7874" s="48" t="n">
        <f aca="false">J7871*Assumptions!$E$30</f>
        <v>13.5</v>
      </c>
      <c r="K7874" s="48" t="n">
        <f aca="false">K7871*Assumptions!$E$30</f>
        <v>15</v>
      </c>
      <c r="L7874" s="48" t="n">
        <f aca="false">L7871*Assumptions!$E$30</f>
        <v>15</v>
      </c>
      <c r="M7874" s="48" t="n">
        <f aca="false">M7871*Assumptions!$E$30</f>
        <v>15</v>
      </c>
      <c r="N7874" s="48" t="n">
        <f aca="false">N7871*Assumptions!$E$30</f>
        <v>15</v>
      </c>
      <c r="P7874" s="49" t="n">
        <f aca="false">SUM(C7874:F7874)</f>
        <v>21</v>
      </c>
      <c r="Q7874" s="49" t="n">
        <f aca="false">SUM(G7874:J7874)</f>
        <v>45</v>
      </c>
      <c r="R7874" s="49" t="n">
        <f aca="false">SUM(K7874:N7874)</f>
        <v>60</v>
      </c>
      <c r="S7874" s="50" t="n">
        <f aca="false">SUM(P7874:R7874)</f>
        <v>126</v>
      </c>
    </row>
    <row r="7875" customFormat="false" ht="15" hidden="false" customHeight="false" outlineLevel="0" collapsed="false">
      <c r="A7875" s="9" t="s">
        <v>507</v>
      </c>
      <c r="B7875" s="36" t="s">
        <v>504</v>
      </c>
      <c r="C7875" s="49" t="n">
        <f aca="false">C7872+C7873+C7874</f>
        <v>6.532081430528</v>
      </c>
      <c r="D7875" s="49" t="n">
        <f aca="false">D7872+D7873+D7874</f>
        <v>11.1964989282545</v>
      </c>
      <c r="E7875" s="49" t="n">
        <f aca="false">E7872+E7873+E7874</f>
        <v>12.3543490858728</v>
      </c>
      <c r="F7875" s="49" t="n">
        <f aca="false">F7872+F7873+F7874</f>
        <v>13.5359427800114</v>
      </c>
      <c r="G7875" s="49" t="n">
        <f aca="false">G7872+G7873+G7874</f>
        <v>17.233866274816</v>
      </c>
      <c r="H7875" s="49" t="n">
        <f aca="false">H7872+H7873+H7874</f>
        <v>20.6927207008123</v>
      </c>
      <c r="I7875" s="49" t="n">
        <f aca="false">I7872+I7873+I7874</f>
        <v>29.9145696880692</v>
      </c>
      <c r="J7875" s="49" t="n">
        <f aca="false">J7872+J7873+J7874</f>
        <v>38.3153432186007</v>
      </c>
      <c r="K7875" s="49" t="n">
        <f aca="false">K7872+K7873+K7874</f>
        <v>38.5875941402492</v>
      </c>
      <c r="L7875" s="49" t="n">
        <f aca="false">L7872+L7873+L7874</f>
        <v>37.4450448821772</v>
      </c>
      <c r="M7875" s="49" t="n">
        <f aca="false">M7872+M7873+M7874</f>
        <v>36.3817829908519</v>
      </c>
      <c r="N7875" s="49" t="n">
        <f aca="false">N7872+N7873+N7874</f>
        <v>35.3923063082865</v>
      </c>
      <c r="P7875" s="49" t="n">
        <f aca="false">SUM(C7875:F7875)</f>
        <v>43.6188722246667</v>
      </c>
      <c r="Q7875" s="49" t="n">
        <f aca="false">SUM(G7875:J7875)</f>
        <v>106.156499882298</v>
      </c>
      <c r="R7875" s="49" t="n">
        <f aca="false">SUM(K7875:N7875)</f>
        <v>147.806728321565</v>
      </c>
      <c r="S7875" s="50" t="n">
        <f aca="false">SUM(P7875:R7875)</f>
        <v>297.58210042853</v>
      </c>
    </row>
    <row r="7876" customFormat="false" ht="15" hidden="false" customHeight="false" outlineLevel="0" collapsed="false">
      <c r="A7876" s="4" t="s">
        <v>508</v>
      </c>
      <c r="B7876" s="36" t="s">
        <v>509</v>
      </c>
      <c r="C7876" s="48" t="n">
        <f aca="false">C7858</f>
        <v>421.51972352</v>
      </c>
      <c r="D7876" s="48" t="n">
        <f aca="false">D7858</f>
        <v>843.03944704</v>
      </c>
      <c r="E7876" s="48" t="n">
        <f aca="false">E7858</f>
        <v>843.03944704</v>
      </c>
      <c r="F7876" s="48" t="n">
        <f aca="false">F7858</f>
        <v>843.03944704</v>
      </c>
      <c r="G7876" s="48" t="n">
        <f aca="false">G7858</f>
        <v>1149.32798176</v>
      </c>
      <c r="H7876" s="48" t="n">
        <f aca="false">H7858</f>
        <v>1455.61651648</v>
      </c>
      <c r="I7876" s="48" t="n">
        <f aca="false">I7858</f>
        <v>2486.00303616</v>
      </c>
      <c r="J7876" s="48" t="n">
        <f aca="false">J7858</f>
        <v>3516.38955584</v>
      </c>
      <c r="K7876" s="48" t="n">
        <f aca="false">K7858</f>
        <v>3516.38955584</v>
      </c>
      <c r="L7876" s="48" t="n">
        <f aca="false">L7858</f>
        <v>3516.38955584</v>
      </c>
      <c r="M7876" s="48" t="n">
        <f aca="false">M7858</f>
        <v>3516.38955584</v>
      </c>
      <c r="N7876" s="48" t="n">
        <f aca="false">N7858</f>
        <v>3516.38955584</v>
      </c>
      <c r="P7876" s="49"/>
      <c r="Q7876" s="49"/>
      <c r="R7876" s="49"/>
      <c r="S7876" s="50"/>
    </row>
    <row r="7877" customFormat="false" ht="15" hidden="false" customHeight="false" outlineLevel="0" collapsed="false">
      <c r="A7877" s="4" t="s">
        <v>510</v>
      </c>
      <c r="B7877" s="36" t="s">
        <v>509</v>
      </c>
      <c r="C7877" s="48" t="n">
        <f aca="false">C7859*Assumptions!$E$18*Assumptions!$E$33</f>
        <v>211.19616</v>
      </c>
      <c r="D7877" s="48" t="n">
        <f aca="false">D7859*Assumptions!$E$18*Assumptions!$E$33</f>
        <v>422.39232</v>
      </c>
      <c r="E7877" s="48" t="n">
        <f aca="false">E7859*Assumptions!$E$18*Assumptions!$E$33</f>
        <v>422.39232</v>
      </c>
      <c r="F7877" s="48" t="n">
        <f aca="false">F7859*Assumptions!$E$18*Assumptions!$E$33</f>
        <v>422.39232</v>
      </c>
      <c r="G7877" s="48" t="n">
        <f aca="false">G7859*Assumptions!$E$18*Assumptions!$E$33</f>
        <v>564.49344</v>
      </c>
      <c r="H7877" s="48" t="n">
        <f aca="false">H7859*Assumptions!$E$18*Assumptions!$E$33</f>
        <v>706.59456</v>
      </c>
      <c r="I7877" s="48" t="n">
        <f aca="false">I7859*Assumptions!$E$18*Assumptions!$E$33</f>
        <v>1135.07072</v>
      </c>
      <c r="J7877" s="48" t="n">
        <f aca="false">J7859*Assumptions!$E$18*Assumptions!$E$33</f>
        <v>1563.54688</v>
      </c>
      <c r="K7877" s="48" t="n">
        <f aca="false">K7859*Assumptions!$E$18*Assumptions!$E$33</f>
        <v>1563.54688</v>
      </c>
      <c r="L7877" s="48" t="n">
        <f aca="false">L7859*Assumptions!$E$18*Assumptions!$E$33</f>
        <v>1563.54688</v>
      </c>
      <c r="M7877" s="48" t="n">
        <f aca="false">M7859*Assumptions!$E$18*Assumptions!$E$33</f>
        <v>1563.54688</v>
      </c>
      <c r="N7877" s="48" t="n">
        <f aca="false">N7859*Assumptions!$E$18*Assumptions!$E$33</f>
        <v>1563.54688</v>
      </c>
      <c r="P7877" s="49"/>
      <c r="Q7877" s="49"/>
      <c r="R7877" s="49"/>
      <c r="S7877" s="50"/>
    </row>
    <row r="7878" customFormat="false" ht="15" hidden="false" customHeight="false" outlineLevel="0" collapsed="false">
      <c r="A7878" s="4" t="s">
        <v>511</v>
      </c>
      <c r="B7878" s="36" t="s">
        <v>509</v>
      </c>
      <c r="C7878" s="48" t="n">
        <f aca="false">C7860*Assumptions!$E$19*Assumptions!$E$34</f>
        <v>34.677888</v>
      </c>
      <c r="D7878" s="48" t="n">
        <f aca="false">D7860*Assumptions!$E$19*Assumptions!$E$34</f>
        <v>69.355776</v>
      </c>
      <c r="E7878" s="48" t="n">
        <f aca="false">E7860*Assumptions!$E$19*Assumptions!$E$34</f>
        <v>69.355776</v>
      </c>
      <c r="F7878" s="48" t="n">
        <f aca="false">F7860*Assumptions!$E$19*Assumptions!$E$34</f>
        <v>69.355776</v>
      </c>
      <c r="G7878" s="48" t="n">
        <f aca="false">G7860*Assumptions!$E$19*Assumptions!$E$34</f>
        <v>86.69472</v>
      </c>
      <c r="H7878" s="48" t="n">
        <f aca="false">H7860*Assumptions!$E$19*Assumptions!$E$34</f>
        <v>104.033664</v>
      </c>
      <c r="I7878" s="48" t="n">
        <f aca="false">I7860*Assumptions!$E$19*Assumptions!$E$34</f>
        <v>159.7008</v>
      </c>
      <c r="J7878" s="48" t="n">
        <f aca="false">J7860*Assumptions!$E$19*Assumptions!$E$34</f>
        <v>215.367936</v>
      </c>
      <c r="K7878" s="48" t="n">
        <f aca="false">K7860*Assumptions!$E$19*Assumptions!$E$34</f>
        <v>215.367936</v>
      </c>
      <c r="L7878" s="48" t="n">
        <f aca="false">L7860*Assumptions!$E$19*Assumptions!$E$34</f>
        <v>215.367936</v>
      </c>
      <c r="M7878" s="48" t="n">
        <f aca="false">M7860*Assumptions!$E$19*Assumptions!$E$34</f>
        <v>215.367936</v>
      </c>
      <c r="N7878" s="48" t="n">
        <f aca="false">N7860*Assumptions!$E$19*Assumptions!$E$34</f>
        <v>215.367936</v>
      </c>
      <c r="P7878" s="49"/>
      <c r="Q7878" s="49"/>
      <c r="R7878" s="49"/>
      <c r="S7878" s="50"/>
    </row>
    <row r="7879" customFormat="false" ht="15" hidden="false" customHeight="false" outlineLevel="0" collapsed="false">
      <c r="A7879" s="4" t="s">
        <v>512</v>
      </c>
      <c r="B7879" s="36" t="s">
        <v>77</v>
      </c>
      <c r="C7879" s="51" t="n">
        <f aca="false">IFERROR(C7876/(C7876+C7877+C7878),0)</f>
        <v>0.631590736245533</v>
      </c>
      <c r="D7879" s="51" t="n">
        <f aca="false">IFERROR(D7876/(D7876+D7877+D7878),0)</f>
        <v>0.631590736245533</v>
      </c>
      <c r="E7879" s="51" t="n">
        <f aca="false">IFERROR(E7876/(E7876+E7877+E7878),0)</f>
        <v>0.631590736245533</v>
      </c>
      <c r="F7879" s="51" t="n">
        <f aca="false">IFERROR(F7876/(F7876+F7877+F7878),0)</f>
        <v>0.631590736245533</v>
      </c>
      <c r="G7879" s="51" t="n">
        <f aca="false">IFERROR(G7876/(G7876+G7877+G7878),0)</f>
        <v>0.638332506498128</v>
      </c>
      <c r="H7879" s="51" t="n">
        <f aca="false">IFERROR(H7876/(H7876+H7877+H7878),0)</f>
        <v>0.642303318118984</v>
      </c>
      <c r="I7879" s="51" t="n">
        <f aca="false">IFERROR(I7876/(I7876+I7877+I7878),0)</f>
        <v>0.657538025405288</v>
      </c>
      <c r="J7879" s="51" t="n">
        <f aca="false">IFERROR(J7876/(J7876+J7877+J7878),0)</f>
        <v>0.664058061428891</v>
      </c>
      <c r="K7879" s="51" t="n">
        <f aca="false">IFERROR(K7876/(K7876+K7877+K7878),0)</f>
        <v>0.664058061428891</v>
      </c>
      <c r="L7879" s="51" t="n">
        <f aca="false">IFERROR(L7876/(L7876+L7877+L7878),0)</f>
        <v>0.664058061428891</v>
      </c>
      <c r="M7879" s="51" t="n">
        <f aca="false">IFERROR(M7876/(M7876+M7877+M7878),0)</f>
        <v>0.664058061428891</v>
      </c>
      <c r="N7879" s="51" t="n">
        <f aca="false">IFERROR(N7876/(N7876+N7877+N7878),0)</f>
        <v>0.664058061428891</v>
      </c>
      <c r="P7879" s="52"/>
      <c r="Q7879" s="52"/>
      <c r="R7879" s="52"/>
      <c r="S7879" s="53"/>
    </row>
    <row r="7880" customFormat="false" ht="15" hidden="false" customHeight="false" outlineLevel="0" collapsed="false">
      <c r="A7880" s="4" t="s">
        <v>513</v>
      </c>
      <c r="B7880" s="36" t="s">
        <v>77</v>
      </c>
      <c r="C7880" s="51" t="n">
        <f aca="false">IFERROR(C7877/(C7876+C7877+C7878),0)</f>
        <v>0.316449102482628</v>
      </c>
      <c r="D7880" s="51" t="n">
        <f aca="false">IFERROR(D7877/(D7876+D7877+D7878),0)</f>
        <v>0.316449102482628</v>
      </c>
      <c r="E7880" s="51" t="n">
        <f aca="false">IFERROR(E7877/(E7876+E7877+E7878),0)</f>
        <v>0.316449102482628</v>
      </c>
      <c r="F7880" s="51" t="n">
        <f aca="false">IFERROR(F7877/(F7876+F7877+F7878),0)</f>
        <v>0.316449102482628</v>
      </c>
      <c r="G7880" s="51" t="n">
        <f aca="false">IFERROR(G7877/(G7876+G7877+G7878),0)</f>
        <v>0.313517566939561</v>
      </c>
      <c r="H7880" s="51" t="n">
        <f aca="false">IFERROR(H7877/(H7876+H7877+H7878),0)</f>
        <v>0.311790932099567</v>
      </c>
      <c r="I7880" s="51" t="n">
        <f aca="false">IFERROR(I7877/(I7876+I7877+I7878),0)</f>
        <v>0.300221741111391</v>
      </c>
      <c r="J7880" s="51" t="n">
        <f aca="false">IFERROR(J7877/(J7876+J7877+J7878),0)</f>
        <v>0.295270445324128</v>
      </c>
      <c r="K7880" s="51" t="n">
        <f aca="false">IFERROR(K7877/(K7876+K7877+K7878),0)</f>
        <v>0.295270445324128</v>
      </c>
      <c r="L7880" s="51" t="n">
        <f aca="false">IFERROR(L7877/(L7876+L7877+L7878),0)</f>
        <v>0.295270445324128</v>
      </c>
      <c r="M7880" s="51" t="n">
        <f aca="false">IFERROR(M7877/(M7876+M7877+M7878),0)</f>
        <v>0.295270445324128</v>
      </c>
      <c r="N7880" s="51" t="n">
        <f aca="false">IFERROR(N7877/(N7876+N7877+N7878),0)</f>
        <v>0.295270445324128</v>
      </c>
      <c r="P7880" s="52"/>
      <c r="Q7880" s="52"/>
      <c r="R7880" s="52"/>
      <c r="S7880" s="53"/>
    </row>
    <row r="7881" customFormat="false" ht="15" hidden="false" customHeight="false" outlineLevel="0" collapsed="false">
      <c r="A7881" s="4" t="s">
        <v>514</v>
      </c>
      <c r="B7881" s="36" t="s">
        <v>77</v>
      </c>
      <c r="C7881" s="51" t="n">
        <f aca="false">IFERROR(C7878/(C7876+C7877+C7878),0)</f>
        <v>0.0519601612718389</v>
      </c>
      <c r="D7881" s="51" t="n">
        <f aca="false">IFERROR(D7878/(D7876+D7877+D7878),0)</f>
        <v>0.0519601612718389</v>
      </c>
      <c r="E7881" s="51" t="n">
        <f aca="false">IFERROR(E7878/(E7876+E7877+E7878),0)</f>
        <v>0.0519601612718389</v>
      </c>
      <c r="F7881" s="51" t="n">
        <f aca="false">IFERROR(F7878/(F7876+F7877+F7878),0)</f>
        <v>0.0519601612718389</v>
      </c>
      <c r="G7881" s="51" t="n">
        <f aca="false">IFERROR(G7878/(G7876+G7877+G7878),0)</f>
        <v>0.0481499265623113</v>
      </c>
      <c r="H7881" s="51" t="n">
        <f aca="false">IFERROR(H7878/(H7876+H7877+H7878),0)</f>
        <v>0.0459057497814491</v>
      </c>
      <c r="I7881" s="51" t="n">
        <f aca="false">IFERROR(I7878/(I7876+I7877+I7878),0)</f>
        <v>0.0422402334833216</v>
      </c>
      <c r="J7881" s="51" t="n">
        <f aca="false">IFERROR(J7878/(J7876+J7877+J7878),0)</f>
        <v>0.0406714932469811</v>
      </c>
      <c r="K7881" s="51" t="n">
        <f aca="false">IFERROR(K7878/(K7876+K7877+K7878),0)</f>
        <v>0.0406714932469811</v>
      </c>
      <c r="L7881" s="51" t="n">
        <f aca="false">IFERROR(L7878/(L7876+L7877+L7878),0)</f>
        <v>0.0406714932469811</v>
      </c>
      <c r="M7881" s="51" t="n">
        <f aca="false">IFERROR(M7878/(M7876+M7877+M7878),0)</f>
        <v>0.0406714932469811</v>
      </c>
      <c r="N7881" s="51" t="n">
        <f aca="false">IFERROR(N7878/(N7876+N7877+N7878),0)</f>
        <v>0.0406714932469811</v>
      </c>
      <c r="P7881" s="52"/>
      <c r="Q7881" s="52"/>
      <c r="R7881" s="52"/>
      <c r="S7881" s="53"/>
    </row>
    <row r="7882" customFormat="false" ht="15" hidden="false" customHeight="false" outlineLevel="0" collapsed="false">
      <c r="A7882" s="4" t="s">
        <v>515</v>
      </c>
      <c r="B7882" s="36" t="s">
        <v>516</v>
      </c>
      <c r="C7882" s="48" t="n">
        <f aca="false">IF(C7850-Assumptions!$E$35&lt;1,0,INDEX($C$7875:$N$7875,1,C7850-Assumptions!$E$35)*INDEX($C$7879:$N$7879,1,C7850-Assumptions!$E$35)*Assumptions!$E$32)</f>
        <v>0</v>
      </c>
      <c r="D7882" s="48" t="n">
        <f aca="false">IF(D7850-Assumptions!$E$35&lt;1,0,INDEX($C$7875:$N$7875,1,D7850-Assumptions!$E$35)*INDEX($C$7879:$N$7879,1,D7850-Assumptions!$E$35)*Assumptions!$E$32)</f>
        <v>0.866376445183821</v>
      </c>
      <c r="E7882" s="48" t="n">
        <f aca="false">IF(E7850-Assumptions!$E$35&lt;1,0,INDEX($C$7875:$N$7875,1,E7850-Assumptions!$E$35)*INDEX($C$7879:$N$7879,1,E7850-Assumptions!$E$35)*Assumptions!$E$32)</f>
        <v>1.4850370503084</v>
      </c>
      <c r="F7882" s="48" t="n">
        <f aca="false">IF(F7850-Assumptions!$E$35&lt;1,0,INDEX($C$7875:$N$7875,1,F7850-Assumptions!$E$35)*INDEX($C$7879:$N$7879,1,F7850-Assumptions!$E$35)*Assumptions!$E$32)</f>
        <v>1.63860741134595</v>
      </c>
      <c r="G7882" s="48" t="n">
        <f aca="false">IF(G7850-Assumptions!$E$35&lt;1,0,INDEX($C$7875:$N$7875,1,G7850-Assumptions!$E$35)*INDEX($C$7879:$N$7879,1,G7850-Assumptions!$E$35)*Assumptions!$E$32)</f>
        <v>1.79532697390301</v>
      </c>
      <c r="H7882" s="48" t="n">
        <f aca="false">IF(H7850-Assumptions!$E$35&lt;1,0,INDEX($C$7875:$N$7875,1,H7850-Assumptions!$E$35)*INDEX($C$7879:$N$7879,1,H7850-Assumptions!$E$35)*Assumptions!$E$32)</f>
        <v>2.31019678172994</v>
      </c>
      <c r="I7882" s="48" t="n">
        <f aca="false">IF(I7850-Assumptions!$E$35&lt;1,0,INDEX($C$7875:$N$7875,1,I7850-Assumptions!$E$35)*INDEX($C$7879:$N$7879,1,I7850-Assumptions!$E$35)*Assumptions!$E$32)</f>
        <v>2.79111066507864</v>
      </c>
      <c r="J7882" s="48" t="n">
        <f aca="false">IF(J7850-Assumptions!$E$35&lt;1,0,INDEX($C$7875:$N$7875,1,J7850-Assumptions!$E$35)*INDEX($C$7879:$N$7879,1,J7850-Assumptions!$E$35)*Assumptions!$E$32)</f>
        <v>4.1306930875438</v>
      </c>
      <c r="K7882" s="48" t="n">
        <f aca="false">IF(K7850-Assumptions!$E$35&lt;1,0,INDEX($C$7875:$N$7875,1,K7850-Assumptions!$E$35)*INDEX($C$7879:$N$7879,1,K7850-Assumptions!$E$35)*Assumptions!$E$32)</f>
        <v>5.34315863355258</v>
      </c>
      <c r="L7882" s="48" t="n">
        <f aca="false">IF(L7850-Assumptions!$E$35&lt;1,0,INDEX($C$7875:$N$7875,1,L7850-Assumptions!$E$35)*INDEX($C$7879:$N$7879,1,L7850-Assumptions!$E$35)*Assumptions!$E$32)</f>
        <v>5.38112462159553</v>
      </c>
      <c r="M7882" s="48" t="n">
        <f aca="false">IF(M7850-Assumptions!$E$35&lt;1,0,INDEX($C$7875:$N$7875,1,M7850-Assumptions!$E$35)*INDEX($C$7879:$N$7879,1,M7850-Assumptions!$E$35)*Assumptions!$E$32)</f>
        <v>5.22179362206104</v>
      </c>
      <c r="N7882" s="48" t="n">
        <f aca="false">IF(N7850-Assumptions!$E$35&lt;1,0,INDEX($C$7875:$N$7875,1,N7850-Assumptions!$E$35)*INDEX($C$7879:$N$7879,1,N7850-Assumptions!$E$35)*Assumptions!$E$32)</f>
        <v>5.07351941968866</v>
      </c>
      <c r="P7882" s="49" t="n">
        <f aca="false">SUM(C7882:F7882)</f>
        <v>3.99002090683817</v>
      </c>
      <c r="Q7882" s="49" t="n">
        <f aca="false">SUM(G7882:J7882)</f>
        <v>11.0273275082554</v>
      </c>
      <c r="R7882" s="49" t="n">
        <f aca="false">SUM(K7882:N7882)</f>
        <v>21.0195962968978</v>
      </c>
      <c r="S7882" s="50" t="n">
        <f aca="false">SUM(P7882:R7882)</f>
        <v>36.0369447119914</v>
      </c>
    </row>
    <row r="7883" customFormat="false" ht="15" hidden="false" customHeight="false" outlineLevel="0" collapsed="false">
      <c r="A7883" s="4" t="s">
        <v>517</v>
      </c>
      <c r="B7883" s="36" t="s">
        <v>516</v>
      </c>
      <c r="C7883" s="48" t="n">
        <f aca="false">IF(C7850-Assumptions!$E$35&lt;1,0,INDEX($C$7875:$N$7875,1,C7850-Assumptions!$E$35)*INDEX($C$7880:$N$7880,1,C7850-Assumptions!$E$35)*Assumptions!$E$32)</f>
        <v>0</v>
      </c>
      <c r="D7883" s="48" t="n">
        <f aca="false">IF(D7850-Assumptions!$E$35&lt;1,0,INDEX($C$7875:$N$7875,1,D7850-Assumptions!$E$35)*INDEX($C$7880:$N$7880,1,D7850-Assumptions!$E$35)*Assumptions!$E$32)</f>
        <v>0.434084974267145</v>
      </c>
      <c r="E7883" s="48" t="n">
        <f aca="false">IF(E7850-Assumptions!$E$35&lt;1,0,INDEX($C$7875:$N$7875,1,E7850-Assumptions!$E$35)*INDEX($C$7880:$N$7880,1,E7850-Assumptions!$E$35)*Assumptions!$E$32)</f>
        <v>0.744055627726705</v>
      </c>
      <c r="F7883" s="48" t="n">
        <f aca="false">IF(F7850-Assumptions!$E$35&lt;1,0,INDEX($C$7875:$N$7875,1,F7850-Assumptions!$E$35)*INDEX($C$7880:$N$7880,1,F7850-Assumptions!$E$35)*Assumptions!$E$32)</f>
        <v>0.820999762796119</v>
      </c>
      <c r="G7883" s="48" t="n">
        <f aca="false">IF(G7850-Assumptions!$E$35&lt;1,0,INDEX($C$7875:$N$7875,1,G7850-Assumptions!$E$35)*INDEX($C$7880:$N$7880,1,G7850-Assumptions!$E$35)*Assumptions!$E$32)</f>
        <v>0.89952175823807</v>
      </c>
      <c r="H7883" s="48" t="n">
        <f aca="false">IF(H7850-Assumptions!$E$35&lt;1,0,INDEX($C$7875:$N$7875,1,H7850-Assumptions!$E$35)*INDEX($C$7880:$N$7880,1,H7850-Assumptions!$E$35)*Assumptions!$E$32)</f>
        <v>1.13465516292283</v>
      </c>
      <c r="I7883" s="48" t="n">
        <f aca="false">IF(I7850-Assumptions!$E$35&lt;1,0,INDEX($C$7875:$N$7875,1,I7850-Assumptions!$E$35)*INDEX($C$7880:$N$7880,1,I7850-Assumptions!$E$35)*Assumptions!$E$32)</f>
        <v>1.35487856174628</v>
      </c>
      <c r="J7883" s="48" t="n">
        <f aca="false">IF(J7850-Assumptions!$E$35&lt;1,0,INDEX($C$7875:$N$7875,1,J7850-Assumptions!$E$35)*INDEX($C$7880:$N$7880,1,J7850-Assumptions!$E$35)*Assumptions!$E$32)</f>
        <v>1.88601088123353</v>
      </c>
      <c r="K7883" s="48" t="n">
        <f aca="false">IF(K7850-Assumptions!$E$35&lt;1,0,INDEX($C$7875:$N$7875,1,K7850-Assumptions!$E$35)*INDEX($C$7880:$N$7880,1,K7850-Assumptions!$E$35)*Assumptions!$E$32)</f>
        <v>2.37581157552964</v>
      </c>
      <c r="L7883" s="48" t="n">
        <f aca="false">IF(L7850-Assumptions!$E$35&lt;1,0,INDEX($C$7875:$N$7875,1,L7850-Assumptions!$E$35)*INDEX($C$7880:$N$7880,1,L7850-Assumptions!$E$35)*Assumptions!$E$32)</f>
        <v>2.3926929822134</v>
      </c>
      <c r="M7883" s="48" t="n">
        <f aca="false">IF(M7850-Assumptions!$E$35&lt;1,0,INDEX($C$7875:$N$7875,1,M7850-Assumptions!$E$35)*INDEX($C$7880:$N$7880,1,M7850-Assumptions!$E$35)*Assumptions!$E$32)</f>
        <v>2.32184716628391</v>
      </c>
      <c r="N7883" s="48" t="n">
        <f aca="false">IF(N7850-Assumptions!$E$35&lt;1,0,INDEX($C$7875:$N$7875,1,N7850-Assumptions!$E$35)*INDEX($C$7880:$N$7880,1,N7850-Assumptions!$E$35)*Assumptions!$E$32)</f>
        <v>2.25591770573287</v>
      </c>
      <c r="P7883" s="49" t="n">
        <f aca="false">SUM(C7883:F7883)</f>
        <v>1.99914036478997</v>
      </c>
      <c r="Q7883" s="49" t="n">
        <f aca="false">SUM(G7883:J7883)</f>
        <v>5.27506636414072</v>
      </c>
      <c r="R7883" s="49" t="n">
        <f aca="false">SUM(K7883:N7883)</f>
        <v>9.34626942975982</v>
      </c>
      <c r="S7883" s="50" t="n">
        <f aca="false">SUM(P7883:R7883)</f>
        <v>16.6204761586905</v>
      </c>
    </row>
    <row r="7884" customFormat="false" ht="15" hidden="false" customHeight="false" outlineLevel="0" collapsed="false">
      <c r="A7884" s="4" t="s">
        <v>518</v>
      </c>
      <c r="B7884" s="36" t="s">
        <v>516</v>
      </c>
      <c r="C7884" s="48" t="n">
        <f aca="false">IF(C7850-Assumptions!$E$36&lt;1,0,INDEX($C$7875:$N$7875,1,C7850-Assumptions!$E$36)*INDEX($C$7881:$N$7881,1,C7850-Assumptions!$E$36)*Assumptions!$E$32)</f>
        <v>0</v>
      </c>
      <c r="D7884" s="48" t="n">
        <f aca="false">IF(D7850-Assumptions!$E$36&lt;1,0,INDEX($C$7875:$N$7875,1,D7850-Assumptions!$E$36)*INDEX($C$7881:$N$7881,1,D7850-Assumptions!$E$36)*Assumptions!$E$32)</f>
        <v>0</v>
      </c>
      <c r="E7884" s="48" t="n">
        <f aca="false">IF(E7850-Assumptions!$E$36&lt;1,0,INDEX($C$7875:$N$7875,1,E7850-Assumptions!$E$36)*INDEX($C$7881:$N$7881,1,E7850-Assumptions!$E$36)*Assumptions!$E$32)</f>
        <v>0.071275680959914</v>
      </c>
      <c r="F7884" s="48" t="n">
        <f aca="false">IF(F7850-Assumptions!$E$36&lt;1,0,INDEX($C$7875:$N$7875,1,F7850-Assumptions!$E$36)*INDEX($C$7881:$N$7881,1,F7850-Assumptions!$E$36)*Assumptions!$E$32)</f>
        <v>0.122172096898336</v>
      </c>
      <c r="G7884" s="48" t="n">
        <f aca="false">IF(G7850-Assumptions!$E$36&lt;1,0,INDEX($C$7875:$N$7875,1,G7850-Assumptions!$E$36)*INDEX($C$7881:$N$7881,1,G7850-Assumptions!$E$36)*Assumptions!$E$32)</f>
        <v>0.134806133891215</v>
      </c>
      <c r="H7884" s="48" t="n">
        <f aca="false">IF(H7850-Assumptions!$E$36&lt;1,0,INDEX($C$7875:$N$7875,1,H7850-Assumptions!$E$36)*INDEX($C$7881:$N$7881,1,H7850-Assumptions!$E$36)*Assumptions!$E$32)</f>
        <v>0.147699251661313</v>
      </c>
      <c r="I7884" s="48" t="n">
        <f aca="false">IF(I7850-Assumptions!$E$36&lt;1,0,INDEX($C$7875:$N$7875,1,I7850-Assumptions!$E$36)*INDEX($C$7881:$N$7881,1,I7850-Assumptions!$E$36)*Assumptions!$E$32)</f>
        <v>0.174259973058587</v>
      </c>
      <c r="J7884" s="48" t="n">
        <f aca="false">IF(J7850-Assumptions!$E$36&lt;1,0,INDEX($C$7875:$N$7875,1,J7850-Assumptions!$E$36)*INDEX($C$7881:$N$7881,1,J7850-Assumptions!$E$36)*Assumptions!$E$32)</f>
        <v>0.19948212034567</v>
      </c>
      <c r="K7884" s="48" t="n">
        <f aca="false">IF(K7850-Assumptions!$E$36&lt;1,0,INDEX($C$7875:$N$7875,1,K7850-Assumptions!$E$36)*INDEX($C$7881:$N$7881,1,K7850-Assumptions!$E$36)*Assumptions!$E$32)</f>
        <v>0.265355665717199</v>
      </c>
      <c r="L7884" s="48" t="n">
        <f aca="false">IF(L7850-Assumptions!$E$36&lt;1,0,INDEX($C$7875:$N$7875,1,L7850-Assumptions!$E$36)*INDEX($C$7881:$N$7881,1,L7850-Assumptions!$E$36)*Assumptions!$E$32)</f>
        <v>0.327251866823927</v>
      </c>
      <c r="M7884" s="48" t="n">
        <f aca="false">IF(M7850-Assumptions!$E$36&lt;1,0,INDEX($C$7875:$N$7875,1,M7850-Assumptions!$E$36)*INDEX($C$7881:$N$7881,1,M7850-Assumptions!$E$36)*Assumptions!$E$32)</f>
        <v>0.329577165643402</v>
      </c>
      <c r="N7884" s="48" t="n">
        <f aca="false">IF(N7850-Assumptions!$E$36&lt;1,0,INDEX($C$7875:$N$7875,1,N7850-Assumptions!$E$36)*INDEX($C$7881:$N$7881,1,N7850-Assumptions!$E$36)*Assumptions!$E$32)</f>
        <v>0.319818636912259</v>
      </c>
      <c r="P7884" s="49" t="n">
        <f aca="false">SUM(C7884:F7884)</f>
        <v>0.19344777785825</v>
      </c>
      <c r="Q7884" s="49" t="n">
        <f aca="false">SUM(G7884:J7884)</f>
        <v>0.656247478956785</v>
      </c>
      <c r="R7884" s="49" t="n">
        <f aca="false">SUM(K7884:N7884)</f>
        <v>1.24200333509679</v>
      </c>
      <c r="S7884" s="50" t="n">
        <f aca="false">SUM(P7884:R7884)</f>
        <v>2.09169859191182</v>
      </c>
    </row>
    <row r="7885" customFormat="false" ht="15" hidden="false" customHeight="false" outlineLevel="0" collapsed="false">
      <c r="A7885" s="4" t="s">
        <v>519</v>
      </c>
      <c r="B7885" s="36" t="s">
        <v>77</v>
      </c>
      <c r="C7885" s="51" t="n">
        <f aca="false">IF(C7850-Assumptions!$E$35&lt;1,0,IFERROR(INDEX($C$7874:$N$7874,1,C7850-Assumptions!$E$35)/INDEX($C$7875:$N$7875,1,C7850-Assumptions!$E$35),0))</f>
        <v>0</v>
      </c>
      <c r="D7885" s="51" t="n">
        <f aca="false">IF(D7850-Assumptions!$E$35&lt;1,0,IFERROR(INDEX($C$7874:$N$7874,1,D7850-Assumptions!$E$35)/INDEX($C$7875:$N$7875,1,D7850-Assumptions!$E$35),0))</f>
        <v>0.459271678087073</v>
      </c>
      <c r="E7885" s="51" t="n">
        <f aca="false">IF(E7850-Assumptions!$E$35&lt;1,0,IFERROR(INDEX($C$7874:$N$7874,1,E7850-Assumptions!$E$35)/INDEX($C$7875:$N$7875,1,E7850-Assumptions!$E$35),0))</f>
        <v>0.401911350042128</v>
      </c>
      <c r="F7885" s="51" t="n">
        <f aca="false">IF(F7850-Assumptions!$E$35&lt;1,0,IFERROR(INDEX($C$7874:$N$7874,1,F7850-Assumptions!$E$35)/INDEX($C$7875:$N$7875,1,F7850-Assumptions!$E$35),0))</f>
        <v>0.485658933408398</v>
      </c>
      <c r="G7885" s="51" t="n">
        <f aca="false">IF(G7850-Assumptions!$E$35&lt;1,0,IFERROR(INDEX($C$7874:$N$7874,1,G7850-Assumptions!$E$35)/INDEX($C$7875:$N$7875,1,G7850-Assumptions!$E$35),0))</f>
        <v>0.554080356417826</v>
      </c>
      <c r="H7885" s="51" t="n">
        <f aca="false">IF(H7850-Assumptions!$E$35&lt;1,0,IFERROR(INDEX($C$7874:$N$7874,1,H7850-Assumptions!$E$35)/INDEX($C$7875:$N$7875,1,H7850-Assumptions!$E$35),0))</f>
        <v>0.522227563825987</v>
      </c>
      <c r="I7885" s="51" t="n">
        <f aca="false">IF(I7850-Assumptions!$E$35&lt;1,0,IFERROR(INDEX($C$7874:$N$7874,1,I7850-Assumptions!$E$35)/INDEX($C$7875:$N$7875,1,I7850-Assumptions!$E$35),0))</f>
        <v>0.507424816282752</v>
      </c>
      <c r="J7885" s="51" t="n">
        <f aca="false">IF(J7850-Assumptions!$E$35&lt;1,0,IFERROR(INDEX($C$7874:$N$7874,1,J7850-Assumptions!$E$35)/INDEX($C$7875:$N$7875,1,J7850-Assumptions!$E$35),0))</f>
        <v>0.401142323795015</v>
      </c>
      <c r="K7885" s="51" t="n">
        <f aca="false">IF(K7850-Assumptions!$E$35&lt;1,0,IFERROR(INDEX($C$7874:$N$7874,1,K7850-Assumptions!$E$35)/INDEX($C$7875:$N$7875,1,K7850-Assumptions!$E$35),0))</f>
        <v>0.352339268448632</v>
      </c>
      <c r="L7885" s="51" t="n">
        <f aca="false">IF(L7850-Assumptions!$E$35&lt;1,0,IFERROR(INDEX($C$7874:$N$7874,1,L7850-Assumptions!$E$35)/INDEX($C$7875:$N$7875,1,L7850-Assumptions!$E$35),0))</f>
        <v>0.388725970981282</v>
      </c>
      <c r="M7885" s="51" t="n">
        <f aca="false">IF(M7850-Assumptions!$E$35&lt;1,0,IFERROR(INDEX($C$7874:$N$7874,1,M7850-Assumptions!$E$35)/INDEX($C$7875:$N$7875,1,M7850-Assumptions!$E$35),0))</f>
        <v>0.400587048224893</v>
      </c>
      <c r="N7885" s="51" t="n">
        <f aca="false">IF(N7850-Assumptions!$E$35&lt;1,0,IFERROR(INDEX($C$7874:$N$7874,1,N7850-Assumptions!$E$35)/INDEX($C$7875:$N$7875,1,N7850-Assumptions!$E$35),0))</f>
        <v>0.412294251872474</v>
      </c>
      <c r="P7885" s="52"/>
      <c r="Q7885" s="52"/>
      <c r="R7885" s="52"/>
      <c r="S7885" s="53"/>
    </row>
    <row r="7886" customFormat="false" ht="15" hidden="false" customHeight="false" outlineLevel="0" collapsed="false">
      <c r="A7886" s="4" t="s">
        <v>520</v>
      </c>
      <c r="B7886" s="36" t="s">
        <v>516</v>
      </c>
      <c r="C7886" s="48" t="n">
        <f aca="false">C7882*Assumptions!$E$37</f>
        <v>0</v>
      </c>
      <c r="D7886" s="48" t="n">
        <f aca="false">D7882*Assumptions!$E$37</f>
        <v>0.259912933555146</v>
      </c>
      <c r="E7886" s="48" t="n">
        <f aca="false">E7882*Assumptions!$E$37</f>
        <v>0.44551111509252</v>
      </c>
      <c r="F7886" s="48" t="n">
        <f aca="false">F7882*Assumptions!$E$37</f>
        <v>0.491582223403786</v>
      </c>
      <c r="G7886" s="48" t="n">
        <f aca="false">G7882*Assumptions!$E$37</f>
        <v>0.538598092170902</v>
      </c>
      <c r="H7886" s="48" t="n">
        <f aca="false">H7882*Assumptions!$E$37</f>
        <v>0.693059034518982</v>
      </c>
      <c r="I7886" s="48" t="n">
        <f aca="false">I7882*Assumptions!$E$37</f>
        <v>0.837333199523593</v>
      </c>
      <c r="J7886" s="48" t="n">
        <f aca="false">J7882*Assumptions!$E$37</f>
        <v>1.23920792626314</v>
      </c>
      <c r="K7886" s="48" t="n">
        <f aca="false">K7882*Assumptions!$E$37</f>
        <v>1.60294759006577</v>
      </c>
      <c r="L7886" s="48" t="n">
        <f aca="false">L7882*Assumptions!$E$37</f>
        <v>1.61433738647866</v>
      </c>
      <c r="M7886" s="48" t="n">
        <f aca="false">M7882*Assumptions!$E$37</f>
        <v>1.56653808661831</v>
      </c>
      <c r="N7886" s="48" t="n">
        <f aca="false">N7882*Assumptions!$E$37</f>
        <v>1.5220558259066</v>
      </c>
      <c r="P7886" s="49" t="n">
        <f aca="false">SUM(C7886:F7886)</f>
        <v>1.19700627205145</v>
      </c>
      <c r="Q7886" s="49" t="n">
        <f aca="false">SUM(G7886:J7886)</f>
        <v>3.30819825247662</v>
      </c>
      <c r="R7886" s="49" t="n">
        <f aca="false">SUM(K7886:N7886)</f>
        <v>6.30587888906934</v>
      </c>
      <c r="S7886" s="50" t="n">
        <f aca="false">SUM(P7886:R7886)</f>
        <v>10.8110834135974</v>
      </c>
    </row>
    <row r="7887" customFormat="false" ht="15" hidden="false" customHeight="false" outlineLevel="0" collapsed="false">
      <c r="A7887" s="4" t="s">
        <v>521</v>
      </c>
      <c r="B7887" s="36" t="s">
        <v>516</v>
      </c>
      <c r="C7887" s="48" t="n">
        <f aca="false">C7882*(1-Assumptions!$E$37)</f>
        <v>0</v>
      </c>
      <c r="D7887" s="48" t="n">
        <f aca="false">D7882*(1-Assumptions!$E$37)</f>
        <v>0.606463511628675</v>
      </c>
      <c r="E7887" s="48" t="n">
        <f aca="false">E7882*(1-Assumptions!$E$37)</f>
        <v>1.03952593521588</v>
      </c>
      <c r="F7887" s="48" t="n">
        <f aca="false">F7882*(1-Assumptions!$E$37)</f>
        <v>1.14702518794217</v>
      </c>
      <c r="G7887" s="48" t="n">
        <f aca="false">G7882*(1-Assumptions!$E$37)</f>
        <v>1.25672888173211</v>
      </c>
      <c r="H7887" s="48" t="n">
        <f aca="false">H7882*(1-Assumptions!$E$37)</f>
        <v>1.61713774721096</v>
      </c>
      <c r="I7887" s="48" t="n">
        <f aca="false">I7882*(1-Assumptions!$E$37)</f>
        <v>1.95377746555505</v>
      </c>
      <c r="J7887" s="48" t="n">
        <f aca="false">J7882*(1-Assumptions!$E$37)</f>
        <v>2.89148516128066</v>
      </c>
      <c r="K7887" s="48" t="n">
        <f aca="false">K7882*(1-Assumptions!$E$37)</f>
        <v>3.7402110434868</v>
      </c>
      <c r="L7887" s="48" t="n">
        <f aca="false">L7882*(1-Assumptions!$E$37)</f>
        <v>3.76678723511687</v>
      </c>
      <c r="M7887" s="48" t="n">
        <f aca="false">M7882*(1-Assumptions!$E$37)</f>
        <v>3.65525553544273</v>
      </c>
      <c r="N7887" s="48" t="n">
        <f aca="false">N7882*(1-Assumptions!$E$37)</f>
        <v>3.55146359378206</v>
      </c>
      <c r="P7887" s="49" t="n">
        <f aca="false">SUM(C7887:F7887)</f>
        <v>2.79301463478672</v>
      </c>
      <c r="Q7887" s="49" t="n">
        <f aca="false">SUM(G7887:J7887)</f>
        <v>7.71912925577877</v>
      </c>
      <c r="R7887" s="49" t="n">
        <f aca="false">SUM(K7887:N7887)</f>
        <v>14.7137174078285</v>
      </c>
      <c r="S7887" s="50" t="n">
        <f aca="false">SUM(P7887:R7887)</f>
        <v>25.225861298394</v>
      </c>
    </row>
    <row r="7888" customFormat="false" ht="15" hidden="false" customHeight="false" outlineLevel="0" collapsed="false">
      <c r="A7888" s="4" t="s">
        <v>522</v>
      </c>
      <c r="B7888" s="36" t="s">
        <v>125</v>
      </c>
      <c r="C7888" s="54" t="n">
        <f aca="false">C7887*$C$7841+C7883*$C$7842+C7884*$C$7843</f>
        <v>0</v>
      </c>
      <c r="D7888" s="54" t="n">
        <f aca="false">D7887*$C$7841+D7883*$C$7842+D7884*$C$7843</f>
        <v>7485.37917000042</v>
      </c>
      <c r="E7888" s="54" t="n">
        <f aca="false">E7887*$C$7841+E7883*$C$7842+E7884*$C$7843</f>
        <v>17233.8131620616</v>
      </c>
      <c r="F7888" s="54" t="n">
        <f aca="false">F7887*$C$7841+F7883*$C$7842+F7884*$C$7843</f>
        <v>21704.9328199195</v>
      </c>
      <c r="G7888" s="54" t="n">
        <f aca="false">G7887*$C$7841+G7883*$C$7842+G7884*$C$7843</f>
        <v>23839.4781169478</v>
      </c>
      <c r="H7888" s="54" t="n">
        <f aca="false">H7887*$C$7841+H7883*$C$7842+H7884*$C$7843</f>
        <v>28861.3828545359</v>
      </c>
      <c r="I7888" s="54" t="n">
        <f aca="false">I7887*$C$7841+I7883*$C$7842+I7884*$C$7843</f>
        <v>34454.8139810786</v>
      </c>
      <c r="J7888" s="54" t="n">
        <f aca="false">J7887*$C$7841+J7883*$C$7842+J7884*$C$7843</f>
        <v>46219.0265618748</v>
      </c>
      <c r="K7888" s="54" t="n">
        <f aca="false">K7887*$C$7841+K7883*$C$7842+K7884*$C$7843</f>
        <v>59614.7065475457</v>
      </c>
      <c r="L7888" s="54" t="n">
        <f aca="false">L7887*$C$7841+L7883*$C$7842+L7884*$C$7843</f>
        <v>63745.6576705911</v>
      </c>
      <c r="M7888" s="54" t="n">
        <f aca="false">M7887*$C$7841+M7883*$C$7842+M7884*$C$7843</f>
        <v>62600.461663715</v>
      </c>
      <c r="N7888" s="54" t="n">
        <f aca="false">N7887*$C$7841+N7883*$C$7842+N7884*$C$7843</f>
        <v>60798.1877142281</v>
      </c>
      <c r="P7888" s="55" t="n">
        <f aca="false">SUM(C7888:F7888)</f>
        <v>46424.1251519815</v>
      </c>
      <c r="Q7888" s="55" t="n">
        <f aca="false">SUM(G7888:J7888)</f>
        <v>133374.701514437</v>
      </c>
      <c r="R7888" s="55" t="n">
        <f aca="false">SUM(K7888:N7888)</f>
        <v>246759.01359608</v>
      </c>
      <c r="S7888" s="56" t="n">
        <f aca="false">SUM(P7888:R7888)</f>
        <v>426557.840262498</v>
      </c>
    </row>
    <row r="7889" customFormat="false" ht="15" hidden="false" customHeight="false" outlineLevel="0" collapsed="false">
      <c r="A7889" s="4" t="s">
        <v>523</v>
      </c>
      <c r="B7889" s="36" t="s">
        <v>125</v>
      </c>
      <c r="C7889" s="54" t="n">
        <f aca="false">(C7865+Assumptions!$D$104*C7851)*$C$7846</f>
        <v>306250</v>
      </c>
      <c r="D7889" s="54" t="n">
        <f aca="false">(D7865+Assumptions!$D$104*D7851)*$C$7846</f>
        <v>306250</v>
      </c>
      <c r="E7889" s="54" t="n">
        <f aca="false">(E7865+Assumptions!$D$104*E7851)*$C$7846</f>
        <v>306250</v>
      </c>
      <c r="F7889" s="54" t="n">
        <f aca="false">(F7865+Assumptions!$D$104*F7851)*$C$7846</f>
        <v>306250</v>
      </c>
      <c r="G7889" s="54" t="n">
        <f aca="false">(G7865+Assumptions!$D$104*G7851)*$C$7846</f>
        <v>306250</v>
      </c>
      <c r="H7889" s="54" t="n">
        <f aca="false">(H7865+Assumptions!$D$104*H7851)*$C$7846</f>
        <v>306250</v>
      </c>
      <c r="I7889" s="54" t="n">
        <f aca="false">(I7865+Assumptions!$D$104*I7851)*$C$7846</f>
        <v>306250</v>
      </c>
      <c r="J7889" s="54" t="n">
        <f aca="false">(J7865+Assumptions!$D$104*J7851)*$C$7846</f>
        <v>306250</v>
      </c>
      <c r="K7889" s="54" t="n">
        <f aca="false">(K7865+Assumptions!$D$104*K7851)*$C$7846</f>
        <v>306250</v>
      </c>
      <c r="L7889" s="54" t="n">
        <f aca="false">(L7865+Assumptions!$D$104*L7851)*$C$7846</f>
        <v>306250</v>
      </c>
      <c r="M7889" s="54" t="n">
        <f aca="false">(M7865+Assumptions!$D$104*M7851)*$C$7846</f>
        <v>306250</v>
      </c>
      <c r="N7889" s="54" t="n">
        <f aca="false">(N7865+Assumptions!$D$104*N7851)*$C$7846</f>
        <v>306250</v>
      </c>
      <c r="P7889" s="55" t="n">
        <f aca="false">SUM(C7889:F7889)</f>
        <v>1225000</v>
      </c>
      <c r="Q7889" s="55" t="n">
        <f aca="false">SUM(G7889:J7889)</f>
        <v>1225000</v>
      </c>
      <c r="R7889" s="55" t="n">
        <f aca="false">SUM(K7889:N7889)</f>
        <v>1225000</v>
      </c>
      <c r="S7889" s="56" t="n">
        <f aca="false">SUM(P7889:R7889)</f>
        <v>3675000</v>
      </c>
    </row>
    <row r="7890" customFormat="false" ht="15" hidden="false" customHeight="false" outlineLevel="0" collapsed="false">
      <c r="A7890" s="4" t="s">
        <v>524</v>
      </c>
      <c r="B7890" s="36" t="s">
        <v>77</v>
      </c>
      <c r="C7890" s="51" t="n">
        <f aca="false">IF(C7888&gt;0,MIN(1,C7889/C7888),1)</f>
        <v>1</v>
      </c>
      <c r="D7890" s="51" t="n">
        <f aca="false">IF(D7888&gt;0,MIN(1,D7889/D7888),1)</f>
        <v>1</v>
      </c>
      <c r="E7890" s="51" t="n">
        <f aca="false">IF(E7888&gt;0,MIN(1,E7889/E7888),1)</f>
        <v>1</v>
      </c>
      <c r="F7890" s="51" t="n">
        <f aca="false">IF(F7888&gt;0,MIN(1,F7889/F7888),1)</f>
        <v>1</v>
      </c>
      <c r="G7890" s="51" t="n">
        <f aca="false">IF(G7888&gt;0,MIN(1,G7889/G7888),1)</f>
        <v>1</v>
      </c>
      <c r="H7890" s="51" t="n">
        <f aca="false">IF(H7888&gt;0,MIN(1,H7889/H7888),1)</f>
        <v>1</v>
      </c>
      <c r="I7890" s="51" t="n">
        <f aca="false">IF(I7888&gt;0,MIN(1,I7889/I7888),1)</f>
        <v>1</v>
      </c>
      <c r="J7890" s="51" t="n">
        <f aca="false">IF(J7888&gt;0,MIN(1,J7889/J7888),1)</f>
        <v>1</v>
      </c>
      <c r="K7890" s="51" t="n">
        <f aca="false">IF(K7888&gt;0,MIN(1,K7889/K7888),1)</f>
        <v>1</v>
      </c>
      <c r="L7890" s="51" t="n">
        <f aca="false">IF(L7888&gt;0,MIN(1,L7889/L7888),1)</f>
        <v>1</v>
      </c>
      <c r="M7890" s="51" t="n">
        <f aca="false">IF(M7888&gt;0,MIN(1,M7889/M7888),1)</f>
        <v>1</v>
      </c>
      <c r="N7890" s="51" t="n">
        <f aca="false">IF(N7888&gt;0,MIN(1,N7889/N7888),1)</f>
        <v>1</v>
      </c>
      <c r="P7890" s="52"/>
      <c r="Q7890" s="52"/>
      <c r="R7890" s="52"/>
      <c r="S7890" s="53"/>
    </row>
    <row r="7891" customFormat="false" ht="15" hidden="false" customHeight="false" outlineLevel="0" collapsed="false">
      <c r="A7891" s="4" t="s">
        <v>525</v>
      </c>
      <c r="B7891" s="36" t="s">
        <v>125</v>
      </c>
      <c r="C7891" s="54" t="n">
        <f aca="false">C7888*(1-C7890)</f>
        <v>0</v>
      </c>
      <c r="D7891" s="54" t="n">
        <f aca="false">D7888*(1-D7890)</f>
        <v>0</v>
      </c>
      <c r="E7891" s="54" t="n">
        <f aca="false">E7888*(1-E7890)</f>
        <v>0</v>
      </c>
      <c r="F7891" s="54" t="n">
        <f aca="false">F7888*(1-F7890)</f>
        <v>0</v>
      </c>
      <c r="G7891" s="54" t="n">
        <f aca="false">G7888*(1-G7890)</f>
        <v>0</v>
      </c>
      <c r="H7891" s="54" t="n">
        <f aca="false">H7888*(1-H7890)</f>
        <v>0</v>
      </c>
      <c r="I7891" s="54" t="n">
        <f aca="false">I7888*(1-I7890)</f>
        <v>0</v>
      </c>
      <c r="J7891" s="54" t="n">
        <f aca="false">J7888*(1-J7890)</f>
        <v>0</v>
      </c>
      <c r="K7891" s="54" t="n">
        <f aca="false">K7888*(1-K7890)</f>
        <v>0</v>
      </c>
      <c r="L7891" s="54" t="n">
        <f aca="false">L7888*(1-L7890)</f>
        <v>0</v>
      </c>
      <c r="M7891" s="54" t="n">
        <f aca="false">M7888*(1-M7890)</f>
        <v>0</v>
      </c>
      <c r="N7891" s="54" t="n">
        <f aca="false">N7888*(1-N7890)</f>
        <v>0</v>
      </c>
      <c r="P7891" s="55" t="n">
        <f aca="false">SUM(C7891:F7891)</f>
        <v>0</v>
      </c>
      <c r="Q7891" s="55" t="n">
        <f aca="false">SUM(G7891:J7891)</f>
        <v>0</v>
      </c>
      <c r="R7891" s="55" t="n">
        <f aca="false">SUM(K7891:N7891)</f>
        <v>0</v>
      </c>
      <c r="S7891" s="56" t="n">
        <f aca="false">SUM(P7891:R7891)</f>
        <v>0</v>
      </c>
    </row>
    <row r="7892" customFormat="false" ht="15" hidden="false" customHeight="false" outlineLevel="0" collapsed="false">
      <c r="A7892" s="4" t="s">
        <v>526</v>
      </c>
      <c r="B7892" s="36" t="s">
        <v>527</v>
      </c>
      <c r="C7892" s="48" t="n">
        <f aca="false">C7886+C7887*C7890</f>
        <v>0</v>
      </c>
      <c r="D7892" s="48" t="n">
        <f aca="false">D7886+D7887*D7890</f>
        <v>0.866376445183821</v>
      </c>
      <c r="E7892" s="48" t="n">
        <f aca="false">E7886+E7887*E7890</f>
        <v>1.4850370503084</v>
      </c>
      <c r="F7892" s="48" t="n">
        <f aca="false">F7886+F7887*F7890</f>
        <v>1.63860741134595</v>
      </c>
      <c r="G7892" s="48" t="n">
        <f aca="false">G7886+G7887*G7890</f>
        <v>1.79532697390301</v>
      </c>
      <c r="H7892" s="48" t="n">
        <f aca="false">H7886+H7887*H7890</f>
        <v>2.31019678172994</v>
      </c>
      <c r="I7892" s="48" t="n">
        <f aca="false">I7886+I7887*I7890</f>
        <v>2.79111066507864</v>
      </c>
      <c r="J7892" s="48" t="n">
        <f aca="false">J7886+J7887*J7890</f>
        <v>4.1306930875438</v>
      </c>
      <c r="K7892" s="48" t="n">
        <f aca="false">K7886+K7887*K7890</f>
        <v>5.34315863355258</v>
      </c>
      <c r="L7892" s="48" t="n">
        <f aca="false">L7886+L7887*L7890</f>
        <v>5.38112462159553</v>
      </c>
      <c r="M7892" s="48" t="n">
        <f aca="false">M7886+M7887*M7890</f>
        <v>5.22179362206104</v>
      </c>
      <c r="N7892" s="48" t="n">
        <f aca="false">N7886+N7887*N7890</f>
        <v>5.07351941968866</v>
      </c>
      <c r="P7892" s="49" t="n">
        <f aca="false">SUM(C7892:F7892)</f>
        <v>3.99002090683817</v>
      </c>
      <c r="Q7892" s="49" t="n">
        <f aca="false">SUM(G7892:J7892)</f>
        <v>11.0273275082554</v>
      </c>
      <c r="R7892" s="49" t="n">
        <f aca="false">SUM(K7892:N7892)</f>
        <v>21.0195962968978</v>
      </c>
      <c r="S7892" s="50" t="n">
        <f aca="false">SUM(P7892:R7892)</f>
        <v>36.0369447119914</v>
      </c>
    </row>
    <row r="7893" customFormat="false" ht="15" hidden="false" customHeight="false" outlineLevel="0" collapsed="false">
      <c r="A7893" s="4" t="s">
        <v>528</v>
      </c>
      <c r="B7893" s="36" t="s">
        <v>527</v>
      </c>
      <c r="C7893" s="48" t="n">
        <f aca="false">C7883*C7890</f>
        <v>0</v>
      </c>
      <c r="D7893" s="48" t="n">
        <f aca="false">D7883*D7890</f>
        <v>0.434084974267145</v>
      </c>
      <c r="E7893" s="48" t="n">
        <f aca="false">E7883*E7890</f>
        <v>0.744055627726705</v>
      </c>
      <c r="F7893" s="48" t="n">
        <f aca="false">F7883*F7890</f>
        <v>0.820999762796119</v>
      </c>
      <c r="G7893" s="48" t="n">
        <f aca="false">G7883*G7890</f>
        <v>0.89952175823807</v>
      </c>
      <c r="H7893" s="48" t="n">
        <f aca="false">H7883*H7890</f>
        <v>1.13465516292283</v>
      </c>
      <c r="I7893" s="48" t="n">
        <f aca="false">I7883*I7890</f>
        <v>1.35487856174628</v>
      </c>
      <c r="J7893" s="48" t="n">
        <f aca="false">J7883*J7890</f>
        <v>1.88601088123353</v>
      </c>
      <c r="K7893" s="48" t="n">
        <f aca="false">K7883*K7890</f>
        <v>2.37581157552964</v>
      </c>
      <c r="L7893" s="48" t="n">
        <f aca="false">L7883*L7890</f>
        <v>2.3926929822134</v>
      </c>
      <c r="M7893" s="48" t="n">
        <f aca="false">M7883*M7890</f>
        <v>2.32184716628391</v>
      </c>
      <c r="N7893" s="48" t="n">
        <f aca="false">N7883*N7890</f>
        <v>2.25591770573287</v>
      </c>
      <c r="P7893" s="49" t="n">
        <f aca="false">SUM(C7893:F7893)</f>
        <v>1.99914036478997</v>
      </c>
      <c r="Q7893" s="49" t="n">
        <f aca="false">SUM(G7893:J7893)</f>
        <v>5.27506636414072</v>
      </c>
      <c r="R7893" s="49" t="n">
        <f aca="false">SUM(K7893:N7893)</f>
        <v>9.34626942975982</v>
      </c>
      <c r="S7893" s="50" t="n">
        <f aca="false">SUM(P7893:R7893)</f>
        <v>16.6204761586905</v>
      </c>
    </row>
    <row r="7894" customFormat="false" ht="15" hidden="false" customHeight="false" outlineLevel="0" collapsed="false">
      <c r="A7894" s="4" t="s">
        <v>529</v>
      </c>
      <c r="B7894" s="36" t="s">
        <v>527</v>
      </c>
      <c r="C7894" s="48" t="n">
        <f aca="false">C7884*C7890</f>
        <v>0</v>
      </c>
      <c r="D7894" s="48" t="n">
        <f aca="false">D7884*D7890</f>
        <v>0</v>
      </c>
      <c r="E7894" s="48" t="n">
        <f aca="false">E7884*E7890</f>
        <v>0.071275680959914</v>
      </c>
      <c r="F7894" s="48" t="n">
        <f aca="false">F7884*F7890</f>
        <v>0.122172096898336</v>
      </c>
      <c r="G7894" s="48" t="n">
        <f aca="false">G7884*G7890</f>
        <v>0.134806133891215</v>
      </c>
      <c r="H7894" s="48" t="n">
        <f aca="false">H7884*H7890</f>
        <v>0.147699251661313</v>
      </c>
      <c r="I7894" s="48" t="n">
        <f aca="false">I7884*I7890</f>
        <v>0.174259973058587</v>
      </c>
      <c r="J7894" s="48" t="n">
        <f aca="false">J7884*J7890</f>
        <v>0.19948212034567</v>
      </c>
      <c r="K7894" s="48" t="n">
        <f aca="false">K7884*K7890</f>
        <v>0.265355665717199</v>
      </c>
      <c r="L7894" s="48" t="n">
        <f aca="false">L7884*L7890</f>
        <v>0.327251866823927</v>
      </c>
      <c r="M7894" s="48" t="n">
        <f aca="false">M7884*M7890</f>
        <v>0.329577165643402</v>
      </c>
      <c r="N7894" s="48" t="n">
        <f aca="false">N7884*N7890</f>
        <v>0.319818636912259</v>
      </c>
      <c r="P7894" s="49" t="n">
        <f aca="false">SUM(C7894:F7894)</f>
        <v>0.19344777785825</v>
      </c>
      <c r="Q7894" s="49" t="n">
        <f aca="false">SUM(G7894:J7894)</f>
        <v>0.656247478956785</v>
      </c>
      <c r="R7894" s="49" t="n">
        <f aca="false">SUM(K7894:N7894)</f>
        <v>1.24200333509679</v>
      </c>
      <c r="S7894" s="50" t="n">
        <f aca="false">SUM(P7894:R7894)</f>
        <v>2.09169859191182</v>
      </c>
    </row>
    <row r="7895" customFormat="false" ht="15" hidden="false" customHeight="false" outlineLevel="0" collapsed="false">
      <c r="A7895" s="9" t="s">
        <v>530</v>
      </c>
      <c r="B7895" s="36" t="s">
        <v>527</v>
      </c>
      <c r="C7895" s="49" t="n">
        <f aca="false">C7892+C7893+C7894</f>
        <v>0</v>
      </c>
      <c r="D7895" s="49" t="n">
        <f aca="false">D7892+D7893+D7894</f>
        <v>1.30046141945097</v>
      </c>
      <c r="E7895" s="49" t="n">
        <f aca="false">E7892+E7893+E7894</f>
        <v>2.30036835899502</v>
      </c>
      <c r="F7895" s="49" t="n">
        <f aca="false">F7892+F7893+F7894</f>
        <v>2.58177927104041</v>
      </c>
      <c r="G7895" s="49" t="n">
        <f aca="false">G7892+G7893+G7894</f>
        <v>2.82965486603229</v>
      </c>
      <c r="H7895" s="49" t="n">
        <f aca="false">H7892+H7893+H7894</f>
        <v>3.59255119631409</v>
      </c>
      <c r="I7895" s="49" t="n">
        <f aca="false">I7892+I7893+I7894</f>
        <v>4.32024919988351</v>
      </c>
      <c r="J7895" s="49" t="n">
        <f aca="false">J7892+J7893+J7894</f>
        <v>6.216186089123</v>
      </c>
      <c r="K7895" s="49" t="n">
        <f aca="false">K7892+K7893+K7894</f>
        <v>7.98432587479941</v>
      </c>
      <c r="L7895" s="49" t="n">
        <f aca="false">L7892+L7893+L7894</f>
        <v>8.10106947063285</v>
      </c>
      <c r="M7895" s="49" t="n">
        <f aca="false">M7892+M7893+M7894</f>
        <v>7.87321795398836</v>
      </c>
      <c r="N7895" s="49" t="n">
        <f aca="false">N7892+N7893+N7894</f>
        <v>7.64925576233379</v>
      </c>
      <c r="P7895" s="49" t="n">
        <f aca="false">SUM(C7895:F7895)</f>
        <v>6.18260904948639</v>
      </c>
      <c r="Q7895" s="49" t="n">
        <f aca="false">SUM(G7895:J7895)</f>
        <v>16.9586413513529</v>
      </c>
      <c r="R7895" s="49" t="n">
        <f aca="false">SUM(K7895:N7895)</f>
        <v>31.6078690617544</v>
      </c>
      <c r="S7895" s="50" t="n">
        <f aca="false">SUM(P7895:R7895)</f>
        <v>54.7491194625937</v>
      </c>
    </row>
    <row r="7896" customFormat="false" ht="15" hidden="false" customHeight="false" outlineLevel="0" collapsed="false">
      <c r="A7896" s="35" t="s">
        <v>533</v>
      </c>
      <c r="B7896" s="35" t="s">
        <v>444</v>
      </c>
      <c r="C7896" s="6" t="s">
        <v>354</v>
      </c>
      <c r="D7896" s="6" t="s">
        <v>355</v>
      </c>
      <c r="E7896" s="6" t="s">
        <v>356</v>
      </c>
      <c r="F7896" s="6" t="s">
        <v>357</v>
      </c>
      <c r="G7896" s="6" t="s">
        <v>358</v>
      </c>
      <c r="H7896" s="6" t="s">
        <v>359</v>
      </c>
      <c r="I7896" s="6" t="s">
        <v>360</v>
      </c>
      <c r="J7896" s="6" t="s">
        <v>361</v>
      </c>
      <c r="K7896" s="6" t="s">
        <v>362</v>
      </c>
      <c r="L7896" s="6" t="s">
        <v>363</v>
      </c>
      <c r="M7896" s="6" t="s">
        <v>364</v>
      </c>
      <c r="N7896" s="6" t="s">
        <v>365</v>
      </c>
      <c r="P7896" s="6" t="s">
        <v>445</v>
      </c>
      <c r="Q7896" s="6" t="s">
        <v>446</v>
      </c>
      <c r="R7896" s="6" t="s">
        <v>447</v>
      </c>
      <c r="S7896" s="6" t="s">
        <v>448</v>
      </c>
    </row>
    <row r="7897" customFormat="false" ht="15" hidden="false" customHeight="false" outlineLevel="0" collapsed="false">
      <c r="A7897" s="4" t="s">
        <v>534</v>
      </c>
      <c r="B7897" s="36" t="s">
        <v>527</v>
      </c>
      <c r="C7897" s="48" t="n">
        <f aca="false">0*Assumptions!$E$59^(1/4)+C7892</f>
        <v>0</v>
      </c>
      <c r="D7897" s="48" t="n">
        <f aca="false">C7897*Assumptions!$E$59^(1/4)+D7892</f>
        <v>0.866376445183821</v>
      </c>
      <c r="E7897" s="48" t="n">
        <f aca="false">D7897*Assumptions!$E$59^(1/4)+E7892</f>
        <v>2.32416329488403</v>
      </c>
      <c r="F7897" s="48" t="n">
        <f aca="false">E7897*Assumptions!$E$59^(1/4)+F7892</f>
        <v>3.88966863104794</v>
      </c>
      <c r="G7897" s="48" t="n">
        <f aca="false">F7897*Assumptions!$E$59^(1/4)+G7892</f>
        <v>5.56265357789716</v>
      </c>
      <c r="H7897" s="48" t="n">
        <f aca="false">G7897*Assumptions!$E$59^(1/4)+H7892</f>
        <v>7.69788781678072</v>
      </c>
      <c r="I7897" s="48" t="n">
        <f aca="false">H7897*Assumptions!$E$59^(1/4)+I7892</f>
        <v>10.2468762630101</v>
      </c>
      <c r="J7897" s="48" t="n">
        <f aca="false">I7897*Assumptions!$E$59^(1/4)+J7892</f>
        <v>14.0552736148763</v>
      </c>
      <c r="K7897" s="48" t="n">
        <f aca="false">J7897*Assumptions!$E$59^(1/4)+K7892</f>
        <v>18.9563507170835</v>
      </c>
      <c r="L7897" s="48" t="n">
        <f aca="false">K7897*Assumptions!$E$59^(1/4)+L7892</f>
        <v>23.7412398769334</v>
      </c>
      <c r="M7897" s="48" t="n">
        <f aca="false">L7897*Assumptions!$E$59^(1/4)+M7892</f>
        <v>28.2162985745513</v>
      </c>
      <c r="N7897" s="48" t="n">
        <f aca="false">M7897*Assumptions!$E$59^(1/4)+N7892</f>
        <v>32.4023287268997</v>
      </c>
      <c r="P7897" s="49" t="n">
        <f aca="false">F7897</f>
        <v>3.88966863104794</v>
      </c>
      <c r="Q7897" s="49" t="n">
        <f aca="false">J7897</f>
        <v>14.0552736148763</v>
      </c>
      <c r="R7897" s="49" t="n">
        <f aca="false">N7897</f>
        <v>32.4023287268997</v>
      </c>
      <c r="S7897" s="50" t="n">
        <f aca="false">R7897</f>
        <v>32.4023287268997</v>
      </c>
    </row>
    <row r="7898" customFormat="false" ht="15" hidden="false" customHeight="false" outlineLevel="0" collapsed="false">
      <c r="A7898" s="4" t="s">
        <v>535</v>
      </c>
      <c r="B7898" s="36" t="s">
        <v>527</v>
      </c>
      <c r="C7898" s="48" t="n">
        <f aca="false">0*Assumptions!$E$60^(1/4)+C7893</f>
        <v>0</v>
      </c>
      <c r="D7898" s="48" t="n">
        <f aca="false">C7898*Assumptions!$E$60^(1/4)+D7893</f>
        <v>0.434084974267145</v>
      </c>
      <c r="E7898" s="48" t="n">
        <f aca="false">D7898*Assumptions!$E$60^(1/4)+E7893</f>
        <v>1.16685601892983</v>
      </c>
      <c r="F7898" s="48" t="n">
        <f aca="false">E7898*Assumptions!$E$60^(1/4)+F7893</f>
        <v>1.95752189677268</v>
      </c>
      <c r="G7898" s="48" t="n">
        <f aca="false">F7898*Assumptions!$E$60^(1/4)+G7893</f>
        <v>2.80615541940422</v>
      </c>
      <c r="H7898" s="48" t="n">
        <f aca="false">G7898*Assumptions!$E$60^(1/4)+H7893</f>
        <v>3.86786105447419</v>
      </c>
      <c r="I7898" s="48" t="n">
        <f aca="false">H7898*Assumptions!$E$60^(1/4)+I7893</f>
        <v>5.12218971945664</v>
      </c>
      <c r="J7898" s="48" t="n">
        <f aca="false">I7898*Assumptions!$E$60^(1/4)+J7893</f>
        <v>6.87504285788544</v>
      </c>
      <c r="K7898" s="48" t="n">
        <f aca="false">J7898*Assumptions!$E$60^(1/4)+K7893</f>
        <v>9.07212907594454</v>
      </c>
      <c r="L7898" s="48" t="n">
        <f aca="false">K7898*Assumptions!$E$60^(1/4)+L7893</f>
        <v>11.2289806902372</v>
      </c>
      <c r="M7898" s="48" t="n">
        <f aca="false">L7898*Assumptions!$E$60^(1/4)+M7893</f>
        <v>13.2589164271123</v>
      </c>
      <c r="N7898" s="48" t="n">
        <f aca="false">M7898*Assumptions!$E$60^(1/4)+N7893</f>
        <v>15.1701519792802</v>
      </c>
      <c r="P7898" s="49" t="n">
        <f aca="false">F7898</f>
        <v>1.95752189677268</v>
      </c>
      <c r="Q7898" s="49" t="n">
        <f aca="false">J7898</f>
        <v>6.87504285788544</v>
      </c>
      <c r="R7898" s="49" t="n">
        <f aca="false">N7898</f>
        <v>15.1701519792802</v>
      </c>
      <c r="S7898" s="50" t="n">
        <f aca="false">R7898</f>
        <v>15.1701519792802</v>
      </c>
    </row>
    <row r="7899" customFormat="false" ht="15" hidden="false" customHeight="false" outlineLevel="0" collapsed="false">
      <c r="A7899" s="4" t="s">
        <v>536</v>
      </c>
      <c r="B7899" s="36" t="s">
        <v>527</v>
      </c>
      <c r="C7899" s="48" t="n">
        <f aca="false">0*Assumptions!$E$61^(1/4)+C7894</f>
        <v>0</v>
      </c>
      <c r="D7899" s="48" t="n">
        <f aca="false">C7899*Assumptions!$E$61^(1/4)+D7894</f>
        <v>0</v>
      </c>
      <c r="E7899" s="48" t="n">
        <f aca="false">D7899*Assumptions!$E$61^(1/4)+E7894</f>
        <v>0.071275680959914</v>
      </c>
      <c r="F7899" s="48" t="n">
        <f aca="false">E7899*Assumptions!$E$61^(1/4)+F7894</f>
        <v>0.191977386314485</v>
      </c>
      <c r="G7899" s="48" t="n">
        <f aca="false">F7899*Assumptions!$E$61^(1/4)+G7894</f>
        <v>0.322823096094288</v>
      </c>
      <c r="H7899" s="48" t="n">
        <f aca="false">G7899*Assumptions!$E$61^(1/4)+H7894</f>
        <v>0.463862623930639</v>
      </c>
      <c r="I7899" s="48" t="n">
        <f aca="false">H7899*Assumptions!$E$61^(1/4)+I7894</f>
        <v>0.628553278667598</v>
      </c>
      <c r="J7899" s="48" t="n">
        <f aca="false">I7899*Assumptions!$E$61^(1/4)+J7894</f>
        <v>0.815068571993006</v>
      </c>
      <c r="K7899" s="48" t="n">
        <f aca="false">J7899*Assumptions!$E$61^(1/4)+K7894</f>
        <v>1.06360966758325</v>
      </c>
      <c r="L7899" s="48" t="n">
        <f aca="false">K7899*Assumptions!$E$61^(1/4)+L7894</f>
        <v>1.36891965128493</v>
      </c>
      <c r="M7899" s="48" t="n">
        <f aca="false">L7899*Assumptions!$E$61^(1/4)+M7894</f>
        <v>1.67025649916167</v>
      </c>
      <c r="N7899" s="48" t="n">
        <f aca="false">M7899*Assumptions!$E$61^(1/4)+N7894</f>
        <v>1.95561834801929</v>
      </c>
      <c r="P7899" s="49" t="n">
        <f aca="false">F7899</f>
        <v>0.191977386314485</v>
      </c>
      <c r="Q7899" s="49" t="n">
        <f aca="false">J7899</f>
        <v>0.815068571993006</v>
      </c>
      <c r="R7899" s="49" t="n">
        <f aca="false">N7899</f>
        <v>1.95561834801929</v>
      </c>
      <c r="S7899" s="50" t="n">
        <f aca="false">R7899</f>
        <v>1.95561834801929</v>
      </c>
    </row>
    <row r="7900" customFormat="false" ht="15" hidden="false" customHeight="false" outlineLevel="0" collapsed="false">
      <c r="A7900" s="9" t="s">
        <v>537</v>
      </c>
      <c r="B7900" s="36" t="s">
        <v>527</v>
      </c>
      <c r="C7900" s="49" t="n">
        <f aca="false">C7897+C7898+C7899</f>
        <v>0</v>
      </c>
      <c r="D7900" s="49" t="n">
        <f aca="false">D7897+D7898+D7899</f>
        <v>1.30046141945097</v>
      </c>
      <c r="E7900" s="49" t="n">
        <f aca="false">E7897+E7898+E7899</f>
        <v>3.56229499477378</v>
      </c>
      <c r="F7900" s="49" t="n">
        <f aca="false">F7897+F7898+F7899</f>
        <v>6.0391679141351</v>
      </c>
      <c r="G7900" s="49" t="n">
        <f aca="false">G7897+G7898+G7899</f>
        <v>8.69163209339566</v>
      </c>
      <c r="H7900" s="49" t="n">
        <f aca="false">H7897+H7898+H7899</f>
        <v>12.0296114951856</v>
      </c>
      <c r="I7900" s="49" t="n">
        <f aca="false">I7897+I7898+I7899</f>
        <v>15.9976192611344</v>
      </c>
      <c r="J7900" s="49" t="n">
        <f aca="false">J7897+J7898+J7899</f>
        <v>21.7453850447547</v>
      </c>
      <c r="K7900" s="49" t="n">
        <f aca="false">K7897+K7898+K7899</f>
        <v>29.0920894606113</v>
      </c>
      <c r="L7900" s="49" t="n">
        <f aca="false">L7897+L7898+L7899</f>
        <v>36.3391402184556</v>
      </c>
      <c r="M7900" s="49" t="n">
        <f aca="false">M7897+M7898+M7899</f>
        <v>43.1454715008253</v>
      </c>
      <c r="N7900" s="49" t="n">
        <f aca="false">N7897+N7898+N7899</f>
        <v>49.5280990541991</v>
      </c>
      <c r="P7900" s="49" t="n">
        <f aca="false">F7900</f>
        <v>6.0391679141351</v>
      </c>
      <c r="Q7900" s="49" t="n">
        <f aca="false">J7900</f>
        <v>21.7453850447547</v>
      </c>
      <c r="R7900" s="49" t="n">
        <f aca="false">N7900</f>
        <v>49.5280990541991</v>
      </c>
      <c r="S7900" s="50" t="n">
        <f aca="false">R7900</f>
        <v>49.5280990541991</v>
      </c>
    </row>
    <row r="7901" customFormat="false" ht="15" hidden="false" customHeight="false" outlineLevel="0" collapsed="false">
      <c r="A7901" s="4" t="s">
        <v>538</v>
      </c>
      <c r="B7901" s="36" t="s">
        <v>125</v>
      </c>
      <c r="C7901" s="54" t="n">
        <f aca="false">0*Assumptions!$E$62^(1/4)+C7892*$C$7841</f>
        <v>0</v>
      </c>
      <c r="D7901" s="54" t="n">
        <f aca="false">C7901*Assumptions!$E$62^(1/4)+D7892*$C$7841</f>
        <v>4636.84673462381</v>
      </c>
      <c r="E7901" s="54" t="n">
        <f aca="false">D7901*Assumptions!$E$62^(1/4)+E7892*$C$7841</f>
        <v>12584.7650278744</v>
      </c>
      <c r="F7901" s="54" t="n">
        <f aca="false">E7901*Assumptions!$E$62^(1/4)+F7892*$C$7841</f>
        <v>21354.5918933979</v>
      </c>
      <c r="G7901" s="54" t="n">
        <f aca="false">F7901*Assumptions!$E$62^(1/4)+G7892*$C$7841</f>
        <v>30963.1818577268</v>
      </c>
      <c r="H7901" s="54" t="n">
        <f aca="false">G7901*Assumptions!$E$62^(1/4)+H7892*$C$7841</f>
        <v>43327.3550335454</v>
      </c>
      <c r="I7901" s="54" t="n">
        <f aca="false">H7901*Assumptions!$E$62^(1/4)+I7892*$C$7841</f>
        <v>58265.3793130463</v>
      </c>
      <c r="J7901" s="54" t="n">
        <f aca="false">I7901*Assumptions!$E$62^(1/4)+J7892*$C$7841</f>
        <v>80372.8487175808</v>
      </c>
      <c r="K7901" s="54" t="n">
        <f aca="false">J7901*Assumptions!$E$62^(1/4)+K7892*$C$7841</f>
        <v>108969.433724354</v>
      </c>
      <c r="L7901" s="54" t="n">
        <f aca="false">K7901*Assumptions!$E$62^(1/4)+L7892*$C$7841</f>
        <v>137769.212699133</v>
      </c>
      <c r="M7901" s="54" t="n">
        <f aca="false">L7901*Assumptions!$E$62^(1/4)+M7892*$C$7841</f>
        <v>165716.252164404</v>
      </c>
      <c r="N7901" s="54" t="n">
        <f aca="false">M7901*Assumptions!$E$62^(1/4)+N7892*$C$7841</f>
        <v>192869.728098578</v>
      </c>
      <c r="P7901" s="55" t="n">
        <f aca="false">F7901</f>
        <v>21354.5918933979</v>
      </c>
      <c r="Q7901" s="55" t="n">
        <f aca="false">J7901</f>
        <v>80372.8487175808</v>
      </c>
      <c r="R7901" s="55" t="n">
        <f aca="false">N7901</f>
        <v>192869.728098578</v>
      </c>
      <c r="S7901" s="56" t="n">
        <f aca="false">R7901</f>
        <v>192869.728098578</v>
      </c>
    </row>
    <row r="7902" customFormat="false" ht="15" hidden="false" customHeight="false" outlineLevel="0" collapsed="false">
      <c r="A7902" s="4" t="s">
        <v>539</v>
      </c>
      <c r="B7902" s="36" t="s">
        <v>125</v>
      </c>
      <c r="C7902" s="54" t="n">
        <f aca="false">0*Assumptions!$E$63^(1/4)+C7893*$C$7842</f>
        <v>0</v>
      </c>
      <c r="D7902" s="54" t="n">
        <f aca="false">C7902*Assumptions!$E$63^(1/4)+D7893*$C$7842</f>
        <v>4239.58645576376</v>
      </c>
      <c r="E7902" s="54" t="n">
        <f aca="false">D7902*Assumptions!$E$63^(1/4)+E7893*$C$7842</f>
        <v>11568.780571464</v>
      </c>
      <c r="F7902" s="54" t="n">
        <f aca="false">E7902*Assumptions!$E$63^(1/4)+F7893*$C$7842</f>
        <v>19757.0139869302</v>
      </c>
      <c r="G7902" s="54" t="n">
        <f aca="false">F7902*Assumptions!$E$63^(1/4)+G7893*$C$7842</f>
        <v>28832.3026333607</v>
      </c>
      <c r="H7902" s="54" t="n">
        <f aca="false">G7902*Assumptions!$E$63^(1/4)+H7893*$C$7842</f>
        <v>40337.2428258018</v>
      </c>
      <c r="I7902" s="54" t="n">
        <f aca="false">H7902*Assumptions!$E$63^(1/4)+I7893*$C$7842</f>
        <v>54161.8650429175</v>
      </c>
      <c r="J7902" s="54" t="n">
        <f aca="false">I7902*Assumptions!$E$63^(1/4)+J7893*$C$7842</f>
        <v>73376.768355554</v>
      </c>
      <c r="K7902" s="54" t="n">
        <f aca="false">J7902*Assumptions!$E$63^(1/4)+K7893*$C$7842</f>
        <v>97657.3745036042</v>
      </c>
      <c r="L7902" s="54" t="n">
        <f aca="false">K7902*Assumptions!$E$63^(1/4)+L7893*$C$7842</f>
        <v>122459.146505613</v>
      </c>
      <c r="M7902" s="54" t="n">
        <f aca="false">L7902*Assumptions!$E$63^(1/4)+M7893*$C$7842</f>
        <v>146932.924638212</v>
      </c>
      <c r="N7902" s="54" t="n">
        <f aca="false">M7902*Assumptions!$E$63^(1/4)+N7893*$C$7842</f>
        <v>171121.912636854</v>
      </c>
      <c r="P7902" s="55" t="n">
        <f aca="false">F7902</f>
        <v>19757.0139869302</v>
      </c>
      <c r="Q7902" s="55" t="n">
        <f aca="false">J7902</f>
        <v>73376.768355554</v>
      </c>
      <c r="R7902" s="55" t="n">
        <f aca="false">N7902</f>
        <v>171121.912636854</v>
      </c>
      <c r="S7902" s="56" t="n">
        <f aca="false">R7902</f>
        <v>171121.912636854</v>
      </c>
    </row>
    <row r="7903" customFormat="false" ht="15" hidden="false" customHeight="false" outlineLevel="0" collapsed="false">
      <c r="A7903" s="4" t="s">
        <v>540</v>
      </c>
      <c r="B7903" s="36" t="s">
        <v>125</v>
      </c>
      <c r="C7903" s="54" t="n">
        <f aca="false">0*Assumptions!$E$64^(1/4)+C7894*$C$7843</f>
        <v>0</v>
      </c>
      <c r="D7903" s="54" t="n">
        <f aca="false">C7903*Assumptions!$E$64^(1/4)+D7894*$C$7843</f>
        <v>0</v>
      </c>
      <c r="E7903" s="54" t="n">
        <f aca="false">D7903*Assumptions!$E$64^(1/4)+E7894*$C$7843</f>
        <v>4403.28728055653</v>
      </c>
      <c r="F7903" s="54" t="n">
        <f aca="false">E7903*Assumptions!$E$64^(1/4)+F7894*$C$7843</f>
        <v>12107.4388108841</v>
      </c>
      <c r="G7903" s="54" t="n">
        <f aca="false">F7903*Assumptions!$E$64^(1/4)+G7894*$C$7843</f>
        <v>20866.0439239064</v>
      </c>
      <c r="H7903" s="54" t="n">
        <f aca="false">G7903*Assumptions!$E$64^(1/4)+H7894*$C$7843</f>
        <v>30732.6025192522</v>
      </c>
      <c r="I7903" s="54" t="n">
        <f aca="false">H7903*Assumptions!$E$64^(1/4)+I7894*$C$7843</f>
        <v>42590.8720102144</v>
      </c>
      <c r="J7903" s="54" t="n">
        <f aca="false">I7903*Assumptions!$E$64^(1/4)+J7894*$C$7843</f>
        <v>56428.9790305215</v>
      </c>
      <c r="K7903" s="54" t="n">
        <f aca="false">J7903*Assumptions!$E$64^(1/4)+K7894*$C$7843</f>
        <v>74828.6952807254</v>
      </c>
      <c r="L7903" s="54" t="n">
        <f aca="false">K7903*Assumptions!$E$64^(1/4)+L7894*$C$7843</f>
        <v>97706.5094169996</v>
      </c>
      <c r="M7903" s="54" t="n">
        <f aca="false">L7903*Assumptions!$E$64^(1/4)+M7894*$C$7843</f>
        <v>121541.467521117</v>
      </c>
      <c r="N7903" s="54" t="n">
        <f aca="false">M7903*Assumptions!$E$64^(1/4)+N7894*$C$7843</f>
        <v>145621.085996823</v>
      </c>
      <c r="P7903" s="55" t="n">
        <f aca="false">F7903</f>
        <v>12107.4388108841</v>
      </c>
      <c r="Q7903" s="55" t="n">
        <f aca="false">J7903</f>
        <v>56428.9790305215</v>
      </c>
      <c r="R7903" s="55" t="n">
        <f aca="false">N7903</f>
        <v>145621.085996823</v>
      </c>
      <c r="S7903" s="56" t="n">
        <f aca="false">R7903</f>
        <v>145621.085996823</v>
      </c>
    </row>
    <row r="7904" customFormat="false" ht="15" hidden="false" customHeight="false" outlineLevel="0" collapsed="false">
      <c r="A7904" s="9" t="s">
        <v>541</v>
      </c>
      <c r="B7904" s="36" t="s">
        <v>125</v>
      </c>
      <c r="C7904" s="55" t="n">
        <f aca="false">C7901+C7902+C7903</f>
        <v>0</v>
      </c>
      <c r="D7904" s="55" t="n">
        <f aca="false">D7901+D7902+D7903</f>
        <v>8876.43319038757</v>
      </c>
      <c r="E7904" s="55" t="n">
        <f aca="false">E7901+E7902+E7903</f>
        <v>28556.8328798949</v>
      </c>
      <c r="F7904" s="55" t="n">
        <f aca="false">F7901+F7902+F7903</f>
        <v>53219.0446912122</v>
      </c>
      <c r="G7904" s="55" t="n">
        <f aca="false">G7901+G7902+G7903</f>
        <v>80661.5284149939</v>
      </c>
      <c r="H7904" s="55" t="n">
        <f aca="false">H7901+H7902+H7903</f>
        <v>114397.200378599</v>
      </c>
      <c r="I7904" s="55" t="n">
        <f aca="false">I7901+I7902+I7903</f>
        <v>155018.116366178</v>
      </c>
      <c r="J7904" s="55" t="n">
        <f aca="false">J7901+J7902+J7903</f>
        <v>210178.596103656</v>
      </c>
      <c r="K7904" s="55" t="n">
        <f aca="false">K7901+K7902+K7903</f>
        <v>281455.503508684</v>
      </c>
      <c r="L7904" s="55" t="n">
        <f aca="false">L7901+L7902+L7903</f>
        <v>357934.868621746</v>
      </c>
      <c r="M7904" s="55" t="n">
        <f aca="false">M7901+M7902+M7903</f>
        <v>434190.644323734</v>
      </c>
      <c r="N7904" s="55" t="n">
        <f aca="false">N7901+N7902+N7903</f>
        <v>509612.726732255</v>
      </c>
      <c r="P7904" s="55" t="n">
        <f aca="false">F7904</f>
        <v>53219.0446912122</v>
      </c>
      <c r="Q7904" s="55" t="n">
        <f aca="false">J7904</f>
        <v>210178.596103656</v>
      </c>
      <c r="R7904" s="55" t="n">
        <f aca="false">N7904</f>
        <v>509612.726732255</v>
      </c>
      <c r="S7904" s="56" t="n">
        <f aca="false">R7904</f>
        <v>509612.726732255</v>
      </c>
    </row>
    <row r="7905" customFormat="false" ht="15" hidden="false" customHeight="false" outlineLevel="0" collapsed="false">
      <c r="A7905" s="4" t="s">
        <v>542</v>
      </c>
      <c r="B7905" s="36" t="s">
        <v>125</v>
      </c>
      <c r="C7905" s="54" t="n">
        <f aca="false">C7892*$C$7841+C7893*$C$7842+C7894*$C$7843</f>
        <v>0</v>
      </c>
      <c r="D7905" s="54" t="n">
        <f aca="false">D7892*$C$7841+D7893*$C$7842+D7894*$C$7843</f>
        <v>8876.43319038757</v>
      </c>
      <c r="E7905" s="54" t="n">
        <f aca="false">E7892*$C$7841+E7893*$C$7842+E7894*$C$7843</f>
        <v>19618.1886500368</v>
      </c>
      <c r="F7905" s="54" t="n">
        <f aca="false">F7892*$C$7841+F7893*$C$7842+F7894*$C$7843</f>
        <v>24335.8808795765</v>
      </c>
      <c r="G7905" s="54" t="n">
        <f aca="false">G7892*$C$7841+G7893*$C$7842+G7894*$C$7843</f>
        <v>26722.0551062465</v>
      </c>
      <c r="H7905" s="54" t="n">
        <f aca="false">H7892*$C$7841+H7893*$C$7842+H7894*$C$7843</f>
        <v>32570.6348072815</v>
      </c>
      <c r="I7905" s="54" t="n">
        <f aca="false">I7892*$C$7841+I7893*$C$7842+I7894*$C$7843</f>
        <v>38936.2212649288</v>
      </c>
      <c r="J7905" s="54" t="n">
        <f aca="false">J7892*$C$7841+J7893*$C$7842+J7894*$C$7843</f>
        <v>52851.2673832351</v>
      </c>
      <c r="K7905" s="54" t="n">
        <f aca="false">K7892*$C$7841+K7893*$C$7842+K7894*$C$7843</f>
        <v>68193.6820495777</v>
      </c>
      <c r="L7905" s="54" t="n">
        <f aca="false">L7892*$C$7841+L7893*$C$7842+L7894*$C$7843</f>
        <v>72385.5913630249</v>
      </c>
      <c r="M7905" s="54" t="n">
        <f aca="false">M7892*$C$7841+M7893*$C$7842+M7894*$C$7843</f>
        <v>70984.5735032962</v>
      </c>
      <c r="N7905" s="54" t="n">
        <f aca="false">N7892*$C$7841+N7893*$C$7842+N7894*$C$7843</f>
        <v>68944.2304944803</v>
      </c>
      <c r="P7905" s="55" t="n">
        <f aca="false">SUM(C7905:F7905)</f>
        <v>52830.5027200009</v>
      </c>
      <c r="Q7905" s="55" t="n">
        <f aca="false">SUM(G7905:J7905)</f>
        <v>151080.178561692</v>
      </c>
      <c r="R7905" s="55" t="n">
        <f aca="false">SUM(K7905:N7905)</f>
        <v>280508.077410379</v>
      </c>
      <c r="S7905" s="56" t="n">
        <f aca="false">SUM(P7905:R7905)</f>
        <v>484418.758692072</v>
      </c>
    </row>
    <row r="7906" customFormat="false" ht="15" hidden="false" customHeight="false" outlineLevel="0" collapsed="false">
      <c r="A7906" s="9" t="s">
        <v>543</v>
      </c>
      <c r="B7906" s="36" t="s">
        <v>125</v>
      </c>
      <c r="C7906" s="55" t="n">
        <f aca="false">(0+C7904)/8</f>
        <v>0</v>
      </c>
      <c r="D7906" s="55" t="n">
        <f aca="false">(C7904+D7904)/8</f>
        <v>1109.55414879845</v>
      </c>
      <c r="E7906" s="55" t="n">
        <f aca="false">(D7904+E7904)/8</f>
        <v>4679.15825878531</v>
      </c>
      <c r="F7906" s="55" t="n">
        <f aca="false">(E7904+F7904)/8</f>
        <v>10221.9846963884</v>
      </c>
      <c r="G7906" s="55" t="n">
        <f aca="false">(F7904+G7904)/8</f>
        <v>16735.0716382758</v>
      </c>
      <c r="H7906" s="55" t="n">
        <f aca="false">(G7904+H7904)/8</f>
        <v>24382.3410991992</v>
      </c>
      <c r="I7906" s="55" t="n">
        <f aca="false">(H7904+I7904)/8</f>
        <v>33676.9145930972</v>
      </c>
      <c r="J7906" s="55" t="n">
        <f aca="false">(I7904+J7904)/8</f>
        <v>45649.5890587293</v>
      </c>
      <c r="K7906" s="55" t="n">
        <f aca="false">(J7904+K7904)/8</f>
        <v>61454.2624515425</v>
      </c>
      <c r="L7906" s="55" t="n">
        <f aca="false">(K7904+L7904)/8</f>
        <v>79923.7965163037</v>
      </c>
      <c r="M7906" s="55" t="n">
        <f aca="false">(L7904+M7904)/8</f>
        <v>99015.6891181849</v>
      </c>
      <c r="N7906" s="55" t="n">
        <f aca="false">(M7904+N7904)/8</f>
        <v>117975.421381999</v>
      </c>
      <c r="P7906" s="55" t="n">
        <f aca="false">SUM(C7906:F7906)</f>
        <v>16010.6971039722</v>
      </c>
      <c r="Q7906" s="55" t="n">
        <f aca="false">SUM(G7906:J7906)</f>
        <v>120443.916389301</v>
      </c>
      <c r="R7906" s="55" t="n">
        <f aca="false">SUM(K7906:N7906)</f>
        <v>358369.16946803</v>
      </c>
      <c r="S7906" s="56" t="n">
        <f aca="false">SUM(P7906:R7906)</f>
        <v>494823.782961303</v>
      </c>
    </row>
    <row r="7907" customFormat="false" ht="15" hidden="false" customHeight="false" outlineLevel="0" collapsed="false">
      <c r="A7907" s="4" t="s">
        <v>544</v>
      </c>
      <c r="B7907" s="36" t="s">
        <v>125</v>
      </c>
      <c r="C7907" s="54" t="n">
        <f aca="false">C7906*Assumptions!$E$76</f>
        <v>0</v>
      </c>
      <c r="D7907" s="54" t="n">
        <f aca="false">D7906*Assumptions!$E$76</f>
        <v>721.21019671899</v>
      </c>
      <c r="E7907" s="54" t="n">
        <f aca="false">E7906*Assumptions!$E$76</f>
        <v>3041.45286821045</v>
      </c>
      <c r="F7907" s="54" t="n">
        <f aca="false">F7906*Assumptions!$E$76</f>
        <v>6644.29005265246</v>
      </c>
      <c r="G7907" s="54" t="n">
        <f aca="false">G7906*Assumptions!$E$76</f>
        <v>10877.7965648792</v>
      </c>
      <c r="H7907" s="54" t="n">
        <f aca="false">H7906*Assumptions!$E$76</f>
        <v>15848.5217144795</v>
      </c>
      <c r="I7907" s="54" t="n">
        <f aca="false">I7906*Assumptions!$E$76</f>
        <v>21889.9944855132</v>
      </c>
      <c r="J7907" s="54" t="n">
        <f aca="false">J7906*Assumptions!$E$76</f>
        <v>29672.2328881741</v>
      </c>
      <c r="K7907" s="54" t="n">
        <f aca="false">K7906*Assumptions!$E$76</f>
        <v>39945.2705935026</v>
      </c>
      <c r="L7907" s="54" t="n">
        <f aca="false">L7906*Assumptions!$E$76</f>
        <v>51950.4677355974</v>
      </c>
      <c r="M7907" s="54" t="n">
        <f aca="false">M7906*Assumptions!$E$76</f>
        <v>64360.1979268202</v>
      </c>
      <c r="N7907" s="54" t="n">
        <f aca="false">N7906*Assumptions!$E$76</f>
        <v>76684.0238982991</v>
      </c>
      <c r="P7907" s="55" t="n">
        <f aca="false">SUM(C7907:F7907)</f>
        <v>10406.9531175819</v>
      </c>
      <c r="Q7907" s="55" t="n">
        <f aca="false">SUM(G7907:J7907)</f>
        <v>78288.545653046</v>
      </c>
      <c r="R7907" s="55" t="n">
        <f aca="false">SUM(K7907:N7907)</f>
        <v>232939.960154219</v>
      </c>
      <c r="S7907" s="56" t="n">
        <f aca="false">SUM(P7907:R7907)</f>
        <v>321635.458924847</v>
      </c>
    </row>
    <row r="7908" customFormat="false" ht="15" hidden="false" customHeight="false" outlineLevel="0" collapsed="false">
      <c r="A7908" s="35" t="s">
        <v>547</v>
      </c>
      <c r="B7908" s="35" t="s">
        <v>444</v>
      </c>
      <c r="C7908" s="6" t="s">
        <v>354</v>
      </c>
      <c r="D7908" s="6" t="s">
        <v>355</v>
      </c>
      <c r="E7908" s="6" t="s">
        <v>356</v>
      </c>
      <c r="F7908" s="6" t="s">
        <v>357</v>
      </c>
      <c r="G7908" s="6" t="s">
        <v>358</v>
      </c>
      <c r="H7908" s="6" t="s">
        <v>359</v>
      </c>
      <c r="I7908" s="6" t="s">
        <v>360</v>
      </c>
      <c r="J7908" s="6" t="s">
        <v>361</v>
      </c>
      <c r="K7908" s="6" t="s">
        <v>362</v>
      </c>
      <c r="L7908" s="6" t="s">
        <v>363</v>
      </c>
      <c r="M7908" s="6" t="s">
        <v>364</v>
      </c>
      <c r="N7908" s="6" t="s">
        <v>365</v>
      </c>
      <c r="P7908" s="6" t="s">
        <v>445</v>
      </c>
      <c r="Q7908" s="6" t="s">
        <v>446</v>
      </c>
      <c r="R7908" s="6" t="s">
        <v>447</v>
      </c>
      <c r="S7908" s="6" t="s">
        <v>448</v>
      </c>
    </row>
    <row r="7909" customFormat="false" ht="15" hidden="false" customHeight="false" outlineLevel="0" collapsed="false">
      <c r="A7909" s="4" t="s">
        <v>548</v>
      </c>
      <c r="B7909" s="36" t="s">
        <v>321</v>
      </c>
      <c r="C7909" s="48" t="n">
        <f aca="false">Assumptions!$D$97*C7851</f>
        <v>1</v>
      </c>
      <c r="D7909" s="48" t="n">
        <f aca="false">Assumptions!$D$97*D7851</f>
        <v>1</v>
      </c>
      <c r="E7909" s="48" t="n">
        <f aca="false">Assumptions!$D$97*E7851</f>
        <v>1</v>
      </c>
      <c r="F7909" s="48" t="n">
        <f aca="false">Assumptions!$D$97*F7851</f>
        <v>1</v>
      </c>
      <c r="G7909" s="48" t="n">
        <f aca="false">Assumptions!$D$97*G7851</f>
        <v>1</v>
      </c>
      <c r="H7909" s="48" t="n">
        <f aca="false">Assumptions!$D$97*H7851</f>
        <v>1</v>
      </c>
      <c r="I7909" s="48" t="n">
        <f aca="false">Assumptions!$D$97*I7851</f>
        <v>1</v>
      </c>
      <c r="J7909" s="48" t="n">
        <f aca="false">Assumptions!$D$97*J7851</f>
        <v>1</v>
      </c>
      <c r="K7909" s="48" t="n">
        <f aca="false">Assumptions!$D$97*K7851</f>
        <v>1</v>
      </c>
      <c r="L7909" s="48" t="n">
        <f aca="false">Assumptions!$D$97*L7851</f>
        <v>1</v>
      </c>
      <c r="M7909" s="48" t="n">
        <f aca="false">Assumptions!$D$97*M7851</f>
        <v>1</v>
      </c>
      <c r="N7909" s="48" t="n">
        <f aca="false">Assumptions!$D$97*N7851</f>
        <v>1</v>
      </c>
      <c r="P7909" s="49" t="n">
        <f aca="false">AVERAGE(C7909:F7909)</f>
        <v>1</v>
      </c>
      <c r="Q7909" s="49" t="n">
        <f aca="false">AVERAGE(G7909:J7909)</f>
        <v>1</v>
      </c>
      <c r="R7909" s="49" t="n">
        <f aca="false">AVERAGE(K7909:N7909)</f>
        <v>1</v>
      </c>
      <c r="S7909" s="50"/>
    </row>
    <row r="7910" customFormat="false" ht="15" hidden="false" customHeight="false" outlineLevel="0" collapsed="false">
      <c r="A7910" s="4" t="s">
        <v>549</v>
      </c>
      <c r="B7910" s="36" t="s">
        <v>321</v>
      </c>
      <c r="C7910" s="48" t="n">
        <f aca="false">C7864*C7851</f>
        <v>0</v>
      </c>
      <c r="D7910" s="48" t="n">
        <f aca="false">D7864*D7851</f>
        <v>0</v>
      </c>
      <c r="E7910" s="48" t="n">
        <f aca="false">E7864*E7851</f>
        <v>0</v>
      </c>
      <c r="F7910" s="48" t="n">
        <f aca="false">F7864*F7851</f>
        <v>0</v>
      </c>
      <c r="G7910" s="48" t="n">
        <f aca="false">G7864*G7851</f>
        <v>0</v>
      </c>
      <c r="H7910" s="48" t="n">
        <f aca="false">H7864*H7851</f>
        <v>0</v>
      </c>
      <c r="I7910" s="48" t="n">
        <f aca="false">I7864*I7851</f>
        <v>0</v>
      </c>
      <c r="J7910" s="48" t="n">
        <f aca="false">J7864*J7851</f>
        <v>0</v>
      </c>
      <c r="K7910" s="48" t="n">
        <f aca="false">K7864*K7851</f>
        <v>0</v>
      </c>
      <c r="L7910" s="48" t="n">
        <f aca="false">L7864*L7851</f>
        <v>0</v>
      </c>
      <c r="M7910" s="48" t="n">
        <f aca="false">M7864*M7851</f>
        <v>0</v>
      </c>
      <c r="N7910" s="48" t="n">
        <f aca="false">N7864*N7851</f>
        <v>0</v>
      </c>
      <c r="P7910" s="49" t="n">
        <f aca="false">AVERAGE(C7910:F7910)</f>
        <v>0</v>
      </c>
      <c r="Q7910" s="49" t="n">
        <f aca="false">AVERAGE(G7910:J7910)</f>
        <v>0</v>
      </c>
      <c r="R7910" s="49" t="n">
        <f aca="false">AVERAGE(K7910:N7910)</f>
        <v>0</v>
      </c>
      <c r="S7910" s="50"/>
    </row>
    <row r="7911" customFormat="false" ht="15" hidden="false" customHeight="false" outlineLevel="0" collapsed="false">
      <c r="A7911" s="4" t="s">
        <v>550</v>
      </c>
      <c r="B7911" s="36" t="s">
        <v>321</v>
      </c>
      <c r="C7911" s="48" t="n">
        <f aca="false">IF(C7850&lt;=4,Assumptions!$D$98,Assumptions!$D$99)*C7851</f>
        <v>0</v>
      </c>
      <c r="D7911" s="48" t="n">
        <f aca="false">IF(D7850&lt;=4,Assumptions!$D$98,Assumptions!$D$99)*D7851</f>
        <v>0</v>
      </c>
      <c r="E7911" s="48" t="n">
        <f aca="false">IF(E7850&lt;=4,Assumptions!$D$98,Assumptions!$D$99)*E7851</f>
        <v>0</v>
      </c>
      <c r="F7911" s="48" t="n">
        <f aca="false">IF(F7850&lt;=4,Assumptions!$D$98,Assumptions!$D$99)*F7851</f>
        <v>0</v>
      </c>
      <c r="G7911" s="48" t="n">
        <f aca="false">IF(G7850&lt;=4,Assumptions!$D$98,Assumptions!$D$99)*G7851</f>
        <v>0.5</v>
      </c>
      <c r="H7911" s="48" t="n">
        <f aca="false">IF(H7850&lt;=4,Assumptions!$D$98,Assumptions!$D$99)*H7851</f>
        <v>0.5</v>
      </c>
      <c r="I7911" s="48" t="n">
        <f aca="false">IF(I7850&lt;=4,Assumptions!$D$98,Assumptions!$D$99)*I7851</f>
        <v>0.5</v>
      </c>
      <c r="J7911" s="48" t="n">
        <f aca="false">IF(J7850&lt;=4,Assumptions!$D$98,Assumptions!$D$99)*J7851</f>
        <v>0.5</v>
      </c>
      <c r="K7911" s="48" t="n">
        <f aca="false">IF(K7850&lt;=4,Assumptions!$D$98,Assumptions!$D$99)*K7851</f>
        <v>0.5</v>
      </c>
      <c r="L7911" s="48" t="n">
        <f aca="false">IF(L7850&lt;=4,Assumptions!$D$98,Assumptions!$D$99)*L7851</f>
        <v>0.5</v>
      </c>
      <c r="M7911" s="48" t="n">
        <f aca="false">IF(M7850&lt;=4,Assumptions!$D$98,Assumptions!$D$99)*M7851</f>
        <v>0.5</v>
      </c>
      <c r="N7911" s="48" t="n">
        <f aca="false">IF(N7850&lt;=4,Assumptions!$D$98,Assumptions!$D$99)*N7851</f>
        <v>0.5</v>
      </c>
      <c r="P7911" s="49" t="n">
        <f aca="false">AVERAGE(C7911:F7911)</f>
        <v>0</v>
      </c>
      <c r="Q7911" s="49" t="n">
        <f aca="false">AVERAGE(G7911:J7911)</f>
        <v>0.5</v>
      </c>
      <c r="R7911" s="49" t="n">
        <f aca="false">AVERAGE(K7911:N7911)</f>
        <v>0.5</v>
      </c>
      <c r="S7911" s="50"/>
    </row>
    <row r="7912" customFormat="false" ht="15" hidden="false" customHeight="false" outlineLevel="0" collapsed="false">
      <c r="A7912" s="4" t="s">
        <v>551</v>
      </c>
      <c r="B7912" s="36" t="s">
        <v>321</v>
      </c>
      <c r="C7912" s="48" t="n">
        <f aca="false">IF(C7850&lt;=4,Assumptions!$D$100,Assumptions!$D$101)*C7851</f>
        <v>1</v>
      </c>
      <c r="D7912" s="48" t="n">
        <f aca="false">IF(D7850&lt;=4,Assumptions!$D$100,Assumptions!$D$101)*D7851</f>
        <v>1</v>
      </c>
      <c r="E7912" s="48" t="n">
        <f aca="false">IF(E7850&lt;=4,Assumptions!$D$100,Assumptions!$D$101)*E7851</f>
        <v>1</v>
      </c>
      <c r="F7912" s="48" t="n">
        <f aca="false">IF(F7850&lt;=4,Assumptions!$D$100,Assumptions!$D$101)*F7851</f>
        <v>1</v>
      </c>
      <c r="G7912" s="48" t="n">
        <f aca="false">IF(G7850&lt;=4,Assumptions!$D$100,Assumptions!$D$101)*G7851</f>
        <v>0.5</v>
      </c>
      <c r="H7912" s="48" t="n">
        <f aca="false">IF(H7850&lt;=4,Assumptions!$D$100,Assumptions!$D$101)*H7851</f>
        <v>0.5</v>
      </c>
      <c r="I7912" s="48" t="n">
        <f aca="false">IF(I7850&lt;=4,Assumptions!$D$100,Assumptions!$D$101)*I7851</f>
        <v>0.5</v>
      </c>
      <c r="J7912" s="48" t="n">
        <f aca="false">IF(J7850&lt;=4,Assumptions!$D$100,Assumptions!$D$101)*J7851</f>
        <v>0.5</v>
      </c>
      <c r="K7912" s="48" t="n">
        <f aca="false">IF(K7850&lt;=4,Assumptions!$D$100,Assumptions!$D$101)*K7851</f>
        <v>0.5</v>
      </c>
      <c r="L7912" s="48" t="n">
        <f aca="false">IF(L7850&lt;=4,Assumptions!$D$100,Assumptions!$D$101)*L7851</f>
        <v>0.5</v>
      </c>
      <c r="M7912" s="48" t="n">
        <f aca="false">IF(M7850&lt;=4,Assumptions!$D$100,Assumptions!$D$101)*M7851</f>
        <v>0.5</v>
      </c>
      <c r="N7912" s="48" t="n">
        <f aca="false">IF(N7850&lt;=4,Assumptions!$D$100,Assumptions!$D$101)*N7851</f>
        <v>0.5</v>
      </c>
      <c r="P7912" s="49" t="n">
        <f aca="false">AVERAGE(C7912:F7912)</f>
        <v>1</v>
      </c>
      <c r="Q7912" s="49" t="n">
        <f aca="false">AVERAGE(G7912:J7912)</f>
        <v>0.5</v>
      </c>
      <c r="R7912" s="49" t="n">
        <f aca="false">AVERAGE(K7912:N7912)</f>
        <v>0.5</v>
      </c>
      <c r="S7912" s="50"/>
    </row>
    <row r="7913" customFormat="false" ht="15" hidden="false" customHeight="false" outlineLevel="0" collapsed="false">
      <c r="A7913" s="4" t="s">
        <v>552</v>
      </c>
      <c r="B7913" s="36" t="s">
        <v>321</v>
      </c>
      <c r="C7913" s="48" t="n">
        <f aca="false">Assumptions!$D$102*C7851</f>
        <v>0.25</v>
      </c>
      <c r="D7913" s="48" t="n">
        <f aca="false">Assumptions!$D$102*D7851</f>
        <v>0.25</v>
      </c>
      <c r="E7913" s="48" t="n">
        <f aca="false">Assumptions!$D$102*E7851</f>
        <v>0.25</v>
      </c>
      <c r="F7913" s="48" t="n">
        <f aca="false">Assumptions!$D$102*F7851</f>
        <v>0.25</v>
      </c>
      <c r="G7913" s="48" t="n">
        <f aca="false">Assumptions!$D$102*G7851</f>
        <v>0.25</v>
      </c>
      <c r="H7913" s="48" t="n">
        <f aca="false">Assumptions!$D$102*H7851</f>
        <v>0.25</v>
      </c>
      <c r="I7913" s="48" t="n">
        <f aca="false">Assumptions!$D$102*I7851</f>
        <v>0.25</v>
      </c>
      <c r="J7913" s="48" t="n">
        <f aca="false">Assumptions!$D$102*J7851</f>
        <v>0.25</v>
      </c>
      <c r="K7913" s="48" t="n">
        <f aca="false">Assumptions!$D$102*K7851</f>
        <v>0.25</v>
      </c>
      <c r="L7913" s="48" t="n">
        <f aca="false">Assumptions!$D$102*L7851</f>
        <v>0.25</v>
      </c>
      <c r="M7913" s="48" t="n">
        <f aca="false">Assumptions!$D$102*M7851</f>
        <v>0.25</v>
      </c>
      <c r="N7913" s="48" t="n">
        <f aca="false">Assumptions!$D$102*N7851</f>
        <v>0.25</v>
      </c>
      <c r="P7913" s="49" t="n">
        <f aca="false">AVERAGE(C7913:F7913)</f>
        <v>0.25</v>
      </c>
      <c r="Q7913" s="49" t="n">
        <f aca="false">AVERAGE(G7913:J7913)</f>
        <v>0.25</v>
      </c>
      <c r="R7913" s="49" t="n">
        <f aca="false">AVERAGE(K7913:N7913)</f>
        <v>0.25</v>
      </c>
      <c r="S7913" s="50"/>
    </row>
    <row r="7914" customFormat="false" ht="15" hidden="false" customHeight="false" outlineLevel="0" collapsed="false">
      <c r="A7914" s="4" t="s">
        <v>553</v>
      </c>
      <c r="B7914" s="36" t="s">
        <v>321</v>
      </c>
      <c r="C7914" s="48" t="n">
        <f aca="false">(C7898+C7899)/Assumptions!$E$74+C7897/Assumptions!$E$75</f>
        <v>0</v>
      </c>
      <c r="D7914" s="48" t="n">
        <f aca="false">(D7898+D7899)/Assumptions!$E$74+D7897/Assumptions!$E$75</f>
        <v>0.0143176301374139</v>
      </c>
      <c r="E7914" s="48" t="n">
        <f aca="false">(E7898+E7899)/Assumptions!$E$74+E7897/Assumptions!$E$75</f>
        <v>0.0402499456767798</v>
      </c>
      <c r="F7914" s="48" t="n">
        <f aca="false">(F7898+F7899)/Assumptions!$E$74+F7897/Assumptions!$E$75</f>
        <v>0.069296156601371</v>
      </c>
      <c r="G7914" s="48" t="n">
        <f aca="false">(G7898+G7899)/Assumptions!$E$74+G7897/Assumptions!$E$75</f>
        <v>0.100475077199051</v>
      </c>
      <c r="H7914" s="48" t="n">
        <f aca="false">(H7898+H7899)/Assumptions!$E$74+H7897/Assumptions!$E$75</f>
        <v>0.139084643227244</v>
      </c>
      <c r="I7914" s="48" t="n">
        <f aca="false">(I7898+I7899)/Assumptions!$E$74+I7897/Assumptions!$E$75</f>
        <v>0.184756080005146</v>
      </c>
      <c r="J7914" s="48" t="n">
        <f aca="false">(J7898+J7899)/Assumptions!$E$74+J7897/Assumptions!$E$75</f>
        <v>0.248473880206466</v>
      </c>
      <c r="K7914" s="48" t="n">
        <f aca="false">(K7898+K7899)/Assumptions!$E$74+K7897/Assumptions!$E$75</f>
        <v>0.329218871456529</v>
      </c>
      <c r="L7914" s="48" t="n">
        <f aca="false">(L7898+L7899)/Assumptions!$E$74+L7897/Assumptions!$E$75</f>
        <v>0.409912468045788</v>
      </c>
      <c r="M7914" s="48" t="n">
        <f aca="false">(M7898+M7899)/Assumptions!$E$74+M7897/Assumptions!$E$75</f>
        <v>0.486094517455055</v>
      </c>
      <c r="N7914" s="48" t="n">
        <f aca="false">(N7898+N7899)/Assumptions!$E$74+N7897/Assumptions!$E$75</f>
        <v>0.557753573090085</v>
      </c>
      <c r="P7914" s="49" t="n">
        <f aca="false">AVERAGE(C7914:F7914)</f>
        <v>0.0309659331038912</v>
      </c>
      <c r="Q7914" s="49" t="n">
        <f aca="false">AVERAGE(G7914:J7914)</f>
        <v>0.168197420159477</v>
      </c>
      <c r="R7914" s="49" t="n">
        <f aca="false">AVERAGE(K7914:N7914)</f>
        <v>0.445744857511864</v>
      </c>
      <c r="S7914" s="50"/>
    </row>
    <row r="7915" customFormat="false" ht="15" hidden="false" customHeight="false" outlineLevel="0" collapsed="false">
      <c r="A7915" s="4" t="s">
        <v>554</v>
      </c>
      <c r="B7915" s="36" t="s">
        <v>125</v>
      </c>
      <c r="C7915" s="54" t="n">
        <f aca="false">(C7909+C7911)*Assumptions!$E$70/Assumptions!$E$69/4</f>
        <v>66753.5714285714</v>
      </c>
      <c r="D7915" s="54" t="n">
        <f aca="false">(D7909+D7911)*Assumptions!$E$70/Assumptions!$E$69/4</f>
        <v>66753.5714285714</v>
      </c>
      <c r="E7915" s="54" t="n">
        <f aca="false">(E7909+E7911)*Assumptions!$E$70/Assumptions!$E$69/4</f>
        <v>66753.5714285714</v>
      </c>
      <c r="F7915" s="54" t="n">
        <f aca="false">(F7909+F7911)*Assumptions!$E$70/Assumptions!$E$69/4</f>
        <v>66753.5714285714</v>
      </c>
      <c r="G7915" s="54" t="n">
        <f aca="false">(G7909+G7911)*Assumptions!$E$70/Assumptions!$E$69/4</f>
        <v>100130.357142857</v>
      </c>
      <c r="H7915" s="54" t="n">
        <f aca="false">(H7909+H7911)*Assumptions!$E$70/Assumptions!$E$69/4</f>
        <v>100130.357142857</v>
      </c>
      <c r="I7915" s="54" t="n">
        <f aca="false">(I7909+I7911)*Assumptions!$E$70/Assumptions!$E$69/4</f>
        <v>100130.357142857</v>
      </c>
      <c r="J7915" s="54" t="n">
        <f aca="false">(J7909+J7911)*Assumptions!$E$70/Assumptions!$E$69/4</f>
        <v>100130.357142857</v>
      </c>
      <c r="K7915" s="54" t="n">
        <f aca="false">(K7909+K7911)*Assumptions!$E$70/Assumptions!$E$69/4</f>
        <v>100130.357142857</v>
      </c>
      <c r="L7915" s="54" t="n">
        <f aca="false">(L7909+L7911)*Assumptions!$E$70/Assumptions!$E$69/4</f>
        <v>100130.357142857</v>
      </c>
      <c r="M7915" s="54" t="n">
        <f aca="false">(M7909+M7911)*Assumptions!$E$70/Assumptions!$E$69/4</f>
        <v>100130.357142857</v>
      </c>
      <c r="N7915" s="54" t="n">
        <f aca="false">(N7909+N7911)*Assumptions!$E$70/Assumptions!$E$69/4</f>
        <v>100130.357142857</v>
      </c>
      <c r="P7915" s="55" t="n">
        <f aca="false">SUM(C7915:F7915)</f>
        <v>267014.285714286</v>
      </c>
      <c r="Q7915" s="55" t="n">
        <f aca="false">SUM(G7915:J7915)</f>
        <v>400521.428571429</v>
      </c>
      <c r="R7915" s="55" t="n">
        <f aca="false">SUM(K7915:N7915)</f>
        <v>400521.428571429</v>
      </c>
      <c r="S7915" s="56" t="n">
        <f aca="false">SUM(P7915:R7915)</f>
        <v>1068057.14285714</v>
      </c>
    </row>
    <row r="7916" customFormat="false" ht="15" hidden="false" customHeight="false" outlineLevel="0" collapsed="false">
      <c r="A7916" s="4" t="s">
        <v>555</v>
      </c>
      <c r="B7916" s="36" t="s">
        <v>125</v>
      </c>
      <c r="C7916" s="54" t="n">
        <f aca="false">C7910*$C$7845/4</f>
        <v>0</v>
      </c>
      <c r="D7916" s="54" t="n">
        <f aca="false">D7910*$C$7845/4</f>
        <v>0</v>
      </c>
      <c r="E7916" s="54" t="n">
        <f aca="false">E7910*$C$7845/4</f>
        <v>0</v>
      </c>
      <c r="F7916" s="54" t="n">
        <f aca="false">F7910*$C$7845/4</f>
        <v>0</v>
      </c>
      <c r="G7916" s="54" t="n">
        <f aca="false">G7910*$C$7845/4</f>
        <v>0</v>
      </c>
      <c r="H7916" s="54" t="n">
        <f aca="false">H7910*$C$7845/4</f>
        <v>0</v>
      </c>
      <c r="I7916" s="54" t="n">
        <f aca="false">I7910*$C$7845/4</f>
        <v>0</v>
      </c>
      <c r="J7916" s="54" t="n">
        <f aca="false">J7910*$C$7845/4</f>
        <v>0</v>
      </c>
      <c r="K7916" s="54" t="n">
        <f aca="false">K7910*$C$7845/4</f>
        <v>0</v>
      </c>
      <c r="L7916" s="54" t="n">
        <f aca="false">L7910*$C$7845/4</f>
        <v>0</v>
      </c>
      <c r="M7916" s="54" t="n">
        <f aca="false">M7910*$C$7845/4</f>
        <v>0</v>
      </c>
      <c r="N7916" s="54" t="n">
        <f aca="false">N7910*$C$7845/4</f>
        <v>0</v>
      </c>
      <c r="P7916" s="55" t="n">
        <f aca="false">SUM(C7916:F7916)</f>
        <v>0</v>
      </c>
      <c r="Q7916" s="55" t="n">
        <f aca="false">SUM(G7916:J7916)</f>
        <v>0</v>
      </c>
      <c r="R7916" s="55" t="n">
        <f aca="false">SUM(K7916:N7916)</f>
        <v>0</v>
      </c>
      <c r="S7916" s="56" t="n">
        <f aca="false">SUM(P7916:R7916)</f>
        <v>0</v>
      </c>
    </row>
    <row r="7917" customFormat="false" ht="15" hidden="false" customHeight="false" outlineLevel="0" collapsed="false">
      <c r="A7917" s="4" t="s">
        <v>556</v>
      </c>
      <c r="B7917" s="36" t="s">
        <v>125</v>
      </c>
      <c r="C7917" s="54" t="n">
        <f aca="false">MAX(0,(C7905-C7886*$C$7841)-C7865*$C$7846)*$C$7847*Assumptions!$D$105</f>
        <v>0</v>
      </c>
      <c r="D7917" s="54" t="n">
        <f aca="false">MAX(0,(D7905-D7886*$C$7841)-D7865*$C$7846)*$C$7847*Assumptions!$D$105</f>
        <v>3491.72206180778</v>
      </c>
      <c r="E7917" s="54" t="n">
        <f aca="false">MAX(0,(E7905-E7886*$C$7841)-E7865*$C$7846)*$C$7847*Assumptions!$D$105</f>
        <v>8039.09651874593</v>
      </c>
      <c r="F7917" s="54" t="n">
        <f aca="false">MAX(0,(F7905-F7886*$C$7841)-F7865*$C$7846)*$C$7847*Assumptions!$D$105</f>
        <v>10124.750003461</v>
      </c>
      <c r="G7917" s="54" t="n">
        <f aca="false">MAX(0,(G7905-G7886*$C$7841)-G7865*$C$7846)*$C$7847*Assumptions!$D$105</f>
        <v>11120.4562644655</v>
      </c>
      <c r="H7917" s="54" t="n">
        <f aca="false">MAX(0,(H7905-H7886*$C$7841)-H7865*$C$7846)*$C$7847*Assumptions!$D$105</f>
        <v>13463.0357338943</v>
      </c>
      <c r="I7917" s="54" t="n">
        <f aca="false">MAX(0,(I7905-I7886*$C$7841)-I7865*$C$7846)*$C$7847*Assumptions!$D$105</f>
        <v>16072.2164343224</v>
      </c>
      <c r="J7917" s="54" t="n">
        <f aca="false">MAX(0,(J7905-J7886*$C$7841)-J7865*$C$7846)*$C$7847*Assumptions!$D$105</f>
        <v>21559.8957723031</v>
      </c>
      <c r="K7917" s="54" t="n">
        <f aca="false">MAX(0,(K7905-K7886*$C$7841)-K7865*$C$7846)*$C$7847*Assumptions!$D$105</f>
        <v>27808.6094682429</v>
      </c>
      <c r="L7917" s="54" t="n">
        <f aca="false">MAX(0,(L7905-L7886*$C$7841)-L7865*$C$7846)*$C$7847*Assumptions!$D$105</f>
        <v>29735.5837530454</v>
      </c>
      <c r="M7917" s="54" t="n">
        <f aca="false">MAX(0,(M7905-M7886*$C$7841)-M7865*$C$7846)*$C$7847*Assumptions!$D$105</f>
        <v>29201.3815340945</v>
      </c>
      <c r="N7917" s="54" t="n">
        <f aca="false">MAX(0,(N7905-N7886*$C$7841)-N7865*$C$7846)*$C$7847*Assumptions!$D$105</f>
        <v>28360.6706538674</v>
      </c>
      <c r="P7917" s="55" t="n">
        <f aca="false">SUM(C7917:F7917)</f>
        <v>21655.5685840147</v>
      </c>
      <c r="Q7917" s="55" t="n">
        <f aca="false">SUM(G7917:J7917)</f>
        <v>62215.6042049852</v>
      </c>
      <c r="R7917" s="55" t="n">
        <f aca="false">SUM(K7917:N7917)</f>
        <v>115106.24540925</v>
      </c>
      <c r="S7917" s="56" t="n">
        <f aca="false">SUM(P7917:R7917)</f>
        <v>198977.41819825</v>
      </c>
    </row>
    <row r="7918" customFormat="false" ht="15" hidden="false" customHeight="false" outlineLevel="0" collapsed="false">
      <c r="A7918" s="4" t="s">
        <v>557</v>
      </c>
      <c r="B7918" s="36" t="s">
        <v>125</v>
      </c>
      <c r="C7918" s="54" t="n">
        <f aca="false">C7913*Assumptions!$E$71/Assumptions!$E$69/4</f>
        <v>18475.8928571429</v>
      </c>
      <c r="D7918" s="54" t="n">
        <f aca="false">D7913*Assumptions!$E$71/Assumptions!$E$69/4</f>
        <v>18475.8928571429</v>
      </c>
      <c r="E7918" s="54" t="n">
        <f aca="false">E7913*Assumptions!$E$71/Assumptions!$E$69/4</f>
        <v>18475.8928571429</v>
      </c>
      <c r="F7918" s="54" t="n">
        <f aca="false">F7913*Assumptions!$E$71/Assumptions!$E$69/4</f>
        <v>18475.8928571429</v>
      </c>
      <c r="G7918" s="54" t="n">
        <f aca="false">G7913*Assumptions!$E$71/Assumptions!$E$69/4</f>
        <v>18475.8928571429</v>
      </c>
      <c r="H7918" s="54" t="n">
        <f aca="false">H7913*Assumptions!$E$71/Assumptions!$E$69/4</f>
        <v>18475.8928571429</v>
      </c>
      <c r="I7918" s="54" t="n">
        <f aca="false">I7913*Assumptions!$E$71/Assumptions!$E$69/4</f>
        <v>18475.8928571429</v>
      </c>
      <c r="J7918" s="54" t="n">
        <f aca="false">J7913*Assumptions!$E$71/Assumptions!$E$69/4</f>
        <v>18475.8928571429</v>
      </c>
      <c r="K7918" s="54" t="n">
        <f aca="false">K7913*Assumptions!$E$71/Assumptions!$E$69/4</f>
        <v>18475.8928571429</v>
      </c>
      <c r="L7918" s="54" t="n">
        <f aca="false">L7913*Assumptions!$E$71/Assumptions!$E$69/4</f>
        <v>18475.8928571429</v>
      </c>
      <c r="M7918" s="54" t="n">
        <f aca="false">M7913*Assumptions!$E$71/Assumptions!$E$69/4</f>
        <v>18475.8928571429</v>
      </c>
      <c r="N7918" s="54" t="n">
        <f aca="false">N7913*Assumptions!$E$71/Assumptions!$E$69/4</f>
        <v>18475.8928571429</v>
      </c>
      <c r="P7918" s="55" t="n">
        <f aca="false">SUM(C7918:F7918)</f>
        <v>73903.5714285714</v>
      </c>
      <c r="Q7918" s="55" t="n">
        <f aca="false">SUM(G7918:J7918)</f>
        <v>73903.5714285714</v>
      </c>
      <c r="R7918" s="55" t="n">
        <f aca="false">SUM(K7918:N7918)</f>
        <v>73903.5714285714</v>
      </c>
      <c r="S7918" s="56" t="n">
        <f aca="false">SUM(P7918:R7918)</f>
        <v>221710.714285714</v>
      </c>
    </row>
    <row r="7919" customFormat="false" ht="15" hidden="false" customHeight="false" outlineLevel="0" collapsed="false">
      <c r="A7919" s="4" t="s">
        <v>558</v>
      </c>
      <c r="B7919" s="36" t="s">
        <v>125</v>
      </c>
      <c r="C7919" s="54" t="n">
        <f aca="false">(Assumptions!$D$103+Assumptions!$E$77*((C7850=Assumptions!$E$13)+(C7850=Assumptions!$E$14)+(C7850=Assumptions!$E$15)))*C7851</f>
        <v>65000</v>
      </c>
      <c r="D7919" s="54" t="n">
        <f aca="false">(Assumptions!$D$103+Assumptions!$E$77*((D7850=Assumptions!$E$13)+(D7850=Assumptions!$E$14)+(D7850=Assumptions!$E$15)))*D7851</f>
        <v>25000</v>
      </c>
      <c r="E7919" s="54" t="n">
        <f aca="false">(Assumptions!$D$103+Assumptions!$E$77*((E7850=Assumptions!$E$13)+(E7850=Assumptions!$E$14)+(E7850=Assumptions!$E$15)))*E7851</f>
        <v>25000</v>
      </c>
      <c r="F7919" s="54" t="n">
        <f aca="false">(Assumptions!$D$103+Assumptions!$E$77*((F7850=Assumptions!$E$13)+(F7850=Assumptions!$E$14)+(F7850=Assumptions!$E$15)))*F7851</f>
        <v>25000</v>
      </c>
      <c r="G7919" s="54" t="n">
        <f aca="false">(Assumptions!$D$103+Assumptions!$E$77*((G7850=Assumptions!$E$13)+(G7850=Assumptions!$E$14)+(G7850=Assumptions!$E$15)))*G7851</f>
        <v>65000</v>
      </c>
      <c r="H7919" s="54" t="n">
        <f aca="false">(Assumptions!$D$103+Assumptions!$E$77*((H7850=Assumptions!$E$13)+(H7850=Assumptions!$E$14)+(H7850=Assumptions!$E$15)))*H7851</f>
        <v>25000</v>
      </c>
      <c r="I7919" s="54" t="n">
        <f aca="false">(Assumptions!$D$103+Assumptions!$E$77*((I7850=Assumptions!$E$13)+(I7850=Assumptions!$E$14)+(I7850=Assumptions!$E$15)))*I7851</f>
        <v>65000</v>
      </c>
      <c r="J7919" s="54" t="n">
        <f aca="false">(Assumptions!$D$103+Assumptions!$E$77*((J7850=Assumptions!$E$13)+(J7850=Assumptions!$E$14)+(J7850=Assumptions!$E$15)))*J7851</f>
        <v>25000</v>
      </c>
      <c r="K7919" s="54" t="n">
        <f aca="false">(Assumptions!$D$103+Assumptions!$E$77*((K7850=Assumptions!$E$13)+(K7850=Assumptions!$E$14)+(K7850=Assumptions!$E$15)))*K7851</f>
        <v>25000</v>
      </c>
      <c r="L7919" s="54" t="n">
        <f aca="false">(Assumptions!$D$103+Assumptions!$E$77*((L7850=Assumptions!$E$13)+(L7850=Assumptions!$E$14)+(L7850=Assumptions!$E$15)))*L7851</f>
        <v>25000</v>
      </c>
      <c r="M7919" s="54" t="n">
        <f aca="false">(Assumptions!$D$103+Assumptions!$E$77*((M7850=Assumptions!$E$13)+(M7850=Assumptions!$E$14)+(M7850=Assumptions!$E$15)))*M7851</f>
        <v>25000</v>
      </c>
      <c r="N7919" s="54" t="n">
        <f aca="false">(Assumptions!$D$103+Assumptions!$E$77*((N7850=Assumptions!$E$13)+(N7850=Assumptions!$E$14)+(N7850=Assumptions!$E$15)))*N7851</f>
        <v>25000</v>
      </c>
      <c r="P7919" s="55" t="n">
        <f aca="false">SUM(C7919:F7919)</f>
        <v>140000</v>
      </c>
      <c r="Q7919" s="55" t="n">
        <f aca="false">SUM(G7919:J7919)</f>
        <v>180000</v>
      </c>
      <c r="R7919" s="55" t="n">
        <f aca="false">SUM(K7919:N7919)</f>
        <v>100000</v>
      </c>
      <c r="S7919" s="56" t="n">
        <f aca="false">SUM(P7919:R7919)</f>
        <v>420000</v>
      </c>
    </row>
    <row r="7920" customFormat="false" ht="15" hidden="false" customHeight="false" outlineLevel="0" collapsed="false">
      <c r="A7920" s="4" t="s">
        <v>559</v>
      </c>
      <c r="B7920" s="36" t="s">
        <v>125</v>
      </c>
      <c r="C7920" s="54" t="n">
        <f aca="false">C7905*C7885*Assumptions!$E$79</f>
        <v>0</v>
      </c>
      <c r="D7920" s="54" t="n">
        <f aca="false">D7905*D7885*Assumptions!$E$79</f>
        <v>815.338873355417</v>
      </c>
      <c r="E7920" s="54" t="n">
        <f aca="false">E7905*E7885*Assumptions!$E$79</f>
        <v>1576.95453714349</v>
      </c>
      <c r="F7920" s="54" t="n">
        <f aca="false">F7905*F7885*Assumptions!$E$79</f>
        <v>2363.78759030579</v>
      </c>
      <c r="G7920" s="54" t="n">
        <f aca="false">G7905*G7885*Assumptions!$E$79</f>
        <v>2961.23316349717</v>
      </c>
      <c r="H7920" s="54" t="n">
        <f aca="false">H7905*H7885*Assumptions!$E$79</f>
        <v>3401.8566535345</v>
      </c>
      <c r="I7920" s="54" t="n">
        <f aca="false">I7905*I7885*Assumptions!$E$79</f>
        <v>3951.44098442022</v>
      </c>
      <c r="J7920" s="54" t="n">
        <f aca="false">J7905*J7885*Assumptions!$E$79</f>
        <v>4240.17604272452</v>
      </c>
      <c r="K7920" s="54" t="n">
        <f aca="false">K7905*K7885*Assumptions!$E$79</f>
        <v>4805.46240923336</v>
      </c>
      <c r="L7920" s="54" t="n">
        <f aca="false">L7905*L7885*Assumptions!$E$79</f>
        <v>5627.63185752923</v>
      </c>
      <c r="M7920" s="54" t="n">
        <f aca="false">M7905*M7885*Assumptions!$E$79</f>
        <v>5687.10015383768</v>
      </c>
      <c r="N7920" s="54" t="n">
        <f aca="false">N7905*N7885*Assumptions!$E$79</f>
        <v>5685.06198652904</v>
      </c>
      <c r="P7920" s="55" t="n">
        <f aca="false">SUM(C7920:F7920)</f>
        <v>4756.0810008047</v>
      </c>
      <c r="Q7920" s="55" t="n">
        <f aca="false">SUM(G7920:J7920)</f>
        <v>14554.7068441764</v>
      </c>
      <c r="R7920" s="55" t="n">
        <f aca="false">SUM(K7920:N7920)</f>
        <v>21805.2564071293</v>
      </c>
      <c r="S7920" s="56" t="n">
        <f aca="false">SUM(P7920:R7920)</f>
        <v>41116.0442521104</v>
      </c>
    </row>
    <row r="7921" customFormat="false" ht="15" hidden="false" customHeight="false" outlineLevel="0" collapsed="false">
      <c r="A7921" s="4" t="s">
        <v>560</v>
      </c>
      <c r="B7921" s="36" t="s">
        <v>125</v>
      </c>
      <c r="C7921" s="54" t="n">
        <f aca="false">C7870*Assumptions!$E$80</f>
        <v>4000</v>
      </c>
      <c r="D7921" s="54" t="n">
        <f aca="false">D7870*Assumptions!$E$80</f>
        <v>6000</v>
      </c>
      <c r="E7921" s="54" t="n">
        <f aca="false">E7870*Assumptions!$E$80</f>
        <v>8000</v>
      </c>
      <c r="F7921" s="54" t="n">
        <f aca="false">F7870*Assumptions!$E$80</f>
        <v>10000</v>
      </c>
      <c r="G7921" s="54" t="n">
        <f aca="false">G7870*Assumptions!$E$80</f>
        <v>12000</v>
      </c>
      <c r="H7921" s="54" t="n">
        <f aca="false">H7870*Assumptions!$E$80</f>
        <v>14000</v>
      </c>
      <c r="I7921" s="54" t="n">
        <f aca="false">I7870*Assumptions!$E$80</f>
        <v>16000</v>
      </c>
      <c r="J7921" s="54" t="n">
        <f aca="false">J7870*Assumptions!$E$80</f>
        <v>18000</v>
      </c>
      <c r="K7921" s="54" t="n">
        <f aca="false">K7870*Assumptions!$E$80</f>
        <v>20000</v>
      </c>
      <c r="L7921" s="54" t="n">
        <f aca="false">L7870*Assumptions!$E$80</f>
        <v>20000</v>
      </c>
      <c r="M7921" s="54" t="n">
        <f aca="false">M7870*Assumptions!$E$80</f>
        <v>20000</v>
      </c>
      <c r="N7921" s="54" t="n">
        <f aca="false">N7870*Assumptions!$E$80</f>
        <v>20000</v>
      </c>
      <c r="P7921" s="55" t="n">
        <f aca="false">SUM(C7921:F7921)</f>
        <v>28000</v>
      </c>
      <c r="Q7921" s="55" t="n">
        <f aca="false">SUM(G7921:J7921)</f>
        <v>60000</v>
      </c>
      <c r="R7921" s="55" t="n">
        <f aca="false">SUM(K7921:N7921)</f>
        <v>80000</v>
      </c>
      <c r="S7921" s="56" t="n">
        <f aca="false">SUM(P7921:R7921)</f>
        <v>168000</v>
      </c>
    </row>
    <row r="7922" customFormat="false" ht="15" hidden="false" customHeight="false" outlineLevel="0" collapsed="false">
      <c r="A7922" s="4" t="s">
        <v>561</v>
      </c>
      <c r="B7922" s="36" t="s">
        <v>125</v>
      </c>
      <c r="C7922" s="54" t="n">
        <f aca="false">(C7893*$C$7842+C7894*$C$7843)*Assumptions!$E$81</f>
        <v>0</v>
      </c>
      <c r="D7922" s="54" t="n">
        <f aca="false">(D7893*$C$7842+D7894*$C$7843)*Assumptions!$E$81</f>
        <v>635.937968364564</v>
      </c>
      <c r="E7922" s="54" t="n">
        <f aca="false">(E7893*$C$7842+E7894*$C$7843)*Assumptions!$E$81</f>
        <v>1750.54055351793</v>
      </c>
      <c r="F7922" s="54" t="n">
        <f aca="false">(F7893*$C$7842+F7894*$C$7843)*Assumptions!$E$81</f>
        <v>2334.90810210795</v>
      </c>
      <c r="G7922" s="54" t="n">
        <f aca="false">(G7893*$C$7842+G7894*$C$7843)*Assumptions!$E$81</f>
        <v>2567.01977128764</v>
      </c>
      <c r="H7922" s="54" t="n">
        <f aca="false">(H7893*$C$7842+H7894*$C$7843)*Assumptions!$E$81</f>
        <v>3030.96924471942</v>
      </c>
      <c r="I7922" s="54" t="n">
        <f aca="false">(I7893*$C$7842+I7894*$C$7843)*Assumptions!$E$81</f>
        <v>3599.72954781419</v>
      </c>
      <c r="J7922" s="54" t="n">
        <f aca="false">(J7893*$C$7842+J7894*$C$7843)*Assumptions!$E$81</f>
        <v>4611.5696968051</v>
      </c>
      <c r="K7922" s="54" t="n">
        <f aca="false">(K7893*$C$7842+K7894*$C$7843)*Assumptions!$E$81</f>
        <v>5939.56455642065</v>
      </c>
      <c r="L7922" s="54" t="n">
        <f aca="false">(L7893*$C$7842+L7894*$C$7843)*Assumptions!$E$81</f>
        <v>6537.87185823684</v>
      </c>
      <c r="M7922" s="54" t="n">
        <f aca="false">(M7893*$C$7842+M7894*$C$7843)*Assumptions!$E$81</f>
        <v>6455.63010570383</v>
      </c>
      <c r="N7922" s="54" t="n">
        <f aca="false">(N7893*$C$7842+N7894*$C$7843)*Assumptions!$E$81</f>
        <v>6268.61318404599</v>
      </c>
      <c r="P7922" s="55" t="n">
        <f aca="false">SUM(C7922:F7922)</f>
        <v>4721.38662399044</v>
      </c>
      <c r="Q7922" s="55" t="n">
        <f aca="false">SUM(G7922:J7922)</f>
        <v>13809.2882606264</v>
      </c>
      <c r="R7922" s="55" t="n">
        <f aca="false">SUM(K7922:N7922)</f>
        <v>25201.6797044073</v>
      </c>
      <c r="S7922" s="56" t="n">
        <f aca="false">SUM(P7922:R7922)</f>
        <v>43732.3545890241</v>
      </c>
    </row>
    <row r="7923" customFormat="false" ht="15" hidden="false" customHeight="false" outlineLevel="0" collapsed="false">
      <c r="A7923" s="9" t="s">
        <v>562</v>
      </c>
      <c r="B7923" s="36" t="s">
        <v>125</v>
      </c>
      <c r="C7923" s="55" t="n">
        <f aca="false">C7915+C7916+C7917+C7918+C7919+C7920+C7921+C7922</f>
        <v>154229.464285714</v>
      </c>
      <c r="D7923" s="55" t="n">
        <f aca="false">D7915+D7916+D7917+D7918+D7919+D7920+D7921+D7922</f>
        <v>121172.463189242</v>
      </c>
      <c r="E7923" s="55" t="n">
        <f aca="false">E7915+E7916+E7917+E7918+E7919+E7920+E7921+E7922</f>
        <v>129596.055895122</v>
      </c>
      <c r="F7923" s="55" t="n">
        <f aca="false">F7915+F7916+F7917+F7918+F7919+F7920+F7921+F7922</f>
        <v>135052.909981589</v>
      </c>
      <c r="G7923" s="55" t="n">
        <f aca="false">G7915+G7916+G7917+G7918+G7919+G7920+G7921+G7922</f>
        <v>212254.95919925</v>
      </c>
      <c r="H7923" s="55" t="n">
        <f aca="false">H7915+H7916+H7917+H7918+H7919+H7920+H7921+H7922</f>
        <v>177502.111632148</v>
      </c>
      <c r="I7923" s="55" t="n">
        <f aca="false">I7915+I7916+I7917+I7918+I7919+I7920+I7921+I7922</f>
        <v>223229.636966557</v>
      </c>
      <c r="J7923" s="55" t="n">
        <f aca="false">J7915+J7916+J7917+J7918+J7919+J7920+J7921+J7922</f>
        <v>192017.891511833</v>
      </c>
      <c r="K7923" s="55" t="n">
        <f aca="false">K7915+K7916+K7917+K7918+K7919+K7920+K7921+K7922</f>
        <v>202159.886433897</v>
      </c>
      <c r="L7923" s="55" t="n">
        <f aca="false">L7915+L7916+L7917+L7918+L7919+L7920+L7921+L7922</f>
        <v>205507.337468812</v>
      </c>
      <c r="M7923" s="55" t="n">
        <f aca="false">M7915+M7916+M7917+M7918+M7919+M7920+M7921+M7922</f>
        <v>204950.361793636</v>
      </c>
      <c r="N7923" s="55" t="n">
        <f aca="false">N7915+N7916+N7917+N7918+N7919+N7920+N7921+N7922</f>
        <v>203920.595824442</v>
      </c>
      <c r="P7923" s="55" t="n">
        <f aca="false">SUM(C7923:F7923)</f>
        <v>540050.893351667</v>
      </c>
      <c r="Q7923" s="55" t="n">
        <f aca="false">SUM(G7923:J7923)</f>
        <v>805004.599309788</v>
      </c>
      <c r="R7923" s="55" t="n">
        <f aca="false">SUM(K7923:N7923)</f>
        <v>816538.181520787</v>
      </c>
      <c r="S7923" s="56" t="n">
        <f aca="false">SUM(P7923:R7923)</f>
        <v>2161593.67418224</v>
      </c>
    </row>
    <row r="7924" customFormat="false" ht="15" hidden="false" customHeight="false" outlineLevel="0" collapsed="false">
      <c r="A7924" s="4" t="s">
        <v>563</v>
      </c>
      <c r="B7924" s="36" t="s">
        <v>125</v>
      </c>
      <c r="C7924" s="54" t="n">
        <f aca="false">C7912*Assumptions!$E$72/Assumptions!$E$69/4</f>
        <v>56535.7142857143</v>
      </c>
      <c r="D7924" s="54" t="n">
        <f aca="false">D7912*Assumptions!$E$72/Assumptions!$E$69/4</f>
        <v>56535.7142857143</v>
      </c>
      <c r="E7924" s="54" t="n">
        <f aca="false">E7912*Assumptions!$E$72/Assumptions!$E$69/4</f>
        <v>56535.7142857143</v>
      </c>
      <c r="F7924" s="54" t="n">
        <f aca="false">F7912*Assumptions!$E$72/Assumptions!$E$69/4</f>
        <v>56535.7142857143</v>
      </c>
      <c r="G7924" s="54" t="n">
        <f aca="false">G7912*Assumptions!$E$72/Assumptions!$E$69/4</f>
        <v>28267.8571428571</v>
      </c>
      <c r="H7924" s="54" t="n">
        <f aca="false">H7912*Assumptions!$E$72/Assumptions!$E$69/4</f>
        <v>28267.8571428571</v>
      </c>
      <c r="I7924" s="54" t="n">
        <f aca="false">I7912*Assumptions!$E$72/Assumptions!$E$69/4</f>
        <v>28267.8571428571</v>
      </c>
      <c r="J7924" s="54" t="n">
        <f aca="false">J7912*Assumptions!$E$72/Assumptions!$E$69/4</f>
        <v>28267.8571428571</v>
      </c>
      <c r="K7924" s="54" t="n">
        <f aca="false">K7912*Assumptions!$E$72/Assumptions!$E$69/4</f>
        <v>28267.8571428571</v>
      </c>
      <c r="L7924" s="54" t="n">
        <f aca="false">L7912*Assumptions!$E$72/Assumptions!$E$69/4</f>
        <v>28267.8571428571</v>
      </c>
      <c r="M7924" s="54" t="n">
        <f aca="false">M7912*Assumptions!$E$72/Assumptions!$E$69/4</f>
        <v>28267.8571428571</v>
      </c>
      <c r="N7924" s="54" t="n">
        <f aca="false">N7912*Assumptions!$E$72/Assumptions!$E$69/4</f>
        <v>28267.8571428571</v>
      </c>
      <c r="P7924" s="55" t="n">
        <f aca="false">SUM(C7924:F7924)</f>
        <v>226142.857142857</v>
      </c>
      <c r="Q7924" s="55" t="n">
        <f aca="false">SUM(G7924:J7924)</f>
        <v>113071.428571429</v>
      </c>
      <c r="R7924" s="55" t="n">
        <f aca="false">SUM(K7924:N7924)</f>
        <v>113071.428571429</v>
      </c>
      <c r="S7924" s="56" t="n">
        <f aca="false">SUM(P7924:R7924)</f>
        <v>452285.714285714</v>
      </c>
    </row>
    <row r="7925" customFormat="false" ht="15" hidden="false" customHeight="false" outlineLevel="0" collapsed="false">
      <c r="A7925" s="4" t="s">
        <v>564</v>
      </c>
      <c r="B7925" s="36" t="s">
        <v>125</v>
      </c>
      <c r="C7925" s="54" t="n">
        <f aca="false">IF(C7850&lt;=Assumptions!$E$83,Assumptions!$E$82*Assumptions!$D$108/Assumptions!$E$83,0)</f>
        <v>62500</v>
      </c>
      <c r="D7925" s="54" t="n">
        <f aca="false">IF(D7850&lt;=Assumptions!$E$83,Assumptions!$E$82*Assumptions!$D$108/Assumptions!$E$83,0)</f>
        <v>62500</v>
      </c>
      <c r="E7925" s="54" t="n">
        <f aca="false">IF(E7850&lt;=Assumptions!$E$83,Assumptions!$E$82*Assumptions!$D$108/Assumptions!$E$83,0)</f>
        <v>62500</v>
      </c>
      <c r="F7925" s="54" t="n">
        <f aca="false">IF(F7850&lt;=Assumptions!$E$83,Assumptions!$E$82*Assumptions!$D$108/Assumptions!$E$83,0)</f>
        <v>62500</v>
      </c>
      <c r="G7925" s="54" t="n">
        <f aca="false">IF(G7850&lt;=Assumptions!$E$83,Assumptions!$E$82*Assumptions!$D$108/Assumptions!$E$83,0)</f>
        <v>0</v>
      </c>
      <c r="H7925" s="54" t="n">
        <f aca="false">IF(H7850&lt;=Assumptions!$E$83,Assumptions!$E$82*Assumptions!$D$108/Assumptions!$E$83,0)</f>
        <v>0</v>
      </c>
      <c r="I7925" s="54" t="n">
        <f aca="false">IF(I7850&lt;=Assumptions!$E$83,Assumptions!$E$82*Assumptions!$D$108/Assumptions!$E$83,0)</f>
        <v>0</v>
      </c>
      <c r="J7925" s="54" t="n">
        <f aca="false">IF(J7850&lt;=Assumptions!$E$83,Assumptions!$E$82*Assumptions!$D$108/Assumptions!$E$83,0)</f>
        <v>0</v>
      </c>
      <c r="K7925" s="54" t="n">
        <f aca="false">IF(K7850&lt;=Assumptions!$E$83,Assumptions!$E$82*Assumptions!$D$108/Assumptions!$E$83,0)</f>
        <v>0</v>
      </c>
      <c r="L7925" s="54" t="n">
        <f aca="false">IF(L7850&lt;=Assumptions!$E$83,Assumptions!$E$82*Assumptions!$D$108/Assumptions!$E$83,0)</f>
        <v>0</v>
      </c>
      <c r="M7925" s="54" t="n">
        <f aca="false">IF(M7850&lt;=Assumptions!$E$83,Assumptions!$E$82*Assumptions!$D$108/Assumptions!$E$83,0)</f>
        <v>0</v>
      </c>
      <c r="N7925" s="54" t="n">
        <f aca="false">IF(N7850&lt;=Assumptions!$E$83,Assumptions!$E$82*Assumptions!$D$108/Assumptions!$E$83,0)</f>
        <v>0</v>
      </c>
      <c r="P7925" s="55" t="n">
        <f aca="false">SUM(C7925:F7925)</f>
        <v>250000</v>
      </c>
      <c r="Q7925" s="55" t="n">
        <f aca="false">SUM(G7925:J7925)</f>
        <v>0</v>
      </c>
      <c r="R7925" s="55" t="n">
        <f aca="false">SUM(K7925:N7925)</f>
        <v>0</v>
      </c>
      <c r="S7925" s="56" t="n">
        <f aca="false">SUM(P7925:R7925)</f>
        <v>250000</v>
      </c>
    </row>
    <row r="7926" customFormat="false" ht="15" hidden="false" customHeight="false" outlineLevel="0" collapsed="false">
      <c r="A7926" s="4" t="s">
        <v>565</v>
      </c>
      <c r="B7926" s="36" t="s">
        <v>125</v>
      </c>
      <c r="C7926" s="54" t="n">
        <f aca="false">C7914*Assumptions!$E$73/Assumptions!$E$69/4</f>
        <v>0</v>
      </c>
      <c r="D7926" s="54" t="n">
        <f aca="false">D7914*Assumptions!$E$73/Assumptions!$E$69/4</f>
        <v>575.3130595573</v>
      </c>
      <c r="E7926" s="54" t="n">
        <f aca="false">E7914*Assumptions!$E$73/Assumptions!$E$69/4</f>
        <v>1617.32906717661</v>
      </c>
      <c r="F7926" s="54" t="n">
        <f aca="false">F7914*Assumptions!$E$73/Assumptions!$E$69/4</f>
        <v>2784.46806400723</v>
      </c>
      <c r="G7926" s="54" t="n">
        <f aca="false">G7914*Assumptions!$E$73/Assumptions!$E$69/4</f>
        <v>4037.30390559473</v>
      </c>
      <c r="H7926" s="54" t="n">
        <f aca="false">H7914*Assumptions!$E$73/Assumptions!$E$69/4</f>
        <v>5588.71900339185</v>
      </c>
      <c r="I7926" s="54" t="n">
        <f aca="false">I7914*Assumptions!$E$73/Assumptions!$E$69/4</f>
        <v>7423.89520049251</v>
      </c>
      <c r="J7926" s="54" t="n">
        <f aca="false">J7914*Assumptions!$E$73/Assumptions!$E$69/4</f>
        <v>9984.21295072483</v>
      </c>
      <c r="K7926" s="54" t="n">
        <f aca="false">K7914*Assumptions!$E$73/Assumptions!$E$69/4</f>
        <v>13228.7197241336</v>
      </c>
      <c r="L7926" s="54" t="n">
        <f aca="false">L7914*Assumptions!$E$73/Assumptions!$E$69/4</f>
        <v>16471.1613499398</v>
      </c>
      <c r="M7926" s="54" t="n">
        <f aca="false">M7914*Assumptions!$E$73/Assumptions!$E$69/4</f>
        <v>19532.3193424529</v>
      </c>
      <c r="N7926" s="54" t="n">
        <f aca="false">N7914*Assumptions!$E$73/Assumptions!$E$69/4</f>
        <v>22411.7337529877</v>
      </c>
      <c r="P7926" s="55" t="n">
        <f aca="false">SUM(C7926:F7926)</f>
        <v>4977.11019074114</v>
      </c>
      <c r="Q7926" s="55" t="n">
        <f aca="false">SUM(G7926:J7926)</f>
        <v>27034.1310602039</v>
      </c>
      <c r="R7926" s="55" t="n">
        <f aca="false">SUM(K7926:N7926)</f>
        <v>71643.934169514</v>
      </c>
      <c r="S7926" s="56" t="n">
        <f aca="false">SUM(P7926:R7926)</f>
        <v>103655.175420459</v>
      </c>
    </row>
    <row r="7927" customFormat="false" ht="15" hidden="false" customHeight="false" outlineLevel="0" collapsed="false">
      <c r="A7927" s="9" t="s">
        <v>566</v>
      </c>
      <c r="B7927" s="36" t="s">
        <v>125</v>
      </c>
      <c r="C7927" s="55" t="n">
        <f aca="false">C7923+C7924+C7925+C7926</f>
        <v>273265.178571429</v>
      </c>
      <c r="D7927" s="55" t="n">
        <f aca="false">D7923+D7924+D7925+D7926</f>
        <v>240783.490534514</v>
      </c>
      <c r="E7927" s="55" t="n">
        <f aca="false">E7923+E7924+E7925+E7926</f>
        <v>250249.099248013</v>
      </c>
      <c r="F7927" s="55" t="n">
        <f aca="false">F7923+F7924+F7925+F7926</f>
        <v>256873.092331311</v>
      </c>
      <c r="G7927" s="55" t="n">
        <f aca="false">G7923+G7924+G7925+G7926</f>
        <v>244560.120247702</v>
      </c>
      <c r="H7927" s="55" t="n">
        <f aca="false">H7923+H7924+H7925+H7926</f>
        <v>211358.687778397</v>
      </c>
      <c r="I7927" s="55" t="n">
        <f aca="false">I7923+I7924+I7925+I7926</f>
        <v>258921.389309906</v>
      </c>
      <c r="J7927" s="55" t="n">
        <f aca="false">J7923+J7924+J7925+J7926</f>
        <v>230269.961605415</v>
      </c>
      <c r="K7927" s="55" t="n">
        <f aca="false">K7923+K7924+K7925+K7926</f>
        <v>243656.463300888</v>
      </c>
      <c r="L7927" s="55" t="n">
        <f aca="false">L7923+L7924+L7925+L7926</f>
        <v>250246.355961609</v>
      </c>
      <c r="M7927" s="55" t="n">
        <f aca="false">M7923+M7924+M7925+M7926</f>
        <v>252750.538278946</v>
      </c>
      <c r="N7927" s="55" t="n">
        <f aca="false">N7923+N7924+N7925+N7926</f>
        <v>254600.186720287</v>
      </c>
      <c r="P7927" s="55" t="n">
        <f aca="false">SUM(C7927:F7927)</f>
        <v>1021170.86068527</v>
      </c>
      <c r="Q7927" s="55" t="n">
        <f aca="false">SUM(G7927:J7927)</f>
        <v>945110.158941421</v>
      </c>
      <c r="R7927" s="55" t="n">
        <f aca="false">SUM(K7927:N7927)</f>
        <v>1001253.54426173</v>
      </c>
      <c r="S7927" s="56" t="n">
        <f aca="false">SUM(P7927:R7927)</f>
        <v>2967534.56388842</v>
      </c>
    </row>
    <row r="7928" customFormat="false" ht="15" hidden="false" customHeight="false" outlineLevel="0" collapsed="false">
      <c r="A7928" s="35" t="s">
        <v>567</v>
      </c>
      <c r="B7928" s="35" t="s">
        <v>444</v>
      </c>
      <c r="C7928" s="6" t="s">
        <v>354</v>
      </c>
      <c r="D7928" s="6" t="s">
        <v>355</v>
      </c>
      <c r="E7928" s="6" t="s">
        <v>356</v>
      </c>
      <c r="F7928" s="6" t="s">
        <v>357</v>
      </c>
      <c r="G7928" s="6" t="s">
        <v>358</v>
      </c>
      <c r="H7928" s="6" t="s">
        <v>359</v>
      </c>
      <c r="I7928" s="6" t="s">
        <v>360</v>
      </c>
      <c r="J7928" s="6" t="s">
        <v>361</v>
      </c>
      <c r="K7928" s="6" t="s">
        <v>362</v>
      </c>
      <c r="L7928" s="6" t="s">
        <v>363</v>
      </c>
      <c r="M7928" s="6" t="s">
        <v>364</v>
      </c>
      <c r="N7928" s="6" t="s">
        <v>365</v>
      </c>
      <c r="P7928" s="6" t="s">
        <v>445</v>
      </c>
      <c r="Q7928" s="6" t="s">
        <v>446</v>
      </c>
      <c r="R7928" s="6" t="s">
        <v>447</v>
      </c>
      <c r="S7928" s="6" t="s">
        <v>448</v>
      </c>
    </row>
    <row r="7929" customFormat="false" ht="15" hidden="false" customHeight="false" outlineLevel="0" collapsed="false">
      <c r="A7929" s="9" t="s">
        <v>568</v>
      </c>
      <c r="B7929" s="36" t="s">
        <v>125</v>
      </c>
      <c r="C7929" s="55" t="n">
        <f aca="false">C7907-C7927</f>
        <v>-273265.178571429</v>
      </c>
      <c r="D7929" s="55" t="n">
        <f aca="false">D7907-D7927</f>
        <v>-240062.280337795</v>
      </c>
      <c r="E7929" s="55" t="n">
        <f aca="false">E7907-E7927</f>
        <v>-247207.646379802</v>
      </c>
      <c r="F7929" s="55" t="n">
        <f aca="false">F7907-F7927</f>
        <v>-250228.802278658</v>
      </c>
      <c r="G7929" s="55" t="n">
        <f aca="false">G7907-G7927</f>
        <v>-233682.323682823</v>
      </c>
      <c r="H7929" s="55" t="n">
        <f aca="false">H7907-H7927</f>
        <v>-195510.166063918</v>
      </c>
      <c r="I7929" s="55" t="n">
        <f aca="false">I7907-I7927</f>
        <v>-237031.394824393</v>
      </c>
      <c r="J7929" s="55" t="n">
        <f aca="false">J7907-J7927</f>
        <v>-200597.728717241</v>
      </c>
      <c r="K7929" s="55" t="n">
        <f aca="false">K7907-K7927</f>
        <v>-203711.192707385</v>
      </c>
      <c r="L7929" s="55" t="n">
        <f aca="false">L7907-L7927</f>
        <v>-198295.888226011</v>
      </c>
      <c r="M7929" s="55" t="n">
        <f aca="false">M7907-M7927</f>
        <v>-188390.340352126</v>
      </c>
      <c r="N7929" s="55" t="n">
        <f aca="false">N7907-N7927</f>
        <v>-177916.162821988</v>
      </c>
      <c r="P7929" s="55" t="n">
        <f aca="false">SUM(C7929:F7929)</f>
        <v>-1010763.90756768</v>
      </c>
      <c r="Q7929" s="55" t="n">
        <f aca="false">SUM(G7929:J7929)</f>
        <v>-866821.613288375</v>
      </c>
      <c r="R7929" s="55" t="n">
        <f aca="false">SUM(K7929:N7929)</f>
        <v>-768313.58410751</v>
      </c>
      <c r="S7929" s="56" t="n">
        <f aca="false">SUM(P7929:R7929)</f>
        <v>-2645899.10496357</v>
      </c>
    </row>
    <row r="7930" customFormat="false" ht="15" hidden="false" customHeight="false" outlineLevel="0" collapsed="false">
      <c r="A7930" s="9" t="s">
        <v>569</v>
      </c>
      <c r="B7930" s="36" t="s">
        <v>125</v>
      </c>
      <c r="C7930" s="55" t="n">
        <f aca="false">0+C7929</f>
        <v>-273265.178571429</v>
      </c>
      <c r="D7930" s="55" t="n">
        <f aca="false">C7930+D7929</f>
        <v>-513327.458909223</v>
      </c>
      <c r="E7930" s="55" t="n">
        <f aca="false">D7930+E7929</f>
        <v>-760535.105289025</v>
      </c>
      <c r="F7930" s="55" t="n">
        <f aca="false">E7930+F7929</f>
        <v>-1010763.90756768</v>
      </c>
      <c r="G7930" s="55" t="n">
        <f aca="false">F7930+G7929</f>
        <v>-1244446.23125051</v>
      </c>
      <c r="H7930" s="55" t="n">
        <f aca="false">G7930+H7929</f>
        <v>-1439956.39731442</v>
      </c>
      <c r="I7930" s="55" t="n">
        <f aca="false">H7930+I7929</f>
        <v>-1676987.79213882</v>
      </c>
      <c r="J7930" s="55" t="n">
        <f aca="false">I7930+J7929</f>
        <v>-1877585.52085606</v>
      </c>
      <c r="K7930" s="55" t="n">
        <f aca="false">J7930+K7929</f>
        <v>-2081296.71356344</v>
      </c>
      <c r="L7930" s="55" t="n">
        <f aca="false">K7930+L7929</f>
        <v>-2279592.60178945</v>
      </c>
      <c r="M7930" s="55" t="n">
        <f aca="false">L7930+M7929</f>
        <v>-2467982.94214158</v>
      </c>
      <c r="N7930" s="55" t="n">
        <f aca="false">M7930+N7929</f>
        <v>-2645899.10496357</v>
      </c>
      <c r="P7930" s="55" t="n">
        <f aca="false">F7930</f>
        <v>-1010763.90756768</v>
      </c>
      <c r="Q7930" s="55" t="n">
        <f aca="false">J7930</f>
        <v>-1877585.52085606</v>
      </c>
      <c r="R7930" s="55" t="n">
        <f aca="false">N7930</f>
        <v>-2645899.10496357</v>
      </c>
      <c r="S7930" s="56" t="n">
        <f aca="false">R7930</f>
        <v>-2645899.10496357</v>
      </c>
    </row>
    <row r="7931" customFormat="false" ht="15" hidden="false" customHeight="false" outlineLevel="0" collapsed="false">
      <c r="A7931" s="4" t="s">
        <v>570</v>
      </c>
      <c r="B7931" s="36" t="s">
        <v>107</v>
      </c>
      <c r="C7931" s="57" t="n">
        <f aca="false">1/(1+0.15)^(C7850/4)</f>
        <v>0.965662885400653</v>
      </c>
      <c r="D7931" s="57" t="n">
        <f aca="false">1/(1+0.15)^(D7850/4)</f>
        <v>0.932504808240314</v>
      </c>
      <c r="E7931" s="57" t="n">
        <f aca="false">1/(1+0.15)^(E7850/4)</f>
        <v>0.900485283775324</v>
      </c>
      <c r="F7931" s="57" t="n">
        <f aca="false">1/(1+0.15)^(F7850/4)</f>
        <v>0.869565217391304</v>
      </c>
      <c r="G7931" s="57" t="n">
        <f aca="false">1/(1+0.15)^(G7850/4)</f>
        <v>0.839706856870133</v>
      </c>
      <c r="H7931" s="57" t="n">
        <f aca="false">1/(1+0.15)^(H7850/4)</f>
        <v>0.810873746295925</v>
      </c>
      <c r="I7931" s="57" t="n">
        <f aca="false">1/(1+0.15)^(I7850/4)</f>
        <v>0.78303068154376</v>
      </c>
      <c r="J7931" s="57" t="n">
        <f aca="false">1/(1+0.15)^(J7850/4)</f>
        <v>0.756143667296787</v>
      </c>
      <c r="K7931" s="57" t="n">
        <f aca="false">1/(1+0.15)^(K7850/4)</f>
        <v>0.730179875539246</v>
      </c>
      <c r="L7931" s="57" t="n">
        <f aca="false">1/(1+0.15)^(L7850/4)</f>
        <v>0.705107605474718</v>
      </c>
      <c r="M7931" s="57" t="n">
        <f aca="false">1/(1+0.15)^(M7850/4)</f>
        <v>0.680896244820661</v>
      </c>
      <c r="N7931" s="57" t="n">
        <f aca="false">1/(1+0.15)^(N7850/4)</f>
        <v>0.657516232431988</v>
      </c>
      <c r="P7931" s="58"/>
      <c r="Q7931" s="58"/>
      <c r="R7931" s="58"/>
      <c r="S7931" s="59"/>
    </row>
    <row r="7932" customFormat="false" ht="15" hidden="false" customHeight="false" outlineLevel="0" collapsed="false">
      <c r="A7932" s="4" t="s">
        <v>571</v>
      </c>
      <c r="B7932" s="36" t="s">
        <v>125</v>
      </c>
      <c r="C7932" s="54" t="n">
        <f aca="false">(C7907*(1-Assumptions!$E$88)-C7927)*C7931</f>
        <v>-263882.04081881</v>
      </c>
      <c r="D7932" s="54" t="n">
        <f aca="false">(D7907*(1-Assumptions!$E$88)-D7927)*D7931</f>
        <v>-223993.737087366</v>
      </c>
      <c r="E7932" s="54" t="n">
        <f aca="false">(E7907*(1-Assumptions!$E$88)-E7927)*E7931</f>
        <v>-223154.60431157</v>
      </c>
      <c r="F7932" s="54" t="n">
        <f aca="false">(F7907*(1-Assumptions!$E$88)-F7927)*F7931</f>
        <v>-218745.791555816</v>
      </c>
      <c r="G7932" s="54" t="n">
        <f aca="false">(G7907*(1-Assumptions!$E$88)-G7927)*G7931</f>
        <v>-198051.481598446</v>
      </c>
      <c r="H7932" s="54" t="n">
        <f aca="false">(H7907*(1-Assumptions!$E$88)-H7927)*H7931</f>
        <v>-161104.290830362</v>
      </c>
      <c r="I7932" s="54" t="n">
        <f aca="false">(I7907*(1-Assumptions!$E$88)-I7927)*I7931</f>
        <v>-189030.962096809</v>
      </c>
      <c r="J7932" s="54" t="n">
        <f aca="false">(J7907*(1-Assumptions!$E$88)-J7927)*J7931</f>
        <v>-156167.99644225</v>
      </c>
      <c r="K7932" s="54" t="n">
        <f aca="false">(K7907*(1-Assumptions!$E$88)-K7927)*K7931</f>
        <v>-154579.259879099</v>
      </c>
      <c r="L7932" s="54" t="n">
        <f aca="false">(L7907*(1-Assumptions!$E$88)-L7927)*L7931</f>
        <v>-147146.072904193</v>
      </c>
      <c r="M7932" s="54" t="n">
        <f aca="false">(M7907*(1-Assumptions!$E$88)-M7927)*M7931</f>
        <v>-137038.798723106</v>
      </c>
      <c r="N7932" s="54" t="n">
        <f aca="false">(N7907*(1-Assumptions!$E$88)-N7927)*N7931</f>
        <v>-127066.963163737</v>
      </c>
      <c r="P7932" s="55" t="n">
        <f aca="false">SUM(C7932:F7932)</f>
        <v>-929776.173773562</v>
      </c>
      <c r="Q7932" s="55" t="n">
        <f aca="false">SUM(G7932:J7932)</f>
        <v>-704354.730967866</v>
      </c>
      <c r="R7932" s="55" t="n">
        <f aca="false">SUM(K7932:N7932)</f>
        <v>-565831.094670134</v>
      </c>
      <c r="S7932" s="56" t="n">
        <f aca="false">SUM(P7932:R7932)</f>
        <v>-2199961.99941156</v>
      </c>
    </row>
    <row r="7933" customFormat="false" ht="15" hidden="false" customHeight="false" outlineLevel="0" collapsed="false">
      <c r="A7933" s="4" t="s">
        <v>572</v>
      </c>
      <c r="B7933" s="36" t="s">
        <v>125</v>
      </c>
      <c r="C7933" s="54" t="n">
        <f aca="false">(C7927-C7926)*12/(Assumptions!$E$89*Assumptions!$E$76)*Assumptions!$E$90</f>
        <v>189183.585164835</v>
      </c>
      <c r="D7933" s="54" t="n">
        <f aca="false">(D7927-D7926)*12/(Assumptions!$E$89*Assumptions!$E$76)*Assumptions!$E$90</f>
        <v>166297.969021124</v>
      </c>
      <c r="E7933" s="54" t="n">
        <f aca="false">(E7927-E7926)*12/(Assumptions!$E$89*Assumptions!$E$76)*Assumptions!$E$90</f>
        <v>172129.687048271</v>
      </c>
      <c r="F7933" s="54" t="n">
        <f aca="false">(F7927-F7926)*12/(Assumptions!$E$89*Assumptions!$E$76)*Assumptions!$E$90</f>
        <v>175907.509108133</v>
      </c>
      <c r="G7933" s="54" t="n">
        <f aca="false">(G7927-G7926)*12/(Assumptions!$E$89*Assumptions!$E$76)*Assumptions!$E$90</f>
        <v>166515.795929151</v>
      </c>
      <c r="H7933" s="54" t="n">
        <f aca="false">(H7927-H7926)*12/(Assumptions!$E$89*Assumptions!$E$76)*Assumptions!$E$90</f>
        <v>142456.13222885</v>
      </c>
      <c r="I7933" s="54" t="n">
        <f aca="false">(I7927-I7926)*12/(Assumptions!$E$89*Assumptions!$E$76)*Assumptions!$E$90</f>
        <v>174113.649768056</v>
      </c>
      <c r="J7933" s="54" t="n">
        <f aca="false">(J7927-J7926)*12/(Assumptions!$E$89*Assumptions!$E$76)*Assumptions!$E$90</f>
        <v>152505.518299401</v>
      </c>
      <c r="K7933" s="54" t="n">
        <f aca="false">(K7927-K7926)*12/(Assumptions!$E$89*Assumptions!$E$76)*Assumptions!$E$90</f>
        <v>159526.899399291</v>
      </c>
      <c r="L7933" s="54" t="n">
        <f aca="false">(L7927-L7926)*12/(Assumptions!$E$89*Assumptions!$E$76)*Assumptions!$E$90</f>
        <v>161844.365500386</v>
      </c>
      <c r="M7933" s="54" t="n">
        <f aca="false">(M7927-M7926)*12/(Assumptions!$E$89*Assumptions!$E$76)*Assumptions!$E$90</f>
        <v>161458.766956034</v>
      </c>
      <c r="N7933" s="54" t="n">
        <f aca="false">(N7927-N7926)*12/(Assumptions!$E$89*Assumptions!$E$76)*Assumptions!$E$90</f>
        <v>160745.852054284</v>
      </c>
      <c r="P7933" s="55" t="n">
        <f aca="false">SUM(C7933:F7933)</f>
        <v>703518.750342363</v>
      </c>
      <c r="Q7933" s="55" t="n">
        <f aca="false">SUM(G7933:J7933)</f>
        <v>635591.096225458</v>
      </c>
      <c r="R7933" s="55" t="n">
        <f aca="false">SUM(K7933:N7933)</f>
        <v>643575.883909995</v>
      </c>
      <c r="S7933" s="56" t="n">
        <f aca="false">SUM(P7933:R7933)</f>
        <v>1982685.73047782</v>
      </c>
    </row>
    <row r="7934" customFormat="false" ht="15" hidden="false" customHeight="false" outlineLevel="0" collapsed="false">
      <c r="A7934" s="4" t="s">
        <v>573</v>
      </c>
      <c r="B7934" s="36" t="s">
        <v>125</v>
      </c>
      <c r="C7934" s="54" t="n">
        <f aca="false">0*Assumptions!$E$92^(1/4)+C7933</f>
        <v>189183.585164835</v>
      </c>
      <c r="D7934" s="54" t="n">
        <f aca="false">C7934*Assumptions!$E$92^(1/4)+D7933</f>
        <v>355952.749828138</v>
      </c>
      <c r="E7934" s="54" t="n">
        <f aca="false">D7934*Assumptions!$E$92^(1/4)+E7933</f>
        <v>528969.001027282</v>
      </c>
      <c r="F7934" s="54" t="n">
        <f aca="false">E7934*Assumptions!$E$92^(1/4)+F7933</f>
        <v>706194.00228419</v>
      </c>
      <c r="G7934" s="54" t="n">
        <f aca="false">F7934*Assumptions!$E$92^(1/4)+G7933</f>
        <v>874468.701006729</v>
      </c>
      <c r="H7934" s="54" t="n">
        <f aca="false">G7934*Assumptions!$E$92^(1/4)+H7933</f>
        <v>1019102.8543402</v>
      </c>
      <c r="I7934" s="54" t="n">
        <f aca="false">H7934*Assumptions!$E$92^(1/4)+I7933</f>
        <v>1195754.76250672</v>
      </c>
      <c r="J7934" s="54" t="n">
        <f aca="false">I7934*Assumptions!$E$92^(1/4)+J7933</f>
        <v>1351238.5224581</v>
      </c>
      <c r="K7934" s="54" t="n">
        <f aca="false">J7934*Assumptions!$E$92^(1/4)+K7933</f>
        <v>1514130.92369399</v>
      </c>
      <c r="L7934" s="54" t="n">
        <f aca="false">K7934*Assumptions!$E$92^(1/4)+L7933</f>
        <v>1679746.5037652</v>
      </c>
      <c r="M7934" s="54" t="n">
        <f aca="false">L7934*Assumptions!$E$92^(1/4)+M7933</f>
        <v>1845388.98059146</v>
      </c>
      <c r="N7934" s="54" t="n">
        <f aca="false">M7934*Assumptions!$E$92^(1/4)+N7933</f>
        <v>2010731.10480658</v>
      </c>
      <c r="P7934" s="55" t="n">
        <f aca="false">F7934</f>
        <v>706194.00228419</v>
      </c>
      <c r="Q7934" s="55" t="n">
        <f aca="false">J7934</f>
        <v>1351238.5224581</v>
      </c>
      <c r="R7934" s="55" t="n">
        <f aca="false">N7934</f>
        <v>2010731.10480658</v>
      </c>
      <c r="S7934" s="56" t="n">
        <f aca="false">R7934</f>
        <v>2010731.10480658</v>
      </c>
    </row>
    <row r="7935" customFormat="false" ht="15" hidden="false" customHeight="false" outlineLevel="0" collapsed="false">
      <c r="A7935" s="4" t="s">
        <v>574</v>
      </c>
      <c r="B7935" s="36" t="s">
        <v>125</v>
      </c>
      <c r="C7935" s="54" t="n">
        <f aca="false">(0+C7934)/8*Assumptions!$E$76-(C7927-C7926)-C7934*Assumptions!$E$93/4</f>
        <v>-260258.807091346</v>
      </c>
      <c r="D7935" s="54" t="n">
        <f aca="false">(C7934+D7934)/8*Assumptions!$E$76-(D7927-D7926)-D7934*Assumptions!$E$93/4</f>
        <v>-200365.259629629</v>
      </c>
      <c r="E7935" s="54" t="n">
        <f aca="false">(D7934+E7934)/8*Assumptions!$E$76-(E7927-E7926)-E7934*Assumptions!$E$93/4</f>
        <v>-183343.990436674</v>
      </c>
      <c r="F7935" s="54" t="n">
        <f aca="false">(E7934+F7934)/8*Assumptions!$E$76-(F7927-F7926)-F7934*Assumptions!$E$93/4</f>
        <v>-162559.055276799</v>
      </c>
      <c r="G7935" s="54" t="n">
        <f aca="false">(F7934+G7934)/8*Assumptions!$E$76-(G7927-G7926)-G7934*Assumptions!$E$93/4</f>
        <v>-123024.830462304</v>
      </c>
      <c r="H7935" s="54" t="n">
        <f aca="false">(G7934+H7934)/8*Assumptions!$E$76-(H7927-H7926)-H7934*Assumptions!$E$93/4</f>
        <v>-64656.0655823201</v>
      </c>
      <c r="I7935" s="54" t="n">
        <f aca="false">(H7934+I7934)/8*Assumptions!$E$76-(I7927-I7926)-I7934*Assumptions!$E$93/4</f>
        <v>-86487.2472719356</v>
      </c>
      <c r="J7935" s="54" t="n">
        <f aca="false">(I7934+J7934)/8*Assumptions!$E$76-(J7927-J7926)-J7934*Assumptions!$E$93/4</f>
        <v>-30233.0257820242</v>
      </c>
      <c r="K7935" s="54" t="n">
        <f aca="false">(J7934+K7934)/8*Assumptions!$E$76-(K7927-K7926)-K7934*Assumptions!$E$93/4</f>
        <v>-16543.1126230714</v>
      </c>
      <c r="L7935" s="54" t="n">
        <f aca="false">(K7934+L7934)/8*Assumptions!$E$76-(L7927-L7926)-L7934*Assumptions!$E$93/4</f>
        <v>4730.51507232551</v>
      </c>
      <c r="M7935" s="54" t="n">
        <f aca="false">(L7934+M7934)/8*Assumptions!$E$76-(M7927-M7926)-M7934*Assumptions!$E$93/4</f>
        <v>30131.676910092</v>
      </c>
      <c r="N7935" s="54" t="n">
        <f aca="false">(M7934+N7934)/8*Assumptions!$E$76-(N7927-N7926)-N7934*Assumptions!$E$93/4</f>
        <v>55987.1651612092</v>
      </c>
      <c r="P7935" s="55" t="n">
        <f aca="false">SUM(C7935:F7935)</f>
        <v>-806527.112434448</v>
      </c>
      <c r="Q7935" s="55" t="n">
        <f aca="false">SUM(G7935:J7935)</f>
        <v>-304401.169098584</v>
      </c>
      <c r="R7935" s="55" t="n">
        <f aca="false">SUM(K7935:N7935)</f>
        <v>74306.2445205553</v>
      </c>
      <c r="S7935" s="56" t="n">
        <f aca="false">SUM(P7935:R7935)</f>
        <v>-1036622.03701248</v>
      </c>
    </row>
    <row r="7936" customFormat="false" ht="15" hidden="false" customHeight="false" outlineLevel="0" collapsed="false">
      <c r="A7936" s="4" t="s">
        <v>575</v>
      </c>
      <c r="B7936" s="36" t="s">
        <v>125</v>
      </c>
      <c r="C7936" s="54" t="n">
        <f aca="false">C7935*C7931</f>
        <v>-251322.270606761</v>
      </c>
      <c r="D7936" s="54" t="n">
        <f aca="false">D7935*D7931</f>
        <v>-186841.568008948</v>
      </c>
      <c r="E7936" s="54" t="n">
        <f aca="false">E7935*E7931</f>
        <v>-165098.565256869</v>
      </c>
      <c r="F7936" s="54" t="n">
        <f aca="false">F7935*F7931</f>
        <v>-141355.700240694</v>
      </c>
      <c r="G7936" s="54" t="n">
        <f aca="false">G7935*G7931</f>
        <v>-103304.793704483</v>
      </c>
      <c r="H7936" s="54" t="n">
        <f aca="false">H7935*H7931</f>
        <v>-52427.9061194909</v>
      </c>
      <c r="I7936" s="54" t="n">
        <f aca="false">I7935*I7931</f>
        <v>-67722.1681761874</v>
      </c>
      <c r="J7936" s="54" t="n">
        <f aca="false">J7935*J7931</f>
        <v>-22860.5109882981</v>
      </c>
      <c r="K7936" s="54" t="n">
        <f aca="false">K7935*K7931</f>
        <v>-12079.447916146</v>
      </c>
      <c r="L7936" s="54" t="n">
        <f aca="false">L7935*L7931</f>
        <v>3335.5221553095</v>
      </c>
      <c r="M7936" s="54" t="n">
        <f aca="false">M7935*M7931</f>
        <v>20516.545658231</v>
      </c>
      <c r="N7936" s="54" t="n">
        <f aca="false">N7935*N7931</f>
        <v>36812.4699013457</v>
      </c>
      <c r="P7936" s="55" t="n">
        <f aca="false">SUM(C7936:F7936)</f>
        <v>-744618.104113272</v>
      </c>
      <c r="Q7936" s="55" t="n">
        <f aca="false">SUM(G7936:J7936)</f>
        <v>-246315.378988459</v>
      </c>
      <c r="R7936" s="55" t="n">
        <f aca="false">SUM(K7936:N7936)</f>
        <v>48585.0897987403</v>
      </c>
      <c r="S7936" s="56" t="n">
        <f aca="false">SUM(P7936:R7936)</f>
        <v>-942348.393302991</v>
      </c>
    </row>
    <row r="7937" customFormat="false" ht="15" hidden="false" customHeight="false" outlineLevel="0" collapsed="false">
      <c r="A7937" s="4" t="s">
        <v>576</v>
      </c>
      <c r="B7937" s="36"/>
      <c r="C7937" s="37" t="n">
        <f aca="false">IFERROR((S7892*$C$7841*Assumptions!$E$59+S7893*$C$7842*Assumptions!$E$60+S7894*$C$7843*Assumptions!$E$61)/(S7892*$C$7841+S7893*$C$7842+S7894*$C$7843),0.9)</f>
        <v>0.897372181179546</v>
      </c>
    </row>
    <row r="7938" customFormat="false" ht="15" hidden="false" customHeight="false" outlineLevel="0" collapsed="false">
      <c r="A7938" s="4" t="s">
        <v>577</v>
      </c>
      <c r="B7938" s="36"/>
      <c r="C7938" s="37" t="n">
        <f aca="false">IFERROR(N7926*4/N7904,0)</f>
        <v>0.175911884278844</v>
      </c>
    </row>
    <row r="7939" customFormat="false" ht="15" hidden="false" customHeight="false" outlineLevel="0" collapsed="false">
      <c r="A7939" s="4" t="s">
        <v>578</v>
      </c>
      <c r="B7939" s="36"/>
      <c r="C7939" s="60" t="n">
        <f aca="false">$C$7937/(1+0.15)</f>
        <v>0.780323635808301</v>
      </c>
    </row>
    <row r="7940" customFormat="false" ht="15" hidden="false" customHeight="false" outlineLevel="0" collapsed="false">
      <c r="A7940" s="4" t="s">
        <v>579</v>
      </c>
      <c r="B7940" s="36"/>
      <c r="C7940" s="60" t="n">
        <f aca="false">Assumptions!$E$91/(1+0.15)</f>
        <v>0.782608695652174</v>
      </c>
    </row>
    <row r="7941" customFormat="false" ht="15" hidden="false" customHeight="false" outlineLevel="0" collapsed="false">
      <c r="A7941" s="35" t="s">
        <v>580</v>
      </c>
      <c r="B7941" s="35" t="s">
        <v>444</v>
      </c>
      <c r="C7941" s="6" t="s">
        <v>354</v>
      </c>
      <c r="D7941" s="6" t="s">
        <v>355</v>
      </c>
      <c r="E7941" s="6" t="s">
        <v>356</v>
      </c>
      <c r="F7941" s="6" t="s">
        <v>357</v>
      </c>
      <c r="G7941" s="6" t="s">
        <v>358</v>
      </c>
      <c r="H7941" s="6" t="s">
        <v>359</v>
      </c>
      <c r="I7941" s="6" t="s">
        <v>360</v>
      </c>
      <c r="J7941" s="6" t="s">
        <v>361</v>
      </c>
      <c r="K7941" s="6" t="s">
        <v>362</v>
      </c>
      <c r="L7941" s="6" t="s">
        <v>363</v>
      </c>
      <c r="M7941" s="6" t="s">
        <v>364</v>
      </c>
      <c r="N7941" s="6" t="s">
        <v>365</v>
      </c>
      <c r="P7941" s="6" t="s">
        <v>445</v>
      </c>
      <c r="Q7941" s="6" t="s">
        <v>446</v>
      </c>
      <c r="R7941" s="6" t="s">
        <v>447</v>
      </c>
      <c r="S7941" s="6" t="s">
        <v>448</v>
      </c>
    </row>
    <row r="7942" customFormat="false" ht="15" hidden="false" customHeight="false" outlineLevel="0" collapsed="false">
      <c r="A7942" s="9" t="s">
        <v>581</v>
      </c>
      <c r="C7942" s="61" t="n">
        <f aca="false">N7904</f>
        <v>509612.726732255</v>
      </c>
      <c r="D7942" s="61"/>
    </row>
    <row r="7943" customFormat="false" ht="15" hidden="false" customHeight="false" outlineLevel="0" collapsed="false">
      <c r="A7943" s="9" t="s">
        <v>582</v>
      </c>
      <c r="C7943" s="62" t="n">
        <f aca="false">N7900</f>
        <v>49.5280990541991</v>
      </c>
      <c r="D7943" s="62"/>
    </row>
    <row r="7944" customFormat="false" ht="15" hidden="false" customHeight="false" outlineLevel="0" collapsed="false">
      <c r="A7944" s="9" t="s">
        <v>583</v>
      </c>
      <c r="C7944" s="63" t="n">
        <f aca="false">S7895</f>
        <v>54.7491194625937</v>
      </c>
      <c r="D7944" s="63"/>
    </row>
    <row r="7945" customFormat="false" ht="15" hidden="false" customHeight="false" outlineLevel="0" collapsed="false">
      <c r="A7945" s="9" t="s">
        <v>584</v>
      </c>
      <c r="C7945" s="61" t="n">
        <f aca="false">S7906</f>
        <v>494823.782961303</v>
      </c>
      <c r="D7945" s="61"/>
    </row>
    <row r="7946" customFormat="false" ht="15" hidden="false" customHeight="false" outlineLevel="0" collapsed="false">
      <c r="A7946" s="9" t="s">
        <v>22</v>
      </c>
      <c r="C7946" s="61" t="n">
        <f aca="false">IFERROR(S7905/S7895,0)</f>
        <v>8847.97350983958</v>
      </c>
      <c r="D7946" s="61"/>
    </row>
    <row r="7947" customFormat="false" ht="15" hidden="false" customHeight="false" outlineLevel="0" collapsed="false">
      <c r="A7947" s="9" t="s">
        <v>585</v>
      </c>
      <c r="C7947" s="61" t="n">
        <f aca="false">IFERROR(S7923/S7895,0)</f>
        <v>39481.7979795841</v>
      </c>
      <c r="D7947" s="61"/>
    </row>
    <row r="7948" customFormat="false" ht="23.85" hidden="false" customHeight="false" outlineLevel="0" collapsed="false">
      <c r="A7948" s="9" t="s">
        <v>586</v>
      </c>
      <c r="C7948" s="61" t="n">
        <f aca="false">IFERROR((S7917+S7919+S7920+S7921+S7922)/S7895,0)</f>
        <v>15924.0153192791</v>
      </c>
      <c r="D7948" s="61"/>
    </row>
    <row r="7949" customFormat="false" ht="15" hidden="false" customHeight="false" outlineLevel="0" collapsed="false">
      <c r="A7949" s="9" t="s">
        <v>587</v>
      </c>
      <c r="C7949" s="64" t="n">
        <f aca="false">IFERROR('Engine Runs'!$C$7947/('Engine Runs'!$C$7946*Assumptions!$E$76/12),0)</f>
        <v>82.3798501566715</v>
      </c>
      <c r="D7949" s="64"/>
    </row>
    <row r="7950" customFormat="false" ht="15" hidden="false" customHeight="false" outlineLevel="0" collapsed="false">
      <c r="A7950" s="9" t="s">
        <v>588</v>
      </c>
      <c r="C7950" s="64" t="n">
        <f aca="false">IFERROR((R7923/R7895)/((R7905/R7895)*Assumptions!$E$76/12),0)</f>
        <v>53.7401674227257</v>
      </c>
      <c r="D7950" s="64"/>
    </row>
    <row r="7951" customFormat="false" ht="15" hidden="false" customHeight="false" outlineLevel="0" collapsed="false">
      <c r="A7951" s="9" t="s">
        <v>589</v>
      </c>
      <c r="C7951" s="61" t="n">
        <f aca="false">S7927</f>
        <v>2967534.56388842</v>
      </c>
      <c r="D7951" s="61"/>
    </row>
    <row r="7952" customFormat="false" ht="15" hidden="false" customHeight="false" outlineLevel="0" collapsed="false">
      <c r="A7952" s="9" t="s">
        <v>590</v>
      </c>
      <c r="C7952" s="61" t="n">
        <f aca="false">N7930</f>
        <v>-2645899.10496357</v>
      </c>
      <c r="D7952" s="61"/>
    </row>
    <row r="7953" customFormat="false" ht="15" hidden="false" customHeight="false" outlineLevel="0" collapsed="false">
      <c r="A7953" s="9" t="s">
        <v>591</v>
      </c>
      <c r="C7953" s="61" t="n">
        <f aca="false">MIN($C$7930:$N$7930)</f>
        <v>-2645899.10496357</v>
      </c>
      <c r="D7953" s="61"/>
    </row>
    <row r="7954" customFormat="false" ht="15" hidden="false" customHeight="false" outlineLevel="0" collapsed="false">
      <c r="A7954" s="9" t="s">
        <v>592</v>
      </c>
      <c r="C7954" s="61" t="n">
        <f aca="false">N7904*(Assumptions!$E$76-$C$7938)*$C$7937*(1-$C$7937^Assumptions!$E$85)/(1-$C$7937)</f>
        <v>883215.352678571</v>
      </c>
      <c r="D7954" s="61"/>
    </row>
    <row r="7955" customFormat="false" ht="15" hidden="false" customHeight="false" outlineLevel="0" collapsed="false">
      <c r="A7955" s="9" t="s">
        <v>593</v>
      </c>
      <c r="C7955" s="61" t="n">
        <f aca="false">N7904*(Assumptions!$E$76-$C$7938)*(1-Assumptions!$E$88)/(1+0.15)^2.5*$C$7939*(1-$C$7939^Assumptions!$E$85)/(1-$C$7939)</f>
        <v>344042.5321937</v>
      </c>
      <c r="D7955" s="61"/>
    </row>
    <row r="7956" customFormat="false" ht="15" hidden="false" customHeight="false" outlineLevel="0" collapsed="false">
      <c r="A7956" s="9" t="s">
        <v>594</v>
      </c>
      <c r="C7956" s="61" t="n">
        <f aca="false">SUM($C$7932:$N$7932)+'Engine Runs'!$C$7955</f>
        <v>-1855919.46721786</v>
      </c>
      <c r="D7956" s="61"/>
    </row>
    <row r="7957" customFormat="false" ht="15" hidden="false" customHeight="false" outlineLevel="0" collapsed="false">
      <c r="A7957" s="9" t="s">
        <v>595</v>
      </c>
      <c r="C7957" s="61" t="n">
        <f aca="false">SUM($C$7936:$N$7936)+N7934*(Assumptions!$E$76-Assumptions!$E$93)/(1+0.15)^2.5*$C$7940*(1-$C$7940^Assumptions!$E$85)/(1-$C$7940)</f>
        <v>1221004.80415574</v>
      </c>
      <c r="D7957" s="61"/>
    </row>
    <row r="7958" customFormat="false" ht="15" hidden="false" customHeight="false" outlineLevel="0" collapsed="false">
      <c r="A7958" s="9" t="s">
        <v>596</v>
      </c>
      <c r="C7958" s="61" t="n">
        <f aca="false">'Engine Runs'!$C$7956-'Engine Runs'!$C$7957</f>
        <v>-3076924.2713736</v>
      </c>
      <c r="D7958" s="61"/>
    </row>
    <row r="7959" customFormat="false" ht="15" hidden="false" customHeight="false" outlineLevel="0" collapsed="false">
      <c r="A7959" s="9" t="s">
        <v>597</v>
      </c>
      <c r="C7959" s="61" t="n">
        <f aca="false">S7891</f>
        <v>0</v>
      </c>
      <c r="D7959" s="61"/>
    </row>
    <row r="7960" customFormat="false" ht="15" hidden="false" customHeight="false" outlineLevel="0" collapsed="false">
      <c r="A7960" s="9" t="s">
        <v>598</v>
      </c>
      <c r="C7960" s="63" t="n">
        <f aca="false">P7875</f>
        <v>43.6188722246667</v>
      </c>
      <c r="D7960" s="63"/>
    </row>
    <row r="7961" customFormat="false" ht="15" hidden="false" customHeight="false" outlineLevel="0" collapsed="false">
      <c r="A7961" s="9" t="s">
        <v>599</v>
      </c>
      <c r="C7961" s="63" t="n">
        <f aca="false">P7895</f>
        <v>6.18260904948639</v>
      </c>
      <c r="D7961" s="63"/>
    </row>
    <row r="7962" customFormat="false" ht="15" hidden="false" customHeight="false" outlineLevel="0" collapsed="false">
      <c r="A7962" s="9" t="s">
        <v>600</v>
      </c>
      <c r="C7962" s="63" t="n">
        <f aca="false">P7871</f>
        <v>42</v>
      </c>
      <c r="D7962" s="63"/>
    </row>
    <row r="7963" customFormat="false" ht="15" hidden="false" customHeight="false" outlineLevel="0" collapsed="false">
      <c r="A7963" s="9" t="s">
        <v>601</v>
      </c>
      <c r="C7963" s="61" t="n">
        <f aca="false">IFERROR(P7905/P7895,0)</f>
        <v>8545.01753177967</v>
      </c>
      <c r="D7963" s="61"/>
    </row>
    <row r="7966" customFormat="false" ht="15" hidden="false" customHeight="true" outlineLevel="0" collapsed="false">
      <c r="A7966" s="78" t="s">
        <v>912</v>
      </c>
      <c r="B7966" s="78"/>
      <c r="C7966" s="78"/>
      <c r="D7966" s="78"/>
      <c r="E7966" s="78"/>
      <c r="F7966" s="78"/>
      <c r="G7966" s="78"/>
      <c r="H7966" s="78"/>
      <c r="I7966" s="78"/>
      <c r="J7966" s="78"/>
      <c r="K7966" s="78"/>
      <c r="L7966" s="78"/>
      <c r="M7966" s="78"/>
      <c r="N7966" s="78"/>
    </row>
    <row r="7967" customFormat="false" ht="15" hidden="false" customHeight="true" outlineLevel="0" collapsed="false">
      <c r="A7967" s="79" t="s">
        <v>913</v>
      </c>
      <c r="B7967" s="79"/>
      <c r="C7967" s="79"/>
      <c r="D7967" s="79"/>
      <c r="E7967" s="79"/>
      <c r="F7967" s="79"/>
      <c r="G7967" s="79"/>
      <c r="H7967" s="79"/>
      <c r="I7967" s="79"/>
      <c r="J7967" s="79"/>
      <c r="K7967" s="79"/>
      <c r="L7967" s="79"/>
      <c r="M7967" s="79"/>
      <c r="N7967" s="79"/>
    </row>
    <row r="7968" customFormat="false" ht="23.85" hidden="false" customHeight="false" outlineLevel="0" collapsed="false">
      <c r="A7968" s="35" t="s">
        <v>914</v>
      </c>
      <c r="B7968" s="35" t="s">
        <v>444</v>
      </c>
      <c r="C7968" s="6" t="s">
        <v>354</v>
      </c>
      <c r="D7968" s="6" t="s">
        <v>355</v>
      </c>
      <c r="E7968" s="6" t="s">
        <v>356</v>
      </c>
      <c r="F7968" s="6" t="s">
        <v>357</v>
      </c>
      <c r="G7968" s="6" t="s">
        <v>358</v>
      </c>
      <c r="H7968" s="6" t="s">
        <v>359</v>
      </c>
      <c r="I7968" s="6" t="s">
        <v>360</v>
      </c>
      <c r="J7968" s="6" t="s">
        <v>361</v>
      </c>
      <c r="K7968" s="6" t="s">
        <v>362</v>
      </c>
      <c r="L7968" s="6" t="s">
        <v>363</v>
      </c>
      <c r="M7968" s="6" t="s">
        <v>364</v>
      </c>
      <c r="N7968" s="6" t="s">
        <v>365</v>
      </c>
      <c r="P7968" s="6" t="s">
        <v>445</v>
      </c>
      <c r="Q7968" s="6" t="s">
        <v>446</v>
      </c>
      <c r="R7968" s="6" t="s">
        <v>447</v>
      </c>
      <c r="S7968" s="6" t="s">
        <v>448</v>
      </c>
    </row>
    <row r="7969" customFormat="false" ht="15" hidden="false" customHeight="false" outlineLevel="0" collapsed="false">
      <c r="A7969" s="4" t="s">
        <v>449</v>
      </c>
      <c r="B7969" s="36" t="s">
        <v>450</v>
      </c>
      <c r="C7969" s="34" t="n">
        <f aca="false">'Market Sizing'!$C$17*Assumptions!$E$10*Assumptions!$E$11*(1-Assumptions!$E$12)</f>
        <v>843.03944704</v>
      </c>
    </row>
    <row r="7970" customFormat="false" ht="15" hidden="false" customHeight="false" outlineLevel="0" collapsed="false">
      <c r="A7970" s="4" t="s">
        <v>451</v>
      </c>
      <c r="B7970" s="36" t="s">
        <v>450</v>
      </c>
      <c r="C7970" s="34" t="n">
        <f aca="false">'Market Sizing'!$D$17*Assumptions!$E$10*Assumptions!$E$11*(1-Assumptions!$E$12)</f>
        <v>211.19616</v>
      </c>
    </row>
    <row r="7971" customFormat="false" ht="15" hidden="false" customHeight="false" outlineLevel="0" collapsed="false">
      <c r="A7971" s="4" t="s">
        <v>452</v>
      </c>
      <c r="B7971" s="36" t="s">
        <v>450</v>
      </c>
      <c r="C7971" s="34" t="n">
        <f aca="false">'Market Sizing'!$E$17*Assumptions!$E$10*Assumptions!$E$11*(1-Assumptions!$E$12)</f>
        <v>49.53984</v>
      </c>
    </row>
    <row r="7972" customFormat="false" ht="15" hidden="false" customHeight="false" outlineLevel="0" collapsed="false">
      <c r="A7972" s="4" t="s">
        <v>453</v>
      </c>
      <c r="B7972" s="36"/>
      <c r="C7972" s="34" t="n">
        <f aca="false">$C$7969+$C$7970+$C$7971</f>
        <v>1103.77544704</v>
      </c>
    </row>
    <row r="7973" customFormat="false" ht="15" hidden="false" customHeight="false" outlineLevel="0" collapsed="false">
      <c r="A7973" s="4" t="s">
        <v>454</v>
      </c>
      <c r="B7973" s="36" t="s">
        <v>450</v>
      </c>
      <c r="C7973" s="34" t="n">
        <f aca="false">'Market Sizing'!$C$18*Assumptions!$E$10*Assumptions!$E$11*(1-Assumptions!$E$12)</f>
        <v>612.57706944</v>
      </c>
    </row>
    <row r="7974" customFormat="false" ht="15" hidden="false" customHeight="false" outlineLevel="0" collapsed="false">
      <c r="A7974" s="4" t="s">
        <v>455</v>
      </c>
      <c r="B7974" s="36" t="s">
        <v>450</v>
      </c>
      <c r="C7974" s="34" t="n">
        <f aca="false">'Market Sizing'!$D$18*Assumptions!$E$10*Assumptions!$E$11*(1-Assumptions!$E$12)</f>
        <v>142.10112</v>
      </c>
    </row>
    <row r="7975" customFormat="false" ht="15" hidden="false" customHeight="false" outlineLevel="0" collapsed="false">
      <c r="A7975" s="4" t="s">
        <v>456</v>
      </c>
      <c r="B7975" s="36" t="s">
        <v>450</v>
      </c>
      <c r="C7975" s="34" t="n">
        <f aca="false">'Market Sizing'!$E$18*Assumptions!$E$10*Assumptions!$E$11*(1-Assumptions!$E$12)</f>
        <v>24.76992</v>
      </c>
    </row>
    <row r="7976" customFormat="false" ht="15" hidden="false" customHeight="false" outlineLevel="0" collapsed="false">
      <c r="A7976" s="4" t="s">
        <v>457</v>
      </c>
      <c r="B7976" s="36"/>
      <c r="C7976" s="34" t="n">
        <f aca="false">$C$7973+$C$7974+$C$7975</f>
        <v>779.44810944</v>
      </c>
    </row>
    <row r="7977" customFormat="false" ht="15" hidden="false" customHeight="false" outlineLevel="0" collapsed="false">
      <c r="A7977" s="4" t="s">
        <v>458</v>
      </c>
      <c r="B7977" s="36" t="s">
        <v>450</v>
      </c>
      <c r="C7977" s="34" t="n">
        <f aca="false">'Market Sizing'!$C$19*Assumptions!$E$10*Assumptions!$E$11*(1-Assumptions!$E$12)</f>
        <v>2060.77303936</v>
      </c>
    </row>
    <row r="7978" customFormat="false" ht="15" hidden="false" customHeight="false" outlineLevel="0" collapsed="false">
      <c r="A7978" s="4" t="s">
        <v>459</v>
      </c>
      <c r="B7978" s="36" t="s">
        <v>450</v>
      </c>
      <c r="C7978" s="34" t="n">
        <f aca="false">'Market Sizing'!$D$19*Assumptions!$E$10*Assumptions!$E$11*(1-Assumptions!$E$12)</f>
        <v>428.47616</v>
      </c>
    </row>
    <row r="7979" customFormat="false" ht="15" hidden="false" customHeight="false" outlineLevel="0" collapsed="false">
      <c r="A7979" s="4" t="s">
        <v>460</v>
      </c>
      <c r="B7979" s="36" t="s">
        <v>450</v>
      </c>
      <c r="C7979" s="34" t="n">
        <f aca="false">'Market Sizing'!$E$19*Assumptions!$E$10*Assumptions!$E$11*(1-Assumptions!$E$12)</f>
        <v>79.52448</v>
      </c>
    </row>
    <row r="7980" customFormat="false" ht="15" hidden="false" customHeight="false" outlineLevel="0" collapsed="false">
      <c r="A7980" s="4" t="s">
        <v>461</v>
      </c>
      <c r="B7980" s="36"/>
      <c r="C7980" s="34" t="n">
        <f aca="false">$C$7977+$C$7978+$C$7979</f>
        <v>2568.77367936</v>
      </c>
    </row>
    <row r="7981" customFormat="false" ht="15" hidden="false" customHeight="false" outlineLevel="0" collapsed="false">
      <c r="A7981" s="4" t="s">
        <v>462</v>
      </c>
      <c r="B7981" s="36" t="s">
        <v>463</v>
      </c>
      <c r="C7981" s="33" t="n">
        <f aca="false">MAX((Assumptions!$E$51+Assumptions!$E$53)*12,(((('Market Sizing'!$E$25*Assumptions!$E$41*Assumptions!$E$42*Assumptions!$E$43)*Assumptions!$E$44)*Assumptions!$E$45*Assumptions!$E$46+('Market Sizing'!$E$25*Assumptions!$E$41*Assumptions!$E$42*Assumptions!$E$43)*Assumptions!$E$47+('Market Sizing'!$E$25*Assumptions!$E$41*Assumptions!$E$42*Assumptions!$E$43)*Assumptions!$E$48*Assumptions!$E$49)*(Assumptions!$E$51*12/Assumptions!$E$52)+((('Market Sizing'!$E$25*Assumptions!$E$41*Assumptions!$E$42*Assumptions!$E$43)*Assumptions!$E$44)*Assumptions!$E$45+('Market Sizing'!$E$25*Assumptions!$E$41*Assumptions!$E$42*Assumptions!$E$43)+('Market Sizing'!$E$25*Assumptions!$E$41*Assumptions!$E$42*Assumptions!$E$43)*Assumptions!$E$48)*Assumptions!$E$50*(Assumptions!$E$53*12/Assumptions!$E$54)))</f>
        <v>5352</v>
      </c>
    </row>
    <row r="7982" customFormat="false" ht="15" hidden="false" customHeight="false" outlineLevel="0" collapsed="false">
      <c r="A7982" s="4" t="s">
        <v>464</v>
      </c>
      <c r="B7982" s="36" t="s">
        <v>463</v>
      </c>
      <c r="C7982" s="33" t="n">
        <f aca="false">MAX((Assumptions!$E$51+Assumptions!$E$53)*12,(((('Market Sizing'!$E$26*Assumptions!$E$41*Assumptions!$E$42*Assumptions!$E$43)*Assumptions!$E$44)*Assumptions!$E$45*Assumptions!$E$46+('Market Sizing'!$E$26*Assumptions!$E$41*Assumptions!$E$42*Assumptions!$E$43)*Assumptions!$E$47+('Market Sizing'!$E$26*Assumptions!$E$41*Assumptions!$E$42*Assumptions!$E$43)*Assumptions!$E$48*Assumptions!$E$49)*(Assumptions!$E$51*12/Assumptions!$E$52)+((('Market Sizing'!$E$26*Assumptions!$E$41*Assumptions!$E$42*Assumptions!$E$43)*Assumptions!$E$44)*Assumptions!$E$45+('Market Sizing'!$E$26*Assumptions!$E$41*Assumptions!$E$42*Assumptions!$E$43)+('Market Sizing'!$E$26*Assumptions!$E$41*Assumptions!$E$42*Assumptions!$E$43)*Assumptions!$E$48)*Assumptions!$E$50*(Assumptions!$E$53*12/Assumptions!$E$54)))</f>
        <v>9766.72012875208</v>
      </c>
    </row>
    <row r="7983" customFormat="false" ht="15" hidden="false" customHeight="false" outlineLevel="0" collapsed="false">
      <c r="A7983" s="4" t="s">
        <v>465</v>
      </c>
      <c r="B7983" s="36" t="s">
        <v>463</v>
      </c>
      <c r="C7983" s="33" t="n">
        <f aca="false">MAX(Assumptions!$E$55*(Assumptions!$E$51*12/Assumptions!$E$52)+Assumptions!$E$56*(Assumptions!$E$53*12/Assumptions!$E$54),(((('Market Sizing'!$E$27*Assumptions!$E$41*Assumptions!$E$42*Assumptions!$E$43)*Assumptions!$E$44)*Assumptions!$E$45*Assumptions!$E$46+('Market Sizing'!$E$27*Assumptions!$E$41*Assumptions!$E$42*Assumptions!$E$43)*Assumptions!$E$47+('Market Sizing'!$E$27*Assumptions!$E$41*Assumptions!$E$42*Assumptions!$E$43)*Assumptions!$E$48*Assumptions!$E$49)*(Assumptions!$E$51*12/Assumptions!$E$52)+((('Market Sizing'!$E$27*Assumptions!$E$41*Assumptions!$E$42*Assumptions!$E$43)*Assumptions!$E$44)*Assumptions!$E$45+('Market Sizing'!$E$27*Assumptions!$E$41*Assumptions!$E$42*Assumptions!$E$43)+('Market Sizing'!$E$27*Assumptions!$E$41*Assumptions!$E$42*Assumptions!$E$43)*Assumptions!$E$48)*Assumptions!$E$50*(Assumptions!$E$53*12/Assumptions!$E$54)))*(1-Assumptions!$E$57)</f>
        <v>61778.2562194386</v>
      </c>
    </row>
    <row r="7984" customFormat="false" ht="23.85" hidden="false" customHeight="false" outlineLevel="0" collapsed="false">
      <c r="A7984" s="4" t="s">
        <v>466</v>
      </c>
      <c r="B7984" s="36" t="s">
        <v>467</v>
      </c>
      <c r="C7984" s="37" t="n">
        <f aca="false">Assumptions!$E$17*Assumptions!$D$106</f>
        <v>0.4</v>
      </c>
    </row>
    <row r="7985" customFormat="false" ht="23.85" hidden="false" customHeight="false" outlineLevel="0" collapsed="false">
      <c r="A7985" s="4" t="s">
        <v>468</v>
      </c>
      <c r="B7985" s="36" t="s">
        <v>469</v>
      </c>
      <c r="C7985" s="33" t="n">
        <f aca="false">Assumptions!$E$68/Assumptions!$E$69</f>
        <v>285714.285714286</v>
      </c>
    </row>
    <row r="7986" customFormat="false" ht="23.85" hidden="false" customHeight="false" outlineLevel="0" collapsed="false">
      <c r="A7986" s="4" t="s">
        <v>470</v>
      </c>
      <c r="B7986" s="36" t="s">
        <v>471</v>
      </c>
      <c r="C7986" s="33" t="n">
        <f aca="false">Assumptions!$E$66*Assumptions!$E$67/4</f>
        <v>153125</v>
      </c>
    </row>
    <row r="7987" customFormat="false" ht="15" hidden="false" customHeight="false" outlineLevel="0" collapsed="false">
      <c r="A7987" s="4" t="s">
        <v>472</v>
      </c>
      <c r="B7987" s="36"/>
      <c r="C7987" s="38" t="n">
        <f aca="false">$C$7985/Assumptions!$E$66/Assumptions!$E$67</f>
        <v>0.466472303206997</v>
      </c>
    </row>
    <row r="7988" customFormat="false" ht="15" hidden="false" customHeight="false" outlineLevel="0" collapsed="false">
      <c r="A7988" s="4" t="s">
        <v>473</v>
      </c>
      <c r="B7988" s="36"/>
      <c r="C7988" s="33" t="n">
        <f aca="false">MAX(0,Assumptions!$D$103-Assumptions!$E$78)</f>
        <v>0</v>
      </c>
    </row>
    <row r="7989" customFormat="false" ht="15" hidden="false" customHeight="false" outlineLevel="0" collapsed="false">
      <c r="A7989" s="35" t="s">
        <v>474</v>
      </c>
      <c r="B7989" s="35" t="s">
        <v>444</v>
      </c>
      <c r="C7989" s="6" t="s">
        <v>354</v>
      </c>
      <c r="D7989" s="6" t="s">
        <v>355</v>
      </c>
      <c r="E7989" s="6" t="s">
        <v>356</v>
      </c>
      <c r="F7989" s="6" t="s">
        <v>357</v>
      </c>
      <c r="G7989" s="6" t="s">
        <v>358</v>
      </c>
      <c r="H7989" s="6" t="s">
        <v>359</v>
      </c>
      <c r="I7989" s="6" t="s">
        <v>360</v>
      </c>
      <c r="J7989" s="6" t="s">
        <v>361</v>
      </c>
      <c r="K7989" s="6" t="s">
        <v>362</v>
      </c>
      <c r="L7989" s="6" t="s">
        <v>363</v>
      </c>
      <c r="M7989" s="6" t="s">
        <v>364</v>
      </c>
      <c r="N7989" s="6" t="s">
        <v>365</v>
      </c>
      <c r="P7989" s="6" t="s">
        <v>445</v>
      </c>
      <c r="Q7989" s="6" t="s">
        <v>446</v>
      </c>
      <c r="R7989" s="6" t="s">
        <v>447</v>
      </c>
      <c r="S7989" s="6" t="s">
        <v>448</v>
      </c>
    </row>
    <row r="7990" customFormat="false" ht="15" hidden="false" customHeight="false" outlineLevel="0" collapsed="false">
      <c r="A7990" s="4" t="s">
        <v>475</v>
      </c>
      <c r="B7990" s="36" t="s">
        <v>133</v>
      </c>
      <c r="C7990" s="39" t="n">
        <v>1</v>
      </c>
      <c r="D7990" s="39" t="n">
        <v>2</v>
      </c>
      <c r="E7990" s="39" t="n">
        <v>3</v>
      </c>
      <c r="F7990" s="39" t="n">
        <v>4</v>
      </c>
      <c r="G7990" s="39" t="n">
        <v>5</v>
      </c>
      <c r="H7990" s="39" t="n">
        <v>6</v>
      </c>
      <c r="I7990" s="39" t="n">
        <v>7</v>
      </c>
      <c r="J7990" s="39" t="n">
        <v>8</v>
      </c>
      <c r="K7990" s="39" t="n">
        <v>9</v>
      </c>
      <c r="L7990" s="39" t="n">
        <v>10</v>
      </c>
      <c r="M7990" s="39" t="n">
        <v>11</v>
      </c>
      <c r="N7990" s="39" t="n">
        <v>12</v>
      </c>
      <c r="P7990" s="40"/>
      <c r="Q7990" s="40"/>
      <c r="R7990" s="40"/>
      <c r="S7990" s="41"/>
    </row>
    <row r="7991" customFormat="false" ht="15" hidden="false" customHeight="false" outlineLevel="0" collapsed="false">
      <c r="A7991" s="4" t="s">
        <v>476</v>
      </c>
      <c r="B7991" s="36" t="s">
        <v>343</v>
      </c>
      <c r="C7991" s="39" t="n">
        <f aca="false">IF(C7990&lt;=Assumptions!$E$84,1,0)</f>
        <v>1</v>
      </c>
      <c r="D7991" s="39" t="n">
        <f aca="false">IF(D7990&lt;=Assumptions!$E$84,1,0)</f>
        <v>1</v>
      </c>
      <c r="E7991" s="39" t="n">
        <f aca="false">IF(E7990&lt;=Assumptions!$E$84,1,0)</f>
        <v>1</v>
      </c>
      <c r="F7991" s="39" t="n">
        <f aca="false">IF(F7990&lt;=Assumptions!$E$84,1,0)</f>
        <v>1</v>
      </c>
      <c r="G7991" s="39" t="n">
        <f aca="false">IF(G7990&lt;=Assumptions!$E$84,1,0)</f>
        <v>1</v>
      </c>
      <c r="H7991" s="39" t="n">
        <f aca="false">IF(H7990&lt;=Assumptions!$E$84,1,0)</f>
        <v>1</v>
      </c>
      <c r="I7991" s="39" t="n">
        <f aca="false">IF(I7990&lt;=Assumptions!$E$84,1,0)</f>
        <v>1</v>
      </c>
      <c r="J7991" s="39" t="n">
        <f aca="false">IF(J7990&lt;=Assumptions!$E$84,1,0)</f>
        <v>1</v>
      </c>
      <c r="K7991" s="39" t="n">
        <f aca="false">IF(K7990&lt;=Assumptions!$E$84,1,0)</f>
        <v>1</v>
      </c>
      <c r="L7991" s="39" t="n">
        <f aca="false">IF(L7990&lt;=Assumptions!$E$84,1,0)</f>
        <v>1</v>
      </c>
      <c r="M7991" s="39" t="n">
        <f aca="false">IF(M7990&lt;=Assumptions!$E$84,1,0)</f>
        <v>1</v>
      </c>
      <c r="N7991" s="39" t="n">
        <f aca="false">IF(N7990&lt;=Assumptions!$E$84,1,0)</f>
        <v>1</v>
      </c>
      <c r="P7991" s="40"/>
      <c r="Q7991" s="40"/>
      <c r="R7991" s="40"/>
      <c r="S7991" s="41"/>
    </row>
    <row r="7992" customFormat="false" ht="15" hidden="false" customHeight="false" outlineLevel="0" collapsed="false">
      <c r="A7992" s="4" t="s">
        <v>477</v>
      </c>
      <c r="B7992" s="36" t="s">
        <v>478</v>
      </c>
      <c r="C7992" s="42" t="n">
        <f aca="false">IF(C7990=Assumptions!$E$13,0.5,IF(C7990&gt;Assumptions!$E$13,1,0))</f>
        <v>0.5</v>
      </c>
      <c r="D7992" s="42" t="n">
        <f aca="false">IF(D7990=Assumptions!$E$13,0.5,IF(D7990&gt;Assumptions!$E$13,1,0))</f>
        <v>1</v>
      </c>
      <c r="E7992" s="42" t="n">
        <f aca="false">IF(E7990=Assumptions!$E$13,0.5,IF(E7990&gt;Assumptions!$E$13,1,0))</f>
        <v>1</v>
      </c>
      <c r="F7992" s="42" t="n">
        <f aca="false">IF(F7990=Assumptions!$E$13,0.5,IF(F7990&gt;Assumptions!$E$13,1,0))</f>
        <v>1</v>
      </c>
      <c r="G7992" s="42" t="n">
        <f aca="false">IF(G7990=Assumptions!$E$13,0.5,IF(G7990&gt;Assumptions!$E$13,1,0))</f>
        <v>1</v>
      </c>
      <c r="H7992" s="42" t="n">
        <f aca="false">IF(H7990=Assumptions!$E$13,0.5,IF(H7990&gt;Assumptions!$E$13,1,0))</f>
        <v>1</v>
      </c>
      <c r="I7992" s="42" t="n">
        <f aca="false">IF(I7990=Assumptions!$E$13,0.5,IF(I7990&gt;Assumptions!$E$13,1,0))</f>
        <v>1</v>
      </c>
      <c r="J7992" s="42" t="n">
        <f aca="false">IF(J7990=Assumptions!$E$13,0.5,IF(J7990&gt;Assumptions!$E$13,1,0))</f>
        <v>1</v>
      </c>
      <c r="K7992" s="42" t="n">
        <f aca="false">IF(K7990=Assumptions!$E$13,0.5,IF(K7990&gt;Assumptions!$E$13,1,0))</f>
        <v>1</v>
      </c>
      <c r="L7992" s="42" t="n">
        <f aca="false">IF(L7990=Assumptions!$E$13,0.5,IF(L7990&gt;Assumptions!$E$13,1,0))</f>
        <v>1</v>
      </c>
      <c r="M7992" s="42" t="n">
        <f aca="false">IF(M7990=Assumptions!$E$13,0.5,IF(M7990&gt;Assumptions!$E$13,1,0))</f>
        <v>1</v>
      </c>
      <c r="N7992" s="42" t="n">
        <f aca="false">IF(N7990=Assumptions!$E$13,0.5,IF(N7990&gt;Assumptions!$E$13,1,0))</f>
        <v>1</v>
      </c>
      <c r="P7992" s="43"/>
      <c r="Q7992" s="43"/>
      <c r="R7992" s="43"/>
      <c r="S7992" s="44"/>
    </row>
    <row r="7993" customFormat="false" ht="15" hidden="false" customHeight="false" outlineLevel="0" collapsed="false">
      <c r="A7993" s="4" t="s">
        <v>479</v>
      </c>
      <c r="B7993" s="36" t="s">
        <v>478</v>
      </c>
      <c r="C7993" s="42" t="n">
        <f aca="false">IF(C7990=Assumptions!$E$14,0.5,IF(C7990&gt;Assumptions!$E$14,1,0))</f>
        <v>0</v>
      </c>
      <c r="D7993" s="42" t="n">
        <f aca="false">IF(D7990=Assumptions!$E$14,0.5,IF(D7990&gt;Assumptions!$E$14,1,0))</f>
        <v>0</v>
      </c>
      <c r="E7993" s="42" t="n">
        <f aca="false">IF(E7990=Assumptions!$E$14,0.5,IF(E7990&gt;Assumptions!$E$14,1,0))</f>
        <v>0</v>
      </c>
      <c r="F7993" s="42" t="n">
        <f aca="false">IF(F7990=Assumptions!$E$14,0.5,IF(F7990&gt;Assumptions!$E$14,1,0))</f>
        <v>0</v>
      </c>
      <c r="G7993" s="42" t="n">
        <f aca="false">IF(G7990=Assumptions!$E$14,0.5,IF(G7990&gt;Assumptions!$E$14,1,0))</f>
        <v>0.5</v>
      </c>
      <c r="H7993" s="42" t="n">
        <f aca="false">IF(H7990=Assumptions!$E$14,0.5,IF(H7990&gt;Assumptions!$E$14,1,0))</f>
        <v>1</v>
      </c>
      <c r="I7993" s="42" t="n">
        <f aca="false">IF(I7990=Assumptions!$E$14,0.5,IF(I7990&gt;Assumptions!$E$14,1,0))</f>
        <v>1</v>
      </c>
      <c r="J7993" s="42" t="n">
        <f aca="false">IF(J7990=Assumptions!$E$14,0.5,IF(J7990&gt;Assumptions!$E$14,1,0))</f>
        <v>1</v>
      </c>
      <c r="K7993" s="42" t="n">
        <f aca="false">IF(K7990=Assumptions!$E$14,0.5,IF(K7990&gt;Assumptions!$E$14,1,0))</f>
        <v>1</v>
      </c>
      <c r="L7993" s="42" t="n">
        <f aca="false">IF(L7990=Assumptions!$E$14,0.5,IF(L7990&gt;Assumptions!$E$14,1,0))</f>
        <v>1</v>
      </c>
      <c r="M7993" s="42" t="n">
        <f aca="false">IF(M7990=Assumptions!$E$14,0.5,IF(M7990&gt;Assumptions!$E$14,1,0))</f>
        <v>1</v>
      </c>
      <c r="N7993" s="42" t="n">
        <f aca="false">IF(N7990=Assumptions!$E$14,0.5,IF(N7990&gt;Assumptions!$E$14,1,0))</f>
        <v>1</v>
      </c>
      <c r="P7993" s="43"/>
      <c r="Q7993" s="43"/>
      <c r="R7993" s="43"/>
      <c r="S7993" s="44"/>
    </row>
    <row r="7994" customFormat="false" ht="15" hidden="false" customHeight="false" outlineLevel="0" collapsed="false">
      <c r="A7994" s="4" t="s">
        <v>480</v>
      </c>
      <c r="B7994" s="36" t="s">
        <v>478</v>
      </c>
      <c r="C7994" s="42" t="n">
        <f aca="false">IF(C7990=Assumptions!$E$15,0.5,IF(C7990&gt;Assumptions!$E$15,1,0))</f>
        <v>0</v>
      </c>
      <c r="D7994" s="42" t="n">
        <f aca="false">IF(D7990=Assumptions!$E$15,0.5,IF(D7990&gt;Assumptions!$E$15,1,0))</f>
        <v>0</v>
      </c>
      <c r="E7994" s="42" t="n">
        <f aca="false">IF(E7990=Assumptions!$E$15,0.5,IF(E7990&gt;Assumptions!$E$15,1,0))</f>
        <v>0</v>
      </c>
      <c r="F7994" s="42" t="n">
        <f aca="false">IF(F7990=Assumptions!$E$15,0.5,IF(F7990&gt;Assumptions!$E$15,1,0))</f>
        <v>0</v>
      </c>
      <c r="G7994" s="42" t="n">
        <f aca="false">IF(G7990=Assumptions!$E$15,0.5,IF(G7990&gt;Assumptions!$E$15,1,0))</f>
        <v>0</v>
      </c>
      <c r="H7994" s="42" t="n">
        <f aca="false">IF(H7990=Assumptions!$E$15,0.5,IF(H7990&gt;Assumptions!$E$15,1,0))</f>
        <v>0</v>
      </c>
      <c r="I7994" s="42" t="n">
        <f aca="false">IF(I7990=Assumptions!$E$15,0.5,IF(I7990&gt;Assumptions!$E$15,1,0))</f>
        <v>0.5</v>
      </c>
      <c r="J7994" s="42" t="n">
        <f aca="false">IF(J7990=Assumptions!$E$15,0.5,IF(J7990&gt;Assumptions!$E$15,1,0))</f>
        <v>1</v>
      </c>
      <c r="K7994" s="42" t="n">
        <f aca="false">IF(K7990=Assumptions!$E$15,0.5,IF(K7990&gt;Assumptions!$E$15,1,0))</f>
        <v>1</v>
      </c>
      <c r="L7994" s="42" t="n">
        <f aca="false">IF(L7990=Assumptions!$E$15,0.5,IF(L7990&gt;Assumptions!$E$15,1,0))</f>
        <v>1</v>
      </c>
      <c r="M7994" s="42" t="n">
        <f aca="false">IF(M7990=Assumptions!$E$15,0.5,IF(M7990&gt;Assumptions!$E$15,1,0))</f>
        <v>1</v>
      </c>
      <c r="N7994" s="42" t="n">
        <f aca="false">IF(N7990=Assumptions!$E$15,0.5,IF(N7990&gt;Assumptions!$E$15,1,0))</f>
        <v>1</v>
      </c>
      <c r="P7994" s="43"/>
      <c r="Q7994" s="43"/>
      <c r="R7994" s="43"/>
      <c r="S7994" s="44"/>
    </row>
    <row r="7995" customFormat="false" ht="15" hidden="false" customHeight="false" outlineLevel="0" collapsed="false">
      <c r="A7995" s="4" t="s">
        <v>481</v>
      </c>
      <c r="B7995" s="36" t="s">
        <v>478</v>
      </c>
      <c r="C7995" s="45" t="n">
        <f aca="false">Assumptions!$E$21^(MAX(0,C7990-Assumptions!$E$13)/4)</f>
        <v>1</v>
      </c>
      <c r="D7995" s="45" t="n">
        <f aca="false">Assumptions!$E$21^(MAX(0,D7990-Assumptions!$E$13)/4)</f>
        <v>0.9306048591021</v>
      </c>
      <c r="E7995" s="45" t="n">
        <f aca="false">Assumptions!$E$21^(MAX(0,E7990-Assumptions!$E$13)/4)</f>
        <v>0.866025403784439</v>
      </c>
      <c r="F7995" s="45" t="n">
        <f aca="false">Assumptions!$E$21^(MAX(0,F7990-Assumptions!$E$13)/4)</f>
        <v>0.805927448867656</v>
      </c>
      <c r="G7995" s="45" t="n">
        <f aca="false">Assumptions!$E$21^(MAX(0,G7990-Assumptions!$E$13)/4)</f>
        <v>0.75</v>
      </c>
      <c r="H7995" s="45" t="n">
        <f aca="false">Assumptions!$E$21^(MAX(0,H7990-Assumptions!$E$13)/4)</f>
        <v>0.697953644326575</v>
      </c>
      <c r="I7995" s="45" t="n">
        <f aca="false">Assumptions!$E$21^(MAX(0,I7990-Assumptions!$E$13)/4)</f>
        <v>0.649519052838329</v>
      </c>
      <c r="J7995" s="45" t="n">
        <f aca="false">Assumptions!$E$21^(MAX(0,J7990-Assumptions!$E$13)/4)</f>
        <v>0.604445586650742</v>
      </c>
      <c r="K7995" s="45" t="n">
        <f aca="false">Assumptions!$E$21^(MAX(0,K7990-Assumptions!$E$13)/4)</f>
        <v>0.5625</v>
      </c>
      <c r="L7995" s="45" t="n">
        <f aca="false">Assumptions!$E$21^(MAX(0,L7990-Assumptions!$E$13)/4)</f>
        <v>0.523465233244931</v>
      </c>
      <c r="M7995" s="45" t="n">
        <f aca="false">Assumptions!$E$21^(MAX(0,M7990-Assumptions!$E$13)/4)</f>
        <v>0.487139289628747</v>
      </c>
      <c r="N7995" s="45" t="n">
        <f aca="false">Assumptions!$E$21^(MAX(0,N7990-Assumptions!$E$13)/4)</f>
        <v>0.453334189988057</v>
      </c>
      <c r="P7995" s="46"/>
      <c r="Q7995" s="46"/>
      <c r="R7995" s="46"/>
      <c r="S7995" s="47"/>
    </row>
    <row r="7996" customFormat="false" ht="15" hidden="false" customHeight="false" outlineLevel="0" collapsed="false">
      <c r="A7996" s="4" t="s">
        <v>482</v>
      </c>
      <c r="B7996" s="36" t="s">
        <v>478</v>
      </c>
      <c r="C7996" s="45" t="n">
        <f aca="false">Assumptions!$E$21^(MAX(0,C7990-Assumptions!$E$14)/4)</f>
        <v>1</v>
      </c>
      <c r="D7996" s="45" t="n">
        <f aca="false">Assumptions!$E$21^(MAX(0,D7990-Assumptions!$E$14)/4)</f>
        <v>1</v>
      </c>
      <c r="E7996" s="45" t="n">
        <f aca="false">Assumptions!$E$21^(MAX(0,E7990-Assumptions!$E$14)/4)</f>
        <v>1</v>
      </c>
      <c r="F7996" s="45" t="n">
        <f aca="false">Assumptions!$E$21^(MAX(0,F7990-Assumptions!$E$14)/4)</f>
        <v>1</v>
      </c>
      <c r="G7996" s="45" t="n">
        <f aca="false">Assumptions!$E$21^(MAX(0,G7990-Assumptions!$E$14)/4)</f>
        <v>1</v>
      </c>
      <c r="H7996" s="45" t="n">
        <f aca="false">Assumptions!$E$21^(MAX(0,H7990-Assumptions!$E$14)/4)</f>
        <v>0.9306048591021</v>
      </c>
      <c r="I7996" s="45" t="n">
        <f aca="false">Assumptions!$E$21^(MAX(0,I7990-Assumptions!$E$14)/4)</f>
        <v>0.866025403784439</v>
      </c>
      <c r="J7996" s="45" t="n">
        <f aca="false">Assumptions!$E$21^(MAX(0,J7990-Assumptions!$E$14)/4)</f>
        <v>0.805927448867656</v>
      </c>
      <c r="K7996" s="45" t="n">
        <f aca="false">Assumptions!$E$21^(MAX(0,K7990-Assumptions!$E$14)/4)</f>
        <v>0.75</v>
      </c>
      <c r="L7996" s="45" t="n">
        <f aca="false">Assumptions!$E$21^(MAX(0,L7990-Assumptions!$E$14)/4)</f>
        <v>0.697953644326575</v>
      </c>
      <c r="M7996" s="45" t="n">
        <f aca="false">Assumptions!$E$21^(MAX(0,M7990-Assumptions!$E$14)/4)</f>
        <v>0.649519052838329</v>
      </c>
      <c r="N7996" s="45" t="n">
        <f aca="false">Assumptions!$E$21^(MAX(0,N7990-Assumptions!$E$14)/4)</f>
        <v>0.604445586650742</v>
      </c>
      <c r="P7996" s="46"/>
      <c r="Q7996" s="46"/>
      <c r="R7996" s="46"/>
      <c r="S7996" s="47"/>
    </row>
    <row r="7997" customFormat="false" ht="15" hidden="false" customHeight="false" outlineLevel="0" collapsed="false">
      <c r="A7997" s="4" t="s">
        <v>483</v>
      </c>
      <c r="B7997" s="36" t="s">
        <v>478</v>
      </c>
      <c r="C7997" s="45" t="n">
        <f aca="false">Assumptions!$E$21^(MAX(0,C7990-Assumptions!$E$15)/4)</f>
        <v>1</v>
      </c>
      <c r="D7997" s="45" t="n">
        <f aca="false">Assumptions!$E$21^(MAX(0,D7990-Assumptions!$E$15)/4)</f>
        <v>1</v>
      </c>
      <c r="E7997" s="45" t="n">
        <f aca="false">Assumptions!$E$21^(MAX(0,E7990-Assumptions!$E$15)/4)</f>
        <v>1</v>
      </c>
      <c r="F7997" s="45" t="n">
        <f aca="false">Assumptions!$E$21^(MAX(0,F7990-Assumptions!$E$15)/4)</f>
        <v>1</v>
      </c>
      <c r="G7997" s="45" t="n">
        <f aca="false">Assumptions!$E$21^(MAX(0,G7990-Assumptions!$E$15)/4)</f>
        <v>1</v>
      </c>
      <c r="H7997" s="45" t="n">
        <f aca="false">Assumptions!$E$21^(MAX(0,H7990-Assumptions!$E$15)/4)</f>
        <v>1</v>
      </c>
      <c r="I7997" s="45" t="n">
        <f aca="false">Assumptions!$E$21^(MAX(0,I7990-Assumptions!$E$15)/4)</f>
        <v>1</v>
      </c>
      <c r="J7997" s="45" t="n">
        <f aca="false">Assumptions!$E$21^(MAX(0,J7990-Assumptions!$E$15)/4)</f>
        <v>0.9306048591021</v>
      </c>
      <c r="K7997" s="45" t="n">
        <f aca="false">Assumptions!$E$21^(MAX(0,K7990-Assumptions!$E$15)/4)</f>
        <v>0.866025403784439</v>
      </c>
      <c r="L7997" s="45" t="n">
        <f aca="false">Assumptions!$E$21^(MAX(0,L7990-Assumptions!$E$15)/4)</f>
        <v>0.805927448867656</v>
      </c>
      <c r="M7997" s="45" t="n">
        <f aca="false">Assumptions!$E$21^(MAX(0,M7990-Assumptions!$E$15)/4)</f>
        <v>0.75</v>
      </c>
      <c r="N7997" s="45" t="n">
        <f aca="false">Assumptions!$E$21^(MAX(0,N7990-Assumptions!$E$15)/4)</f>
        <v>0.697953644326575</v>
      </c>
      <c r="P7997" s="46"/>
      <c r="Q7997" s="46"/>
      <c r="R7997" s="46"/>
      <c r="S7997" s="47"/>
    </row>
    <row r="7998" customFormat="false" ht="15" hidden="false" customHeight="false" outlineLevel="0" collapsed="false">
      <c r="A7998" s="4" t="s">
        <v>484</v>
      </c>
      <c r="B7998" s="36" t="s">
        <v>485</v>
      </c>
      <c r="C7998" s="39" t="n">
        <f aca="false">$C$7969*C7992+$C$7973*C7993+$C$7977*C7994</f>
        <v>421.51972352</v>
      </c>
      <c r="D7998" s="39" t="n">
        <f aca="false">$C$7969*D7992+$C$7973*D7993+$C$7977*D7994</f>
        <v>843.03944704</v>
      </c>
      <c r="E7998" s="39" t="n">
        <f aca="false">$C$7969*E7992+$C$7973*E7993+$C$7977*E7994</f>
        <v>843.03944704</v>
      </c>
      <c r="F7998" s="39" t="n">
        <f aca="false">$C$7969*F7992+$C$7973*F7993+$C$7977*F7994</f>
        <v>843.03944704</v>
      </c>
      <c r="G7998" s="39" t="n">
        <f aca="false">$C$7969*G7992+$C$7973*G7993+$C$7977*G7994</f>
        <v>1149.32798176</v>
      </c>
      <c r="H7998" s="39" t="n">
        <f aca="false">$C$7969*H7992+$C$7973*H7993+$C$7977*H7994</f>
        <v>1455.61651648</v>
      </c>
      <c r="I7998" s="39" t="n">
        <f aca="false">$C$7969*I7992+$C$7973*I7993+$C$7977*I7994</f>
        <v>2486.00303616</v>
      </c>
      <c r="J7998" s="39" t="n">
        <f aca="false">$C$7969*J7992+$C$7973*J7993+$C$7977*J7994</f>
        <v>3516.38955584</v>
      </c>
      <c r="K7998" s="39" t="n">
        <f aca="false">$C$7969*K7992+$C$7973*K7993+$C$7977*K7994</f>
        <v>3516.38955584</v>
      </c>
      <c r="L7998" s="39" t="n">
        <f aca="false">$C$7969*L7992+$C$7973*L7993+$C$7977*L7994</f>
        <v>3516.38955584</v>
      </c>
      <c r="M7998" s="39" t="n">
        <f aca="false">$C$7969*M7992+$C$7973*M7993+$C$7977*M7994</f>
        <v>3516.38955584</v>
      </c>
      <c r="N7998" s="39" t="n">
        <f aca="false">$C$7969*N7992+$C$7973*N7993+$C$7977*N7994</f>
        <v>3516.38955584</v>
      </c>
      <c r="P7998" s="40" t="n">
        <f aca="false">F7998</f>
        <v>843.03944704</v>
      </c>
      <c r="Q7998" s="40" t="n">
        <f aca="false">J7998</f>
        <v>3516.38955584</v>
      </c>
      <c r="R7998" s="40" t="n">
        <f aca="false">N7998</f>
        <v>3516.38955584</v>
      </c>
      <c r="S7998" s="41" t="n">
        <f aca="false">R7998</f>
        <v>3516.38955584</v>
      </c>
    </row>
    <row r="7999" customFormat="false" ht="15" hidden="false" customHeight="false" outlineLevel="0" collapsed="false">
      <c r="A7999" s="4" t="s">
        <v>486</v>
      </c>
      <c r="B7999" s="36" t="s">
        <v>485</v>
      </c>
      <c r="C7999" s="39" t="n">
        <f aca="false">$C$7970*C7992+$C$7974*C7993+$C$7978*C7994</f>
        <v>105.59808</v>
      </c>
      <c r="D7999" s="39" t="n">
        <f aca="false">$C$7970*D7992+$C$7974*D7993+$C$7978*D7994</f>
        <v>211.19616</v>
      </c>
      <c r="E7999" s="39" t="n">
        <f aca="false">$C$7970*E7992+$C$7974*E7993+$C$7978*E7994</f>
        <v>211.19616</v>
      </c>
      <c r="F7999" s="39" t="n">
        <f aca="false">$C$7970*F7992+$C$7974*F7993+$C$7978*F7994</f>
        <v>211.19616</v>
      </c>
      <c r="G7999" s="39" t="n">
        <f aca="false">$C$7970*G7992+$C$7974*G7993+$C$7978*G7994</f>
        <v>282.24672</v>
      </c>
      <c r="H7999" s="39" t="n">
        <f aca="false">$C$7970*H7992+$C$7974*H7993+$C$7978*H7994</f>
        <v>353.29728</v>
      </c>
      <c r="I7999" s="39" t="n">
        <f aca="false">$C$7970*I7992+$C$7974*I7993+$C$7978*I7994</f>
        <v>567.53536</v>
      </c>
      <c r="J7999" s="39" t="n">
        <f aca="false">$C$7970*J7992+$C$7974*J7993+$C$7978*J7994</f>
        <v>781.77344</v>
      </c>
      <c r="K7999" s="39" t="n">
        <f aca="false">$C$7970*K7992+$C$7974*K7993+$C$7978*K7994</f>
        <v>781.77344</v>
      </c>
      <c r="L7999" s="39" t="n">
        <f aca="false">$C$7970*L7992+$C$7974*L7993+$C$7978*L7994</f>
        <v>781.77344</v>
      </c>
      <c r="M7999" s="39" t="n">
        <f aca="false">$C$7970*M7992+$C$7974*M7993+$C$7978*M7994</f>
        <v>781.77344</v>
      </c>
      <c r="N7999" s="39" t="n">
        <f aca="false">$C$7970*N7992+$C$7974*N7993+$C$7978*N7994</f>
        <v>781.77344</v>
      </c>
      <c r="P7999" s="40" t="n">
        <f aca="false">F7999</f>
        <v>211.19616</v>
      </c>
      <c r="Q7999" s="40" t="n">
        <f aca="false">J7999</f>
        <v>781.77344</v>
      </c>
      <c r="R7999" s="40" t="n">
        <f aca="false">N7999</f>
        <v>781.77344</v>
      </c>
      <c r="S7999" s="41" t="n">
        <f aca="false">R7999</f>
        <v>781.77344</v>
      </c>
    </row>
    <row r="8000" customFormat="false" ht="15" hidden="false" customHeight="false" outlineLevel="0" collapsed="false">
      <c r="A8000" s="4" t="s">
        <v>487</v>
      </c>
      <c r="B8000" s="36" t="s">
        <v>485</v>
      </c>
      <c r="C8000" s="39" t="n">
        <f aca="false">$C$7971*C7992+$C$7975*C7993+$C$7979*C7994</f>
        <v>24.76992</v>
      </c>
      <c r="D8000" s="39" t="n">
        <f aca="false">$C$7971*D7992+$C$7975*D7993+$C$7979*D7994</f>
        <v>49.53984</v>
      </c>
      <c r="E8000" s="39" t="n">
        <f aca="false">$C$7971*E7992+$C$7975*E7993+$C$7979*E7994</f>
        <v>49.53984</v>
      </c>
      <c r="F8000" s="39" t="n">
        <f aca="false">$C$7971*F7992+$C$7975*F7993+$C$7979*F7994</f>
        <v>49.53984</v>
      </c>
      <c r="G8000" s="39" t="n">
        <f aca="false">$C$7971*G7992+$C$7975*G7993+$C$7979*G7994</f>
        <v>61.9248</v>
      </c>
      <c r="H8000" s="39" t="n">
        <f aca="false">$C$7971*H7992+$C$7975*H7993+$C$7979*H7994</f>
        <v>74.30976</v>
      </c>
      <c r="I8000" s="39" t="n">
        <f aca="false">$C$7971*I7992+$C$7975*I7993+$C$7979*I7994</f>
        <v>114.072</v>
      </c>
      <c r="J8000" s="39" t="n">
        <f aca="false">$C$7971*J7992+$C$7975*J7993+$C$7979*J7994</f>
        <v>153.83424</v>
      </c>
      <c r="K8000" s="39" t="n">
        <f aca="false">$C$7971*K7992+$C$7975*K7993+$C$7979*K7994</f>
        <v>153.83424</v>
      </c>
      <c r="L8000" s="39" t="n">
        <f aca="false">$C$7971*L7992+$C$7975*L7993+$C$7979*L7994</f>
        <v>153.83424</v>
      </c>
      <c r="M8000" s="39" t="n">
        <f aca="false">$C$7971*M7992+$C$7975*M7993+$C$7979*M7994</f>
        <v>153.83424</v>
      </c>
      <c r="N8000" s="39" t="n">
        <f aca="false">$C$7971*N7992+$C$7975*N7993+$C$7979*N7994</f>
        <v>153.83424</v>
      </c>
      <c r="P8000" s="40" t="n">
        <f aca="false">F8000</f>
        <v>49.53984</v>
      </c>
      <c r="Q8000" s="40" t="n">
        <f aca="false">J8000</f>
        <v>153.83424</v>
      </c>
      <c r="R8000" s="40" t="n">
        <f aca="false">N8000</f>
        <v>153.83424</v>
      </c>
      <c r="S8000" s="41" t="n">
        <f aca="false">R8000</f>
        <v>153.83424</v>
      </c>
    </row>
    <row r="8001" customFormat="false" ht="15" hidden="false" customHeight="false" outlineLevel="0" collapsed="false">
      <c r="A8001" s="4" t="s">
        <v>488</v>
      </c>
      <c r="B8001" s="36" t="s">
        <v>485</v>
      </c>
      <c r="C8001" s="39" t="n">
        <f aca="false">C7998+C7999+C8000</f>
        <v>551.88772352</v>
      </c>
      <c r="D8001" s="39" t="n">
        <f aca="false">D7998+D7999+D8000</f>
        <v>1103.77544704</v>
      </c>
      <c r="E8001" s="39" t="n">
        <f aca="false">E7998+E7999+E8000</f>
        <v>1103.77544704</v>
      </c>
      <c r="F8001" s="39" t="n">
        <f aca="false">F7998+F7999+F8000</f>
        <v>1103.77544704</v>
      </c>
      <c r="G8001" s="39" t="n">
        <f aca="false">G7998+G7999+G8000</f>
        <v>1493.49950176</v>
      </c>
      <c r="H8001" s="39" t="n">
        <f aca="false">H7998+H7999+H8000</f>
        <v>1883.22355648</v>
      </c>
      <c r="I8001" s="39" t="n">
        <f aca="false">I7998+I7999+I8000</f>
        <v>3167.61039616</v>
      </c>
      <c r="J8001" s="39" t="n">
        <f aca="false">J7998+J7999+J8000</f>
        <v>4451.99723584</v>
      </c>
      <c r="K8001" s="39" t="n">
        <f aca="false">K7998+K7999+K8000</f>
        <v>4451.99723584</v>
      </c>
      <c r="L8001" s="39" t="n">
        <f aca="false">L7998+L7999+L8000</f>
        <v>4451.99723584</v>
      </c>
      <c r="M8001" s="39" t="n">
        <f aca="false">M7998+M7999+M8000</f>
        <v>4451.99723584</v>
      </c>
      <c r="N8001" s="39" t="n">
        <f aca="false">N7998+N7999+N8000</f>
        <v>4451.99723584</v>
      </c>
      <c r="P8001" s="40" t="n">
        <f aca="false">F8001</f>
        <v>1103.77544704</v>
      </c>
      <c r="Q8001" s="40" t="n">
        <f aca="false">J8001</f>
        <v>4451.99723584</v>
      </c>
      <c r="R8001" s="40" t="n">
        <f aca="false">N8001</f>
        <v>4451.99723584</v>
      </c>
      <c r="S8001" s="41" t="n">
        <f aca="false">R8001</f>
        <v>4451.99723584</v>
      </c>
    </row>
    <row r="8002" customFormat="false" ht="15" hidden="false" customHeight="false" outlineLevel="0" collapsed="false">
      <c r="A8002" s="4" t="s">
        <v>489</v>
      </c>
      <c r="B8002" s="36" t="s">
        <v>485</v>
      </c>
      <c r="C8002" s="39" t="n">
        <f aca="false">$C$7972*C7992*C7995+$C$7976*C7993*C7996+$C$7980*C7994*C7997</f>
        <v>551.88772352</v>
      </c>
      <c r="D8002" s="39" t="n">
        <f aca="false">$C$7972*D7992*D7995+$C$7976*D7993*D7996+$C$7980*D7994*D7997</f>
        <v>1027.17879437302</v>
      </c>
      <c r="E8002" s="39" t="n">
        <f aca="false">$C$7972*E7992*E7995+$C$7976*E7993*E7996+$C$7980*E7994*E7997</f>
        <v>955.897577210165</v>
      </c>
      <c r="F8002" s="39" t="n">
        <f aca="false">$C$7972*F7992*F7995+$C$7976*F7993*F7996+$C$7980*F7994*F7997</f>
        <v>889.562930155704</v>
      </c>
      <c r="G8002" s="39" t="n">
        <f aca="false">$C$7972*G7992*G7995+$C$7976*G7993*G7996+$C$7980*G7994*G7997</f>
        <v>1217.55564</v>
      </c>
      <c r="H8002" s="39" t="n">
        <f aca="false">$C$7972*H7992*H7995+$C$7976*H7993*H7996+$C$7980*H7994*H7997</f>
        <v>1495.74229384257</v>
      </c>
      <c r="I8002" s="39" t="n">
        <f aca="false">$C$7972*I7992*I7995+$C$7976*I7993*I7996+$C$7980*I7994*I7997</f>
        <v>2676.33188629442</v>
      </c>
      <c r="J8002" s="39" t="n">
        <f aca="false">$C$7972*J7992*J7995+$C$7976*J7993*J7996+$C$7980*J7994*J7997</f>
        <v>3685.86409192847</v>
      </c>
      <c r="K8002" s="39" t="n">
        <f aca="false">$C$7972*K7992*K7995+$C$7976*K7993*K7996+$C$7980*K7994*K7997</f>
        <v>3430.08303393858</v>
      </c>
      <c r="L8002" s="39" t="n">
        <f aca="false">$C$7972*L7992*L7995+$C$7976*L7993*L7996+$C$7980*L7994*L7997</f>
        <v>3192.05193850692</v>
      </c>
      <c r="M8002" s="39" t="n">
        <f aca="false">$C$7972*M7992*M7995+$C$7976*M7993*M7996+$C$7980*M7994*M7997</f>
        <v>2970.53904448081</v>
      </c>
      <c r="N8002" s="39" t="n">
        <f aca="false">$C$7972*N7992*N7995+$C$7976*N7993*N7996+$C$7980*N7994*N7997</f>
        <v>2764.39806894635</v>
      </c>
      <c r="P8002" s="40"/>
      <c r="Q8002" s="40"/>
      <c r="R8002" s="40"/>
      <c r="S8002" s="41"/>
    </row>
    <row r="8003" customFormat="false" ht="15" hidden="false" customHeight="false" outlineLevel="0" collapsed="false">
      <c r="A8003" s="4" t="s">
        <v>490</v>
      </c>
      <c r="B8003" s="36" t="s">
        <v>491</v>
      </c>
      <c r="C8003" s="48" t="n">
        <f aca="false">$C$7984*Assumptions!$E$20*C7991*C8002</f>
        <v>6.62265268224</v>
      </c>
      <c r="D8003" s="48" t="n">
        <f aca="false">$C$7984*Assumptions!$E$20*D7991*D8002</f>
        <v>12.3261455324762</v>
      </c>
      <c r="E8003" s="48" t="n">
        <f aca="false">$C$7984*Assumptions!$E$20*E7991*E8002</f>
        <v>11.470770926522</v>
      </c>
      <c r="F8003" s="48" t="n">
        <f aca="false">$C$7984*Assumptions!$E$20*F7991*F8002</f>
        <v>10.6747551618685</v>
      </c>
      <c r="G8003" s="48" t="n">
        <f aca="false">$C$7984*Assumptions!$E$20*G7991*G8002</f>
        <v>14.61066768</v>
      </c>
      <c r="H8003" s="48" t="n">
        <f aca="false">$C$7984*Assumptions!$E$20*H7991*H8002</f>
        <v>17.9489075261109</v>
      </c>
      <c r="I8003" s="48" t="n">
        <f aca="false">$C$7984*Assumptions!$E$20*I7991*I8002</f>
        <v>32.115982635533</v>
      </c>
      <c r="J8003" s="48" t="n">
        <f aca="false">$C$7984*Assumptions!$E$20*J7991*J8002</f>
        <v>44.2303691031417</v>
      </c>
      <c r="K8003" s="48" t="n">
        <f aca="false">$C$7984*Assumptions!$E$20*K7991*K8002</f>
        <v>41.160996407263</v>
      </c>
      <c r="L8003" s="48" t="n">
        <f aca="false">$C$7984*Assumptions!$E$20*L7991*L8002</f>
        <v>38.304623262083</v>
      </c>
      <c r="M8003" s="48" t="n">
        <f aca="false">$C$7984*Assumptions!$E$20*M7991*M8002</f>
        <v>35.6464685337698</v>
      </c>
      <c r="N8003" s="48" t="n">
        <f aca="false">$C$7984*Assumptions!$E$20*N7991*N8002</f>
        <v>33.1727768273562</v>
      </c>
      <c r="P8003" s="49" t="n">
        <f aca="false">SUM(C8003:F8003)</f>
        <v>41.0943243031066</v>
      </c>
      <c r="Q8003" s="49" t="n">
        <f aca="false">SUM(G8003:J8003)</f>
        <v>108.905926944786</v>
      </c>
      <c r="R8003" s="49" t="n">
        <f aca="false">SUM(K8003:N8003)</f>
        <v>148.284865030472</v>
      </c>
      <c r="S8003" s="50" t="n">
        <f aca="false">SUM(P8003:R8003)</f>
        <v>298.285116278364</v>
      </c>
    </row>
    <row r="8004" customFormat="false" ht="15" hidden="false" customHeight="false" outlineLevel="0" collapsed="false">
      <c r="A8004" s="4" t="s">
        <v>492</v>
      </c>
      <c r="B8004" s="36" t="s">
        <v>321</v>
      </c>
      <c r="C8004" s="48" t="n">
        <f aca="false">Assumptions!$D$111</f>
        <v>0</v>
      </c>
      <c r="D8004" s="48" t="n">
        <f aca="false">Assumptions!$E$111</f>
        <v>0</v>
      </c>
      <c r="E8004" s="48" t="n">
        <f aca="false">Assumptions!$F$111</f>
        <v>0</v>
      </c>
      <c r="F8004" s="48" t="n">
        <f aca="false">Assumptions!$G$111</f>
        <v>0</v>
      </c>
      <c r="G8004" s="48" t="n">
        <f aca="false">Assumptions!$H$111</f>
        <v>0</v>
      </c>
      <c r="H8004" s="48" t="n">
        <f aca="false">Assumptions!$I$111</f>
        <v>0</v>
      </c>
      <c r="I8004" s="48" t="n">
        <f aca="false">Assumptions!$J$111</f>
        <v>0</v>
      </c>
      <c r="J8004" s="48" t="n">
        <f aca="false">Assumptions!$K$111</f>
        <v>0</v>
      </c>
      <c r="K8004" s="48" t="n">
        <f aca="false">Assumptions!$L$111</f>
        <v>0</v>
      </c>
      <c r="L8004" s="48" t="n">
        <f aca="false">Assumptions!$M$111</f>
        <v>0</v>
      </c>
      <c r="M8004" s="48" t="n">
        <f aca="false">Assumptions!$N$111</f>
        <v>0</v>
      </c>
      <c r="N8004" s="48" t="n">
        <f aca="false">Assumptions!$O$111</f>
        <v>0</v>
      </c>
      <c r="P8004" s="49" t="n">
        <f aca="false">F8004</f>
        <v>0</v>
      </c>
      <c r="Q8004" s="49" t="n">
        <f aca="false">J8004</f>
        <v>0</v>
      </c>
      <c r="R8004" s="49" t="n">
        <f aca="false">N8004</f>
        <v>0</v>
      </c>
      <c r="S8004" s="50" t="n">
        <f aca="false">R8004</f>
        <v>0</v>
      </c>
    </row>
    <row r="8005" customFormat="false" ht="15" hidden="false" customHeight="false" outlineLevel="0" collapsed="false">
      <c r="A8005" s="4" t="s">
        <v>493</v>
      </c>
      <c r="B8005" s="36" t="s">
        <v>321</v>
      </c>
      <c r="C8005" s="48" t="n">
        <f aca="false">0</f>
        <v>0</v>
      </c>
      <c r="D8005" s="48" t="n">
        <f aca="false">0.5*C8004</f>
        <v>0</v>
      </c>
      <c r="E8005" s="48" t="n">
        <f aca="false">C8004+0.5*(D8004-C8004)</f>
        <v>0</v>
      </c>
      <c r="F8005" s="48" t="n">
        <f aca="false">D8004+0.5*(E8004-D8004)</f>
        <v>0</v>
      </c>
      <c r="G8005" s="48" t="n">
        <f aca="false">E8004+0.5*(F8004-E8004)</f>
        <v>0</v>
      </c>
      <c r="H8005" s="48" t="n">
        <f aca="false">F8004+0.5*(G8004-F8004)</f>
        <v>0</v>
      </c>
      <c r="I8005" s="48" t="n">
        <f aca="false">G8004+0.5*(H8004-G8004)</f>
        <v>0</v>
      </c>
      <c r="J8005" s="48" t="n">
        <f aca="false">H8004+0.5*(I8004-H8004)</f>
        <v>0</v>
      </c>
      <c r="K8005" s="48" t="n">
        <f aca="false">I8004+0.5*(J8004-I8004)</f>
        <v>0</v>
      </c>
      <c r="L8005" s="48" t="n">
        <f aca="false">J8004+0.5*(K8004-J8004)</f>
        <v>0</v>
      </c>
      <c r="M8005" s="48" t="n">
        <f aca="false">K8004+0.5*(L8004-K8004)</f>
        <v>0</v>
      </c>
      <c r="N8005" s="48" t="n">
        <f aca="false">L8004+0.5*(M8004-L8004)</f>
        <v>0</v>
      </c>
      <c r="P8005" s="49" t="n">
        <f aca="false">F8005</f>
        <v>0</v>
      </c>
      <c r="Q8005" s="49" t="n">
        <f aca="false">J8005</f>
        <v>0</v>
      </c>
      <c r="R8005" s="49" t="n">
        <f aca="false">N8005</f>
        <v>0</v>
      </c>
      <c r="S8005" s="50" t="n">
        <f aca="false">R8005</f>
        <v>0</v>
      </c>
    </row>
    <row r="8006" customFormat="false" ht="15" hidden="false" customHeight="false" outlineLevel="0" collapsed="false">
      <c r="A8006" s="4" t="s">
        <v>494</v>
      </c>
      <c r="B8006" s="36" t="s">
        <v>485</v>
      </c>
      <c r="C8006" s="39" t="n">
        <f aca="false">MIN(C8005*Assumptions!$E$38,C8001*(1-$C$7984))</f>
        <v>0</v>
      </c>
      <c r="D8006" s="39" t="n">
        <f aca="false">MIN(D8005*Assumptions!$E$38,D8001*(1-$C$7984))</f>
        <v>0</v>
      </c>
      <c r="E8006" s="39" t="n">
        <f aca="false">MIN(E8005*Assumptions!$E$38,E8001*(1-$C$7984))</f>
        <v>0</v>
      </c>
      <c r="F8006" s="39" t="n">
        <f aca="false">MIN(F8005*Assumptions!$E$38,F8001*(1-$C$7984))</f>
        <v>0</v>
      </c>
      <c r="G8006" s="39" t="n">
        <f aca="false">MIN(G8005*Assumptions!$E$38,G8001*(1-$C$7984))</f>
        <v>0</v>
      </c>
      <c r="H8006" s="39" t="n">
        <f aca="false">MIN(H8005*Assumptions!$E$38,H8001*(1-$C$7984))</f>
        <v>0</v>
      </c>
      <c r="I8006" s="39" t="n">
        <f aca="false">MIN(I8005*Assumptions!$E$38,I8001*(1-$C$7984))</f>
        <v>0</v>
      </c>
      <c r="J8006" s="39" t="n">
        <f aca="false">MIN(J8005*Assumptions!$E$38,J8001*(1-$C$7984))</f>
        <v>0</v>
      </c>
      <c r="K8006" s="39" t="n">
        <f aca="false">MIN(K8005*Assumptions!$E$38,K8001*(1-$C$7984))</f>
        <v>0</v>
      </c>
      <c r="L8006" s="39" t="n">
        <f aca="false">MIN(L8005*Assumptions!$E$38,L8001*(1-$C$7984))</f>
        <v>0</v>
      </c>
      <c r="M8006" s="39" t="n">
        <f aca="false">MIN(M8005*Assumptions!$E$38,M8001*(1-$C$7984))</f>
        <v>0</v>
      </c>
      <c r="N8006" s="39" t="n">
        <f aca="false">MIN(N8005*Assumptions!$E$38,N8001*(1-$C$7984))</f>
        <v>0</v>
      </c>
      <c r="P8006" s="40" t="n">
        <f aca="false">SUM(C8006:F8006)</f>
        <v>0</v>
      </c>
      <c r="Q8006" s="40" t="n">
        <f aca="false">SUM(G8006:J8006)</f>
        <v>0</v>
      </c>
      <c r="R8006" s="40" t="n">
        <f aca="false">SUM(K8006:N8006)</f>
        <v>0</v>
      </c>
      <c r="S8006" s="41" t="n">
        <f aca="false">SUM(P8006:R8006)</f>
        <v>0</v>
      </c>
    </row>
    <row r="8007" customFormat="false" ht="15" hidden="false" customHeight="false" outlineLevel="0" collapsed="false">
      <c r="A8007" s="4" t="s">
        <v>495</v>
      </c>
      <c r="B8007" s="36" t="s">
        <v>491</v>
      </c>
      <c r="C8007" s="48" t="n">
        <f aca="false">C8006*Assumptions!$E$20*Assumptions!$E$39*IF(C8001&gt;0,C8002/C8001,0)*C7991</f>
        <v>0</v>
      </c>
      <c r="D8007" s="48" t="n">
        <f aca="false">D8006*Assumptions!$E$20*Assumptions!$E$39*IF(D8001&gt;0,D8002/D8001,0)*D7991</f>
        <v>0</v>
      </c>
      <c r="E8007" s="48" t="n">
        <f aca="false">E8006*Assumptions!$E$20*Assumptions!$E$39*IF(E8001&gt;0,E8002/E8001,0)*E7991</f>
        <v>0</v>
      </c>
      <c r="F8007" s="48" t="n">
        <f aca="false">F8006*Assumptions!$E$20*Assumptions!$E$39*IF(F8001&gt;0,F8002/F8001,0)*F7991</f>
        <v>0</v>
      </c>
      <c r="G8007" s="48" t="n">
        <f aca="false">G8006*Assumptions!$E$20*Assumptions!$E$39*IF(G8001&gt;0,G8002/G8001,0)*G7991</f>
        <v>0</v>
      </c>
      <c r="H8007" s="48" t="n">
        <f aca="false">H8006*Assumptions!$E$20*Assumptions!$E$39*IF(H8001&gt;0,H8002/H8001,0)*H7991</f>
        <v>0</v>
      </c>
      <c r="I8007" s="48" t="n">
        <f aca="false">I8006*Assumptions!$E$20*Assumptions!$E$39*IF(I8001&gt;0,I8002/I8001,0)*I7991</f>
        <v>0</v>
      </c>
      <c r="J8007" s="48" t="n">
        <f aca="false">J8006*Assumptions!$E$20*Assumptions!$E$39*IF(J8001&gt;0,J8002/J8001,0)*J7991</f>
        <v>0</v>
      </c>
      <c r="K8007" s="48" t="n">
        <f aca="false">K8006*Assumptions!$E$20*Assumptions!$E$39*IF(K8001&gt;0,K8002/K8001,0)*K7991</f>
        <v>0</v>
      </c>
      <c r="L8007" s="48" t="n">
        <f aca="false">L8006*Assumptions!$E$20*Assumptions!$E$39*IF(L8001&gt;0,L8002/L8001,0)*L7991</f>
        <v>0</v>
      </c>
      <c r="M8007" s="48" t="n">
        <f aca="false">M8006*Assumptions!$E$20*Assumptions!$E$39*IF(M8001&gt;0,M8002/M8001,0)*M7991</f>
        <v>0</v>
      </c>
      <c r="N8007" s="48" t="n">
        <f aca="false">N8006*Assumptions!$E$20*Assumptions!$E$39*IF(N8001&gt;0,N8002/N8001,0)*N7991</f>
        <v>0</v>
      </c>
      <c r="P8007" s="49" t="n">
        <f aca="false">SUM(C8007:F8007)</f>
        <v>0</v>
      </c>
      <c r="Q8007" s="49" t="n">
        <f aca="false">SUM(G8007:J8007)</f>
        <v>0</v>
      </c>
      <c r="R8007" s="49" t="n">
        <f aca="false">SUM(K8007:N8007)</f>
        <v>0</v>
      </c>
      <c r="S8007" s="50" t="n">
        <f aca="false">SUM(P8007:R8007)</f>
        <v>0</v>
      </c>
    </row>
    <row r="8008" customFormat="false" ht="15" hidden="false" customHeight="false" outlineLevel="0" collapsed="false">
      <c r="A8008" s="4" t="s">
        <v>496</v>
      </c>
      <c r="B8008" s="36" t="s">
        <v>497</v>
      </c>
      <c r="C8008" s="48" t="n">
        <f aca="false">IF(AND(C8001&gt;0,$C$7988&gt;0),C8001*Assumptions!$E$24*(1-EXP(-$C$7988/(Assumptions!$E$23*C8001*Assumptions!$E$24))),0)</f>
        <v>0</v>
      </c>
      <c r="D8008" s="48" t="n">
        <f aca="false">IF(AND(D8001&gt;0,$C$7988&gt;0),D8001*Assumptions!$E$24*(1-EXP(-$C$7988/(Assumptions!$E$23*D8001*Assumptions!$E$24))),0)</f>
        <v>0</v>
      </c>
      <c r="E8008" s="48" t="n">
        <f aca="false">IF(AND(E8001&gt;0,$C$7988&gt;0),E8001*Assumptions!$E$24*(1-EXP(-$C$7988/(Assumptions!$E$23*E8001*Assumptions!$E$24))),0)</f>
        <v>0</v>
      </c>
      <c r="F8008" s="48" t="n">
        <f aca="false">IF(AND(F8001&gt;0,$C$7988&gt;0),F8001*Assumptions!$E$24*(1-EXP(-$C$7988/(Assumptions!$E$23*F8001*Assumptions!$E$24))),0)</f>
        <v>0</v>
      </c>
      <c r="G8008" s="48" t="n">
        <f aca="false">IF(AND(G8001&gt;0,$C$7988&gt;0),G8001*Assumptions!$E$24*(1-EXP(-$C$7988/(Assumptions!$E$23*G8001*Assumptions!$E$24))),0)</f>
        <v>0</v>
      </c>
      <c r="H8008" s="48" t="n">
        <f aca="false">IF(AND(H8001&gt;0,$C$7988&gt;0),H8001*Assumptions!$E$24*(1-EXP(-$C$7988/(Assumptions!$E$23*H8001*Assumptions!$E$24))),0)</f>
        <v>0</v>
      </c>
      <c r="I8008" s="48" t="n">
        <f aca="false">IF(AND(I8001&gt;0,$C$7988&gt;0),I8001*Assumptions!$E$24*(1-EXP(-$C$7988/(Assumptions!$E$23*I8001*Assumptions!$E$24))),0)</f>
        <v>0</v>
      </c>
      <c r="J8008" s="48" t="n">
        <f aca="false">IF(AND(J8001&gt;0,$C$7988&gt;0),J8001*Assumptions!$E$24*(1-EXP(-$C$7988/(Assumptions!$E$23*J8001*Assumptions!$E$24))),0)</f>
        <v>0</v>
      </c>
      <c r="K8008" s="48" t="n">
        <f aca="false">IF(AND(K8001&gt;0,$C$7988&gt;0),K8001*Assumptions!$E$24*(1-EXP(-$C$7988/(Assumptions!$E$23*K8001*Assumptions!$E$24))),0)</f>
        <v>0</v>
      </c>
      <c r="L8008" s="48" t="n">
        <f aca="false">IF(AND(L8001&gt;0,$C$7988&gt;0),L8001*Assumptions!$E$24*(1-EXP(-$C$7988/(Assumptions!$E$23*L8001*Assumptions!$E$24))),0)</f>
        <v>0</v>
      </c>
      <c r="M8008" s="48" t="n">
        <f aca="false">IF(AND(M8001&gt;0,$C$7988&gt;0),M8001*Assumptions!$E$24*(1-EXP(-$C$7988/(Assumptions!$E$23*M8001*Assumptions!$E$24))),0)</f>
        <v>0</v>
      </c>
      <c r="N8008" s="48" t="n">
        <f aca="false">IF(AND(N8001&gt;0,$C$7988&gt;0),N8001*Assumptions!$E$24*(1-EXP(-$C$7988/(Assumptions!$E$23*N8001*Assumptions!$E$24))),0)</f>
        <v>0</v>
      </c>
      <c r="P8008" s="49" t="n">
        <f aca="false">SUM(C8008:F8008)</f>
        <v>0</v>
      </c>
      <c r="Q8008" s="49" t="n">
        <f aca="false">SUM(G8008:J8008)</f>
        <v>0</v>
      </c>
      <c r="R8008" s="49" t="n">
        <f aca="false">SUM(K8008:N8008)</f>
        <v>0</v>
      </c>
      <c r="S8008" s="50" t="n">
        <f aca="false">SUM(P8008:R8008)</f>
        <v>0</v>
      </c>
    </row>
    <row r="8009" customFormat="false" ht="15" hidden="false" customHeight="false" outlineLevel="0" collapsed="false">
      <c r="A8009" s="4" t="s">
        <v>498</v>
      </c>
      <c r="B8009" s="36" t="s">
        <v>497</v>
      </c>
      <c r="C8009" s="48" t="n">
        <f aca="false">(C8001*Assumptions!$E$22*MIN(1,Assumptions!$D$103/Assumptions!$E$78)+C8008)*C7991</f>
        <v>5.5188772352</v>
      </c>
      <c r="D8009" s="48" t="n">
        <f aca="false">(D8001*Assumptions!$E$22*MIN(1,Assumptions!$D$103/Assumptions!$E$78)+D8008)*D7991</f>
        <v>11.0377544704</v>
      </c>
      <c r="E8009" s="48" t="n">
        <f aca="false">(E8001*Assumptions!$E$22*MIN(1,Assumptions!$D$103/Assumptions!$E$78)+E8008)*E7991</f>
        <v>11.0377544704</v>
      </c>
      <c r="F8009" s="48" t="n">
        <f aca="false">(F8001*Assumptions!$E$22*MIN(1,Assumptions!$D$103/Assumptions!$E$78)+F8008)*F7991</f>
        <v>11.0377544704</v>
      </c>
      <c r="G8009" s="48" t="n">
        <f aca="false">(G8001*Assumptions!$E$22*MIN(1,Assumptions!$D$103/Assumptions!$E$78)+G8008)*G7991</f>
        <v>14.9349950176</v>
      </c>
      <c r="H8009" s="48" t="n">
        <f aca="false">(H8001*Assumptions!$E$22*MIN(1,Assumptions!$D$103/Assumptions!$E$78)+H8008)*H7991</f>
        <v>18.8322355648</v>
      </c>
      <c r="I8009" s="48" t="n">
        <f aca="false">(I8001*Assumptions!$E$22*MIN(1,Assumptions!$D$103/Assumptions!$E$78)+I8008)*I7991</f>
        <v>31.6761039616</v>
      </c>
      <c r="J8009" s="48" t="n">
        <f aca="false">(J8001*Assumptions!$E$22*MIN(1,Assumptions!$D$103/Assumptions!$E$78)+J8008)*J7991</f>
        <v>44.5199723584</v>
      </c>
      <c r="K8009" s="48" t="n">
        <f aca="false">(K8001*Assumptions!$E$22*MIN(1,Assumptions!$D$103/Assumptions!$E$78)+K8008)*K7991</f>
        <v>44.5199723584</v>
      </c>
      <c r="L8009" s="48" t="n">
        <f aca="false">(L8001*Assumptions!$E$22*MIN(1,Assumptions!$D$103/Assumptions!$E$78)+L8008)*L7991</f>
        <v>44.5199723584</v>
      </c>
      <c r="M8009" s="48" t="n">
        <f aca="false">(M8001*Assumptions!$E$22*MIN(1,Assumptions!$D$103/Assumptions!$E$78)+M8008)*M7991</f>
        <v>44.5199723584</v>
      </c>
      <c r="N8009" s="48" t="n">
        <f aca="false">(N8001*Assumptions!$E$22*MIN(1,Assumptions!$D$103/Assumptions!$E$78)+N8008)*N7991</f>
        <v>44.5199723584</v>
      </c>
      <c r="P8009" s="49" t="n">
        <f aca="false">SUM(C8009:F8009)</f>
        <v>38.6321406464</v>
      </c>
      <c r="Q8009" s="49" t="n">
        <f aca="false">SUM(G8009:J8009)</f>
        <v>109.9633069024</v>
      </c>
      <c r="R8009" s="49" t="n">
        <f aca="false">SUM(K8009:N8009)</f>
        <v>178.0798894336</v>
      </c>
      <c r="S8009" s="50" t="n">
        <f aca="false">SUM(P8009:R8009)</f>
        <v>326.6753369824</v>
      </c>
    </row>
    <row r="8010" customFormat="false" ht="15" hidden="false" customHeight="false" outlineLevel="0" collapsed="false">
      <c r="A8010" s="4" t="s">
        <v>499</v>
      </c>
      <c r="B8010" s="36" t="s">
        <v>500</v>
      </c>
      <c r="C8010" s="48" t="n">
        <f aca="false">C7991*MIN(Assumptions!$E$27,Assumptions!$E$25+Assumptions!$E$26*(C7990-1))*Assumptions!$D$107</f>
        <v>2</v>
      </c>
      <c r="D8010" s="48" t="n">
        <f aca="false">D7991*MIN(Assumptions!$E$27,Assumptions!$E$25+Assumptions!$E$26*(D7990-1))*Assumptions!$D$107</f>
        <v>3</v>
      </c>
      <c r="E8010" s="48" t="n">
        <f aca="false">E7991*MIN(Assumptions!$E$27,Assumptions!$E$25+Assumptions!$E$26*(E7990-1))*Assumptions!$D$107</f>
        <v>4</v>
      </c>
      <c r="F8010" s="48" t="n">
        <f aca="false">F7991*MIN(Assumptions!$E$27,Assumptions!$E$25+Assumptions!$E$26*(F7990-1))*Assumptions!$D$107</f>
        <v>5</v>
      </c>
      <c r="G8010" s="48" t="n">
        <f aca="false">G7991*MIN(Assumptions!$E$27,Assumptions!$E$25+Assumptions!$E$26*(G7990-1))*Assumptions!$D$107</f>
        <v>6</v>
      </c>
      <c r="H8010" s="48" t="n">
        <f aca="false">H7991*MIN(Assumptions!$E$27,Assumptions!$E$25+Assumptions!$E$26*(H7990-1))*Assumptions!$D$107</f>
        <v>7</v>
      </c>
      <c r="I8010" s="48" t="n">
        <f aca="false">I7991*MIN(Assumptions!$E$27,Assumptions!$E$25+Assumptions!$E$26*(I7990-1))*Assumptions!$D$107</f>
        <v>8</v>
      </c>
      <c r="J8010" s="48" t="n">
        <f aca="false">J7991*MIN(Assumptions!$E$27,Assumptions!$E$25+Assumptions!$E$26*(J7990-1))*Assumptions!$D$107</f>
        <v>9</v>
      </c>
      <c r="K8010" s="48" t="n">
        <f aca="false">K7991*MIN(Assumptions!$E$27,Assumptions!$E$25+Assumptions!$E$26*(K7990-1))*Assumptions!$D$107</f>
        <v>10</v>
      </c>
      <c r="L8010" s="48" t="n">
        <f aca="false">L7991*MIN(Assumptions!$E$27,Assumptions!$E$25+Assumptions!$E$26*(L7990-1))*Assumptions!$D$107</f>
        <v>10</v>
      </c>
      <c r="M8010" s="48" t="n">
        <f aca="false">M7991*MIN(Assumptions!$E$27,Assumptions!$E$25+Assumptions!$E$26*(M7990-1))*Assumptions!$D$107</f>
        <v>10</v>
      </c>
      <c r="N8010" s="48" t="n">
        <f aca="false">N7991*MIN(Assumptions!$E$27,Assumptions!$E$25+Assumptions!$E$26*(N7990-1))*Assumptions!$D$107</f>
        <v>10</v>
      </c>
      <c r="P8010" s="49" t="n">
        <f aca="false">F8010</f>
        <v>5</v>
      </c>
      <c r="Q8010" s="49" t="n">
        <f aca="false">J8010</f>
        <v>9</v>
      </c>
      <c r="R8010" s="49" t="n">
        <f aca="false">N8010</f>
        <v>10</v>
      </c>
      <c r="S8010" s="50" t="n">
        <f aca="false">R8010</f>
        <v>10</v>
      </c>
    </row>
    <row r="8011" customFormat="false" ht="15" hidden="false" customHeight="false" outlineLevel="0" collapsed="false">
      <c r="A8011" s="4" t="s">
        <v>501</v>
      </c>
      <c r="B8011" s="36" t="s">
        <v>502</v>
      </c>
      <c r="C8011" s="48" t="n">
        <f aca="false">C8010*Assumptions!$E$28</f>
        <v>6</v>
      </c>
      <c r="D8011" s="48" t="n">
        <f aca="false">D8010*Assumptions!$E$28</f>
        <v>9</v>
      </c>
      <c r="E8011" s="48" t="n">
        <f aca="false">E8010*Assumptions!$E$28</f>
        <v>12</v>
      </c>
      <c r="F8011" s="48" t="n">
        <f aca="false">F8010*Assumptions!$E$28</f>
        <v>15</v>
      </c>
      <c r="G8011" s="48" t="n">
        <f aca="false">G8010*Assumptions!$E$28</f>
        <v>18</v>
      </c>
      <c r="H8011" s="48" t="n">
        <f aca="false">H8010*Assumptions!$E$28</f>
        <v>21</v>
      </c>
      <c r="I8011" s="48" t="n">
        <f aca="false">I8010*Assumptions!$E$28</f>
        <v>24</v>
      </c>
      <c r="J8011" s="48" t="n">
        <f aca="false">J8010*Assumptions!$E$28</f>
        <v>27</v>
      </c>
      <c r="K8011" s="48" t="n">
        <f aca="false">K8010*Assumptions!$E$28</f>
        <v>30</v>
      </c>
      <c r="L8011" s="48" t="n">
        <f aca="false">L8010*Assumptions!$E$28</f>
        <v>30</v>
      </c>
      <c r="M8011" s="48" t="n">
        <f aca="false">M8010*Assumptions!$E$28</f>
        <v>30</v>
      </c>
      <c r="N8011" s="48" t="n">
        <f aca="false">N8010*Assumptions!$E$28</f>
        <v>30</v>
      </c>
      <c r="P8011" s="49" t="n">
        <f aca="false">SUM(C8011:F8011)</f>
        <v>42</v>
      </c>
      <c r="Q8011" s="49" t="n">
        <f aca="false">SUM(G8011:J8011)</f>
        <v>90</v>
      </c>
      <c r="R8011" s="49" t="n">
        <f aca="false">SUM(K8011:N8011)</f>
        <v>120</v>
      </c>
      <c r="S8011" s="50" t="n">
        <f aca="false">SUM(P8011:R8011)</f>
        <v>252</v>
      </c>
    </row>
    <row r="8012" customFormat="false" ht="15" hidden="false" customHeight="false" outlineLevel="0" collapsed="false">
      <c r="A8012" s="4" t="s">
        <v>503</v>
      </c>
      <c r="B8012" s="36" t="s">
        <v>504</v>
      </c>
      <c r="C8012" s="48" t="n">
        <f aca="false">(C8003+C8007)*Assumptions!$E$29</f>
        <v>2.649061072896</v>
      </c>
      <c r="D8012" s="48" t="n">
        <f aca="false">(D8003+D8007)*Assumptions!$E$29</f>
        <v>4.93045821299048</v>
      </c>
      <c r="E8012" s="48" t="n">
        <f aca="false">(E8003+E8007)*Assumptions!$E$29</f>
        <v>4.58830837060879</v>
      </c>
      <c r="F8012" s="48" t="n">
        <f aca="false">(F8003+F8007)*Assumptions!$E$29</f>
        <v>4.26990206474738</v>
      </c>
      <c r="G8012" s="48" t="n">
        <f aca="false">(G8003+G8007)*Assumptions!$E$29</f>
        <v>5.844267072</v>
      </c>
      <c r="H8012" s="48" t="n">
        <f aca="false">(H8003+H8007)*Assumptions!$E$29</f>
        <v>7.17956301044434</v>
      </c>
      <c r="I8012" s="48" t="n">
        <f aca="false">(I8003+I8007)*Assumptions!$E$29</f>
        <v>12.8463930542132</v>
      </c>
      <c r="J8012" s="48" t="n">
        <f aca="false">(J8003+J8007)*Assumptions!$E$29</f>
        <v>17.6921476412567</v>
      </c>
      <c r="K8012" s="48" t="n">
        <f aca="false">(K8003+K8007)*Assumptions!$E$29</f>
        <v>16.4643985629052</v>
      </c>
      <c r="L8012" s="48" t="n">
        <f aca="false">(L8003+L8007)*Assumptions!$E$29</f>
        <v>15.3218493048332</v>
      </c>
      <c r="M8012" s="48" t="n">
        <f aca="false">(M8003+M8007)*Assumptions!$E$29</f>
        <v>14.2585874135079</v>
      </c>
      <c r="N8012" s="48" t="n">
        <f aca="false">(N8003+N8007)*Assumptions!$E$29</f>
        <v>13.2691107309425</v>
      </c>
      <c r="P8012" s="49" t="n">
        <f aca="false">SUM(C8012:F8012)</f>
        <v>16.4377297212427</v>
      </c>
      <c r="Q8012" s="49" t="n">
        <f aca="false">SUM(G8012:J8012)</f>
        <v>43.5623707779142</v>
      </c>
      <c r="R8012" s="49" t="n">
        <f aca="false">SUM(K8012:N8012)</f>
        <v>59.3139460121888</v>
      </c>
      <c r="S8012" s="50" t="n">
        <f aca="false">SUM(P8012:R8012)</f>
        <v>119.314046511346</v>
      </c>
    </row>
    <row r="8013" customFormat="false" ht="15" hidden="false" customHeight="false" outlineLevel="0" collapsed="false">
      <c r="A8013" s="4" t="s">
        <v>505</v>
      </c>
      <c r="B8013" s="36" t="s">
        <v>504</v>
      </c>
      <c r="C8013" s="48" t="n">
        <f aca="false">C8009*Assumptions!$E$31</f>
        <v>0.883020357632</v>
      </c>
      <c r="D8013" s="48" t="n">
        <f aca="false">D8009*Assumptions!$E$31</f>
        <v>1.766040715264</v>
      </c>
      <c r="E8013" s="48" t="n">
        <f aca="false">E8009*Assumptions!$E$31</f>
        <v>1.766040715264</v>
      </c>
      <c r="F8013" s="48" t="n">
        <f aca="false">F8009*Assumptions!$E$31</f>
        <v>1.766040715264</v>
      </c>
      <c r="G8013" s="48" t="n">
        <f aca="false">G8009*Assumptions!$E$31</f>
        <v>2.389599202816</v>
      </c>
      <c r="H8013" s="48" t="n">
        <f aca="false">H8009*Assumptions!$E$31</f>
        <v>3.013157690368</v>
      </c>
      <c r="I8013" s="48" t="n">
        <f aca="false">I8009*Assumptions!$E$31</f>
        <v>5.068176633856</v>
      </c>
      <c r="J8013" s="48" t="n">
        <f aca="false">J8009*Assumptions!$E$31</f>
        <v>7.123195577344</v>
      </c>
      <c r="K8013" s="48" t="n">
        <f aca="false">K8009*Assumptions!$E$31</f>
        <v>7.123195577344</v>
      </c>
      <c r="L8013" s="48" t="n">
        <f aca="false">L8009*Assumptions!$E$31</f>
        <v>7.123195577344</v>
      </c>
      <c r="M8013" s="48" t="n">
        <f aca="false">M8009*Assumptions!$E$31</f>
        <v>7.123195577344</v>
      </c>
      <c r="N8013" s="48" t="n">
        <f aca="false">N8009*Assumptions!$E$31</f>
        <v>7.123195577344</v>
      </c>
      <c r="P8013" s="49" t="n">
        <f aca="false">SUM(C8013:F8013)</f>
        <v>6.181142503424</v>
      </c>
      <c r="Q8013" s="49" t="n">
        <f aca="false">SUM(G8013:J8013)</f>
        <v>17.594129104384</v>
      </c>
      <c r="R8013" s="49" t="n">
        <f aca="false">SUM(K8013:N8013)</f>
        <v>28.492782309376</v>
      </c>
      <c r="S8013" s="50" t="n">
        <f aca="false">SUM(P8013:R8013)</f>
        <v>52.268053917184</v>
      </c>
    </row>
    <row r="8014" customFormat="false" ht="15" hidden="false" customHeight="false" outlineLevel="0" collapsed="false">
      <c r="A8014" s="4" t="s">
        <v>506</v>
      </c>
      <c r="B8014" s="36" t="s">
        <v>504</v>
      </c>
      <c r="C8014" s="48" t="n">
        <f aca="false">C8011*Assumptions!$E$30</f>
        <v>3</v>
      </c>
      <c r="D8014" s="48" t="n">
        <f aca="false">D8011*Assumptions!$E$30</f>
        <v>4.5</v>
      </c>
      <c r="E8014" s="48" t="n">
        <f aca="false">E8011*Assumptions!$E$30</f>
        <v>6</v>
      </c>
      <c r="F8014" s="48" t="n">
        <f aca="false">F8011*Assumptions!$E$30</f>
        <v>7.5</v>
      </c>
      <c r="G8014" s="48" t="n">
        <f aca="false">G8011*Assumptions!$E$30</f>
        <v>9</v>
      </c>
      <c r="H8014" s="48" t="n">
        <f aca="false">H8011*Assumptions!$E$30</f>
        <v>10.5</v>
      </c>
      <c r="I8014" s="48" t="n">
        <f aca="false">I8011*Assumptions!$E$30</f>
        <v>12</v>
      </c>
      <c r="J8014" s="48" t="n">
        <f aca="false">J8011*Assumptions!$E$30</f>
        <v>13.5</v>
      </c>
      <c r="K8014" s="48" t="n">
        <f aca="false">K8011*Assumptions!$E$30</f>
        <v>15</v>
      </c>
      <c r="L8014" s="48" t="n">
        <f aca="false">L8011*Assumptions!$E$30</f>
        <v>15</v>
      </c>
      <c r="M8014" s="48" t="n">
        <f aca="false">M8011*Assumptions!$E$30</f>
        <v>15</v>
      </c>
      <c r="N8014" s="48" t="n">
        <f aca="false">N8011*Assumptions!$E$30</f>
        <v>15</v>
      </c>
      <c r="P8014" s="49" t="n">
        <f aca="false">SUM(C8014:F8014)</f>
        <v>21</v>
      </c>
      <c r="Q8014" s="49" t="n">
        <f aca="false">SUM(G8014:J8014)</f>
        <v>45</v>
      </c>
      <c r="R8014" s="49" t="n">
        <f aca="false">SUM(K8014:N8014)</f>
        <v>60</v>
      </c>
      <c r="S8014" s="50" t="n">
        <f aca="false">SUM(P8014:R8014)</f>
        <v>126</v>
      </c>
    </row>
    <row r="8015" customFormat="false" ht="15" hidden="false" customHeight="false" outlineLevel="0" collapsed="false">
      <c r="A8015" s="9" t="s">
        <v>507</v>
      </c>
      <c r="B8015" s="36" t="s">
        <v>504</v>
      </c>
      <c r="C8015" s="49" t="n">
        <f aca="false">C8012+C8013+C8014</f>
        <v>6.532081430528</v>
      </c>
      <c r="D8015" s="49" t="n">
        <f aca="false">D8012+D8013+D8014</f>
        <v>11.1964989282545</v>
      </c>
      <c r="E8015" s="49" t="n">
        <f aca="false">E8012+E8013+E8014</f>
        <v>12.3543490858728</v>
      </c>
      <c r="F8015" s="49" t="n">
        <f aca="false">F8012+F8013+F8014</f>
        <v>13.5359427800114</v>
      </c>
      <c r="G8015" s="49" t="n">
        <f aca="false">G8012+G8013+G8014</f>
        <v>17.233866274816</v>
      </c>
      <c r="H8015" s="49" t="n">
        <f aca="false">H8012+H8013+H8014</f>
        <v>20.6927207008123</v>
      </c>
      <c r="I8015" s="49" t="n">
        <f aca="false">I8012+I8013+I8014</f>
        <v>29.9145696880692</v>
      </c>
      <c r="J8015" s="49" t="n">
        <f aca="false">J8012+J8013+J8014</f>
        <v>38.3153432186007</v>
      </c>
      <c r="K8015" s="49" t="n">
        <f aca="false">K8012+K8013+K8014</f>
        <v>38.5875941402492</v>
      </c>
      <c r="L8015" s="49" t="n">
        <f aca="false">L8012+L8013+L8014</f>
        <v>37.4450448821772</v>
      </c>
      <c r="M8015" s="49" t="n">
        <f aca="false">M8012+M8013+M8014</f>
        <v>36.3817829908519</v>
      </c>
      <c r="N8015" s="49" t="n">
        <f aca="false">N8012+N8013+N8014</f>
        <v>35.3923063082865</v>
      </c>
      <c r="P8015" s="49" t="n">
        <f aca="false">SUM(C8015:F8015)</f>
        <v>43.6188722246667</v>
      </c>
      <c r="Q8015" s="49" t="n">
        <f aca="false">SUM(G8015:J8015)</f>
        <v>106.156499882298</v>
      </c>
      <c r="R8015" s="49" t="n">
        <f aca="false">SUM(K8015:N8015)</f>
        <v>147.806728321565</v>
      </c>
      <c r="S8015" s="50" t="n">
        <f aca="false">SUM(P8015:R8015)</f>
        <v>297.58210042853</v>
      </c>
    </row>
    <row r="8016" customFormat="false" ht="15" hidden="false" customHeight="false" outlineLevel="0" collapsed="false">
      <c r="A8016" s="4" t="s">
        <v>508</v>
      </c>
      <c r="B8016" s="36" t="s">
        <v>509</v>
      </c>
      <c r="C8016" s="48" t="n">
        <f aca="false">C7998</f>
        <v>421.51972352</v>
      </c>
      <c r="D8016" s="48" t="n">
        <f aca="false">D7998</f>
        <v>843.03944704</v>
      </c>
      <c r="E8016" s="48" t="n">
        <f aca="false">E7998</f>
        <v>843.03944704</v>
      </c>
      <c r="F8016" s="48" t="n">
        <f aca="false">F7998</f>
        <v>843.03944704</v>
      </c>
      <c r="G8016" s="48" t="n">
        <f aca="false">G7998</f>
        <v>1149.32798176</v>
      </c>
      <c r="H8016" s="48" t="n">
        <f aca="false">H7998</f>
        <v>1455.61651648</v>
      </c>
      <c r="I8016" s="48" t="n">
        <f aca="false">I7998</f>
        <v>2486.00303616</v>
      </c>
      <c r="J8016" s="48" t="n">
        <f aca="false">J7998</f>
        <v>3516.38955584</v>
      </c>
      <c r="K8016" s="48" t="n">
        <f aca="false">K7998</f>
        <v>3516.38955584</v>
      </c>
      <c r="L8016" s="48" t="n">
        <f aca="false">L7998</f>
        <v>3516.38955584</v>
      </c>
      <c r="M8016" s="48" t="n">
        <f aca="false">M7998</f>
        <v>3516.38955584</v>
      </c>
      <c r="N8016" s="48" t="n">
        <f aca="false">N7998</f>
        <v>3516.38955584</v>
      </c>
      <c r="P8016" s="49"/>
      <c r="Q8016" s="49"/>
      <c r="R8016" s="49"/>
      <c r="S8016" s="50"/>
    </row>
    <row r="8017" customFormat="false" ht="15" hidden="false" customHeight="false" outlineLevel="0" collapsed="false">
      <c r="A8017" s="4" t="s">
        <v>510</v>
      </c>
      <c r="B8017" s="36" t="s">
        <v>509</v>
      </c>
      <c r="C8017" s="48" t="n">
        <f aca="false">C7999*Assumptions!$E$18*Assumptions!$E$33</f>
        <v>211.19616</v>
      </c>
      <c r="D8017" s="48" t="n">
        <f aca="false">D7999*Assumptions!$E$18*Assumptions!$E$33</f>
        <v>422.39232</v>
      </c>
      <c r="E8017" s="48" t="n">
        <f aca="false">E7999*Assumptions!$E$18*Assumptions!$E$33</f>
        <v>422.39232</v>
      </c>
      <c r="F8017" s="48" t="n">
        <f aca="false">F7999*Assumptions!$E$18*Assumptions!$E$33</f>
        <v>422.39232</v>
      </c>
      <c r="G8017" s="48" t="n">
        <f aca="false">G7999*Assumptions!$E$18*Assumptions!$E$33</f>
        <v>564.49344</v>
      </c>
      <c r="H8017" s="48" t="n">
        <f aca="false">H7999*Assumptions!$E$18*Assumptions!$E$33</f>
        <v>706.59456</v>
      </c>
      <c r="I8017" s="48" t="n">
        <f aca="false">I7999*Assumptions!$E$18*Assumptions!$E$33</f>
        <v>1135.07072</v>
      </c>
      <c r="J8017" s="48" t="n">
        <f aca="false">J7999*Assumptions!$E$18*Assumptions!$E$33</f>
        <v>1563.54688</v>
      </c>
      <c r="K8017" s="48" t="n">
        <f aca="false">K7999*Assumptions!$E$18*Assumptions!$E$33</f>
        <v>1563.54688</v>
      </c>
      <c r="L8017" s="48" t="n">
        <f aca="false">L7999*Assumptions!$E$18*Assumptions!$E$33</f>
        <v>1563.54688</v>
      </c>
      <c r="M8017" s="48" t="n">
        <f aca="false">M7999*Assumptions!$E$18*Assumptions!$E$33</f>
        <v>1563.54688</v>
      </c>
      <c r="N8017" s="48" t="n">
        <f aca="false">N7999*Assumptions!$E$18*Assumptions!$E$33</f>
        <v>1563.54688</v>
      </c>
      <c r="P8017" s="49"/>
      <c r="Q8017" s="49"/>
      <c r="R8017" s="49"/>
      <c r="S8017" s="50"/>
    </row>
    <row r="8018" customFormat="false" ht="15" hidden="false" customHeight="false" outlineLevel="0" collapsed="false">
      <c r="A8018" s="4" t="s">
        <v>511</v>
      </c>
      <c r="B8018" s="36" t="s">
        <v>509</v>
      </c>
      <c r="C8018" s="48" t="n">
        <f aca="false">C8000*Assumptions!$E$19*Assumptions!$E$34</f>
        <v>34.677888</v>
      </c>
      <c r="D8018" s="48" t="n">
        <f aca="false">D8000*Assumptions!$E$19*Assumptions!$E$34</f>
        <v>69.355776</v>
      </c>
      <c r="E8018" s="48" t="n">
        <f aca="false">E8000*Assumptions!$E$19*Assumptions!$E$34</f>
        <v>69.355776</v>
      </c>
      <c r="F8018" s="48" t="n">
        <f aca="false">F8000*Assumptions!$E$19*Assumptions!$E$34</f>
        <v>69.355776</v>
      </c>
      <c r="G8018" s="48" t="n">
        <f aca="false">G8000*Assumptions!$E$19*Assumptions!$E$34</f>
        <v>86.69472</v>
      </c>
      <c r="H8018" s="48" t="n">
        <f aca="false">H8000*Assumptions!$E$19*Assumptions!$E$34</f>
        <v>104.033664</v>
      </c>
      <c r="I8018" s="48" t="n">
        <f aca="false">I8000*Assumptions!$E$19*Assumptions!$E$34</f>
        <v>159.7008</v>
      </c>
      <c r="J8018" s="48" t="n">
        <f aca="false">J8000*Assumptions!$E$19*Assumptions!$E$34</f>
        <v>215.367936</v>
      </c>
      <c r="K8018" s="48" t="n">
        <f aca="false">K8000*Assumptions!$E$19*Assumptions!$E$34</f>
        <v>215.367936</v>
      </c>
      <c r="L8018" s="48" t="n">
        <f aca="false">L8000*Assumptions!$E$19*Assumptions!$E$34</f>
        <v>215.367936</v>
      </c>
      <c r="M8018" s="48" t="n">
        <f aca="false">M8000*Assumptions!$E$19*Assumptions!$E$34</f>
        <v>215.367936</v>
      </c>
      <c r="N8018" s="48" t="n">
        <f aca="false">N8000*Assumptions!$E$19*Assumptions!$E$34</f>
        <v>215.367936</v>
      </c>
      <c r="P8018" s="49"/>
      <c r="Q8018" s="49"/>
      <c r="R8018" s="49"/>
      <c r="S8018" s="50"/>
    </row>
    <row r="8019" customFormat="false" ht="15" hidden="false" customHeight="false" outlineLevel="0" collapsed="false">
      <c r="A8019" s="4" t="s">
        <v>512</v>
      </c>
      <c r="B8019" s="36" t="s">
        <v>77</v>
      </c>
      <c r="C8019" s="51" t="n">
        <f aca="false">IFERROR(C8016/(C8016+C8017+C8018),0)</f>
        <v>0.631590736245533</v>
      </c>
      <c r="D8019" s="51" t="n">
        <f aca="false">IFERROR(D8016/(D8016+D8017+D8018),0)</f>
        <v>0.631590736245533</v>
      </c>
      <c r="E8019" s="51" t="n">
        <f aca="false">IFERROR(E8016/(E8016+E8017+E8018),0)</f>
        <v>0.631590736245533</v>
      </c>
      <c r="F8019" s="51" t="n">
        <f aca="false">IFERROR(F8016/(F8016+F8017+F8018),0)</f>
        <v>0.631590736245533</v>
      </c>
      <c r="G8019" s="51" t="n">
        <f aca="false">IFERROR(G8016/(G8016+G8017+G8018),0)</f>
        <v>0.638332506498128</v>
      </c>
      <c r="H8019" s="51" t="n">
        <f aca="false">IFERROR(H8016/(H8016+H8017+H8018),0)</f>
        <v>0.642303318118984</v>
      </c>
      <c r="I8019" s="51" t="n">
        <f aca="false">IFERROR(I8016/(I8016+I8017+I8018),0)</f>
        <v>0.657538025405288</v>
      </c>
      <c r="J8019" s="51" t="n">
        <f aca="false">IFERROR(J8016/(J8016+J8017+J8018),0)</f>
        <v>0.664058061428891</v>
      </c>
      <c r="K8019" s="51" t="n">
        <f aca="false">IFERROR(K8016/(K8016+K8017+K8018),0)</f>
        <v>0.664058061428891</v>
      </c>
      <c r="L8019" s="51" t="n">
        <f aca="false">IFERROR(L8016/(L8016+L8017+L8018),0)</f>
        <v>0.664058061428891</v>
      </c>
      <c r="M8019" s="51" t="n">
        <f aca="false">IFERROR(M8016/(M8016+M8017+M8018),0)</f>
        <v>0.664058061428891</v>
      </c>
      <c r="N8019" s="51" t="n">
        <f aca="false">IFERROR(N8016/(N8016+N8017+N8018),0)</f>
        <v>0.664058061428891</v>
      </c>
      <c r="P8019" s="52"/>
      <c r="Q8019" s="52"/>
      <c r="R8019" s="52"/>
      <c r="S8019" s="53"/>
    </row>
    <row r="8020" customFormat="false" ht="15" hidden="false" customHeight="false" outlineLevel="0" collapsed="false">
      <c r="A8020" s="4" t="s">
        <v>513</v>
      </c>
      <c r="B8020" s="36" t="s">
        <v>77</v>
      </c>
      <c r="C8020" s="51" t="n">
        <f aca="false">IFERROR(C8017/(C8016+C8017+C8018),0)</f>
        <v>0.316449102482628</v>
      </c>
      <c r="D8020" s="51" t="n">
        <f aca="false">IFERROR(D8017/(D8016+D8017+D8018),0)</f>
        <v>0.316449102482628</v>
      </c>
      <c r="E8020" s="51" t="n">
        <f aca="false">IFERROR(E8017/(E8016+E8017+E8018),0)</f>
        <v>0.316449102482628</v>
      </c>
      <c r="F8020" s="51" t="n">
        <f aca="false">IFERROR(F8017/(F8016+F8017+F8018),0)</f>
        <v>0.316449102482628</v>
      </c>
      <c r="G8020" s="51" t="n">
        <f aca="false">IFERROR(G8017/(G8016+G8017+G8018),0)</f>
        <v>0.313517566939561</v>
      </c>
      <c r="H8020" s="51" t="n">
        <f aca="false">IFERROR(H8017/(H8016+H8017+H8018),0)</f>
        <v>0.311790932099567</v>
      </c>
      <c r="I8020" s="51" t="n">
        <f aca="false">IFERROR(I8017/(I8016+I8017+I8018),0)</f>
        <v>0.300221741111391</v>
      </c>
      <c r="J8020" s="51" t="n">
        <f aca="false">IFERROR(J8017/(J8016+J8017+J8018),0)</f>
        <v>0.295270445324128</v>
      </c>
      <c r="K8020" s="51" t="n">
        <f aca="false">IFERROR(K8017/(K8016+K8017+K8018),0)</f>
        <v>0.295270445324128</v>
      </c>
      <c r="L8020" s="51" t="n">
        <f aca="false">IFERROR(L8017/(L8016+L8017+L8018),0)</f>
        <v>0.295270445324128</v>
      </c>
      <c r="M8020" s="51" t="n">
        <f aca="false">IFERROR(M8017/(M8016+M8017+M8018),0)</f>
        <v>0.295270445324128</v>
      </c>
      <c r="N8020" s="51" t="n">
        <f aca="false">IFERROR(N8017/(N8016+N8017+N8018),0)</f>
        <v>0.295270445324128</v>
      </c>
      <c r="P8020" s="52"/>
      <c r="Q8020" s="52"/>
      <c r="R8020" s="52"/>
      <c r="S8020" s="53"/>
    </row>
    <row r="8021" customFormat="false" ht="15" hidden="false" customHeight="false" outlineLevel="0" collapsed="false">
      <c r="A8021" s="4" t="s">
        <v>514</v>
      </c>
      <c r="B8021" s="36" t="s">
        <v>77</v>
      </c>
      <c r="C8021" s="51" t="n">
        <f aca="false">IFERROR(C8018/(C8016+C8017+C8018),0)</f>
        <v>0.0519601612718389</v>
      </c>
      <c r="D8021" s="51" t="n">
        <f aca="false">IFERROR(D8018/(D8016+D8017+D8018),0)</f>
        <v>0.0519601612718389</v>
      </c>
      <c r="E8021" s="51" t="n">
        <f aca="false">IFERROR(E8018/(E8016+E8017+E8018),0)</f>
        <v>0.0519601612718389</v>
      </c>
      <c r="F8021" s="51" t="n">
        <f aca="false">IFERROR(F8018/(F8016+F8017+F8018),0)</f>
        <v>0.0519601612718389</v>
      </c>
      <c r="G8021" s="51" t="n">
        <f aca="false">IFERROR(G8018/(G8016+G8017+G8018),0)</f>
        <v>0.0481499265623113</v>
      </c>
      <c r="H8021" s="51" t="n">
        <f aca="false">IFERROR(H8018/(H8016+H8017+H8018),0)</f>
        <v>0.0459057497814491</v>
      </c>
      <c r="I8021" s="51" t="n">
        <f aca="false">IFERROR(I8018/(I8016+I8017+I8018),0)</f>
        <v>0.0422402334833216</v>
      </c>
      <c r="J8021" s="51" t="n">
        <f aca="false">IFERROR(J8018/(J8016+J8017+J8018),0)</f>
        <v>0.0406714932469811</v>
      </c>
      <c r="K8021" s="51" t="n">
        <f aca="false">IFERROR(K8018/(K8016+K8017+K8018),0)</f>
        <v>0.0406714932469811</v>
      </c>
      <c r="L8021" s="51" t="n">
        <f aca="false">IFERROR(L8018/(L8016+L8017+L8018),0)</f>
        <v>0.0406714932469811</v>
      </c>
      <c r="M8021" s="51" t="n">
        <f aca="false">IFERROR(M8018/(M8016+M8017+M8018),0)</f>
        <v>0.0406714932469811</v>
      </c>
      <c r="N8021" s="51" t="n">
        <f aca="false">IFERROR(N8018/(N8016+N8017+N8018),0)</f>
        <v>0.0406714932469811</v>
      </c>
      <c r="P8021" s="52"/>
      <c r="Q8021" s="52"/>
      <c r="R8021" s="52"/>
      <c r="S8021" s="53"/>
    </row>
    <row r="8022" customFormat="false" ht="15" hidden="false" customHeight="false" outlineLevel="0" collapsed="false">
      <c r="A8022" s="4" t="s">
        <v>515</v>
      </c>
      <c r="B8022" s="36" t="s">
        <v>516</v>
      </c>
      <c r="C8022" s="48" t="n">
        <f aca="false">IF(C7990-Assumptions!$E$35&lt;1,0,INDEX($C$8015:$N$8015,1,C7990-Assumptions!$E$35)*INDEX($C$8019:$N$8019,1,C7990-Assumptions!$E$35)*Assumptions!$E$32)</f>
        <v>0</v>
      </c>
      <c r="D8022" s="48" t="n">
        <f aca="false">IF(D7990-Assumptions!$E$35&lt;1,0,INDEX($C$8015:$N$8015,1,D7990-Assumptions!$E$35)*INDEX($C$8019:$N$8019,1,D7990-Assumptions!$E$35)*Assumptions!$E$32)</f>
        <v>0.866376445183821</v>
      </c>
      <c r="E8022" s="48" t="n">
        <f aca="false">IF(E7990-Assumptions!$E$35&lt;1,0,INDEX($C$8015:$N$8015,1,E7990-Assumptions!$E$35)*INDEX($C$8019:$N$8019,1,E7990-Assumptions!$E$35)*Assumptions!$E$32)</f>
        <v>1.4850370503084</v>
      </c>
      <c r="F8022" s="48" t="n">
        <f aca="false">IF(F7990-Assumptions!$E$35&lt;1,0,INDEX($C$8015:$N$8015,1,F7990-Assumptions!$E$35)*INDEX($C$8019:$N$8019,1,F7990-Assumptions!$E$35)*Assumptions!$E$32)</f>
        <v>1.63860741134595</v>
      </c>
      <c r="G8022" s="48" t="n">
        <f aca="false">IF(G7990-Assumptions!$E$35&lt;1,0,INDEX($C$8015:$N$8015,1,G7990-Assumptions!$E$35)*INDEX($C$8019:$N$8019,1,G7990-Assumptions!$E$35)*Assumptions!$E$32)</f>
        <v>1.79532697390301</v>
      </c>
      <c r="H8022" s="48" t="n">
        <f aca="false">IF(H7990-Assumptions!$E$35&lt;1,0,INDEX($C$8015:$N$8015,1,H7990-Assumptions!$E$35)*INDEX($C$8019:$N$8019,1,H7990-Assumptions!$E$35)*Assumptions!$E$32)</f>
        <v>2.31019678172994</v>
      </c>
      <c r="I8022" s="48" t="n">
        <f aca="false">IF(I7990-Assumptions!$E$35&lt;1,0,INDEX($C$8015:$N$8015,1,I7990-Assumptions!$E$35)*INDEX($C$8019:$N$8019,1,I7990-Assumptions!$E$35)*Assumptions!$E$32)</f>
        <v>2.79111066507864</v>
      </c>
      <c r="J8022" s="48" t="n">
        <f aca="false">IF(J7990-Assumptions!$E$35&lt;1,0,INDEX($C$8015:$N$8015,1,J7990-Assumptions!$E$35)*INDEX($C$8019:$N$8019,1,J7990-Assumptions!$E$35)*Assumptions!$E$32)</f>
        <v>4.1306930875438</v>
      </c>
      <c r="K8022" s="48" t="n">
        <f aca="false">IF(K7990-Assumptions!$E$35&lt;1,0,INDEX($C$8015:$N$8015,1,K7990-Assumptions!$E$35)*INDEX($C$8019:$N$8019,1,K7990-Assumptions!$E$35)*Assumptions!$E$32)</f>
        <v>5.34315863355258</v>
      </c>
      <c r="L8022" s="48" t="n">
        <f aca="false">IF(L7990-Assumptions!$E$35&lt;1,0,INDEX($C$8015:$N$8015,1,L7990-Assumptions!$E$35)*INDEX($C$8019:$N$8019,1,L7990-Assumptions!$E$35)*Assumptions!$E$32)</f>
        <v>5.38112462159553</v>
      </c>
      <c r="M8022" s="48" t="n">
        <f aca="false">IF(M7990-Assumptions!$E$35&lt;1,0,INDEX($C$8015:$N$8015,1,M7990-Assumptions!$E$35)*INDEX($C$8019:$N$8019,1,M7990-Assumptions!$E$35)*Assumptions!$E$32)</f>
        <v>5.22179362206104</v>
      </c>
      <c r="N8022" s="48" t="n">
        <f aca="false">IF(N7990-Assumptions!$E$35&lt;1,0,INDEX($C$8015:$N$8015,1,N7990-Assumptions!$E$35)*INDEX($C$8019:$N$8019,1,N7990-Assumptions!$E$35)*Assumptions!$E$32)</f>
        <v>5.07351941968866</v>
      </c>
      <c r="P8022" s="49" t="n">
        <f aca="false">SUM(C8022:F8022)</f>
        <v>3.99002090683817</v>
      </c>
      <c r="Q8022" s="49" t="n">
        <f aca="false">SUM(G8022:J8022)</f>
        <v>11.0273275082554</v>
      </c>
      <c r="R8022" s="49" t="n">
        <f aca="false">SUM(K8022:N8022)</f>
        <v>21.0195962968978</v>
      </c>
      <c r="S8022" s="50" t="n">
        <f aca="false">SUM(P8022:R8022)</f>
        <v>36.0369447119914</v>
      </c>
    </row>
    <row r="8023" customFormat="false" ht="15" hidden="false" customHeight="false" outlineLevel="0" collapsed="false">
      <c r="A8023" s="4" t="s">
        <v>517</v>
      </c>
      <c r="B8023" s="36" t="s">
        <v>516</v>
      </c>
      <c r="C8023" s="48" t="n">
        <f aca="false">IF(C7990-Assumptions!$E$35&lt;1,0,INDEX($C$8015:$N$8015,1,C7990-Assumptions!$E$35)*INDEX($C$8020:$N$8020,1,C7990-Assumptions!$E$35)*Assumptions!$E$32)</f>
        <v>0</v>
      </c>
      <c r="D8023" s="48" t="n">
        <f aca="false">IF(D7990-Assumptions!$E$35&lt;1,0,INDEX($C$8015:$N$8015,1,D7990-Assumptions!$E$35)*INDEX($C$8020:$N$8020,1,D7990-Assumptions!$E$35)*Assumptions!$E$32)</f>
        <v>0.434084974267145</v>
      </c>
      <c r="E8023" s="48" t="n">
        <f aca="false">IF(E7990-Assumptions!$E$35&lt;1,0,INDEX($C$8015:$N$8015,1,E7990-Assumptions!$E$35)*INDEX($C$8020:$N$8020,1,E7990-Assumptions!$E$35)*Assumptions!$E$32)</f>
        <v>0.744055627726705</v>
      </c>
      <c r="F8023" s="48" t="n">
        <f aca="false">IF(F7990-Assumptions!$E$35&lt;1,0,INDEX($C$8015:$N$8015,1,F7990-Assumptions!$E$35)*INDEX($C$8020:$N$8020,1,F7990-Assumptions!$E$35)*Assumptions!$E$32)</f>
        <v>0.820999762796119</v>
      </c>
      <c r="G8023" s="48" t="n">
        <f aca="false">IF(G7990-Assumptions!$E$35&lt;1,0,INDEX($C$8015:$N$8015,1,G7990-Assumptions!$E$35)*INDEX($C$8020:$N$8020,1,G7990-Assumptions!$E$35)*Assumptions!$E$32)</f>
        <v>0.89952175823807</v>
      </c>
      <c r="H8023" s="48" t="n">
        <f aca="false">IF(H7990-Assumptions!$E$35&lt;1,0,INDEX($C$8015:$N$8015,1,H7990-Assumptions!$E$35)*INDEX($C$8020:$N$8020,1,H7990-Assumptions!$E$35)*Assumptions!$E$32)</f>
        <v>1.13465516292283</v>
      </c>
      <c r="I8023" s="48" t="n">
        <f aca="false">IF(I7990-Assumptions!$E$35&lt;1,0,INDEX($C$8015:$N$8015,1,I7990-Assumptions!$E$35)*INDEX($C$8020:$N$8020,1,I7990-Assumptions!$E$35)*Assumptions!$E$32)</f>
        <v>1.35487856174628</v>
      </c>
      <c r="J8023" s="48" t="n">
        <f aca="false">IF(J7990-Assumptions!$E$35&lt;1,0,INDEX($C$8015:$N$8015,1,J7990-Assumptions!$E$35)*INDEX($C$8020:$N$8020,1,J7990-Assumptions!$E$35)*Assumptions!$E$32)</f>
        <v>1.88601088123353</v>
      </c>
      <c r="K8023" s="48" t="n">
        <f aca="false">IF(K7990-Assumptions!$E$35&lt;1,0,INDEX($C$8015:$N$8015,1,K7990-Assumptions!$E$35)*INDEX($C$8020:$N$8020,1,K7990-Assumptions!$E$35)*Assumptions!$E$32)</f>
        <v>2.37581157552964</v>
      </c>
      <c r="L8023" s="48" t="n">
        <f aca="false">IF(L7990-Assumptions!$E$35&lt;1,0,INDEX($C$8015:$N$8015,1,L7990-Assumptions!$E$35)*INDEX($C$8020:$N$8020,1,L7990-Assumptions!$E$35)*Assumptions!$E$32)</f>
        <v>2.3926929822134</v>
      </c>
      <c r="M8023" s="48" t="n">
        <f aca="false">IF(M7990-Assumptions!$E$35&lt;1,0,INDEX($C$8015:$N$8015,1,M7990-Assumptions!$E$35)*INDEX($C$8020:$N$8020,1,M7990-Assumptions!$E$35)*Assumptions!$E$32)</f>
        <v>2.32184716628391</v>
      </c>
      <c r="N8023" s="48" t="n">
        <f aca="false">IF(N7990-Assumptions!$E$35&lt;1,0,INDEX($C$8015:$N$8015,1,N7990-Assumptions!$E$35)*INDEX($C$8020:$N$8020,1,N7990-Assumptions!$E$35)*Assumptions!$E$32)</f>
        <v>2.25591770573287</v>
      </c>
      <c r="P8023" s="49" t="n">
        <f aca="false">SUM(C8023:F8023)</f>
        <v>1.99914036478997</v>
      </c>
      <c r="Q8023" s="49" t="n">
        <f aca="false">SUM(G8023:J8023)</f>
        <v>5.27506636414072</v>
      </c>
      <c r="R8023" s="49" t="n">
        <f aca="false">SUM(K8023:N8023)</f>
        <v>9.34626942975982</v>
      </c>
      <c r="S8023" s="50" t="n">
        <f aca="false">SUM(P8023:R8023)</f>
        <v>16.6204761586905</v>
      </c>
    </row>
    <row r="8024" customFormat="false" ht="15" hidden="false" customHeight="false" outlineLevel="0" collapsed="false">
      <c r="A8024" s="4" t="s">
        <v>518</v>
      </c>
      <c r="B8024" s="36" t="s">
        <v>516</v>
      </c>
      <c r="C8024" s="48" t="n">
        <f aca="false">IF(C7990-Assumptions!$E$36&lt;1,0,INDEX($C$8015:$N$8015,1,C7990-Assumptions!$E$36)*INDEX($C$8021:$N$8021,1,C7990-Assumptions!$E$36)*Assumptions!$E$32)</f>
        <v>0</v>
      </c>
      <c r="D8024" s="48" t="n">
        <f aca="false">IF(D7990-Assumptions!$E$36&lt;1,0,INDEX($C$8015:$N$8015,1,D7990-Assumptions!$E$36)*INDEX($C$8021:$N$8021,1,D7990-Assumptions!$E$36)*Assumptions!$E$32)</f>
        <v>0</v>
      </c>
      <c r="E8024" s="48" t="n">
        <f aca="false">IF(E7990-Assumptions!$E$36&lt;1,0,INDEX($C$8015:$N$8015,1,E7990-Assumptions!$E$36)*INDEX($C$8021:$N$8021,1,E7990-Assumptions!$E$36)*Assumptions!$E$32)</f>
        <v>0.071275680959914</v>
      </c>
      <c r="F8024" s="48" t="n">
        <f aca="false">IF(F7990-Assumptions!$E$36&lt;1,0,INDEX($C$8015:$N$8015,1,F7990-Assumptions!$E$36)*INDEX($C$8021:$N$8021,1,F7990-Assumptions!$E$36)*Assumptions!$E$32)</f>
        <v>0.122172096898336</v>
      </c>
      <c r="G8024" s="48" t="n">
        <f aca="false">IF(G7990-Assumptions!$E$36&lt;1,0,INDEX($C$8015:$N$8015,1,G7990-Assumptions!$E$36)*INDEX($C$8021:$N$8021,1,G7990-Assumptions!$E$36)*Assumptions!$E$32)</f>
        <v>0.134806133891215</v>
      </c>
      <c r="H8024" s="48" t="n">
        <f aca="false">IF(H7990-Assumptions!$E$36&lt;1,0,INDEX($C$8015:$N$8015,1,H7990-Assumptions!$E$36)*INDEX($C$8021:$N$8021,1,H7990-Assumptions!$E$36)*Assumptions!$E$32)</f>
        <v>0.147699251661313</v>
      </c>
      <c r="I8024" s="48" t="n">
        <f aca="false">IF(I7990-Assumptions!$E$36&lt;1,0,INDEX($C$8015:$N$8015,1,I7990-Assumptions!$E$36)*INDEX($C$8021:$N$8021,1,I7990-Assumptions!$E$36)*Assumptions!$E$32)</f>
        <v>0.174259973058587</v>
      </c>
      <c r="J8024" s="48" t="n">
        <f aca="false">IF(J7990-Assumptions!$E$36&lt;1,0,INDEX($C$8015:$N$8015,1,J7990-Assumptions!$E$36)*INDEX($C$8021:$N$8021,1,J7990-Assumptions!$E$36)*Assumptions!$E$32)</f>
        <v>0.19948212034567</v>
      </c>
      <c r="K8024" s="48" t="n">
        <f aca="false">IF(K7990-Assumptions!$E$36&lt;1,0,INDEX($C$8015:$N$8015,1,K7990-Assumptions!$E$36)*INDEX($C$8021:$N$8021,1,K7990-Assumptions!$E$36)*Assumptions!$E$32)</f>
        <v>0.265355665717199</v>
      </c>
      <c r="L8024" s="48" t="n">
        <f aca="false">IF(L7990-Assumptions!$E$36&lt;1,0,INDEX($C$8015:$N$8015,1,L7990-Assumptions!$E$36)*INDEX($C$8021:$N$8021,1,L7990-Assumptions!$E$36)*Assumptions!$E$32)</f>
        <v>0.327251866823927</v>
      </c>
      <c r="M8024" s="48" t="n">
        <f aca="false">IF(M7990-Assumptions!$E$36&lt;1,0,INDEX($C$8015:$N$8015,1,M7990-Assumptions!$E$36)*INDEX($C$8021:$N$8021,1,M7990-Assumptions!$E$36)*Assumptions!$E$32)</f>
        <v>0.329577165643402</v>
      </c>
      <c r="N8024" s="48" t="n">
        <f aca="false">IF(N7990-Assumptions!$E$36&lt;1,0,INDEX($C$8015:$N$8015,1,N7990-Assumptions!$E$36)*INDEX($C$8021:$N$8021,1,N7990-Assumptions!$E$36)*Assumptions!$E$32)</f>
        <v>0.319818636912259</v>
      </c>
      <c r="P8024" s="49" t="n">
        <f aca="false">SUM(C8024:F8024)</f>
        <v>0.19344777785825</v>
      </c>
      <c r="Q8024" s="49" t="n">
        <f aca="false">SUM(G8024:J8024)</f>
        <v>0.656247478956785</v>
      </c>
      <c r="R8024" s="49" t="n">
        <f aca="false">SUM(K8024:N8024)</f>
        <v>1.24200333509679</v>
      </c>
      <c r="S8024" s="50" t="n">
        <f aca="false">SUM(P8024:R8024)</f>
        <v>2.09169859191182</v>
      </c>
    </row>
    <row r="8025" customFormat="false" ht="15" hidden="false" customHeight="false" outlineLevel="0" collapsed="false">
      <c r="A8025" s="4" t="s">
        <v>519</v>
      </c>
      <c r="B8025" s="36" t="s">
        <v>77</v>
      </c>
      <c r="C8025" s="51" t="n">
        <f aca="false">IF(C7990-Assumptions!$E$35&lt;1,0,IFERROR(INDEX($C$8014:$N$8014,1,C7990-Assumptions!$E$35)/INDEX($C$8015:$N$8015,1,C7990-Assumptions!$E$35),0))</f>
        <v>0</v>
      </c>
      <c r="D8025" s="51" t="n">
        <f aca="false">IF(D7990-Assumptions!$E$35&lt;1,0,IFERROR(INDEX($C$8014:$N$8014,1,D7990-Assumptions!$E$35)/INDEX($C$8015:$N$8015,1,D7990-Assumptions!$E$35),0))</f>
        <v>0.459271678087073</v>
      </c>
      <c r="E8025" s="51" t="n">
        <f aca="false">IF(E7990-Assumptions!$E$35&lt;1,0,IFERROR(INDEX($C$8014:$N$8014,1,E7990-Assumptions!$E$35)/INDEX($C$8015:$N$8015,1,E7990-Assumptions!$E$35),0))</f>
        <v>0.401911350042128</v>
      </c>
      <c r="F8025" s="51" t="n">
        <f aca="false">IF(F7990-Assumptions!$E$35&lt;1,0,IFERROR(INDEX($C$8014:$N$8014,1,F7990-Assumptions!$E$35)/INDEX($C$8015:$N$8015,1,F7990-Assumptions!$E$35),0))</f>
        <v>0.485658933408398</v>
      </c>
      <c r="G8025" s="51" t="n">
        <f aca="false">IF(G7990-Assumptions!$E$35&lt;1,0,IFERROR(INDEX($C$8014:$N$8014,1,G7990-Assumptions!$E$35)/INDEX($C$8015:$N$8015,1,G7990-Assumptions!$E$35),0))</f>
        <v>0.554080356417826</v>
      </c>
      <c r="H8025" s="51" t="n">
        <f aca="false">IF(H7990-Assumptions!$E$35&lt;1,0,IFERROR(INDEX($C$8014:$N$8014,1,H7990-Assumptions!$E$35)/INDEX($C$8015:$N$8015,1,H7990-Assumptions!$E$35),0))</f>
        <v>0.522227563825987</v>
      </c>
      <c r="I8025" s="51" t="n">
        <f aca="false">IF(I7990-Assumptions!$E$35&lt;1,0,IFERROR(INDEX($C$8014:$N$8014,1,I7990-Assumptions!$E$35)/INDEX($C$8015:$N$8015,1,I7990-Assumptions!$E$35),0))</f>
        <v>0.507424816282752</v>
      </c>
      <c r="J8025" s="51" t="n">
        <f aca="false">IF(J7990-Assumptions!$E$35&lt;1,0,IFERROR(INDEX($C$8014:$N$8014,1,J7990-Assumptions!$E$35)/INDEX($C$8015:$N$8015,1,J7990-Assumptions!$E$35),0))</f>
        <v>0.401142323795015</v>
      </c>
      <c r="K8025" s="51" t="n">
        <f aca="false">IF(K7990-Assumptions!$E$35&lt;1,0,IFERROR(INDEX($C$8014:$N$8014,1,K7990-Assumptions!$E$35)/INDEX($C$8015:$N$8015,1,K7990-Assumptions!$E$35),0))</f>
        <v>0.352339268448632</v>
      </c>
      <c r="L8025" s="51" t="n">
        <f aca="false">IF(L7990-Assumptions!$E$35&lt;1,0,IFERROR(INDEX($C$8014:$N$8014,1,L7990-Assumptions!$E$35)/INDEX($C$8015:$N$8015,1,L7990-Assumptions!$E$35),0))</f>
        <v>0.388725970981282</v>
      </c>
      <c r="M8025" s="51" t="n">
        <f aca="false">IF(M7990-Assumptions!$E$35&lt;1,0,IFERROR(INDEX($C$8014:$N$8014,1,M7990-Assumptions!$E$35)/INDEX($C$8015:$N$8015,1,M7990-Assumptions!$E$35),0))</f>
        <v>0.400587048224893</v>
      </c>
      <c r="N8025" s="51" t="n">
        <f aca="false">IF(N7990-Assumptions!$E$35&lt;1,0,IFERROR(INDEX($C$8014:$N$8014,1,N7990-Assumptions!$E$35)/INDEX($C$8015:$N$8015,1,N7990-Assumptions!$E$35),0))</f>
        <v>0.412294251872474</v>
      </c>
      <c r="P8025" s="52"/>
      <c r="Q8025" s="52"/>
      <c r="R8025" s="52"/>
      <c r="S8025" s="53"/>
    </row>
    <row r="8026" customFormat="false" ht="15" hidden="false" customHeight="false" outlineLevel="0" collapsed="false">
      <c r="A8026" s="4" t="s">
        <v>520</v>
      </c>
      <c r="B8026" s="36" t="s">
        <v>516</v>
      </c>
      <c r="C8026" s="48" t="n">
        <f aca="false">C8022*Assumptions!$E$37</f>
        <v>0</v>
      </c>
      <c r="D8026" s="48" t="n">
        <f aca="false">D8022*Assumptions!$E$37</f>
        <v>0.259912933555146</v>
      </c>
      <c r="E8026" s="48" t="n">
        <f aca="false">E8022*Assumptions!$E$37</f>
        <v>0.44551111509252</v>
      </c>
      <c r="F8026" s="48" t="n">
        <f aca="false">F8022*Assumptions!$E$37</f>
        <v>0.491582223403786</v>
      </c>
      <c r="G8026" s="48" t="n">
        <f aca="false">G8022*Assumptions!$E$37</f>
        <v>0.538598092170902</v>
      </c>
      <c r="H8026" s="48" t="n">
        <f aca="false">H8022*Assumptions!$E$37</f>
        <v>0.693059034518982</v>
      </c>
      <c r="I8026" s="48" t="n">
        <f aca="false">I8022*Assumptions!$E$37</f>
        <v>0.837333199523593</v>
      </c>
      <c r="J8026" s="48" t="n">
        <f aca="false">J8022*Assumptions!$E$37</f>
        <v>1.23920792626314</v>
      </c>
      <c r="K8026" s="48" t="n">
        <f aca="false">K8022*Assumptions!$E$37</f>
        <v>1.60294759006577</v>
      </c>
      <c r="L8026" s="48" t="n">
        <f aca="false">L8022*Assumptions!$E$37</f>
        <v>1.61433738647866</v>
      </c>
      <c r="M8026" s="48" t="n">
        <f aca="false">M8022*Assumptions!$E$37</f>
        <v>1.56653808661831</v>
      </c>
      <c r="N8026" s="48" t="n">
        <f aca="false">N8022*Assumptions!$E$37</f>
        <v>1.5220558259066</v>
      </c>
      <c r="P8026" s="49" t="n">
        <f aca="false">SUM(C8026:F8026)</f>
        <v>1.19700627205145</v>
      </c>
      <c r="Q8026" s="49" t="n">
        <f aca="false">SUM(G8026:J8026)</f>
        <v>3.30819825247662</v>
      </c>
      <c r="R8026" s="49" t="n">
        <f aca="false">SUM(K8026:N8026)</f>
        <v>6.30587888906934</v>
      </c>
      <c r="S8026" s="50" t="n">
        <f aca="false">SUM(P8026:R8026)</f>
        <v>10.8110834135974</v>
      </c>
    </row>
    <row r="8027" customFormat="false" ht="15" hidden="false" customHeight="false" outlineLevel="0" collapsed="false">
      <c r="A8027" s="4" t="s">
        <v>521</v>
      </c>
      <c r="B8027" s="36" t="s">
        <v>516</v>
      </c>
      <c r="C8027" s="48" t="n">
        <f aca="false">C8022*(1-Assumptions!$E$37)</f>
        <v>0</v>
      </c>
      <c r="D8027" s="48" t="n">
        <f aca="false">D8022*(1-Assumptions!$E$37)</f>
        <v>0.606463511628675</v>
      </c>
      <c r="E8027" s="48" t="n">
        <f aca="false">E8022*(1-Assumptions!$E$37)</f>
        <v>1.03952593521588</v>
      </c>
      <c r="F8027" s="48" t="n">
        <f aca="false">F8022*(1-Assumptions!$E$37)</f>
        <v>1.14702518794217</v>
      </c>
      <c r="G8027" s="48" t="n">
        <f aca="false">G8022*(1-Assumptions!$E$37)</f>
        <v>1.25672888173211</v>
      </c>
      <c r="H8027" s="48" t="n">
        <f aca="false">H8022*(1-Assumptions!$E$37)</f>
        <v>1.61713774721096</v>
      </c>
      <c r="I8027" s="48" t="n">
        <f aca="false">I8022*(1-Assumptions!$E$37)</f>
        <v>1.95377746555505</v>
      </c>
      <c r="J8027" s="48" t="n">
        <f aca="false">J8022*(1-Assumptions!$E$37)</f>
        <v>2.89148516128066</v>
      </c>
      <c r="K8027" s="48" t="n">
        <f aca="false">K8022*(1-Assumptions!$E$37)</f>
        <v>3.7402110434868</v>
      </c>
      <c r="L8027" s="48" t="n">
        <f aca="false">L8022*(1-Assumptions!$E$37)</f>
        <v>3.76678723511687</v>
      </c>
      <c r="M8027" s="48" t="n">
        <f aca="false">M8022*(1-Assumptions!$E$37)</f>
        <v>3.65525553544273</v>
      </c>
      <c r="N8027" s="48" t="n">
        <f aca="false">N8022*(1-Assumptions!$E$37)</f>
        <v>3.55146359378206</v>
      </c>
      <c r="P8027" s="49" t="n">
        <f aca="false">SUM(C8027:F8027)</f>
        <v>2.79301463478672</v>
      </c>
      <c r="Q8027" s="49" t="n">
        <f aca="false">SUM(G8027:J8027)</f>
        <v>7.71912925577877</v>
      </c>
      <c r="R8027" s="49" t="n">
        <f aca="false">SUM(K8027:N8027)</f>
        <v>14.7137174078285</v>
      </c>
      <c r="S8027" s="50" t="n">
        <f aca="false">SUM(P8027:R8027)</f>
        <v>25.225861298394</v>
      </c>
    </row>
    <row r="8028" customFormat="false" ht="15" hidden="false" customHeight="false" outlineLevel="0" collapsed="false">
      <c r="A8028" s="4" t="s">
        <v>522</v>
      </c>
      <c r="B8028" s="36" t="s">
        <v>125</v>
      </c>
      <c r="C8028" s="54" t="n">
        <f aca="false">C8027*$C$7981+C8023*$C$7982+C8024*$C$7983</f>
        <v>0</v>
      </c>
      <c r="D8028" s="54" t="n">
        <f aca="false">D8027*$C$7981+D8023*$C$7982+D8024*$C$7983</f>
        <v>7485.37917000042</v>
      </c>
      <c r="E8028" s="54" t="n">
        <f aca="false">E8027*$C$7981+E8023*$C$7982+E8024*$C$7983</f>
        <v>17233.8131620616</v>
      </c>
      <c r="F8028" s="54" t="n">
        <f aca="false">F8027*$C$7981+F8023*$C$7982+F8024*$C$7983</f>
        <v>21704.9328199195</v>
      </c>
      <c r="G8028" s="54" t="n">
        <f aca="false">G8027*$C$7981+G8023*$C$7982+G8024*$C$7983</f>
        <v>23839.4781169478</v>
      </c>
      <c r="H8028" s="54" t="n">
        <f aca="false">H8027*$C$7981+H8023*$C$7982+H8024*$C$7983</f>
        <v>28861.3828545359</v>
      </c>
      <c r="I8028" s="54" t="n">
        <f aca="false">I8027*$C$7981+I8023*$C$7982+I8024*$C$7983</f>
        <v>34454.8139810786</v>
      </c>
      <c r="J8028" s="54" t="n">
        <f aca="false">J8027*$C$7981+J8023*$C$7982+J8024*$C$7983</f>
        <v>46219.0265618748</v>
      </c>
      <c r="K8028" s="54" t="n">
        <f aca="false">K8027*$C$7981+K8023*$C$7982+K8024*$C$7983</f>
        <v>59614.7065475457</v>
      </c>
      <c r="L8028" s="54" t="n">
        <f aca="false">L8027*$C$7981+L8023*$C$7982+L8024*$C$7983</f>
        <v>63745.6576705911</v>
      </c>
      <c r="M8028" s="54" t="n">
        <f aca="false">M8027*$C$7981+M8023*$C$7982+M8024*$C$7983</f>
        <v>62600.461663715</v>
      </c>
      <c r="N8028" s="54" t="n">
        <f aca="false">N8027*$C$7981+N8023*$C$7982+N8024*$C$7983</f>
        <v>60798.1877142281</v>
      </c>
      <c r="P8028" s="55" t="n">
        <f aca="false">SUM(C8028:F8028)</f>
        <v>46424.1251519815</v>
      </c>
      <c r="Q8028" s="55" t="n">
        <f aca="false">SUM(G8028:J8028)</f>
        <v>133374.701514437</v>
      </c>
      <c r="R8028" s="55" t="n">
        <f aca="false">SUM(K8028:N8028)</f>
        <v>246759.01359608</v>
      </c>
      <c r="S8028" s="56" t="n">
        <f aca="false">SUM(P8028:R8028)</f>
        <v>426557.840262498</v>
      </c>
    </row>
    <row r="8029" customFormat="false" ht="15" hidden="false" customHeight="false" outlineLevel="0" collapsed="false">
      <c r="A8029" s="4" t="s">
        <v>523</v>
      </c>
      <c r="B8029" s="36" t="s">
        <v>125</v>
      </c>
      <c r="C8029" s="54" t="n">
        <f aca="false">(C8005+Assumptions!$D$104*C7991)*$C$7986</f>
        <v>306250</v>
      </c>
      <c r="D8029" s="54" t="n">
        <f aca="false">(D8005+Assumptions!$D$104*D7991)*$C$7986</f>
        <v>306250</v>
      </c>
      <c r="E8029" s="54" t="n">
        <f aca="false">(E8005+Assumptions!$D$104*E7991)*$C$7986</f>
        <v>306250</v>
      </c>
      <c r="F8029" s="54" t="n">
        <f aca="false">(F8005+Assumptions!$D$104*F7991)*$C$7986</f>
        <v>306250</v>
      </c>
      <c r="G8029" s="54" t="n">
        <f aca="false">(G8005+Assumptions!$D$104*G7991)*$C$7986</f>
        <v>306250</v>
      </c>
      <c r="H8029" s="54" t="n">
        <f aca="false">(H8005+Assumptions!$D$104*H7991)*$C$7986</f>
        <v>306250</v>
      </c>
      <c r="I8029" s="54" t="n">
        <f aca="false">(I8005+Assumptions!$D$104*I7991)*$C$7986</f>
        <v>306250</v>
      </c>
      <c r="J8029" s="54" t="n">
        <f aca="false">(J8005+Assumptions!$D$104*J7991)*$C$7986</f>
        <v>306250</v>
      </c>
      <c r="K8029" s="54" t="n">
        <f aca="false">(K8005+Assumptions!$D$104*K7991)*$C$7986</f>
        <v>306250</v>
      </c>
      <c r="L8029" s="54" t="n">
        <f aca="false">(L8005+Assumptions!$D$104*L7991)*$C$7986</f>
        <v>306250</v>
      </c>
      <c r="M8029" s="54" t="n">
        <f aca="false">(M8005+Assumptions!$D$104*M7991)*$C$7986</f>
        <v>306250</v>
      </c>
      <c r="N8029" s="54" t="n">
        <f aca="false">(N8005+Assumptions!$D$104*N7991)*$C$7986</f>
        <v>306250</v>
      </c>
      <c r="P8029" s="55" t="n">
        <f aca="false">SUM(C8029:F8029)</f>
        <v>1225000</v>
      </c>
      <c r="Q8029" s="55" t="n">
        <f aca="false">SUM(G8029:J8029)</f>
        <v>1225000</v>
      </c>
      <c r="R8029" s="55" t="n">
        <f aca="false">SUM(K8029:N8029)</f>
        <v>1225000</v>
      </c>
      <c r="S8029" s="56" t="n">
        <f aca="false">SUM(P8029:R8029)</f>
        <v>3675000</v>
      </c>
    </row>
    <row r="8030" customFormat="false" ht="15" hidden="false" customHeight="false" outlineLevel="0" collapsed="false">
      <c r="A8030" s="4" t="s">
        <v>524</v>
      </c>
      <c r="B8030" s="36" t="s">
        <v>77</v>
      </c>
      <c r="C8030" s="51" t="n">
        <f aca="false">IF(C8028&gt;0,MIN(1,C8029/C8028),1)</f>
        <v>1</v>
      </c>
      <c r="D8030" s="51" t="n">
        <f aca="false">IF(D8028&gt;0,MIN(1,D8029/D8028),1)</f>
        <v>1</v>
      </c>
      <c r="E8030" s="51" t="n">
        <f aca="false">IF(E8028&gt;0,MIN(1,E8029/E8028),1)</f>
        <v>1</v>
      </c>
      <c r="F8030" s="51" t="n">
        <f aca="false">IF(F8028&gt;0,MIN(1,F8029/F8028),1)</f>
        <v>1</v>
      </c>
      <c r="G8030" s="51" t="n">
        <f aca="false">IF(G8028&gt;0,MIN(1,G8029/G8028),1)</f>
        <v>1</v>
      </c>
      <c r="H8030" s="51" t="n">
        <f aca="false">IF(H8028&gt;0,MIN(1,H8029/H8028),1)</f>
        <v>1</v>
      </c>
      <c r="I8030" s="51" t="n">
        <f aca="false">IF(I8028&gt;0,MIN(1,I8029/I8028),1)</f>
        <v>1</v>
      </c>
      <c r="J8030" s="51" t="n">
        <f aca="false">IF(J8028&gt;0,MIN(1,J8029/J8028),1)</f>
        <v>1</v>
      </c>
      <c r="K8030" s="51" t="n">
        <f aca="false">IF(K8028&gt;0,MIN(1,K8029/K8028),1)</f>
        <v>1</v>
      </c>
      <c r="L8030" s="51" t="n">
        <f aca="false">IF(L8028&gt;0,MIN(1,L8029/L8028),1)</f>
        <v>1</v>
      </c>
      <c r="M8030" s="51" t="n">
        <f aca="false">IF(M8028&gt;0,MIN(1,M8029/M8028),1)</f>
        <v>1</v>
      </c>
      <c r="N8030" s="51" t="n">
        <f aca="false">IF(N8028&gt;0,MIN(1,N8029/N8028),1)</f>
        <v>1</v>
      </c>
      <c r="P8030" s="52"/>
      <c r="Q8030" s="52"/>
      <c r="R8030" s="52"/>
      <c r="S8030" s="53"/>
    </row>
    <row r="8031" customFormat="false" ht="15" hidden="false" customHeight="false" outlineLevel="0" collapsed="false">
      <c r="A8031" s="4" t="s">
        <v>525</v>
      </c>
      <c r="B8031" s="36" t="s">
        <v>125</v>
      </c>
      <c r="C8031" s="54" t="n">
        <f aca="false">C8028*(1-C8030)</f>
        <v>0</v>
      </c>
      <c r="D8031" s="54" t="n">
        <f aca="false">D8028*(1-D8030)</f>
        <v>0</v>
      </c>
      <c r="E8031" s="54" t="n">
        <f aca="false">E8028*(1-E8030)</f>
        <v>0</v>
      </c>
      <c r="F8031" s="54" t="n">
        <f aca="false">F8028*(1-F8030)</f>
        <v>0</v>
      </c>
      <c r="G8031" s="54" t="n">
        <f aca="false">G8028*(1-G8030)</f>
        <v>0</v>
      </c>
      <c r="H8031" s="54" t="n">
        <f aca="false">H8028*(1-H8030)</f>
        <v>0</v>
      </c>
      <c r="I8031" s="54" t="n">
        <f aca="false">I8028*(1-I8030)</f>
        <v>0</v>
      </c>
      <c r="J8031" s="54" t="n">
        <f aca="false">J8028*(1-J8030)</f>
        <v>0</v>
      </c>
      <c r="K8031" s="54" t="n">
        <f aca="false">K8028*(1-K8030)</f>
        <v>0</v>
      </c>
      <c r="L8031" s="54" t="n">
        <f aca="false">L8028*(1-L8030)</f>
        <v>0</v>
      </c>
      <c r="M8031" s="54" t="n">
        <f aca="false">M8028*(1-M8030)</f>
        <v>0</v>
      </c>
      <c r="N8031" s="54" t="n">
        <f aca="false">N8028*(1-N8030)</f>
        <v>0</v>
      </c>
      <c r="P8031" s="55" t="n">
        <f aca="false">SUM(C8031:F8031)</f>
        <v>0</v>
      </c>
      <c r="Q8031" s="55" t="n">
        <f aca="false">SUM(G8031:J8031)</f>
        <v>0</v>
      </c>
      <c r="R8031" s="55" t="n">
        <f aca="false">SUM(K8031:N8031)</f>
        <v>0</v>
      </c>
      <c r="S8031" s="56" t="n">
        <f aca="false">SUM(P8031:R8031)</f>
        <v>0</v>
      </c>
    </row>
    <row r="8032" customFormat="false" ht="15" hidden="false" customHeight="false" outlineLevel="0" collapsed="false">
      <c r="A8032" s="4" t="s">
        <v>526</v>
      </c>
      <c r="B8032" s="36" t="s">
        <v>527</v>
      </c>
      <c r="C8032" s="48" t="n">
        <f aca="false">C8026+C8027*C8030</f>
        <v>0</v>
      </c>
      <c r="D8032" s="48" t="n">
        <f aca="false">D8026+D8027*D8030</f>
        <v>0.866376445183821</v>
      </c>
      <c r="E8032" s="48" t="n">
        <f aca="false">E8026+E8027*E8030</f>
        <v>1.4850370503084</v>
      </c>
      <c r="F8032" s="48" t="n">
        <f aca="false">F8026+F8027*F8030</f>
        <v>1.63860741134595</v>
      </c>
      <c r="G8032" s="48" t="n">
        <f aca="false">G8026+G8027*G8030</f>
        <v>1.79532697390301</v>
      </c>
      <c r="H8032" s="48" t="n">
        <f aca="false">H8026+H8027*H8030</f>
        <v>2.31019678172994</v>
      </c>
      <c r="I8032" s="48" t="n">
        <f aca="false">I8026+I8027*I8030</f>
        <v>2.79111066507864</v>
      </c>
      <c r="J8032" s="48" t="n">
        <f aca="false">J8026+J8027*J8030</f>
        <v>4.1306930875438</v>
      </c>
      <c r="K8032" s="48" t="n">
        <f aca="false">K8026+K8027*K8030</f>
        <v>5.34315863355258</v>
      </c>
      <c r="L8032" s="48" t="n">
        <f aca="false">L8026+L8027*L8030</f>
        <v>5.38112462159553</v>
      </c>
      <c r="M8032" s="48" t="n">
        <f aca="false">M8026+M8027*M8030</f>
        <v>5.22179362206104</v>
      </c>
      <c r="N8032" s="48" t="n">
        <f aca="false">N8026+N8027*N8030</f>
        <v>5.07351941968866</v>
      </c>
      <c r="P8032" s="49" t="n">
        <f aca="false">SUM(C8032:F8032)</f>
        <v>3.99002090683817</v>
      </c>
      <c r="Q8032" s="49" t="n">
        <f aca="false">SUM(G8032:J8032)</f>
        <v>11.0273275082554</v>
      </c>
      <c r="R8032" s="49" t="n">
        <f aca="false">SUM(K8032:N8032)</f>
        <v>21.0195962968978</v>
      </c>
      <c r="S8032" s="50" t="n">
        <f aca="false">SUM(P8032:R8032)</f>
        <v>36.0369447119914</v>
      </c>
    </row>
    <row r="8033" customFormat="false" ht="15" hidden="false" customHeight="false" outlineLevel="0" collapsed="false">
      <c r="A8033" s="4" t="s">
        <v>528</v>
      </c>
      <c r="B8033" s="36" t="s">
        <v>527</v>
      </c>
      <c r="C8033" s="48" t="n">
        <f aca="false">C8023*C8030</f>
        <v>0</v>
      </c>
      <c r="D8033" s="48" t="n">
        <f aca="false">D8023*D8030</f>
        <v>0.434084974267145</v>
      </c>
      <c r="E8033" s="48" t="n">
        <f aca="false">E8023*E8030</f>
        <v>0.744055627726705</v>
      </c>
      <c r="F8033" s="48" t="n">
        <f aca="false">F8023*F8030</f>
        <v>0.820999762796119</v>
      </c>
      <c r="G8033" s="48" t="n">
        <f aca="false">G8023*G8030</f>
        <v>0.89952175823807</v>
      </c>
      <c r="H8033" s="48" t="n">
        <f aca="false">H8023*H8030</f>
        <v>1.13465516292283</v>
      </c>
      <c r="I8033" s="48" t="n">
        <f aca="false">I8023*I8030</f>
        <v>1.35487856174628</v>
      </c>
      <c r="J8033" s="48" t="n">
        <f aca="false">J8023*J8030</f>
        <v>1.88601088123353</v>
      </c>
      <c r="K8033" s="48" t="n">
        <f aca="false">K8023*K8030</f>
        <v>2.37581157552964</v>
      </c>
      <c r="L8033" s="48" t="n">
        <f aca="false">L8023*L8030</f>
        <v>2.3926929822134</v>
      </c>
      <c r="M8033" s="48" t="n">
        <f aca="false">M8023*M8030</f>
        <v>2.32184716628391</v>
      </c>
      <c r="N8033" s="48" t="n">
        <f aca="false">N8023*N8030</f>
        <v>2.25591770573287</v>
      </c>
      <c r="P8033" s="49" t="n">
        <f aca="false">SUM(C8033:F8033)</f>
        <v>1.99914036478997</v>
      </c>
      <c r="Q8033" s="49" t="n">
        <f aca="false">SUM(G8033:J8033)</f>
        <v>5.27506636414072</v>
      </c>
      <c r="R8033" s="49" t="n">
        <f aca="false">SUM(K8033:N8033)</f>
        <v>9.34626942975982</v>
      </c>
      <c r="S8033" s="50" t="n">
        <f aca="false">SUM(P8033:R8033)</f>
        <v>16.6204761586905</v>
      </c>
    </row>
    <row r="8034" customFormat="false" ht="15" hidden="false" customHeight="false" outlineLevel="0" collapsed="false">
      <c r="A8034" s="4" t="s">
        <v>529</v>
      </c>
      <c r="B8034" s="36" t="s">
        <v>527</v>
      </c>
      <c r="C8034" s="48" t="n">
        <f aca="false">C8024*C8030</f>
        <v>0</v>
      </c>
      <c r="D8034" s="48" t="n">
        <f aca="false">D8024*D8030</f>
        <v>0</v>
      </c>
      <c r="E8034" s="48" t="n">
        <f aca="false">E8024*E8030</f>
        <v>0.071275680959914</v>
      </c>
      <c r="F8034" s="48" t="n">
        <f aca="false">F8024*F8030</f>
        <v>0.122172096898336</v>
      </c>
      <c r="G8034" s="48" t="n">
        <f aca="false">G8024*G8030</f>
        <v>0.134806133891215</v>
      </c>
      <c r="H8034" s="48" t="n">
        <f aca="false">H8024*H8030</f>
        <v>0.147699251661313</v>
      </c>
      <c r="I8034" s="48" t="n">
        <f aca="false">I8024*I8030</f>
        <v>0.174259973058587</v>
      </c>
      <c r="J8034" s="48" t="n">
        <f aca="false">J8024*J8030</f>
        <v>0.19948212034567</v>
      </c>
      <c r="K8034" s="48" t="n">
        <f aca="false">K8024*K8030</f>
        <v>0.265355665717199</v>
      </c>
      <c r="L8034" s="48" t="n">
        <f aca="false">L8024*L8030</f>
        <v>0.327251866823927</v>
      </c>
      <c r="M8034" s="48" t="n">
        <f aca="false">M8024*M8030</f>
        <v>0.329577165643402</v>
      </c>
      <c r="N8034" s="48" t="n">
        <f aca="false">N8024*N8030</f>
        <v>0.319818636912259</v>
      </c>
      <c r="P8034" s="49" t="n">
        <f aca="false">SUM(C8034:F8034)</f>
        <v>0.19344777785825</v>
      </c>
      <c r="Q8034" s="49" t="n">
        <f aca="false">SUM(G8034:J8034)</f>
        <v>0.656247478956785</v>
      </c>
      <c r="R8034" s="49" t="n">
        <f aca="false">SUM(K8034:N8034)</f>
        <v>1.24200333509679</v>
      </c>
      <c r="S8034" s="50" t="n">
        <f aca="false">SUM(P8034:R8034)</f>
        <v>2.09169859191182</v>
      </c>
    </row>
    <row r="8035" customFormat="false" ht="15" hidden="false" customHeight="false" outlineLevel="0" collapsed="false">
      <c r="A8035" s="9" t="s">
        <v>530</v>
      </c>
      <c r="B8035" s="36" t="s">
        <v>527</v>
      </c>
      <c r="C8035" s="49" t="n">
        <f aca="false">C8032+C8033+C8034</f>
        <v>0</v>
      </c>
      <c r="D8035" s="49" t="n">
        <f aca="false">D8032+D8033+D8034</f>
        <v>1.30046141945097</v>
      </c>
      <c r="E8035" s="49" t="n">
        <f aca="false">E8032+E8033+E8034</f>
        <v>2.30036835899502</v>
      </c>
      <c r="F8035" s="49" t="n">
        <f aca="false">F8032+F8033+F8034</f>
        <v>2.58177927104041</v>
      </c>
      <c r="G8035" s="49" t="n">
        <f aca="false">G8032+G8033+G8034</f>
        <v>2.82965486603229</v>
      </c>
      <c r="H8035" s="49" t="n">
        <f aca="false">H8032+H8033+H8034</f>
        <v>3.59255119631409</v>
      </c>
      <c r="I8035" s="49" t="n">
        <f aca="false">I8032+I8033+I8034</f>
        <v>4.32024919988351</v>
      </c>
      <c r="J8035" s="49" t="n">
        <f aca="false">J8032+J8033+J8034</f>
        <v>6.216186089123</v>
      </c>
      <c r="K8035" s="49" t="n">
        <f aca="false">K8032+K8033+K8034</f>
        <v>7.98432587479941</v>
      </c>
      <c r="L8035" s="49" t="n">
        <f aca="false">L8032+L8033+L8034</f>
        <v>8.10106947063285</v>
      </c>
      <c r="M8035" s="49" t="n">
        <f aca="false">M8032+M8033+M8034</f>
        <v>7.87321795398836</v>
      </c>
      <c r="N8035" s="49" t="n">
        <f aca="false">N8032+N8033+N8034</f>
        <v>7.64925576233379</v>
      </c>
      <c r="P8035" s="49" t="n">
        <f aca="false">SUM(C8035:F8035)</f>
        <v>6.18260904948639</v>
      </c>
      <c r="Q8035" s="49" t="n">
        <f aca="false">SUM(G8035:J8035)</f>
        <v>16.9586413513529</v>
      </c>
      <c r="R8035" s="49" t="n">
        <f aca="false">SUM(K8035:N8035)</f>
        <v>31.6078690617544</v>
      </c>
      <c r="S8035" s="50" t="n">
        <f aca="false">SUM(P8035:R8035)</f>
        <v>54.7491194625937</v>
      </c>
    </row>
    <row r="8036" customFormat="false" ht="15" hidden="false" customHeight="false" outlineLevel="0" collapsed="false">
      <c r="A8036" s="35" t="s">
        <v>533</v>
      </c>
      <c r="B8036" s="35" t="s">
        <v>444</v>
      </c>
      <c r="C8036" s="6" t="s">
        <v>354</v>
      </c>
      <c r="D8036" s="6" t="s">
        <v>355</v>
      </c>
      <c r="E8036" s="6" t="s">
        <v>356</v>
      </c>
      <c r="F8036" s="6" t="s">
        <v>357</v>
      </c>
      <c r="G8036" s="6" t="s">
        <v>358</v>
      </c>
      <c r="H8036" s="6" t="s">
        <v>359</v>
      </c>
      <c r="I8036" s="6" t="s">
        <v>360</v>
      </c>
      <c r="J8036" s="6" t="s">
        <v>361</v>
      </c>
      <c r="K8036" s="6" t="s">
        <v>362</v>
      </c>
      <c r="L8036" s="6" t="s">
        <v>363</v>
      </c>
      <c r="M8036" s="6" t="s">
        <v>364</v>
      </c>
      <c r="N8036" s="6" t="s">
        <v>365</v>
      </c>
      <c r="P8036" s="6" t="s">
        <v>445</v>
      </c>
      <c r="Q8036" s="6" t="s">
        <v>446</v>
      </c>
      <c r="R8036" s="6" t="s">
        <v>447</v>
      </c>
      <c r="S8036" s="6" t="s">
        <v>448</v>
      </c>
    </row>
    <row r="8037" customFormat="false" ht="15" hidden="false" customHeight="false" outlineLevel="0" collapsed="false">
      <c r="A8037" s="4" t="s">
        <v>534</v>
      </c>
      <c r="B8037" s="36" t="s">
        <v>527</v>
      </c>
      <c r="C8037" s="48" t="n">
        <f aca="false">0*Assumptions!$E$59^(1/4)+C8032</f>
        <v>0</v>
      </c>
      <c r="D8037" s="48" t="n">
        <f aca="false">C8037*Assumptions!$E$59^(1/4)+D8032</f>
        <v>0.866376445183821</v>
      </c>
      <c r="E8037" s="48" t="n">
        <f aca="false">D8037*Assumptions!$E$59^(1/4)+E8032</f>
        <v>2.32416329488403</v>
      </c>
      <c r="F8037" s="48" t="n">
        <f aca="false">E8037*Assumptions!$E$59^(1/4)+F8032</f>
        <v>3.88966863104794</v>
      </c>
      <c r="G8037" s="48" t="n">
        <f aca="false">F8037*Assumptions!$E$59^(1/4)+G8032</f>
        <v>5.56265357789716</v>
      </c>
      <c r="H8037" s="48" t="n">
        <f aca="false">G8037*Assumptions!$E$59^(1/4)+H8032</f>
        <v>7.69788781678072</v>
      </c>
      <c r="I8037" s="48" t="n">
        <f aca="false">H8037*Assumptions!$E$59^(1/4)+I8032</f>
        <v>10.2468762630101</v>
      </c>
      <c r="J8037" s="48" t="n">
        <f aca="false">I8037*Assumptions!$E$59^(1/4)+J8032</f>
        <v>14.0552736148763</v>
      </c>
      <c r="K8037" s="48" t="n">
        <f aca="false">J8037*Assumptions!$E$59^(1/4)+K8032</f>
        <v>18.9563507170835</v>
      </c>
      <c r="L8037" s="48" t="n">
        <f aca="false">K8037*Assumptions!$E$59^(1/4)+L8032</f>
        <v>23.7412398769334</v>
      </c>
      <c r="M8037" s="48" t="n">
        <f aca="false">L8037*Assumptions!$E$59^(1/4)+M8032</f>
        <v>28.2162985745513</v>
      </c>
      <c r="N8037" s="48" t="n">
        <f aca="false">M8037*Assumptions!$E$59^(1/4)+N8032</f>
        <v>32.4023287268997</v>
      </c>
      <c r="P8037" s="49" t="n">
        <f aca="false">F8037</f>
        <v>3.88966863104794</v>
      </c>
      <c r="Q8037" s="49" t="n">
        <f aca="false">J8037</f>
        <v>14.0552736148763</v>
      </c>
      <c r="R8037" s="49" t="n">
        <f aca="false">N8037</f>
        <v>32.4023287268997</v>
      </c>
      <c r="S8037" s="50" t="n">
        <f aca="false">R8037</f>
        <v>32.4023287268997</v>
      </c>
    </row>
    <row r="8038" customFormat="false" ht="15" hidden="false" customHeight="false" outlineLevel="0" collapsed="false">
      <c r="A8038" s="4" t="s">
        <v>535</v>
      </c>
      <c r="B8038" s="36" t="s">
        <v>527</v>
      </c>
      <c r="C8038" s="48" t="n">
        <f aca="false">0*Assumptions!$E$60^(1/4)+C8033</f>
        <v>0</v>
      </c>
      <c r="D8038" s="48" t="n">
        <f aca="false">C8038*Assumptions!$E$60^(1/4)+D8033</f>
        <v>0.434084974267145</v>
      </c>
      <c r="E8038" s="48" t="n">
        <f aca="false">D8038*Assumptions!$E$60^(1/4)+E8033</f>
        <v>1.16685601892983</v>
      </c>
      <c r="F8038" s="48" t="n">
        <f aca="false">E8038*Assumptions!$E$60^(1/4)+F8033</f>
        <v>1.95752189677268</v>
      </c>
      <c r="G8038" s="48" t="n">
        <f aca="false">F8038*Assumptions!$E$60^(1/4)+G8033</f>
        <v>2.80615541940422</v>
      </c>
      <c r="H8038" s="48" t="n">
        <f aca="false">G8038*Assumptions!$E$60^(1/4)+H8033</f>
        <v>3.86786105447419</v>
      </c>
      <c r="I8038" s="48" t="n">
        <f aca="false">H8038*Assumptions!$E$60^(1/4)+I8033</f>
        <v>5.12218971945664</v>
      </c>
      <c r="J8038" s="48" t="n">
        <f aca="false">I8038*Assumptions!$E$60^(1/4)+J8033</f>
        <v>6.87504285788544</v>
      </c>
      <c r="K8038" s="48" t="n">
        <f aca="false">J8038*Assumptions!$E$60^(1/4)+K8033</f>
        <v>9.07212907594454</v>
      </c>
      <c r="L8038" s="48" t="n">
        <f aca="false">K8038*Assumptions!$E$60^(1/4)+L8033</f>
        <v>11.2289806902372</v>
      </c>
      <c r="M8038" s="48" t="n">
        <f aca="false">L8038*Assumptions!$E$60^(1/4)+M8033</f>
        <v>13.2589164271123</v>
      </c>
      <c r="N8038" s="48" t="n">
        <f aca="false">M8038*Assumptions!$E$60^(1/4)+N8033</f>
        <v>15.1701519792802</v>
      </c>
      <c r="P8038" s="49" t="n">
        <f aca="false">F8038</f>
        <v>1.95752189677268</v>
      </c>
      <c r="Q8038" s="49" t="n">
        <f aca="false">J8038</f>
        <v>6.87504285788544</v>
      </c>
      <c r="R8038" s="49" t="n">
        <f aca="false">N8038</f>
        <v>15.1701519792802</v>
      </c>
      <c r="S8038" s="50" t="n">
        <f aca="false">R8038</f>
        <v>15.1701519792802</v>
      </c>
    </row>
    <row r="8039" customFormat="false" ht="15" hidden="false" customHeight="false" outlineLevel="0" collapsed="false">
      <c r="A8039" s="4" t="s">
        <v>536</v>
      </c>
      <c r="B8039" s="36" t="s">
        <v>527</v>
      </c>
      <c r="C8039" s="48" t="n">
        <f aca="false">0*Assumptions!$E$61^(1/4)+C8034</f>
        <v>0</v>
      </c>
      <c r="D8039" s="48" t="n">
        <f aca="false">C8039*Assumptions!$E$61^(1/4)+D8034</f>
        <v>0</v>
      </c>
      <c r="E8039" s="48" t="n">
        <f aca="false">D8039*Assumptions!$E$61^(1/4)+E8034</f>
        <v>0.071275680959914</v>
      </c>
      <c r="F8039" s="48" t="n">
        <f aca="false">E8039*Assumptions!$E$61^(1/4)+F8034</f>
        <v>0.191977386314485</v>
      </c>
      <c r="G8039" s="48" t="n">
        <f aca="false">F8039*Assumptions!$E$61^(1/4)+G8034</f>
        <v>0.322823096094288</v>
      </c>
      <c r="H8039" s="48" t="n">
        <f aca="false">G8039*Assumptions!$E$61^(1/4)+H8034</f>
        <v>0.463862623930639</v>
      </c>
      <c r="I8039" s="48" t="n">
        <f aca="false">H8039*Assumptions!$E$61^(1/4)+I8034</f>
        <v>0.628553278667598</v>
      </c>
      <c r="J8039" s="48" t="n">
        <f aca="false">I8039*Assumptions!$E$61^(1/4)+J8034</f>
        <v>0.815068571993006</v>
      </c>
      <c r="K8039" s="48" t="n">
        <f aca="false">J8039*Assumptions!$E$61^(1/4)+K8034</f>
        <v>1.06360966758325</v>
      </c>
      <c r="L8039" s="48" t="n">
        <f aca="false">K8039*Assumptions!$E$61^(1/4)+L8034</f>
        <v>1.36891965128493</v>
      </c>
      <c r="M8039" s="48" t="n">
        <f aca="false">L8039*Assumptions!$E$61^(1/4)+M8034</f>
        <v>1.67025649916167</v>
      </c>
      <c r="N8039" s="48" t="n">
        <f aca="false">M8039*Assumptions!$E$61^(1/4)+N8034</f>
        <v>1.95561834801929</v>
      </c>
      <c r="P8039" s="49" t="n">
        <f aca="false">F8039</f>
        <v>0.191977386314485</v>
      </c>
      <c r="Q8039" s="49" t="n">
        <f aca="false">J8039</f>
        <v>0.815068571993006</v>
      </c>
      <c r="R8039" s="49" t="n">
        <f aca="false">N8039</f>
        <v>1.95561834801929</v>
      </c>
      <c r="S8039" s="50" t="n">
        <f aca="false">R8039</f>
        <v>1.95561834801929</v>
      </c>
    </row>
    <row r="8040" customFormat="false" ht="15" hidden="false" customHeight="false" outlineLevel="0" collapsed="false">
      <c r="A8040" s="9" t="s">
        <v>537</v>
      </c>
      <c r="B8040" s="36" t="s">
        <v>527</v>
      </c>
      <c r="C8040" s="49" t="n">
        <f aca="false">C8037+C8038+C8039</f>
        <v>0</v>
      </c>
      <c r="D8040" s="49" t="n">
        <f aca="false">D8037+D8038+D8039</f>
        <v>1.30046141945097</v>
      </c>
      <c r="E8040" s="49" t="n">
        <f aca="false">E8037+E8038+E8039</f>
        <v>3.56229499477378</v>
      </c>
      <c r="F8040" s="49" t="n">
        <f aca="false">F8037+F8038+F8039</f>
        <v>6.0391679141351</v>
      </c>
      <c r="G8040" s="49" t="n">
        <f aca="false">G8037+G8038+G8039</f>
        <v>8.69163209339566</v>
      </c>
      <c r="H8040" s="49" t="n">
        <f aca="false">H8037+H8038+H8039</f>
        <v>12.0296114951856</v>
      </c>
      <c r="I8040" s="49" t="n">
        <f aca="false">I8037+I8038+I8039</f>
        <v>15.9976192611344</v>
      </c>
      <c r="J8040" s="49" t="n">
        <f aca="false">J8037+J8038+J8039</f>
        <v>21.7453850447547</v>
      </c>
      <c r="K8040" s="49" t="n">
        <f aca="false">K8037+K8038+K8039</f>
        <v>29.0920894606113</v>
      </c>
      <c r="L8040" s="49" t="n">
        <f aca="false">L8037+L8038+L8039</f>
        <v>36.3391402184556</v>
      </c>
      <c r="M8040" s="49" t="n">
        <f aca="false">M8037+M8038+M8039</f>
        <v>43.1454715008253</v>
      </c>
      <c r="N8040" s="49" t="n">
        <f aca="false">N8037+N8038+N8039</f>
        <v>49.5280990541991</v>
      </c>
      <c r="P8040" s="49" t="n">
        <f aca="false">F8040</f>
        <v>6.0391679141351</v>
      </c>
      <c r="Q8040" s="49" t="n">
        <f aca="false">J8040</f>
        <v>21.7453850447547</v>
      </c>
      <c r="R8040" s="49" t="n">
        <f aca="false">N8040</f>
        <v>49.5280990541991</v>
      </c>
      <c r="S8040" s="50" t="n">
        <f aca="false">R8040</f>
        <v>49.5280990541991</v>
      </c>
    </row>
    <row r="8041" customFormat="false" ht="15" hidden="false" customHeight="false" outlineLevel="0" collapsed="false">
      <c r="A8041" s="4" t="s">
        <v>538</v>
      </c>
      <c r="B8041" s="36" t="s">
        <v>125</v>
      </c>
      <c r="C8041" s="54" t="n">
        <f aca="false">0*Assumptions!$E$62^(1/4)+C8032*$C$7981</f>
        <v>0</v>
      </c>
      <c r="D8041" s="54" t="n">
        <f aca="false">C8041*Assumptions!$E$62^(1/4)+D8032*$C$7981</f>
        <v>4636.84673462381</v>
      </c>
      <c r="E8041" s="54" t="n">
        <f aca="false">D8041*Assumptions!$E$62^(1/4)+E8032*$C$7981</f>
        <v>12584.7650278744</v>
      </c>
      <c r="F8041" s="54" t="n">
        <f aca="false">E8041*Assumptions!$E$62^(1/4)+F8032*$C$7981</f>
        <v>21354.5918933979</v>
      </c>
      <c r="G8041" s="54" t="n">
        <f aca="false">F8041*Assumptions!$E$62^(1/4)+G8032*$C$7981</f>
        <v>30963.1818577268</v>
      </c>
      <c r="H8041" s="54" t="n">
        <f aca="false">G8041*Assumptions!$E$62^(1/4)+H8032*$C$7981</f>
        <v>43327.3550335454</v>
      </c>
      <c r="I8041" s="54" t="n">
        <f aca="false">H8041*Assumptions!$E$62^(1/4)+I8032*$C$7981</f>
        <v>58265.3793130463</v>
      </c>
      <c r="J8041" s="54" t="n">
        <f aca="false">I8041*Assumptions!$E$62^(1/4)+J8032*$C$7981</f>
        <v>80372.8487175808</v>
      </c>
      <c r="K8041" s="54" t="n">
        <f aca="false">J8041*Assumptions!$E$62^(1/4)+K8032*$C$7981</f>
        <v>108969.433724354</v>
      </c>
      <c r="L8041" s="54" t="n">
        <f aca="false">K8041*Assumptions!$E$62^(1/4)+L8032*$C$7981</f>
        <v>137769.212699133</v>
      </c>
      <c r="M8041" s="54" t="n">
        <f aca="false">L8041*Assumptions!$E$62^(1/4)+M8032*$C$7981</f>
        <v>165716.252164404</v>
      </c>
      <c r="N8041" s="54" t="n">
        <f aca="false">M8041*Assumptions!$E$62^(1/4)+N8032*$C$7981</f>
        <v>192869.728098578</v>
      </c>
      <c r="P8041" s="55" t="n">
        <f aca="false">F8041</f>
        <v>21354.5918933979</v>
      </c>
      <c r="Q8041" s="55" t="n">
        <f aca="false">J8041</f>
        <v>80372.8487175808</v>
      </c>
      <c r="R8041" s="55" t="n">
        <f aca="false">N8041</f>
        <v>192869.728098578</v>
      </c>
      <c r="S8041" s="56" t="n">
        <f aca="false">R8041</f>
        <v>192869.728098578</v>
      </c>
    </row>
    <row r="8042" customFormat="false" ht="15" hidden="false" customHeight="false" outlineLevel="0" collapsed="false">
      <c r="A8042" s="4" t="s">
        <v>539</v>
      </c>
      <c r="B8042" s="36" t="s">
        <v>125</v>
      </c>
      <c r="C8042" s="54" t="n">
        <f aca="false">0*Assumptions!$E$63^(1/4)+C8033*$C$7982</f>
        <v>0</v>
      </c>
      <c r="D8042" s="54" t="n">
        <f aca="false">C8042*Assumptions!$E$63^(1/4)+D8033*$C$7982</f>
        <v>4239.58645576376</v>
      </c>
      <c r="E8042" s="54" t="n">
        <f aca="false">D8042*Assumptions!$E$63^(1/4)+E8033*$C$7982</f>
        <v>11568.780571464</v>
      </c>
      <c r="F8042" s="54" t="n">
        <f aca="false">E8042*Assumptions!$E$63^(1/4)+F8033*$C$7982</f>
        <v>19757.0139869302</v>
      </c>
      <c r="G8042" s="54" t="n">
        <f aca="false">F8042*Assumptions!$E$63^(1/4)+G8033*$C$7982</f>
        <v>28832.3026333607</v>
      </c>
      <c r="H8042" s="54" t="n">
        <f aca="false">G8042*Assumptions!$E$63^(1/4)+H8033*$C$7982</f>
        <v>40337.2428258018</v>
      </c>
      <c r="I8042" s="54" t="n">
        <f aca="false">H8042*Assumptions!$E$63^(1/4)+I8033*$C$7982</f>
        <v>54161.8650429175</v>
      </c>
      <c r="J8042" s="54" t="n">
        <f aca="false">I8042*Assumptions!$E$63^(1/4)+J8033*$C$7982</f>
        <v>73376.768355554</v>
      </c>
      <c r="K8042" s="54" t="n">
        <f aca="false">J8042*Assumptions!$E$63^(1/4)+K8033*$C$7982</f>
        <v>97657.3745036042</v>
      </c>
      <c r="L8042" s="54" t="n">
        <f aca="false">K8042*Assumptions!$E$63^(1/4)+L8033*$C$7982</f>
        <v>122459.146505613</v>
      </c>
      <c r="M8042" s="54" t="n">
        <f aca="false">L8042*Assumptions!$E$63^(1/4)+M8033*$C$7982</f>
        <v>146932.924638212</v>
      </c>
      <c r="N8042" s="54" t="n">
        <f aca="false">M8042*Assumptions!$E$63^(1/4)+N8033*$C$7982</f>
        <v>171121.912636854</v>
      </c>
      <c r="P8042" s="55" t="n">
        <f aca="false">F8042</f>
        <v>19757.0139869302</v>
      </c>
      <c r="Q8042" s="55" t="n">
        <f aca="false">J8042</f>
        <v>73376.768355554</v>
      </c>
      <c r="R8042" s="55" t="n">
        <f aca="false">N8042</f>
        <v>171121.912636854</v>
      </c>
      <c r="S8042" s="56" t="n">
        <f aca="false">R8042</f>
        <v>171121.912636854</v>
      </c>
    </row>
    <row r="8043" customFormat="false" ht="15" hidden="false" customHeight="false" outlineLevel="0" collapsed="false">
      <c r="A8043" s="4" t="s">
        <v>540</v>
      </c>
      <c r="B8043" s="36" t="s">
        <v>125</v>
      </c>
      <c r="C8043" s="54" t="n">
        <f aca="false">0*Assumptions!$E$64^(1/4)+C8034*$C$7983</f>
        <v>0</v>
      </c>
      <c r="D8043" s="54" t="n">
        <f aca="false">C8043*Assumptions!$E$64^(1/4)+D8034*$C$7983</f>
        <v>0</v>
      </c>
      <c r="E8043" s="54" t="n">
        <f aca="false">D8043*Assumptions!$E$64^(1/4)+E8034*$C$7983</f>
        <v>4403.28728055653</v>
      </c>
      <c r="F8043" s="54" t="n">
        <f aca="false">E8043*Assumptions!$E$64^(1/4)+F8034*$C$7983</f>
        <v>12107.4388108841</v>
      </c>
      <c r="G8043" s="54" t="n">
        <f aca="false">F8043*Assumptions!$E$64^(1/4)+G8034*$C$7983</f>
        <v>20866.0439239064</v>
      </c>
      <c r="H8043" s="54" t="n">
        <f aca="false">G8043*Assumptions!$E$64^(1/4)+H8034*$C$7983</f>
        <v>30732.6025192522</v>
      </c>
      <c r="I8043" s="54" t="n">
        <f aca="false">H8043*Assumptions!$E$64^(1/4)+I8034*$C$7983</f>
        <v>42590.8720102144</v>
      </c>
      <c r="J8043" s="54" t="n">
        <f aca="false">I8043*Assumptions!$E$64^(1/4)+J8034*$C$7983</f>
        <v>56428.9790305215</v>
      </c>
      <c r="K8043" s="54" t="n">
        <f aca="false">J8043*Assumptions!$E$64^(1/4)+K8034*$C$7983</f>
        <v>74828.6952807254</v>
      </c>
      <c r="L8043" s="54" t="n">
        <f aca="false">K8043*Assumptions!$E$64^(1/4)+L8034*$C$7983</f>
        <v>97706.5094169996</v>
      </c>
      <c r="M8043" s="54" t="n">
        <f aca="false">L8043*Assumptions!$E$64^(1/4)+M8034*$C$7983</f>
        <v>121541.467521117</v>
      </c>
      <c r="N8043" s="54" t="n">
        <f aca="false">M8043*Assumptions!$E$64^(1/4)+N8034*$C$7983</f>
        <v>145621.085996823</v>
      </c>
      <c r="P8043" s="55" t="n">
        <f aca="false">F8043</f>
        <v>12107.4388108841</v>
      </c>
      <c r="Q8043" s="55" t="n">
        <f aca="false">J8043</f>
        <v>56428.9790305215</v>
      </c>
      <c r="R8043" s="55" t="n">
        <f aca="false">N8043</f>
        <v>145621.085996823</v>
      </c>
      <c r="S8043" s="56" t="n">
        <f aca="false">R8043</f>
        <v>145621.085996823</v>
      </c>
    </row>
    <row r="8044" customFormat="false" ht="15" hidden="false" customHeight="false" outlineLevel="0" collapsed="false">
      <c r="A8044" s="9" t="s">
        <v>541</v>
      </c>
      <c r="B8044" s="36" t="s">
        <v>125</v>
      </c>
      <c r="C8044" s="55" t="n">
        <f aca="false">C8041+C8042+C8043</f>
        <v>0</v>
      </c>
      <c r="D8044" s="55" t="n">
        <f aca="false">D8041+D8042+D8043</f>
        <v>8876.43319038757</v>
      </c>
      <c r="E8044" s="55" t="n">
        <f aca="false">E8041+E8042+E8043</f>
        <v>28556.8328798949</v>
      </c>
      <c r="F8044" s="55" t="n">
        <f aca="false">F8041+F8042+F8043</f>
        <v>53219.0446912122</v>
      </c>
      <c r="G8044" s="55" t="n">
        <f aca="false">G8041+G8042+G8043</f>
        <v>80661.5284149939</v>
      </c>
      <c r="H8044" s="55" t="n">
        <f aca="false">H8041+H8042+H8043</f>
        <v>114397.200378599</v>
      </c>
      <c r="I8044" s="55" t="n">
        <f aca="false">I8041+I8042+I8043</f>
        <v>155018.116366178</v>
      </c>
      <c r="J8044" s="55" t="n">
        <f aca="false">J8041+J8042+J8043</f>
        <v>210178.596103656</v>
      </c>
      <c r="K8044" s="55" t="n">
        <f aca="false">K8041+K8042+K8043</f>
        <v>281455.503508684</v>
      </c>
      <c r="L8044" s="55" t="n">
        <f aca="false">L8041+L8042+L8043</f>
        <v>357934.868621746</v>
      </c>
      <c r="M8044" s="55" t="n">
        <f aca="false">M8041+M8042+M8043</f>
        <v>434190.644323734</v>
      </c>
      <c r="N8044" s="55" t="n">
        <f aca="false">N8041+N8042+N8043</f>
        <v>509612.726732255</v>
      </c>
      <c r="P8044" s="55" t="n">
        <f aca="false">F8044</f>
        <v>53219.0446912122</v>
      </c>
      <c r="Q8044" s="55" t="n">
        <f aca="false">J8044</f>
        <v>210178.596103656</v>
      </c>
      <c r="R8044" s="55" t="n">
        <f aca="false">N8044</f>
        <v>509612.726732255</v>
      </c>
      <c r="S8044" s="56" t="n">
        <f aca="false">R8044</f>
        <v>509612.726732255</v>
      </c>
    </row>
    <row r="8045" customFormat="false" ht="15" hidden="false" customHeight="false" outlineLevel="0" collapsed="false">
      <c r="A8045" s="4" t="s">
        <v>542</v>
      </c>
      <c r="B8045" s="36" t="s">
        <v>125</v>
      </c>
      <c r="C8045" s="54" t="n">
        <f aca="false">C8032*$C$7981+C8033*$C$7982+C8034*$C$7983</f>
        <v>0</v>
      </c>
      <c r="D8045" s="54" t="n">
        <f aca="false">D8032*$C$7981+D8033*$C$7982+D8034*$C$7983</f>
        <v>8876.43319038757</v>
      </c>
      <c r="E8045" s="54" t="n">
        <f aca="false">E8032*$C$7981+E8033*$C$7982+E8034*$C$7983</f>
        <v>19618.1886500368</v>
      </c>
      <c r="F8045" s="54" t="n">
        <f aca="false">F8032*$C$7981+F8033*$C$7982+F8034*$C$7983</f>
        <v>24335.8808795765</v>
      </c>
      <c r="G8045" s="54" t="n">
        <f aca="false">G8032*$C$7981+G8033*$C$7982+G8034*$C$7983</f>
        <v>26722.0551062465</v>
      </c>
      <c r="H8045" s="54" t="n">
        <f aca="false">H8032*$C$7981+H8033*$C$7982+H8034*$C$7983</f>
        <v>32570.6348072815</v>
      </c>
      <c r="I8045" s="54" t="n">
        <f aca="false">I8032*$C$7981+I8033*$C$7982+I8034*$C$7983</f>
        <v>38936.2212649288</v>
      </c>
      <c r="J8045" s="54" t="n">
        <f aca="false">J8032*$C$7981+J8033*$C$7982+J8034*$C$7983</f>
        <v>52851.2673832351</v>
      </c>
      <c r="K8045" s="54" t="n">
        <f aca="false">K8032*$C$7981+K8033*$C$7982+K8034*$C$7983</f>
        <v>68193.6820495777</v>
      </c>
      <c r="L8045" s="54" t="n">
        <f aca="false">L8032*$C$7981+L8033*$C$7982+L8034*$C$7983</f>
        <v>72385.5913630249</v>
      </c>
      <c r="M8045" s="54" t="n">
        <f aca="false">M8032*$C$7981+M8033*$C$7982+M8034*$C$7983</f>
        <v>70984.5735032962</v>
      </c>
      <c r="N8045" s="54" t="n">
        <f aca="false">N8032*$C$7981+N8033*$C$7982+N8034*$C$7983</f>
        <v>68944.2304944803</v>
      </c>
      <c r="P8045" s="55" t="n">
        <f aca="false">SUM(C8045:F8045)</f>
        <v>52830.5027200009</v>
      </c>
      <c r="Q8045" s="55" t="n">
        <f aca="false">SUM(G8045:J8045)</f>
        <v>151080.178561692</v>
      </c>
      <c r="R8045" s="55" t="n">
        <f aca="false">SUM(K8045:N8045)</f>
        <v>280508.077410379</v>
      </c>
      <c r="S8045" s="56" t="n">
        <f aca="false">SUM(P8045:R8045)</f>
        <v>484418.758692072</v>
      </c>
    </row>
    <row r="8046" customFormat="false" ht="15" hidden="false" customHeight="false" outlineLevel="0" collapsed="false">
      <c r="A8046" s="9" t="s">
        <v>543</v>
      </c>
      <c r="B8046" s="36" t="s">
        <v>125</v>
      </c>
      <c r="C8046" s="55" t="n">
        <f aca="false">(0+C8044)/8</f>
        <v>0</v>
      </c>
      <c r="D8046" s="55" t="n">
        <f aca="false">(C8044+D8044)/8</f>
        <v>1109.55414879845</v>
      </c>
      <c r="E8046" s="55" t="n">
        <f aca="false">(D8044+E8044)/8</f>
        <v>4679.15825878531</v>
      </c>
      <c r="F8046" s="55" t="n">
        <f aca="false">(E8044+F8044)/8</f>
        <v>10221.9846963884</v>
      </c>
      <c r="G8046" s="55" t="n">
        <f aca="false">(F8044+G8044)/8</f>
        <v>16735.0716382758</v>
      </c>
      <c r="H8046" s="55" t="n">
        <f aca="false">(G8044+H8044)/8</f>
        <v>24382.3410991992</v>
      </c>
      <c r="I8046" s="55" t="n">
        <f aca="false">(H8044+I8044)/8</f>
        <v>33676.9145930972</v>
      </c>
      <c r="J8046" s="55" t="n">
        <f aca="false">(I8044+J8044)/8</f>
        <v>45649.5890587293</v>
      </c>
      <c r="K8046" s="55" t="n">
        <f aca="false">(J8044+K8044)/8</f>
        <v>61454.2624515425</v>
      </c>
      <c r="L8046" s="55" t="n">
        <f aca="false">(K8044+L8044)/8</f>
        <v>79923.7965163037</v>
      </c>
      <c r="M8046" s="55" t="n">
        <f aca="false">(L8044+M8044)/8</f>
        <v>99015.6891181849</v>
      </c>
      <c r="N8046" s="55" t="n">
        <f aca="false">(M8044+N8044)/8</f>
        <v>117975.421381999</v>
      </c>
      <c r="P8046" s="55" t="n">
        <f aca="false">SUM(C8046:F8046)</f>
        <v>16010.6971039722</v>
      </c>
      <c r="Q8046" s="55" t="n">
        <f aca="false">SUM(G8046:J8046)</f>
        <v>120443.916389301</v>
      </c>
      <c r="R8046" s="55" t="n">
        <f aca="false">SUM(K8046:N8046)</f>
        <v>358369.16946803</v>
      </c>
      <c r="S8046" s="56" t="n">
        <f aca="false">SUM(P8046:R8046)</f>
        <v>494823.782961303</v>
      </c>
    </row>
    <row r="8047" customFormat="false" ht="15" hidden="false" customHeight="false" outlineLevel="0" collapsed="false">
      <c r="A8047" s="4" t="s">
        <v>544</v>
      </c>
      <c r="B8047" s="36" t="s">
        <v>125</v>
      </c>
      <c r="C8047" s="54" t="n">
        <f aca="false">C8046*Assumptions!$E$76</f>
        <v>0</v>
      </c>
      <c r="D8047" s="54" t="n">
        <f aca="false">D8046*Assumptions!$E$76</f>
        <v>721.21019671899</v>
      </c>
      <c r="E8047" s="54" t="n">
        <f aca="false">E8046*Assumptions!$E$76</f>
        <v>3041.45286821045</v>
      </c>
      <c r="F8047" s="54" t="n">
        <f aca="false">F8046*Assumptions!$E$76</f>
        <v>6644.29005265246</v>
      </c>
      <c r="G8047" s="54" t="n">
        <f aca="false">G8046*Assumptions!$E$76</f>
        <v>10877.7965648792</v>
      </c>
      <c r="H8047" s="54" t="n">
        <f aca="false">H8046*Assumptions!$E$76</f>
        <v>15848.5217144795</v>
      </c>
      <c r="I8047" s="54" t="n">
        <f aca="false">I8046*Assumptions!$E$76</f>
        <v>21889.9944855132</v>
      </c>
      <c r="J8047" s="54" t="n">
        <f aca="false">J8046*Assumptions!$E$76</f>
        <v>29672.2328881741</v>
      </c>
      <c r="K8047" s="54" t="n">
        <f aca="false">K8046*Assumptions!$E$76</f>
        <v>39945.2705935026</v>
      </c>
      <c r="L8047" s="54" t="n">
        <f aca="false">L8046*Assumptions!$E$76</f>
        <v>51950.4677355974</v>
      </c>
      <c r="M8047" s="54" t="n">
        <f aca="false">M8046*Assumptions!$E$76</f>
        <v>64360.1979268202</v>
      </c>
      <c r="N8047" s="54" t="n">
        <f aca="false">N8046*Assumptions!$E$76</f>
        <v>76684.0238982991</v>
      </c>
      <c r="P8047" s="55" t="n">
        <f aca="false">SUM(C8047:F8047)</f>
        <v>10406.9531175819</v>
      </c>
      <c r="Q8047" s="55" t="n">
        <f aca="false">SUM(G8047:J8047)</f>
        <v>78288.545653046</v>
      </c>
      <c r="R8047" s="55" t="n">
        <f aca="false">SUM(K8047:N8047)</f>
        <v>232939.960154219</v>
      </c>
      <c r="S8047" s="56" t="n">
        <f aca="false">SUM(P8047:R8047)</f>
        <v>321635.458924847</v>
      </c>
    </row>
    <row r="8048" customFormat="false" ht="15" hidden="false" customHeight="false" outlineLevel="0" collapsed="false">
      <c r="A8048" s="35" t="s">
        <v>547</v>
      </c>
      <c r="B8048" s="35" t="s">
        <v>444</v>
      </c>
      <c r="C8048" s="6" t="s">
        <v>354</v>
      </c>
      <c r="D8048" s="6" t="s">
        <v>355</v>
      </c>
      <c r="E8048" s="6" t="s">
        <v>356</v>
      </c>
      <c r="F8048" s="6" t="s">
        <v>357</v>
      </c>
      <c r="G8048" s="6" t="s">
        <v>358</v>
      </c>
      <c r="H8048" s="6" t="s">
        <v>359</v>
      </c>
      <c r="I8048" s="6" t="s">
        <v>360</v>
      </c>
      <c r="J8048" s="6" t="s">
        <v>361</v>
      </c>
      <c r="K8048" s="6" t="s">
        <v>362</v>
      </c>
      <c r="L8048" s="6" t="s">
        <v>363</v>
      </c>
      <c r="M8048" s="6" t="s">
        <v>364</v>
      </c>
      <c r="N8048" s="6" t="s">
        <v>365</v>
      </c>
      <c r="P8048" s="6" t="s">
        <v>445</v>
      </c>
      <c r="Q8048" s="6" t="s">
        <v>446</v>
      </c>
      <c r="R8048" s="6" t="s">
        <v>447</v>
      </c>
      <c r="S8048" s="6" t="s">
        <v>448</v>
      </c>
    </row>
    <row r="8049" customFormat="false" ht="15" hidden="false" customHeight="false" outlineLevel="0" collapsed="false">
      <c r="A8049" s="4" t="s">
        <v>548</v>
      </c>
      <c r="B8049" s="36" t="s">
        <v>321</v>
      </c>
      <c r="C8049" s="48" t="n">
        <f aca="false">Assumptions!$D$97*C7991</f>
        <v>1</v>
      </c>
      <c r="D8049" s="48" t="n">
        <f aca="false">Assumptions!$D$97*D7991</f>
        <v>1</v>
      </c>
      <c r="E8049" s="48" t="n">
        <f aca="false">Assumptions!$D$97*E7991</f>
        <v>1</v>
      </c>
      <c r="F8049" s="48" t="n">
        <f aca="false">Assumptions!$D$97*F7991</f>
        <v>1</v>
      </c>
      <c r="G8049" s="48" t="n">
        <f aca="false">Assumptions!$D$97*G7991</f>
        <v>1</v>
      </c>
      <c r="H8049" s="48" t="n">
        <f aca="false">Assumptions!$D$97*H7991</f>
        <v>1</v>
      </c>
      <c r="I8049" s="48" t="n">
        <f aca="false">Assumptions!$D$97*I7991</f>
        <v>1</v>
      </c>
      <c r="J8049" s="48" t="n">
        <f aca="false">Assumptions!$D$97*J7991</f>
        <v>1</v>
      </c>
      <c r="K8049" s="48" t="n">
        <f aca="false">Assumptions!$D$97*K7991</f>
        <v>1</v>
      </c>
      <c r="L8049" s="48" t="n">
        <f aca="false">Assumptions!$D$97*L7991</f>
        <v>1</v>
      </c>
      <c r="M8049" s="48" t="n">
        <f aca="false">Assumptions!$D$97*M7991</f>
        <v>1</v>
      </c>
      <c r="N8049" s="48" t="n">
        <f aca="false">Assumptions!$D$97*N7991</f>
        <v>1</v>
      </c>
      <c r="P8049" s="49" t="n">
        <f aca="false">AVERAGE(C8049:F8049)</f>
        <v>1</v>
      </c>
      <c r="Q8049" s="49" t="n">
        <f aca="false">AVERAGE(G8049:J8049)</f>
        <v>1</v>
      </c>
      <c r="R8049" s="49" t="n">
        <f aca="false">AVERAGE(K8049:N8049)</f>
        <v>1</v>
      </c>
      <c r="S8049" s="50"/>
    </row>
    <row r="8050" customFormat="false" ht="15" hidden="false" customHeight="false" outlineLevel="0" collapsed="false">
      <c r="A8050" s="4" t="s">
        <v>549</v>
      </c>
      <c r="B8050" s="36" t="s">
        <v>321</v>
      </c>
      <c r="C8050" s="48" t="n">
        <f aca="false">C8004*C7991</f>
        <v>0</v>
      </c>
      <c r="D8050" s="48" t="n">
        <f aca="false">D8004*D7991</f>
        <v>0</v>
      </c>
      <c r="E8050" s="48" t="n">
        <f aca="false">E8004*E7991</f>
        <v>0</v>
      </c>
      <c r="F8050" s="48" t="n">
        <f aca="false">F8004*F7991</f>
        <v>0</v>
      </c>
      <c r="G8050" s="48" t="n">
        <f aca="false">G8004*G7991</f>
        <v>0</v>
      </c>
      <c r="H8050" s="48" t="n">
        <f aca="false">H8004*H7991</f>
        <v>0</v>
      </c>
      <c r="I8050" s="48" t="n">
        <f aca="false">I8004*I7991</f>
        <v>0</v>
      </c>
      <c r="J8050" s="48" t="n">
        <f aca="false">J8004*J7991</f>
        <v>0</v>
      </c>
      <c r="K8050" s="48" t="n">
        <f aca="false">K8004*K7991</f>
        <v>0</v>
      </c>
      <c r="L8050" s="48" t="n">
        <f aca="false">L8004*L7991</f>
        <v>0</v>
      </c>
      <c r="M8050" s="48" t="n">
        <f aca="false">M8004*M7991</f>
        <v>0</v>
      </c>
      <c r="N8050" s="48" t="n">
        <f aca="false">N8004*N7991</f>
        <v>0</v>
      </c>
      <c r="P8050" s="49" t="n">
        <f aca="false">AVERAGE(C8050:F8050)</f>
        <v>0</v>
      </c>
      <c r="Q8050" s="49" t="n">
        <f aca="false">AVERAGE(G8050:J8050)</f>
        <v>0</v>
      </c>
      <c r="R8050" s="49" t="n">
        <f aca="false">AVERAGE(K8050:N8050)</f>
        <v>0</v>
      </c>
      <c r="S8050" s="50"/>
    </row>
    <row r="8051" customFormat="false" ht="15" hidden="false" customHeight="false" outlineLevel="0" collapsed="false">
      <c r="A8051" s="4" t="s">
        <v>550</v>
      </c>
      <c r="B8051" s="36" t="s">
        <v>321</v>
      </c>
      <c r="C8051" s="48" t="n">
        <f aca="false">IF(C7990&lt;=4,Assumptions!$D$98,Assumptions!$D$99)*C7991</f>
        <v>0</v>
      </c>
      <c r="D8051" s="48" t="n">
        <f aca="false">IF(D7990&lt;=4,Assumptions!$D$98,Assumptions!$D$99)*D7991</f>
        <v>0</v>
      </c>
      <c r="E8051" s="48" t="n">
        <f aca="false">IF(E7990&lt;=4,Assumptions!$D$98,Assumptions!$D$99)*E7991</f>
        <v>0</v>
      </c>
      <c r="F8051" s="48" t="n">
        <f aca="false">IF(F7990&lt;=4,Assumptions!$D$98,Assumptions!$D$99)*F7991</f>
        <v>0</v>
      </c>
      <c r="G8051" s="48" t="n">
        <f aca="false">IF(G7990&lt;=4,Assumptions!$D$98,Assumptions!$D$99)*G7991</f>
        <v>0.5</v>
      </c>
      <c r="H8051" s="48" t="n">
        <f aca="false">IF(H7990&lt;=4,Assumptions!$D$98,Assumptions!$D$99)*H7991</f>
        <v>0.5</v>
      </c>
      <c r="I8051" s="48" t="n">
        <f aca="false">IF(I7990&lt;=4,Assumptions!$D$98,Assumptions!$D$99)*I7991</f>
        <v>0.5</v>
      </c>
      <c r="J8051" s="48" t="n">
        <f aca="false">IF(J7990&lt;=4,Assumptions!$D$98,Assumptions!$D$99)*J7991</f>
        <v>0.5</v>
      </c>
      <c r="K8051" s="48" t="n">
        <f aca="false">IF(K7990&lt;=4,Assumptions!$D$98,Assumptions!$D$99)*K7991</f>
        <v>0.5</v>
      </c>
      <c r="L8051" s="48" t="n">
        <f aca="false">IF(L7990&lt;=4,Assumptions!$D$98,Assumptions!$D$99)*L7991</f>
        <v>0.5</v>
      </c>
      <c r="M8051" s="48" t="n">
        <f aca="false">IF(M7990&lt;=4,Assumptions!$D$98,Assumptions!$D$99)*M7991</f>
        <v>0.5</v>
      </c>
      <c r="N8051" s="48" t="n">
        <f aca="false">IF(N7990&lt;=4,Assumptions!$D$98,Assumptions!$D$99)*N7991</f>
        <v>0.5</v>
      </c>
      <c r="P8051" s="49" t="n">
        <f aca="false">AVERAGE(C8051:F8051)</f>
        <v>0</v>
      </c>
      <c r="Q8051" s="49" t="n">
        <f aca="false">AVERAGE(G8051:J8051)</f>
        <v>0.5</v>
      </c>
      <c r="R8051" s="49" t="n">
        <f aca="false">AVERAGE(K8051:N8051)</f>
        <v>0.5</v>
      </c>
      <c r="S8051" s="50"/>
    </row>
    <row r="8052" customFormat="false" ht="15" hidden="false" customHeight="false" outlineLevel="0" collapsed="false">
      <c r="A8052" s="4" t="s">
        <v>551</v>
      </c>
      <c r="B8052" s="36" t="s">
        <v>321</v>
      </c>
      <c r="C8052" s="48" t="n">
        <f aca="false">IF(C7990&lt;=4,Assumptions!$D$100,Assumptions!$D$101)*C7991</f>
        <v>1</v>
      </c>
      <c r="D8052" s="48" t="n">
        <f aca="false">IF(D7990&lt;=4,Assumptions!$D$100,Assumptions!$D$101)*D7991</f>
        <v>1</v>
      </c>
      <c r="E8052" s="48" t="n">
        <f aca="false">IF(E7990&lt;=4,Assumptions!$D$100,Assumptions!$D$101)*E7991</f>
        <v>1</v>
      </c>
      <c r="F8052" s="48" t="n">
        <f aca="false">IF(F7990&lt;=4,Assumptions!$D$100,Assumptions!$D$101)*F7991</f>
        <v>1</v>
      </c>
      <c r="G8052" s="48" t="n">
        <f aca="false">IF(G7990&lt;=4,Assumptions!$D$100,Assumptions!$D$101)*G7991</f>
        <v>0.5</v>
      </c>
      <c r="H8052" s="48" t="n">
        <f aca="false">IF(H7990&lt;=4,Assumptions!$D$100,Assumptions!$D$101)*H7991</f>
        <v>0.5</v>
      </c>
      <c r="I8052" s="48" t="n">
        <f aca="false">IF(I7990&lt;=4,Assumptions!$D$100,Assumptions!$D$101)*I7991</f>
        <v>0.5</v>
      </c>
      <c r="J8052" s="48" t="n">
        <f aca="false">IF(J7990&lt;=4,Assumptions!$D$100,Assumptions!$D$101)*J7991</f>
        <v>0.5</v>
      </c>
      <c r="K8052" s="48" t="n">
        <f aca="false">IF(K7990&lt;=4,Assumptions!$D$100,Assumptions!$D$101)*K7991</f>
        <v>0.5</v>
      </c>
      <c r="L8052" s="48" t="n">
        <f aca="false">IF(L7990&lt;=4,Assumptions!$D$100,Assumptions!$D$101)*L7991</f>
        <v>0.5</v>
      </c>
      <c r="M8052" s="48" t="n">
        <f aca="false">IF(M7990&lt;=4,Assumptions!$D$100,Assumptions!$D$101)*M7991</f>
        <v>0.5</v>
      </c>
      <c r="N8052" s="48" t="n">
        <f aca="false">IF(N7990&lt;=4,Assumptions!$D$100,Assumptions!$D$101)*N7991</f>
        <v>0.5</v>
      </c>
      <c r="P8052" s="49" t="n">
        <f aca="false">AVERAGE(C8052:F8052)</f>
        <v>1</v>
      </c>
      <c r="Q8052" s="49" t="n">
        <f aca="false">AVERAGE(G8052:J8052)</f>
        <v>0.5</v>
      </c>
      <c r="R8052" s="49" t="n">
        <f aca="false">AVERAGE(K8052:N8052)</f>
        <v>0.5</v>
      </c>
      <c r="S8052" s="50"/>
    </row>
    <row r="8053" customFormat="false" ht="15" hidden="false" customHeight="false" outlineLevel="0" collapsed="false">
      <c r="A8053" s="4" t="s">
        <v>552</v>
      </c>
      <c r="B8053" s="36" t="s">
        <v>321</v>
      </c>
      <c r="C8053" s="48" t="n">
        <f aca="false">Assumptions!$D$102*C7991</f>
        <v>0.25</v>
      </c>
      <c r="D8053" s="48" t="n">
        <f aca="false">Assumptions!$D$102*D7991</f>
        <v>0.25</v>
      </c>
      <c r="E8053" s="48" t="n">
        <f aca="false">Assumptions!$D$102*E7991</f>
        <v>0.25</v>
      </c>
      <c r="F8053" s="48" t="n">
        <f aca="false">Assumptions!$D$102*F7991</f>
        <v>0.25</v>
      </c>
      <c r="G8053" s="48" t="n">
        <f aca="false">Assumptions!$D$102*G7991</f>
        <v>0.25</v>
      </c>
      <c r="H8053" s="48" t="n">
        <f aca="false">Assumptions!$D$102*H7991</f>
        <v>0.25</v>
      </c>
      <c r="I8053" s="48" t="n">
        <f aca="false">Assumptions!$D$102*I7991</f>
        <v>0.25</v>
      </c>
      <c r="J8053" s="48" t="n">
        <f aca="false">Assumptions!$D$102*J7991</f>
        <v>0.25</v>
      </c>
      <c r="K8053" s="48" t="n">
        <f aca="false">Assumptions!$D$102*K7991</f>
        <v>0.25</v>
      </c>
      <c r="L8053" s="48" t="n">
        <f aca="false">Assumptions!$D$102*L7991</f>
        <v>0.25</v>
      </c>
      <c r="M8053" s="48" t="n">
        <f aca="false">Assumptions!$D$102*M7991</f>
        <v>0.25</v>
      </c>
      <c r="N8053" s="48" t="n">
        <f aca="false">Assumptions!$D$102*N7991</f>
        <v>0.25</v>
      </c>
      <c r="P8053" s="49" t="n">
        <f aca="false">AVERAGE(C8053:F8053)</f>
        <v>0.25</v>
      </c>
      <c r="Q8053" s="49" t="n">
        <f aca="false">AVERAGE(G8053:J8053)</f>
        <v>0.25</v>
      </c>
      <c r="R8053" s="49" t="n">
        <f aca="false">AVERAGE(K8053:N8053)</f>
        <v>0.25</v>
      </c>
      <c r="S8053" s="50"/>
    </row>
    <row r="8054" customFormat="false" ht="15" hidden="false" customHeight="false" outlineLevel="0" collapsed="false">
      <c r="A8054" s="4" t="s">
        <v>553</v>
      </c>
      <c r="B8054" s="36" t="s">
        <v>321</v>
      </c>
      <c r="C8054" s="48" t="n">
        <f aca="false">(C8038+C8039)/Assumptions!$E$74+C8037/Assumptions!$E$75</f>
        <v>0</v>
      </c>
      <c r="D8054" s="48" t="n">
        <f aca="false">(D8038+D8039)/Assumptions!$E$74+D8037/Assumptions!$E$75</f>
        <v>0.0143176301374139</v>
      </c>
      <c r="E8054" s="48" t="n">
        <f aca="false">(E8038+E8039)/Assumptions!$E$74+E8037/Assumptions!$E$75</f>
        <v>0.0402499456767798</v>
      </c>
      <c r="F8054" s="48" t="n">
        <f aca="false">(F8038+F8039)/Assumptions!$E$74+F8037/Assumptions!$E$75</f>
        <v>0.069296156601371</v>
      </c>
      <c r="G8054" s="48" t="n">
        <f aca="false">(G8038+G8039)/Assumptions!$E$74+G8037/Assumptions!$E$75</f>
        <v>0.100475077199051</v>
      </c>
      <c r="H8054" s="48" t="n">
        <f aca="false">(H8038+H8039)/Assumptions!$E$74+H8037/Assumptions!$E$75</f>
        <v>0.139084643227244</v>
      </c>
      <c r="I8054" s="48" t="n">
        <f aca="false">(I8038+I8039)/Assumptions!$E$74+I8037/Assumptions!$E$75</f>
        <v>0.184756080005146</v>
      </c>
      <c r="J8054" s="48" t="n">
        <f aca="false">(J8038+J8039)/Assumptions!$E$74+J8037/Assumptions!$E$75</f>
        <v>0.248473880206466</v>
      </c>
      <c r="K8054" s="48" t="n">
        <f aca="false">(K8038+K8039)/Assumptions!$E$74+K8037/Assumptions!$E$75</f>
        <v>0.329218871456529</v>
      </c>
      <c r="L8054" s="48" t="n">
        <f aca="false">(L8038+L8039)/Assumptions!$E$74+L8037/Assumptions!$E$75</f>
        <v>0.409912468045788</v>
      </c>
      <c r="M8054" s="48" t="n">
        <f aca="false">(M8038+M8039)/Assumptions!$E$74+M8037/Assumptions!$E$75</f>
        <v>0.486094517455055</v>
      </c>
      <c r="N8054" s="48" t="n">
        <f aca="false">(N8038+N8039)/Assumptions!$E$74+N8037/Assumptions!$E$75</f>
        <v>0.557753573090085</v>
      </c>
      <c r="P8054" s="49" t="n">
        <f aca="false">AVERAGE(C8054:F8054)</f>
        <v>0.0309659331038912</v>
      </c>
      <c r="Q8054" s="49" t="n">
        <f aca="false">AVERAGE(G8054:J8054)</f>
        <v>0.168197420159477</v>
      </c>
      <c r="R8054" s="49" t="n">
        <f aca="false">AVERAGE(K8054:N8054)</f>
        <v>0.445744857511864</v>
      </c>
      <c r="S8054" s="50"/>
    </row>
    <row r="8055" customFormat="false" ht="15" hidden="false" customHeight="false" outlineLevel="0" collapsed="false">
      <c r="A8055" s="4" t="s">
        <v>554</v>
      </c>
      <c r="B8055" s="36" t="s">
        <v>125</v>
      </c>
      <c r="C8055" s="54" t="n">
        <f aca="false">(C8049+C8051)*Assumptions!$E$70/Assumptions!$E$69/4</f>
        <v>66753.5714285714</v>
      </c>
      <c r="D8055" s="54" t="n">
        <f aca="false">(D8049+D8051)*Assumptions!$E$70/Assumptions!$E$69/4</f>
        <v>66753.5714285714</v>
      </c>
      <c r="E8055" s="54" t="n">
        <f aca="false">(E8049+E8051)*Assumptions!$E$70/Assumptions!$E$69/4</f>
        <v>66753.5714285714</v>
      </c>
      <c r="F8055" s="54" t="n">
        <f aca="false">(F8049+F8051)*Assumptions!$E$70/Assumptions!$E$69/4</f>
        <v>66753.5714285714</v>
      </c>
      <c r="G8055" s="54" t="n">
        <f aca="false">(G8049+G8051)*Assumptions!$E$70/Assumptions!$E$69/4</f>
        <v>100130.357142857</v>
      </c>
      <c r="H8055" s="54" t="n">
        <f aca="false">(H8049+H8051)*Assumptions!$E$70/Assumptions!$E$69/4</f>
        <v>100130.357142857</v>
      </c>
      <c r="I8055" s="54" t="n">
        <f aca="false">(I8049+I8051)*Assumptions!$E$70/Assumptions!$E$69/4</f>
        <v>100130.357142857</v>
      </c>
      <c r="J8055" s="54" t="n">
        <f aca="false">(J8049+J8051)*Assumptions!$E$70/Assumptions!$E$69/4</f>
        <v>100130.357142857</v>
      </c>
      <c r="K8055" s="54" t="n">
        <f aca="false">(K8049+K8051)*Assumptions!$E$70/Assumptions!$E$69/4</f>
        <v>100130.357142857</v>
      </c>
      <c r="L8055" s="54" t="n">
        <f aca="false">(L8049+L8051)*Assumptions!$E$70/Assumptions!$E$69/4</f>
        <v>100130.357142857</v>
      </c>
      <c r="M8055" s="54" t="n">
        <f aca="false">(M8049+M8051)*Assumptions!$E$70/Assumptions!$E$69/4</f>
        <v>100130.357142857</v>
      </c>
      <c r="N8055" s="54" t="n">
        <f aca="false">(N8049+N8051)*Assumptions!$E$70/Assumptions!$E$69/4</f>
        <v>100130.357142857</v>
      </c>
      <c r="P8055" s="55" t="n">
        <f aca="false">SUM(C8055:F8055)</f>
        <v>267014.285714286</v>
      </c>
      <c r="Q8055" s="55" t="n">
        <f aca="false">SUM(G8055:J8055)</f>
        <v>400521.428571429</v>
      </c>
      <c r="R8055" s="55" t="n">
        <f aca="false">SUM(K8055:N8055)</f>
        <v>400521.428571429</v>
      </c>
      <c r="S8055" s="56" t="n">
        <f aca="false">SUM(P8055:R8055)</f>
        <v>1068057.14285714</v>
      </c>
    </row>
    <row r="8056" customFormat="false" ht="15" hidden="false" customHeight="false" outlineLevel="0" collapsed="false">
      <c r="A8056" s="4" t="s">
        <v>555</v>
      </c>
      <c r="B8056" s="36" t="s">
        <v>125</v>
      </c>
      <c r="C8056" s="54" t="n">
        <f aca="false">C8050*$C$7985/4</f>
        <v>0</v>
      </c>
      <c r="D8056" s="54" t="n">
        <f aca="false">D8050*$C$7985/4</f>
        <v>0</v>
      </c>
      <c r="E8056" s="54" t="n">
        <f aca="false">E8050*$C$7985/4</f>
        <v>0</v>
      </c>
      <c r="F8056" s="54" t="n">
        <f aca="false">F8050*$C$7985/4</f>
        <v>0</v>
      </c>
      <c r="G8056" s="54" t="n">
        <f aca="false">G8050*$C$7985/4</f>
        <v>0</v>
      </c>
      <c r="H8056" s="54" t="n">
        <f aca="false">H8050*$C$7985/4</f>
        <v>0</v>
      </c>
      <c r="I8056" s="54" t="n">
        <f aca="false">I8050*$C$7985/4</f>
        <v>0</v>
      </c>
      <c r="J8056" s="54" t="n">
        <f aca="false">J8050*$C$7985/4</f>
        <v>0</v>
      </c>
      <c r="K8056" s="54" t="n">
        <f aca="false">K8050*$C$7985/4</f>
        <v>0</v>
      </c>
      <c r="L8056" s="54" t="n">
        <f aca="false">L8050*$C$7985/4</f>
        <v>0</v>
      </c>
      <c r="M8056" s="54" t="n">
        <f aca="false">M8050*$C$7985/4</f>
        <v>0</v>
      </c>
      <c r="N8056" s="54" t="n">
        <f aca="false">N8050*$C$7985/4</f>
        <v>0</v>
      </c>
      <c r="P8056" s="55" t="n">
        <f aca="false">SUM(C8056:F8056)</f>
        <v>0</v>
      </c>
      <c r="Q8056" s="55" t="n">
        <f aca="false">SUM(G8056:J8056)</f>
        <v>0</v>
      </c>
      <c r="R8056" s="55" t="n">
        <f aca="false">SUM(K8056:N8056)</f>
        <v>0</v>
      </c>
      <c r="S8056" s="56" t="n">
        <f aca="false">SUM(P8056:R8056)</f>
        <v>0</v>
      </c>
    </row>
    <row r="8057" customFormat="false" ht="15" hidden="false" customHeight="false" outlineLevel="0" collapsed="false">
      <c r="A8057" s="4" t="s">
        <v>556</v>
      </c>
      <c r="B8057" s="36" t="s">
        <v>125</v>
      </c>
      <c r="C8057" s="54" t="n">
        <f aca="false">MAX(0,(C8045-C8026*$C$7981)-C8005*$C$7986)*$C$7987*Assumptions!$D$105</f>
        <v>0</v>
      </c>
      <c r="D8057" s="54" t="n">
        <f aca="false">MAX(0,(D8045-D8026*$C$7981)-D8005*$C$7986)*$C$7987*Assumptions!$D$105</f>
        <v>3491.72206180778</v>
      </c>
      <c r="E8057" s="54" t="n">
        <f aca="false">MAX(0,(E8045-E8026*$C$7981)-E8005*$C$7986)*$C$7987*Assumptions!$D$105</f>
        <v>8039.09651874593</v>
      </c>
      <c r="F8057" s="54" t="n">
        <f aca="false">MAX(0,(F8045-F8026*$C$7981)-F8005*$C$7986)*$C$7987*Assumptions!$D$105</f>
        <v>10124.750003461</v>
      </c>
      <c r="G8057" s="54" t="n">
        <f aca="false">MAX(0,(G8045-G8026*$C$7981)-G8005*$C$7986)*$C$7987*Assumptions!$D$105</f>
        <v>11120.4562644655</v>
      </c>
      <c r="H8057" s="54" t="n">
        <f aca="false">MAX(0,(H8045-H8026*$C$7981)-H8005*$C$7986)*$C$7987*Assumptions!$D$105</f>
        <v>13463.0357338943</v>
      </c>
      <c r="I8057" s="54" t="n">
        <f aca="false">MAX(0,(I8045-I8026*$C$7981)-I8005*$C$7986)*$C$7987*Assumptions!$D$105</f>
        <v>16072.2164343224</v>
      </c>
      <c r="J8057" s="54" t="n">
        <f aca="false">MAX(0,(J8045-J8026*$C$7981)-J8005*$C$7986)*$C$7987*Assumptions!$D$105</f>
        <v>21559.8957723031</v>
      </c>
      <c r="K8057" s="54" t="n">
        <f aca="false">MAX(0,(K8045-K8026*$C$7981)-K8005*$C$7986)*$C$7987*Assumptions!$D$105</f>
        <v>27808.6094682429</v>
      </c>
      <c r="L8057" s="54" t="n">
        <f aca="false">MAX(0,(L8045-L8026*$C$7981)-L8005*$C$7986)*$C$7987*Assumptions!$D$105</f>
        <v>29735.5837530454</v>
      </c>
      <c r="M8057" s="54" t="n">
        <f aca="false">MAX(0,(M8045-M8026*$C$7981)-M8005*$C$7986)*$C$7987*Assumptions!$D$105</f>
        <v>29201.3815340945</v>
      </c>
      <c r="N8057" s="54" t="n">
        <f aca="false">MAX(0,(N8045-N8026*$C$7981)-N8005*$C$7986)*$C$7987*Assumptions!$D$105</f>
        <v>28360.6706538674</v>
      </c>
      <c r="P8057" s="55" t="n">
        <f aca="false">SUM(C8057:F8057)</f>
        <v>21655.5685840147</v>
      </c>
      <c r="Q8057" s="55" t="n">
        <f aca="false">SUM(G8057:J8057)</f>
        <v>62215.6042049852</v>
      </c>
      <c r="R8057" s="55" t="n">
        <f aca="false">SUM(K8057:N8057)</f>
        <v>115106.24540925</v>
      </c>
      <c r="S8057" s="56" t="n">
        <f aca="false">SUM(P8057:R8057)</f>
        <v>198977.41819825</v>
      </c>
    </row>
    <row r="8058" customFormat="false" ht="15" hidden="false" customHeight="false" outlineLevel="0" collapsed="false">
      <c r="A8058" s="4" t="s">
        <v>557</v>
      </c>
      <c r="B8058" s="36" t="s">
        <v>125</v>
      </c>
      <c r="C8058" s="54" t="n">
        <f aca="false">C8053*Assumptions!$E$71/Assumptions!$E$69/4</f>
        <v>18475.8928571429</v>
      </c>
      <c r="D8058" s="54" t="n">
        <f aca="false">D8053*Assumptions!$E$71/Assumptions!$E$69/4</f>
        <v>18475.8928571429</v>
      </c>
      <c r="E8058" s="54" t="n">
        <f aca="false">E8053*Assumptions!$E$71/Assumptions!$E$69/4</f>
        <v>18475.8928571429</v>
      </c>
      <c r="F8058" s="54" t="n">
        <f aca="false">F8053*Assumptions!$E$71/Assumptions!$E$69/4</f>
        <v>18475.8928571429</v>
      </c>
      <c r="G8058" s="54" t="n">
        <f aca="false">G8053*Assumptions!$E$71/Assumptions!$E$69/4</f>
        <v>18475.8928571429</v>
      </c>
      <c r="H8058" s="54" t="n">
        <f aca="false">H8053*Assumptions!$E$71/Assumptions!$E$69/4</f>
        <v>18475.8928571429</v>
      </c>
      <c r="I8058" s="54" t="n">
        <f aca="false">I8053*Assumptions!$E$71/Assumptions!$E$69/4</f>
        <v>18475.8928571429</v>
      </c>
      <c r="J8058" s="54" t="n">
        <f aca="false">J8053*Assumptions!$E$71/Assumptions!$E$69/4</f>
        <v>18475.8928571429</v>
      </c>
      <c r="K8058" s="54" t="n">
        <f aca="false">K8053*Assumptions!$E$71/Assumptions!$E$69/4</f>
        <v>18475.8928571429</v>
      </c>
      <c r="L8058" s="54" t="n">
        <f aca="false">L8053*Assumptions!$E$71/Assumptions!$E$69/4</f>
        <v>18475.8928571429</v>
      </c>
      <c r="M8058" s="54" t="n">
        <f aca="false">M8053*Assumptions!$E$71/Assumptions!$E$69/4</f>
        <v>18475.8928571429</v>
      </c>
      <c r="N8058" s="54" t="n">
        <f aca="false">N8053*Assumptions!$E$71/Assumptions!$E$69/4</f>
        <v>18475.8928571429</v>
      </c>
      <c r="P8058" s="55" t="n">
        <f aca="false">SUM(C8058:F8058)</f>
        <v>73903.5714285714</v>
      </c>
      <c r="Q8058" s="55" t="n">
        <f aca="false">SUM(G8058:J8058)</f>
        <v>73903.5714285714</v>
      </c>
      <c r="R8058" s="55" t="n">
        <f aca="false">SUM(K8058:N8058)</f>
        <v>73903.5714285714</v>
      </c>
      <c r="S8058" s="56" t="n">
        <f aca="false">SUM(P8058:R8058)</f>
        <v>221710.714285714</v>
      </c>
    </row>
    <row r="8059" customFormat="false" ht="15" hidden="false" customHeight="false" outlineLevel="0" collapsed="false">
      <c r="A8059" s="4" t="s">
        <v>558</v>
      </c>
      <c r="B8059" s="36" t="s">
        <v>125</v>
      </c>
      <c r="C8059" s="54" t="n">
        <f aca="false">(Assumptions!$D$103+Assumptions!$E$77*((C7990=Assumptions!$E$13)+(C7990=Assumptions!$E$14)+(C7990=Assumptions!$E$15)))*C7991</f>
        <v>65000</v>
      </c>
      <c r="D8059" s="54" t="n">
        <f aca="false">(Assumptions!$D$103+Assumptions!$E$77*((D7990=Assumptions!$E$13)+(D7990=Assumptions!$E$14)+(D7990=Assumptions!$E$15)))*D7991</f>
        <v>25000</v>
      </c>
      <c r="E8059" s="54" t="n">
        <f aca="false">(Assumptions!$D$103+Assumptions!$E$77*((E7990=Assumptions!$E$13)+(E7990=Assumptions!$E$14)+(E7990=Assumptions!$E$15)))*E7991</f>
        <v>25000</v>
      </c>
      <c r="F8059" s="54" t="n">
        <f aca="false">(Assumptions!$D$103+Assumptions!$E$77*((F7990=Assumptions!$E$13)+(F7990=Assumptions!$E$14)+(F7990=Assumptions!$E$15)))*F7991</f>
        <v>25000</v>
      </c>
      <c r="G8059" s="54" t="n">
        <f aca="false">(Assumptions!$D$103+Assumptions!$E$77*((G7990=Assumptions!$E$13)+(G7990=Assumptions!$E$14)+(G7990=Assumptions!$E$15)))*G7991</f>
        <v>65000</v>
      </c>
      <c r="H8059" s="54" t="n">
        <f aca="false">(Assumptions!$D$103+Assumptions!$E$77*((H7990=Assumptions!$E$13)+(H7990=Assumptions!$E$14)+(H7990=Assumptions!$E$15)))*H7991</f>
        <v>25000</v>
      </c>
      <c r="I8059" s="54" t="n">
        <f aca="false">(Assumptions!$D$103+Assumptions!$E$77*((I7990=Assumptions!$E$13)+(I7990=Assumptions!$E$14)+(I7990=Assumptions!$E$15)))*I7991</f>
        <v>65000</v>
      </c>
      <c r="J8059" s="54" t="n">
        <f aca="false">(Assumptions!$D$103+Assumptions!$E$77*((J7990=Assumptions!$E$13)+(J7990=Assumptions!$E$14)+(J7990=Assumptions!$E$15)))*J7991</f>
        <v>25000</v>
      </c>
      <c r="K8059" s="54" t="n">
        <f aca="false">(Assumptions!$D$103+Assumptions!$E$77*((K7990=Assumptions!$E$13)+(K7990=Assumptions!$E$14)+(K7990=Assumptions!$E$15)))*K7991</f>
        <v>25000</v>
      </c>
      <c r="L8059" s="54" t="n">
        <f aca="false">(Assumptions!$D$103+Assumptions!$E$77*((L7990=Assumptions!$E$13)+(L7990=Assumptions!$E$14)+(L7990=Assumptions!$E$15)))*L7991</f>
        <v>25000</v>
      </c>
      <c r="M8059" s="54" t="n">
        <f aca="false">(Assumptions!$D$103+Assumptions!$E$77*((M7990=Assumptions!$E$13)+(M7990=Assumptions!$E$14)+(M7990=Assumptions!$E$15)))*M7991</f>
        <v>25000</v>
      </c>
      <c r="N8059" s="54" t="n">
        <f aca="false">(Assumptions!$D$103+Assumptions!$E$77*((N7990=Assumptions!$E$13)+(N7990=Assumptions!$E$14)+(N7990=Assumptions!$E$15)))*N7991</f>
        <v>25000</v>
      </c>
      <c r="P8059" s="55" t="n">
        <f aca="false">SUM(C8059:F8059)</f>
        <v>140000</v>
      </c>
      <c r="Q8059" s="55" t="n">
        <f aca="false">SUM(G8059:J8059)</f>
        <v>180000</v>
      </c>
      <c r="R8059" s="55" t="n">
        <f aca="false">SUM(K8059:N8059)</f>
        <v>100000</v>
      </c>
      <c r="S8059" s="56" t="n">
        <f aca="false">SUM(P8059:R8059)</f>
        <v>420000</v>
      </c>
    </row>
    <row r="8060" customFormat="false" ht="15" hidden="false" customHeight="false" outlineLevel="0" collapsed="false">
      <c r="A8060" s="4" t="s">
        <v>559</v>
      </c>
      <c r="B8060" s="36" t="s">
        <v>125</v>
      </c>
      <c r="C8060" s="54" t="n">
        <f aca="false">C8045*C8025*Assumptions!$E$79</f>
        <v>0</v>
      </c>
      <c r="D8060" s="54" t="n">
        <f aca="false">D8045*D8025*Assumptions!$E$79</f>
        <v>815.338873355417</v>
      </c>
      <c r="E8060" s="54" t="n">
        <f aca="false">E8045*E8025*Assumptions!$E$79</f>
        <v>1576.95453714349</v>
      </c>
      <c r="F8060" s="54" t="n">
        <f aca="false">F8045*F8025*Assumptions!$E$79</f>
        <v>2363.78759030579</v>
      </c>
      <c r="G8060" s="54" t="n">
        <f aca="false">G8045*G8025*Assumptions!$E$79</f>
        <v>2961.23316349717</v>
      </c>
      <c r="H8060" s="54" t="n">
        <f aca="false">H8045*H8025*Assumptions!$E$79</f>
        <v>3401.8566535345</v>
      </c>
      <c r="I8060" s="54" t="n">
        <f aca="false">I8045*I8025*Assumptions!$E$79</f>
        <v>3951.44098442022</v>
      </c>
      <c r="J8060" s="54" t="n">
        <f aca="false">J8045*J8025*Assumptions!$E$79</f>
        <v>4240.17604272452</v>
      </c>
      <c r="K8060" s="54" t="n">
        <f aca="false">K8045*K8025*Assumptions!$E$79</f>
        <v>4805.46240923336</v>
      </c>
      <c r="L8060" s="54" t="n">
        <f aca="false">L8045*L8025*Assumptions!$E$79</f>
        <v>5627.63185752923</v>
      </c>
      <c r="M8060" s="54" t="n">
        <f aca="false">M8045*M8025*Assumptions!$E$79</f>
        <v>5687.10015383768</v>
      </c>
      <c r="N8060" s="54" t="n">
        <f aca="false">N8045*N8025*Assumptions!$E$79</f>
        <v>5685.06198652904</v>
      </c>
      <c r="P8060" s="55" t="n">
        <f aca="false">SUM(C8060:F8060)</f>
        <v>4756.0810008047</v>
      </c>
      <c r="Q8060" s="55" t="n">
        <f aca="false">SUM(G8060:J8060)</f>
        <v>14554.7068441764</v>
      </c>
      <c r="R8060" s="55" t="n">
        <f aca="false">SUM(K8060:N8060)</f>
        <v>21805.2564071293</v>
      </c>
      <c r="S8060" s="56" t="n">
        <f aca="false">SUM(P8060:R8060)</f>
        <v>41116.0442521104</v>
      </c>
    </row>
    <row r="8061" customFormat="false" ht="15" hidden="false" customHeight="false" outlineLevel="0" collapsed="false">
      <c r="A8061" s="4" t="s">
        <v>560</v>
      </c>
      <c r="B8061" s="36" t="s">
        <v>125</v>
      </c>
      <c r="C8061" s="54" t="n">
        <f aca="false">C8010*Assumptions!$E$80</f>
        <v>4000</v>
      </c>
      <c r="D8061" s="54" t="n">
        <f aca="false">D8010*Assumptions!$E$80</f>
        <v>6000</v>
      </c>
      <c r="E8061" s="54" t="n">
        <f aca="false">E8010*Assumptions!$E$80</f>
        <v>8000</v>
      </c>
      <c r="F8061" s="54" t="n">
        <f aca="false">F8010*Assumptions!$E$80</f>
        <v>10000</v>
      </c>
      <c r="G8061" s="54" t="n">
        <f aca="false">G8010*Assumptions!$E$80</f>
        <v>12000</v>
      </c>
      <c r="H8061" s="54" t="n">
        <f aca="false">H8010*Assumptions!$E$80</f>
        <v>14000</v>
      </c>
      <c r="I8061" s="54" t="n">
        <f aca="false">I8010*Assumptions!$E$80</f>
        <v>16000</v>
      </c>
      <c r="J8061" s="54" t="n">
        <f aca="false">J8010*Assumptions!$E$80</f>
        <v>18000</v>
      </c>
      <c r="K8061" s="54" t="n">
        <f aca="false">K8010*Assumptions!$E$80</f>
        <v>20000</v>
      </c>
      <c r="L8061" s="54" t="n">
        <f aca="false">L8010*Assumptions!$E$80</f>
        <v>20000</v>
      </c>
      <c r="M8061" s="54" t="n">
        <f aca="false">M8010*Assumptions!$E$80</f>
        <v>20000</v>
      </c>
      <c r="N8061" s="54" t="n">
        <f aca="false">N8010*Assumptions!$E$80</f>
        <v>20000</v>
      </c>
      <c r="P8061" s="55" t="n">
        <f aca="false">SUM(C8061:F8061)</f>
        <v>28000</v>
      </c>
      <c r="Q8061" s="55" t="n">
        <f aca="false">SUM(G8061:J8061)</f>
        <v>60000</v>
      </c>
      <c r="R8061" s="55" t="n">
        <f aca="false">SUM(K8061:N8061)</f>
        <v>80000</v>
      </c>
      <c r="S8061" s="56" t="n">
        <f aca="false">SUM(P8061:R8061)</f>
        <v>168000</v>
      </c>
    </row>
    <row r="8062" customFormat="false" ht="15" hidden="false" customHeight="false" outlineLevel="0" collapsed="false">
      <c r="A8062" s="4" t="s">
        <v>561</v>
      </c>
      <c r="B8062" s="36" t="s">
        <v>125</v>
      </c>
      <c r="C8062" s="54" t="n">
        <f aca="false">(C8033*$C$7982+C8034*$C$7983)*Assumptions!$E$81</f>
        <v>0</v>
      </c>
      <c r="D8062" s="54" t="n">
        <f aca="false">(D8033*$C$7982+D8034*$C$7983)*Assumptions!$E$81</f>
        <v>635.937968364564</v>
      </c>
      <c r="E8062" s="54" t="n">
        <f aca="false">(E8033*$C$7982+E8034*$C$7983)*Assumptions!$E$81</f>
        <v>1750.54055351793</v>
      </c>
      <c r="F8062" s="54" t="n">
        <f aca="false">(F8033*$C$7982+F8034*$C$7983)*Assumptions!$E$81</f>
        <v>2334.90810210795</v>
      </c>
      <c r="G8062" s="54" t="n">
        <f aca="false">(G8033*$C$7982+G8034*$C$7983)*Assumptions!$E$81</f>
        <v>2567.01977128764</v>
      </c>
      <c r="H8062" s="54" t="n">
        <f aca="false">(H8033*$C$7982+H8034*$C$7983)*Assumptions!$E$81</f>
        <v>3030.96924471942</v>
      </c>
      <c r="I8062" s="54" t="n">
        <f aca="false">(I8033*$C$7982+I8034*$C$7983)*Assumptions!$E$81</f>
        <v>3599.72954781419</v>
      </c>
      <c r="J8062" s="54" t="n">
        <f aca="false">(J8033*$C$7982+J8034*$C$7983)*Assumptions!$E$81</f>
        <v>4611.5696968051</v>
      </c>
      <c r="K8062" s="54" t="n">
        <f aca="false">(K8033*$C$7982+K8034*$C$7983)*Assumptions!$E$81</f>
        <v>5939.56455642065</v>
      </c>
      <c r="L8062" s="54" t="n">
        <f aca="false">(L8033*$C$7982+L8034*$C$7983)*Assumptions!$E$81</f>
        <v>6537.87185823684</v>
      </c>
      <c r="M8062" s="54" t="n">
        <f aca="false">(M8033*$C$7982+M8034*$C$7983)*Assumptions!$E$81</f>
        <v>6455.63010570383</v>
      </c>
      <c r="N8062" s="54" t="n">
        <f aca="false">(N8033*$C$7982+N8034*$C$7983)*Assumptions!$E$81</f>
        <v>6268.61318404599</v>
      </c>
      <c r="P8062" s="55" t="n">
        <f aca="false">SUM(C8062:F8062)</f>
        <v>4721.38662399044</v>
      </c>
      <c r="Q8062" s="55" t="n">
        <f aca="false">SUM(G8062:J8062)</f>
        <v>13809.2882606264</v>
      </c>
      <c r="R8062" s="55" t="n">
        <f aca="false">SUM(K8062:N8062)</f>
        <v>25201.6797044073</v>
      </c>
      <c r="S8062" s="56" t="n">
        <f aca="false">SUM(P8062:R8062)</f>
        <v>43732.3545890241</v>
      </c>
    </row>
    <row r="8063" customFormat="false" ht="15" hidden="false" customHeight="false" outlineLevel="0" collapsed="false">
      <c r="A8063" s="9" t="s">
        <v>562</v>
      </c>
      <c r="B8063" s="36" t="s">
        <v>125</v>
      </c>
      <c r="C8063" s="55" t="n">
        <f aca="false">C8055+C8056+C8057+C8058+C8059+C8060+C8061+C8062</f>
        <v>154229.464285714</v>
      </c>
      <c r="D8063" s="55" t="n">
        <f aca="false">D8055+D8056+D8057+D8058+D8059+D8060+D8061+D8062</f>
        <v>121172.463189242</v>
      </c>
      <c r="E8063" s="55" t="n">
        <f aca="false">E8055+E8056+E8057+E8058+E8059+E8060+E8061+E8062</f>
        <v>129596.055895122</v>
      </c>
      <c r="F8063" s="55" t="n">
        <f aca="false">F8055+F8056+F8057+F8058+F8059+F8060+F8061+F8062</f>
        <v>135052.909981589</v>
      </c>
      <c r="G8063" s="55" t="n">
        <f aca="false">G8055+G8056+G8057+G8058+G8059+G8060+G8061+G8062</f>
        <v>212254.95919925</v>
      </c>
      <c r="H8063" s="55" t="n">
        <f aca="false">H8055+H8056+H8057+H8058+H8059+H8060+H8061+H8062</f>
        <v>177502.111632148</v>
      </c>
      <c r="I8063" s="55" t="n">
        <f aca="false">I8055+I8056+I8057+I8058+I8059+I8060+I8061+I8062</f>
        <v>223229.636966557</v>
      </c>
      <c r="J8063" s="55" t="n">
        <f aca="false">J8055+J8056+J8057+J8058+J8059+J8060+J8061+J8062</f>
        <v>192017.891511833</v>
      </c>
      <c r="K8063" s="55" t="n">
        <f aca="false">K8055+K8056+K8057+K8058+K8059+K8060+K8061+K8062</f>
        <v>202159.886433897</v>
      </c>
      <c r="L8063" s="55" t="n">
        <f aca="false">L8055+L8056+L8057+L8058+L8059+L8060+L8061+L8062</f>
        <v>205507.337468812</v>
      </c>
      <c r="M8063" s="55" t="n">
        <f aca="false">M8055+M8056+M8057+M8058+M8059+M8060+M8061+M8062</f>
        <v>204950.361793636</v>
      </c>
      <c r="N8063" s="55" t="n">
        <f aca="false">N8055+N8056+N8057+N8058+N8059+N8060+N8061+N8062</f>
        <v>203920.595824442</v>
      </c>
      <c r="P8063" s="55" t="n">
        <f aca="false">SUM(C8063:F8063)</f>
        <v>540050.893351667</v>
      </c>
      <c r="Q8063" s="55" t="n">
        <f aca="false">SUM(G8063:J8063)</f>
        <v>805004.599309788</v>
      </c>
      <c r="R8063" s="55" t="n">
        <f aca="false">SUM(K8063:N8063)</f>
        <v>816538.181520787</v>
      </c>
      <c r="S8063" s="56" t="n">
        <f aca="false">SUM(P8063:R8063)</f>
        <v>2161593.67418224</v>
      </c>
    </row>
    <row r="8064" customFormat="false" ht="15" hidden="false" customHeight="false" outlineLevel="0" collapsed="false">
      <c r="A8064" s="4" t="s">
        <v>563</v>
      </c>
      <c r="B8064" s="36" t="s">
        <v>125</v>
      </c>
      <c r="C8064" s="54" t="n">
        <f aca="false">C8052*Assumptions!$E$72/Assumptions!$E$69/4</f>
        <v>56535.7142857143</v>
      </c>
      <c r="D8064" s="54" t="n">
        <f aca="false">D8052*Assumptions!$E$72/Assumptions!$E$69/4</f>
        <v>56535.7142857143</v>
      </c>
      <c r="E8064" s="54" t="n">
        <f aca="false">E8052*Assumptions!$E$72/Assumptions!$E$69/4</f>
        <v>56535.7142857143</v>
      </c>
      <c r="F8064" s="54" t="n">
        <f aca="false">F8052*Assumptions!$E$72/Assumptions!$E$69/4</f>
        <v>56535.7142857143</v>
      </c>
      <c r="G8064" s="54" t="n">
        <f aca="false">G8052*Assumptions!$E$72/Assumptions!$E$69/4</f>
        <v>28267.8571428571</v>
      </c>
      <c r="H8064" s="54" t="n">
        <f aca="false">H8052*Assumptions!$E$72/Assumptions!$E$69/4</f>
        <v>28267.8571428571</v>
      </c>
      <c r="I8064" s="54" t="n">
        <f aca="false">I8052*Assumptions!$E$72/Assumptions!$E$69/4</f>
        <v>28267.8571428571</v>
      </c>
      <c r="J8064" s="54" t="n">
        <f aca="false">J8052*Assumptions!$E$72/Assumptions!$E$69/4</f>
        <v>28267.8571428571</v>
      </c>
      <c r="K8064" s="54" t="n">
        <f aca="false">K8052*Assumptions!$E$72/Assumptions!$E$69/4</f>
        <v>28267.8571428571</v>
      </c>
      <c r="L8064" s="54" t="n">
        <f aca="false">L8052*Assumptions!$E$72/Assumptions!$E$69/4</f>
        <v>28267.8571428571</v>
      </c>
      <c r="M8064" s="54" t="n">
        <f aca="false">M8052*Assumptions!$E$72/Assumptions!$E$69/4</f>
        <v>28267.8571428571</v>
      </c>
      <c r="N8064" s="54" t="n">
        <f aca="false">N8052*Assumptions!$E$72/Assumptions!$E$69/4</f>
        <v>28267.8571428571</v>
      </c>
      <c r="P8064" s="55" t="n">
        <f aca="false">SUM(C8064:F8064)</f>
        <v>226142.857142857</v>
      </c>
      <c r="Q8064" s="55" t="n">
        <f aca="false">SUM(G8064:J8064)</f>
        <v>113071.428571429</v>
      </c>
      <c r="R8064" s="55" t="n">
        <f aca="false">SUM(K8064:N8064)</f>
        <v>113071.428571429</v>
      </c>
      <c r="S8064" s="56" t="n">
        <f aca="false">SUM(P8064:R8064)</f>
        <v>452285.714285714</v>
      </c>
    </row>
    <row r="8065" customFormat="false" ht="15" hidden="false" customHeight="false" outlineLevel="0" collapsed="false">
      <c r="A8065" s="4" t="s">
        <v>564</v>
      </c>
      <c r="B8065" s="36" t="s">
        <v>125</v>
      </c>
      <c r="C8065" s="54" t="n">
        <f aca="false">IF(C7990&lt;=Assumptions!$E$83,Assumptions!$E$82*Assumptions!$D$108/Assumptions!$E$83,0)</f>
        <v>62500</v>
      </c>
      <c r="D8065" s="54" t="n">
        <f aca="false">IF(D7990&lt;=Assumptions!$E$83,Assumptions!$E$82*Assumptions!$D$108/Assumptions!$E$83,0)</f>
        <v>62500</v>
      </c>
      <c r="E8065" s="54" t="n">
        <f aca="false">IF(E7990&lt;=Assumptions!$E$83,Assumptions!$E$82*Assumptions!$D$108/Assumptions!$E$83,0)</f>
        <v>62500</v>
      </c>
      <c r="F8065" s="54" t="n">
        <f aca="false">IF(F7990&lt;=Assumptions!$E$83,Assumptions!$E$82*Assumptions!$D$108/Assumptions!$E$83,0)</f>
        <v>62500</v>
      </c>
      <c r="G8065" s="54" t="n">
        <f aca="false">IF(G7990&lt;=Assumptions!$E$83,Assumptions!$E$82*Assumptions!$D$108/Assumptions!$E$83,0)</f>
        <v>0</v>
      </c>
      <c r="H8065" s="54" t="n">
        <f aca="false">IF(H7990&lt;=Assumptions!$E$83,Assumptions!$E$82*Assumptions!$D$108/Assumptions!$E$83,0)</f>
        <v>0</v>
      </c>
      <c r="I8065" s="54" t="n">
        <f aca="false">IF(I7990&lt;=Assumptions!$E$83,Assumptions!$E$82*Assumptions!$D$108/Assumptions!$E$83,0)</f>
        <v>0</v>
      </c>
      <c r="J8065" s="54" t="n">
        <f aca="false">IF(J7990&lt;=Assumptions!$E$83,Assumptions!$E$82*Assumptions!$D$108/Assumptions!$E$83,0)</f>
        <v>0</v>
      </c>
      <c r="K8065" s="54" t="n">
        <f aca="false">IF(K7990&lt;=Assumptions!$E$83,Assumptions!$E$82*Assumptions!$D$108/Assumptions!$E$83,0)</f>
        <v>0</v>
      </c>
      <c r="L8065" s="54" t="n">
        <f aca="false">IF(L7990&lt;=Assumptions!$E$83,Assumptions!$E$82*Assumptions!$D$108/Assumptions!$E$83,0)</f>
        <v>0</v>
      </c>
      <c r="M8065" s="54" t="n">
        <f aca="false">IF(M7990&lt;=Assumptions!$E$83,Assumptions!$E$82*Assumptions!$D$108/Assumptions!$E$83,0)</f>
        <v>0</v>
      </c>
      <c r="N8065" s="54" t="n">
        <f aca="false">IF(N7990&lt;=Assumptions!$E$83,Assumptions!$E$82*Assumptions!$D$108/Assumptions!$E$83,0)</f>
        <v>0</v>
      </c>
      <c r="P8065" s="55" t="n">
        <f aca="false">SUM(C8065:F8065)</f>
        <v>250000</v>
      </c>
      <c r="Q8065" s="55" t="n">
        <f aca="false">SUM(G8065:J8065)</f>
        <v>0</v>
      </c>
      <c r="R8065" s="55" t="n">
        <f aca="false">SUM(K8065:N8065)</f>
        <v>0</v>
      </c>
      <c r="S8065" s="56" t="n">
        <f aca="false">SUM(P8065:R8065)</f>
        <v>250000</v>
      </c>
    </row>
    <row r="8066" customFormat="false" ht="15" hidden="false" customHeight="false" outlineLevel="0" collapsed="false">
      <c r="A8066" s="4" t="s">
        <v>565</v>
      </c>
      <c r="B8066" s="36" t="s">
        <v>125</v>
      </c>
      <c r="C8066" s="54" t="n">
        <f aca="false">C8054*Assumptions!$E$73/Assumptions!$E$69/4</f>
        <v>0</v>
      </c>
      <c r="D8066" s="54" t="n">
        <f aca="false">D8054*Assumptions!$E$73/Assumptions!$E$69/4</f>
        <v>575.3130595573</v>
      </c>
      <c r="E8066" s="54" t="n">
        <f aca="false">E8054*Assumptions!$E$73/Assumptions!$E$69/4</f>
        <v>1617.32906717661</v>
      </c>
      <c r="F8066" s="54" t="n">
        <f aca="false">F8054*Assumptions!$E$73/Assumptions!$E$69/4</f>
        <v>2784.46806400723</v>
      </c>
      <c r="G8066" s="54" t="n">
        <f aca="false">G8054*Assumptions!$E$73/Assumptions!$E$69/4</f>
        <v>4037.30390559473</v>
      </c>
      <c r="H8066" s="54" t="n">
        <f aca="false">H8054*Assumptions!$E$73/Assumptions!$E$69/4</f>
        <v>5588.71900339185</v>
      </c>
      <c r="I8066" s="54" t="n">
        <f aca="false">I8054*Assumptions!$E$73/Assumptions!$E$69/4</f>
        <v>7423.89520049251</v>
      </c>
      <c r="J8066" s="54" t="n">
        <f aca="false">J8054*Assumptions!$E$73/Assumptions!$E$69/4</f>
        <v>9984.21295072483</v>
      </c>
      <c r="K8066" s="54" t="n">
        <f aca="false">K8054*Assumptions!$E$73/Assumptions!$E$69/4</f>
        <v>13228.7197241336</v>
      </c>
      <c r="L8066" s="54" t="n">
        <f aca="false">L8054*Assumptions!$E$73/Assumptions!$E$69/4</f>
        <v>16471.1613499398</v>
      </c>
      <c r="M8066" s="54" t="n">
        <f aca="false">M8054*Assumptions!$E$73/Assumptions!$E$69/4</f>
        <v>19532.3193424529</v>
      </c>
      <c r="N8066" s="54" t="n">
        <f aca="false">N8054*Assumptions!$E$73/Assumptions!$E$69/4</f>
        <v>22411.7337529877</v>
      </c>
      <c r="P8066" s="55" t="n">
        <f aca="false">SUM(C8066:F8066)</f>
        <v>4977.11019074114</v>
      </c>
      <c r="Q8066" s="55" t="n">
        <f aca="false">SUM(G8066:J8066)</f>
        <v>27034.1310602039</v>
      </c>
      <c r="R8066" s="55" t="n">
        <f aca="false">SUM(K8066:N8066)</f>
        <v>71643.934169514</v>
      </c>
      <c r="S8066" s="56" t="n">
        <f aca="false">SUM(P8066:R8066)</f>
        <v>103655.175420459</v>
      </c>
    </row>
    <row r="8067" customFormat="false" ht="15" hidden="false" customHeight="false" outlineLevel="0" collapsed="false">
      <c r="A8067" s="9" t="s">
        <v>566</v>
      </c>
      <c r="B8067" s="36" t="s">
        <v>125</v>
      </c>
      <c r="C8067" s="55" t="n">
        <f aca="false">C8063+C8064+C8065+C8066</f>
        <v>273265.178571429</v>
      </c>
      <c r="D8067" s="55" t="n">
        <f aca="false">D8063+D8064+D8065+D8066</f>
        <v>240783.490534514</v>
      </c>
      <c r="E8067" s="55" t="n">
        <f aca="false">E8063+E8064+E8065+E8066</f>
        <v>250249.099248013</v>
      </c>
      <c r="F8067" s="55" t="n">
        <f aca="false">F8063+F8064+F8065+F8066</f>
        <v>256873.092331311</v>
      </c>
      <c r="G8067" s="55" t="n">
        <f aca="false">G8063+G8064+G8065+G8066</f>
        <v>244560.120247702</v>
      </c>
      <c r="H8067" s="55" t="n">
        <f aca="false">H8063+H8064+H8065+H8066</f>
        <v>211358.687778397</v>
      </c>
      <c r="I8067" s="55" t="n">
        <f aca="false">I8063+I8064+I8065+I8066</f>
        <v>258921.389309906</v>
      </c>
      <c r="J8067" s="55" t="n">
        <f aca="false">J8063+J8064+J8065+J8066</f>
        <v>230269.961605415</v>
      </c>
      <c r="K8067" s="55" t="n">
        <f aca="false">K8063+K8064+K8065+K8066</f>
        <v>243656.463300888</v>
      </c>
      <c r="L8067" s="55" t="n">
        <f aca="false">L8063+L8064+L8065+L8066</f>
        <v>250246.355961609</v>
      </c>
      <c r="M8067" s="55" t="n">
        <f aca="false">M8063+M8064+M8065+M8066</f>
        <v>252750.538278946</v>
      </c>
      <c r="N8067" s="55" t="n">
        <f aca="false">N8063+N8064+N8065+N8066</f>
        <v>254600.186720287</v>
      </c>
      <c r="P8067" s="55" t="n">
        <f aca="false">SUM(C8067:F8067)</f>
        <v>1021170.86068527</v>
      </c>
      <c r="Q8067" s="55" t="n">
        <f aca="false">SUM(G8067:J8067)</f>
        <v>945110.158941421</v>
      </c>
      <c r="R8067" s="55" t="n">
        <f aca="false">SUM(K8067:N8067)</f>
        <v>1001253.54426173</v>
      </c>
      <c r="S8067" s="56" t="n">
        <f aca="false">SUM(P8067:R8067)</f>
        <v>2967534.56388842</v>
      </c>
    </row>
    <row r="8068" customFormat="false" ht="15" hidden="false" customHeight="false" outlineLevel="0" collapsed="false">
      <c r="A8068" s="35" t="s">
        <v>567</v>
      </c>
      <c r="B8068" s="35" t="s">
        <v>444</v>
      </c>
      <c r="C8068" s="6" t="s">
        <v>354</v>
      </c>
      <c r="D8068" s="6" t="s">
        <v>355</v>
      </c>
      <c r="E8068" s="6" t="s">
        <v>356</v>
      </c>
      <c r="F8068" s="6" t="s">
        <v>357</v>
      </c>
      <c r="G8068" s="6" t="s">
        <v>358</v>
      </c>
      <c r="H8068" s="6" t="s">
        <v>359</v>
      </c>
      <c r="I8068" s="6" t="s">
        <v>360</v>
      </c>
      <c r="J8068" s="6" t="s">
        <v>361</v>
      </c>
      <c r="K8068" s="6" t="s">
        <v>362</v>
      </c>
      <c r="L8068" s="6" t="s">
        <v>363</v>
      </c>
      <c r="M8068" s="6" t="s">
        <v>364</v>
      </c>
      <c r="N8068" s="6" t="s">
        <v>365</v>
      </c>
      <c r="P8068" s="6" t="s">
        <v>445</v>
      </c>
      <c r="Q8068" s="6" t="s">
        <v>446</v>
      </c>
      <c r="R8068" s="6" t="s">
        <v>447</v>
      </c>
      <c r="S8068" s="6" t="s">
        <v>448</v>
      </c>
    </row>
    <row r="8069" customFormat="false" ht="15" hidden="false" customHeight="false" outlineLevel="0" collapsed="false">
      <c r="A8069" s="9" t="s">
        <v>568</v>
      </c>
      <c r="B8069" s="36" t="s">
        <v>125</v>
      </c>
      <c r="C8069" s="55" t="n">
        <f aca="false">C8047-C8067</f>
        <v>-273265.178571429</v>
      </c>
      <c r="D8069" s="55" t="n">
        <f aca="false">D8047-D8067</f>
        <v>-240062.280337795</v>
      </c>
      <c r="E8069" s="55" t="n">
        <f aca="false">E8047-E8067</f>
        <v>-247207.646379802</v>
      </c>
      <c r="F8069" s="55" t="n">
        <f aca="false">F8047-F8067</f>
        <v>-250228.802278658</v>
      </c>
      <c r="G8069" s="55" t="n">
        <f aca="false">G8047-G8067</f>
        <v>-233682.323682823</v>
      </c>
      <c r="H8069" s="55" t="n">
        <f aca="false">H8047-H8067</f>
        <v>-195510.166063918</v>
      </c>
      <c r="I8069" s="55" t="n">
        <f aca="false">I8047-I8067</f>
        <v>-237031.394824393</v>
      </c>
      <c r="J8069" s="55" t="n">
        <f aca="false">J8047-J8067</f>
        <v>-200597.728717241</v>
      </c>
      <c r="K8069" s="55" t="n">
        <f aca="false">K8047-K8067</f>
        <v>-203711.192707385</v>
      </c>
      <c r="L8069" s="55" t="n">
        <f aca="false">L8047-L8067</f>
        <v>-198295.888226011</v>
      </c>
      <c r="M8069" s="55" t="n">
        <f aca="false">M8047-M8067</f>
        <v>-188390.340352126</v>
      </c>
      <c r="N8069" s="55" t="n">
        <f aca="false">N8047-N8067</f>
        <v>-177916.162821988</v>
      </c>
      <c r="P8069" s="55" t="n">
        <f aca="false">SUM(C8069:F8069)</f>
        <v>-1010763.90756768</v>
      </c>
      <c r="Q8069" s="55" t="n">
        <f aca="false">SUM(G8069:J8069)</f>
        <v>-866821.613288375</v>
      </c>
      <c r="R8069" s="55" t="n">
        <f aca="false">SUM(K8069:N8069)</f>
        <v>-768313.58410751</v>
      </c>
      <c r="S8069" s="56" t="n">
        <f aca="false">SUM(P8069:R8069)</f>
        <v>-2645899.10496357</v>
      </c>
    </row>
    <row r="8070" customFormat="false" ht="15" hidden="false" customHeight="false" outlineLevel="0" collapsed="false">
      <c r="A8070" s="9" t="s">
        <v>569</v>
      </c>
      <c r="B8070" s="36" t="s">
        <v>125</v>
      </c>
      <c r="C8070" s="55" t="n">
        <f aca="false">0+C8069</f>
        <v>-273265.178571429</v>
      </c>
      <c r="D8070" s="55" t="n">
        <f aca="false">C8070+D8069</f>
        <v>-513327.458909223</v>
      </c>
      <c r="E8070" s="55" t="n">
        <f aca="false">D8070+E8069</f>
        <v>-760535.105289025</v>
      </c>
      <c r="F8070" s="55" t="n">
        <f aca="false">E8070+F8069</f>
        <v>-1010763.90756768</v>
      </c>
      <c r="G8070" s="55" t="n">
        <f aca="false">F8070+G8069</f>
        <v>-1244446.23125051</v>
      </c>
      <c r="H8070" s="55" t="n">
        <f aca="false">G8070+H8069</f>
        <v>-1439956.39731442</v>
      </c>
      <c r="I8070" s="55" t="n">
        <f aca="false">H8070+I8069</f>
        <v>-1676987.79213882</v>
      </c>
      <c r="J8070" s="55" t="n">
        <f aca="false">I8070+J8069</f>
        <v>-1877585.52085606</v>
      </c>
      <c r="K8070" s="55" t="n">
        <f aca="false">J8070+K8069</f>
        <v>-2081296.71356344</v>
      </c>
      <c r="L8070" s="55" t="n">
        <f aca="false">K8070+L8069</f>
        <v>-2279592.60178945</v>
      </c>
      <c r="M8070" s="55" t="n">
        <f aca="false">L8070+M8069</f>
        <v>-2467982.94214158</v>
      </c>
      <c r="N8070" s="55" t="n">
        <f aca="false">M8070+N8069</f>
        <v>-2645899.10496357</v>
      </c>
      <c r="P8070" s="55" t="n">
        <f aca="false">F8070</f>
        <v>-1010763.90756768</v>
      </c>
      <c r="Q8070" s="55" t="n">
        <f aca="false">J8070</f>
        <v>-1877585.52085606</v>
      </c>
      <c r="R8070" s="55" t="n">
        <f aca="false">N8070</f>
        <v>-2645899.10496357</v>
      </c>
      <c r="S8070" s="56" t="n">
        <f aca="false">R8070</f>
        <v>-2645899.10496357</v>
      </c>
    </row>
    <row r="8071" customFormat="false" ht="15" hidden="false" customHeight="false" outlineLevel="0" collapsed="false">
      <c r="A8071" s="4" t="s">
        <v>570</v>
      </c>
      <c r="B8071" s="36" t="s">
        <v>107</v>
      </c>
      <c r="C8071" s="57" t="n">
        <f aca="false">1/(1+0.08)^(C7990/4)</f>
        <v>0.980943652127571</v>
      </c>
      <c r="D8071" s="57" t="n">
        <f aca="false">1/(1+0.08)^(D7990/4)</f>
        <v>0.962250448649376</v>
      </c>
      <c r="E8071" s="57" t="n">
        <f aca="false">1/(1+0.08)^(E7990/4)</f>
        <v>0.943913469359513</v>
      </c>
      <c r="F8071" s="57" t="n">
        <f aca="false">1/(1+0.08)^(F7990/4)</f>
        <v>0.925925925925926</v>
      </c>
      <c r="G8071" s="57" t="n">
        <f aca="false">1/(1+0.08)^(G7990/4)</f>
        <v>0.90828115937738</v>
      </c>
      <c r="H8071" s="57" t="n">
        <f aca="false">1/(1+0.08)^(H7990/4)</f>
        <v>0.890972637638311</v>
      </c>
      <c r="I8071" s="57" t="n">
        <f aca="false">1/(1+0.08)^(I7990/4)</f>
        <v>0.87399395311066</v>
      </c>
      <c r="J8071" s="57" t="n">
        <f aca="false">1/(1+0.08)^(J7990/4)</f>
        <v>0.857338820301783</v>
      </c>
      <c r="K8071" s="57" t="n">
        <f aca="false">1/(1+0.08)^(K7990/4)</f>
        <v>0.841001073497574</v>
      </c>
      <c r="L8071" s="57" t="n">
        <f aca="false">1/(1+0.08)^(L7990/4)</f>
        <v>0.824974664479918</v>
      </c>
      <c r="M8071" s="57" t="n">
        <f aca="false">1/(1+0.08)^(M7990/4)</f>
        <v>0.809253660287648</v>
      </c>
      <c r="N8071" s="57" t="n">
        <f aca="false">1/(1+0.08)^(N7990/4)</f>
        <v>0.79383224102017</v>
      </c>
      <c r="P8071" s="58"/>
      <c r="Q8071" s="58"/>
      <c r="R8071" s="58"/>
      <c r="S8071" s="59"/>
    </row>
    <row r="8072" customFormat="false" ht="15" hidden="false" customHeight="false" outlineLevel="0" collapsed="false">
      <c r="A8072" s="4" t="s">
        <v>571</v>
      </c>
      <c r="B8072" s="36" t="s">
        <v>125</v>
      </c>
      <c r="C8072" s="54" t="n">
        <f aca="false">(C8047*(1-Assumptions!$E$88)-C8067)*C8071</f>
        <v>-268057.74226715</v>
      </c>
      <c r="D8072" s="54" t="n">
        <f aca="false">(D8047*(1-Assumptions!$E$88)-D8067)*D8071</f>
        <v>-231138.833925908</v>
      </c>
      <c r="E8072" s="54" t="n">
        <f aca="false">(E8047*(1-Assumptions!$E$88)-E8067)*E8071</f>
        <v>-233916.800812304</v>
      </c>
      <c r="F8072" s="54" t="n">
        <f aca="false">(F8047*(1-Assumptions!$E$88)-F8067)*F8071</f>
        <v>-232923.759527026</v>
      </c>
      <c r="G8072" s="54" t="n">
        <f aca="false">(G8047*(1-Assumptions!$E$88)-G8067)*G8071</f>
        <v>-214225.271415719</v>
      </c>
      <c r="H8072" s="54" t="n">
        <f aca="false">(H8047*(1-Assumptions!$E$88)-H8067)*H8071</f>
        <v>-177018.328181997</v>
      </c>
      <c r="I8072" s="54" t="n">
        <f aca="false">(I8047*(1-Assumptions!$E$88)-I8067)*I8071</f>
        <v>-210990.350336698</v>
      </c>
      <c r="J8072" s="54" t="n">
        <f aca="false">(J8047*(1-Assumptions!$E$88)-J8067)*J8071</f>
        <v>-177068.05152167</v>
      </c>
      <c r="K8072" s="54" t="n">
        <f aca="false">(K8047*(1-Assumptions!$E$88)-K8067)*K8071</f>
        <v>-178040.134840439</v>
      </c>
      <c r="L8072" s="54" t="n">
        <f aca="false">(L8047*(1-Assumptions!$E$88)-L8067)*L8071</f>
        <v>-172160.647794951</v>
      </c>
      <c r="M8072" s="54" t="n">
        <f aca="false">(M8047*(1-Assumptions!$E$88)-M8067)*M8071</f>
        <v>-162872.317642617</v>
      </c>
      <c r="N8072" s="54" t="n">
        <f aca="false">(N8047*(1-Assumptions!$E$88)-N8067)*N8071</f>
        <v>-153410.436355014</v>
      </c>
      <c r="P8072" s="55" t="n">
        <f aca="false">SUM(C8072:F8072)</f>
        <v>-966037.136532388</v>
      </c>
      <c r="Q8072" s="55" t="n">
        <f aca="false">SUM(G8072:J8072)</f>
        <v>-779302.001456083</v>
      </c>
      <c r="R8072" s="55" t="n">
        <f aca="false">SUM(K8072:N8072)</f>
        <v>-666483.536633021</v>
      </c>
      <c r="S8072" s="56" t="n">
        <f aca="false">SUM(P8072:R8072)</f>
        <v>-2411822.67462149</v>
      </c>
    </row>
    <row r="8073" customFormat="false" ht="15" hidden="false" customHeight="false" outlineLevel="0" collapsed="false">
      <c r="A8073" s="4" t="s">
        <v>572</v>
      </c>
      <c r="B8073" s="36" t="s">
        <v>125</v>
      </c>
      <c r="C8073" s="54" t="n">
        <f aca="false">(C8067-C8066)*12/(Assumptions!$E$89*Assumptions!$E$76)*Assumptions!$E$90</f>
        <v>189183.585164835</v>
      </c>
      <c r="D8073" s="54" t="n">
        <f aca="false">(D8067-D8066)*12/(Assumptions!$E$89*Assumptions!$E$76)*Assumptions!$E$90</f>
        <v>166297.969021124</v>
      </c>
      <c r="E8073" s="54" t="n">
        <f aca="false">(E8067-E8066)*12/(Assumptions!$E$89*Assumptions!$E$76)*Assumptions!$E$90</f>
        <v>172129.687048271</v>
      </c>
      <c r="F8073" s="54" t="n">
        <f aca="false">(F8067-F8066)*12/(Assumptions!$E$89*Assumptions!$E$76)*Assumptions!$E$90</f>
        <v>175907.509108133</v>
      </c>
      <c r="G8073" s="54" t="n">
        <f aca="false">(G8067-G8066)*12/(Assumptions!$E$89*Assumptions!$E$76)*Assumptions!$E$90</f>
        <v>166515.795929151</v>
      </c>
      <c r="H8073" s="54" t="n">
        <f aca="false">(H8067-H8066)*12/(Assumptions!$E$89*Assumptions!$E$76)*Assumptions!$E$90</f>
        <v>142456.13222885</v>
      </c>
      <c r="I8073" s="54" t="n">
        <f aca="false">(I8067-I8066)*12/(Assumptions!$E$89*Assumptions!$E$76)*Assumptions!$E$90</f>
        <v>174113.649768056</v>
      </c>
      <c r="J8073" s="54" t="n">
        <f aca="false">(J8067-J8066)*12/(Assumptions!$E$89*Assumptions!$E$76)*Assumptions!$E$90</f>
        <v>152505.518299401</v>
      </c>
      <c r="K8073" s="54" t="n">
        <f aca="false">(K8067-K8066)*12/(Assumptions!$E$89*Assumptions!$E$76)*Assumptions!$E$90</f>
        <v>159526.899399291</v>
      </c>
      <c r="L8073" s="54" t="n">
        <f aca="false">(L8067-L8066)*12/(Assumptions!$E$89*Assumptions!$E$76)*Assumptions!$E$90</f>
        <v>161844.365500386</v>
      </c>
      <c r="M8073" s="54" t="n">
        <f aca="false">(M8067-M8066)*12/(Assumptions!$E$89*Assumptions!$E$76)*Assumptions!$E$90</f>
        <v>161458.766956034</v>
      </c>
      <c r="N8073" s="54" t="n">
        <f aca="false">(N8067-N8066)*12/(Assumptions!$E$89*Assumptions!$E$76)*Assumptions!$E$90</f>
        <v>160745.852054284</v>
      </c>
      <c r="P8073" s="55" t="n">
        <f aca="false">SUM(C8073:F8073)</f>
        <v>703518.750342363</v>
      </c>
      <c r="Q8073" s="55" t="n">
        <f aca="false">SUM(G8073:J8073)</f>
        <v>635591.096225458</v>
      </c>
      <c r="R8073" s="55" t="n">
        <f aca="false">SUM(K8073:N8073)</f>
        <v>643575.883909995</v>
      </c>
      <c r="S8073" s="56" t="n">
        <f aca="false">SUM(P8073:R8073)</f>
        <v>1982685.73047782</v>
      </c>
    </row>
    <row r="8074" customFormat="false" ht="15" hidden="false" customHeight="false" outlineLevel="0" collapsed="false">
      <c r="A8074" s="4" t="s">
        <v>573</v>
      </c>
      <c r="B8074" s="36" t="s">
        <v>125</v>
      </c>
      <c r="C8074" s="54" t="n">
        <f aca="false">0*Assumptions!$E$92^(1/4)+C8073</f>
        <v>189183.585164835</v>
      </c>
      <c r="D8074" s="54" t="n">
        <f aca="false">C8074*Assumptions!$E$92^(1/4)+D8073</f>
        <v>355952.749828138</v>
      </c>
      <c r="E8074" s="54" t="n">
        <f aca="false">D8074*Assumptions!$E$92^(1/4)+E8073</f>
        <v>528969.001027282</v>
      </c>
      <c r="F8074" s="54" t="n">
        <f aca="false">E8074*Assumptions!$E$92^(1/4)+F8073</f>
        <v>706194.00228419</v>
      </c>
      <c r="G8074" s="54" t="n">
        <f aca="false">F8074*Assumptions!$E$92^(1/4)+G8073</f>
        <v>874468.701006729</v>
      </c>
      <c r="H8074" s="54" t="n">
        <f aca="false">G8074*Assumptions!$E$92^(1/4)+H8073</f>
        <v>1019102.8543402</v>
      </c>
      <c r="I8074" s="54" t="n">
        <f aca="false">H8074*Assumptions!$E$92^(1/4)+I8073</f>
        <v>1195754.76250672</v>
      </c>
      <c r="J8074" s="54" t="n">
        <f aca="false">I8074*Assumptions!$E$92^(1/4)+J8073</f>
        <v>1351238.5224581</v>
      </c>
      <c r="K8074" s="54" t="n">
        <f aca="false">J8074*Assumptions!$E$92^(1/4)+K8073</f>
        <v>1514130.92369399</v>
      </c>
      <c r="L8074" s="54" t="n">
        <f aca="false">K8074*Assumptions!$E$92^(1/4)+L8073</f>
        <v>1679746.5037652</v>
      </c>
      <c r="M8074" s="54" t="n">
        <f aca="false">L8074*Assumptions!$E$92^(1/4)+M8073</f>
        <v>1845388.98059146</v>
      </c>
      <c r="N8074" s="54" t="n">
        <f aca="false">M8074*Assumptions!$E$92^(1/4)+N8073</f>
        <v>2010731.10480658</v>
      </c>
      <c r="P8074" s="55" t="n">
        <f aca="false">F8074</f>
        <v>706194.00228419</v>
      </c>
      <c r="Q8074" s="55" t="n">
        <f aca="false">J8074</f>
        <v>1351238.5224581</v>
      </c>
      <c r="R8074" s="55" t="n">
        <f aca="false">N8074</f>
        <v>2010731.10480658</v>
      </c>
      <c r="S8074" s="56" t="n">
        <f aca="false">R8074</f>
        <v>2010731.10480658</v>
      </c>
    </row>
    <row r="8075" customFormat="false" ht="15" hidden="false" customHeight="false" outlineLevel="0" collapsed="false">
      <c r="A8075" s="4" t="s">
        <v>574</v>
      </c>
      <c r="B8075" s="36" t="s">
        <v>125</v>
      </c>
      <c r="C8075" s="54" t="n">
        <f aca="false">(0+C8074)/8*Assumptions!$E$76-(C8067-C8066)-C8074*Assumptions!$E$93/4</f>
        <v>-260258.807091346</v>
      </c>
      <c r="D8075" s="54" t="n">
        <f aca="false">(C8074+D8074)/8*Assumptions!$E$76-(D8067-D8066)-D8074*Assumptions!$E$93/4</f>
        <v>-200365.259629629</v>
      </c>
      <c r="E8075" s="54" t="n">
        <f aca="false">(D8074+E8074)/8*Assumptions!$E$76-(E8067-E8066)-E8074*Assumptions!$E$93/4</f>
        <v>-183343.990436674</v>
      </c>
      <c r="F8075" s="54" t="n">
        <f aca="false">(E8074+F8074)/8*Assumptions!$E$76-(F8067-F8066)-F8074*Assumptions!$E$93/4</f>
        <v>-162559.055276799</v>
      </c>
      <c r="G8075" s="54" t="n">
        <f aca="false">(F8074+G8074)/8*Assumptions!$E$76-(G8067-G8066)-G8074*Assumptions!$E$93/4</f>
        <v>-123024.830462304</v>
      </c>
      <c r="H8075" s="54" t="n">
        <f aca="false">(G8074+H8074)/8*Assumptions!$E$76-(H8067-H8066)-H8074*Assumptions!$E$93/4</f>
        <v>-64656.0655823201</v>
      </c>
      <c r="I8075" s="54" t="n">
        <f aca="false">(H8074+I8074)/8*Assumptions!$E$76-(I8067-I8066)-I8074*Assumptions!$E$93/4</f>
        <v>-86487.2472719356</v>
      </c>
      <c r="J8075" s="54" t="n">
        <f aca="false">(I8074+J8074)/8*Assumptions!$E$76-(J8067-J8066)-J8074*Assumptions!$E$93/4</f>
        <v>-30233.0257820242</v>
      </c>
      <c r="K8075" s="54" t="n">
        <f aca="false">(J8074+K8074)/8*Assumptions!$E$76-(K8067-K8066)-K8074*Assumptions!$E$93/4</f>
        <v>-16543.1126230714</v>
      </c>
      <c r="L8075" s="54" t="n">
        <f aca="false">(K8074+L8074)/8*Assumptions!$E$76-(L8067-L8066)-L8074*Assumptions!$E$93/4</f>
        <v>4730.51507232551</v>
      </c>
      <c r="M8075" s="54" t="n">
        <f aca="false">(L8074+M8074)/8*Assumptions!$E$76-(M8067-M8066)-M8074*Assumptions!$E$93/4</f>
        <v>30131.676910092</v>
      </c>
      <c r="N8075" s="54" t="n">
        <f aca="false">(M8074+N8074)/8*Assumptions!$E$76-(N8067-N8066)-N8074*Assumptions!$E$93/4</f>
        <v>55987.1651612092</v>
      </c>
      <c r="P8075" s="55" t="n">
        <f aca="false">SUM(C8075:F8075)</f>
        <v>-806527.112434448</v>
      </c>
      <c r="Q8075" s="55" t="n">
        <f aca="false">SUM(G8075:J8075)</f>
        <v>-304401.169098584</v>
      </c>
      <c r="R8075" s="55" t="n">
        <f aca="false">SUM(K8075:N8075)</f>
        <v>74306.2445205553</v>
      </c>
      <c r="S8075" s="56" t="n">
        <f aca="false">SUM(P8075:R8075)</f>
        <v>-1036622.03701248</v>
      </c>
    </row>
    <row r="8076" customFormat="false" ht="15" hidden="false" customHeight="false" outlineLevel="0" collapsed="false">
      <c r="A8076" s="4" t="s">
        <v>575</v>
      </c>
      <c r="B8076" s="36" t="s">
        <v>125</v>
      </c>
      <c r="C8076" s="54" t="n">
        <f aca="false">C8075*C8071</f>
        <v>-255299.22472655</v>
      </c>
      <c r="D8076" s="54" t="n">
        <f aca="false">D8075*D8071</f>
        <v>-192801.560972359</v>
      </c>
      <c r="E8076" s="54" t="n">
        <f aca="false">E8075*E8071</f>
        <v>-173060.862099298</v>
      </c>
      <c r="F8076" s="54" t="n">
        <f aca="false">F8075*F8071</f>
        <v>-150517.643774814</v>
      </c>
      <c r="G8076" s="54" t="n">
        <f aca="false">G8075*G8071</f>
        <v>-111741.135644507</v>
      </c>
      <c r="H8076" s="54" t="n">
        <f aca="false">H8075*H8071</f>
        <v>-57606.7852911954</v>
      </c>
      <c r="I8076" s="54" t="n">
        <f aca="false">I8075*I8071</f>
        <v>-75589.3311368582</v>
      </c>
      <c r="J8076" s="54" t="n">
        <f aca="false">J8075*J8071</f>
        <v>-25919.946658114</v>
      </c>
      <c r="K8076" s="54" t="n">
        <f aca="false">K8075*K8071</f>
        <v>-13912.7754749943</v>
      </c>
      <c r="L8076" s="54" t="n">
        <f aca="false">L8075*L8071</f>
        <v>3902.55508460893</v>
      </c>
      <c r="M8076" s="54" t="n">
        <f aca="false">M8075*M8071</f>
        <v>24384.1698300967</v>
      </c>
      <c r="N8076" s="54" t="n">
        <f aca="false">N8075*N8071</f>
        <v>44444.4167882891</v>
      </c>
      <c r="P8076" s="55" t="n">
        <f aca="false">SUM(C8076:F8076)</f>
        <v>-771679.291573021</v>
      </c>
      <c r="Q8076" s="55" t="n">
        <f aca="false">SUM(G8076:J8076)</f>
        <v>-270857.198730675</v>
      </c>
      <c r="R8076" s="55" t="n">
        <f aca="false">SUM(K8076:N8076)</f>
        <v>58818.3662280005</v>
      </c>
      <c r="S8076" s="56" t="n">
        <f aca="false">SUM(P8076:R8076)</f>
        <v>-983718.124075696</v>
      </c>
    </row>
    <row r="8077" customFormat="false" ht="15" hidden="false" customHeight="false" outlineLevel="0" collapsed="false">
      <c r="A8077" s="4" t="s">
        <v>576</v>
      </c>
      <c r="B8077" s="36"/>
      <c r="C8077" s="37" t="n">
        <f aca="false">IFERROR((S8032*$C$7981*Assumptions!$E$59+S8033*$C$7982*Assumptions!$E$60+S8034*$C$7983*Assumptions!$E$61)/(S8032*$C$7981+S8033*$C$7982+S8034*$C$7983),0.9)</f>
        <v>0.897372181179546</v>
      </c>
    </row>
    <row r="8078" customFormat="false" ht="15" hidden="false" customHeight="false" outlineLevel="0" collapsed="false">
      <c r="A8078" s="4" t="s">
        <v>577</v>
      </c>
      <c r="B8078" s="36"/>
      <c r="C8078" s="37" t="n">
        <f aca="false">IFERROR(N8066*4/N8044,0)</f>
        <v>0.175911884278844</v>
      </c>
    </row>
    <row r="8079" customFormat="false" ht="15" hidden="false" customHeight="false" outlineLevel="0" collapsed="false">
      <c r="A8079" s="4" t="s">
        <v>578</v>
      </c>
      <c r="B8079" s="36"/>
      <c r="C8079" s="60" t="n">
        <f aca="false">$C$8077/(1+0.08)</f>
        <v>0.830900167758839</v>
      </c>
    </row>
    <row r="8080" customFormat="false" ht="15" hidden="false" customHeight="false" outlineLevel="0" collapsed="false">
      <c r="A8080" s="4" t="s">
        <v>579</v>
      </c>
      <c r="B8080" s="36"/>
      <c r="C8080" s="60" t="n">
        <f aca="false">Assumptions!$E$91/(1+0.08)</f>
        <v>0.833333333333333</v>
      </c>
    </row>
    <row r="8081" customFormat="false" ht="15" hidden="false" customHeight="false" outlineLevel="0" collapsed="false">
      <c r="A8081" s="35" t="s">
        <v>580</v>
      </c>
      <c r="B8081" s="35" t="s">
        <v>444</v>
      </c>
      <c r="C8081" s="6" t="s">
        <v>354</v>
      </c>
      <c r="D8081" s="6" t="s">
        <v>355</v>
      </c>
      <c r="E8081" s="6" t="s">
        <v>356</v>
      </c>
      <c r="F8081" s="6" t="s">
        <v>357</v>
      </c>
      <c r="G8081" s="6" t="s">
        <v>358</v>
      </c>
      <c r="H8081" s="6" t="s">
        <v>359</v>
      </c>
      <c r="I8081" s="6" t="s">
        <v>360</v>
      </c>
      <c r="J8081" s="6" t="s">
        <v>361</v>
      </c>
      <c r="K8081" s="6" t="s">
        <v>362</v>
      </c>
      <c r="L8081" s="6" t="s">
        <v>363</v>
      </c>
      <c r="M8081" s="6" t="s">
        <v>364</v>
      </c>
      <c r="N8081" s="6" t="s">
        <v>365</v>
      </c>
      <c r="P8081" s="6" t="s">
        <v>445</v>
      </c>
      <c r="Q8081" s="6" t="s">
        <v>446</v>
      </c>
      <c r="R8081" s="6" t="s">
        <v>447</v>
      </c>
      <c r="S8081" s="6" t="s">
        <v>448</v>
      </c>
    </row>
    <row r="8082" customFormat="false" ht="15" hidden="false" customHeight="false" outlineLevel="0" collapsed="false">
      <c r="A8082" s="9" t="s">
        <v>581</v>
      </c>
      <c r="C8082" s="61" t="n">
        <f aca="false">N8044</f>
        <v>509612.726732255</v>
      </c>
      <c r="D8082" s="61"/>
    </row>
    <row r="8083" customFormat="false" ht="15" hidden="false" customHeight="false" outlineLevel="0" collapsed="false">
      <c r="A8083" s="9" t="s">
        <v>582</v>
      </c>
      <c r="C8083" s="62" t="n">
        <f aca="false">N8040</f>
        <v>49.5280990541991</v>
      </c>
      <c r="D8083" s="62"/>
    </row>
    <row r="8084" customFormat="false" ht="15" hidden="false" customHeight="false" outlineLevel="0" collapsed="false">
      <c r="A8084" s="9" t="s">
        <v>583</v>
      </c>
      <c r="C8084" s="63" t="n">
        <f aca="false">S8035</f>
        <v>54.7491194625937</v>
      </c>
      <c r="D8084" s="63"/>
    </row>
    <row r="8085" customFormat="false" ht="15" hidden="false" customHeight="false" outlineLevel="0" collapsed="false">
      <c r="A8085" s="9" t="s">
        <v>584</v>
      </c>
      <c r="C8085" s="61" t="n">
        <f aca="false">S8046</f>
        <v>494823.782961303</v>
      </c>
      <c r="D8085" s="61"/>
    </row>
    <row r="8086" customFormat="false" ht="15" hidden="false" customHeight="false" outlineLevel="0" collapsed="false">
      <c r="A8086" s="9" t="s">
        <v>22</v>
      </c>
      <c r="C8086" s="61" t="n">
        <f aca="false">IFERROR(S8045/S8035,0)</f>
        <v>8847.97350983958</v>
      </c>
      <c r="D8086" s="61"/>
    </row>
    <row r="8087" customFormat="false" ht="15" hidden="false" customHeight="false" outlineLevel="0" collapsed="false">
      <c r="A8087" s="9" t="s">
        <v>585</v>
      </c>
      <c r="C8087" s="61" t="n">
        <f aca="false">IFERROR(S8063/S8035,0)</f>
        <v>39481.7979795841</v>
      </c>
      <c r="D8087" s="61"/>
    </row>
    <row r="8088" customFormat="false" ht="23.85" hidden="false" customHeight="false" outlineLevel="0" collapsed="false">
      <c r="A8088" s="9" t="s">
        <v>586</v>
      </c>
      <c r="C8088" s="61" t="n">
        <f aca="false">IFERROR((S8057+S8059+S8060+S8061+S8062)/S8035,0)</f>
        <v>15924.0153192791</v>
      </c>
      <c r="D8088" s="61"/>
    </row>
    <row r="8089" customFormat="false" ht="15" hidden="false" customHeight="false" outlineLevel="0" collapsed="false">
      <c r="A8089" s="9" t="s">
        <v>587</v>
      </c>
      <c r="C8089" s="64" t="n">
        <f aca="false">IFERROR('Engine Runs'!$C$8087/('Engine Runs'!$C$8086*Assumptions!$E$76/12),0)</f>
        <v>82.3798501566715</v>
      </c>
      <c r="D8089" s="64"/>
    </row>
    <row r="8090" customFormat="false" ht="15" hidden="false" customHeight="false" outlineLevel="0" collapsed="false">
      <c r="A8090" s="9" t="s">
        <v>588</v>
      </c>
      <c r="C8090" s="64" t="n">
        <f aca="false">IFERROR((R8063/R8035)/((R8045/R8035)*Assumptions!$E$76/12),0)</f>
        <v>53.7401674227257</v>
      </c>
      <c r="D8090" s="64"/>
    </row>
    <row r="8091" customFormat="false" ht="15" hidden="false" customHeight="false" outlineLevel="0" collapsed="false">
      <c r="A8091" s="9" t="s">
        <v>589</v>
      </c>
      <c r="C8091" s="61" t="n">
        <f aca="false">S8067</f>
        <v>2967534.56388842</v>
      </c>
      <c r="D8091" s="61"/>
    </row>
    <row r="8092" customFormat="false" ht="15" hidden="false" customHeight="false" outlineLevel="0" collapsed="false">
      <c r="A8092" s="9" t="s">
        <v>590</v>
      </c>
      <c r="C8092" s="61" t="n">
        <f aca="false">N8070</f>
        <v>-2645899.10496357</v>
      </c>
      <c r="D8092" s="61"/>
    </row>
    <row r="8093" customFormat="false" ht="15" hidden="false" customHeight="false" outlineLevel="0" collapsed="false">
      <c r="A8093" s="9" t="s">
        <v>591</v>
      </c>
      <c r="C8093" s="61" t="n">
        <f aca="false">MIN($C$8070:$N$8070)</f>
        <v>-2645899.10496357</v>
      </c>
      <c r="D8093" s="61"/>
    </row>
    <row r="8094" customFormat="false" ht="15" hidden="false" customHeight="false" outlineLevel="0" collapsed="false">
      <c r="A8094" s="9" t="s">
        <v>592</v>
      </c>
      <c r="C8094" s="61" t="n">
        <f aca="false">N8044*(Assumptions!$E$76-$C$8078)*$C$8077*(1-$C$8077^Assumptions!$E$85)/(1-$C$8077)</f>
        <v>883215.352678571</v>
      </c>
      <c r="D8094" s="61"/>
    </row>
    <row r="8095" customFormat="false" ht="15" hidden="false" customHeight="false" outlineLevel="0" collapsed="false">
      <c r="A8095" s="9" t="s">
        <v>593</v>
      </c>
      <c r="C8095" s="61" t="n">
        <f aca="false">N8044*(Assumptions!$E$76-$C$8078)*(1-Assumptions!$E$88)/(1+0.08)^2.5*$C$8079*(1-$C$8079^Assumptions!$E$85)/(1-$C$8079)</f>
        <v>473195.254812816</v>
      </c>
      <c r="D8095" s="61"/>
    </row>
    <row r="8096" customFormat="false" ht="15" hidden="false" customHeight="false" outlineLevel="0" collapsed="false">
      <c r="A8096" s="9" t="s">
        <v>594</v>
      </c>
      <c r="C8096" s="61" t="n">
        <f aca="false">SUM($C$8072:$N$8072)+'Engine Runs'!$C$8095</f>
        <v>-1938627.41980868</v>
      </c>
      <c r="D8096" s="61"/>
    </row>
    <row r="8097" customFormat="false" ht="15" hidden="false" customHeight="false" outlineLevel="0" collapsed="false">
      <c r="A8097" s="9" t="s">
        <v>595</v>
      </c>
      <c r="C8097" s="61" t="n">
        <f aca="false">SUM($C$8076:$N$8076)+N8074*(Assumptions!$E$76-Assumptions!$E$93)/(1+0.08)^2.5*$C$8080*(1-$C$8080^Assumptions!$E$85)/(1-$C$8080)</f>
        <v>1992782.30743</v>
      </c>
      <c r="D8097" s="61"/>
    </row>
    <row r="8098" customFormat="false" ht="15" hidden="false" customHeight="false" outlineLevel="0" collapsed="false">
      <c r="A8098" s="9" t="s">
        <v>596</v>
      </c>
      <c r="C8098" s="61" t="n">
        <f aca="false">'Engine Runs'!$C$8096-'Engine Runs'!$C$8097</f>
        <v>-3931409.72723868</v>
      </c>
      <c r="D8098" s="61"/>
    </row>
    <row r="8099" customFormat="false" ht="15" hidden="false" customHeight="false" outlineLevel="0" collapsed="false">
      <c r="A8099" s="9" t="s">
        <v>597</v>
      </c>
      <c r="C8099" s="61" t="n">
        <f aca="false">S8031</f>
        <v>0</v>
      </c>
      <c r="D8099" s="61"/>
    </row>
    <row r="8100" customFormat="false" ht="15" hidden="false" customHeight="false" outlineLevel="0" collapsed="false">
      <c r="A8100" s="9" t="s">
        <v>598</v>
      </c>
      <c r="C8100" s="63" t="n">
        <f aca="false">P8015</f>
        <v>43.6188722246667</v>
      </c>
      <c r="D8100" s="63"/>
    </row>
    <row r="8101" customFormat="false" ht="15" hidden="false" customHeight="false" outlineLevel="0" collapsed="false">
      <c r="A8101" s="9" t="s">
        <v>599</v>
      </c>
      <c r="C8101" s="63" t="n">
        <f aca="false">P8035</f>
        <v>6.18260904948639</v>
      </c>
      <c r="D8101" s="63"/>
    </row>
    <row r="8102" customFormat="false" ht="15" hidden="false" customHeight="false" outlineLevel="0" collapsed="false">
      <c r="A8102" s="9" t="s">
        <v>600</v>
      </c>
      <c r="C8102" s="63" t="n">
        <f aca="false">P8011</f>
        <v>42</v>
      </c>
      <c r="D8102" s="63"/>
    </row>
    <row r="8103" customFormat="false" ht="15" hidden="false" customHeight="false" outlineLevel="0" collapsed="false">
      <c r="A8103" s="9" t="s">
        <v>601</v>
      </c>
      <c r="C8103" s="61" t="n">
        <f aca="false">IFERROR(P8045/P8035,0)</f>
        <v>8545.01753177967</v>
      </c>
      <c r="D8103" s="61"/>
    </row>
    <row r="8106" customFormat="false" ht="15" hidden="false" customHeight="true" outlineLevel="0" collapsed="false">
      <c r="A8106" s="78" t="s">
        <v>915</v>
      </c>
      <c r="B8106" s="78"/>
      <c r="C8106" s="78"/>
      <c r="D8106" s="78"/>
      <c r="E8106" s="78"/>
      <c r="F8106" s="78"/>
      <c r="G8106" s="78"/>
      <c r="H8106" s="78"/>
      <c r="I8106" s="78"/>
      <c r="J8106" s="78"/>
      <c r="K8106" s="78"/>
      <c r="L8106" s="78"/>
      <c r="M8106" s="78"/>
      <c r="N8106" s="78"/>
    </row>
    <row r="8107" customFormat="false" ht="15" hidden="false" customHeight="true" outlineLevel="0" collapsed="false">
      <c r="A8107" s="79" t="s">
        <v>916</v>
      </c>
      <c r="B8107" s="79"/>
      <c r="C8107" s="79"/>
      <c r="D8107" s="79"/>
      <c r="E8107" s="79"/>
      <c r="F8107" s="79"/>
      <c r="G8107" s="79"/>
      <c r="H8107" s="79"/>
      <c r="I8107" s="79"/>
      <c r="J8107" s="79"/>
      <c r="K8107" s="79"/>
      <c r="L8107" s="79"/>
      <c r="M8107" s="79"/>
      <c r="N8107" s="79"/>
    </row>
    <row r="8108" customFormat="false" ht="15" hidden="false" customHeight="false" outlineLevel="0" collapsed="false">
      <c r="A8108" s="35" t="s">
        <v>917</v>
      </c>
      <c r="B8108" s="35" t="s">
        <v>444</v>
      </c>
      <c r="C8108" s="6" t="s">
        <v>354</v>
      </c>
      <c r="D8108" s="6" t="s">
        <v>355</v>
      </c>
      <c r="E8108" s="6" t="s">
        <v>356</v>
      </c>
      <c r="F8108" s="6" t="s">
        <v>357</v>
      </c>
      <c r="G8108" s="6" t="s">
        <v>358</v>
      </c>
      <c r="H8108" s="6" t="s">
        <v>359</v>
      </c>
      <c r="I8108" s="6" t="s">
        <v>360</v>
      </c>
      <c r="J8108" s="6" t="s">
        <v>361</v>
      </c>
      <c r="K8108" s="6" t="s">
        <v>362</v>
      </c>
      <c r="L8108" s="6" t="s">
        <v>363</v>
      </c>
      <c r="M8108" s="6" t="s">
        <v>364</v>
      </c>
      <c r="N8108" s="6" t="s">
        <v>365</v>
      </c>
      <c r="P8108" s="6" t="s">
        <v>445</v>
      </c>
      <c r="Q8108" s="6" t="s">
        <v>446</v>
      </c>
      <c r="R8108" s="6" t="s">
        <v>447</v>
      </c>
      <c r="S8108" s="6" t="s">
        <v>448</v>
      </c>
    </row>
    <row r="8109" customFormat="false" ht="15" hidden="false" customHeight="false" outlineLevel="0" collapsed="false">
      <c r="A8109" s="4" t="s">
        <v>449</v>
      </c>
      <c r="B8109" s="36" t="s">
        <v>450</v>
      </c>
      <c r="C8109" s="34" t="n">
        <f aca="false">'Market Sizing'!$C$17*Assumptions!$E$10*Assumptions!$E$11*(1-Assumptions!$E$12)</f>
        <v>843.03944704</v>
      </c>
    </row>
    <row r="8110" customFormat="false" ht="15" hidden="false" customHeight="false" outlineLevel="0" collapsed="false">
      <c r="A8110" s="4" t="s">
        <v>451</v>
      </c>
      <c r="B8110" s="36" t="s">
        <v>450</v>
      </c>
      <c r="C8110" s="34" t="n">
        <f aca="false">'Market Sizing'!$D$17*Assumptions!$E$10*Assumptions!$E$11*(1-Assumptions!$E$12)</f>
        <v>211.19616</v>
      </c>
    </row>
    <row r="8111" customFormat="false" ht="15" hidden="false" customHeight="false" outlineLevel="0" collapsed="false">
      <c r="A8111" s="4" t="s">
        <v>452</v>
      </c>
      <c r="B8111" s="36" t="s">
        <v>450</v>
      </c>
      <c r="C8111" s="34" t="n">
        <f aca="false">'Market Sizing'!$E$17*Assumptions!$E$10*Assumptions!$E$11*(1-Assumptions!$E$12)</f>
        <v>49.53984</v>
      </c>
    </row>
    <row r="8112" customFormat="false" ht="15" hidden="false" customHeight="false" outlineLevel="0" collapsed="false">
      <c r="A8112" s="4" t="s">
        <v>453</v>
      </c>
      <c r="B8112" s="36"/>
      <c r="C8112" s="34" t="n">
        <f aca="false">$C$8109+$C$8110+$C$8111</f>
        <v>1103.77544704</v>
      </c>
    </row>
    <row r="8113" customFormat="false" ht="15" hidden="false" customHeight="false" outlineLevel="0" collapsed="false">
      <c r="A8113" s="4" t="s">
        <v>454</v>
      </c>
      <c r="B8113" s="36" t="s">
        <v>450</v>
      </c>
      <c r="C8113" s="34" t="n">
        <f aca="false">'Market Sizing'!$C$18*Assumptions!$E$10*Assumptions!$E$11*(1-Assumptions!$E$12)</f>
        <v>612.57706944</v>
      </c>
    </row>
    <row r="8114" customFormat="false" ht="15" hidden="false" customHeight="false" outlineLevel="0" collapsed="false">
      <c r="A8114" s="4" t="s">
        <v>455</v>
      </c>
      <c r="B8114" s="36" t="s">
        <v>450</v>
      </c>
      <c r="C8114" s="34" t="n">
        <f aca="false">'Market Sizing'!$D$18*Assumptions!$E$10*Assumptions!$E$11*(1-Assumptions!$E$12)</f>
        <v>142.10112</v>
      </c>
    </row>
    <row r="8115" customFormat="false" ht="15" hidden="false" customHeight="false" outlineLevel="0" collapsed="false">
      <c r="A8115" s="4" t="s">
        <v>456</v>
      </c>
      <c r="B8115" s="36" t="s">
        <v>450</v>
      </c>
      <c r="C8115" s="34" t="n">
        <f aca="false">'Market Sizing'!$E$18*Assumptions!$E$10*Assumptions!$E$11*(1-Assumptions!$E$12)</f>
        <v>24.76992</v>
      </c>
    </row>
    <row r="8116" customFormat="false" ht="15" hidden="false" customHeight="false" outlineLevel="0" collapsed="false">
      <c r="A8116" s="4" t="s">
        <v>457</v>
      </c>
      <c r="B8116" s="36"/>
      <c r="C8116" s="34" t="n">
        <f aca="false">$C$8113+$C$8114+$C$8115</f>
        <v>779.44810944</v>
      </c>
    </row>
    <row r="8117" customFormat="false" ht="15" hidden="false" customHeight="false" outlineLevel="0" collapsed="false">
      <c r="A8117" s="4" t="s">
        <v>458</v>
      </c>
      <c r="B8117" s="36" t="s">
        <v>450</v>
      </c>
      <c r="C8117" s="34" t="n">
        <f aca="false">'Market Sizing'!$C$19*Assumptions!$E$10*Assumptions!$E$11*(1-Assumptions!$E$12)</f>
        <v>2060.77303936</v>
      </c>
    </row>
    <row r="8118" customFormat="false" ht="15" hidden="false" customHeight="false" outlineLevel="0" collapsed="false">
      <c r="A8118" s="4" t="s">
        <v>459</v>
      </c>
      <c r="B8118" s="36" t="s">
        <v>450</v>
      </c>
      <c r="C8118" s="34" t="n">
        <f aca="false">'Market Sizing'!$D$19*Assumptions!$E$10*Assumptions!$E$11*(1-Assumptions!$E$12)</f>
        <v>428.47616</v>
      </c>
    </row>
    <row r="8119" customFormat="false" ht="15" hidden="false" customHeight="false" outlineLevel="0" collapsed="false">
      <c r="A8119" s="4" t="s">
        <v>460</v>
      </c>
      <c r="B8119" s="36" t="s">
        <v>450</v>
      </c>
      <c r="C8119" s="34" t="n">
        <f aca="false">'Market Sizing'!$E$19*Assumptions!$E$10*Assumptions!$E$11*(1-Assumptions!$E$12)</f>
        <v>79.52448</v>
      </c>
    </row>
    <row r="8120" customFormat="false" ht="15" hidden="false" customHeight="false" outlineLevel="0" collapsed="false">
      <c r="A8120" s="4" t="s">
        <v>461</v>
      </c>
      <c r="B8120" s="36"/>
      <c r="C8120" s="34" t="n">
        <f aca="false">$C$8117+$C$8118+$C$8119</f>
        <v>2568.77367936</v>
      </c>
    </row>
    <row r="8121" customFormat="false" ht="15" hidden="false" customHeight="false" outlineLevel="0" collapsed="false">
      <c r="A8121" s="4" t="s">
        <v>462</v>
      </c>
      <c r="B8121" s="36" t="s">
        <v>463</v>
      </c>
      <c r="C8121" s="33" t="n">
        <f aca="false">MAX((Assumptions!$E$51+Assumptions!$E$53)*12,(((('Market Sizing'!$E$25*Assumptions!$E$41*Assumptions!$E$42*0.75)*Assumptions!$E$44)*Assumptions!$E$45*Assumptions!$E$46+('Market Sizing'!$E$25*Assumptions!$E$41*Assumptions!$E$42*0.75)*Assumptions!$E$47+('Market Sizing'!$E$25*Assumptions!$E$41*Assumptions!$E$42*0.75)*Assumptions!$E$48*Assumptions!$E$49)*(Assumptions!$E$51*12/Assumptions!$E$52)+((('Market Sizing'!$E$25*Assumptions!$E$41*Assumptions!$E$42*0.75)*Assumptions!$E$44)*Assumptions!$E$45+('Market Sizing'!$E$25*Assumptions!$E$41*Assumptions!$E$42*0.75)+('Market Sizing'!$E$25*Assumptions!$E$41*Assumptions!$E$42*0.75)*Assumptions!$E$48)*Assumptions!$E$50*(Assumptions!$E$53*12/Assumptions!$E$54)))</f>
        <v>5352</v>
      </c>
    </row>
    <row r="8122" customFormat="false" ht="15" hidden="false" customHeight="false" outlineLevel="0" collapsed="false">
      <c r="A8122" s="4" t="s">
        <v>464</v>
      </c>
      <c r="B8122" s="36" t="s">
        <v>463</v>
      </c>
      <c r="C8122" s="33" t="n">
        <f aca="false">MAX((Assumptions!$E$51+Assumptions!$E$53)*12,(((('Market Sizing'!$E$26*Assumptions!$E$41*Assumptions!$E$42*0.75)*Assumptions!$E$44)*Assumptions!$E$45*Assumptions!$E$46+('Market Sizing'!$E$26*Assumptions!$E$41*Assumptions!$E$42*0.75)*Assumptions!$E$47+('Market Sizing'!$E$26*Assumptions!$E$41*Assumptions!$E$42*0.75)*Assumptions!$E$48*Assumptions!$E$49)*(Assumptions!$E$51*12/Assumptions!$E$52)+((('Market Sizing'!$E$26*Assumptions!$E$41*Assumptions!$E$42*0.75)*Assumptions!$E$44)*Assumptions!$E$45+('Market Sizing'!$E$26*Assumptions!$E$41*Assumptions!$E$42*0.75)+('Market Sizing'!$E$26*Assumptions!$E$41*Assumptions!$E$42*0.75)*Assumptions!$E$48)*Assumptions!$E$50*(Assumptions!$E$53*12/Assumptions!$E$54)))</f>
        <v>7325.04009656406</v>
      </c>
    </row>
    <row r="8123" customFormat="false" ht="15" hidden="false" customHeight="false" outlineLevel="0" collapsed="false">
      <c r="A8123" s="4" t="s">
        <v>465</v>
      </c>
      <c r="B8123" s="36" t="s">
        <v>463</v>
      </c>
      <c r="C8123" s="33" t="n">
        <f aca="false">MAX(Assumptions!$E$55*(Assumptions!$E$51*12/Assumptions!$E$52)+Assumptions!$E$56*(Assumptions!$E$53*12/Assumptions!$E$54),(((('Market Sizing'!$E$27*Assumptions!$E$41*Assumptions!$E$42*0.75)*Assumptions!$E$44)*Assumptions!$E$45*Assumptions!$E$46+('Market Sizing'!$E$27*Assumptions!$E$41*Assumptions!$E$42*0.75)*Assumptions!$E$47+('Market Sizing'!$E$27*Assumptions!$E$41*Assumptions!$E$42*0.75)*Assumptions!$E$48*Assumptions!$E$49)*(Assumptions!$E$51*12/Assumptions!$E$52)+((('Market Sizing'!$E$27*Assumptions!$E$41*Assumptions!$E$42*0.75)*Assumptions!$E$44)*Assumptions!$E$45+('Market Sizing'!$E$27*Assumptions!$E$41*Assumptions!$E$42*0.75)+('Market Sizing'!$E$27*Assumptions!$E$41*Assumptions!$E$42*0.75)*Assumptions!$E$48)*Assumptions!$E$50*(Assumptions!$E$53*12/Assumptions!$E$54)))*(1-Assumptions!$E$57)</f>
        <v>46333.6921645789</v>
      </c>
    </row>
    <row r="8124" customFormat="false" ht="23.85" hidden="false" customHeight="false" outlineLevel="0" collapsed="false">
      <c r="A8124" s="4" t="s">
        <v>466</v>
      </c>
      <c r="B8124" s="36" t="s">
        <v>467</v>
      </c>
      <c r="C8124" s="37" t="n">
        <f aca="false">Assumptions!$E$17*Assumptions!$D$106</f>
        <v>0.4</v>
      </c>
    </row>
    <row r="8125" customFormat="false" ht="23.85" hidden="false" customHeight="false" outlineLevel="0" collapsed="false">
      <c r="A8125" s="4" t="s">
        <v>468</v>
      </c>
      <c r="B8125" s="36" t="s">
        <v>469</v>
      </c>
      <c r="C8125" s="33" t="n">
        <f aca="false">Assumptions!$E$68/Assumptions!$E$69</f>
        <v>285714.285714286</v>
      </c>
    </row>
    <row r="8126" customFormat="false" ht="23.85" hidden="false" customHeight="false" outlineLevel="0" collapsed="false">
      <c r="A8126" s="4" t="s">
        <v>470</v>
      </c>
      <c r="B8126" s="36" t="s">
        <v>471</v>
      </c>
      <c r="C8126" s="33" t="n">
        <f aca="false">Assumptions!$E$66*Assumptions!$E$67/4</f>
        <v>153125</v>
      </c>
    </row>
    <row r="8127" customFormat="false" ht="15" hidden="false" customHeight="false" outlineLevel="0" collapsed="false">
      <c r="A8127" s="4" t="s">
        <v>472</v>
      </c>
      <c r="B8127" s="36"/>
      <c r="C8127" s="38" t="n">
        <f aca="false">$C$8125/Assumptions!$E$66/Assumptions!$E$67</f>
        <v>0.466472303206997</v>
      </c>
    </row>
    <row r="8128" customFormat="false" ht="15" hidden="false" customHeight="false" outlineLevel="0" collapsed="false">
      <c r="A8128" s="4" t="s">
        <v>473</v>
      </c>
      <c r="B8128" s="36"/>
      <c r="C8128" s="33" t="n">
        <f aca="false">MAX(0,Assumptions!$D$103-Assumptions!$E$78)</f>
        <v>0</v>
      </c>
    </row>
    <row r="8129" customFormat="false" ht="15" hidden="false" customHeight="false" outlineLevel="0" collapsed="false">
      <c r="A8129" s="35" t="s">
        <v>474</v>
      </c>
      <c r="B8129" s="35" t="s">
        <v>444</v>
      </c>
      <c r="C8129" s="6" t="s">
        <v>354</v>
      </c>
      <c r="D8129" s="6" t="s">
        <v>355</v>
      </c>
      <c r="E8129" s="6" t="s">
        <v>356</v>
      </c>
      <c r="F8129" s="6" t="s">
        <v>357</v>
      </c>
      <c r="G8129" s="6" t="s">
        <v>358</v>
      </c>
      <c r="H8129" s="6" t="s">
        <v>359</v>
      </c>
      <c r="I8129" s="6" t="s">
        <v>360</v>
      </c>
      <c r="J8129" s="6" t="s">
        <v>361</v>
      </c>
      <c r="K8129" s="6" t="s">
        <v>362</v>
      </c>
      <c r="L8129" s="6" t="s">
        <v>363</v>
      </c>
      <c r="M8129" s="6" t="s">
        <v>364</v>
      </c>
      <c r="N8129" s="6" t="s">
        <v>365</v>
      </c>
      <c r="P8129" s="6" t="s">
        <v>445</v>
      </c>
      <c r="Q8129" s="6" t="s">
        <v>446</v>
      </c>
      <c r="R8129" s="6" t="s">
        <v>447</v>
      </c>
      <c r="S8129" s="6" t="s">
        <v>448</v>
      </c>
    </row>
    <row r="8130" customFormat="false" ht="15" hidden="false" customHeight="false" outlineLevel="0" collapsed="false">
      <c r="A8130" s="4" t="s">
        <v>475</v>
      </c>
      <c r="B8130" s="36" t="s">
        <v>133</v>
      </c>
      <c r="C8130" s="39" t="n">
        <v>1</v>
      </c>
      <c r="D8130" s="39" t="n">
        <v>2</v>
      </c>
      <c r="E8130" s="39" t="n">
        <v>3</v>
      </c>
      <c r="F8130" s="39" t="n">
        <v>4</v>
      </c>
      <c r="G8130" s="39" t="n">
        <v>5</v>
      </c>
      <c r="H8130" s="39" t="n">
        <v>6</v>
      </c>
      <c r="I8130" s="39" t="n">
        <v>7</v>
      </c>
      <c r="J8130" s="39" t="n">
        <v>8</v>
      </c>
      <c r="K8130" s="39" t="n">
        <v>9</v>
      </c>
      <c r="L8130" s="39" t="n">
        <v>10</v>
      </c>
      <c r="M8130" s="39" t="n">
        <v>11</v>
      </c>
      <c r="N8130" s="39" t="n">
        <v>12</v>
      </c>
      <c r="P8130" s="40"/>
      <c r="Q8130" s="40"/>
      <c r="R8130" s="40"/>
      <c r="S8130" s="41"/>
    </row>
    <row r="8131" customFormat="false" ht="15" hidden="false" customHeight="false" outlineLevel="0" collapsed="false">
      <c r="A8131" s="4" t="s">
        <v>476</v>
      </c>
      <c r="B8131" s="36" t="s">
        <v>343</v>
      </c>
      <c r="C8131" s="39" t="n">
        <f aca="false">IF(C8130&lt;=Assumptions!$E$84,1,0)</f>
        <v>1</v>
      </c>
      <c r="D8131" s="39" t="n">
        <f aca="false">IF(D8130&lt;=Assumptions!$E$84,1,0)</f>
        <v>1</v>
      </c>
      <c r="E8131" s="39" t="n">
        <f aca="false">IF(E8130&lt;=Assumptions!$E$84,1,0)</f>
        <v>1</v>
      </c>
      <c r="F8131" s="39" t="n">
        <f aca="false">IF(F8130&lt;=Assumptions!$E$84,1,0)</f>
        <v>1</v>
      </c>
      <c r="G8131" s="39" t="n">
        <f aca="false">IF(G8130&lt;=Assumptions!$E$84,1,0)</f>
        <v>1</v>
      </c>
      <c r="H8131" s="39" t="n">
        <f aca="false">IF(H8130&lt;=Assumptions!$E$84,1,0)</f>
        <v>1</v>
      </c>
      <c r="I8131" s="39" t="n">
        <f aca="false">IF(I8130&lt;=Assumptions!$E$84,1,0)</f>
        <v>1</v>
      </c>
      <c r="J8131" s="39" t="n">
        <f aca="false">IF(J8130&lt;=Assumptions!$E$84,1,0)</f>
        <v>1</v>
      </c>
      <c r="K8131" s="39" t="n">
        <f aca="false">IF(K8130&lt;=Assumptions!$E$84,1,0)</f>
        <v>1</v>
      </c>
      <c r="L8131" s="39" t="n">
        <f aca="false">IF(L8130&lt;=Assumptions!$E$84,1,0)</f>
        <v>1</v>
      </c>
      <c r="M8131" s="39" t="n">
        <f aca="false">IF(M8130&lt;=Assumptions!$E$84,1,0)</f>
        <v>1</v>
      </c>
      <c r="N8131" s="39" t="n">
        <f aca="false">IF(N8130&lt;=Assumptions!$E$84,1,0)</f>
        <v>1</v>
      </c>
      <c r="P8131" s="40"/>
      <c r="Q8131" s="40"/>
      <c r="R8131" s="40"/>
      <c r="S8131" s="41"/>
    </row>
    <row r="8132" customFormat="false" ht="15" hidden="false" customHeight="false" outlineLevel="0" collapsed="false">
      <c r="A8132" s="4" t="s">
        <v>477</v>
      </c>
      <c r="B8132" s="36" t="s">
        <v>478</v>
      </c>
      <c r="C8132" s="42" t="n">
        <f aca="false">IF(C8130=Assumptions!$E$13,0.5,IF(C8130&gt;Assumptions!$E$13,1,0))</f>
        <v>0.5</v>
      </c>
      <c r="D8132" s="42" t="n">
        <f aca="false">IF(D8130=Assumptions!$E$13,0.5,IF(D8130&gt;Assumptions!$E$13,1,0))</f>
        <v>1</v>
      </c>
      <c r="E8132" s="42" t="n">
        <f aca="false">IF(E8130=Assumptions!$E$13,0.5,IF(E8130&gt;Assumptions!$E$13,1,0))</f>
        <v>1</v>
      </c>
      <c r="F8132" s="42" t="n">
        <f aca="false">IF(F8130=Assumptions!$E$13,0.5,IF(F8130&gt;Assumptions!$E$13,1,0))</f>
        <v>1</v>
      </c>
      <c r="G8132" s="42" t="n">
        <f aca="false">IF(G8130=Assumptions!$E$13,0.5,IF(G8130&gt;Assumptions!$E$13,1,0))</f>
        <v>1</v>
      </c>
      <c r="H8132" s="42" t="n">
        <f aca="false">IF(H8130=Assumptions!$E$13,0.5,IF(H8130&gt;Assumptions!$E$13,1,0))</f>
        <v>1</v>
      </c>
      <c r="I8132" s="42" t="n">
        <f aca="false">IF(I8130=Assumptions!$E$13,0.5,IF(I8130&gt;Assumptions!$E$13,1,0))</f>
        <v>1</v>
      </c>
      <c r="J8132" s="42" t="n">
        <f aca="false">IF(J8130=Assumptions!$E$13,0.5,IF(J8130&gt;Assumptions!$E$13,1,0))</f>
        <v>1</v>
      </c>
      <c r="K8132" s="42" t="n">
        <f aca="false">IF(K8130=Assumptions!$E$13,0.5,IF(K8130&gt;Assumptions!$E$13,1,0))</f>
        <v>1</v>
      </c>
      <c r="L8132" s="42" t="n">
        <f aca="false">IF(L8130=Assumptions!$E$13,0.5,IF(L8130&gt;Assumptions!$E$13,1,0))</f>
        <v>1</v>
      </c>
      <c r="M8132" s="42" t="n">
        <f aca="false">IF(M8130=Assumptions!$E$13,0.5,IF(M8130&gt;Assumptions!$E$13,1,0))</f>
        <v>1</v>
      </c>
      <c r="N8132" s="42" t="n">
        <f aca="false">IF(N8130=Assumptions!$E$13,0.5,IF(N8130&gt;Assumptions!$E$13,1,0))</f>
        <v>1</v>
      </c>
      <c r="P8132" s="43"/>
      <c r="Q8132" s="43"/>
      <c r="R8132" s="43"/>
      <c r="S8132" s="44"/>
    </row>
    <row r="8133" customFormat="false" ht="15" hidden="false" customHeight="false" outlineLevel="0" collapsed="false">
      <c r="A8133" s="4" t="s">
        <v>479</v>
      </c>
      <c r="B8133" s="36" t="s">
        <v>478</v>
      </c>
      <c r="C8133" s="42" t="n">
        <f aca="false">IF(C8130=Assumptions!$E$14,0.5,IF(C8130&gt;Assumptions!$E$14,1,0))</f>
        <v>0</v>
      </c>
      <c r="D8133" s="42" t="n">
        <f aca="false">IF(D8130=Assumptions!$E$14,0.5,IF(D8130&gt;Assumptions!$E$14,1,0))</f>
        <v>0</v>
      </c>
      <c r="E8133" s="42" t="n">
        <f aca="false">IF(E8130=Assumptions!$E$14,0.5,IF(E8130&gt;Assumptions!$E$14,1,0))</f>
        <v>0</v>
      </c>
      <c r="F8133" s="42" t="n">
        <f aca="false">IF(F8130=Assumptions!$E$14,0.5,IF(F8130&gt;Assumptions!$E$14,1,0))</f>
        <v>0</v>
      </c>
      <c r="G8133" s="42" t="n">
        <f aca="false">IF(G8130=Assumptions!$E$14,0.5,IF(G8130&gt;Assumptions!$E$14,1,0))</f>
        <v>0.5</v>
      </c>
      <c r="H8133" s="42" t="n">
        <f aca="false">IF(H8130=Assumptions!$E$14,0.5,IF(H8130&gt;Assumptions!$E$14,1,0))</f>
        <v>1</v>
      </c>
      <c r="I8133" s="42" t="n">
        <f aca="false">IF(I8130=Assumptions!$E$14,0.5,IF(I8130&gt;Assumptions!$E$14,1,0))</f>
        <v>1</v>
      </c>
      <c r="J8133" s="42" t="n">
        <f aca="false">IF(J8130=Assumptions!$E$14,0.5,IF(J8130&gt;Assumptions!$E$14,1,0))</f>
        <v>1</v>
      </c>
      <c r="K8133" s="42" t="n">
        <f aca="false">IF(K8130=Assumptions!$E$14,0.5,IF(K8130&gt;Assumptions!$E$14,1,0))</f>
        <v>1</v>
      </c>
      <c r="L8133" s="42" t="n">
        <f aca="false">IF(L8130=Assumptions!$E$14,0.5,IF(L8130&gt;Assumptions!$E$14,1,0))</f>
        <v>1</v>
      </c>
      <c r="M8133" s="42" t="n">
        <f aca="false">IF(M8130=Assumptions!$E$14,0.5,IF(M8130&gt;Assumptions!$E$14,1,0))</f>
        <v>1</v>
      </c>
      <c r="N8133" s="42" t="n">
        <f aca="false">IF(N8130=Assumptions!$E$14,0.5,IF(N8130&gt;Assumptions!$E$14,1,0))</f>
        <v>1</v>
      </c>
      <c r="P8133" s="43"/>
      <c r="Q8133" s="43"/>
      <c r="R8133" s="43"/>
      <c r="S8133" s="44"/>
    </row>
    <row r="8134" customFormat="false" ht="15" hidden="false" customHeight="false" outlineLevel="0" collapsed="false">
      <c r="A8134" s="4" t="s">
        <v>480</v>
      </c>
      <c r="B8134" s="36" t="s">
        <v>478</v>
      </c>
      <c r="C8134" s="42" t="n">
        <f aca="false">IF(C8130=Assumptions!$E$15,0.5,IF(C8130&gt;Assumptions!$E$15,1,0))</f>
        <v>0</v>
      </c>
      <c r="D8134" s="42" t="n">
        <f aca="false">IF(D8130=Assumptions!$E$15,0.5,IF(D8130&gt;Assumptions!$E$15,1,0))</f>
        <v>0</v>
      </c>
      <c r="E8134" s="42" t="n">
        <f aca="false">IF(E8130=Assumptions!$E$15,0.5,IF(E8130&gt;Assumptions!$E$15,1,0))</f>
        <v>0</v>
      </c>
      <c r="F8134" s="42" t="n">
        <f aca="false">IF(F8130=Assumptions!$E$15,0.5,IF(F8130&gt;Assumptions!$E$15,1,0))</f>
        <v>0</v>
      </c>
      <c r="G8134" s="42" t="n">
        <f aca="false">IF(G8130=Assumptions!$E$15,0.5,IF(G8130&gt;Assumptions!$E$15,1,0))</f>
        <v>0</v>
      </c>
      <c r="H8134" s="42" t="n">
        <f aca="false">IF(H8130=Assumptions!$E$15,0.5,IF(H8130&gt;Assumptions!$E$15,1,0))</f>
        <v>0</v>
      </c>
      <c r="I8134" s="42" t="n">
        <f aca="false">IF(I8130=Assumptions!$E$15,0.5,IF(I8130&gt;Assumptions!$E$15,1,0))</f>
        <v>0.5</v>
      </c>
      <c r="J8134" s="42" t="n">
        <f aca="false">IF(J8130=Assumptions!$E$15,0.5,IF(J8130&gt;Assumptions!$E$15,1,0))</f>
        <v>1</v>
      </c>
      <c r="K8134" s="42" t="n">
        <f aca="false">IF(K8130=Assumptions!$E$15,0.5,IF(K8130&gt;Assumptions!$E$15,1,0))</f>
        <v>1</v>
      </c>
      <c r="L8134" s="42" t="n">
        <f aca="false">IF(L8130=Assumptions!$E$15,0.5,IF(L8130&gt;Assumptions!$E$15,1,0))</f>
        <v>1</v>
      </c>
      <c r="M8134" s="42" t="n">
        <f aca="false">IF(M8130=Assumptions!$E$15,0.5,IF(M8130&gt;Assumptions!$E$15,1,0))</f>
        <v>1</v>
      </c>
      <c r="N8134" s="42" t="n">
        <f aca="false">IF(N8130=Assumptions!$E$15,0.5,IF(N8130&gt;Assumptions!$E$15,1,0))</f>
        <v>1</v>
      </c>
      <c r="P8134" s="43"/>
      <c r="Q8134" s="43"/>
      <c r="R8134" s="43"/>
      <c r="S8134" s="44"/>
    </row>
    <row r="8135" customFormat="false" ht="15" hidden="false" customHeight="false" outlineLevel="0" collapsed="false">
      <c r="A8135" s="4" t="s">
        <v>481</v>
      </c>
      <c r="B8135" s="36" t="s">
        <v>478</v>
      </c>
      <c r="C8135" s="45" t="n">
        <f aca="false">Assumptions!$E$21^(MAX(0,C8130-Assumptions!$E$13)/4)</f>
        <v>1</v>
      </c>
      <c r="D8135" s="45" t="n">
        <f aca="false">Assumptions!$E$21^(MAX(0,D8130-Assumptions!$E$13)/4)</f>
        <v>0.9306048591021</v>
      </c>
      <c r="E8135" s="45" t="n">
        <f aca="false">Assumptions!$E$21^(MAX(0,E8130-Assumptions!$E$13)/4)</f>
        <v>0.866025403784439</v>
      </c>
      <c r="F8135" s="45" t="n">
        <f aca="false">Assumptions!$E$21^(MAX(0,F8130-Assumptions!$E$13)/4)</f>
        <v>0.805927448867656</v>
      </c>
      <c r="G8135" s="45" t="n">
        <f aca="false">Assumptions!$E$21^(MAX(0,G8130-Assumptions!$E$13)/4)</f>
        <v>0.75</v>
      </c>
      <c r="H8135" s="45" t="n">
        <f aca="false">Assumptions!$E$21^(MAX(0,H8130-Assumptions!$E$13)/4)</f>
        <v>0.697953644326575</v>
      </c>
      <c r="I8135" s="45" t="n">
        <f aca="false">Assumptions!$E$21^(MAX(0,I8130-Assumptions!$E$13)/4)</f>
        <v>0.649519052838329</v>
      </c>
      <c r="J8135" s="45" t="n">
        <f aca="false">Assumptions!$E$21^(MAX(0,J8130-Assumptions!$E$13)/4)</f>
        <v>0.604445586650742</v>
      </c>
      <c r="K8135" s="45" t="n">
        <f aca="false">Assumptions!$E$21^(MAX(0,K8130-Assumptions!$E$13)/4)</f>
        <v>0.5625</v>
      </c>
      <c r="L8135" s="45" t="n">
        <f aca="false">Assumptions!$E$21^(MAX(0,L8130-Assumptions!$E$13)/4)</f>
        <v>0.523465233244931</v>
      </c>
      <c r="M8135" s="45" t="n">
        <f aca="false">Assumptions!$E$21^(MAX(0,M8130-Assumptions!$E$13)/4)</f>
        <v>0.487139289628747</v>
      </c>
      <c r="N8135" s="45" t="n">
        <f aca="false">Assumptions!$E$21^(MAX(0,N8130-Assumptions!$E$13)/4)</f>
        <v>0.453334189988057</v>
      </c>
      <c r="P8135" s="46"/>
      <c r="Q8135" s="46"/>
      <c r="R8135" s="46"/>
      <c r="S8135" s="47"/>
    </row>
    <row r="8136" customFormat="false" ht="15" hidden="false" customHeight="false" outlineLevel="0" collapsed="false">
      <c r="A8136" s="4" t="s">
        <v>482</v>
      </c>
      <c r="B8136" s="36" t="s">
        <v>478</v>
      </c>
      <c r="C8136" s="45" t="n">
        <f aca="false">Assumptions!$E$21^(MAX(0,C8130-Assumptions!$E$14)/4)</f>
        <v>1</v>
      </c>
      <c r="D8136" s="45" t="n">
        <f aca="false">Assumptions!$E$21^(MAX(0,D8130-Assumptions!$E$14)/4)</f>
        <v>1</v>
      </c>
      <c r="E8136" s="45" t="n">
        <f aca="false">Assumptions!$E$21^(MAX(0,E8130-Assumptions!$E$14)/4)</f>
        <v>1</v>
      </c>
      <c r="F8136" s="45" t="n">
        <f aca="false">Assumptions!$E$21^(MAX(0,F8130-Assumptions!$E$14)/4)</f>
        <v>1</v>
      </c>
      <c r="G8136" s="45" t="n">
        <f aca="false">Assumptions!$E$21^(MAX(0,G8130-Assumptions!$E$14)/4)</f>
        <v>1</v>
      </c>
      <c r="H8136" s="45" t="n">
        <f aca="false">Assumptions!$E$21^(MAX(0,H8130-Assumptions!$E$14)/4)</f>
        <v>0.9306048591021</v>
      </c>
      <c r="I8136" s="45" t="n">
        <f aca="false">Assumptions!$E$21^(MAX(0,I8130-Assumptions!$E$14)/4)</f>
        <v>0.866025403784439</v>
      </c>
      <c r="J8136" s="45" t="n">
        <f aca="false">Assumptions!$E$21^(MAX(0,J8130-Assumptions!$E$14)/4)</f>
        <v>0.805927448867656</v>
      </c>
      <c r="K8136" s="45" t="n">
        <f aca="false">Assumptions!$E$21^(MAX(0,K8130-Assumptions!$E$14)/4)</f>
        <v>0.75</v>
      </c>
      <c r="L8136" s="45" t="n">
        <f aca="false">Assumptions!$E$21^(MAX(0,L8130-Assumptions!$E$14)/4)</f>
        <v>0.697953644326575</v>
      </c>
      <c r="M8136" s="45" t="n">
        <f aca="false">Assumptions!$E$21^(MAX(0,M8130-Assumptions!$E$14)/4)</f>
        <v>0.649519052838329</v>
      </c>
      <c r="N8136" s="45" t="n">
        <f aca="false">Assumptions!$E$21^(MAX(0,N8130-Assumptions!$E$14)/4)</f>
        <v>0.604445586650742</v>
      </c>
      <c r="P8136" s="46"/>
      <c r="Q8136" s="46"/>
      <c r="R8136" s="46"/>
      <c r="S8136" s="47"/>
    </row>
    <row r="8137" customFormat="false" ht="15" hidden="false" customHeight="false" outlineLevel="0" collapsed="false">
      <c r="A8137" s="4" t="s">
        <v>483</v>
      </c>
      <c r="B8137" s="36" t="s">
        <v>478</v>
      </c>
      <c r="C8137" s="45" t="n">
        <f aca="false">Assumptions!$E$21^(MAX(0,C8130-Assumptions!$E$15)/4)</f>
        <v>1</v>
      </c>
      <c r="D8137" s="45" t="n">
        <f aca="false">Assumptions!$E$21^(MAX(0,D8130-Assumptions!$E$15)/4)</f>
        <v>1</v>
      </c>
      <c r="E8137" s="45" t="n">
        <f aca="false">Assumptions!$E$21^(MAX(0,E8130-Assumptions!$E$15)/4)</f>
        <v>1</v>
      </c>
      <c r="F8137" s="45" t="n">
        <f aca="false">Assumptions!$E$21^(MAX(0,F8130-Assumptions!$E$15)/4)</f>
        <v>1</v>
      </c>
      <c r="G8137" s="45" t="n">
        <f aca="false">Assumptions!$E$21^(MAX(0,G8130-Assumptions!$E$15)/4)</f>
        <v>1</v>
      </c>
      <c r="H8137" s="45" t="n">
        <f aca="false">Assumptions!$E$21^(MAX(0,H8130-Assumptions!$E$15)/4)</f>
        <v>1</v>
      </c>
      <c r="I8137" s="45" t="n">
        <f aca="false">Assumptions!$E$21^(MAX(0,I8130-Assumptions!$E$15)/4)</f>
        <v>1</v>
      </c>
      <c r="J8137" s="45" t="n">
        <f aca="false">Assumptions!$E$21^(MAX(0,J8130-Assumptions!$E$15)/4)</f>
        <v>0.9306048591021</v>
      </c>
      <c r="K8137" s="45" t="n">
        <f aca="false">Assumptions!$E$21^(MAX(0,K8130-Assumptions!$E$15)/4)</f>
        <v>0.866025403784439</v>
      </c>
      <c r="L8137" s="45" t="n">
        <f aca="false">Assumptions!$E$21^(MAX(0,L8130-Assumptions!$E$15)/4)</f>
        <v>0.805927448867656</v>
      </c>
      <c r="M8137" s="45" t="n">
        <f aca="false">Assumptions!$E$21^(MAX(0,M8130-Assumptions!$E$15)/4)</f>
        <v>0.75</v>
      </c>
      <c r="N8137" s="45" t="n">
        <f aca="false">Assumptions!$E$21^(MAX(0,N8130-Assumptions!$E$15)/4)</f>
        <v>0.697953644326575</v>
      </c>
      <c r="P8137" s="46"/>
      <c r="Q8137" s="46"/>
      <c r="R8137" s="46"/>
      <c r="S8137" s="47"/>
    </row>
    <row r="8138" customFormat="false" ht="15" hidden="false" customHeight="false" outlineLevel="0" collapsed="false">
      <c r="A8138" s="4" t="s">
        <v>484</v>
      </c>
      <c r="B8138" s="36" t="s">
        <v>485</v>
      </c>
      <c r="C8138" s="39" t="n">
        <f aca="false">$C$8109*C8132+$C$8113*C8133+$C$8117*C8134</f>
        <v>421.51972352</v>
      </c>
      <c r="D8138" s="39" t="n">
        <f aca="false">$C$8109*D8132+$C$8113*D8133+$C$8117*D8134</f>
        <v>843.03944704</v>
      </c>
      <c r="E8138" s="39" t="n">
        <f aca="false">$C$8109*E8132+$C$8113*E8133+$C$8117*E8134</f>
        <v>843.03944704</v>
      </c>
      <c r="F8138" s="39" t="n">
        <f aca="false">$C$8109*F8132+$C$8113*F8133+$C$8117*F8134</f>
        <v>843.03944704</v>
      </c>
      <c r="G8138" s="39" t="n">
        <f aca="false">$C$8109*G8132+$C$8113*G8133+$C$8117*G8134</f>
        <v>1149.32798176</v>
      </c>
      <c r="H8138" s="39" t="n">
        <f aca="false">$C$8109*H8132+$C$8113*H8133+$C$8117*H8134</f>
        <v>1455.61651648</v>
      </c>
      <c r="I8138" s="39" t="n">
        <f aca="false">$C$8109*I8132+$C$8113*I8133+$C$8117*I8134</f>
        <v>2486.00303616</v>
      </c>
      <c r="J8138" s="39" t="n">
        <f aca="false">$C$8109*J8132+$C$8113*J8133+$C$8117*J8134</f>
        <v>3516.38955584</v>
      </c>
      <c r="K8138" s="39" t="n">
        <f aca="false">$C$8109*K8132+$C$8113*K8133+$C$8117*K8134</f>
        <v>3516.38955584</v>
      </c>
      <c r="L8138" s="39" t="n">
        <f aca="false">$C$8109*L8132+$C$8113*L8133+$C$8117*L8134</f>
        <v>3516.38955584</v>
      </c>
      <c r="M8138" s="39" t="n">
        <f aca="false">$C$8109*M8132+$C$8113*M8133+$C$8117*M8134</f>
        <v>3516.38955584</v>
      </c>
      <c r="N8138" s="39" t="n">
        <f aca="false">$C$8109*N8132+$C$8113*N8133+$C$8117*N8134</f>
        <v>3516.38955584</v>
      </c>
      <c r="P8138" s="40" t="n">
        <f aca="false">F8138</f>
        <v>843.03944704</v>
      </c>
      <c r="Q8138" s="40" t="n">
        <f aca="false">J8138</f>
        <v>3516.38955584</v>
      </c>
      <c r="R8138" s="40" t="n">
        <f aca="false">N8138</f>
        <v>3516.38955584</v>
      </c>
      <c r="S8138" s="41" t="n">
        <f aca="false">R8138</f>
        <v>3516.38955584</v>
      </c>
    </row>
    <row r="8139" customFormat="false" ht="15" hidden="false" customHeight="false" outlineLevel="0" collapsed="false">
      <c r="A8139" s="4" t="s">
        <v>486</v>
      </c>
      <c r="B8139" s="36" t="s">
        <v>485</v>
      </c>
      <c r="C8139" s="39" t="n">
        <f aca="false">$C$8110*C8132+$C$8114*C8133+$C$8118*C8134</f>
        <v>105.59808</v>
      </c>
      <c r="D8139" s="39" t="n">
        <f aca="false">$C$8110*D8132+$C$8114*D8133+$C$8118*D8134</f>
        <v>211.19616</v>
      </c>
      <c r="E8139" s="39" t="n">
        <f aca="false">$C$8110*E8132+$C$8114*E8133+$C$8118*E8134</f>
        <v>211.19616</v>
      </c>
      <c r="F8139" s="39" t="n">
        <f aca="false">$C$8110*F8132+$C$8114*F8133+$C$8118*F8134</f>
        <v>211.19616</v>
      </c>
      <c r="G8139" s="39" t="n">
        <f aca="false">$C$8110*G8132+$C$8114*G8133+$C$8118*G8134</f>
        <v>282.24672</v>
      </c>
      <c r="H8139" s="39" t="n">
        <f aca="false">$C$8110*H8132+$C$8114*H8133+$C$8118*H8134</f>
        <v>353.29728</v>
      </c>
      <c r="I8139" s="39" t="n">
        <f aca="false">$C$8110*I8132+$C$8114*I8133+$C$8118*I8134</f>
        <v>567.53536</v>
      </c>
      <c r="J8139" s="39" t="n">
        <f aca="false">$C$8110*J8132+$C$8114*J8133+$C$8118*J8134</f>
        <v>781.77344</v>
      </c>
      <c r="K8139" s="39" t="n">
        <f aca="false">$C$8110*K8132+$C$8114*K8133+$C$8118*K8134</f>
        <v>781.77344</v>
      </c>
      <c r="L8139" s="39" t="n">
        <f aca="false">$C$8110*L8132+$C$8114*L8133+$C$8118*L8134</f>
        <v>781.77344</v>
      </c>
      <c r="M8139" s="39" t="n">
        <f aca="false">$C$8110*M8132+$C$8114*M8133+$C$8118*M8134</f>
        <v>781.77344</v>
      </c>
      <c r="N8139" s="39" t="n">
        <f aca="false">$C$8110*N8132+$C$8114*N8133+$C$8118*N8134</f>
        <v>781.77344</v>
      </c>
      <c r="P8139" s="40" t="n">
        <f aca="false">F8139</f>
        <v>211.19616</v>
      </c>
      <c r="Q8139" s="40" t="n">
        <f aca="false">J8139</f>
        <v>781.77344</v>
      </c>
      <c r="R8139" s="40" t="n">
        <f aca="false">N8139</f>
        <v>781.77344</v>
      </c>
      <c r="S8139" s="41" t="n">
        <f aca="false">R8139</f>
        <v>781.77344</v>
      </c>
    </row>
    <row r="8140" customFormat="false" ht="15" hidden="false" customHeight="false" outlineLevel="0" collapsed="false">
      <c r="A8140" s="4" t="s">
        <v>487</v>
      </c>
      <c r="B8140" s="36" t="s">
        <v>485</v>
      </c>
      <c r="C8140" s="39" t="n">
        <f aca="false">$C$8111*C8132+$C$8115*C8133+$C$8119*C8134</f>
        <v>24.76992</v>
      </c>
      <c r="D8140" s="39" t="n">
        <f aca="false">$C$8111*D8132+$C$8115*D8133+$C$8119*D8134</f>
        <v>49.53984</v>
      </c>
      <c r="E8140" s="39" t="n">
        <f aca="false">$C$8111*E8132+$C$8115*E8133+$C$8119*E8134</f>
        <v>49.53984</v>
      </c>
      <c r="F8140" s="39" t="n">
        <f aca="false">$C$8111*F8132+$C$8115*F8133+$C$8119*F8134</f>
        <v>49.53984</v>
      </c>
      <c r="G8140" s="39" t="n">
        <f aca="false">$C$8111*G8132+$C$8115*G8133+$C$8119*G8134</f>
        <v>61.9248</v>
      </c>
      <c r="H8140" s="39" t="n">
        <f aca="false">$C$8111*H8132+$C$8115*H8133+$C$8119*H8134</f>
        <v>74.30976</v>
      </c>
      <c r="I8140" s="39" t="n">
        <f aca="false">$C$8111*I8132+$C$8115*I8133+$C$8119*I8134</f>
        <v>114.072</v>
      </c>
      <c r="J8140" s="39" t="n">
        <f aca="false">$C$8111*J8132+$C$8115*J8133+$C$8119*J8134</f>
        <v>153.83424</v>
      </c>
      <c r="K8140" s="39" t="n">
        <f aca="false">$C$8111*K8132+$C$8115*K8133+$C$8119*K8134</f>
        <v>153.83424</v>
      </c>
      <c r="L8140" s="39" t="n">
        <f aca="false">$C$8111*L8132+$C$8115*L8133+$C$8119*L8134</f>
        <v>153.83424</v>
      </c>
      <c r="M8140" s="39" t="n">
        <f aca="false">$C$8111*M8132+$C$8115*M8133+$C$8119*M8134</f>
        <v>153.83424</v>
      </c>
      <c r="N8140" s="39" t="n">
        <f aca="false">$C$8111*N8132+$C$8115*N8133+$C$8119*N8134</f>
        <v>153.83424</v>
      </c>
      <c r="P8140" s="40" t="n">
        <f aca="false">F8140</f>
        <v>49.53984</v>
      </c>
      <c r="Q8140" s="40" t="n">
        <f aca="false">J8140</f>
        <v>153.83424</v>
      </c>
      <c r="R8140" s="40" t="n">
        <f aca="false">N8140</f>
        <v>153.83424</v>
      </c>
      <c r="S8140" s="41" t="n">
        <f aca="false">R8140</f>
        <v>153.83424</v>
      </c>
    </row>
    <row r="8141" customFormat="false" ht="15" hidden="false" customHeight="false" outlineLevel="0" collapsed="false">
      <c r="A8141" s="4" t="s">
        <v>488</v>
      </c>
      <c r="B8141" s="36" t="s">
        <v>485</v>
      </c>
      <c r="C8141" s="39" t="n">
        <f aca="false">C8138+C8139+C8140</f>
        <v>551.88772352</v>
      </c>
      <c r="D8141" s="39" t="n">
        <f aca="false">D8138+D8139+D8140</f>
        <v>1103.77544704</v>
      </c>
      <c r="E8141" s="39" t="n">
        <f aca="false">E8138+E8139+E8140</f>
        <v>1103.77544704</v>
      </c>
      <c r="F8141" s="39" t="n">
        <f aca="false">F8138+F8139+F8140</f>
        <v>1103.77544704</v>
      </c>
      <c r="G8141" s="39" t="n">
        <f aca="false">G8138+G8139+G8140</f>
        <v>1493.49950176</v>
      </c>
      <c r="H8141" s="39" t="n">
        <f aca="false">H8138+H8139+H8140</f>
        <v>1883.22355648</v>
      </c>
      <c r="I8141" s="39" t="n">
        <f aca="false">I8138+I8139+I8140</f>
        <v>3167.61039616</v>
      </c>
      <c r="J8141" s="39" t="n">
        <f aca="false">J8138+J8139+J8140</f>
        <v>4451.99723584</v>
      </c>
      <c r="K8141" s="39" t="n">
        <f aca="false">K8138+K8139+K8140</f>
        <v>4451.99723584</v>
      </c>
      <c r="L8141" s="39" t="n">
        <f aca="false">L8138+L8139+L8140</f>
        <v>4451.99723584</v>
      </c>
      <c r="M8141" s="39" t="n">
        <f aca="false">M8138+M8139+M8140</f>
        <v>4451.99723584</v>
      </c>
      <c r="N8141" s="39" t="n">
        <f aca="false">N8138+N8139+N8140</f>
        <v>4451.99723584</v>
      </c>
      <c r="P8141" s="40" t="n">
        <f aca="false">F8141</f>
        <v>1103.77544704</v>
      </c>
      <c r="Q8141" s="40" t="n">
        <f aca="false">J8141</f>
        <v>4451.99723584</v>
      </c>
      <c r="R8141" s="40" t="n">
        <f aca="false">N8141</f>
        <v>4451.99723584</v>
      </c>
      <c r="S8141" s="41" t="n">
        <f aca="false">R8141</f>
        <v>4451.99723584</v>
      </c>
    </row>
    <row r="8142" customFormat="false" ht="15" hidden="false" customHeight="false" outlineLevel="0" collapsed="false">
      <c r="A8142" s="4" t="s">
        <v>489</v>
      </c>
      <c r="B8142" s="36" t="s">
        <v>485</v>
      </c>
      <c r="C8142" s="39" t="n">
        <f aca="false">$C$8112*C8132*C8135+$C$8116*C8133*C8136+$C$8120*C8134*C8137</f>
        <v>551.88772352</v>
      </c>
      <c r="D8142" s="39" t="n">
        <f aca="false">$C$8112*D8132*D8135+$C$8116*D8133*D8136+$C$8120*D8134*D8137</f>
        <v>1027.17879437302</v>
      </c>
      <c r="E8142" s="39" t="n">
        <f aca="false">$C$8112*E8132*E8135+$C$8116*E8133*E8136+$C$8120*E8134*E8137</f>
        <v>955.897577210165</v>
      </c>
      <c r="F8142" s="39" t="n">
        <f aca="false">$C$8112*F8132*F8135+$C$8116*F8133*F8136+$C$8120*F8134*F8137</f>
        <v>889.562930155704</v>
      </c>
      <c r="G8142" s="39" t="n">
        <f aca="false">$C$8112*G8132*G8135+$C$8116*G8133*G8136+$C$8120*G8134*G8137</f>
        <v>1217.55564</v>
      </c>
      <c r="H8142" s="39" t="n">
        <f aca="false">$C$8112*H8132*H8135+$C$8116*H8133*H8136+$C$8120*H8134*H8137</f>
        <v>1495.74229384257</v>
      </c>
      <c r="I8142" s="39" t="n">
        <f aca="false">$C$8112*I8132*I8135+$C$8116*I8133*I8136+$C$8120*I8134*I8137</f>
        <v>2676.33188629442</v>
      </c>
      <c r="J8142" s="39" t="n">
        <f aca="false">$C$8112*J8132*J8135+$C$8116*J8133*J8136+$C$8120*J8134*J8137</f>
        <v>3685.86409192847</v>
      </c>
      <c r="K8142" s="39" t="n">
        <f aca="false">$C$8112*K8132*K8135+$C$8116*K8133*K8136+$C$8120*K8134*K8137</f>
        <v>3430.08303393858</v>
      </c>
      <c r="L8142" s="39" t="n">
        <f aca="false">$C$8112*L8132*L8135+$C$8116*L8133*L8136+$C$8120*L8134*L8137</f>
        <v>3192.05193850692</v>
      </c>
      <c r="M8142" s="39" t="n">
        <f aca="false">$C$8112*M8132*M8135+$C$8116*M8133*M8136+$C$8120*M8134*M8137</f>
        <v>2970.53904448081</v>
      </c>
      <c r="N8142" s="39" t="n">
        <f aca="false">$C$8112*N8132*N8135+$C$8116*N8133*N8136+$C$8120*N8134*N8137</f>
        <v>2764.39806894635</v>
      </c>
      <c r="P8142" s="40"/>
      <c r="Q8142" s="40"/>
      <c r="R8142" s="40"/>
      <c r="S8142" s="41"/>
    </row>
    <row r="8143" customFormat="false" ht="15" hidden="false" customHeight="false" outlineLevel="0" collapsed="false">
      <c r="A8143" s="4" t="s">
        <v>490</v>
      </c>
      <c r="B8143" s="36" t="s">
        <v>491</v>
      </c>
      <c r="C8143" s="48" t="n">
        <f aca="false">$C$8124*Assumptions!$E$20*C8131*C8142</f>
        <v>6.62265268224</v>
      </c>
      <c r="D8143" s="48" t="n">
        <f aca="false">$C$8124*Assumptions!$E$20*D8131*D8142</f>
        <v>12.3261455324762</v>
      </c>
      <c r="E8143" s="48" t="n">
        <f aca="false">$C$8124*Assumptions!$E$20*E8131*E8142</f>
        <v>11.470770926522</v>
      </c>
      <c r="F8143" s="48" t="n">
        <f aca="false">$C$8124*Assumptions!$E$20*F8131*F8142</f>
        <v>10.6747551618685</v>
      </c>
      <c r="G8143" s="48" t="n">
        <f aca="false">$C$8124*Assumptions!$E$20*G8131*G8142</f>
        <v>14.61066768</v>
      </c>
      <c r="H8143" s="48" t="n">
        <f aca="false">$C$8124*Assumptions!$E$20*H8131*H8142</f>
        <v>17.9489075261109</v>
      </c>
      <c r="I8143" s="48" t="n">
        <f aca="false">$C$8124*Assumptions!$E$20*I8131*I8142</f>
        <v>32.115982635533</v>
      </c>
      <c r="J8143" s="48" t="n">
        <f aca="false">$C$8124*Assumptions!$E$20*J8131*J8142</f>
        <v>44.2303691031417</v>
      </c>
      <c r="K8143" s="48" t="n">
        <f aca="false">$C$8124*Assumptions!$E$20*K8131*K8142</f>
        <v>41.160996407263</v>
      </c>
      <c r="L8143" s="48" t="n">
        <f aca="false">$C$8124*Assumptions!$E$20*L8131*L8142</f>
        <v>38.304623262083</v>
      </c>
      <c r="M8143" s="48" t="n">
        <f aca="false">$C$8124*Assumptions!$E$20*M8131*M8142</f>
        <v>35.6464685337698</v>
      </c>
      <c r="N8143" s="48" t="n">
        <f aca="false">$C$8124*Assumptions!$E$20*N8131*N8142</f>
        <v>33.1727768273562</v>
      </c>
      <c r="P8143" s="49" t="n">
        <f aca="false">SUM(C8143:F8143)</f>
        <v>41.0943243031066</v>
      </c>
      <c r="Q8143" s="49" t="n">
        <f aca="false">SUM(G8143:J8143)</f>
        <v>108.905926944786</v>
      </c>
      <c r="R8143" s="49" t="n">
        <f aca="false">SUM(K8143:N8143)</f>
        <v>148.284865030472</v>
      </c>
      <c r="S8143" s="50" t="n">
        <f aca="false">SUM(P8143:R8143)</f>
        <v>298.285116278364</v>
      </c>
    </row>
    <row r="8144" customFormat="false" ht="15" hidden="false" customHeight="false" outlineLevel="0" collapsed="false">
      <c r="A8144" s="4" t="s">
        <v>492</v>
      </c>
      <c r="B8144" s="36" t="s">
        <v>321</v>
      </c>
      <c r="C8144" s="48" t="n">
        <f aca="false">Assumptions!$D$111</f>
        <v>0</v>
      </c>
      <c r="D8144" s="48" t="n">
        <f aca="false">Assumptions!$E$111</f>
        <v>0</v>
      </c>
      <c r="E8144" s="48" t="n">
        <f aca="false">Assumptions!$F$111</f>
        <v>0</v>
      </c>
      <c r="F8144" s="48" t="n">
        <f aca="false">Assumptions!$G$111</f>
        <v>0</v>
      </c>
      <c r="G8144" s="48" t="n">
        <f aca="false">Assumptions!$H$111</f>
        <v>0</v>
      </c>
      <c r="H8144" s="48" t="n">
        <f aca="false">Assumptions!$I$111</f>
        <v>0</v>
      </c>
      <c r="I8144" s="48" t="n">
        <f aca="false">Assumptions!$J$111</f>
        <v>0</v>
      </c>
      <c r="J8144" s="48" t="n">
        <f aca="false">Assumptions!$K$111</f>
        <v>0</v>
      </c>
      <c r="K8144" s="48" t="n">
        <f aca="false">Assumptions!$L$111</f>
        <v>0</v>
      </c>
      <c r="L8144" s="48" t="n">
        <f aca="false">Assumptions!$M$111</f>
        <v>0</v>
      </c>
      <c r="M8144" s="48" t="n">
        <f aca="false">Assumptions!$N$111</f>
        <v>0</v>
      </c>
      <c r="N8144" s="48" t="n">
        <f aca="false">Assumptions!$O$111</f>
        <v>0</v>
      </c>
      <c r="P8144" s="49" t="n">
        <f aca="false">F8144</f>
        <v>0</v>
      </c>
      <c r="Q8144" s="49" t="n">
        <f aca="false">J8144</f>
        <v>0</v>
      </c>
      <c r="R8144" s="49" t="n">
        <f aca="false">N8144</f>
        <v>0</v>
      </c>
      <c r="S8144" s="50" t="n">
        <f aca="false">R8144</f>
        <v>0</v>
      </c>
    </row>
    <row r="8145" customFormat="false" ht="15" hidden="false" customHeight="false" outlineLevel="0" collapsed="false">
      <c r="A8145" s="4" t="s">
        <v>493</v>
      </c>
      <c r="B8145" s="36" t="s">
        <v>321</v>
      </c>
      <c r="C8145" s="48" t="n">
        <f aca="false">0</f>
        <v>0</v>
      </c>
      <c r="D8145" s="48" t="n">
        <f aca="false">0.5*C8144</f>
        <v>0</v>
      </c>
      <c r="E8145" s="48" t="n">
        <f aca="false">C8144+0.5*(D8144-C8144)</f>
        <v>0</v>
      </c>
      <c r="F8145" s="48" t="n">
        <f aca="false">D8144+0.5*(E8144-D8144)</f>
        <v>0</v>
      </c>
      <c r="G8145" s="48" t="n">
        <f aca="false">E8144+0.5*(F8144-E8144)</f>
        <v>0</v>
      </c>
      <c r="H8145" s="48" t="n">
        <f aca="false">F8144+0.5*(G8144-F8144)</f>
        <v>0</v>
      </c>
      <c r="I8145" s="48" t="n">
        <f aca="false">G8144+0.5*(H8144-G8144)</f>
        <v>0</v>
      </c>
      <c r="J8145" s="48" t="n">
        <f aca="false">H8144+0.5*(I8144-H8144)</f>
        <v>0</v>
      </c>
      <c r="K8145" s="48" t="n">
        <f aca="false">I8144+0.5*(J8144-I8144)</f>
        <v>0</v>
      </c>
      <c r="L8145" s="48" t="n">
        <f aca="false">J8144+0.5*(K8144-J8144)</f>
        <v>0</v>
      </c>
      <c r="M8145" s="48" t="n">
        <f aca="false">K8144+0.5*(L8144-K8144)</f>
        <v>0</v>
      </c>
      <c r="N8145" s="48" t="n">
        <f aca="false">L8144+0.5*(M8144-L8144)</f>
        <v>0</v>
      </c>
      <c r="P8145" s="49" t="n">
        <f aca="false">F8145</f>
        <v>0</v>
      </c>
      <c r="Q8145" s="49" t="n">
        <f aca="false">J8145</f>
        <v>0</v>
      </c>
      <c r="R8145" s="49" t="n">
        <f aca="false">N8145</f>
        <v>0</v>
      </c>
      <c r="S8145" s="50" t="n">
        <f aca="false">R8145</f>
        <v>0</v>
      </c>
    </row>
    <row r="8146" customFormat="false" ht="15" hidden="false" customHeight="false" outlineLevel="0" collapsed="false">
      <c r="A8146" s="4" t="s">
        <v>494</v>
      </c>
      <c r="B8146" s="36" t="s">
        <v>485</v>
      </c>
      <c r="C8146" s="39" t="n">
        <f aca="false">MIN(C8145*Assumptions!$E$38,C8141*(1-$C$8124))</f>
        <v>0</v>
      </c>
      <c r="D8146" s="39" t="n">
        <f aca="false">MIN(D8145*Assumptions!$E$38,D8141*(1-$C$8124))</f>
        <v>0</v>
      </c>
      <c r="E8146" s="39" t="n">
        <f aca="false">MIN(E8145*Assumptions!$E$38,E8141*(1-$C$8124))</f>
        <v>0</v>
      </c>
      <c r="F8146" s="39" t="n">
        <f aca="false">MIN(F8145*Assumptions!$E$38,F8141*(1-$C$8124))</f>
        <v>0</v>
      </c>
      <c r="G8146" s="39" t="n">
        <f aca="false">MIN(G8145*Assumptions!$E$38,G8141*(1-$C$8124))</f>
        <v>0</v>
      </c>
      <c r="H8146" s="39" t="n">
        <f aca="false">MIN(H8145*Assumptions!$E$38,H8141*(1-$C$8124))</f>
        <v>0</v>
      </c>
      <c r="I8146" s="39" t="n">
        <f aca="false">MIN(I8145*Assumptions!$E$38,I8141*(1-$C$8124))</f>
        <v>0</v>
      </c>
      <c r="J8146" s="39" t="n">
        <f aca="false">MIN(J8145*Assumptions!$E$38,J8141*(1-$C$8124))</f>
        <v>0</v>
      </c>
      <c r="K8146" s="39" t="n">
        <f aca="false">MIN(K8145*Assumptions!$E$38,K8141*(1-$C$8124))</f>
        <v>0</v>
      </c>
      <c r="L8146" s="39" t="n">
        <f aca="false">MIN(L8145*Assumptions!$E$38,L8141*(1-$C$8124))</f>
        <v>0</v>
      </c>
      <c r="M8146" s="39" t="n">
        <f aca="false">MIN(M8145*Assumptions!$E$38,M8141*(1-$C$8124))</f>
        <v>0</v>
      </c>
      <c r="N8146" s="39" t="n">
        <f aca="false">MIN(N8145*Assumptions!$E$38,N8141*(1-$C$8124))</f>
        <v>0</v>
      </c>
      <c r="P8146" s="40" t="n">
        <f aca="false">SUM(C8146:F8146)</f>
        <v>0</v>
      </c>
      <c r="Q8146" s="40" t="n">
        <f aca="false">SUM(G8146:J8146)</f>
        <v>0</v>
      </c>
      <c r="R8146" s="40" t="n">
        <f aca="false">SUM(K8146:N8146)</f>
        <v>0</v>
      </c>
      <c r="S8146" s="41" t="n">
        <f aca="false">SUM(P8146:R8146)</f>
        <v>0</v>
      </c>
    </row>
    <row r="8147" customFormat="false" ht="15" hidden="false" customHeight="false" outlineLevel="0" collapsed="false">
      <c r="A8147" s="4" t="s">
        <v>495</v>
      </c>
      <c r="B8147" s="36" t="s">
        <v>491</v>
      </c>
      <c r="C8147" s="48" t="n">
        <f aca="false">C8146*Assumptions!$E$20*Assumptions!$E$39*IF(C8141&gt;0,C8142/C8141,0)*C8131</f>
        <v>0</v>
      </c>
      <c r="D8147" s="48" t="n">
        <f aca="false">D8146*Assumptions!$E$20*Assumptions!$E$39*IF(D8141&gt;0,D8142/D8141,0)*D8131</f>
        <v>0</v>
      </c>
      <c r="E8147" s="48" t="n">
        <f aca="false">E8146*Assumptions!$E$20*Assumptions!$E$39*IF(E8141&gt;0,E8142/E8141,0)*E8131</f>
        <v>0</v>
      </c>
      <c r="F8147" s="48" t="n">
        <f aca="false">F8146*Assumptions!$E$20*Assumptions!$E$39*IF(F8141&gt;0,F8142/F8141,0)*F8131</f>
        <v>0</v>
      </c>
      <c r="G8147" s="48" t="n">
        <f aca="false">G8146*Assumptions!$E$20*Assumptions!$E$39*IF(G8141&gt;0,G8142/G8141,0)*G8131</f>
        <v>0</v>
      </c>
      <c r="H8147" s="48" t="n">
        <f aca="false">H8146*Assumptions!$E$20*Assumptions!$E$39*IF(H8141&gt;0,H8142/H8141,0)*H8131</f>
        <v>0</v>
      </c>
      <c r="I8147" s="48" t="n">
        <f aca="false">I8146*Assumptions!$E$20*Assumptions!$E$39*IF(I8141&gt;0,I8142/I8141,0)*I8131</f>
        <v>0</v>
      </c>
      <c r="J8147" s="48" t="n">
        <f aca="false">J8146*Assumptions!$E$20*Assumptions!$E$39*IF(J8141&gt;0,J8142/J8141,0)*J8131</f>
        <v>0</v>
      </c>
      <c r="K8147" s="48" t="n">
        <f aca="false">K8146*Assumptions!$E$20*Assumptions!$E$39*IF(K8141&gt;0,K8142/K8141,0)*K8131</f>
        <v>0</v>
      </c>
      <c r="L8147" s="48" t="n">
        <f aca="false">L8146*Assumptions!$E$20*Assumptions!$E$39*IF(L8141&gt;0,L8142/L8141,0)*L8131</f>
        <v>0</v>
      </c>
      <c r="M8147" s="48" t="n">
        <f aca="false">M8146*Assumptions!$E$20*Assumptions!$E$39*IF(M8141&gt;0,M8142/M8141,0)*M8131</f>
        <v>0</v>
      </c>
      <c r="N8147" s="48" t="n">
        <f aca="false">N8146*Assumptions!$E$20*Assumptions!$E$39*IF(N8141&gt;0,N8142/N8141,0)*N8131</f>
        <v>0</v>
      </c>
      <c r="P8147" s="49" t="n">
        <f aca="false">SUM(C8147:F8147)</f>
        <v>0</v>
      </c>
      <c r="Q8147" s="49" t="n">
        <f aca="false">SUM(G8147:J8147)</f>
        <v>0</v>
      </c>
      <c r="R8147" s="49" t="n">
        <f aca="false">SUM(K8147:N8147)</f>
        <v>0</v>
      </c>
      <c r="S8147" s="50" t="n">
        <f aca="false">SUM(P8147:R8147)</f>
        <v>0</v>
      </c>
    </row>
    <row r="8148" customFormat="false" ht="15" hidden="false" customHeight="false" outlineLevel="0" collapsed="false">
      <c r="A8148" s="4" t="s">
        <v>496</v>
      </c>
      <c r="B8148" s="36" t="s">
        <v>497</v>
      </c>
      <c r="C8148" s="48" t="n">
        <f aca="false">IF(AND(C8141&gt;0,$C$8128&gt;0),C8141*Assumptions!$E$24*(1-EXP(-$C$8128/(Assumptions!$E$23*C8141*Assumptions!$E$24))),0)</f>
        <v>0</v>
      </c>
      <c r="D8148" s="48" t="n">
        <f aca="false">IF(AND(D8141&gt;0,$C$8128&gt;0),D8141*Assumptions!$E$24*(1-EXP(-$C$8128/(Assumptions!$E$23*D8141*Assumptions!$E$24))),0)</f>
        <v>0</v>
      </c>
      <c r="E8148" s="48" t="n">
        <f aca="false">IF(AND(E8141&gt;0,$C$8128&gt;0),E8141*Assumptions!$E$24*(1-EXP(-$C$8128/(Assumptions!$E$23*E8141*Assumptions!$E$24))),0)</f>
        <v>0</v>
      </c>
      <c r="F8148" s="48" t="n">
        <f aca="false">IF(AND(F8141&gt;0,$C$8128&gt;0),F8141*Assumptions!$E$24*(1-EXP(-$C$8128/(Assumptions!$E$23*F8141*Assumptions!$E$24))),0)</f>
        <v>0</v>
      </c>
      <c r="G8148" s="48" t="n">
        <f aca="false">IF(AND(G8141&gt;0,$C$8128&gt;0),G8141*Assumptions!$E$24*(1-EXP(-$C$8128/(Assumptions!$E$23*G8141*Assumptions!$E$24))),0)</f>
        <v>0</v>
      </c>
      <c r="H8148" s="48" t="n">
        <f aca="false">IF(AND(H8141&gt;0,$C$8128&gt;0),H8141*Assumptions!$E$24*(1-EXP(-$C$8128/(Assumptions!$E$23*H8141*Assumptions!$E$24))),0)</f>
        <v>0</v>
      </c>
      <c r="I8148" s="48" t="n">
        <f aca="false">IF(AND(I8141&gt;0,$C$8128&gt;0),I8141*Assumptions!$E$24*(1-EXP(-$C$8128/(Assumptions!$E$23*I8141*Assumptions!$E$24))),0)</f>
        <v>0</v>
      </c>
      <c r="J8148" s="48" t="n">
        <f aca="false">IF(AND(J8141&gt;0,$C$8128&gt;0),J8141*Assumptions!$E$24*(1-EXP(-$C$8128/(Assumptions!$E$23*J8141*Assumptions!$E$24))),0)</f>
        <v>0</v>
      </c>
      <c r="K8148" s="48" t="n">
        <f aca="false">IF(AND(K8141&gt;0,$C$8128&gt;0),K8141*Assumptions!$E$24*(1-EXP(-$C$8128/(Assumptions!$E$23*K8141*Assumptions!$E$24))),0)</f>
        <v>0</v>
      </c>
      <c r="L8148" s="48" t="n">
        <f aca="false">IF(AND(L8141&gt;0,$C$8128&gt;0),L8141*Assumptions!$E$24*(1-EXP(-$C$8128/(Assumptions!$E$23*L8141*Assumptions!$E$24))),0)</f>
        <v>0</v>
      </c>
      <c r="M8148" s="48" t="n">
        <f aca="false">IF(AND(M8141&gt;0,$C$8128&gt;0),M8141*Assumptions!$E$24*(1-EXP(-$C$8128/(Assumptions!$E$23*M8141*Assumptions!$E$24))),0)</f>
        <v>0</v>
      </c>
      <c r="N8148" s="48" t="n">
        <f aca="false">IF(AND(N8141&gt;0,$C$8128&gt;0),N8141*Assumptions!$E$24*(1-EXP(-$C$8128/(Assumptions!$E$23*N8141*Assumptions!$E$24))),0)</f>
        <v>0</v>
      </c>
      <c r="P8148" s="49" t="n">
        <f aca="false">SUM(C8148:F8148)</f>
        <v>0</v>
      </c>
      <c r="Q8148" s="49" t="n">
        <f aca="false">SUM(G8148:J8148)</f>
        <v>0</v>
      </c>
      <c r="R8148" s="49" t="n">
        <f aca="false">SUM(K8148:N8148)</f>
        <v>0</v>
      </c>
      <c r="S8148" s="50" t="n">
        <f aca="false">SUM(P8148:R8148)</f>
        <v>0</v>
      </c>
    </row>
    <row r="8149" customFormat="false" ht="15" hidden="false" customHeight="false" outlineLevel="0" collapsed="false">
      <c r="A8149" s="4" t="s">
        <v>498</v>
      </c>
      <c r="B8149" s="36" t="s">
        <v>497</v>
      </c>
      <c r="C8149" s="48" t="n">
        <f aca="false">(C8141*Assumptions!$E$22*MIN(1,Assumptions!$D$103/Assumptions!$E$78)+C8148)*C8131</f>
        <v>5.5188772352</v>
      </c>
      <c r="D8149" s="48" t="n">
        <f aca="false">(D8141*Assumptions!$E$22*MIN(1,Assumptions!$D$103/Assumptions!$E$78)+D8148)*D8131</f>
        <v>11.0377544704</v>
      </c>
      <c r="E8149" s="48" t="n">
        <f aca="false">(E8141*Assumptions!$E$22*MIN(1,Assumptions!$D$103/Assumptions!$E$78)+E8148)*E8131</f>
        <v>11.0377544704</v>
      </c>
      <c r="F8149" s="48" t="n">
        <f aca="false">(F8141*Assumptions!$E$22*MIN(1,Assumptions!$D$103/Assumptions!$E$78)+F8148)*F8131</f>
        <v>11.0377544704</v>
      </c>
      <c r="G8149" s="48" t="n">
        <f aca="false">(G8141*Assumptions!$E$22*MIN(1,Assumptions!$D$103/Assumptions!$E$78)+G8148)*G8131</f>
        <v>14.9349950176</v>
      </c>
      <c r="H8149" s="48" t="n">
        <f aca="false">(H8141*Assumptions!$E$22*MIN(1,Assumptions!$D$103/Assumptions!$E$78)+H8148)*H8131</f>
        <v>18.8322355648</v>
      </c>
      <c r="I8149" s="48" t="n">
        <f aca="false">(I8141*Assumptions!$E$22*MIN(1,Assumptions!$D$103/Assumptions!$E$78)+I8148)*I8131</f>
        <v>31.6761039616</v>
      </c>
      <c r="J8149" s="48" t="n">
        <f aca="false">(J8141*Assumptions!$E$22*MIN(1,Assumptions!$D$103/Assumptions!$E$78)+J8148)*J8131</f>
        <v>44.5199723584</v>
      </c>
      <c r="K8149" s="48" t="n">
        <f aca="false">(K8141*Assumptions!$E$22*MIN(1,Assumptions!$D$103/Assumptions!$E$78)+K8148)*K8131</f>
        <v>44.5199723584</v>
      </c>
      <c r="L8149" s="48" t="n">
        <f aca="false">(L8141*Assumptions!$E$22*MIN(1,Assumptions!$D$103/Assumptions!$E$78)+L8148)*L8131</f>
        <v>44.5199723584</v>
      </c>
      <c r="M8149" s="48" t="n">
        <f aca="false">(M8141*Assumptions!$E$22*MIN(1,Assumptions!$D$103/Assumptions!$E$78)+M8148)*M8131</f>
        <v>44.5199723584</v>
      </c>
      <c r="N8149" s="48" t="n">
        <f aca="false">(N8141*Assumptions!$E$22*MIN(1,Assumptions!$D$103/Assumptions!$E$78)+N8148)*N8131</f>
        <v>44.5199723584</v>
      </c>
      <c r="P8149" s="49" t="n">
        <f aca="false">SUM(C8149:F8149)</f>
        <v>38.6321406464</v>
      </c>
      <c r="Q8149" s="49" t="n">
        <f aca="false">SUM(G8149:J8149)</f>
        <v>109.9633069024</v>
      </c>
      <c r="R8149" s="49" t="n">
        <f aca="false">SUM(K8149:N8149)</f>
        <v>178.0798894336</v>
      </c>
      <c r="S8149" s="50" t="n">
        <f aca="false">SUM(P8149:R8149)</f>
        <v>326.6753369824</v>
      </c>
    </row>
    <row r="8150" customFormat="false" ht="15" hidden="false" customHeight="false" outlineLevel="0" collapsed="false">
      <c r="A8150" s="4" t="s">
        <v>499</v>
      </c>
      <c r="B8150" s="36" t="s">
        <v>500</v>
      </c>
      <c r="C8150" s="48" t="n">
        <f aca="false">C8131*MIN(Assumptions!$E$27,Assumptions!$E$25+Assumptions!$E$26*(C8130-1))*Assumptions!$D$107</f>
        <v>2</v>
      </c>
      <c r="D8150" s="48" t="n">
        <f aca="false">D8131*MIN(Assumptions!$E$27,Assumptions!$E$25+Assumptions!$E$26*(D8130-1))*Assumptions!$D$107</f>
        <v>3</v>
      </c>
      <c r="E8150" s="48" t="n">
        <f aca="false">E8131*MIN(Assumptions!$E$27,Assumptions!$E$25+Assumptions!$E$26*(E8130-1))*Assumptions!$D$107</f>
        <v>4</v>
      </c>
      <c r="F8150" s="48" t="n">
        <f aca="false">F8131*MIN(Assumptions!$E$27,Assumptions!$E$25+Assumptions!$E$26*(F8130-1))*Assumptions!$D$107</f>
        <v>5</v>
      </c>
      <c r="G8150" s="48" t="n">
        <f aca="false">G8131*MIN(Assumptions!$E$27,Assumptions!$E$25+Assumptions!$E$26*(G8130-1))*Assumptions!$D$107</f>
        <v>6</v>
      </c>
      <c r="H8150" s="48" t="n">
        <f aca="false">H8131*MIN(Assumptions!$E$27,Assumptions!$E$25+Assumptions!$E$26*(H8130-1))*Assumptions!$D$107</f>
        <v>7</v>
      </c>
      <c r="I8150" s="48" t="n">
        <f aca="false">I8131*MIN(Assumptions!$E$27,Assumptions!$E$25+Assumptions!$E$26*(I8130-1))*Assumptions!$D$107</f>
        <v>8</v>
      </c>
      <c r="J8150" s="48" t="n">
        <f aca="false">J8131*MIN(Assumptions!$E$27,Assumptions!$E$25+Assumptions!$E$26*(J8130-1))*Assumptions!$D$107</f>
        <v>9</v>
      </c>
      <c r="K8150" s="48" t="n">
        <f aca="false">K8131*MIN(Assumptions!$E$27,Assumptions!$E$25+Assumptions!$E$26*(K8130-1))*Assumptions!$D$107</f>
        <v>10</v>
      </c>
      <c r="L8150" s="48" t="n">
        <f aca="false">L8131*MIN(Assumptions!$E$27,Assumptions!$E$25+Assumptions!$E$26*(L8130-1))*Assumptions!$D$107</f>
        <v>10</v>
      </c>
      <c r="M8150" s="48" t="n">
        <f aca="false">M8131*MIN(Assumptions!$E$27,Assumptions!$E$25+Assumptions!$E$26*(M8130-1))*Assumptions!$D$107</f>
        <v>10</v>
      </c>
      <c r="N8150" s="48" t="n">
        <f aca="false">N8131*MIN(Assumptions!$E$27,Assumptions!$E$25+Assumptions!$E$26*(N8130-1))*Assumptions!$D$107</f>
        <v>10</v>
      </c>
      <c r="P8150" s="49" t="n">
        <f aca="false">F8150</f>
        <v>5</v>
      </c>
      <c r="Q8150" s="49" t="n">
        <f aca="false">J8150</f>
        <v>9</v>
      </c>
      <c r="R8150" s="49" t="n">
        <f aca="false">N8150</f>
        <v>10</v>
      </c>
      <c r="S8150" s="50" t="n">
        <f aca="false">R8150</f>
        <v>10</v>
      </c>
    </row>
    <row r="8151" customFormat="false" ht="15" hidden="false" customHeight="false" outlineLevel="0" collapsed="false">
      <c r="A8151" s="4" t="s">
        <v>501</v>
      </c>
      <c r="B8151" s="36" t="s">
        <v>502</v>
      </c>
      <c r="C8151" s="48" t="n">
        <f aca="false">C8150*Assumptions!$E$28</f>
        <v>6</v>
      </c>
      <c r="D8151" s="48" t="n">
        <f aca="false">D8150*Assumptions!$E$28</f>
        <v>9</v>
      </c>
      <c r="E8151" s="48" t="n">
        <f aca="false">E8150*Assumptions!$E$28</f>
        <v>12</v>
      </c>
      <c r="F8151" s="48" t="n">
        <f aca="false">F8150*Assumptions!$E$28</f>
        <v>15</v>
      </c>
      <c r="G8151" s="48" t="n">
        <f aca="false">G8150*Assumptions!$E$28</f>
        <v>18</v>
      </c>
      <c r="H8151" s="48" t="n">
        <f aca="false">H8150*Assumptions!$E$28</f>
        <v>21</v>
      </c>
      <c r="I8151" s="48" t="n">
        <f aca="false">I8150*Assumptions!$E$28</f>
        <v>24</v>
      </c>
      <c r="J8151" s="48" t="n">
        <f aca="false">J8150*Assumptions!$E$28</f>
        <v>27</v>
      </c>
      <c r="K8151" s="48" t="n">
        <f aca="false">K8150*Assumptions!$E$28</f>
        <v>30</v>
      </c>
      <c r="L8151" s="48" t="n">
        <f aca="false">L8150*Assumptions!$E$28</f>
        <v>30</v>
      </c>
      <c r="M8151" s="48" t="n">
        <f aca="false">M8150*Assumptions!$E$28</f>
        <v>30</v>
      </c>
      <c r="N8151" s="48" t="n">
        <f aca="false">N8150*Assumptions!$E$28</f>
        <v>30</v>
      </c>
      <c r="P8151" s="49" t="n">
        <f aca="false">SUM(C8151:F8151)</f>
        <v>42</v>
      </c>
      <c r="Q8151" s="49" t="n">
        <f aca="false">SUM(G8151:J8151)</f>
        <v>90</v>
      </c>
      <c r="R8151" s="49" t="n">
        <f aca="false">SUM(K8151:N8151)</f>
        <v>120</v>
      </c>
      <c r="S8151" s="50" t="n">
        <f aca="false">SUM(P8151:R8151)</f>
        <v>252</v>
      </c>
    </row>
    <row r="8152" customFormat="false" ht="15" hidden="false" customHeight="false" outlineLevel="0" collapsed="false">
      <c r="A8152" s="4" t="s">
        <v>503</v>
      </c>
      <c r="B8152" s="36" t="s">
        <v>504</v>
      </c>
      <c r="C8152" s="48" t="n">
        <f aca="false">(C8143+C8147)*Assumptions!$E$29</f>
        <v>2.649061072896</v>
      </c>
      <c r="D8152" s="48" t="n">
        <f aca="false">(D8143+D8147)*Assumptions!$E$29</f>
        <v>4.93045821299048</v>
      </c>
      <c r="E8152" s="48" t="n">
        <f aca="false">(E8143+E8147)*Assumptions!$E$29</f>
        <v>4.58830837060879</v>
      </c>
      <c r="F8152" s="48" t="n">
        <f aca="false">(F8143+F8147)*Assumptions!$E$29</f>
        <v>4.26990206474738</v>
      </c>
      <c r="G8152" s="48" t="n">
        <f aca="false">(G8143+G8147)*Assumptions!$E$29</f>
        <v>5.844267072</v>
      </c>
      <c r="H8152" s="48" t="n">
        <f aca="false">(H8143+H8147)*Assumptions!$E$29</f>
        <v>7.17956301044434</v>
      </c>
      <c r="I8152" s="48" t="n">
        <f aca="false">(I8143+I8147)*Assumptions!$E$29</f>
        <v>12.8463930542132</v>
      </c>
      <c r="J8152" s="48" t="n">
        <f aca="false">(J8143+J8147)*Assumptions!$E$29</f>
        <v>17.6921476412567</v>
      </c>
      <c r="K8152" s="48" t="n">
        <f aca="false">(K8143+K8147)*Assumptions!$E$29</f>
        <v>16.4643985629052</v>
      </c>
      <c r="L8152" s="48" t="n">
        <f aca="false">(L8143+L8147)*Assumptions!$E$29</f>
        <v>15.3218493048332</v>
      </c>
      <c r="M8152" s="48" t="n">
        <f aca="false">(M8143+M8147)*Assumptions!$E$29</f>
        <v>14.2585874135079</v>
      </c>
      <c r="N8152" s="48" t="n">
        <f aca="false">(N8143+N8147)*Assumptions!$E$29</f>
        <v>13.2691107309425</v>
      </c>
      <c r="P8152" s="49" t="n">
        <f aca="false">SUM(C8152:F8152)</f>
        <v>16.4377297212427</v>
      </c>
      <c r="Q8152" s="49" t="n">
        <f aca="false">SUM(G8152:J8152)</f>
        <v>43.5623707779142</v>
      </c>
      <c r="R8152" s="49" t="n">
        <f aca="false">SUM(K8152:N8152)</f>
        <v>59.3139460121888</v>
      </c>
      <c r="S8152" s="50" t="n">
        <f aca="false">SUM(P8152:R8152)</f>
        <v>119.314046511346</v>
      </c>
    </row>
    <row r="8153" customFormat="false" ht="15" hidden="false" customHeight="false" outlineLevel="0" collapsed="false">
      <c r="A8153" s="4" t="s">
        <v>505</v>
      </c>
      <c r="B8153" s="36" t="s">
        <v>504</v>
      </c>
      <c r="C8153" s="48" t="n">
        <f aca="false">C8149*Assumptions!$E$31</f>
        <v>0.883020357632</v>
      </c>
      <c r="D8153" s="48" t="n">
        <f aca="false">D8149*Assumptions!$E$31</f>
        <v>1.766040715264</v>
      </c>
      <c r="E8153" s="48" t="n">
        <f aca="false">E8149*Assumptions!$E$31</f>
        <v>1.766040715264</v>
      </c>
      <c r="F8153" s="48" t="n">
        <f aca="false">F8149*Assumptions!$E$31</f>
        <v>1.766040715264</v>
      </c>
      <c r="G8153" s="48" t="n">
        <f aca="false">G8149*Assumptions!$E$31</f>
        <v>2.389599202816</v>
      </c>
      <c r="H8153" s="48" t="n">
        <f aca="false">H8149*Assumptions!$E$31</f>
        <v>3.013157690368</v>
      </c>
      <c r="I8153" s="48" t="n">
        <f aca="false">I8149*Assumptions!$E$31</f>
        <v>5.068176633856</v>
      </c>
      <c r="J8153" s="48" t="n">
        <f aca="false">J8149*Assumptions!$E$31</f>
        <v>7.123195577344</v>
      </c>
      <c r="K8153" s="48" t="n">
        <f aca="false">K8149*Assumptions!$E$31</f>
        <v>7.123195577344</v>
      </c>
      <c r="L8153" s="48" t="n">
        <f aca="false">L8149*Assumptions!$E$31</f>
        <v>7.123195577344</v>
      </c>
      <c r="M8153" s="48" t="n">
        <f aca="false">M8149*Assumptions!$E$31</f>
        <v>7.123195577344</v>
      </c>
      <c r="N8153" s="48" t="n">
        <f aca="false">N8149*Assumptions!$E$31</f>
        <v>7.123195577344</v>
      </c>
      <c r="P8153" s="49" t="n">
        <f aca="false">SUM(C8153:F8153)</f>
        <v>6.181142503424</v>
      </c>
      <c r="Q8153" s="49" t="n">
        <f aca="false">SUM(G8153:J8153)</f>
        <v>17.594129104384</v>
      </c>
      <c r="R8153" s="49" t="n">
        <f aca="false">SUM(K8153:N8153)</f>
        <v>28.492782309376</v>
      </c>
      <c r="S8153" s="50" t="n">
        <f aca="false">SUM(P8153:R8153)</f>
        <v>52.268053917184</v>
      </c>
    </row>
    <row r="8154" customFormat="false" ht="15" hidden="false" customHeight="false" outlineLevel="0" collapsed="false">
      <c r="A8154" s="4" t="s">
        <v>506</v>
      </c>
      <c r="B8154" s="36" t="s">
        <v>504</v>
      </c>
      <c r="C8154" s="48" t="n">
        <f aca="false">C8151*Assumptions!$E$30</f>
        <v>3</v>
      </c>
      <c r="D8154" s="48" t="n">
        <f aca="false">D8151*Assumptions!$E$30</f>
        <v>4.5</v>
      </c>
      <c r="E8154" s="48" t="n">
        <f aca="false">E8151*Assumptions!$E$30</f>
        <v>6</v>
      </c>
      <c r="F8154" s="48" t="n">
        <f aca="false">F8151*Assumptions!$E$30</f>
        <v>7.5</v>
      </c>
      <c r="G8154" s="48" t="n">
        <f aca="false">G8151*Assumptions!$E$30</f>
        <v>9</v>
      </c>
      <c r="H8154" s="48" t="n">
        <f aca="false">H8151*Assumptions!$E$30</f>
        <v>10.5</v>
      </c>
      <c r="I8154" s="48" t="n">
        <f aca="false">I8151*Assumptions!$E$30</f>
        <v>12</v>
      </c>
      <c r="J8154" s="48" t="n">
        <f aca="false">J8151*Assumptions!$E$30</f>
        <v>13.5</v>
      </c>
      <c r="K8154" s="48" t="n">
        <f aca="false">K8151*Assumptions!$E$30</f>
        <v>15</v>
      </c>
      <c r="L8154" s="48" t="n">
        <f aca="false">L8151*Assumptions!$E$30</f>
        <v>15</v>
      </c>
      <c r="M8154" s="48" t="n">
        <f aca="false">M8151*Assumptions!$E$30</f>
        <v>15</v>
      </c>
      <c r="N8154" s="48" t="n">
        <f aca="false">N8151*Assumptions!$E$30</f>
        <v>15</v>
      </c>
      <c r="P8154" s="49" t="n">
        <f aca="false">SUM(C8154:F8154)</f>
        <v>21</v>
      </c>
      <c r="Q8154" s="49" t="n">
        <f aca="false">SUM(G8154:J8154)</f>
        <v>45</v>
      </c>
      <c r="R8154" s="49" t="n">
        <f aca="false">SUM(K8154:N8154)</f>
        <v>60</v>
      </c>
      <c r="S8154" s="50" t="n">
        <f aca="false">SUM(P8154:R8154)</f>
        <v>126</v>
      </c>
    </row>
    <row r="8155" customFormat="false" ht="15" hidden="false" customHeight="false" outlineLevel="0" collapsed="false">
      <c r="A8155" s="9" t="s">
        <v>507</v>
      </c>
      <c r="B8155" s="36" t="s">
        <v>504</v>
      </c>
      <c r="C8155" s="49" t="n">
        <f aca="false">C8152+C8153+C8154</f>
        <v>6.532081430528</v>
      </c>
      <c r="D8155" s="49" t="n">
        <f aca="false">D8152+D8153+D8154</f>
        <v>11.1964989282545</v>
      </c>
      <c r="E8155" s="49" t="n">
        <f aca="false">E8152+E8153+E8154</f>
        <v>12.3543490858728</v>
      </c>
      <c r="F8155" s="49" t="n">
        <f aca="false">F8152+F8153+F8154</f>
        <v>13.5359427800114</v>
      </c>
      <c r="G8155" s="49" t="n">
        <f aca="false">G8152+G8153+G8154</f>
        <v>17.233866274816</v>
      </c>
      <c r="H8155" s="49" t="n">
        <f aca="false">H8152+H8153+H8154</f>
        <v>20.6927207008123</v>
      </c>
      <c r="I8155" s="49" t="n">
        <f aca="false">I8152+I8153+I8154</f>
        <v>29.9145696880692</v>
      </c>
      <c r="J8155" s="49" t="n">
        <f aca="false">J8152+J8153+J8154</f>
        <v>38.3153432186007</v>
      </c>
      <c r="K8155" s="49" t="n">
        <f aca="false">K8152+K8153+K8154</f>
        <v>38.5875941402492</v>
      </c>
      <c r="L8155" s="49" t="n">
        <f aca="false">L8152+L8153+L8154</f>
        <v>37.4450448821772</v>
      </c>
      <c r="M8155" s="49" t="n">
        <f aca="false">M8152+M8153+M8154</f>
        <v>36.3817829908519</v>
      </c>
      <c r="N8155" s="49" t="n">
        <f aca="false">N8152+N8153+N8154</f>
        <v>35.3923063082865</v>
      </c>
      <c r="P8155" s="49" t="n">
        <f aca="false">SUM(C8155:F8155)</f>
        <v>43.6188722246667</v>
      </c>
      <c r="Q8155" s="49" t="n">
        <f aca="false">SUM(G8155:J8155)</f>
        <v>106.156499882298</v>
      </c>
      <c r="R8155" s="49" t="n">
        <f aca="false">SUM(K8155:N8155)</f>
        <v>147.806728321565</v>
      </c>
      <c r="S8155" s="50" t="n">
        <f aca="false">SUM(P8155:R8155)</f>
        <v>297.58210042853</v>
      </c>
    </row>
    <row r="8156" customFormat="false" ht="15" hidden="false" customHeight="false" outlineLevel="0" collapsed="false">
      <c r="A8156" s="4" t="s">
        <v>508</v>
      </c>
      <c r="B8156" s="36" t="s">
        <v>509</v>
      </c>
      <c r="C8156" s="48" t="n">
        <f aca="false">C8138</f>
        <v>421.51972352</v>
      </c>
      <c r="D8156" s="48" t="n">
        <f aca="false">D8138</f>
        <v>843.03944704</v>
      </c>
      <c r="E8156" s="48" t="n">
        <f aca="false">E8138</f>
        <v>843.03944704</v>
      </c>
      <c r="F8156" s="48" t="n">
        <f aca="false">F8138</f>
        <v>843.03944704</v>
      </c>
      <c r="G8156" s="48" t="n">
        <f aca="false">G8138</f>
        <v>1149.32798176</v>
      </c>
      <c r="H8156" s="48" t="n">
        <f aca="false">H8138</f>
        <v>1455.61651648</v>
      </c>
      <c r="I8156" s="48" t="n">
        <f aca="false">I8138</f>
        <v>2486.00303616</v>
      </c>
      <c r="J8156" s="48" t="n">
        <f aca="false">J8138</f>
        <v>3516.38955584</v>
      </c>
      <c r="K8156" s="48" t="n">
        <f aca="false">K8138</f>
        <v>3516.38955584</v>
      </c>
      <c r="L8156" s="48" t="n">
        <f aca="false">L8138</f>
        <v>3516.38955584</v>
      </c>
      <c r="M8156" s="48" t="n">
        <f aca="false">M8138</f>
        <v>3516.38955584</v>
      </c>
      <c r="N8156" s="48" t="n">
        <f aca="false">N8138</f>
        <v>3516.38955584</v>
      </c>
      <c r="P8156" s="49"/>
      <c r="Q8156" s="49"/>
      <c r="R8156" s="49"/>
      <c r="S8156" s="50"/>
    </row>
    <row r="8157" customFormat="false" ht="15" hidden="false" customHeight="false" outlineLevel="0" collapsed="false">
      <c r="A8157" s="4" t="s">
        <v>510</v>
      </c>
      <c r="B8157" s="36" t="s">
        <v>509</v>
      </c>
      <c r="C8157" s="48" t="n">
        <f aca="false">C8139*Assumptions!$E$18*Assumptions!$E$33</f>
        <v>211.19616</v>
      </c>
      <c r="D8157" s="48" t="n">
        <f aca="false">D8139*Assumptions!$E$18*Assumptions!$E$33</f>
        <v>422.39232</v>
      </c>
      <c r="E8157" s="48" t="n">
        <f aca="false">E8139*Assumptions!$E$18*Assumptions!$E$33</f>
        <v>422.39232</v>
      </c>
      <c r="F8157" s="48" t="n">
        <f aca="false">F8139*Assumptions!$E$18*Assumptions!$E$33</f>
        <v>422.39232</v>
      </c>
      <c r="G8157" s="48" t="n">
        <f aca="false">G8139*Assumptions!$E$18*Assumptions!$E$33</f>
        <v>564.49344</v>
      </c>
      <c r="H8157" s="48" t="n">
        <f aca="false">H8139*Assumptions!$E$18*Assumptions!$E$33</f>
        <v>706.59456</v>
      </c>
      <c r="I8157" s="48" t="n">
        <f aca="false">I8139*Assumptions!$E$18*Assumptions!$E$33</f>
        <v>1135.07072</v>
      </c>
      <c r="J8157" s="48" t="n">
        <f aca="false">J8139*Assumptions!$E$18*Assumptions!$E$33</f>
        <v>1563.54688</v>
      </c>
      <c r="K8157" s="48" t="n">
        <f aca="false">K8139*Assumptions!$E$18*Assumptions!$E$33</f>
        <v>1563.54688</v>
      </c>
      <c r="L8157" s="48" t="n">
        <f aca="false">L8139*Assumptions!$E$18*Assumptions!$E$33</f>
        <v>1563.54688</v>
      </c>
      <c r="M8157" s="48" t="n">
        <f aca="false">M8139*Assumptions!$E$18*Assumptions!$E$33</f>
        <v>1563.54688</v>
      </c>
      <c r="N8157" s="48" t="n">
        <f aca="false">N8139*Assumptions!$E$18*Assumptions!$E$33</f>
        <v>1563.54688</v>
      </c>
      <c r="P8157" s="49"/>
      <c r="Q8157" s="49"/>
      <c r="R8157" s="49"/>
      <c r="S8157" s="50"/>
    </row>
    <row r="8158" customFormat="false" ht="15" hidden="false" customHeight="false" outlineLevel="0" collapsed="false">
      <c r="A8158" s="4" t="s">
        <v>511</v>
      </c>
      <c r="B8158" s="36" t="s">
        <v>509</v>
      </c>
      <c r="C8158" s="48" t="n">
        <f aca="false">C8140*Assumptions!$E$19*Assumptions!$E$34</f>
        <v>34.677888</v>
      </c>
      <c r="D8158" s="48" t="n">
        <f aca="false">D8140*Assumptions!$E$19*Assumptions!$E$34</f>
        <v>69.355776</v>
      </c>
      <c r="E8158" s="48" t="n">
        <f aca="false">E8140*Assumptions!$E$19*Assumptions!$E$34</f>
        <v>69.355776</v>
      </c>
      <c r="F8158" s="48" t="n">
        <f aca="false">F8140*Assumptions!$E$19*Assumptions!$E$34</f>
        <v>69.355776</v>
      </c>
      <c r="G8158" s="48" t="n">
        <f aca="false">G8140*Assumptions!$E$19*Assumptions!$E$34</f>
        <v>86.69472</v>
      </c>
      <c r="H8158" s="48" t="n">
        <f aca="false">H8140*Assumptions!$E$19*Assumptions!$E$34</f>
        <v>104.033664</v>
      </c>
      <c r="I8158" s="48" t="n">
        <f aca="false">I8140*Assumptions!$E$19*Assumptions!$E$34</f>
        <v>159.7008</v>
      </c>
      <c r="J8158" s="48" t="n">
        <f aca="false">J8140*Assumptions!$E$19*Assumptions!$E$34</f>
        <v>215.367936</v>
      </c>
      <c r="K8158" s="48" t="n">
        <f aca="false">K8140*Assumptions!$E$19*Assumptions!$E$34</f>
        <v>215.367936</v>
      </c>
      <c r="L8158" s="48" t="n">
        <f aca="false">L8140*Assumptions!$E$19*Assumptions!$E$34</f>
        <v>215.367936</v>
      </c>
      <c r="M8158" s="48" t="n">
        <f aca="false">M8140*Assumptions!$E$19*Assumptions!$E$34</f>
        <v>215.367936</v>
      </c>
      <c r="N8158" s="48" t="n">
        <f aca="false">N8140*Assumptions!$E$19*Assumptions!$E$34</f>
        <v>215.367936</v>
      </c>
      <c r="P8158" s="49"/>
      <c r="Q8158" s="49"/>
      <c r="R8158" s="49"/>
      <c r="S8158" s="50"/>
    </row>
    <row r="8159" customFormat="false" ht="15" hidden="false" customHeight="false" outlineLevel="0" collapsed="false">
      <c r="A8159" s="4" t="s">
        <v>512</v>
      </c>
      <c r="B8159" s="36" t="s">
        <v>77</v>
      </c>
      <c r="C8159" s="51" t="n">
        <f aca="false">IFERROR(C8156/(C8156+C8157+C8158),0)</f>
        <v>0.631590736245533</v>
      </c>
      <c r="D8159" s="51" t="n">
        <f aca="false">IFERROR(D8156/(D8156+D8157+D8158),0)</f>
        <v>0.631590736245533</v>
      </c>
      <c r="E8159" s="51" t="n">
        <f aca="false">IFERROR(E8156/(E8156+E8157+E8158),0)</f>
        <v>0.631590736245533</v>
      </c>
      <c r="F8159" s="51" t="n">
        <f aca="false">IFERROR(F8156/(F8156+F8157+F8158),0)</f>
        <v>0.631590736245533</v>
      </c>
      <c r="G8159" s="51" t="n">
        <f aca="false">IFERROR(G8156/(G8156+G8157+G8158),0)</f>
        <v>0.638332506498128</v>
      </c>
      <c r="H8159" s="51" t="n">
        <f aca="false">IFERROR(H8156/(H8156+H8157+H8158),0)</f>
        <v>0.642303318118984</v>
      </c>
      <c r="I8159" s="51" t="n">
        <f aca="false">IFERROR(I8156/(I8156+I8157+I8158),0)</f>
        <v>0.657538025405288</v>
      </c>
      <c r="J8159" s="51" t="n">
        <f aca="false">IFERROR(J8156/(J8156+J8157+J8158),0)</f>
        <v>0.664058061428891</v>
      </c>
      <c r="K8159" s="51" t="n">
        <f aca="false">IFERROR(K8156/(K8156+K8157+K8158),0)</f>
        <v>0.664058061428891</v>
      </c>
      <c r="L8159" s="51" t="n">
        <f aca="false">IFERROR(L8156/(L8156+L8157+L8158),0)</f>
        <v>0.664058061428891</v>
      </c>
      <c r="M8159" s="51" t="n">
        <f aca="false">IFERROR(M8156/(M8156+M8157+M8158),0)</f>
        <v>0.664058061428891</v>
      </c>
      <c r="N8159" s="51" t="n">
        <f aca="false">IFERROR(N8156/(N8156+N8157+N8158),0)</f>
        <v>0.664058061428891</v>
      </c>
      <c r="P8159" s="52"/>
      <c r="Q8159" s="52"/>
      <c r="R8159" s="52"/>
      <c r="S8159" s="53"/>
    </row>
    <row r="8160" customFormat="false" ht="15" hidden="false" customHeight="false" outlineLevel="0" collapsed="false">
      <c r="A8160" s="4" t="s">
        <v>513</v>
      </c>
      <c r="B8160" s="36" t="s">
        <v>77</v>
      </c>
      <c r="C8160" s="51" t="n">
        <f aca="false">IFERROR(C8157/(C8156+C8157+C8158),0)</f>
        <v>0.316449102482628</v>
      </c>
      <c r="D8160" s="51" t="n">
        <f aca="false">IFERROR(D8157/(D8156+D8157+D8158),0)</f>
        <v>0.316449102482628</v>
      </c>
      <c r="E8160" s="51" t="n">
        <f aca="false">IFERROR(E8157/(E8156+E8157+E8158),0)</f>
        <v>0.316449102482628</v>
      </c>
      <c r="F8160" s="51" t="n">
        <f aca="false">IFERROR(F8157/(F8156+F8157+F8158),0)</f>
        <v>0.316449102482628</v>
      </c>
      <c r="G8160" s="51" t="n">
        <f aca="false">IFERROR(G8157/(G8156+G8157+G8158),0)</f>
        <v>0.313517566939561</v>
      </c>
      <c r="H8160" s="51" t="n">
        <f aca="false">IFERROR(H8157/(H8156+H8157+H8158),0)</f>
        <v>0.311790932099567</v>
      </c>
      <c r="I8160" s="51" t="n">
        <f aca="false">IFERROR(I8157/(I8156+I8157+I8158),0)</f>
        <v>0.300221741111391</v>
      </c>
      <c r="J8160" s="51" t="n">
        <f aca="false">IFERROR(J8157/(J8156+J8157+J8158),0)</f>
        <v>0.295270445324128</v>
      </c>
      <c r="K8160" s="51" t="n">
        <f aca="false">IFERROR(K8157/(K8156+K8157+K8158),0)</f>
        <v>0.295270445324128</v>
      </c>
      <c r="L8160" s="51" t="n">
        <f aca="false">IFERROR(L8157/(L8156+L8157+L8158),0)</f>
        <v>0.295270445324128</v>
      </c>
      <c r="M8160" s="51" t="n">
        <f aca="false">IFERROR(M8157/(M8156+M8157+M8158),0)</f>
        <v>0.295270445324128</v>
      </c>
      <c r="N8160" s="51" t="n">
        <f aca="false">IFERROR(N8157/(N8156+N8157+N8158),0)</f>
        <v>0.295270445324128</v>
      </c>
      <c r="P8160" s="52"/>
      <c r="Q8160" s="52"/>
      <c r="R8160" s="52"/>
      <c r="S8160" s="53"/>
    </row>
    <row r="8161" customFormat="false" ht="15" hidden="false" customHeight="false" outlineLevel="0" collapsed="false">
      <c r="A8161" s="4" t="s">
        <v>514</v>
      </c>
      <c r="B8161" s="36" t="s">
        <v>77</v>
      </c>
      <c r="C8161" s="51" t="n">
        <f aca="false">IFERROR(C8158/(C8156+C8157+C8158),0)</f>
        <v>0.0519601612718389</v>
      </c>
      <c r="D8161" s="51" t="n">
        <f aca="false">IFERROR(D8158/(D8156+D8157+D8158),0)</f>
        <v>0.0519601612718389</v>
      </c>
      <c r="E8161" s="51" t="n">
        <f aca="false">IFERROR(E8158/(E8156+E8157+E8158),0)</f>
        <v>0.0519601612718389</v>
      </c>
      <c r="F8161" s="51" t="n">
        <f aca="false">IFERROR(F8158/(F8156+F8157+F8158),0)</f>
        <v>0.0519601612718389</v>
      </c>
      <c r="G8161" s="51" t="n">
        <f aca="false">IFERROR(G8158/(G8156+G8157+G8158),0)</f>
        <v>0.0481499265623113</v>
      </c>
      <c r="H8161" s="51" t="n">
        <f aca="false">IFERROR(H8158/(H8156+H8157+H8158),0)</f>
        <v>0.0459057497814491</v>
      </c>
      <c r="I8161" s="51" t="n">
        <f aca="false">IFERROR(I8158/(I8156+I8157+I8158),0)</f>
        <v>0.0422402334833216</v>
      </c>
      <c r="J8161" s="51" t="n">
        <f aca="false">IFERROR(J8158/(J8156+J8157+J8158),0)</f>
        <v>0.0406714932469811</v>
      </c>
      <c r="K8161" s="51" t="n">
        <f aca="false">IFERROR(K8158/(K8156+K8157+K8158),0)</f>
        <v>0.0406714932469811</v>
      </c>
      <c r="L8161" s="51" t="n">
        <f aca="false">IFERROR(L8158/(L8156+L8157+L8158),0)</f>
        <v>0.0406714932469811</v>
      </c>
      <c r="M8161" s="51" t="n">
        <f aca="false">IFERROR(M8158/(M8156+M8157+M8158),0)</f>
        <v>0.0406714932469811</v>
      </c>
      <c r="N8161" s="51" t="n">
        <f aca="false">IFERROR(N8158/(N8156+N8157+N8158),0)</f>
        <v>0.0406714932469811</v>
      </c>
      <c r="P8161" s="52"/>
      <c r="Q8161" s="52"/>
      <c r="R8161" s="52"/>
      <c r="S8161" s="53"/>
    </row>
    <row r="8162" customFormat="false" ht="15" hidden="false" customHeight="false" outlineLevel="0" collapsed="false">
      <c r="A8162" s="4" t="s">
        <v>515</v>
      </c>
      <c r="B8162" s="36" t="s">
        <v>516</v>
      </c>
      <c r="C8162" s="48" t="n">
        <f aca="false">IF(C8130-Assumptions!$E$35&lt;1,0,INDEX($C$8155:$N$8155,1,C8130-Assumptions!$E$35)*INDEX($C$8159:$N$8159,1,C8130-Assumptions!$E$35)*0.15)</f>
        <v>0</v>
      </c>
      <c r="D8162" s="48" t="n">
        <f aca="false">IF(D8130-Assumptions!$E$35&lt;1,0,INDEX($C$8155:$N$8155,1,D8130-Assumptions!$E$35)*INDEX($C$8159:$N$8159,1,D8130-Assumptions!$E$35)*0.15)</f>
        <v>0.618840317988444</v>
      </c>
      <c r="E8162" s="48" t="n">
        <f aca="false">IF(E8130-Assumptions!$E$35&lt;1,0,INDEX($C$8155:$N$8155,1,E8130-Assumptions!$E$35)*INDEX($C$8159:$N$8159,1,E8130-Assumptions!$E$35)*0.15)</f>
        <v>1.06074075022029</v>
      </c>
      <c r="F8162" s="48" t="n">
        <f aca="false">IF(F8130-Assumptions!$E$35&lt;1,0,INDEX($C$8155:$N$8155,1,F8130-Assumptions!$E$35)*INDEX($C$8159:$N$8159,1,F8130-Assumptions!$E$35)*0.15)</f>
        <v>1.17043386524711</v>
      </c>
      <c r="G8162" s="48" t="n">
        <f aca="false">IF(G8130-Assumptions!$E$35&lt;1,0,INDEX($C$8155:$N$8155,1,G8130-Assumptions!$E$35)*INDEX($C$8159:$N$8159,1,G8130-Assumptions!$E$35)*0.15)</f>
        <v>1.28237640993072</v>
      </c>
      <c r="H8162" s="48" t="n">
        <f aca="false">IF(H8130-Assumptions!$E$35&lt;1,0,INDEX($C$8155:$N$8155,1,H8130-Assumptions!$E$35)*INDEX($C$8159:$N$8159,1,H8130-Assumptions!$E$35)*0.15)</f>
        <v>1.65014055837853</v>
      </c>
      <c r="I8162" s="48" t="n">
        <f aca="false">IF(I8130-Assumptions!$E$35&lt;1,0,INDEX($C$8155:$N$8155,1,I8130-Assumptions!$E$35)*INDEX($C$8159:$N$8159,1,I8130-Assumptions!$E$35)*0.15)</f>
        <v>1.99365047505617</v>
      </c>
      <c r="J8162" s="48" t="n">
        <f aca="false">IF(J8130-Assumptions!$E$35&lt;1,0,INDEX($C$8155:$N$8155,1,J8130-Assumptions!$E$35)*INDEX($C$8159:$N$8159,1,J8130-Assumptions!$E$35)*0.15)</f>
        <v>2.95049506253129</v>
      </c>
      <c r="K8162" s="48" t="n">
        <f aca="false">IF(K8130-Assumptions!$E$35&lt;1,0,INDEX($C$8155:$N$8155,1,K8130-Assumptions!$E$35)*INDEX($C$8159:$N$8159,1,K8130-Assumptions!$E$35)*0.15)</f>
        <v>3.81654188110898</v>
      </c>
      <c r="L8162" s="48" t="n">
        <f aca="false">IF(L8130-Assumptions!$E$35&lt;1,0,INDEX($C$8155:$N$8155,1,L8130-Assumptions!$E$35)*INDEX($C$8159:$N$8159,1,L8130-Assumptions!$E$35)*0.15)</f>
        <v>3.84366044399681</v>
      </c>
      <c r="M8162" s="48" t="n">
        <f aca="false">IF(M8130-Assumptions!$E$35&lt;1,0,INDEX($C$8155:$N$8155,1,M8130-Assumptions!$E$35)*INDEX($C$8159:$N$8159,1,M8130-Assumptions!$E$35)*0.15)</f>
        <v>3.72985258718646</v>
      </c>
      <c r="N8162" s="48" t="n">
        <f aca="false">IF(N8130-Assumptions!$E$35&lt;1,0,INDEX($C$8155:$N$8155,1,N8130-Assumptions!$E$35)*INDEX($C$8159:$N$8159,1,N8130-Assumptions!$E$35)*0.15)</f>
        <v>3.62394244263476</v>
      </c>
      <c r="P8162" s="49" t="n">
        <f aca="false">SUM(C8162:F8162)</f>
        <v>2.85001493345584</v>
      </c>
      <c r="Q8162" s="49" t="n">
        <f aca="false">SUM(G8162:J8162)</f>
        <v>7.87666250589671</v>
      </c>
      <c r="R8162" s="49" t="n">
        <f aca="false">SUM(K8162:N8162)</f>
        <v>15.013997354927</v>
      </c>
      <c r="S8162" s="50" t="n">
        <f aca="false">SUM(P8162:R8162)</f>
        <v>25.7406747942796</v>
      </c>
    </row>
    <row r="8163" customFormat="false" ht="15" hidden="false" customHeight="false" outlineLevel="0" collapsed="false">
      <c r="A8163" s="4" t="s">
        <v>517</v>
      </c>
      <c r="B8163" s="36" t="s">
        <v>516</v>
      </c>
      <c r="C8163" s="48" t="n">
        <f aca="false">IF(C8130-Assumptions!$E$35&lt;1,0,INDEX($C$8155:$N$8155,1,C8130-Assumptions!$E$35)*INDEX($C$8160:$N$8160,1,C8130-Assumptions!$E$35)*0.15)</f>
        <v>0</v>
      </c>
      <c r="D8163" s="48" t="n">
        <f aca="false">IF(D8130-Assumptions!$E$35&lt;1,0,INDEX($C$8155:$N$8155,1,D8130-Assumptions!$E$35)*INDEX($C$8160:$N$8160,1,D8130-Assumptions!$E$35)*0.15)</f>
        <v>0.310060695905104</v>
      </c>
      <c r="E8163" s="48" t="n">
        <f aca="false">IF(E8130-Assumptions!$E$35&lt;1,0,INDEX($C$8155:$N$8155,1,E8130-Assumptions!$E$35)*INDEX($C$8160:$N$8160,1,E8130-Assumptions!$E$35)*0.15)</f>
        <v>0.531468305519075</v>
      </c>
      <c r="F8163" s="48" t="n">
        <f aca="false">IF(F8130-Assumptions!$E$35&lt;1,0,INDEX($C$8155:$N$8155,1,F8130-Assumptions!$E$35)*INDEX($C$8160:$N$8160,1,F8130-Assumptions!$E$35)*0.15)</f>
        <v>0.586428401997228</v>
      </c>
      <c r="G8163" s="48" t="n">
        <f aca="false">IF(G8130-Assumptions!$E$35&lt;1,0,INDEX($C$8155:$N$8155,1,G8130-Assumptions!$E$35)*INDEX($C$8160:$N$8160,1,G8130-Assumptions!$E$35)*0.15)</f>
        <v>0.642515541598621</v>
      </c>
      <c r="H8163" s="48" t="n">
        <f aca="false">IF(H8130-Assumptions!$E$35&lt;1,0,INDEX($C$8155:$N$8155,1,H8130-Assumptions!$E$35)*INDEX($C$8160:$N$8160,1,H8130-Assumptions!$E$35)*0.15)</f>
        <v>0.810467973516309</v>
      </c>
      <c r="I8163" s="48" t="n">
        <f aca="false">IF(I8130-Assumptions!$E$35&lt;1,0,INDEX($C$8155:$N$8155,1,I8130-Assumptions!$E$35)*INDEX($C$8160:$N$8160,1,I8130-Assumptions!$E$35)*0.15)</f>
        <v>0.967770401247342</v>
      </c>
      <c r="J8163" s="48" t="n">
        <f aca="false">IF(J8130-Assumptions!$E$35&lt;1,0,INDEX($C$8155:$N$8155,1,J8130-Assumptions!$E$35)*INDEX($C$8160:$N$8160,1,J8130-Assumptions!$E$35)*0.15)</f>
        <v>1.34715062945252</v>
      </c>
      <c r="K8163" s="48" t="n">
        <f aca="false">IF(K8130-Assumptions!$E$35&lt;1,0,INDEX($C$8155:$N$8155,1,K8130-Assumptions!$E$35)*INDEX($C$8160:$N$8160,1,K8130-Assumptions!$E$35)*0.15)</f>
        <v>1.69700826823545</v>
      </c>
      <c r="L8163" s="48" t="n">
        <f aca="false">IF(L8130-Assumptions!$E$35&lt;1,0,INDEX($C$8155:$N$8155,1,L8130-Assumptions!$E$35)*INDEX($C$8160:$N$8160,1,L8130-Assumptions!$E$35)*0.15)</f>
        <v>1.70906641586672</v>
      </c>
      <c r="M8163" s="48" t="n">
        <f aca="false">IF(M8130-Assumptions!$E$35&lt;1,0,INDEX($C$8155:$N$8155,1,M8130-Assumptions!$E$35)*INDEX($C$8160:$N$8160,1,M8130-Assumptions!$E$35)*0.15)</f>
        <v>1.65846226163137</v>
      </c>
      <c r="N8163" s="48" t="n">
        <f aca="false">IF(N8130-Assumptions!$E$35&lt;1,0,INDEX($C$8155:$N$8155,1,N8130-Assumptions!$E$35)*INDEX($C$8160:$N$8160,1,N8130-Assumptions!$E$35)*0.15)</f>
        <v>1.6113697898092</v>
      </c>
      <c r="P8163" s="49" t="n">
        <f aca="false">SUM(C8163:F8163)</f>
        <v>1.42795740342141</v>
      </c>
      <c r="Q8163" s="49" t="n">
        <f aca="false">SUM(G8163:J8163)</f>
        <v>3.7679045458148</v>
      </c>
      <c r="R8163" s="49" t="n">
        <f aca="false">SUM(K8163:N8163)</f>
        <v>6.67590673554273</v>
      </c>
      <c r="S8163" s="50" t="n">
        <f aca="false">SUM(P8163:R8163)</f>
        <v>11.8717686847789</v>
      </c>
    </row>
    <row r="8164" customFormat="false" ht="15" hidden="false" customHeight="false" outlineLevel="0" collapsed="false">
      <c r="A8164" s="4" t="s">
        <v>518</v>
      </c>
      <c r="B8164" s="36" t="s">
        <v>516</v>
      </c>
      <c r="C8164" s="48" t="n">
        <f aca="false">IF(C8130-Assumptions!$E$36&lt;1,0,INDEX($C$8155:$N$8155,1,C8130-Assumptions!$E$36)*INDEX($C$8161:$N$8161,1,C8130-Assumptions!$E$36)*0.15)</f>
        <v>0</v>
      </c>
      <c r="D8164" s="48" t="n">
        <f aca="false">IF(D8130-Assumptions!$E$36&lt;1,0,INDEX($C$8155:$N$8155,1,D8130-Assumptions!$E$36)*INDEX($C$8161:$N$8161,1,D8130-Assumptions!$E$36)*0.15)</f>
        <v>0</v>
      </c>
      <c r="E8164" s="48" t="n">
        <f aca="false">IF(E8130-Assumptions!$E$36&lt;1,0,INDEX($C$8155:$N$8155,1,E8130-Assumptions!$E$36)*INDEX($C$8161:$N$8161,1,E8130-Assumptions!$E$36)*0.15)</f>
        <v>0.0509112006856529</v>
      </c>
      <c r="F8164" s="48" t="n">
        <f aca="false">IF(F8130-Assumptions!$E$36&lt;1,0,INDEX($C$8155:$N$8155,1,F8130-Assumptions!$E$36)*INDEX($C$8161:$N$8161,1,F8130-Assumptions!$E$36)*0.15)</f>
        <v>0.0872657834988111</v>
      </c>
      <c r="G8164" s="48" t="n">
        <f aca="false">IF(G8130-Assumptions!$E$36&lt;1,0,INDEX($C$8155:$N$8155,1,G8130-Assumptions!$E$36)*INDEX($C$8161:$N$8161,1,G8130-Assumptions!$E$36)*0.15)</f>
        <v>0.0962900956365819</v>
      </c>
      <c r="H8164" s="48" t="n">
        <f aca="false">IF(H8130-Assumptions!$E$36&lt;1,0,INDEX($C$8155:$N$8155,1,H8130-Assumptions!$E$36)*INDEX($C$8161:$N$8161,1,H8130-Assumptions!$E$36)*0.15)</f>
        <v>0.105499465472366</v>
      </c>
      <c r="I8164" s="48" t="n">
        <f aca="false">IF(I8130-Assumptions!$E$36&lt;1,0,INDEX($C$8155:$N$8155,1,I8130-Assumptions!$E$36)*INDEX($C$8161:$N$8161,1,I8130-Assumptions!$E$36)*0.15)</f>
        <v>0.124471409327562</v>
      </c>
      <c r="J8164" s="48" t="n">
        <f aca="false">IF(J8130-Assumptions!$E$36&lt;1,0,INDEX($C$8155:$N$8155,1,J8130-Assumptions!$E$36)*INDEX($C$8161:$N$8161,1,J8130-Assumptions!$E$36)*0.15)</f>
        <v>0.142487228818336</v>
      </c>
      <c r="K8164" s="48" t="n">
        <f aca="false">IF(K8130-Assumptions!$E$36&lt;1,0,INDEX($C$8155:$N$8155,1,K8130-Assumptions!$E$36)*INDEX($C$8161:$N$8161,1,K8130-Assumptions!$E$36)*0.15)</f>
        <v>0.189539761226571</v>
      </c>
      <c r="L8164" s="48" t="n">
        <f aca="false">IF(L8130-Assumptions!$E$36&lt;1,0,INDEX($C$8155:$N$8155,1,L8130-Assumptions!$E$36)*INDEX($C$8161:$N$8161,1,L8130-Assumptions!$E$36)*0.15)</f>
        <v>0.233751333445662</v>
      </c>
      <c r="M8164" s="48" t="n">
        <f aca="false">IF(M8130-Assumptions!$E$36&lt;1,0,INDEX($C$8155:$N$8155,1,M8130-Assumptions!$E$36)*INDEX($C$8161:$N$8161,1,M8130-Assumptions!$E$36)*0.15)</f>
        <v>0.235412261173859</v>
      </c>
      <c r="N8164" s="48" t="n">
        <f aca="false">IF(N8130-Assumptions!$E$36&lt;1,0,INDEX($C$8155:$N$8155,1,N8130-Assumptions!$E$36)*INDEX($C$8161:$N$8161,1,N8130-Assumptions!$E$36)*0.15)</f>
        <v>0.228441883508756</v>
      </c>
      <c r="P8164" s="49" t="n">
        <f aca="false">SUM(C8164:F8164)</f>
        <v>0.138176984184464</v>
      </c>
      <c r="Q8164" s="49" t="n">
        <f aca="false">SUM(G8164:J8164)</f>
        <v>0.468748199254846</v>
      </c>
      <c r="R8164" s="49" t="n">
        <f aca="false">SUM(K8164:N8164)</f>
        <v>0.887145239354848</v>
      </c>
      <c r="S8164" s="50" t="n">
        <f aca="false">SUM(P8164:R8164)</f>
        <v>1.49407042279416</v>
      </c>
    </row>
    <row r="8165" customFormat="false" ht="15" hidden="false" customHeight="false" outlineLevel="0" collapsed="false">
      <c r="A8165" s="4" t="s">
        <v>519</v>
      </c>
      <c r="B8165" s="36" t="s">
        <v>77</v>
      </c>
      <c r="C8165" s="51" t="n">
        <f aca="false">IF(C8130-Assumptions!$E$35&lt;1,0,IFERROR(INDEX($C$8154:$N$8154,1,C8130-Assumptions!$E$35)/INDEX($C$8155:$N$8155,1,C8130-Assumptions!$E$35),0))</f>
        <v>0</v>
      </c>
      <c r="D8165" s="51" t="n">
        <f aca="false">IF(D8130-Assumptions!$E$35&lt;1,0,IFERROR(INDEX($C$8154:$N$8154,1,D8130-Assumptions!$E$35)/INDEX($C$8155:$N$8155,1,D8130-Assumptions!$E$35),0))</f>
        <v>0.459271678087073</v>
      </c>
      <c r="E8165" s="51" t="n">
        <f aca="false">IF(E8130-Assumptions!$E$35&lt;1,0,IFERROR(INDEX($C$8154:$N$8154,1,E8130-Assumptions!$E$35)/INDEX($C$8155:$N$8155,1,E8130-Assumptions!$E$35),0))</f>
        <v>0.401911350042128</v>
      </c>
      <c r="F8165" s="51" t="n">
        <f aca="false">IF(F8130-Assumptions!$E$35&lt;1,0,IFERROR(INDEX($C$8154:$N$8154,1,F8130-Assumptions!$E$35)/INDEX($C$8155:$N$8155,1,F8130-Assumptions!$E$35),0))</f>
        <v>0.485658933408398</v>
      </c>
      <c r="G8165" s="51" t="n">
        <f aca="false">IF(G8130-Assumptions!$E$35&lt;1,0,IFERROR(INDEX($C$8154:$N$8154,1,G8130-Assumptions!$E$35)/INDEX($C$8155:$N$8155,1,G8130-Assumptions!$E$35),0))</f>
        <v>0.554080356417826</v>
      </c>
      <c r="H8165" s="51" t="n">
        <f aca="false">IF(H8130-Assumptions!$E$35&lt;1,0,IFERROR(INDEX($C$8154:$N$8154,1,H8130-Assumptions!$E$35)/INDEX($C$8155:$N$8155,1,H8130-Assumptions!$E$35),0))</f>
        <v>0.522227563825987</v>
      </c>
      <c r="I8165" s="51" t="n">
        <f aca="false">IF(I8130-Assumptions!$E$35&lt;1,0,IFERROR(INDEX($C$8154:$N$8154,1,I8130-Assumptions!$E$35)/INDEX($C$8155:$N$8155,1,I8130-Assumptions!$E$35),0))</f>
        <v>0.507424816282752</v>
      </c>
      <c r="J8165" s="51" t="n">
        <f aca="false">IF(J8130-Assumptions!$E$35&lt;1,0,IFERROR(INDEX($C$8154:$N$8154,1,J8130-Assumptions!$E$35)/INDEX($C$8155:$N$8155,1,J8130-Assumptions!$E$35),0))</f>
        <v>0.401142323795015</v>
      </c>
      <c r="K8165" s="51" t="n">
        <f aca="false">IF(K8130-Assumptions!$E$35&lt;1,0,IFERROR(INDEX($C$8154:$N$8154,1,K8130-Assumptions!$E$35)/INDEX($C$8155:$N$8155,1,K8130-Assumptions!$E$35),0))</f>
        <v>0.352339268448632</v>
      </c>
      <c r="L8165" s="51" t="n">
        <f aca="false">IF(L8130-Assumptions!$E$35&lt;1,0,IFERROR(INDEX($C$8154:$N$8154,1,L8130-Assumptions!$E$35)/INDEX($C$8155:$N$8155,1,L8130-Assumptions!$E$35),0))</f>
        <v>0.388725970981282</v>
      </c>
      <c r="M8165" s="51" t="n">
        <f aca="false">IF(M8130-Assumptions!$E$35&lt;1,0,IFERROR(INDEX($C$8154:$N$8154,1,M8130-Assumptions!$E$35)/INDEX($C$8155:$N$8155,1,M8130-Assumptions!$E$35),0))</f>
        <v>0.400587048224893</v>
      </c>
      <c r="N8165" s="51" t="n">
        <f aca="false">IF(N8130-Assumptions!$E$35&lt;1,0,IFERROR(INDEX($C$8154:$N$8154,1,N8130-Assumptions!$E$35)/INDEX($C$8155:$N$8155,1,N8130-Assumptions!$E$35),0))</f>
        <v>0.412294251872474</v>
      </c>
      <c r="P8165" s="52"/>
      <c r="Q8165" s="52"/>
      <c r="R8165" s="52"/>
      <c r="S8165" s="53"/>
    </row>
    <row r="8166" customFormat="false" ht="15" hidden="false" customHeight="false" outlineLevel="0" collapsed="false">
      <c r="A8166" s="4" t="s">
        <v>520</v>
      </c>
      <c r="B8166" s="36" t="s">
        <v>516</v>
      </c>
      <c r="C8166" s="48" t="n">
        <f aca="false">C8162*Assumptions!$E$37</f>
        <v>0</v>
      </c>
      <c r="D8166" s="48" t="n">
        <f aca="false">D8162*Assumptions!$E$37</f>
        <v>0.185652095396533</v>
      </c>
      <c r="E8166" s="48" t="n">
        <f aca="false">E8162*Assumptions!$E$37</f>
        <v>0.318222225066086</v>
      </c>
      <c r="F8166" s="48" t="n">
        <f aca="false">F8162*Assumptions!$E$37</f>
        <v>0.351130159574133</v>
      </c>
      <c r="G8166" s="48" t="n">
        <f aca="false">G8162*Assumptions!$E$37</f>
        <v>0.384712922979216</v>
      </c>
      <c r="H8166" s="48" t="n">
        <f aca="false">H8162*Assumptions!$E$37</f>
        <v>0.495042167513559</v>
      </c>
      <c r="I8166" s="48" t="n">
        <f aca="false">I8162*Assumptions!$E$37</f>
        <v>0.598095142516852</v>
      </c>
      <c r="J8166" s="48" t="n">
        <f aca="false">J8162*Assumptions!$E$37</f>
        <v>0.885148518759386</v>
      </c>
      <c r="K8166" s="48" t="n">
        <f aca="false">K8162*Assumptions!$E$37</f>
        <v>1.14496256433269</v>
      </c>
      <c r="L8166" s="48" t="n">
        <f aca="false">L8162*Assumptions!$E$37</f>
        <v>1.15309813319904</v>
      </c>
      <c r="M8166" s="48" t="n">
        <f aca="false">M8162*Assumptions!$E$37</f>
        <v>1.11895577615594</v>
      </c>
      <c r="N8166" s="48" t="n">
        <f aca="false">N8162*Assumptions!$E$37</f>
        <v>1.08718273279043</v>
      </c>
      <c r="P8166" s="49" t="n">
        <f aca="false">SUM(C8166:F8166)</f>
        <v>0.855004480036751</v>
      </c>
      <c r="Q8166" s="49" t="n">
        <f aca="false">SUM(G8166:J8166)</f>
        <v>2.36299875176901</v>
      </c>
      <c r="R8166" s="49" t="n">
        <f aca="false">SUM(K8166:N8166)</f>
        <v>4.5041992064781</v>
      </c>
      <c r="S8166" s="50" t="n">
        <f aca="false">SUM(P8166:R8166)</f>
        <v>7.72220243828386</v>
      </c>
    </row>
    <row r="8167" customFormat="false" ht="15" hidden="false" customHeight="false" outlineLevel="0" collapsed="false">
      <c r="A8167" s="4" t="s">
        <v>521</v>
      </c>
      <c r="B8167" s="36" t="s">
        <v>516</v>
      </c>
      <c r="C8167" s="48" t="n">
        <f aca="false">C8162*(1-Assumptions!$E$37)</f>
        <v>0</v>
      </c>
      <c r="D8167" s="48" t="n">
        <f aca="false">D8162*(1-Assumptions!$E$37)</f>
        <v>0.43318822259191</v>
      </c>
      <c r="E8167" s="48" t="n">
        <f aca="false">E8162*(1-Assumptions!$E$37)</f>
        <v>0.7425185251542</v>
      </c>
      <c r="F8167" s="48" t="n">
        <f aca="false">F8162*(1-Assumptions!$E$37)</f>
        <v>0.819303705672977</v>
      </c>
      <c r="G8167" s="48" t="n">
        <f aca="false">G8162*(1-Assumptions!$E$37)</f>
        <v>0.897663486951504</v>
      </c>
      <c r="H8167" s="48" t="n">
        <f aca="false">H8162*(1-Assumptions!$E$37)</f>
        <v>1.15509839086497</v>
      </c>
      <c r="I8167" s="48" t="n">
        <f aca="false">I8162*(1-Assumptions!$E$37)</f>
        <v>1.39555533253932</v>
      </c>
      <c r="J8167" s="48" t="n">
        <f aca="false">J8162*(1-Assumptions!$E$37)</f>
        <v>2.0653465437719</v>
      </c>
      <c r="K8167" s="48" t="n">
        <f aca="false">K8162*(1-Assumptions!$E$37)</f>
        <v>2.67157931677629</v>
      </c>
      <c r="L8167" s="48" t="n">
        <f aca="false">L8162*(1-Assumptions!$E$37)</f>
        <v>2.69056231079776</v>
      </c>
      <c r="M8167" s="48" t="n">
        <f aca="false">M8162*(1-Assumptions!$E$37)</f>
        <v>2.61089681103052</v>
      </c>
      <c r="N8167" s="48" t="n">
        <f aca="false">N8162*(1-Assumptions!$E$37)</f>
        <v>2.53675970984433</v>
      </c>
      <c r="P8167" s="49" t="n">
        <f aca="false">SUM(C8167:F8167)</f>
        <v>1.99501045341909</v>
      </c>
      <c r="Q8167" s="49" t="n">
        <f aca="false">SUM(G8167:J8167)</f>
        <v>5.5136637541277</v>
      </c>
      <c r="R8167" s="49" t="n">
        <f aca="false">SUM(K8167:N8167)</f>
        <v>10.5097981484489</v>
      </c>
      <c r="S8167" s="50" t="n">
        <f aca="false">SUM(P8167:R8167)</f>
        <v>18.0184723559957</v>
      </c>
    </row>
    <row r="8168" customFormat="false" ht="15" hidden="false" customHeight="false" outlineLevel="0" collapsed="false">
      <c r="A8168" s="4" t="s">
        <v>522</v>
      </c>
      <c r="B8168" s="36" t="s">
        <v>125</v>
      </c>
      <c r="C8168" s="54" t="n">
        <f aca="false">C8167*$C$8121+C8163*$C$8122+C8164*$C$8123</f>
        <v>0</v>
      </c>
      <c r="D8168" s="54" t="n">
        <f aca="false">D8167*$C$8121+D8163*$C$8122+D8164*$C$8123</f>
        <v>4589.63039718535</v>
      </c>
      <c r="E8168" s="54" t="n">
        <f aca="false">E8167*$C$8121+E8163*$C$8122+E8164*$C$8123</f>
        <v>10225.8896949036</v>
      </c>
      <c r="F8168" s="54" t="n">
        <f aca="false">F8167*$C$8121+F8163*$C$8122+F8164*$C$8123</f>
        <v>12723.8709402902</v>
      </c>
      <c r="G8168" s="54" t="n">
        <f aca="false">G8167*$C$8121+G8163*$C$8122+G8164*$C$8123</f>
        <v>13972.2227367632</v>
      </c>
      <c r="H8168" s="54" t="n">
        <f aca="false">H8167*$C$8121+H8163*$C$8122+H8164*$C$8123</f>
        <v>17006.9767476215</v>
      </c>
      <c r="I8168" s="54" t="n">
        <f aca="false">I8167*$C$8121+I8163*$C$8122+I8164*$C$8123</f>
        <v>20325.1890962297</v>
      </c>
      <c r="J8168" s="54" t="n">
        <f aca="false">J8167*$C$8121+J8163*$C$8122+J8164*$C$8123</f>
        <v>27523.6264765711</v>
      </c>
      <c r="K8168" s="54" t="n">
        <f aca="false">K8167*$C$8121+K8163*$C$8122+K8164*$C$8123</f>
        <v>35511.0230620319</v>
      </c>
      <c r="L8168" s="54" t="n">
        <f aca="false">L8167*$C$8121+L8163*$C$8122+L8164*$C$8123</f>
        <v>37749.4318382355</v>
      </c>
      <c r="M8168" s="54" t="n">
        <f aca="false">M8167*$C$8121+M8163*$C$8122+M8164*$C$8123</f>
        <v>37029.3415387204</v>
      </c>
      <c r="N8168" s="54" t="n">
        <f aca="false">N8167*$C$8121+N8163*$C$8122+N8164*$C$8123</f>
        <v>35964.6421958225</v>
      </c>
      <c r="P8168" s="55" t="n">
        <f aca="false">SUM(C8168:F8168)</f>
        <v>27539.3910323791</v>
      </c>
      <c r="Q8168" s="55" t="n">
        <f aca="false">SUM(G8168:J8168)</f>
        <v>78828.0150571856</v>
      </c>
      <c r="R8168" s="55" t="n">
        <f aca="false">SUM(K8168:N8168)</f>
        <v>146254.43863481</v>
      </c>
      <c r="S8168" s="56" t="n">
        <f aca="false">SUM(P8168:R8168)</f>
        <v>252621.844724375</v>
      </c>
    </row>
    <row r="8169" customFormat="false" ht="15" hidden="false" customHeight="false" outlineLevel="0" collapsed="false">
      <c r="A8169" s="4" t="s">
        <v>523</v>
      </c>
      <c r="B8169" s="36" t="s">
        <v>125</v>
      </c>
      <c r="C8169" s="54" t="n">
        <f aca="false">(C8145+Assumptions!$D$104*C8131)*$C$8126</f>
        <v>306250</v>
      </c>
      <c r="D8169" s="54" t="n">
        <f aca="false">(D8145+Assumptions!$D$104*D8131)*$C$8126</f>
        <v>306250</v>
      </c>
      <c r="E8169" s="54" t="n">
        <f aca="false">(E8145+Assumptions!$D$104*E8131)*$C$8126</f>
        <v>306250</v>
      </c>
      <c r="F8169" s="54" t="n">
        <f aca="false">(F8145+Assumptions!$D$104*F8131)*$C$8126</f>
        <v>306250</v>
      </c>
      <c r="G8169" s="54" t="n">
        <f aca="false">(G8145+Assumptions!$D$104*G8131)*$C$8126</f>
        <v>306250</v>
      </c>
      <c r="H8169" s="54" t="n">
        <f aca="false">(H8145+Assumptions!$D$104*H8131)*$C$8126</f>
        <v>306250</v>
      </c>
      <c r="I8169" s="54" t="n">
        <f aca="false">(I8145+Assumptions!$D$104*I8131)*$C$8126</f>
        <v>306250</v>
      </c>
      <c r="J8169" s="54" t="n">
        <f aca="false">(J8145+Assumptions!$D$104*J8131)*$C$8126</f>
        <v>306250</v>
      </c>
      <c r="K8169" s="54" t="n">
        <f aca="false">(K8145+Assumptions!$D$104*K8131)*$C$8126</f>
        <v>306250</v>
      </c>
      <c r="L8169" s="54" t="n">
        <f aca="false">(L8145+Assumptions!$D$104*L8131)*$C$8126</f>
        <v>306250</v>
      </c>
      <c r="M8169" s="54" t="n">
        <f aca="false">(M8145+Assumptions!$D$104*M8131)*$C$8126</f>
        <v>306250</v>
      </c>
      <c r="N8169" s="54" t="n">
        <f aca="false">(N8145+Assumptions!$D$104*N8131)*$C$8126</f>
        <v>306250</v>
      </c>
      <c r="P8169" s="55" t="n">
        <f aca="false">SUM(C8169:F8169)</f>
        <v>1225000</v>
      </c>
      <c r="Q8169" s="55" t="n">
        <f aca="false">SUM(G8169:J8169)</f>
        <v>1225000</v>
      </c>
      <c r="R8169" s="55" t="n">
        <f aca="false">SUM(K8169:N8169)</f>
        <v>1225000</v>
      </c>
      <c r="S8169" s="56" t="n">
        <f aca="false">SUM(P8169:R8169)</f>
        <v>3675000</v>
      </c>
    </row>
    <row r="8170" customFormat="false" ht="15" hidden="false" customHeight="false" outlineLevel="0" collapsed="false">
      <c r="A8170" s="4" t="s">
        <v>524</v>
      </c>
      <c r="B8170" s="36" t="s">
        <v>77</v>
      </c>
      <c r="C8170" s="51" t="n">
        <f aca="false">IF(C8168&gt;0,MIN(1,C8169/C8168),1)</f>
        <v>1</v>
      </c>
      <c r="D8170" s="51" t="n">
        <f aca="false">IF(D8168&gt;0,MIN(1,D8169/D8168),1)</f>
        <v>1</v>
      </c>
      <c r="E8170" s="51" t="n">
        <f aca="false">IF(E8168&gt;0,MIN(1,E8169/E8168),1)</f>
        <v>1</v>
      </c>
      <c r="F8170" s="51" t="n">
        <f aca="false">IF(F8168&gt;0,MIN(1,F8169/F8168),1)</f>
        <v>1</v>
      </c>
      <c r="G8170" s="51" t="n">
        <f aca="false">IF(G8168&gt;0,MIN(1,G8169/G8168),1)</f>
        <v>1</v>
      </c>
      <c r="H8170" s="51" t="n">
        <f aca="false">IF(H8168&gt;0,MIN(1,H8169/H8168),1)</f>
        <v>1</v>
      </c>
      <c r="I8170" s="51" t="n">
        <f aca="false">IF(I8168&gt;0,MIN(1,I8169/I8168),1)</f>
        <v>1</v>
      </c>
      <c r="J8170" s="51" t="n">
        <f aca="false">IF(J8168&gt;0,MIN(1,J8169/J8168),1)</f>
        <v>1</v>
      </c>
      <c r="K8170" s="51" t="n">
        <f aca="false">IF(K8168&gt;0,MIN(1,K8169/K8168),1)</f>
        <v>1</v>
      </c>
      <c r="L8170" s="51" t="n">
        <f aca="false">IF(L8168&gt;0,MIN(1,L8169/L8168),1)</f>
        <v>1</v>
      </c>
      <c r="M8170" s="51" t="n">
        <f aca="false">IF(M8168&gt;0,MIN(1,M8169/M8168),1)</f>
        <v>1</v>
      </c>
      <c r="N8170" s="51" t="n">
        <f aca="false">IF(N8168&gt;0,MIN(1,N8169/N8168),1)</f>
        <v>1</v>
      </c>
      <c r="P8170" s="52"/>
      <c r="Q8170" s="52"/>
      <c r="R8170" s="52"/>
      <c r="S8170" s="53"/>
    </row>
    <row r="8171" customFormat="false" ht="15" hidden="false" customHeight="false" outlineLevel="0" collapsed="false">
      <c r="A8171" s="4" t="s">
        <v>525</v>
      </c>
      <c r="B8171" s="36" t="s">
        <v>125</v>
      </c>
      <c r="C8171" s="54" t="n">
        <f aca="false">C8168*(1-C8170)</f>
        <v>0</v>
      </c>
      <c r="D8171" s="54" t="n">
        <f aca="false">D8168*(1-D8170)</f>
        <v>0</v>
      </c>
      <c r="E8171" s="54" t="n">
        <f aca="false">E8168*(1-E8170)</f>
        <v>0</v>
      </c>
      <c r="F8171" s="54" t="n">
        <f aca="false">F8168*(1-F8170)</f>
        <v>0</v>
      </c>
      <c r="G8171" s="54" t="n">
        <f aca="false">G8168*(1-G8170)</f>
        <v>0</v>
      </c>
      <c r="H8171" s="54" t="n">
        <f aca="false">H8168*(1-H8170)</f>
        <v>0</v>
      </c>
      <c r="I8171" s="54" t="n">
        <f aca="false">I8168*(1-I8170)</f>
        <v>0</v>
      </c>
      <c r="J8171" s="54" t="n">
        <f aca="false">J8168*(1-J8170)</f>
        <v>0</v>
      </c>
      <c r="K8171" s="54" t="n">
        <f aca="false">K8168*(1-K8170)</f>
        <v>0</v>
      </c>
      <c r="L8171" s="54" t="n">
        <f aca="false">L8168*(1-L8170)</f>
        <v>0</v>
      </c>
      <c r="M8171" s="54" t="n">
        <f aca="false">M8168*(1-M8170)</f>
        <v>0</v>
      </c>
      <c r="N8171" s="54" t="n">
        <f aca="false">N8168*(1-N8170)</f>
        <v>0</v>
      </c>
      <c r="P8171" s="55" t="n">
        <f aca="false">SUM(C8171:F8171)</f>
        <v>0</v>
      </c>
      <c r="Q8171" s="55" t="n">
        <f aca="false">SUM(G8171:J8171)</f>
        <v>0</v>
      </c>
      <c r="R8171" s="55" t="n">
        <f aca="false">SUM(K8171:N8171)</f>
        <v>0</v>
      </c>
      <c r="S8171" s="56" t="n">
        <f aca="false">SUM(P8171:R8171)</f>
        <v>0</v>
      </c>
    </row>
    <row r="8172" customFormat="false" ht="15" hidden="false" customHeight="false" outlineLevel="0" collapsed="false">
      <c r="A8172" s="4" t="s">
        <v>526</v>
      </c>
      <c r="B8172" s="36" t="s">
        <v>527</v>
      </c>
      <c r="C8172" s="48" t="n">
        <f aca="false">C8166+C8167*C8170</f>
        <v>0</v>
      </c>
      <c r="D8172" s="48" t="n">
        <f aca="false">D8166+D8167*D8170</f>
        <v>0.618840317988443</v>
      </c>
      <c r="E8172" s="48" t="n">
        <f aca="false">E8166+E8167*E8170</f>
        <v>1.06074075022029</v>
      </c>
      <c r="F8172" s="48" t="n">
        <f aca="false">F8166+F8167*F8170</f>
        <v>1.17043386524711</v>
      </c>
      <c r="G8172" s="48" t="n">
        <f aca="false">G8166+G8167*G8170</f>
        <v>1.28237640993072</v>
      </c>
      <c r="H8172" s="48" t="n">
        <f aca="false">H8166+H8167*H8170</f>
        <v>1.65014055837853</v>
      </c>
      <c r="I8172" s="48" t="n">
        <f aca="false">I8166+I8167*I8170</f>
        <v>1.99365047505617</v>
      </c>
      <c r="J8172" s="48" t="n">
        <f aca="false">J8166+J8167*J8170</f>
        <v>2.95049506253129</v>
      </c>
      <c r="K8172" s="48" t="n">
        <f aca="false">K8166+K8167*K8170</f>
        <v>3.81654188110898</v>
      </c>
      <c r="L8172" s="48" t="n">
        <f aca="false">L8166+L8167*L8170</f>
        <v>3.84366044399681</v>
      </c>
      <c r="M8172" s="48" t="n">
        <f aca="false">M8166+M8167*M8170</f>
        <v>3.72985258718646</v>
      </c>
      <c r="N8172" s="48" t="n">
        <f aca="false">N8166+N8167*N8170</f>
        <v>3.62394244263475</v>
      </c>
      <c r="P8172" s="49" t="n">
        <f aca="false">SUM(C8172:F8172)</f>
        <v>2.85001493345584</v>
      </c>
      <c r="Q8172" s="49" t="n">
        <f aca="false">SUM(G8172:J8172)</f>
        <v>7.87666250589671</v>
      </c>
      <c r="R8172" s="49" t="n">
        <f aca="false">SUM(K8172:N8172)</f>
        <v>15.013997354927</v>
      </c>
      <c r="S8172" s="50" t="n">
        <f aca="false">SUM(P8172:R8172)</f>
        <v>25.7406747942796</v>
      </c>
    </row>
    <row r="8173" customFormat="false" ht="15" hidden="false" customHeight="false" outlineLevel="0" collapsed="false">
      <c r="A8173" s="4" t="s">
        <v>528</v>
      </c>
      <c r="B8173" s="36" t="s">
        <v>527</v>
      </c>
      <c r="C8173" s="48" t="n">
        <f aca="false">C8163*C8170</f>
        <v>0</v>
      </c>
      <c r="D8173" s="48" t="n">
        <f aca="false">D8163*D8170</f>
        <v>0.310060695905104</v>
      </c>
      <c r="E8173" s="48" t="n">
        <f aca="false">E8163*E8170</f>
        <v>0.531468305519075</v>
      </c>
      <c r="F8173" s="48" t="n">
        <f aca="false">F8163*F8170</f>
        <v>0.586428401997228</v>
      </c>
      <c r="G8173" s="48" t="n">
        <f aca="false">G8163*G8170</f>
        <v>0.642515541598621</v>
      </c>
      <c r="H8173" s="48" t="n">
        <f aca="false">H8163*H8170</f>
        <v>0.810467973516309</v>
      </c>
      <c r="I8173" s="48" t="n">
        <f aca="false">I8163*I8170</f>
        <v>0.967770401247342</v>
      </c>
      <c r="J8173" s="48" t="n">
        <f aca="false">J8163*J8170</f>
        <v>1.34715062945252</v>
      </c>
      <c r="K8173" s="48" t="n">
        <f aca="false">K8163*K8170</f>
        <v>1.69700826823545</v>
      </c>
      <c r="L8173" s="48" t="n">
        <f aca="false">L8163*L8170</f>
        <v>1.70906641586672</v>
      </c>
      <c r="M8173" s="48" t="n">
        <f aca="false">M8163*M8170</f>
        <v>1.65846226163137</v>
      </c>
      <c r="N8173" s="48" t="n">
        <f aca="false">N8163*N8170</f>
        <v>1.6113697898092</v>
      </c>
      <c r="P8173" s="49" t="n">
        <f aca="false">SUM(C8173:F8173)</f>
        <v>1.42795740342141</v>
      </c>
      <c r="Q8173" s="49" t="n">
        <f aca="false">SUM(G8173:J8173)</f>
        <v>3.7679045458148</v>
      </c>
      <c r="R8173" s="49" t="n">
        <f aca="false">SUM(K8173:N8173)</f>
        <v>6.67590673554273</v>
      </c>
      <c r="S8173" s="50" t="n">
        <f aca="false">SUM(P8173:R8173)</f>
        <v>11.8717686847789</v>
      </c>
    </row>
    <row r="8174" customFormat="false" ht="15" hidden="false" customHeight="false" outlineLevel="0" collapsed="false">
      <c r="A8174" s="4" t="s">
        <v>529</v>
      </c>
      <c r="B8174" s="36" t="s">
        <v>527</v>
      </c>
      <c r="C8174" s="48" t="n">
        <f aca="false">C8164*C8170</f>
        <v>0</v>
      </c>
      <c r="D8174" s="48" t="n">
        <f aca="false">D8164*D8170</f>
        <v>0</v>
      </c>
      <c r="E8174" s="48" t="n">
        <f aca="false">E8164*E8170</f>
        <v>0.0509112006856529</v>
      </c>
      <c r="F8174" s="48" t="n">
        <f aca="false">F8164*F8170</f>
        <v>0.0872657834988111</v>
      </c>
      <c r="G8174" s="48" t="n">
        <f aca="false">G8164*G8170</f>
        <v>0.0962900956365819</v>
      </c>
      <c r="H8174" s="48" t="n">
        <f aca="false">H8164*H8170</f>
        <v>0.105499465472366</v>
      </c>
      <c r="I8174" s="48" t="n">
        <f aca="false">I8164*I8170</f>
        <v>0.124471409327562</v>
      </c>
      <c r="J8174" s="48" t="n">
        <f aca="false">J8164*J8170</f>
        <v>0.142487228818336</v>
      </c>
      <c r="K8174" s="48" t="n">
        <f aca="false">K8164*K8170</f>
        <v>0.189539761226571</v>
      </c>
      <c r="L8174" s="48" t="n">
        <f aca="false">L8164*L8170</f>
        <v>0.233751333445662</v>
      </c>
      <c r="M8174" s="48" t="n">
        <f aca="false">M8164*M8170</f>
        <v>0.235412261173859</v>
      </c>
      <c r="N8174" s="48" t="n">
        <f aca="false">N8164*N8170</f>
        <v>0.228441883508756</v>
      </c>
      <c r="P8174" s="49" t="n">
        <f aca="false">SUM(C8174:F8174)</f>
        <v>0.138176984184464</v>
      </c>
      <c r="Q8174" s="49" t="n">
        <f aca="false">SUM(G8174:J8174)</f>
        <v>0.468748199254846</v>
      </c>
      <c r="R8174" s="49" t="n">
        <f aca="false">SUM(K8174:N8174)</f>
        <v>0.887145239354848</v>
      </c>
      <c r="S8174" s="50" t="n">
        <f aca="false">SUM(P8174:R8174)</f>
        <v>1.49407042279416</v>
      </c>
    </row>
    <row r="8175" customFormat="false" ht="15" hidden="false" customHeight="false" outlineLevel="0" collapsed="false">
      <c r="A8175" s="9" t="s">
        <v>530</v>
      </c>
      <c r="B8175" s="36" t="s">
        <v>527</v>
      </c>
      <c r="C8175" s="49" t="n">
        <f aca="false">C8172+C8173+C8174</f>
        <v>0</v>
      </c>
      <c r="D8175" s="49" t="n">
        <f aca="false">D8172+D8173+D8174</f>
        <v>0.928901013893547</v>
      </c>
      <c r="E8175" s="49" t="n">
        <f aca="false">E8172+E8173+E8174</f>
        <v>1.64312025642501</v>
      </c>
      <c r="F8175" s="49" t="n">
        <f aca="false">F8172+F8173+F8174</f>
        <v>1.84412805074315</v>
      </c>
      <c r="G8175" s="49" t="n">
        <f aca="false">G8172+G8173+G8174</f>
        <v>2.02118204716592</v>
      </c>
      <c r="H8175" s="49" t="n">
        <f aca="false">H8172+H8173+H8174</f>
        <v>2.5661079973672</v>
      </c>
      <c r="I8175" s="49" t="n">
        <f aca="false">I8172+I8173+I8174</f>
        <v>3.08589228563108</v>
      </c>
      <c r="J8175" s="49" t="n">
        <f aca="false">J8172+J8173+J8174</f>
        <v>4.44013292080215</v>
      </c>
      <c r="K8175" s="49" t="n">
        <f aca="false">K8172+K8173+K8174</f>
        <v>5.70308991057101</v>
      </c>
      <c r="L8175" s="49" t="n">
        <f aca="false">L8172+L8173+L8174</f>
        <v>5.78647819330918</v>
      </c>
      <c r="M8175" s="49" t="n">
        <f aca="false">M8172+M8173+M8174</f>
        <v>5.62372710999168</v>
      </c>
      <c r="N8175" s="49" t="n">
        <f aca="false">N8172+N8173+N8174</f>
        <v>5.46375411595271</v>
      </c>
      <c r="P8175" s="49" t="n">
        <f aca="false">SUM(C8175:F8175)</f>
        <v>4.41614932106171</v>
      </c>
      <c r="Q8175" s="49" t="n">
        <f aca="false">SUM(G8175:J8175)</f>
        <v>12.1133152509664</v>
      </c>
      <c r="R8175" s="49" t="n">
        <f aca="false">SUM(K8175:N8175)</f>
        <v>22.5770493298246</v>
      </c>
      <c r="S8175" s="50" t="n">
        <f aca="false">SUM(P8175:R8175)</f>
        <v>39.1065139018526</v>
      </c>
    </row>
    <row r="8176" customFormat="false" ht="15" hidden="false" customHeight="false" outlineLevel="0" collapsed="false">
      <c r="A8176" s="35" t="s">
        <v>533</v>
      </c>
      <c r="B8176" s="35" t="s">
        <v>444</v>
      </c>
      <c r="C8176" s="6" t="s">
        <v>354</v>
      </c>
      <c r="D8176" s="6" t="s">
        <v>355</v>
      </c>
      <c r="E8176" s="6" t="s">
        <v>356</v>
      </c>
      <c r="F8176" s="6" t="s">
        <v>357</v>
      </c>
      <c r="G8176" s="6" t="s">
        <v>358</v>
      </c>
      <c r="H8176" s="6" t="s">
        <v>359</v>
      </c>
      <c r="I8176" s="6" t="s">
        <v>360</v>
      </c>
      <c r="J8176" s="6" t="s">
        <v>361</v>
      </c>
      <c r="K8176" s="6" t="s">
        <v>362</v>
      </c>
      <c r="L8176" s="6" t="s">
        <v>363</v>
      </c>
      <c r="M8176" s="6" t="s">
        <v>364</v>
      </c>
      <c r="N8176" s="6" t="s">
        <v>365</v>
      </c>
      <c r="P8176" s="6" t="s">
        <v>445</v>
      </c>
      <c r="Q8176" s="6" t="s">
        <v>446</v>
      </c>
      <c r="R8176" s="6" t="s">
        <v>447</v>
      </c>
      <c r="S8176" s="6" t="s">
        <v>448</v>
      </c>
    </row>
    <row r="8177" customFormat="false" ht="15" hidden="false" customHeight="false" outlineLevel="0" collapsed="false">
      <c r="A8177" s="4" t="s">
        <v>534</v>
      </c>
      <c r="B8177" s="36" t="s">
        <v>527</v>
      </c>
      <c r="C8177" s="48" t="n">
        <f aca="false">0*Assumptions!$E$59^(1/4)+C8172</f>
        <v>0</v>
      </c>
      <c r="D8177" s="48" t="n">
        <f aca="false">C8177*Assumptions!$E$59^(1/4)+D8172</f>
        <v>0.618840317988443</v>
      </c>
      <c r="E8177" s="48" t="n">
        <f aca="false">D8177*Assumptions!$E$59^(1/4)+E8172</f>
        <v>1.66011663920288</v>
      </c>
      <c r="F8177" s="48" t="n">
        <f aca="false">E8177*Assumptions!$E$59^(1/4)+F8172</f>
        <v>2.77833473646281</v>
      </c>
      <c r="G8177" s="48" t="n">
        <f aca="false">F8177*Assumptions!$E$59^(1/4)+G8172</f>
        <v>3.97332398421226</v>
      </c>
      <c r="H8177" s="48" t="n">
        <f aca="false">G8177*Assumptions!$E$59^(1/4)+H8172</f>
        <v>5.49849129770052</v>
      </c>
      <c r="I8177" s="48" t="n">
        <f aca="false">H8177*Assumptions!$E$59^(1/4)+I8172</f>
        <v>7.31919733072152</v>
      </c>
      <c r="J8177" s="48" t="n">
        <f aca="false">I8177*Assumptions!$E$59^(1/4)+J8172</f>
        <v>10.039481153483</v>
      </c>
      <c r="K8177" s="48" t="n">
        <f aca="false">J8177*Assumptions!$E$59^(1/4)+K8172</f>
        <v>13.5402505122025</v>
      </c>
      <c r="L8177" s="48" t="n">
        <f aca="false">K8177*Assumptions!$E$59^(1/4)+L8172</f>
        <v>16.9580284835238</v>
      </c>
      <c r="M8177" s="48" t="n">
        <f aca="false">L8177*Assumptions!$E$59^(1/4)+M8172</f>
        <v>20.1544989818224</v>
      </c>
      <c r="N8177" s="48" t="n">
        <f aca="false">M8177*Assumptions!$E$59^(1/4)+N8172</f>
        <v>23.144520519214</v>
      </c>
      <c r="P8177" s="49" t="n">
        <f aca="false">F8177</f>
        <v>2.77833473646281</v>
      </c>
      <c r="Q8177" s="49" t="n">
        <f aca="false">J8177</f>
        <v>10.039481153483</v>
      </c>
      <c r="R8177" s="49" t="n">
        <f aca="false">N8177</f>
        <v>23.144520519214</v>
      </c>
      <c r="S8177" s="50" t="n">
        <f aca="false">R8177</f>
        <v>23.144520519214</v>
      </c>
    </row>
    <row r="8178" customFormat="false" ht="15" hidden="false" customHeight="false" outlineLevel="0" collapsed="false">
      <c r="A8178" s="4" t="s">
        <v>535</v>
      </c>
      <c r="B8178" s="36" t="s">
        <v>527</v>
      </c>
      <c r="C8178" s="48" t="n">
        <f aca="false">0*Assumptions!$E$60^(1/4)+C8173</f>
        <v>0</v>
      </c>
      <c r="D8178" s="48" t="n">
        <f aca="false">C8178*Assumptions!$E$60^(1/4)+D8173</f>
        <v>0.310060695905104</v>
      </c>
      <c r="E8178" s="48" t="n">
        <f aca="false">D8178*Assumptions!$E$60^(1/4)+E8173</f>
        <v>0.833468584949881</v>
      </c>
      <c r="F8178" s="48" t="n">
        <f aca="false">E8178*Assumptions!$E$60^(1/4)+F8173</f>
        <v>1.3982299262662</v>
      </c>
      <c r="G8178" s="48" t="n">
        <f aca="false">F8178*Assumptions!$E$60^(1/4)+G8173</f>
        <v>2.00439672814587</v>
      </c>
      <c r="H8178" s="48" t="n">
        <f aca="false">G8178*Assumptions!$E$60^(1/4)+H8173</f>
        <v>2.76275789605299</v>
      </c>
      <c r="I8178" s="48" t="n">
        <f aca="false">H8178*Assumptions!$E$60^(1/4)+I8173</f>
        <v>3.65870694246903</v>
      </c>
      <c r="J8178" s="48" t="n">
        <f aca="false">I8178*Assumptions!$E$60^(1/4)+J8173</f>
        <v>4.9107448984896</v>
      </c>
      <c r="K8178" s="48" t="n">
        <f aca="false">J8178*Assumptions!$E$60^(1/4)+K8173</f>
        <v>6.48009219710324</v>
      </c>
      <c r="L8178" s="48" t="n">
        <f aca="false">K8178*Assumptions!$E$60^(1/4)+L8173</f>
        <v>8.0207004930266</v>
      </c>
      <c r="M8178" s="48" t="n">
        <f aca="false">L8178*Assumptions!$E$60^(1/4)+M8173</f>
        <v>9.4706545907945</v>
      </c>
      <c r="N8178" s="48" t="n">
        <f aca="false">M8178*Assumptions!$E$60^(1/4)+N8173</f>
        <v>10.835822842343</v>
      </c>
      <c r="P8178" s="49" t="n">
        <f aca="false">F8178</f>
        <v>1.3982299262662</v>
      </c>
      <c r="Q8178" s="49" t="n">
        <f aca="false">J8178</f>
        <v>4.9107448984896</v>
      </c>
      <c r="R8178" s="49" t="n">
        <f aca="false">N8178</f>
        <v>10.835822842343</v>
      </c>
      <c r="S8178" s="50" t="n">
        <f aca="false">R8178</f>
        <v>10.835822842343</v>
      </c>
    </row>
    <row r="8179" customFormat="false" ht="15" hidden="false" customHeight="false" outlineLevel="0" collapsed="false">
      <c r="A8179" s="4" t="s">
        <v>536</v>
      </c>
      <c r="B8179" s="36" t="s">
        <v>527</v>
      </c>
      <c r="C8179" s="48" t="n">
        <f aca="false">0*Assumptions!$E$61^(1/4)+C8174</f>
        <v>0</v>
      </c>
      <c r="D8179" s="48" t="n">
        <f aca="false">C8179*Assumptions!$E$61^(1/4)+D8174</f>
        <v>0</v>
      </c>
      <c r="E8179" s="48" t="n">
        <f aca="false">D8179*Assumptions!$E$61^(1/4)+E8174</f>
        <v>0.0509112006856529</v>
      </c>
      <c r="F8179" s="48" t="n">
        <f aca="false">E8179*Assumptions!$E$61^(1/4)+F8174</f>
        <v>0.137126704510346</v>
      </c>
      <c r="G8179" s="48" t="n">
        <f aca="false">F8179*Assumptions!$E$61^(1/4)+G8174</f>
        <v>0.230587925781634</v>
      </c>
      <c r="H8179" s="48" t="n">
        <f aca="false">G8179*Assumptions!$E$61^(1/4)+H8174</f>
        <v>0.331330445664742</v>
      </c>
      <c r="I8179" s="48" t="n">
        <f aca="false">H8179*Assumptions!$E$61^(1/4)+I8174</f>
        <v>0.448966627619713</v>
      </c>
      <c r="J8179" s="48" t="n">
        <f aca="false">I8179*Assumptions!$E$61^(1/4)+J8174</f>
        <v>0.582191837137861</v>
      </c>
      <c r="K8179" s="48" t="n">
        <f aca="false">J8179*Assumptions!$E$61^(1/4)+K8174</f>
        <v>0.759721191130891</v>
      </c>
      <c r="L8179" s="48" t="n">
        <f aca="false">K8179*Assumptions!$E$61^(1/4)+L8174</f>
        <v>0.977799750917804</v>
      </c>
      <c r="M8179" s="48" t="n">
        <f aca="false">L8179*Assumptions!$E$61^(1/4)+M8174</f>
        <v>1.19304035654405</v>
      </c>
      <c r="N8179" s="48" t="n">
        <f aca="false">M8179*Assumptions!$E$61^(1/4)+N8174</f>
        <v>1.39687024858521</v>
      </c>
      <c r="P8179" s="49" t="n">
        <f aca="false">F8179</f>
        <v>0.137126704510346</v>
      </c>
      <c r="Q8179" s="49" t="n">
        <f aca="false">J8179</f>
        <v>0.582191837137861</v>
      </c>
      <c r="R8179" s="49" t="n">
        <f aca="false">N8179</f>
        <v>1.39687024858521</v>
      </c>
      <c r="S8179" s="50" t="n">
        <f aca="false">R8179</f>
        <v>1.39687024858521</v>
      </c>
    </row>
    <row r="8180" customFormat="false" ht="15" hidden="false" customHeight="false" outlineLevel="0" collapsed="false">
      <c r="A8180" s="9" t="s">
        <v>537</v>
      </c>
      <c r="B8180" s="36" t="s">
        <v>527</v>
      </c>
      <c r="C8180" s="49" t="n">
        <f aca="false">C8177+C8178+C8179</f>
        <v>0</v>
      </c>
      <c r="D8180" s="49" t="n">
        <f aca="false">D8177+D8178+D8179</f>
        <v>0.928901013893547</v>
      </c>
      <c r="E8180" s="49" t="n">
        <f aca="false">E8177+E8178+E8179</f>
        <v>2.54449642483841</v>
      </c>
      <c r="F8180" s="49" t="n">
        <f aca="false">F8177+F8178+F8179</f>
        <v>4.31369136723936</v>
      </c>
      <c r="G8180" s="49" t="n">
        <f aca="false">G8177+G8178+G8179</f>
        <v>6.20830863813976</v>
      </c>
      <c r="H8180" s="49" t="n">
        <f aca="false">H8177+H8178+H8179</f>
        <v>8.59257963941825</v>
      </c>
      <c r="I8180" s="49" t="n">
        <f aca="false">I8177+I8178+I8179</f>
        <v>11.4268709008103</v>
      </c>
      <c r="J8180" s="49" t="n">
        <f aca="false">J8177+J8178+J8179</f>
        <v>15.5324178891105</v>
      </c>
      <c r="K8180" s="49" t="n">
        <f aca="false">K8177+K8178+K8179</f>
        <v>20.7800639004366</v>
      </c>
      <c r="L8180" s="49" t="n">
        <f aca="false">L8177+L8178+L8179</f>
        <v>25.9565287274682</v>
      </c>
      <c r="M8180" s="49" t="n">
        <f aca="false">M8177+M8178+M8179</f>
        <v>30.8181939291609</v>
      </c>
      <c r="N8180" s="49" t="n">
        <f aca="false">N8177+N8178+N8179</f>
        <v>35.3772136101422</v>
      </c>
      <c r="P8180" s="49" t="n">
        <f aca="false">F8180</f>
        <v>4.31369136723936</v>
      </c>
      <c r="Q8180" s="49" t="n">
        <f aca="false">J8180</f>
        <v>15.5324178891105</v>
      </c>
      <c r="R8180" s="49" t="n">
        <f aca="false">N8180</f>
        <v>35.3772136101422</v>
      </c>
      <c r="S8180" s="50" t="n">
        <f aca="false">R8180</f>
        <v>35.3772136101422</v>
      </c>
    </row>
    <row r="8181" customFormat="false" ht="15" hidden="false" customHeight="false" outlineLevel="0" collapsed="false">
      <c r="A8181" s="4" t="s">
        <v>538</v>
      </c>
      <c r="B8181" s="36" t="s">
        <v>125</v>
      </c>
      <c r="C8181" s="54" t="n">
        <f aca="false">0*Assumptions!$E$62^(1/4)+C8172*$C$8121</f>
        <v>0</v>
      </c>
      <c r="D8181" s="54" t="n">
        <f aca="false">C8181*Assumptions!$E$62^(1/4)+D8172*$C$8121</f>
        <v>3312.03338187415</v>
      </c>
      <c r="E8181" s="54" t="n">
        <f aca="false">D8181*Assumptions!$E$62^(1/4)+E8172*$C$8121</f>
        <v>8989.11787705312</v>
      </c>
      <c r="F8181" s="54" t="n">
        <f aca="false">E8181*Assumptions!$E$62^(1/4)+F8172*$C$8121</f>
        <v>15253.2799238556</v>
      </c>
      <c r="G8181" s="54" t="n">
        <f aca="false">F8181*Assumptions!$E$62^(1/4)+G8172*$C$8121</f>
        <v>22116.5584698049</v>
      </c>
      <c r="H8181" s="54" t="n">
        <f aca="false">G8181*Assumptions!$E$62^(1/4)+H8172*$C$8121</f>
        <v>30948.1107382467</v>
      </c>
      <c r="I8181" s="54" t="n">
        <f aca="false">H8181*Assumptions!$E$62^(1/4)+I8172*$C$8121</f>
        <v>41618.1280807474</v>
      </c>
      <c r="J8181" s="54" t="n">
        <f aca="false">I8181*Assumptions!$E$62^(1/4)+J8172*$C$8121</f>
        <v>57409.1776554148</v>
      </c>
      <c r="K8181" s="54" t="n">
        <f aca="false">J8181*Assumptions!$E$62^(1/4)+K8172*$C$8121</f>
        <v>77835.3098031101</v>
      </c>
      <c r="L8181" s="54" t="n">
        <f aca="false">K8181*Assumptions!$E$62^(1/4)+L8172*$C$8121</f>
        <v>98406.580499381</v>
      </c>
      <c r="M8181" s="54" t="n">
        <f aca="false">L8181*Assumptions!$E$62^(1/4)+M8172*$C$8121</f>
        <v>118368.751546003</v>
      </c>
      <c r="N8181" s="54" t="n">
        <f aca="false">M8181*Assumptions!$E$62^(1/4)+N8172*$C$8121</f>
        <v>137764.091498984</v>
      </c>
      <c r="P8181" s="55" t="n">
        <f aca="false">F8181</f>
        <v>15253.2799238556</v>
      </c>
      <c r="Q8181" s="55" t="n">
        <f aca="false">J8181</f>
        <v>57409.1776554148</v>
      </c>
      <c r="R8181" s="55" t="n">
        <f aca="false">N8181</f>
        <v>137764.091498984</v>
      </c>
      <c r="S8181" s="56" t="n">
        <f aca="false">R8181</f>
        <v>137764.091498984</v>
      </c>
    </row>
    <row r="8182" customFormat="false" ht="15" hidden="false" customHeight="false" outlineLevel="0" collapsed="false">
      <c r="A8182" s="4" t="s">
        <v>539</v>
      </c>
      <c r="B8182" s="36" t="s">
        <v>125</v>
      </c>
      <c r="C8182" s="54" t="n">
        <f aca="false">0*Assumptions!$E$63^(1/4)+C8173*$C$8122</f>
        <v>0</v>
      </c>
      <c r="D8182" s="54" t="n">
        <f aca="false">C8182*Assumptions!$E$63^(1/4)+D8173*$C$8122</f>
        <v>2271.20702987344</v>
      </c>
      <c r="E8182" s="54" t="n">
        <f aca="false">D8182*Assumptions!$E$63^(1/4)+E8173*$C$8122</f>
        <v>6197.56102042717</v>
      </c>
      <c r="F8182" s="54" t="n">
        <f aca="false">E8182*Assumptions!$E$63^(1/4)+F8173*$C$8122</f>
        <v>10584.1146358555</v>
      </c>
      <c r="G8182" s="54" t="n">
        <f aca="false">F8182*Assumptions!$E$63^(1/4)+G8173*$C$8122</f>
        <v>15445.8764107289</v>
      </c>
      <c r="H8182" s="54" t="n">
        <f aca="false">G8182*Assumptions!$E$63^(1/4)+H8173*$C$8122</f>
        <v>21609.2372281081</v>
      </c>
      <c r="I8182" s="54" t="n">
        <f aca="false">H8182*Assumptions!$E$63^(1/4)+I8173*$C$8122</f>
        <v>29015.2848444201</v>
      </c>
      <c r="J8182" s="54" t="n">
        <f aca="false">I8182*Assumptions!$E$63^(1/4)+J8173*$C$8122</f>
        <v>39308.9830476182</v>
      </c>
      <c r="K8182" s="54" t="n">
        <f aca="false">J8182*Assumptions!$E$63^(1/4)+K8173*$C$8122</f>
        <v>52316.4506269308</v>
      </c>
      <c r="L8182" s="54" t="n">
        <f aca="false">K8182*Assumptions!$E$63^(1/4)+L8173*$C$8122</f>
        <v>65603.1141994354</v>
      </c>
      <c r="M8182" s="54" t="n">
        <f aca="false">L8182*Assumptions!$E$63^(1/4)+M8173*$C$8122</f>
        <v>78714.0667704709</v>
      </c>
      <c r="N8182" s="54" t="n">
        <f aca="false">M8182*Assumptions!$E$63^(1/4)+N8173*$C$8122</f>
        <v>91672.4531983148</v>
      </c>
      <c r="P8182" s="55" t="n">
        <f aca="false">F8182</f>
        <v>10584.1146358555</v>
      </c>
      <c r="Q8182" s="55" t="n">
        <f aca="false">J8182</f>
        <v>39308.9830476182</v>
      </c>
      <c r="R8182" s="55" t="n">
        <f aca="false">N8182</f>
        <v>91672.4531983148</v>
      </c>
      <c r="S8182" s="56" t="n">
        <f aca="false">R8182</f>
        <v>91672.4531983148</v>
      </c>
    </row>
    <row r="8183" customFormat="false" ht="15" hidden="false" customHeight="false" outlineLevel="0" collapsed="false">
      <c r="A8183" s="4" t="s">
        <v>540</v>
      </c>
      <c r="B8183" s="36" t="s">
        <v>125</v>
      </c>
      <c r="C8183" s="54" t="n">
        <f aca="false">0*Assumptions!$E$64^(1/4)+C8174*$C$8123</f>
        <v>0</v>
      </c>
      <c r="D8183" s="54" t="n">
        <f aca="false">C8183*Assumptions!$E$64^(1/4)+D8174*$C$8123</f>
        <v>0</v>
      </c>
      <c r="E8183" s="54" t="n">
        <f aca="false">D8183*Assumptions!$E$64^(1/4)+E8174*$C$8123</f>
        <v>2358.90390029814</v>
      </c>
      <c r="F8183" s="54" t="n">
        <f aca="false">E8183*Assumptions!$E$64^(1/4)+F8174*$C$8123</f>
        <v>6486.12793440219</v>
      </c>
      <c r="G8183" s="54" t="n">
        <f aca="false">F8183*Assumptions!$E$64^(1/4)+G8174*$C$8123</f>
        <v>11178.2378163784</v>
      </c>
      <c r="H8183" s="54" t="n">
        <f aca="false">G8183*Assumptions!$E$64^(1/4)+H8174*$C$8123</f>
        <v>16463.8942067423</v>
      </c>
      <c r="I8183" s="54" t="n">
        <f aca="false">H8183*Assumptions!$E$64^(1/4)+I8174*$C$8123</f>
        <v>22816.5385769006</v>
      </c>
      <c r="J8183" s="54" t="n">
        <f aca="false">I8183*Assumptions!$E$64^(1/4)+J8174*$C$8123</f>
        <v>30229.8101949223</v>
      </c>
      <c r="K8183" s="54" t="n">
        <f aca="false">J8183*Assumptions!$E$64^(1/4)+K8174*$C$8123</f>
        <v>40086.8010432458</v>
      </c>
      <c r="L8183" s="54" t="n">
        <f aca="false">K8183*Assumptions!$E$64^(1/4)+L8174*$C$8123</f>
        <v>52342.772901964</v>
      </c>
      <c r="M8183" s="54" t="n">
        <f aca="false">L8183*Assumptions!$E$64^(1/4)+M8174*$C$8123</f>
        <v>65111.5004577413</v>
      </c>
      <c r="N8183" s="54" t="n">
        <f aca="false">M8183*Assumptions!$E$64^(1/4)+N8174*$C$8123</f>
        <v>78011.2960697265</v>
      </c>
      <c r="P8183" s="55" t="n">
        <f aca="false">F8183</f>
        <v>6486.12793440219</v>
      </c>
      <c r="Q8183" s="55" t="n">
        <f aca="false">J8183</f>
        <v>30229.8101949223</v>
      </c>
      <c r="R8183" s="55" t="n">
        <f aca="false">N8183</f>
        <v>78011.2960697265</v>
      </c>
      <c r="S8183" s="56" t="n">
        <f aca="false">R8183</f>
        <v>78011.2960697265</v>
      </c>
    </row>
    <row r="8184" customFormat="false" ht="15" hidden="false" customHeight="false" outlineLevel="0" collapsed="false">
      <c r="A8184" s="9" t="s">
        <v>541</v>
      </c>
      <c r="B8184" s="36" t="s">
        <v>125</v>
      </c>
      <c r="C8184" s="55" t="n">
        <f aca="false">C8181+C8182+C8183</f>
        <v>0</v>
      </c>
      <c r="D8184" s="55" t="n">
        <f aca="false">D8181+D8182+D8183</f>
        <v>5583.24041174759</v>
      </c>
      <c r="E8184" s="55" t="n">
        <f aca="false">E8181+E8182+E8183</f>
        <v>17545.5827977784</v>
      </c>
      <c r="F8184" s="55" t="n">
        <f aca="false">F8181+F8182+F8183</f>
        <v>32323.5224941133</v>
      </c>
      <c r="G8184" s="55" t="n">
        <f aca="false">G8181+G8182+G8183</f>
        <v>48740.6726969123</v>
      </c>
      <c r="H8184" s="55" t="n">
        <f aca="false">H8181+H8182+H8183</f>
        <v>69021.2421730971</v>
      </c>
      <c r="I8184" s="55" t="n">
        <f aca="false">I8181+I8182+I8183</f>
        <v>93449.9515020681</v>
      </c>
      <c r="J8184" s="55" t="n">
        <f aca="false">J8181+J8182+J8183</f>
        <v>126947.970897955</v>
      </c>
      <c r="K8184" s="55" t="n">
        <f aca="false">K8181+K8182+K8183</f>
        <v>170238.561473287</v>
      </c>
      <c r="L8184" s="55" t="n">
        <f aca="false">L8181+L8182+L8183</f>
        <v>216352.46760078</v>
      </c>
      <c r="M8184" s="55" t="n">
        <f aca="false">M8181+M8182+M8183</f>
        <v>262194.318774215</v>
      </c>
      <c r="N8184" s="55" t="n">
        <f aca="false">N8181+N8182+N8183</f>
        <v>307447.840767025</v>
      </c>
      <c r="P8184" s="55" t="n">
        <f aca="false">F8184</f>
        <v>32323.5224941133</v>
      </c>
      <c r="Q8184" s="55" t="n">
        <f aca="false">J8184</f>
        <v>126947.970897955</v>
      </c>
      <c r="R8184" s="55" t="n">
        <f aca="false">N8184</f>
        <v>307447.840767025</v>
      </c>
      <c r="S8184" s="56" t="n">
        <f aca="false">R8184</f>
        <v>307447.840767025</v>
      </c>
    </row>
    <row r="8185" customFormat="false" ht="15" hidden="false" customHeight="false" outlineLevel="0" collapsed="false">
      <c r="A8185" s="4" t="s">
        <v>542</v>
      </c>
      <c r="B8185" s="36" t="s">
        <v>125</v>
      </c>
      <c r="C8185" s="54" t="n">
        <f aca="false">C8172*$C$8121+C8173*$C$8122+C8174*$C$8123</f>
        <v>0</v>
      </c>
      <c r="D8185" s="54" t="n">
        <f aca="false">D8172*$C$8121+D8173*$C$8122+D8174*$C$8123</f>
        <v>5583.24041174759</v>
      </c>
      <c r="E8185" s="54" t="n">
        <f aca="false">E8172*$C$8121+E8173*$C$8122+E8174*$C$8123</f>
        <v>11929.0150434573</v>
      </c>
      <c r="F8185" s="54" t="n">
        <f aca="false">F8172*$C$8121+F8173*$C$8122+F8174*$C$8123</f>
        <v>14603.1195543309</v>
      </c>
      <c r="G8185" s="54" t="n">
        <f aca="false">G8172*$C$8121+G8173*$C$8122+G8174*$C$8123</f>
        <v>16031.2063005479</v>
      </c>
      <c r="H8185" s="54" t="n">
        <f aca="false">H8172*$C$8121+H8173*$C$8122+H8174*$C$8123</f>
        <v>19656.4424281541</v>
      </c>
      <c r="I8185" s="54" t="n">
        <f aca="false">I8172*$C$8121+I8173*$C$8122+I8174*$C$8123</f>
        <v>23526.1942989799</v>
      </c>
      <c r="J8185" s="54" t="n">
        <f aca="false">J8172*$C$8121+J8173*$C$8122+J8174*$C$8123</f>
        <v>32260.9413489714</v>
      </c>
      <c r="K8185" s="54" t="n">
        <f aca="false">K8172*$C$8121+K8173*$C$8122+K8174*$C$8123</f>
        <v>41638.8627063404</v>
      </c>
      <c r="L8185" s="54" t="n">
        <f aca="false">L8172*$C$8121+L8173*$C$8122+L8174*$C$8123</f>
        <v>43920.8130471168</v>
      </c>
      <c r="M8185" s="54" t="n">
        <f aca="false">M8172*$C$8121+M8173*$C$8122+M8174*$C$8123</f>
        <v>43017.992852707</v>
      </c>
      <c r="N8185" s="54" t="n">
        <f aca="false">N8172*$C$8121+N8173*$C$8122+N8174*$C$8123</f>
        <v>41783.2441817169</v>
      </c>
      <c r="P8185" s="55" t="n">
        <f aca="false">SUM(C8185:F8185)</f>
        <v>32115.3750095358</v>
      </c>
      <c r="Q8185" s="55" t="n">
        <f aca="false">SUM(G8185:J8185)</f>
        <v>91474.7843766533</v>
      </c>
      <c r="R8185" s="55" t="n">
        <f aca="false">SUM(K8185:N8185)</f>
        <v>170360.912787881</v>
      </c>
      <c r="S8185" s="56" t="n">
        <f aca="false">SUM(P8185:R8185)</f>
        <v>293951.07217407</v>
      </c>
    </row>
    <row r="8186" customFormat="false" ht="15" hidden="false" customHeight="false" outlineLevel="0" collapsed="false">
      <c r="A8186" s="9" t="s">
        <v>543</v>
      </c>
      <c r="B8186" s="36" t="s">
        <v>125</v>
      </c>
      <c r="C8186" s="55" t="n">
        <f aca="false">(0+C8184)/8</f>
        <v>0</v>
      </c>
      <c r="D8186" s="55" t="n">
        <f aca="false">(C8184+D8184)/8</f>
        <v>697.905051468449</v>
      </c>
      <c r="E8186" s="55" t="n">
        <f aca="false">(D8184+E8184)/8</f>
        <v>2891.10290119075</v>
      </c>
      <c r="F8186" s="55" t="n">
        <f aca="false">(E8184+F8184)/8</f>
        <v>6233.63816148647</v>
      </c>
      <c r="G8186" s="55" t="n">
        <f aca="false">(F8184+G8184)/8</f>
        <v>10133.0243988782</v>
      </c>
      <c r="H8186" s="55" t="n">
        <f aca="false">(G8184+H8184)/8</f>
        <v>14720.2393587512</v>
      </c>
      <c r="I8186" s="55" t="n">
        <f aca="false">(H8184+I8184)/8</f>
        <v>20308.8992093956</v>
      </c>
      <c r="J8186" s="55" t="n">
        <f aca="false">(I8184+J8184)/8</f>
        <v>27549.7403000029</v>
      </c>
      <c r="K8186" s="55" t="n">
        <f aca="false">(J8184+K8184)/8</f>
        <v>37148.3165464052</v>
      </c>
      <c r="L8186" s="55" t="n">
        <f aca="false">(K8184+L8184)/8</f>
        <v>48323.8786342584</v>
      </c>
      <c r="M8186" s="55" t="n">
        <f aca="false">(L8184+M8184)/8</f>
        <v>59818.3482968745</v>
      </c>
      <c r="N8186" s="55" t="n">
        <f aca="false">(M8184+N8184)/8</f>
        <v>71205.2699426551</v>
      </c>
      <c r="P8186" s="55" t="n">
        <f aca="false">SUM(C8186:F8186)</f>
        <v>9822.64611414567</v>
      </c>
      <c r="Q8186" s="55" t="n">
        <f aca="false">SUM(G8186:J8186)</f>
        <v>72711.9032670279</v>
      </c>
      <c r="R8186" s="55" t="n">
        <f aca="false">SUM(K8186:N8186)</f>
        <v>216495.813420193</v>
      </c>
      <c r="S8186" s="56" t="n">
        <f aca="false">SUM(P8186:R8186)</f>
        <v>299030.362801367</v>
      </c>
    </row>
    <row r="8187" customFormat="false" ht="15" hidden="false" customHeight="false" outlineLevel="0" collapsed="false">
      <c r="A8187" s="4" t="s">
        <v>544</v>
      </c>
      <c r="B8187" s="36" t="s">
        <v>125</v>
      </c>
      <c r="C8187" s="54" t="n">
        <f aca="false">C8186*Assumptions!$E$76</f>
        <v>0</v>
      </c>
      <c r="D8187" s="54" t="n">
        <f aca="false">D8186*Assumptions!$E$76</f>
        <v>453.638283454492</v>
      </c>
      <c r="E8187" s="54" t="n">
        <f aca="false">E8186*Assumptions!$E$76</f>
        <v>1879.21688577399</v>
      </c>
      <c r="F8187" s="54" t="n">
        <f aca="false">F8186*Assumptions!$E$76</f>
        <v>4051.8648049662</v>
      </c>
      <c r="G8187" s="54" t="n">
        <f aca="false">G8186*Assumptions!$E$76</f>
        <v>6586.46585927083</v>
      </c>
      <c r="H8187" s="54" t="n">
        <f aca="false">H8186*Assumptions!$E$76</f>
        <v>9568.15558318826</v>
      </c>
      <c r="I8187" s="54" t="n">
        <f aca="false">I8186*Assumptions!$E$76</f>
        <v>13200.7844861072</v>
      </c>
      <c r="J8187" s="54" t="n">
        <f aca="false">J8186*Assumptions!$E$76</f>
        <v>17907.3311950019</v>
      </c>
      <c r="K8187" s="54" t="n">
        <f aca="false">K8186*Assumptions!$E$76</f>
        <v>24146.4057551634</v>
      </c>
      <c r="L8187" s="54" t="n">
        <f aca="false">L8186*Assumptions!$E$76</f>
        <v>31410.521112268</v>
      </c>
      <c r="M8187" s="54" t="n">
        <f aca="false">M8186*Assumptions!$E$76</f>
        <v>38881.9263929684</v>
      </c>
      <c r="N8187" s="54" t="n">
        <f aca="false">N8186*Assumptions!$E$76</f>
        <v>46283.4254627258</v>
      </c>
      <c r="P8187" s="55" t="n">
        <f aca="false">SUM(C8187:F8187)</f>
        <v>6384.71997419468</v>
      </c>
      <c r="Q8187" s="55" t="n">
        <f aca="false">SUM(G8187:J8187)</f>
        <v>47262.7371235682</v>
      </c>
      <c r="R8187" s="55" t="n">
        <f aca="false">SUM(K8187:N8187)</f>
        <v>140722.278723126</v>
      </c>
      <c r="S8187" s="56" t="n">
        <f aca="false">SUM(P8187:R8187)</f>
        <v>194369.735820888</v>
      </c>
    </row>
    <row r="8188" customFormat="false" ht="15" hidden="false" customHeight="false" outlineLevel="0" collapsed="false">
      <c r="A8188" s="35" t="s">
        <v>547</v>
      </c>
      <c r="B8188" s="35" t="s">
        <v>444</v>
      </c>
      <c r="C8188" s="6" t="s">
        <v>354</v>
      </c>
      <c r="D8188" s="6" t="s">
        <v>355</v>
      </c>
      <c r="E8188" s="6" t="s">
        <v>356</v>
      </c>
      <c r="F8188" s="6" t="s">
        <v>357</v>
      </c>
      <c r="G8188" s="6" t="s">
        <v>358</v>
      </c>
      <c r="H8188" s="6" t="s">
        <v>359</v>
      </c>
      <c r="I8188" s="6" t="s">
        <v>360</v>
      </c>
      <c r="J8188" s="6" t="s">
        <v>361</v>
      </c>
      <c r="K8188" s="6" t="s">
        <v>362</v>
      </c>
      <c r="L8188" s="6" t="s">
        <v>363</v>
      </c>
      <c r="M8188" s="6" t="s">
        <v>364</v>
      </c>
      <c r="N8188" s="6" t="s">
        <v>365</v>
      </c>
      <c r="P8188" s="6" t="s">
        <v>445</v>
      </c>
      <c r="Q8188" s="6" t="s">
        <v>446</v>
      </c>
      <c r="R8188" s="6" t="s">
        <v>447</v>
      </c>
      <c r="S8188" s="6" t="s">
        <v>448</v>
      </c>
    </row>
    <row r="8189" customFormat="false" ht="15" hidden="false" customHeight="false" outlineLevel="0" collapsed="false">
      <c r="A8189" s="4" t="s">
        <v>548</v>
      </c>
      <c r="B8189" s="36" t="s">
        <v>321</v>
      </c>
      <c r="C8189" s="48" t="n">
        <f aca="false">Assumptions!$D$97*C8131</f>
        <v>1</v>
      </c>
      <c r="D8189" s="48" t="n">
        <f aca="false">Assumptions!$D$97*D8131</f>
        <v>1</v>
      </c>
      <c r="E8189" s="48" t="n">
        <f aca="false">Assumptions!$D$97*E8131</f>
        <v>1</v>
      </c>
      <c r="F8189" s="48" t="n">
        <f aca="false">Assumptions!$D$97*F8131</f>
        <v>1</v>
      </c>
      <c r="G8189" s="48" t="n">
        <f aca="false">Assumptions!$D$97*G8131</f>
        <v>1</v>
      </c>
      <c r="H8189" s="48" t="n">
        <f aca="false">Assumptions!$D$97*H8131</f>
        <v>1</v>
      </c>
      <c r="I8189" s="48" t="n">
        <f aca="false">Assumptions!$D$97*I8131</f>
        <v>1</v>
      </c>
      <c r="J8189" s="48" t="n">
        <f aca="false">Assumptions!$D$97*J8131</f>
        <v>1</v>
      </c>
      <c r="K8189" s="48" t="n">
        <f aca="false">Assumptions!$D$97*K8131</f>
        <v>1</v>
      </c>
      <c r="L8189" s="48" t="n">
        <f aca="false">Assumptions!$D$97*L8131</f>
        <v>1</v>
      </c>
      <c r="M8189" s="48" t="n">
        <f aca="false">Assumptions!$D$97*M8131</f>
        <v>1</v>
      </c>
      <c r="N8189" s="48" t="n">
        <f aca="false">Assumptions!$D$97*N8131</f>
        <v>1</v>
      </c>
      <c r="P8189" s="49" t="n">
        <f aca="false">AVERAGE(C8189:F8189)</f>
        <v>1</v>
      </c>
      <c r="Q8189" s="49" t="n">
        <f aca="false">AVERAGE(G8189:J8189)</f>
        <v>1</v>
      </c>
      <c r="R8189" s="49" t="n">
        <f aca="false">AVERAGE(K8189:N8189)</f>
        <v>1</v>
      </c>
      <c r="S8189" s="50"/>
    </row>
    <row r="8190" customFormat="false" ht="15" hidden="false" customHeight="false" outlineLevel="0" collapsed="false">
      <c r="A8190" s="4" t="s">
        <v>549</v>
      </c>
      <c r="B8190" s="36" t="s">
        <v>321</v>
      </c>
      <c r="C8190" s="48" t="n">
        <f aca="false">C8144*C8131</f>
        <v>0</v>
      </c>
      <c r="D8190" s="48" t="n">
        <f aca="false">D8144*D8131</f>
        <v>0</v>
      </c>
      <c r="E8190" s="48" t="n">
        <f aca="false">E8144*E8131</f>
        <v>0</v>
      </c>
      <c r="F8190" s="48" t="n">
        <f aca="false">F8144*F8131</f>
        <v>0</v>
      </c>
      <c r="G8190" s="48" t="n">
        <f aca="false">G8144*G8131</f>
        <v>0</v>
      </c>
      <c r="H8190" s="48" t="n">
        <f aca="false">H8144*H8131</f>
        <v>0</v>
      </c>
      <c r="I8190" s="48" t="n">
        <f aca="false">I8144*I8131</f>
        <v>0</v>
      </c>
      <c r="J8190" s="48" t="n">
        <f aca="false">J8144*J8131</f>
        <v>0</v>
      </c>
      <c r="K8190" s="48" t="n">
        <f aca="false">K8144*K8131</f>
        <v>0</v>
      </c>
      <c r="L8190" s="48" t="n">
        <f aca="false">L8144*L8131</f>
        <v>0</v>
      </c>
      <c r="M8190" s="48" t="n">
        <f aca="false">M8144*M8131</f>
        <v>0</v>
      </c>
      <c r="N8190" s="48" t="n">
        <f aca="false">N8144*N8131</f>
        <v>0</v>
      </c>
      <c r="P8190" s="49" t="n">
        <f aca="false">AVERAGE(C8190:F8190)</f>
        <v>0</v>
      </c>
      <c r="Q8190" s="49" t="n">
        <f aca="false">AVERAGE(G8190:J8190)</f>
        <v>0</v>
      </c>
      <c r="R8190" s="49" t="n">
        <f aca="false">AVERAGE(K8190:N8190)</f>
        <v>0</v>
      </c>
      <c r="S8190" s="50"/>
    </row>
    <row r="8191" customFormat="false" ht="15" hidden="false" customHeight="false" outlineLevel="0" collapsed="false">
      <c r="A8191" s="4" t="s">
        <v>550</v>
      </c>
      <c r="B8191" s="36" t="s">
        <v>321</v>
      </c>
      <c r="C8191" s="48" t="n">
        <f aca="false">IF(C8130&lt;=4,Assumptions!$D$98,Assumptions!$D$99)*C8131</f>
        <v>0</v>
      </c>
      <c r="D8191" s="48" t="n">
        <f aca="false">IF(D8130&lt;=4,Assumptions!$D$98,Assumptions!$D$99)*D8131</f>
        <v>0</v>
      </c>
      <c r="E8191" s="48" t="n">
        <f aca="false">IF(E8130&lt;=4,Assumptions!$D$98,Assumptions!$D$99)*E8131</f>
        <v>0</v>
      </c>
      <c r="F8191" s="48" t="n">
        <f aca="false">IF(F8130&lt;=4,Assumptions!$D$98,Assumptions!$D$99)*F8131</f>
        <v>0</v>
      </c>
      <c r="G8191" s="48" t="n">
        <f aca="false">IF(G8130&lt;=4,Assumptions!$D$98,Assumptions!$D$99)*G8131</f>
        <v>0.5</v>
      </c>
      <c r="H8191" s="48" t="n">
        <f aca="false">IF(H8130&lt;=4,Assumptions!$D$98,Assumptions!$D$99)*H8131</f>
        <v>0.5</v>
      </c>
      <c r="I8191" s="48" t="n">
        <f aca="false">IF(I8130&lt;=4,Assumptions!$D$98,Assumptions!$D$99)*I8131</f>
        <v>0.5</v>
      </c>
      <c r="J8191" s="48" t="n">
        <f aca="false">IF(J8130&lt;=4,Assumptions!$D$98,Assumptions!$D$99)*J8131</f>
        <v>0.5</v>
      </c>
      <c r="K8191" s="48" t="n">
        <f aca="false">IF(K8130&lt;=4,Assumptions!$D$98,Assumptions!$D$99)*K8131</f>
        <v>0.5</v>
      </c>
      <c r="L8191" s="48" t="n">
        <f aca="false">IF(L8130&lt;=4,Assumptions!$D$98,Assumptions!$D$99)*L8131</f>
        <v>0.5</v>
      </c>
      <c r="M8191" s="48" t="n">
        <f aca="false">IF(M8130&lt;=4,Assumptions!$D$98,Assumptions!$D$99)*M8131</f>
        <v>0.5</v>
      </c>
      <c r="N8191" s="48" t="n">
        <f aca="false">IF(N8130&lt;=4,Assumptions!$D$98,Assumptions!$D$99)*N8131</f>
        <v>0.5</v>
      </c>
      <c r="P8191" s="49" t="n">
        <f aca="false">AVERAGE(C8191:F8191)</f>
        <v>0</v>
      </c>
      <c r="Q8191" s="49" t="n">
        <f aca="false">AVERAGE(G8191:J8191)</f>
        <v>0.5</v>
      </c>
      <c r="R8191" s="49" t="n">
        <f aca="false">AVERAGE(K8191:N8191)</f>
        <v>0.5</v>
      </c>
      <c r="S8191" s="50"/>
    </row>
    <row r="8192" customFormat="false" ht="15" hidden="false" customHeight="false" outlineLevel="0" collapsed="false">
      <c r="A8192" s="4" t="s">
        <v>551</v>
      </c>
      <c r="B8192" s="36" t="s">
        <v>321</v>
      </c>
      <c r="C8192" s="48" t="n">
        <f aca="false">IF(C8130&lt;=4,Assumptions!$D$100,Assumptions!$D$101)*C8131</f>
        <v>1</v>
      </c>
      <c r="D8192" s="48" t="n">
        <f aca="false">IF(D8130&lt;=4,Assumptions!$D$100,Assumptions!$D$101)*D8131</f>
        <v>1</v>
      </c>
      <c r="E8192" s="48" t="n">
        <f aca="false">IF(E8130&lt;=4,Assumptions!$D$100,Assumptions!$D$101)*E8131</f>
        <v>1</v>
      </c>
      <c r="F8192" s="48" t="n">
        <f aca="false">IF(F8130&lt;=4,Assumptions!$D$100,Assumptions!$D$101)*F8131</f>
        <v>1</v>
      </c>
      <c r="G8192" s="48" t="n">
        <f aca="false">IF(G8130&lt;=4,Assumptions!$D$100,Assumptions!$D$101)*G8131</f>
        <v>0.5</v>
      </c>
      <c r="H8192" s="48" t="n">
        <f aca="false">IF(H8130&lt;=4,Assumptions!$D$100,Assumptions!$D$101)*H8131</f>
        <v>0.5</v>
      </c>
      <c r="I8192" s="48" t="n">
        <f aca="false">IF(I8130&lt;=4,Assumptions!$D$100,Assumptions!$D$101)*I8131</f>
        <v>0.5</v>
      </c>
      <c r="J8192" s="48" t="n">
        <f aca="false">IF(J8130&lt;=4,Assumptions!$D$100,Assumptions!$D$101)*J8131</f>
        <v>0.5</v>
      </c>
      <c r="K8192" s="48" t="n">
        <f aca="false">IF(K8130&lt;=4,Assumptions!$D$100,Assumptions!$D$101)*K8131</f>
        <v>0.5</v>
      </c>
      <c r="L8192" s="48" t="n">
        <f aca="false">IF(L8130&lt;=4,Assumptions!$D$100,Assumptions!$D$101)*L8131</f>
        <v>0.5</v>
      </c>
      <c r="M8192" s="48" t="n">
        <f aca="false">IF(M8130&lt;=4,Assumptions!$D$100,Assumptions!$D$101)*M8131</f>
        <v>0.5</v>
      </c>
      <c r="N8192" s="48" t="n">
        <f aca="false">IF(N8130&lt;=4,Assumptions!$D$100,Assumptions!$D$101)*N8131</f>
        <v>0.5</v>
      </c>
      <c r="P8192" s="49" t="n">
        <f aca="false">AVERAGE(C8192:F8192)</f>
        <v>1</v>
      </c>
      <c r="Q8192" s="49" t="n">
        <f aca="false">AVERAGE(G8192:J8192)</f>
        <v>0.5</v>
      </c>
      <c r="R8192" s="49" t="n">
        <f aca="false">AVERAGE(K8192:N8192)</f>
        <v>0.5</v>
      </c>
      <c r="S8192" s="50"/>
    </row>
    <row r="8193" customFormat="false" ht="15" hidden="false" customHeight="false" outlineLevel="0" collapsed="false">
      <c r="A8193" s="4" t="s">
        <v>552</v>
      </c>
      <c r="B8193" s="36" t="s">
        <v>321</v>
      </c>
      <c r="C8193" s="48" t="n">
        <f aca="false">Assumptions!$D$102*C8131</f>
        <v>0.25</v>
      </c>
      <c r="D8193" s="48" t="n">
        <f aca="false">Assumptions!$D$102*D8131</f>
        <v>0.25</v>
      </c>
      <c r="E8193" s="48" t="n">
        <f aca="false">Assumptions!$D$102*E8131</f>
        <v>0.25</v>
      </c>
      <c r="F8193" s="48" t="n">
        <f aca="false">Assumptions!$D$102*F8131</f>
        <v>0.25</v>
      </c>
      <c r="G8193" s="48" t="n">
        <f aca="false">Assumptions!$D$102*G8131</f>
        <v>0.25</v>
      </c>
      <c r="H8193" s="48" t="n">
        <f aca="false">Assumptions!$D$102*H8131</f>
        <v>0.25</v>
      </c>
      <c r="I8193" s="48" t="n">
        <f aca="false">Assumptions!$D$102*I8131</f>
        <v>0.25</v>
      </c>
      <c r="J8193" s="48" t="n">
        <f aca="false">Assumptions!$D$102*J8131</f>
        <v>0.25</v>
      </c>
      <c r="K8193" s="48" t="n">
        <f aca="false">Assumptions!$D$102*K8131</f>
        <v>0.25</v>
      </c>
      <c r="L8193" s="48" t="n">
        <f aca="false">Assumptions!$D$102*L8131</f>
        <v>0.25</v>
      </c>
      <c r="M8193" s="48" t="n">
        <f aca="false">Assumptions!$D$102*M8131</f>
        <v>0.25</v>
      </c>
      <c r="N8193" s="48" t="n">
        <f aca="false">Assumptions!$D$102*N8131</f>
        <v>0.25</v>
      </c>
      <c r="P8193" s="49" t="n">
        <f aca="false">AVERAGE(C8193:F8193)</f>
        <v>0.25</v>
      </c>
      <c r="Q8193" s="49" t="n">
        <f aca="false">AVERAGE(G8193:J8193)</f>
        <v>0.25</v>
      </c>
      <c r="R8193" s="49" t="n">
        <f aca="false">AVERAGE(K8193:N8193)</f>
        <v>0.25</v>
      </c>
      <c r="S8193" s="50"/>
    </row>
    <row r="8194" customFormat="false" ht="15" hidden="false" customHeight="false" outlineLevel="0" collapsed="false">
      <c r="A8194" s="4" t="s">
        <v>553</v>
      </c>
      <c r="B8194" s="36" t="s">
        <v>321</v>
      </c>
      <c r="C8194" s="48" t="n">
        <f aca="false">(C8178+C8179)/Assumptions!$E$74+C8177/Assumptions!$E$75</f>
        <v>0</v>
      </c>
      <c r="D8194" s="48" t="n">
        <f aca="false">(D8178+D8179)/Assumptions!$E$74+D8177/Assumptions!$E$75</f>
        <v>0.0102268786695814</v>
      </c>
      <c r="E8194" s="48" t="n">
        <f aca="false">(E8178+E8179)/Assumptions!$E$74+E8177/Assumptions!$E$75</f>
        <v>0.0287499611976999</v>
      </c>
      <c r="F8194" s="48" t="n">
        <f aca="false">(F8178+F8179)/Assumptions!$E$74+F8177/Assumptions!$E$75</f>
        <v>0.049497254715265</v>
      </c>
      <c r="G8194" s="48" t="n">
        <f aca="false">(G8178+G8179)/Assumptions!$E$74+G8177/Assumptions!$E$75</f>
        <v>0.0717679122850366</v>
      </c>
      <c r="H8194" s="48" t="n">
        <f aca="false">(H8178+H8179)/Assumptions!$E$74+H8177/Assumptions!$E$75</f>
        <v>0.0993461737337454</v>
      </c>
      <c r="I8194" s="48" t="n">
        <f aca="false">(I8178+I8179)/Assumptions!$E$74+I8177/Assumptions!$E$75</f>
        <v>0.131968628575105</v>
      </c>
      <c r="J8194" s="48" t="n">
        <f aca="false">(J8178+J8179)/Assumptions!$E$74+J8177/Assumptions!$E$75</f>
        <v>0.177481343004619</v>
      </c>
      <c r="K8194" s="48" t="n">
        <f aca="false">(K8178+K8179)/Assumptions!$E$74+K8177/Assumptions!$E$75</f>
        <v>0.235156336754663</v>
      </c>
      <c r="L8194" s="48" t="n">
        <f aca="false">(L8178+L8179)/Assumptions!$E$74+L8177/Assumptions!$E$75</f>
        <v>0.292794620032706</v>
      </c>
      <c r="M8194" s="48" t="n">
        <f aca="false">(M8178+M8179)/Assumptions!$E$74+M8177/Assumptions!$E$75</f>
        <v>0.347210369610753</v>
      </c>
      <c r="N8194" s="48" t="n">
        <f aca="false">(N8178+N8179)/Assumptions!$E$74+N8177/Assumptions!$E$75</f>
        <v>0.398395409350061</v>
      </c>
      <c r="P8194" s="49" t="n">
        <f aca="false">AVERAGE(C8194:F8194)</f>
        <v>0.0221185236456365</v>
      </c>
      <c r="Q8194" s="49" t="n">
        <f aca="false">AVERAGE(G8194:J8194)</f>
        <v>0.120141014399626</v>
      </c>
      <c r="R8194" s="49" t="n">
        <f aca="false">AVERAGE(K8194:N8194)</f>
        <v>0.318389183937046</v>
      </c>
      <c r="S8194" s="50"/>
    </row>
    <row r="8195" customFormat="false" ht="15" hidden="false" customHeight="false" outlineLevel="0" collapsed="false">
      <c r="A8195" s="4" t="s">
        <v>554</v>
      </c>
      <c r="B8195" s="36" t="s">
        <v>125</v>
      </c>
      <c r="C8195" s="54" t="n">
        <f aca="false">(C8189+C8191)*Assumptions!$E$70/Assumptions!$E$69/4</f>
        <v>66753.5714285714</v>
      </c>
      <c r="D8195" s="54" t="n">
        <f aca="false">(D8189+D8191)*Assumptions!$E$70/Assumptions!$E$69/4</f>
        <v>66753.5714285714</v>
      </c>
      <c r="E8195" s="54" t="n">
        <f aca="false">(E8189+E8191)*Assumptions!$E$70/Assumptions!$E$69/4</f>
        <v>66753.5714285714</v>
      </c>
      <c r="F8195" s="54" t="n">
        <f aca="false">(F8189+F8191)*Assumptions!$E$70/Assumptions!$E$69/4</f>
        <v>66753.5714285714</v>
      </c>
      <c r="G8195" s="54" t="n">
        <f aca="false">(G8189+G8191)*Assumptions!$E$70/Assumptions!$E$69/4</f>
        <v>100130.357142857</v>
      </c>
      <c r="H8195" s="54" t="n">
        <f aca="false">(H8189+H8191)*Assumptions!$E$70/Assumptions!$E$69/4</f>
        <v>100130.357142857</v>
      </c>
      <c r="I8195" s="54" t="n">
        <f aca="false">(I8189+I8191)*Assumptions!$E$70/Assumptions!$E$69/4</f>
        <v>100130.357142857</v>
      </c>
      <c r="J8195" s="54" t="n">
        <f aca="false">(J8189+J8191)*Assumptions!$E$70/Assumptions!$E$69/4</f>
        <v>100130.357142857</v>
      </c>
      <c r="K8195" s="54" t="n">
        <f aca="false">(K8189+K8191)*Assumptions!$E$70/Assumptions!$E$69/4</f>
        <v>100130.357142857</v>
      </c>
      <c r="L8195" s="54" t="n">
        <f aca="false">(L8189+L8191)*Assumptions!$E$70/Assumptions!$E$69/4</f>
        <v>100130.357142857</v>
      </c>
      <c r="M8195" s="54" t="n">
        <f aca="false">(M8189+M8191)*Assumptions!$E$70/Assumptions!$E$69/4</f>
        <v>100130.357142857</v>
      </c>
      <c r="N8195" s="54" t="n">
        <f aca="false">(N8189+N8191)*Assumptions!$E$70/Assumptions!$E$69/4</f>
        <v>100130.357142857</v>
      </c>
      <c r="P8195" s="55" t="n">
        <f aca="false">SUM(C8195:F8195)</f>
        <v>267014.285714286</v>
      </c>
      <c r="Q8195" s="55" t="n">
        <f aca="false">SUM(G8195:J8195)</f>
        <v>400521.428571429</v>
      </c>
      <c r="R8195" s="55" t="n">
        <f aca="false">SUM(K8195:N8195)</f>
        <v>400521.428571429</v>
      </c>
      <c r="S8195" s="56" t="n">
        <f aca="false">SUM(P8195:R8195)</f>
        <v>1068057.14285714</v>
      </c>
    </row>
    <row r="8196" customFormat="false" ht="15" hidden="false" customHeight="false" outlineLevel="0" collapsed="false">
      <c r="A8196" s="4" t="s">
        <v>555</v>
      </c>
      <c r="B8196" s="36" t="s">
        <v>125</v>
      </c>
      <c r="C8196" s="54" t="n">
        <f aca="false">C8190*$C$8125/4</f>
        <v>0</v>
      </c>
      <c r="D8196" s="54" t="n">
        <f aca="false">D8190*$C$8125/4</f>
        <v>0</v>
      </c>
      <c r="E8196" s="54" t="n">
        <f aca="false">E8190*$C$8125/4</f>
        <v>0</v>
      </c>
      <c r="F8196" s="54" t="n">
        <f aca="false">F8190*$C$8125/4</f>
        <v>0</v>
      </c>
      <c r="G8196" s="54" t="n">
        <f aca="false">G8190*$C$8125/4</f>
        <v>0</v>
      </c>
      <c r="H8196" s="54" t="n">
        <f aca="false">H8190*$C$8125/4</f>
        <v>0</v>
      </c>
      <c r="I8196" s="54" t="n">
        <f aca="false">I8190*$C$8125/4</f>
        <v>0</v>
      </c>
      <c r="J8196" s="54" t="n">
        <f aca="false">J8190*$C$8125/4</f>
        <v>0</v>
      </c>
      <c r="K8196" s="54" t="n">
        <f aca="false">K8190*$C$8125/4</f>
        <v>0</v>
      </c>
      <c r="L8196" s="54" t="n">
        <f aca="false">L8190*$C$8125/4</f>
        <v>0</v>
      </c>
      <c r="M8196" s="54" t="n">
        <f aca="false">M8190*$C$8125/4</f>
        <v>0</v>
      </c>
      <c r="N8196" s="54" t="n">
        <f aca="false">N8190*$C$8125/4</f>
        <v>0</v>
      </c>
      <c r="P8196" s="55" t="n">
        <f aca="false">SUM(C8196:F8196)</f>
        <v>0</v>
      </c>
      <c r="Q8196" s="55" t="n">
        <f aca="false">SUM(G8196:J8196)</f>
        <v>0</v>
      </c>
      <c r="R8196" s="55" t="n">
        <f aca="false">SUM(K8196:N8196)</f>
        <v>0</v>
      </c>
      <c r="S8196" s="56" t="n">
        <f aca="false">SUM(P8196:R8196)</f>
        <v>0</v>
      </c>
    </row>
    <row r="8197" customFormat="false" ht="15" hidden="false" customHeight="false" outlineLevel="0" collapsed="false">
      <c r="A8197" s="4" t="s">
        <v>556</v>
      </c>
      <c r="B8197" s="36" t="s">
        <v>125</v>
      </c>
      <c r="C8197" s="54" t="n">
        <f aca="false">MAX(0,(C8185-C8166*$C$8121)-C8145*$C$8126)*$C$8127*Assumptions!$D$105</f>
        <v>0</v>
      </c>
      <c r="D8197" s="54" t="n">
        <f aca="false">MAX(0,(D8185-D8166*$C$8121)-D8145*$C$8126)*$C$8127*Assumptions!$D$105</f>
        <v>2140.93546224389</v>
      </c>
      <c r="E8197" s="54" t="n">
        <f aca="false">MAX(0,(E8185-E8166*$C$8121)-E8145*$C$8126)*$C$8127*Assumptions!$D$105</f>
        <v>4770.09431832238</v>
      </c>
      <c r="F8197" s="54" t="n">
        <f aca="false">MAX(0,(F8185-F8166*$C$8121)-F8145*$C$8126)*$C$8127*Assumptions!$D$105</f>
        <v>5935.33338322573</v>
      </c>
      <c r="G8197" s="54" t="n">
        <f aca="false">MAX(0,(G8185-G8166*$C$8121)-G8145*$C$8126)*$C$8127*Assumptions!$D$105</f>
        <v>6517.65492093909</v>
      </c>
      <c r="H8197" s="54" t="n">
        <f aca="false">MAX(0,(H8185-H8166*$C$8121)-H8145*$C$8126)*$C$8127*Assumptions!$D$105</f>
        <v>7933.28361405087</v>
      </c>
      <c r="I8197" s="54" t="n">
        <f aca="false">MAX(0,(I8185-I8166*$C$8121)-I8145*$C$8126)*$C$8127*Assumptions!$D$105</f>
        <v>9481.13777083601</v>
      </c>
      <c r="J8197" s="54" t="n">
        <f aca="false">MAX(0,(J8185-J8166*$C$8121)-J8145*$C$8126)*$C$8127*Assumptions!$D$105</f>
        <v>12839.0094351352</v>
      </c>
      <c r="K8197" s="54" t="n">
        <f aca="false">MAX(0,(K8185-K8166*$C$8121)-K8145*$C$8126)*$C$8127*Assumptions!$D$105</f>
        <v>16564.9087169828</v>
      </c>
      <c r="L8197" s="54" t="n">
        <f aca="false">MAX(0,(L8185-L8166*$C$8121)-L8145*$C$8126)*$C$8127*Assumptions!$D$105</f>
        <v>17609.0644143373</v>
      </c>
      <c r="M8197" s="54" t="n">
        <f aca="false">MAX(0,(M8185-M8166*$C$8121)-M8145*$C$8126)*$C$8127*Assumptions!$D$105</f>
        <v>17273.1622338055</v>
      </c>
      <c r="N8197" s="54" t="n">
        <f aca="false">MAX(0,(N8185-N8166*$C$8121)-N8145*$C$8126)*$C$8127*Assumptions!$D$105</f>
        <v>16776.5094791009</v>
      </c>
      <c r="P8197" s="55" t="n">
        <f aca="false">SUM(C8197:F8197)</f>
        <v>12846.363163792</v>
      </c>
      <c r="Q8197" s="55" t="n">
        <f aca="false">SUM(G8197:J8197)</f>
        <v>36771.0857409612</v>
      </c>
      <c r="R8197" s="55" t="n">
        <f aca="false">SUM(K8197:N8197)</f>
        <v>68223.6448442264</v>
      </c>
      <c r="S8197" s="56" t="n">
        <f aca="false">SUM(P8197:R8197)</f>
        <v>117841.09374898</v>
      </c>
    </row>
    <row r="8198" customFormat="false" ht="15" hidden="false" customHeight="false" outlineLevel="0" collapsed="false">
      <c r="A8198" s="4" t="s">
        <v>557</v>
      </c>
      <c r="B8198" s="36" t="s">
        <v>125</v>
      </c>
      <c r="C8198" s="54" t="n">
        <f aca="false">C8193*Assumptions!$E$71/Assumptions!$E$69/4</f>
        <v>18475.8928571429</v>
      </c>
      <c r="D8198" s="54" t="n">
        <f aca="false">D8193*Assumptions!$E$71/Assumptions!$E$69/4</f>
        <v>18475.8928571429</v>
      </c>
      <c r="E8198" s="54" t="n">
        <f aca="false">E8193*Assumptions!$E$71/Assumptions!$E$69/4</f>
        <v>18475.8928571429</v>
      </c>
      <c r="F8198" s="54" t="n">
        <f aca="false">F8193*Assumptions!$E$71/Assumptions!$E$69/4</f>
        <v>18475.8928571429</v>
      </c>
      <c r="G8198" s="54" t="n">
        <f aca="false">G8193*Assumptions!$E$71/Assumptions!$E$69/4</f>
        <v>18475.8928571429</v>
      </c>
      <c r="H8198" s="54" t="n">
        <f aca="false">H8193*Assumptions!$E$71/Assumptions!$E$69/4</f>
        <v>18475.8928571429</v>
      </c>
      <c r="I8198" s="54" t="n">
        <f aca="false">I8193*Assumptions!$E$71/Assumptions!$E$69/4</f>
        <v>18475.8928571429</v>
      </c>
      <c r="J8198" s="54" t="n">
        <f aca="false">J8193*Assumptions!$E$71/Assumptions!$E$69/4</f>
        <v>18475.8928571429</v>
      </c>
      <c r="K8198" s="54" t="n">
        <f aca="false">K8193*Assumptions!$E$71/Assumptions!$E$69/4</f>
        <v>18475.8928571429</v>
      </c>
      <c r="L8198" s="54" t="n">
        <f aca="false">L8193*Assumptions!$E$71/Assumptions!$E$69/4</f>
        <v>18475.8928571429</v>
      </c>
      <c r="M8198" s="54" t="n">
        <f aca="false">M8193*Assumptions!$E$71/Assumptions!$E$69/4</f>
        <v>18475.8928571429</v>
      </c>
      <c r="N8198" s="54" t="n">
        <f aca="false">N8193*Assumptions!$E$71/Assumptions!$E$69/4</f>
        <v>18475.8928571429</v>
      </c>
      <c r="P8198" s="55" t="n">
        <f aca="false">SUM(C8198:F8198)</f>
        <v>73903.5714285714</v>
      </c>
      <c r="Q8198" s="55" t="n">
        <f aca="false">SUM(G8198:J8198)</f>
        <v>73903.5714285714</v>
      </c>
      <c r="R8198" s="55" t="n">
        <f aca="false">SUM(K8198:N8198)</f>
        <v>73903.5714285714</v>
      </c>
      <c r="S8198" s="56" t="n">
        <f aca="false">SUM(P8198:R8198)</f>
        <v>221710.714285714</v>
      </c>
    </row>
    <row r="8199" customFormat="false" ht="15" hidden="false" customHeight="false" outlineLevel="0" collapsed="false">
      <c r="A8199" s="4" t="s">
        <v>558</v>
      </c>
      <c r="B8199" s="36" t="s">
        <v>125</v>
      </c>
      <c r="C8199" s="54" t="n">
        <f aca="false">(Assumptions!$D$103+Assumptions!$E$77*((C8130=Assumptions!$E$13)+(C8130=Assumptions!$E$14)+(C8130=Assumptions!$E$15)))*C8131</f>
        <v>65000</v>
      </c>
      <c r="D8199" s="54" t="n">
        <f aca="false">(Assumptions!$D$103+Assumptions!$E$77*((D8130=Assumptions!$E$13)+(D8130=Assumptions!$E$14)+(D8130=Assumptions!$E$15)))*D8131</f>
        <v>25000</v>
      </c>
      <c r="E8199" s="54" t="n">
        <f aca="false">(Assumptions!$D$103+Assumptions!$E$77*((E8130=Assumptions!$E$13)+(E8130=Assumptions!$E$14)+(E8130=Assumptions!$E$15)))*E8131</f>
        <v>25000</v>
      </c>
      <c r="F8199" s="54" t="n">
        <f aca="false">(Assumptions!$D$103+Assumptions!$E$77*((F8130=Assumptions!$E$13)+(F8130=Assumptions!$E$14)+(F8130=Assumptions!$E$15)))*F8131</f>
        <v>25000</v>
      </c>
      <c r="G8199" s="54" t="n">
        <f aca="false">(Assumptions!$D$103+Assumptions!$E$77*((G8130=Assumptions!$E$13)+(G8130=Assumptions!$E$14)+(G8130=Assumptions!$E$15)))*G8131</f>
        <v>65000</v>
      </c>
      <c r="H8199" s="54" t="n">
        <f aca="false">(Assumptions!$D$103+Assumptions!$E$77*((H8130=Assumptions!$E$13)+(H8130=Assumptions!$E$14)+(H8130=Assumptions!$E$15)))*H8131</f>
        <v>25000</v>
      </c>
      <c r="I8199" s="54" t="n">
        <f aca="false">(Assumptions!$D$103+Assumptions!$E$77*((I8130=Assumptions!$E$13)+(I8130=Assumptions!$E$14)+(I8130=Assumptions!$E$15)))*I8131</f>
        <v>65000</v>
      </c>
      <c r="J8199" s="54" t="n">
        <f aca="false">(Assumptions!$D$103+Assumptions!$E$77*((J8130=Assumptions!$E$13)+(J8130=Assumptions!$E$14)+(J8130=Assumptions!$E$15)))*J8131</f>
        <v>25000</v>
      </c>
      <c r="K8199" s="54" t="n">
        <f aca="false">(Assumptions!$D$103+Assumptions!$E$77*((K8130=Assumptions!$E$13)+(K8130=Assumptions!$E$14)+(K8130=Assumptions!$E$15)))*K8131</f>
        <v>25000</v>
      </c>
      <c r="L8199" s="54" t="n">
        <f aca="false">(Assumptions!$D$103+Assumptions!$E$77*((L8130=Assumptions!$E$13)+(L8130=Assumptions!$E$14)+(L8130=Assumptions!$E$15)))*L8131</f>
        <v>25000</v>
      </c>
      <c r="M8199" s="54" t="n">
        <f aca="false">(Assumptions!$D$103+Assumptions!$E$77*((M8130=Assumptions!$E$13)+(M8130=Assumptions!$E$14)+(M8130=Assumptions!$E$15)))*M8131</f>
        <v>25000</v>
      </c>
      <c r="N8199" s="54" t="n">
        <f aca="false">(Assumptions!$D$103+Assumptions!$E$77*((N8130=Assumptions!$E$13)+(N8130=Assumptions!$E$14)+(N8130=Assumptions!$E$15)))*N8131</f>
        <v>25000</v>
      </c>
      <c r="P8199" s="55" t="n">
        <f aca="false">SUM(C8199:F8199)</f>
        <v>140000</v>
      </c>
      <c r="Q8199" s="55" t="n">
        <f aca="false">SUM(G8199:J8199)</f>
        <v>180000</v>
      </c>
      <c r="R8199" s="55" t="n">
        <f aca="false">SUM(K8199:N8199)</f>
        <v>100000</v>
      </c>
      <c r="S8199" s="56" t="n">
        <f aca="false">SUM(P8199:R8199)</f>
        <v>420000</v>
      </c>
    </row>
    <row r="8200" customFormat="false" ht="15" hidden="false" customHeight="false" outlineLevel="0" collapsed="false">
      <c r="A8200" s="4" t="s">
        <v>559</v>
      </c>
      <c r="B8200" s="36" t="s">
        <v>125</v>
      </c>
      <c r="C8200" s="54" t="n">
        <f aca="false">C8185*C8165*Assumptions!$E$79</f>
        <v>0</v>
      </c>
      <c r="D8200" s="54" t="n">
        <f aca="false">D8185*D8165*Assumptions!$E$79</f>
        <v>512.844838613375</v>
      </c>
      <c r="E8200" s="54" t="n">
        <f aca="false">E8185*E8165*Assumptions!$E$79</f>
        <v>958.881308157756</v>
      </c>
      <c r="F8200" s="54" t="n">
        <f aca="false">F8185*F8165*Assumptions!$E$79</f>
        <v>1418.42709343834</v>
      </c>
      <c r="G8200" s="54" t="n">
        <f aca="false">G8185*G8165*Assumptions!$E$79</f>
        <v>1776.51530016306</v>
      </c>
      <c r="H8200" s="54" t="n">
        <f aca="false">H8185*H8165*Assumptions!$E$79</f>
        <v>2053.02720854814</v>
      </c>
      <c r="I8200" s="54" t="n">
        <f aca="false">I8185*I8165*Assumptions!$E$79</f>
        <v>2387.55496399844</v>
      </c>
      <c r="J8200" s="54" t="n">
        <f aca="false">J8185*J8165*Assumptions!$E$79</f>
        <v>2588.24579610821</v>
      </c>
      <c r="K8200" s="54" t="n">
        <f aca="false">K8185*K8165*Assumptions!$E$79</f>
        <v>2934.201284997</v>
      </c>
      <c r="L8200" s="54" t="n">
        <f aca="false">L8185*L8165*Assumptions!$E$79</f>
        <v>3414.63213960556</v>
      </c>
      <c r="M8200" s="54" t="n">
        <f aca="false">M8185*M8165*Assumptions!$E$79</f>
        <v>3446.49015548509</v>
      </c>
      <c r="N8200" s="54" t="n">
        <f aca="false">N8185*N8165*Assumptions!$E$79</f>
        <v>3445.39828014118</v>
      </c>
      <c r="P8200" s="55" t="n">
        <f aca="false">SUM(C8200:F8200)</f>
        <v>2890.15324020947</v>
      </c>
      <c r="Q8200" s="55" t="n">
        <f aca="false">SUM(G8200:J8200)</f>
        <v>8805.34326881785</v>
      </c>
      <c r="R8200" s="55" t="n">
        <f aca="false">SUM(K8200:N8200)</f>
        <v>13240.7218602288</v>
      </c>
      <c r="S8200" s="56" t="n">
        <f aca="false">SUM(P8200:R8200)</f>
        <v>24936.2183692561</v>
      </c>
    </row>
    <row r="8201" customFormat="false" ht="15" hidden="false" customHeight="false" outlineLevel="0" collapsed="false">
      <c r="A8201" s="4" t="s">
        <v>560</v>
      </c>
      <c r="B8201" s="36" t="s">
        <v>125</v>
      </c>
      <c r="C8201" s="54" t="n">
        <f aca="false">C8150*Assumptions!$E$80</f>
        <v>4000</v>
      </c>
      <c r="D8201" s="54" t="n">
        <f aca="false">D8150*Assumptions!$E$80</f>
        <v>6000</v>
      </c>
      <c r="E8201" s="54" t="n">
        <f aca="false">E8150*Assumptions!$E$80</f>
        <v>8000</v>
      </c>
      <c r="F8201" s="54" t="n">
        <f aca="false">F8150*Assumptions!$E$80</f>
        <v>10000</v>
      </c>
      <c r="G8201" s="54" t="n">
        <f aca="false">G8150*Assumptions!$E$80</f>
        <v>12000</v>
      </c>
      <c r="H8201" s="54" t="n">
        <f aca="false">H8150*Assumptions!$E$80</f>
        <v>14000</v>
      </c>
      <c r="I8201" s="54" t="n">
        <f aca="false">I8150*Assumptions!$E$80</f>
        <v>16000</v>
      </c>
      <c r="J8201" s="54" t="n">
        <f aca="false">J8150*Assumptions!$E$80</f>
        <v>18000</v>
      </c>
      <c r="K8201" s="54" t="n">
        <f aca="false">K8150*Assumptions!$E$80</f>
        <v>20000</v>
      </c>
      <c r="L8201" s="54" t="n">
        <f aca="false">L8150*Assumptions!$E$80</f>
        <v>20000</v>
      </c>
      <c r="M8201" s="54" t="n">
        <f aca="false">M8150*Assumptions!$E$80</f>
        <v>20000</v>
      </c>
      <c r="N8201" s="54" t="n">
        <f aca="false">N8150*Assumptions!$E$80</f>
        <v>20000</v>
      </c>
      <c r="P8201" s="55" t="n">
        <f aca="false">SUM(C8201:F8201)</f>
        <v>28000</v>
      </c>
      <c r="Q8201" s="55" t="n">
        <f aca="false">SUM(G8201:J8201)</f>
        <v>60000</v>
      </c>
      <c r="R8201" s="55" t="n">
        <f aca="false">SUM(K8201:N8201)</f>
        <v>80000</v>
      </c>
      <c r="S8201" s="56" t="n">
        <f aca="false">SUM(P8201:R8201)</f>
        <v>168000</v>
      </c>
    </row>
    <row r="8202" customFormat="false" ht="15" hidden="false" customHeight="false" outlineLevel="0" collapsed="false">
      <c r="A8202" s="4" t="s">
        <v>561</v>
      </c>
      <c r="B8202" s="36" t="s">
        <v>125</v>
      </c>
      <c r="C8202" s="54" t="n">
        <f aca="false">(C8173*$C$8122+C8174*$C$8123)*Assumptions!$E$81</f>
        <v>0</v>
      </c>
      <c r="D8202" s="54" t="n">
        <f aca="false">(D8173*$C$8122+D8174*$C$8123)*Assumptions!$E$81</f>
        <v>340.681054481016</v>
      </c>
      <c r="E8202" s="54" t="n">
        <f aca="false">(E8173*$C$8122+E8174*$C$8123)*Assumptions!$E$81</f>
        <v>937.789582241748</v>
      </c>
      <c r="F8202" s="54" t="n">
        <f aca="false">(F8173*$C$8122+F8174*$C$8123)*Assumptions!$E$81</f>
        <v>1250.84362612926</v>
      </c>
      <c r="G8202" s="54" t="n">
        <f aca="false">(G8173*$C$8122+G8174*$C$8123)*Assumptions!$E$81</f>
        <v>1375.18916318981</v>
      </c>
      <c r="H8202" s="54" t="n">
        <f aca="false">(H8173*$C$8122+H8174*$C$8123)*Assumptions!$E$81</f>
        <v>1623.73352395683</v>
      </c>
      <c r="I8202" s="54" t="n">
        <f aca="false">(I8173*$C$8122+I8174*$C$8123)*Assumptions!$E$81</f>
        <v>1928.42654347189</v>
      </c>
      <c r="J8202" s="54" t="n">
        <f aca="false">(J8173*$C$8122+J8174*$C$8123)*Assumptions!$E$81</f>
        <v>2470.48376614559</v>
      </c>
      <c r="K8202" s="54" t="n">
        <f aca="false">(K8173*$C$8122+K8174*$C$8123)*Assumptions!$E$81</f>
        <v>3181.90958379677</v>
      </c>
      <c r="L8202" s="54" t="n">
        <f aca="false">(L8173*$C$8122+L8174*$C$8123)*Assumptions!$E$81</f>
        <v>3502.43135262688</v>
      </c>
      <c r="M8202" s="54" t="n">
        <f aca="false">(M8173*$C$8122+M8174*$C$8123)*Assumptions!$E$81</f>
        <v>3458.37327091276</v>
      </c>
      <c r="N8202" s="54" t="n">
        <f aca="false">(N8173*$C$8122+N8174*$C$8123)*Assumptions!$E$81</f>
        <v>3358.18563431035</v>
      </c>
      <c r="P8202" s="55" t="n">
        <f aca="false">SUM(C8202:F8202)</f>
        <v>2529.31426285202</v>
      </c>
      <c r="Q8202" s="55" t="n">
        <f aca="false">SUM(G8202:J8202)</f>
        <v>7397.83299676412</v>
      </c>
      <c r="R8202" s="55" t="n">
        <f aca="false">SUM(K8202:N8202)</f>
        <v>13500.8998416468</v>
      </c>
      <c r="S8202" s="56" t="n">
        <f aca="false">SUM(P8202:R8202)</f>
        <v>23428.0471012629</v>
      </c>
    </row>
    <row r="8203" customFormat="false" ht="15" hidden="false" customHeight="false" outlineLevel="0" collapsed="false">
      <c r="A8203" s="9" t="s">
        <v>562</v>
      </c>
      <c r="B8203" s="36" t="s">
        <v>125</v>
      </c>
      <c r="C8203" s="55" t="n">
        <f aca="false">C8195+C8196+C8197+C8198+C8199+C8200+C8201+C8202</f>
        <v>154229.464285714</v>
      </c>
      <c r="D8203" s="55" t="n">
        <f aca="false">D8195+D8196+D8197+D8198+D8199+D8200+D8201+D8202</f>
        <v>119223.925641053</v>
      </c>
      <c r="E8203" s="55" t="n">
        <f aca="false">E8195+E8196+E8197+E8198+E8199+E8200+E8201+E8202</f>
        <v>124896.229494436</v>
      </c>
      <c r="F8203" s="55" t="n">
        <f aca="false">F8195+F8196+F8197+F8198+F8199+F8200+F8201+F8202</f>
        <v>128834.068388508</v>
      </c>
      <c r="G8203" s="55" t="n">
        <f aca="false">G8195+G8196+G8197+G8198+G8199+G8200+G8201+G8202</f>
        <v>205275.609384292</v>
      </c>
      <c r="H8203" s="55" t="n">
        <f aca="false">H8195+H8196+H8197+H8198+H8199+H8200+H8201+H8202</f>
        <v>169216.294346556</v>
      </c>
      <c r="I8203" s="55" t="n">
        <f aca="false">I8195+I8196+I8197+I8198+I8199+I8200+I8201+I8202</f>
        <v>213403.369278306</v>
      </c>
      <c r="J8203" s="55" t="n">
        <f aca="false">J8195+J8196+J8197+J8198+J8199+J8200+J8201+J8202</f>
        <v>179503.988997389</v>
      </c>
      <c r="K8203" s="55" t="n">
        <f aca="false">K8195+K8196+K8197+K8198+K8199+K8200+K8201+K8202</f>
        <v>186287.269585777</v>
      </c>
      <c r="L8203" s="55" t="n">
        <f aca="false">L8195+L8196+L8197+L8198+L8199+L8200+L8201+L8202</f>
        <v>188132.37790657</v>
      </c>
      <c r="M8203" s="55" t="n">
        <f aca="false">M8195+M8196+M8197+M8198+M8199+M8200+M8201+M8202</f>
        <v>187784.275660203</v>
      </c>
      <c r="N8203" s="55" t="n">
        <f aca="false">N8195+N8196+N8197+N8198+N8199+N8200+N8201+N8202</f>
        <v>187186.343393552</v>
      </c>
      <c r="P8203" s="55" t="n">
        <f aca="false">SUM(C8203:F8203)</f>
        <v>527183.687809711</v>
      </c>
      <c r="Q8203" s="55" t="n">
        <f aca="false">SUM(G8203:J8203)</f>
        <v>767399.262006543</v>
      </c>
      <c r="R8203" s="55" t="n">
        <f aca="false">SUM(K8203:N8203)</f>
        <v>749390.266546102</v>
      </c>
      <c r="S8203" s="56" t="n">
        <f aca="false">SUM(P8203:R8203)</f>
        <v>2043973.21636236</v>
      </c>
    </row>
    <row r="8204" customFormat="false" ht="15" hidden="false" customHeight="false" outlineLevel="0" collapsed="false">
      <c r="A8204" s="4" t="s">
        <v>563</v>
      </c>
      <c r="B8204" s="36" t="s">
        <v>125</v>
      </c>
      <c r="C8204" s="54" t="n">
        <f aca="false">C8192*Assumptions!$E$72/Assumptions!$E$69/4</f>
        <v>56535.7142857143</v>
      </c>
      <c r="D8204" s="54" t="n">
        <f aca="false">D8192*Assumptions!$E$72/Assumptions!$E$69/4</f>
        <v>56535.7142857143</v>
      </c>
      <c r="E8204" s="54" t="n">
        <f aca="false">E8192*Assumptions!$E$72/Assumptions!$E$69/4</f>
        <v>56535.7142857143</v>
      </c>
      <c r="F8204" s="54" t="n">
        <f aca="false">F8192*Assumptions!$E$72/Assumptions!$E$69/4</f>
        <v>56535.7142857143</v>
      </c>
      <c r="G8204" s="54" t="n">
        <f aca="false">G8192*Assumptions!$E$72/Assumptions!$E$69/4</f>
        <v>28267.8571428571</v>
      </c>
      <c r="H8204" s="54" t="n">
        <f aca="false">H8192*Assumptions!$E$72/Assumptions!$E$69/4</f>
        <v>28267.8571428571</v>
      </c>
      <c r="I8204" s="54" t="n">
        <f aca="false">I8192*Assumptions!$E$72/Assumptions!$E$69/4</f>
        <v>28267.8571428571</v>
      </c>
      <c r="J8204" s="54" t="n">
        <f aca="false">J8192*Assumptions!$E$72/Assumptions!$E$69/4</f>
        <v>28267.8571428571</v>
      </c>
      <c r="K8204" s="54" t="n">
        <f aca="false">K8192*Assumptions!$E$72/Assumptions!$E$69/4</f>
        <v>28267.8571428571</v>
      </c>
      <c r="L8204" s="54" t="n">
        <f aca="false">L8192*Assumptions!$E$72/Assumptions!$E$69/4</f>
        <v>28267.8571428571</v>
      </c>
      <c r="M8204" s="54" t="n">
        <f aca="false">M8192*Assumptions!$E$72/Assumptions!$E$69/4</f>
        <v>28267.8571428571</v>
      </c>
      <c r="N8204" s="54" t="n">
        <f aca="false">N8192*Assumptions!$E$72/Assumptions!$E$69/4</f>
        <v>28267.8571428571</v>
      </c>
      <c r="P8204" s="55" t="n">
        <f aca="false">SUM(C8204:F8204)</f>
        <v>226142.857142857</v>
      </c>
      <c r="Q8204" s="55" t="n">
        <f aca="false">SUM(G8204:J8204)</f>
        <v>113071.428571429</v>
      </c>
      <c r="R8204" s="55" t="n">
        <f aca="false">SUM(K8204:N8204)</f>
        <v>113071.428571429</v>
      </c>
      <c r="S8204" s="56" t="n">
        <f aca="false">SUM(P8204:R8204)</f>
        <v>452285.714285714</v>
      </c>
    </row>
    <row r="8205" customFormat="false" ht="15" hidden="false" customHeight="false" outlineLevel="0" collapsed="false">
      <c r="A8205" s="4" t="s">
        <v>564</v>
      </c>
      <c r="B8205" s="36" t="s">
        <v>125</v>
      </c>
      <c r="C8205" s="54" t="n">
        <f aca="false">IF(C8130&lt;=Assumptions!$E$83,Assumptions!$E$82*Assumptions!$D$108/Assumptions!$E$83,0)</f>
        <v>62500</v>
      </c>
      <c r="D8205" s="54" t="n">
        <f aca="false">IF(D8130&lt;=Assumptions!$E$83,Assumptions!$E$82*Assumptions!$D$108/Assumptions!$E$83,0)</f>
        <v>62500</v>
      </c>
      <c r="E8205" s="54" t="n">
        <f aca="false">IF(E8130&lt;=Assumptions!$E$83,Assumptions!$E$82*Assumptions!$D$108/Assumptions!$E$83,0)</f>
        <v>62500</v>
      </c>
      <c r="F8205" s="54" t="n">
        <f aca="false">IF(F8130&lt;=Assumptions!$E$83,Assumptions!$E$82*Assumptions!$D$108/Assumptions!$E$83,0)</f>
        <v>62500</v>
      </c>
      <c r="G8205" s="54" t="n">
        <f aca="false">IF(G8130&lt;=Assumptions!$E$83,Assumptions!$E$82*Assumptions!$D$108/Assumptions!$E$83,0)</f>
        <v>0</v>
      </c>
      <c r="H8205" s="54" t="n">
        <f aca="false">IF(H8130&lt;=Assumptions!$E$83,Assumptions!$E$82*Assumptions!$D$108/Assumptions!$E$83,0)</f>
        <v>0</v>
      </c>
      <c r="I8205" s="54" t="n">
        <f aca="false">IF(I8130&lt;=Assumptions!$E$83,Assumptions!$E$82*Assumptions!$D$108/Assumptions!$E$83,0)</f>
        <v>0</v>
      </c>
      <c r="J8205" s="54" t="n">
        <f aca="false">IF(J8130&lt;=Assumptions!$E$83,Assumptions!$E$82*Assumptions!$D$108/Assumptions!$E$83,0)</f>
        <v>0</v>
      </c>
      <c r="K8205" s="54" t="n">
        <f aca="false">IF(K8130&lt;=Assumptions!$E$83,Assumptions!$E$82*Assumptions!$D$108/Assumptions!$E$83,0)</f>
        <v>0</v>
      </c>
      <c r="L8205" s="54" t="n">
        <f aca="false">IF(L8130&lt;=Assumptions!$E$83,Assumptions!$E$82*Assumptions!$D$108/Assumptions!$E$83,0)</f>
        <v>0</v>
      </c>
      <c r="M8205" s="54" t="n">
        <f aca="false">IF(M8130&lt;=Assumptions!$E$83,Assumptions!$E$82*Assumptions!$D$108/Assumptions!$E$83,0)</f>
        <v>0</v>
      </c>
      <c r="N8205" s="54" t="n">
        <f aca="false">IF(N8130&lt;=Assumptions!$E$83,Assumptions!$E$82*Assumptions!$D$108/Assumptions!$E$83,0)</f>
        <v>0</v>
      </c>
      <c r="P8205" s="55" t="n">
        <f aca="false">SUM(C8205:F8205)</f>
        <v>250000</v>
      </c>
      <c r="Q8205" s="55" t="n">
        <f aca="false">SUM(G8205:J8205)</f>
        <v>0</v>
      </c>
      <c r="R8205" s="55" t="n">
        <f aca="false">SUM(K8205:N8205)</f>
        <v>0</v>
      </c>
      <c r="S8205" s="56" t="n">
        <f aca="false">SUM(P8205:R8205)</f>
        <v>250000</v>
      </c>
    </row>
    <row r="8206" customFormat="false" ht="15" hidden="false" customHeight="false" outlineLevel="0" collapsed="false">
      <c r="A8206" s="4" t="s">
        <v>565</v>
      </c>
      <c r="B8206" s="36" t="s">
        <v>125</v>
      </c>
      <c r="C8206" s="54" t="n">
        <f aca="false">C8194*Assumptions!$E$73/Assumptions!$E$69/4</f>
        <v>0</v>
      </c>
      <c r="D8206" s="54" t="n">
        <f aca="false">D8194*Assumptions!$E$73/Assumptions!$E$69/4</f>
        <v>410.937899683786</v>
      </c>
      <c r="E8206" s="54" t="n">
        <f aca="false">E8194*Assumptions!$E$73/Assumptions!$E$69/4</f>
        <v>1155.23504798329</v>
      </c>
      <c r="F8206" s="54" t="n">
        <f aca="false">F8194*Assumptions!$E$73/Assumptions!$E$69/4</f>
        <v>1988.90576000517</v>
      </c>
      <c r="G8206" s="54" t="n">
        <f aca="false">G8194*Assumptions!$E$73/Assumptions!$E$69/4</f>
        <v>2883.78850399624</v>
      </c>
      <c r="H8206" s="54" t="n">
        <f aca="false">H8194*Assumptions!$E$73/Assumptions!$E$69/4</f>
        <v>3991.94214527989</v>
      </c>
      <c r="I8206" s="54" t="n">
        <f aca="false">I8194*Assumptions!$E$73/Assumptions!$E$69/4</f>
        <v>5302.78228606608</v>
      </c>
      <c r="J8206" s="54" t="n">
        <f aca="false">J8194*Assumptions!$E$73/Assumptions!$E$69/4</f>
        <v>7131.58067908916</v>
      </c>
      <c r="K8206" s="54" t="n">
        <f aca="false">K8194*Assumptions!$E$73/Assumptions!$E$69/4</f>
        <v>9449.08551723827</v>
      </c>
      <c r="L8206" s="54" t="n">
        <f aca="false">L8194*Assumptions!$E$73/Assumptions!$E$69/4</f>
        <v>11765.115249957</v>
      </c>
      <c r="M8206" s="54" t="n">
        <f aca="false">M8194*Assumptions!$E$73/Assumptions!$E$69/4</f>
        <v>13951.6566731807</v>
      </c>
      <c r="N8206" s="54" t="n">
        <f aca="false">N8194*Assumptions!$E$73/Assumptions!$E$69/4</f>
        <v>16008.381252134</v>
      </c>
      <c r="P8206" s="55" t="n">
        <f aca="false">SUM(C8206:F8206)</f>
        <v>3555.07870767224</v>
      </c>
      <c r="Q8206" s="55" t="n">
        <f aca="false">SUM(G8206:J8206)</f>
        <v>19310.0936144314</v>
      </c>
      <c r="R8206" s="55" t="n">
        <f aca="false">SUM(K8206:N8206)</f>
        <v>51174.23869251</v>
      </c>
      <c r="S8206" s="56" t="n">
        <f aca="false">SUM(P8206:R8206)</f>
        <v>74039.4110146136</v>
      </c>
    </row>
    <row r="8207" customFormat="false" ht="15" hidden="false" customHeight="false" outlineLevel="0" collapsed="false">
      <c r="A8207" s="9" t="s">
        <v>566</v>
      </c>
      <c r="B8207" s="36" t="s">
        <v>125</v>
      </c>
      <c r="C8207" s="55" t="n">
        <f aca="false">C8203+C8204+C8205+C8206</f>
        <v>273265.178571429</v>
      </c>
      <c r="D8207" s="55" t="n">
        <f aca="false">D8203+D8204+D8205+D8206</f>
        <v>238670.577826451</v>
      </c>
      <c r="E8207" s="55" t="n">
        <f aca="false">E8203+E8204+E8205+E8206</f>
        <v>245087.178828134</v>
      </c>
      <c r="F8207" s="55" t="n">
        <f aca="false">F8203+F8204+F8205+F8206</f>
        <v>249858.688434227</v>
      </c>
      <c r="G8207" s="55" t="n">
        <f aca="false">G8203+G8204+G8205+G8206</f>
        <v>236427.255031145</v>
      </c>
      <c r="H8207" s="55" t="n">
        <f aca="false">H8203+H8204+H8205+H8206</f>
        <v>201476.093634693</v>
      </c>
      <c r="I8207" s="55" t="n">
        <f aca="false">I8203+I8204+I8205+I8206</f>
        <v>246974.00870723</v>
      </c>
      <c r="J8207" s="55" t="n">
        <f aca="false">J8203+J8204+J8205+J8206</f>
        <v>214903.426819335</v>
      </c>
      <c r="K8207" s="55" t="n">
        <f aca="false">K8203+K8204+K8205+K8206</f>
        <v>224004.212245872</v>
      </c>
      <c r="L8207" s="55" t="n">
        <f aca="false">L8203+L8204+L8205+L8206</f>
        <v>228165.350299384</v>
      </c>
      <c r="M8207" s="55" t="n">
        <f aca="false">M8203+M8204+M8205+M8206</f>
        <v>230003.789476241</v>
      </c>
      <c r="N8207" s="55" t="n">
        <f aca="false">N8203+N8204+N8205+N8206</f>
        <v>231462.581788544</v>
      </c>
      <c r="P8207" s="55" t="n">
        <f aca="false">SUM(C8207:F8207)</f>
        <v>1006881.62366024</v>
      </c>
      <c r="Q8207" s="55" t="n">
        <f aca="false">SUM(G8207:J8207)</f>
        <v>899780.784192403</v>
      </c>
      <c r="R8207" s="55" t="n">
        <f aca="false">SUM(K8207:N8207)</f>
        <v>913635.933810041</v>
      </c>
      <c r="S8207" s="56" t="n">
        <f aca="false">SUM(P8207:R8207)</f>
        <v>2820298.34166268</v>
      </c>
    </row>
    <row r="8208" customFormat="false" ht="15" hidden="false" customHeight="false" outlineLevel="0" collapsed="false">
      <c r="A8208" s="35" t="s">
        <v>567</v>
      </c>
      <c r="B8208" s="35" t="s">
        <v>444</v>
      </c>
      <c r="C8208" s="6" t="s">
        <v>354</v>
      </c>
      <c r="D8208" s="6" t="s">
        <v>355</v>
      </c>
      <c r="E8208" s="6" t="s">
        <v>356</v>
      </c>
      <c r="F8208" s="6" t="s">
        <v>357</v>
      </c>
      <c r="G8208" s="6" t="s">
        <v>358</v>
      </c>
      <c r="H8208" s="6" t="s">
        <v>359</v>
      </c>
      <c r="I8208" s="6" t="s">
        <v>360</v>
      </c>
      <c r="J8208" s="6" t="s">
        <v>361</v>
      </c>
      <c r="K8208" s="6" t="s">
        <v>362</v>
      </c>
      <c r="L8208" s="6" t="s">
        <v>363</v>
      </c>
      <c r="M8208" s="6" t="s">
        <v>364</v>
      </c>
      <c r="N8208" s="6" t="s">
        <v>365</v>
      </c>
      <c r="P8208" s="6" t="s">
        <v>445</v>
      </c>
      <c r="Q8208" s="6" t="s">
        <v>446</v>
      </c>
      <c r="R8208" s="6" t="s">
        <v>447</v>
      </c>
      <c r="S8208" s="6" t="s">
        <v>448</v>
      </c>
    </row>
    <row r="8209" customFormat="false" ht="15" hidden="false" customHeight="false" outlineLevel="0" collapsed="false">
      <c r="A8209" s="9" t="s">
        <v>568</v>
      </c>
      <c r="B8209" s="36" t="s">
        <v>125</v>
      </c>
      <c r="C8209" s="55" t="n">
        <f aca="false">C8187-C8207</f>
        <v>-273265.178571429</v>
      </c>
      <c r="D8209" s="55" t="n">
        <f aca="false">D8187-D8207</f>
        <v>-238216.939542996</v>
      </c>
      <c r="E8209" s="55" t="n">
        <f aca="false">E8187-E8207</f>
        <v>-243207.96194236</v>
      </c>
      <c r="F8209" s="55" t="n">
        <f aca="false">F8187-F8207</f>
        <v>-245806.823629261</v>
      </c>
      <c r="G8209" s="55" t="n">
        <f aca="false">G8187-G8207</f>
        <v>-229840.789171875</v>
      </c>
      <c r="H8209" s="55" t="n">
        <f aca="false">H8187-H8207</f>
        <v>-191907.938051505</v>
      </c>
      <c r="I8209" s="55" t="n">
        <f aca="false">I8187-I8207</f>
        <v>-233773.224221122</v>
      </c>
      <c r="J8209" s="55" t="n">
        <f aca="false">J8187-J8207</f>
        <v>-196996.095624333</v>
      </c>
      <c r="K8209" s="55" t="n">
        <f aca="false">K8187-K8207</f>
        <v>-199857.806490709</v>
      </c>
      <c r="L8209" s="55" t="n">
        <f aca="false">L8187-L8207</f>
        <v>-196754.829187116</v>
      </c>
      <c r="M8209" s="55" t="n">
        <f aca="false">M8187-M8207</f>
        <v>-191121.863083273</v>
      </c>
      <c r="N8209" s="55" t="n">
        <f aca="false">N8187-N8207</f>
        <v>-185179.156325818</v>
      </c>
      <c r="P8209" s="55" t="n">
        <f aca="false">SUM(C8209:F8209)</f>
        <v>-1000496.90368605</v>
      </c>
      <c r="Q8209" s="55" t="n">
        <f aca="false">SUM(G8209:J8209)</f>
        <v>-852518.047068835</v>
      </c>
      <c r="R8209" s="55" t="n">
        <f aca="false">SUM(K8209:N8209)</f>
        <v>-772913.655086915</v>
      </c>
      <c r="S8209" s="56" t="n">
        <f aca="false">SUM(P8209:R8209)</f>
        <v>-2625928.6058418</v>
      </c>
    </row>
    <row r="8210" customFormat="false" ht="15" hidden="false" customHeight="false" outlineLevel="0" collapsed="false">
      <c r="A8210" s="9" t="s">
        <v>569</v>
      </c>
      <c r="B8210" s="36" t="s">
        <v>125</v>
      </c>
      <c r="C8210" s="55" t="n">
        <f aca="false">0+C8209</f>
        <v>-273265.178571429</v>
      </c>
      <c r="D8210" s="55" t="n">
        <f aca="false">C8210+D8209</f>
        <v>-511482.118114425</v>
      </c>
      <c r="E8210" s="55" t="n">
        <f aca="false">D8210+E8209</f>
        <v>-754690.080056785</v>
      </c>
      <c r="F8210" s="55" t="n">
        <f aca="false">E8210+F8209</f>
        <v>-1000496.90368605</v>
      </c>
      <c r="G8210" s="55" t="n">
        <f aca="false">F8210+G8209</f>
        <v>-1230337.69285792</v>
      </c>
      <c r="H8210" s="55" t="n">
        <f aca="false">G8210+H8209</f>
        <v>-1422245.63090942</v>
      </c>
      <c r="I8210" s="55" t="n">
        <f aca="false">H8210+I8209</f>
        <v>-1656018.85513055</v>
      </c>
      <c r="J8210" s="55" t="n">
        <f aca="false">I8210+J8209</f>
        <v>-1853014.95075488</v>
      </c>
      <c r="K8210" s="55" t="n">
        <f aca="false">J8210+K8209</f>
        <v>-2052872.75724559</v>
      </c>
      <c r="L8210" s="55" t="n">
        <f aca="false">K8210+L8209</f>
        <v>-2249627.58643271</v>
      </c>
      <c r="M8210" s="55" t="n">
        <f aca="false">L8210+M8209</f>
        <v>-2440749.44951598</v>
      </c>
      <c r="N8210" s="55" t="n">
        <f aca="false">M8210+N8209</f>
        <v>-2625928.6058418</v>
      </c>
      <c r="P8210" s="55" t="n">
        <f aca="false">F8210</f>
        <v>-1000496.90368605</v>
      </c>
      <c r="Q8210" s="55" t="n">
        <f aca="false">J8210</f>
        <v>-1853014.95075488</v>
      </c>
      <c r="R8210" s="55" t="n">
        <f aca="false">N8210</f>
        <v>-2625928.6058418</v>
      </c>
      <c r="S8210" s="56" t="n">
        <f aca="false">R8210</f>
        <v>-2625928.6058418</v>
      </c>
    </row>
    <row r="8211" customFormat="false" ht="15" hidden="false" customHeight="false" outlineLevel="0" collapsed="false">
      <c r="A8211" s="4" t="s">
        <v>570</v>
      </c>
      <c r="B8211" s="36" t="s">
        <v>107</v>
      </c>
      <c r="C8211" s="57" t="n">
        <f aca="false">1/(1+Assumptions!$E$87)^(C8130/4)</f>
        <v>0.972065420906982</v>
      </c>
      <c r="D8211" s="57" t="n">
        <f aca="false">1/(1+Assumptions!$E$87)^(D8130/4)</f>
        <v>0.944911182523068</v>
      </c>
      <c r="E8211" s="57" t="n">
        <f aca="false">1/(1+Assumptions!$E$87)^(E8130/4)</f>
        <v>0.918515486359</v>
      </c>
      <c r="F8211" s="57" t="n">
        <f aca="false">1/(1+Assumptions!$E$87)^(F8130/4)</f>
        <v>0.892857142857143</v>
      </c>
      <c r="G8211" s="57" t="n">
        <f aca="false">1/(1+Assumptions!$E$87)^(G8130/4)</f>
        <v>0.867915554381234</v>
      </c>
      <c r="H8211" s="57" t="n">
        <f aca="false">1/(1+Assumptions!$E$87)^(H8130/4)</f>
        <v>0.843670698681311</v>
      </c>
      <c r="I8211" s="57" t="n">
        <f aca="false">1/(1+Assumptions!$E$87)^(I8130/4)</f>
        <v>0.820103112820536</v>
      </c>
      <c r="J8211" s="57" t="n">
        <f aca="false">1/(1+Assumptions!$E$87)^(J8130/4)</f>
        <v>0.79719387755102</v>
      </c>
      <c r="K8211" s="57" t="n">
        <f aca="false">1/(1+Assumptions!$E$87)^(K8130/4)</f>
        <v>0.774924602126102</v>
      </c>
      <c r="L8211" s="57" t="n">
        <f aca="false">1/(1+Assumptions!$E$87)^(L8130/4)</f>
        <v>0.753277409536885</v>
      </c>
      <c r="M8211" s="57" t="n">
        <f aca="false">1/(1+Assumptions!$E$87)^(M8130/4)</f>
        <v>0.732234922161193</v>
      </c>
      <c r="N8211" s="57" t="n">
        <f aca="false">1/(1+Assumptions!$E$87)^(N8130/4)</f>
        <v>0.711780247813411</v>
      </c>
      <c r="P8211" s="58"/>
      <c r="Q8211" s="58"/>
      <c r="R8211" s="58"/>
      <c r="S8211" s="59"/>
    </row>
    <row r="8212" customFormat="false" ht="15" hidden="false" customHeight="false" outlineLevel="0" collapsed="false">
      <c r="A8212" s="4" t="s">
        <v>571</v>
      </c>
      <c r="B8212" s="36" t="s">
        <v>125</v>
      </c>
      <c r="C8212" s="54" t="n">
        <f aca="false">(C8187*(1-Assumptions!$E$88)-C8207)*C8211</f>
        <v>-265631.630827257</v>
      </c>
      <c r="D8212" s="54" t="n">
        <f aca="false">(D8187*(1-Assumptions!$E$88)-D8207)*D8211</f>
        <v>-225179.57961797</v>
      </c>
      <c r="E8212" s="54" t="n">
        <f aca="false">(E8187*(1-Assumptions!$E$88)-E8207)*E8211</f>
        <v>-223735.49741223</v>
      </c>
      <c r="F8212" s="54" t="n">
        <f aca="false">(F8187*(1-Assumptions!$E$88)-F8207)*F8211</f>
        <v>-220193.925527013</v>
      </c>
      <c r="G8212" s="54" t="n">
        <f aca="false">(G8187*(1-Assumptions!$E$88)-G8207)*G8211</f>
        <v>-200625.69518706</v>
      </c>
      <c r="H8212" s="54" t="n">
        <f aca="false">(H8187*(1-Assumptions!$E$88)-H8207)*H8211</f>
        <v>-163521.578679595</v>
      </c>
      <c r="I8212" s="54" t="n">
        <f aca="false">(I8187*(1-Assumptions!$E$88)-I8207)*I8211</f>
        <v>-193883.349767581</v>
      </c>
      <c r="J8212" s="54" t="n">
        <f aca="false">(J8187*(1-Assumptions!$E$88)-J8207)*J8211</f>
        <v>-159899.204291561</v>
      </c>
      <c r="K8212" s="54" t="n">
        <f aca="false">(K8187*(1-Assumptions!$E$88)-K8207)*K8211</f>
        <v>-158617.059951127</v>
      </c>
      <c r="L8212" s="54" t="n">
        <f aca="false">(L8187*(1-Assumptions!$E$88)-L8207)*L8211</f>
        <v>-152943.135239073</v>
      </c>
      <c r="M8212" s="54" t="n">
        <f aca="false">(M8187*(1-Assumptions!$E$88)-M8207)*M8211</f>
        <v>-145640.243407249</v>
      </c>
      <c r="N8212" s="54" t="n">
        <f aca="false">(N8187*(1-Assumptions!$E$88)-N8207)*N8211</f>
        <v>-138395.591388571</v>
      </c>
      <c r="P8212" s="55" t="n">
        <f aca="false">SUM(C8212:F8212)</f>
        <v>-934740.63338447</v>
      </c>
      <c r="Q8212" s="55" t="n">
        <f aca="false">SUM(G8212:J8212)</f>
        <v>-717929.827925797</v>
      </c>
      <c r="R8212" s="55" t="n">
        <f aca="false">SUM(K8212:N8212)</f>
        <v>-595596.029986021</v>
      </c>
      <c r="S8212" s="56" t="n">
        <f aca="false">SUM(P8212:R8212)</f>
        <v>-2248266.49129629</v>
      </c>
    </row>
    <row r="8213" customFormat="false" ht="15" hidden="false" customHeight="false" outlineLevel="0" collapsed="false">
      <c r="A8213" s="4" t="s">
        <v>572</v>
      </c>
      <c r="B8213" s="36" t="s">
        <v>125</v>
      </c>
      <c r="C8213" s="54" t="n">
        <f aca="false">(C8207-C8206)*12/(Assumptions!$E$89*Assumptions!$E$76)*Assumptions!$E$90</f>
        <v>189183.585164835</v>
      </c>
      <c r="D8213" s="54" t="n">
        <f aca="false">(D8207-D8206)*12/(Assumptions!$E$89*Assumptions!$E$76)*Assumptions!$E$90</f>
        <v>164948.981487762</v>
      </c>
      <c r="E8213" s="54" t="n">
        <f aca="false">(E8207-E8206)*12/(Assumptions!$E$89*Assumptions!$E$76)*Assumptions!$E$90</f>
        <v>168875.961078566</v>
      </c>
      <c r="F8213" s="54" t="n">
        <f aca="false">(F8207-F8206)*12/(Assumptions!$E$89*Assumptions!$E$76)*Assumptions!$E$90</f>
        <v>171602.157236</v>
      </c>
      <c r="G8213" s="54" t="n">
        <f aca="false">(G8207-G8206)*12/(Assumptions!$E$89*Assumptions!$E$76)*Assumptions!$E$90</f>
        <v>161683.938364949</v>
      </c>
      <c r="H8213" s="54" t="n">
        <f aca="false">(H8207-H8206)*12/(Assumptions!$E$89*Assumptions!$E$76)*Assumptions!$E$90</f>
        <v>136719.797184978</v>
      </c>
      <c r="I8213" s="54" t="n">
        <f aca="false">(I8207-I8206)*12/(Assumptions!$E$89*Assumptions!$E$76)*Assumptions!$E$90</f>
        <v>167310.849060805</v>
      </c>
      <c r="J8213" s="54" t="n">
        <f aca="false">(J8207-J8206)*12/(Assumptions!$E$89*Assumptions!$E$76)*Assumptions!$E$90</f>
        <v>143842.047327863</v>
      </c>
      <c r="K8213" s="54" t="n">
        <f aca="false">(K8207-K8206)*12/(Assumptions!$E$89*Assumptions!$E$76)*Assumptions!$E$90</f>
        <v>148538.164658285</v>
      </c>
      <c r="L8213" s="54" t="n">
        <f aca="false">(L8207-L8206)*12/(Assumptions!$E$89*Assumptions!$E$76)*Assumptions!$E$90</f>
        <v>149815.547341911</v>
      </c>
      <c r="M8213" s="54" t="n">
        <f aca="false">(M8207-M8206)*12/(Assumptions!$E$89*Assumptions!$E$76)*Assumptions!$E$90</f>
        <v>149574.553479042</v>
      </c>
      <c r="N8213" s="54" t="n">
        <f aca="false">(N8207-N8206)*12/(Assumptions!$E$89*Assumptions!$E$76)*Assumptions!$E$90</f>
        <v>149160.60037136</v>
      </c>
      <c r="P8213" s="55" t="n">
        <f aca="false">SUM(C8213:F8213)</f>
        <v>694610.684967162</v>
      </c>
      <c r="Q8213" s="55" t="n">
        <f aca="false">SUM(G8213:J8213)</f>
        <v>609556.631938596</v>
      </c>
      <c r="R8213" s="55" t="n">
        <f aca="false">SUM(K8213:N8213)</f>
        <v>597088.865850598</v>
      </c>
      <c r="S8213" s="56" t="n">
        <f aca="false">SUM(P8213:R8213)</f>
        <v>1901256.18275636</v>
      </c>
    </row>
    <row r="8214" customFormat="false" ht="15" hidden="false" customHeight="false" outlineLevel="0" collapsed="false">
      <c r="A8214" s="4" t="s">
        <v>573</v>
      </c>
      <c r="B8214" s="36" t="s">
        <v>125</v>
      </c>
      <c r="C8214" s="54" t="n">
        <f aca="false">0*Assumptions!$E$92^(1/4)+C8213</f>
        <v>189183.585164835</v>
      </c>
      <c r="D8214" s="54" t="n">
        <f aca="false">C8214*Assumptions!$E$92^(1/4)+D8213</f>
        <v>354603.762294776</v>
      </c>
      <c r="E8214" s="54" t="n">
        <f aca="false">D8214*Assumptions!$E$92^(1/4)+E8213</f>
        <v>524362.92762887</v>
      </c>
      <c r="F8214" s="54" t="n">
        <f aca="false">E8214*Assumptions!$E$92^(1/4)+F8213</f>
        <v>697271.104761912</v>
      </c>
      <c r="G8214" s="54" t="n">
        <f aca="false">F8214*Assumptions!$E$92^(1/4)+G8213</f>
        <v>860691.721843965</v>
      </c>
      <c r="H8214" s="54" t="n">
        <f aca="false">G8214*Assumptions!$E$92^(1/4)+H8213</f>
        <v>999555.226096548</v>
      </c>
      <c r="I8214" s="54" t="n">
        <f aca="false">H8214*Assumptions!$E$92^(1/4)+I8213</f>
        <v>1169355.64668251</v>
      </c>
      <c r="J8214" s="54" t="n">
        <f aca="false">I8214*Assumptions!$E$92^(1/4)+J8213</f>
        <v>1316110.18393065</v>
      </c>
      <c r="K8214" s="54" t="n">
        <f aca="false">J8214*Assumptions!$E$92^(1/4)+K8213</f>
        <v>1467926.35699942</v>
      </c>
      <c r="L8214" s="54" t="n">
        <f aca="false">K8214*Assumptions!$E$92^(1/4)+L8213</f>
        <v>1621398.03815366</v>
      </c>
      <c r="M8214" s="54" t="n">
        <f aca="false">L8214*Assumptions!$E$92^(1/4)+M8213</f>
        <v>1775010.97418661</v>
      </c>
      <c r="N8214" s="54" t="n">
        <f aca="false">M8214*Assumptions!$E$92^(1/4)+N8213</f>
        <v>1928592.55767407</v>
      </c>
      <c r="P8214" s="55" t="n">
        <f aca="false">F8214</f>
        <v>697271.104761912</v>
      </c>
      <c r="Q8214" s="55" t="n">
        <f aca="false">J8214</f>
        <v>1316110.18393065</v>
      </c>
      <c r="R8214" s="55" t="n">
        <f aca="false">N8214</f>
        <v>1928592.55767407</v>
      </c>
      <c r="S8214" s="56" t="n">
        <f aca="false">R8214</f>
        <v>1928592.55767407</v>
      </c>
    </row>
    <row r="8215" customFormat="false" ht="15" hidden="false" customHeight="false" outlineLevel="0" collapsed="false">
      <c r="A8215" s="4" t="s">
        <v>574</v>
      </c>
      <c r="B8215" s="36" t="s">
        <v>125</v>
      </c>
      <c r="C8215" s="54" t="n">
        <f aca="false">(0+C8214)/8*Assumptions!$E$76-(C8207-C8206)-C8214*Assumptions!$E$93/4</f>
        <v>-260258.807091346</v>
      </c>
      <c r="D8215" s="54" t="n">
        <f aca="false">(C8214+D8214)/8*Assumptions!$E$76-(D8207-D8206)-D8214*Assumptions!$E$93/4</f>
        <v>-198509.464974358</v>
      </c>
      <c r="E8215" s="54" t="n">
        <f aca="false">(D8214+E8214)/8*Assumptions!$E$76-(E8207-E8206)-E8214*Assumptions!$E$93/4</f>
        <v>-179070.436819215</v>
      </c>
      <c r="F8215" s="54" t="n">
        <f aca="false">(E8214+F8214)/8*Assumptions!$E$76-(F8207-F8206)-F8214*Assumptions!$E$93/4</f>
        <v>-157327.906351995</v>
      </c>
      <c r="G8215" s="54" t="n">
        <f aca="false">(F8214+G8214)/8*Assumptions!$E$76-(G8207-G8206)-G8214*Assumptions!$E$93/4</f>
        <v>-117717.633388471</v>
      </c>
      <c r="H8215" s="54" t="n">
        <f aca="false">(G8214+H8214)/8*Assumptions!$E$76-(H8207-H8206)-H8214*Assumptions!$E$93/4</f>
        <v>-58833.5272954532</v>
      </c>
      <c r="I8215" s="54" t="n">
        <f aca="false">(H8214+I8214)/8*Assumptions!$E$76-(I8207-I8206)-I8214*Assumptions!$E$93/4</f>
        <v>-80064.1635913962</v>
      </c>
      <c r="J8215" s="54" t="n">
        <f aca="false">(I8214+J8214)/8*Assumptions!$E$76-(J8207-J8206)-J8214*Assumptions!$E$93/4</f>
        <v>-22279.1247020596</v>
      </c>
      <c r="K8215" s="54" t="n">
        <f aca="false">(J8214+K8214)/8*Assumptions!$E$76-(K8207-K8206)-K8214*Assumptions!$E$93/4</f>
        <v>-6701.23724055798</v>
      </c>
      <c r="L8215" s="54" t="n">
        <f aca="false">(K8214+L8214)/8*Assumptions!$E$76-(L8207-L8206)-L8214*Assumptions!$E$93/4</f>
        <v>14339.8965798401</v>
      </c>
      <c r="M8215" s="54" t="n">
        <f aca="false">(L8214+M8214)/8*Assumptions!$E$76-(M8207-M8206)-M8214*Assumptions!$E$93/4</f>
        <v>37718.4622722536</v>
      </c>
      <c r="N8215" s="54" t="n">
        <f aca="false">(M8214+N8214)/8*Assumptions!$E$76-(N8207-N8206)-N8214*Assumptions!$E$93/4</f>
        <v>61356.1794563447</v>
      </c>
      <c r="P8215" s="55" t="n">
        <f aca="false">SUM(C8215:F8215)</f>
        <v>-795166.615236914</v>
      </c>
      <c r="Q8215" s="55" t="n">
        <f aca="false">SUM(G8215:J8215)</f>
        <v>-278894.44897738</v>
      </c>
      <c r="R8215" s="55" t="n">
        <f aca="false">SUM(K8215:N8215)</f>
        <v>106713.30106788</v>
      </c>
      <c r="S8215" s="56" t="n">
        <f aca="false">SUM(P8215:R8215)</f>
        <v>-967347.763146414</v>
      </c>
    </row>
    <row r="8216" customFormat="false" ht="15" hidden="false" customHeight="false" outlineLevel="0" collapsed="false">
      <c r="A8216" s="4" t="s">
        <v>575</v>
      </c>
      <c r="B8216" s="36" t="s">
        <v>125</v>
      </c>
      <c r="C8216" s="54" t="n">
        <f aca="false">C8215*C8211</f>
        <v>-252988.586859998</v>
      </c>
      <c r="D8216" s="54" t="n">
        <f aca="false">D8215*D8211</f>
        <v>-187573.813290942</v>
      </c>
      <c r="E8216" s="54" t="n">
        <f aca="false">E8215*E8211</f>
        <v>-164478.96936752</v>
      </c>
      <c r="F8216" s="54" t="n">
        <f aca="false">F8215*F8211</f>
        <v>-140471.344957138</v>
      </c>
      <c r="G8216" s="54" t="n">
        <f aca="false">G8215*G8211</f>
        <v>-102168.965042802</v>
      </c>
      <c r="H8216" s="54" t="n">
        <f aca="false">H8215*H8211</f>
        <v>-49636.1230792409</v>
      </c>
      <c r="I8216" s="54" t="n">
        <f aca="false">I8215*I8211</f>
        <v>-65660.8697866766</v>
      </c>
      <c r="J8216" s="54" t="n">
        <f aca="false">J8215*J8211</f>
        <v>-17760.7818096776</v>
      </c>
      <c r="K8216" s="54" t="n">
        <f aca="false">K8215*K8211</f>
        <v>-5192.95360239201</v>
      </c>
      <c r="L8216" s="54" t="n">
        <f aca="false">L8215*L8211</f>
        <v>10801.9201486887</v>
      </c>
      <c r="M8216" s="54" t="n">
        <f aca="false">M8215*M8211</f>
        <v>27618.7752859635</v>
      </c>
      <c r="N8216" s="54" t="n">
        <f aca="false">N8215*N8211</f>
        <v>43672.1166183211</v>
      </c>
      <c r="P8216" s="55" t="n">
        <f aca="false">SUM(C8216:F8216)</f>
        <v>-745512.714475599</v>
      </c>
      <c r="Q8216" s="55" t="n">
        <f aca="false">SUM(G8216:J8216)</f>
        <v>-235226.739718397</v>
      </c>
      <c r="R8216" s="55" t="n">
        <f aca="false">SUM(K8216:N8216)</f>
        <v>76899.8584505813</v>
      </c>
      <c r="S8216" s="56" t="n">
        <f aca="false">SUM(P8216:R8216)</f>
        <v>-903839.595743415</v>
      </c>
    </row>
    <row r="8217" customFormat="false" ht="15" hidden="false" customHeight="false" outlineLevel="0" collapsed="false">
      <c r="A8217" s="4" t="s">
        <v>576</v>
      </c>
      <c r="B8217" s="36"/>
      <c r="C8217" s="37" t="n">
        <f aca="false">IFERROR((S8172*$C$8121*Assumptions!$E$59+S8173*$C$8122*Assumptions!$E$60+S8174*$C$8123*Assumptions!$E$61)/(S8172*$C$8121+S8173*$C$8122+S8174*$C$8123),0.9)</f>
        <v>0.895336755062662</v>
      </c>
    </row>
    <row r="8218" customFormat="false" ht="15" hidden="false" customHeight="false" outlineLevel="0" collapsed="false">
      <c r="A8218" s="4" t="s">
        <v>577</v>
      </c>
      <c r="B8218" s="36"/>
      <c r="C8218" s="37" t="n">
        <f aca="false">IFERROR(N8206*4/N8184,0)</f>
        <v>0.208274433961821</v>
      </c>
    </row>
    <row r="8219" customFormat="false" ht="15" hidden="false" customHeight="false" outlineLevel="0" collapsed="false">
      <c r="A8219" s="4" t="s">
        <v>578</v>
      </c>
      <c r="B8219" s="36"/>
      <c r="C8219" s="60" t="n">
        <f aca="false">$C$8217/(1+Assumptions!$E$87)</f>
        <v>0.799407817020234</v>
      </c>
    </row>
    <row r="8220" customFormat="false" ht="15" hidden="false" customHeight="false" outlineLevel="0" collapsed="false">
      <c r="A8220" s="4" t="s">
        <v>579</v>
      </c>
      <c r="B8220" s="36"/>
      <c r="C8220" s="60" t="n">
        <f aca="false">Assumptions!$E$91/(1+Assumptions!$E$87)</f>
        <v>0.803571428571429</v>
      </c>
    </row>
    <row r="8221" customFormat="false" ht="15" hidden="false" customHeight="false" outlineLevel="0" collapsed="false">
      <c r="A8221" s="35" t="s">
        <v>580</v>
      </c>
      <c r="B8221" s="35" t="s">
        <v>444</v>
      </c>
      <c r="C8221" s="6" t="s">
        <v>354</v>
      </c>
      <c r="D8221" s="6" t="s">
        <v>355</v>
      </c>
      <c r="E8221" s="6" t="s">
        <v>356</v>
      </c>
      <c r="F8221" s="6" t="s">
        <v>357</v>
      </c>
      <c r="G8221" s="6" t="s">
        <v>358</v>
      </c>
      <c r="H8221" s="6" t="s">
        <v>359</v>
      </c>
      <c r="I8221" s="6" t="s">
        <v>360</v>
      </c>
      <c r="J8221" s="6" t="s">
        <v>361</v>
      </c>
      <c r="K8221" s="6" t="s">
        <v>362</v>
      </c>
      <c r="L8221" s="6" t="s">
        <v>363</v>
      </c>
      <c r="M8221" s="6" t="s">
        <v>364</v>
      </c>
      <c r="N8221" s="6" t="s">
        <v>365</v>
      </c>
      <c r="P8221" s="6" t="s">
        <v>445</v>
      </c>
      <c r="Q8221" s="6" t="s">
        <v>446</v>
      </c>
      <c r="R8221" s="6" t="s">
        <v>447</v>
      </c>
      <c r="S8221" s="6" t="s">
        <v>448</v>
      </c>
    </row>
    <row r="8222" customFormat="false" ht="15" hidden="false" customHeight="false" outlineLevel="0" collapsed="false">
      <c r="A8222" s="9" t="s">
        <v>581</v>
      </c>
      <c r="C8222" s="61" t="n">
        <f aca="false">N8184</f>
        <v>307447.840767025</v>
      </c>
      <c r="D8222" s="61"/>
    </row>
    <row r="8223" customFormat="false" ht="15" hidden="false" customHeight="false" outlineLevel="0" collapsed="false">
      <c r="A8223" s="9" t="s">
        <v>582</v>
      </c>
      <c r="C8223" s="62" t="n">
        <f aca="false">N8180</f>
        <v>35.3772136101422</v>
      </c>
      <c r="D8223" s="62"/>
    </row>
    <row r="8224" customFormat="false" ht="15" hidden="false" customHeight="false" outlineLevel="0" collapsed="false">
      <c r="A8224" s="9" t="s">
        <v>583</v>
      </c>
      <c r="C8224" s="63" t="n">
        <f aca="false">S8175</f>
        <v>39.1065139018526</v>
      </c>
      <c r="D8224" s="63"/>
    </row>
    <row r="8225" customFormat="false" ht="15" hidden="false" customHeight="false" outlineLevel="0" collapsed="false">
      <c r="A8225" s="9" t="s">
        <v>584</v>
      </c>
      <c r="C8225" s="61" t="n">
        <f aca="false">S8186</f>
        <v>299030.362801367</v>
      </c>
      <c r="D8225" s="61"/>
    </row>
    <row r="8226" customFormat="false" ht="15" hidden="false" customHeight="false" outlineLevel="0" collapsed="false">
      <c r="A8226" s="9" t="s">
        <v>22</v>
      </c>
      <c r="C8226" s="61" t="n">
        <f aca="false">IFERROR(S8185/S8175,0)</f>
        <v>7516.67798648103</v>
      </c>
      <c r="D8226" s="61"/>
    </row>
    <row r="8227" customFormat="false" ht="15" hidden="false" customHeight="false" outlineLevel="0" collapsed="false">
      <c r="A8227" s="9" t="s">
        <v>585</v>
      </c>
      <c r="C8227" s="61" t="n">
        <f aca="false">IFERROR(S8203/S8175,0)</f>
        <v>52266.8223890323</v>
      </c>
      <c r="D8227" s="61"/>
    </row>
    <row r="8228" customFormat="false" ht="23.85" hidden="false" customHeight="false" outlineLevel="0" collapsed="false">
      <c r="A8228" s="9" t="s">
        <v>586</v>
      </c>
      <c r="C8228" s="61" t="n">
        <f aca="false">IFERROR((S8197+S8199+S8200+S8201+S8202)/S8175,0)</f>
        <v>19285.9266646053</v>
      </c>
      <c r="D8228" s="61"/>
    </row>
    <row r="8229" customFormat="false" ht="15" hidden="false" customHeight="false" outlineLevel="0" collapsed="false">
      <c r="A8229" s="9" t="s">
        <v>587</v>
      </c>
      <c r="C8229" s="64" t="n">
        <f aca="false">IFERROR('Engine Runs'!$C$8227/('Engine Runs'!$C$8226*Assumptions!$E$76/12),0)</f>
        <v>128.371330198389</v>
      </c>
      <c r="D8229" s="64"/>
    </row>
    <row r="8230" customFormat="false" ht="15" hidden="false" customHeight="false" outlineLevel="0" collapsed="false">
      <c r="A8230" s="9" t="s">
        <v>588</v>
      </c>
      <c r="C8230" s="64" t="n">
        <f aca="false">IFERROR((R8203/R8175)/((R8185/R8175)*Assumptions!$E$76/12),0)</f>
        <v>81.2093396433574</v>
      </c>
      <c r="D8230" s="64"/>
    </row>
    <row r="8231" customFormat="false" ht="15" hidden="false" customHeight="false" outlineLevel="0" collapsed="false">
      <c r="A8231" s="9" t="s">
        <v>589</v>
      </c>
      <c r="C8231" s="61" t="n">
        <f aca="false">S8207</f>
        <v>2820298.34166268</v>
      </c>
      <c r="D8231" s="61"/>
    </row>
    <row r="8232" customFormat="false" ht="15" hidden="false" customHeight="false" outlineLevel="0" collapsed="false">
      <c r="A8232" s="9" t="s">
        <v>590</v>
      </c>
      <c r="C8232" s="61" t="n">
        <f aca="false">N8210</f>
        <v>-2625928.6058418</v>
      </c>
      <c r="D8232" s="61"/>
    </row>
    <row r="8233" customFormat="false" ht="15" hidden="false" customHeight="false" outlineLevel="0" collapsed="false">
      <c r="A8233" s="9" t="s">
        <v>591</v>
      </c>
      <c r="C8233" s="61" t="n">
        <f aca="false">MIN($C$8210:$N$8210)</f>
        <v>-2625928.6058418</v>
      </c>
      <c r="D8233" s="61"/>
    </row>
    <row r="8234" customFormat="false" ht="15" hidden="false" customHeight="false" outlineLevel="0" collapsed="false">
      <c r="A8234" s="9" t="s">
        <v>592</v>
      </c>
      <c r="C8234" s="61" t="n">
        <f aca="false">N8184*(Assumptions!$E$76-$C$8218)*$C$8217*(1-$C$8217^Assumptions!$E$85)/(1-$C$8217)</f>
        <v>493341.21408109</v>
      </c>
      <c r="D8234" s="61"/>
    </row>
    <row r="8235" customFormat="false" ht="15" hidden="false" customHeight="false" outlineLevel="0" collapsed="false">
      <c r="A8235" s="9" t="s">
        <v>593</v>
      </c>
      <c r="C8235" s="61" t="n">
        <f aca="false">N8184*(Assumptions!$E$76-$C$8218)*(1-Assumptions!$E$88)/(1+Assumptions!$E$87)^2.5*$C$8219*(1-$C$8219^Assumptions!$E$85)/(1-$C$8219)</f>
        <v>219675.127309954</v>
      </c>
      <c r="D8235" s="61"/>
    </row>
    <row r="8236" customFormat="false" ht="15" hidden="false" customHeight="false" outlineLevel="0" collapsed="false">
      <c r="A8236" s="9" t="s">
        <v>594</v>
      </c>
      <c r="C8236" s="61" t="n">
        <f aca="false">SUM($C$8212:$N$8212)+'Engine Runs'!$C$8235</f>
        <v>-2028591.36398633</v>
      </c>
      <c r="D8236" s="61"/>
    </row>
    <row r="8237" customFormat="false" ht="15" hidden="false" customHeight="false" outlineLevel="0" collapsed="false">
      <c r="A8237" s="9" t="s">
        <v>595</v>
      </c>
      <c r="C8237" s="61" t="n">
        <f aca="false">SUM($C$8216:$N$8216)+N8214*(Assumptions!$E$76-Assumptions!$E$93)/(1+Assumptions!$E$87)^2.5*$C$8220*(1-$C$8220^Assumptions!$E$85)/(1-$C$8220)</f>
        <v>1467255.889802</v>
      </c>
      <c r="D8237" s="61"/>
    </row>
    <row r="8238" customFormat="false" ht="15" hidden="false" customHeight="false" outlineLevel="0" collapsed="false">
      <c r="A8238" s="9" t="s">
        <v>596</v>
      </c>
      <c r="C8238" s="61" t="n">
        <f aca="false">'Engine Runs'!$C$8236-'Engine Runs'!$C$8237</f>
        <v>-3495847.25378833</v>
      </c>
      <c r="D8238" s="61"/>
    </row>
    <row r="8239" customFormat="false" ht="15" hidden="false" customHeight="false" outlineLevel="0" collapsed="false">
      <c r="A8239" s="9" t="s">
        <v>597</v>
      </c>
      <c r="C8239" s="61" t="n">
        <f aca="false">S8171</f>
        <v>0</v>
      </c>
      <c r="D8239" s="61"/>
    </row>
    <row r="8240" customFormat="false" ht="15" hidden="false" customHeight="false" outlineLevel="0" collapsed="false">
      <c r="A8240" s="9" t="s">
        <v>598</v>
      </c>
      <c r="C8240" s="63" t="n">
        <f aca="false">P8155</f>
        <v>43.6188722246667</v>
      </c>
      <c r="D8240" s="63"/>
    </row>
    <row r="8241" customFormat="false" ht="15" hidden="false" customHeight="false" outlineLevel="0" collapsed="false">
      <c r="A8241" s="9" t="s">
        <v>599</v>
      </c>
      <c r="C8241" s="63" t="n">
        <f aca="false">P8175</f>
        <v>4.41614932106171</v>
      </c>
      <c r="D8241" s="63"/>
    </row>
    <row r="8242" customFormat="false" ht="15" hidden="false" customHeight="false" outlineLevel="0" collapsed="false">
      <c r="A8242" s="9" t="s">
        <v>600</v>
      </c>
      <c r="C8242" s="63" t="n">
        <f aca="false">P8151</f>
        <v>42</v>
      </c>
      <c r="D8242" s="63"/>
    </row>
    <row r="8243" customFormat="false" ht="15" hidden="false" customHeight="false" outlineLevel="0" collapsed="false">
      <c r="A8243" s="9" t="s">
        <v>601</v>
      </c>
      <c r="C8243" s="61" t="n">
        <f aca="false">IFERROR(P8185/P8175,0)</f>
        <v>7272.25749735627</v>
      </c>
      <c r="D8243" s="61"/>
    </row>
    <row r="8246" customFormat="false" ht="15" hidden="false" customHeight="true" outlineLevel="0" collapsed="false">
      <c r="A8246" s="78" t="s">
        <v>918</v>
      </c>
      <c r="B8246" s="78"/>
      <c r="C8246" s="78"/>
      <c r="D8246" s="78"/>
      <c r="E8246" s="78"/>
      <c r="F8246" s="78"/>
      <c r="G8246" s="78"/>
      <c r="H8246" s="78"/>
      <c r="I8246" s="78"/>
      <c r="J8246" s="78"/>
      <c r="K8246" s="78"/>
      <c r="L8246" s="78"/>
      <c r="M8246" s="78"/>
      <c r="N8246" s="78"/>
    </row>
    <row r="8247" customFormat="false" ht="15" hidden="false" customHeight="true" outlineLevel="0" collapsed="false">
      <c r="A8247" s="79" t="s">
        <v>919</v>
      </c>
      <c r="B8247" s="79"/>
      <c r="C8247" s="79"/>
      <c r="D8247" s="79"/>
      <c r="E8247" s="79"/>
      <c r="F8247" s="79"/>
      <c r="G8247" s="79"/>
      <c r="H8247" s="79"/>
      <c r="I8247" s="79"/>
      <c r="J8247" s="79"/>
      <c r="K8247" s="79"/>
      <c r="L8247" s="79"/>
      <c r="M8247" s="79"/>
      <c r="N8247" s="79"/>
    </row>
    <row r="8248" customFormat="false" ht="15" hidden="false" customHeight="false" outlineLevel="0" collapsed="false">
      <c r="A8248" s="35" t="s">
        <v>920</v>
      </c>
      <c r="B8248" s="35" t="s">
        <v>444</v>
      </c>
      <c r="C8248" s="6" t="s">
        <v>354</v>
      </c>
      <c r="D8248" s="6" t="s">
        <v>355</v>
      </c>
      <c r="E8248" s="6" t="s">
        <v>356</v>
      </c>
      <c r="F8248" s="6" t="s">
        <v>357</v>
      </c>
      <c r="G8248" s="6" t="s">
        <v>358</v>
      </c>
      <c r="H8248" s="6" t="s">
        <v>359</v>
      </c>
      <c r="I8248" s="6" t="s">
        <v>360</v>
      </c>
      <c r="J8248" s="6" t="s">
        <v>361</v>
      </c>
      <c r="K8248" s="6" t="s">
        <v>362</v>
      </c>
      <c r="L8248" s="6" t="s">
        <v>363</v>
      </c>
      <c r="M8248" s="6" t="s">
        <v>364</v>
      </c>
      <c r="N8248" s="6" t="s">
        <v>365</v>
      </c>
      <c r="P8248" s="6" t="s">
        <v>445</v>
      </c>
      <c r="Q8248" s="6" t="s">
        <v>446</v>
      </c>
      <c r="R8248" s="6" t="s">
        <v>447</v>
      </c>
      <c r="S8248" s="6" t="s">
        <v>448</v>
      </c>
    </row>
    <row r="8249" customFormat="false" ht="15" hidden="false" customHeight="false" outlineLevel="0" collapsed="false">
      <c r="A8249" s="4" t="s">
        <v>449</v>
      </c>
      <c r="B8249" s="36" t="s">
        <v>450</v>
      </c>
      <c r="C8249" s="34" t="n">
        <f aca="false">'Market Sizing'!$C$17*Assumptions!$E$10*Assumptions!$E$11*(1-Assumptions!$E$12)</f>
        <v>843.03944704</v>
      </c>
    </row>
    <row r="8250" customFormat="false" ht="15" hidden="false" customHeight="false" outlineLevel="0" collapsed="false">
      <c r="A8250" s="4" t="s">
        <v>451</v>
      </c>
      <c r="B8250" s="36" t="s">
        <v>450</v>
      </c>
      <c r="C8250" s="34" t="n">
        <f aca="false">'Market Sizing'!$D$17*Assumptions!$E$10*Assumptions!$E$11*(1-Assumptions!$E$12)</f>
        <v>211.19616</v>
      </c>
    </row>
    <row r="8251" customFormat="false" ht="15" hidden="false" customHeight="false" outlineLevel="0" collapsed="false">
      <c r="A8251" s="4" t="s">
        <v>452</v>
      </c>
      <c r="B8251" s="36" t="s">
        <v>450</v>
      </c>
      <c r="C8251" s="34" t="n">
        <f aca="false">'Market Sizing'!$E$17*Assumptions!$E$10*Assumptions!$E$11*(1-Assumptions!$E$12)</f>
        <v>49.53984</v>
      </c>
    </row>
    <row r="8252" customFormat="false" ht="15" hidden="false" customHeight="false" outlineLevel="0" collapsed="false">
      <c r="A8252" s="4" t="s">
        <v>453</v>
      </c>
      <c r="B8252" s="36"/>
      <c r="C8252" s="34" t="n">
        <f aca="false">$C$8249+$C$8250+$C$8251</f>
        <v>1103.77544704</v>
      </c>
    </row>
    <row r="8253" customFormat="false" ht="15" hidden="false" customHeight="false" outlineLevel="0" collapsed="false">
      <c r="A8253" s="4" t="s">
        <v>454</v>
      </c>
      <c r="B8253" s="36" t="s">
        <v>450</v>
      </c>
      <c r="C8253" s="34" t="n">
        <f aca="false">'Market Sizing'!$C$18*Assumptions!$E$10*Assumptions!$E$11*(1-Assumptions!$E$12)</f>
        <v>612.57706944</v>
      </c>
    </row>
    <row r="8254" customFormat="false" ht="15" hidden="false" customHeight="false" outlineLevel="0" collapsed="false">
      <c r="A8254" s="4" t="s">
        <v>455</v>
      </c>
      <c r="B8254" s="36" t="s">
        <v>450</v>
      </c>
      <c r="C8254" s="34" t="n">
        <f aca="false">'Market Sizing'!$D$18*Assumptions!$E$10*Assumptions!$E$11*(1-Assumptions!$E$12)</f>
        <v>142.10112</v>
      </c>
    </row>
    <row r="8255" customFormat="false" ht="15" hidden="false" customHeight="false" outlineLevel="0" collapsed="false">
      <c r="A8255" s="4" t="s">
        <v>456</v>
      </c>
      <c r="B8255" s="36" t="s">
        <v>450</v>
      </c>
      <c r="C8255" s="34" t="n">
        <f aca="false">'Market Sizing'!$E$18*Assumptions!$E$10*Assumptions!$E$11*(1-Assumptions!$E$12)</f>
        <v>24.76992</v>
      </c>
    </row>
    <row r="8256" customFormat="false" ht="15" hidden="false" customHeight="false" outlineLevel="0" collapsed="false">
      <c r="A8256" s="4" t="s">
        <v>457</v>
      </c>
      <c r="B8256" s="36"/>
      <c r="C8256" s="34" t="n">
        <f aca="false">$C$8253+$C$8254+$C$8255</f>
        <v>779.44810944</v>
      </c>
    </row>
    <row r="8257" customFormat="false" ht="15" hidden="false" customHeight="false" outlineLevel="0" collapsed="false">
      <c r="A8257" s="4" t="s">
        <v>458</v>
      </c>
      <c r="B8257" s="36" t="s">
        <v>450</v>
      </c>
      <c r="C8257" s="34" t="n">
        <f aca="false">'Market Sizing'!$C$19*Assumptions!$E$10*Assumptions!$E$11*(1-Assumptions!$E$12)</f>
        <v>2060.77303936</v>
      </c>
    </row>
    <row r="8258" customFormat="false" ht="15" hidden="false" customHeight="false" outlineLevel="0" collapsed="false">
      <c r="A8258" s="4" t="s">
        <v>459</v>
      </c>
      <c r="B8258" s="36" t="s">
        <v>450</v>
      </c>
      <c r="C8258" s="34" t="n">
        <f aca="false">'Market Sizing'!$D$19*Assumptions!$E$10*Assumptions!$E$11*(1-Assumptions!$E$12)</f>
        <v>428.47616</v>
      </c>
    </row>
    <row r="8259" customFormat="false" ht="15" hidden="false" customHeight="false" outlineLevel="0" collapsed="false">
      <c r="A8259" s="4" t="s">
        <v>460</v>
      </c>
      <c r="B8259" s="36" t="s">
        <v>450</v>
      </c>
      <c r="C8259" s="34" t="n">
        <f aca="false">'Market Sizing'!$E$19*Assumptions!$E$10*Assumptions!$E$11*(1-Assumptions!$E$12)</f>
        <v>79.52448</v>
      </c>
    </row>
    <row r="8260" customFormat="false" ht="15" hidden="false" customHeight="false" outlineLevel="0" collapsed="false">
      <c r="A8260" s="4" t="s">
        <v>461</v>
      </c>
      <c r="B8260" s="36"/>
      <c r="C8260" s="34" t="n">
        <f aca="false">$C$8257+$C$8258+$C$8259</f>
        <v>2568.77367936</v>
      </c>
    </row>
    <row r="8261" customFormat="false" ht="15" hidden="false" customHeight="false" outlineLevel="0" collapsed="false">
      <c r="A8261" s="4" t="s">
        <v>462</v>
      </c>
      <c r="B8261" s="36" t="s">
        <v>463</v>
      </c>
      <c r="C8261" s="33" t="n">
        <f aca="false">MAX((Assumptions!$E$51+Assumptions!$E$53)*12,(((('Market Sizing'!$E$25*Assumptions!$E$41*Assumptions!$E$42*1)*Assumptions!$E$44)*Assumptions!$E$45*Assumptions!$E$46+('Market Sizing'!$E$25*Assumptions!$E$41*Assumptions!$E$42*1)*Assumptions!$E$47+('Market Sizing'!$E$25*Assumptions!$E$41*Assumptions!$E$42*1)*Assumptions!$E$48*Assumptions!$E$49)*(Assumptions!$E$51*12/Assumptions!$E$52)+((('Market Sizing'!$E$25*Assumptions!$E$41*Assumptions!$E$42*1)*Assumptions!$E$44)*Assumptions!$E$45+('Market Sizing'!$E$25*Assumptions!$E$41*Assumptions!$E$42*1)+('Market Sizing'!$E$25*Assumptions!$E$41*Assumptions!$E$42*1)*Assumptions!$E$48)*Assumptions!$E$50*(Assumptions!$E$53*12/Assumptions!$E$54)))</f>
        <v>5352</v>
      </c>
    </row>
    <row r="8262" customFormat="false" ht="15" hidden="false" customHeight="false" outlineLevel="0" collapsed="false">
      <c r="A8262" s="4" t="s">
        <v>464</v>
      </c>
      <c r="B8262" s="36" t="s">
        <v>463</v>
      </c>
      <c r="C8262" s="33" t="n">
        <f aca="false">MAX((Assumptions!$E$51+Assumptions!$E$53)*12,(((('Market Sizing'!$E$26*Assumptions!$E$41*Assumptions!$E$42*1)*Assumptions!$E$44)*Assumptions!$E$45*Assumptions!$E$46+('Market Sizing'!$E$26*Assumptions!$E$41*Assumptions!$E$42*1)*Assumptions!$E$47+('Market Sizing'!$E$26*Assumptions!$E$41*Assumptions!$E$42*1)*Assumptions!$E$48*Assumptions!$E$49)*(Assumptions!$E$51*12/Assumptions!$E$52)+((('Market Sizing'!$E$26*Assumptions!$E$41*Assumptions!$E$42*1)*Assumptions!$E$44)*Assumptions!$E$45+('Market Sizing'!$E$26*Assumptions!$E$41*Assumptions!$E$42*1)+('Market Sizing'!$E$26*Assumptions!$E$41*Assumptions!$E$42*1)*Assumptions!$E$48)*Assumptions!$E$50*(Assumptions!$E$53*12/Assumptions!$E$54)))</f>
        <v>9766.72012875208</v>
      </c>
    </row>
    <row r="8263" customFormat="false" ht="15" hidden="false" customHeight="false" outlineLevel="0" collapsed="false">
      <c r="A8263" s="4" t="s">
        <v>465</v>
      </c>
      <c r="B8263" s="36" t="s">
        <v>463</v>
      </c>
      <c r="C8263" s="33" t="n">
        <f aca="false">MAX(Assumptions!$E$55*(Assumptions!$E$51*12/Assumptions!$E$52)+Assumptions!$E$56*(Assumptions!$E$53*12/Assumptions!$E$54),(((('Market Sizing'!$E$27*Assumptions!$E$41*Assumptions!$E$42*1)*Assumptions!$E$44)*Assumptions!$E$45*Assumptions!$E$46+('Market Sizing'!$E$27*Assumptions!$E$41*Assumptions!$E$42*1)*Assumptions!$E$47+('Market Sizing'!$E$27*Assumptions!$E$41*Assumptions!$E$42*1)*Assumptions!$E$48*Assumptions!$E$49)*(Assumptions!$E$51*12/Assumptions!$E$52)+((('Market Sizing'!$E$27*Assumptions!$E$41*Assumptions!$E$42*1)*Assumptions!$E$44)*Assumptions!$E$45+('Market Sizing'!$E$27*Assumptions!$E$41*Assumptions!$E$42*1)+('Market Sizing'!$E$27*Assumptions!$E$41*Assumptions!$E$42*1)*Assumptions!$E$48)*Assumptions!$E$50*(Assumptions!$E$53*12/Assumptions!$E$54)))*(1-Assumptions!$E$57)</f>
        <v>61778.2562194386</v>
      </c>
    </row>
    <row r="8264" customFormat="false" ht="23.85" hidden="false" customHeight="false" outlineLevel="0" collapsed="false">
      <c r="A8264" s="4" t="s">
        <v>466</v>
      </c>
      <c r="B8264" s="36" t="s">
        <v>467</v>
      </c>
      <c r="C8264" s="37" t="n">
        <f aca="false">Assumptions!$E$17*Assumptions!$D$106</f>
        <v>0.4</v>
      </c>
    </row>
    <row r="8265" customFormat="false" ht="23.85" hidden="false" customHeight="false" outlineLevel="0" collapsed="false">
      <c r="A8265" s="4" t="s">
        <v>468</v>
      </c>
      <c r="B8265" s="36" t="s">
        <v>469</v>
      </c>
      <c r="C8265" s="33" t="n">
        <f aca="false">Assumptions!$E$68/Assumptions!$E$69</f>
        <v>285714.285714286</v>
      </c>
    </row>
    <row r="8266" customFormat="false" ht="23.85" hidden="false" customHeight="false" outlineLevel="0" collapsed="false">
      <c r="A8266" s="4" t="s">
        <v>470</v>
      </c>
      <c r="B8266" s="36" t="s">
        <v>471</v>
      </c>
      <c r="C8266" s="33" t="n">
        <f aca="false">Assumptions!$E$66*Assumptions!$E$67/4</f>
        <v>153125</v>
      </c>
    </row>
    <row r="8267" customFormat="false" ht="15" hidden="false" customHeight="false" outlineLevel="0" collapsed="false">
      <c r="A8267" s="4" t="s">
        <v>472</v>
      </c>
      <c r="B8267" s="36"/>
      <c r="C8267" s="38" t="n">
        <f aca="false">$C$8265/Assumptions!$E$66/Assumptions!$E$67</f>
        <v>0.466472303206997</v>
      </c>
    </row>
    <row r="8268" customFormat="false" ht="15" hidden="false" customHeight="false" outlineLevel="0" collapsed="false">
      <c r="A8268" s="4" t="s">
        <v>473</v>
      </c>
      <c r="B8268" s="36"/>
      <c r="C8268" s="33" t="n">
        <f aca="false">MAX(0,Assumptions!$D$103-Assumptions!$E$78)</f>
        <v>0</v>
      </c>
    </row>
    <row r="8269" customFormat="false" ht="15" hidden="false" customHeight="false" outlineLevel="0" collapsed="false">
      <c r="A8269" s="35" t="s">
        <v>474</v>
      </c>
      <c r="B8269" s="35" t="s">
        <v>444</v>
      </c>
      <c r="C8269" s="6" t="s">
        <v>354</v>
      </c>
      <c r="D8269" s="6" t="s">
        <v>355</v>
      </c>
      <c r="E8269" s="6" t="s">
        <v>356</v>
      </c>
      <c r="F8269" s="6" t="s">
        <v>357</v>
      </c>
      <c r="G8269" s="6" t="s">
        <v>358</v>
      </c>
      <c r="H8269" s="6" t="s">
        <v>359</v>
      </c>
      <c r="I8269" s="6" t="s">
        <v>360</v>
      </c>
      <c r="J8269" s="6" t="s">
        <v>361</v>
      </c>
      <c r="K8269" s="6" t="s">
        <v>362</v>
      </c>
      <c r="L8269" s="6" t="s">
        <v>363</v>
      </c>
      <c r="M8269" s="6" t="s">
        <v>364</v>
      </c>
      <c r="N8269" s="6" t="s">
        <v>365</v>
      </c>
      <c r="P8269" s="6" t="s">
        <v>445</v>
      </c>
      <c r="Q8269" s="6" t="s">
        <v>446</v>
      </c>
      <c r="R8269" s="6" t="s">
        <v>447</v>
      </c>
      <c r="S8269" s="6" t="s">
        <v>448</v>
      </c>
    </row>
    <row r="8270" customFormat="false" ht="15" hidden="false" customHeight="false" outlineLevel="0" collapsed="false">
      <c r="A8270" s="4" t="s">
        <v>475</v>
      </c>
      <c r="B8270" s="36" t="s">
        <v>133</v>
      </c>
      <c r="C8270" s="39" t="n">
        <v>1</v>
      </c>
      <c r="D8270" s="39" t="n">
        <v>2</v>
      </c>
      <c r="E8270" s="39" t="n">
        <v>3</v>
      </c>
      <c r="F8270" s="39" t="n">
        <v>4</v>
      </c>
      <c r="G8270" s="39" t="n">
        <v>5</v>
      </c>
      <c r="H8270" s="39" t="n">
        <v>6</v>
      </c>
      <c r="I8270" s="39" t="n">
        <v>7</v>
      </c>
      <c r="J8270" s="39" t="n">
        <v>8</v>
      </c>
      <c r="K8270" s="39" t="n">
        <v>9</v>
      </c>
      <c r="L8270" s="39" t="n">
        <v>10</v>
      </c>
      <c r="M8270" s="39" t="n">
        <v>11</v>
      </c>
      <c r="N8270" s="39" t="n">
        <v>12</v>
      </c>
      <c r="P8270" s="40"/>
      <c r="Q8270" s="40"/>
      <c r="R8270" s="40"/>
      <c r="S8270" s="41"/>
    </row>
    <row r="8271" customFormat="false" ht="15" hidden="false" customHeight="false" outlineLevel="0" collapsed="false">
      <c r="A8271" s="4" t="s">
        <v>476</v>
      </c>
      <c r="B8271" s="36" t="s">
        <v>343</v>
      </c>
      <c r="C8271" s="39" t="n">
        <f aca="false">IF(C8270&lt;=Assumptions!$E$84,1,0)</f>
        <v>1</v>
      </c>
      <c r="D8271" s="39" t="n">
        <f aca="false">IF(D8270&lt;=Assumptions!$E$84,1,0)</f>
        <v>1</v>
      </c>
      <c r="E8271" s="39" t="n">
        <f aca="false">IF(E8270&lt;=Assumptions!$E$84,1,0)</f>
        <v>1</v>
      </c>
      <c r="F8271" s="39" t="n">
        <f aca="false">IF(F8270&lt;=Assumptions!$E$84,1,0)</f>
        <v>1</v>
      </c>
      <c r="G8271" s="39" t="n">
        <f aca="false">IF(G8270&lt;=Assumptions!$E$84,1,0)</f>
        <v>1</v>
      </c>
      <c r="H8271" s="39" t="n">
        <f aca="false">IF(H8270&lt;=Assumptions!$E$84,1,0)</f>
        <v>1</v>
      </c>
      <c r="I8271" s="39" t="n">
        <f aca="false">IF(I8270&lt;=Assumptions!$E$84,1,0)</f>
        <v>1</v>
      </c>
      <c r="J8271" s="39" t="n">
        <f aca="false">IF(J8270&lt;=Assumptions!$E$84,1,0)</f>
        <v>1</v>
      </c>
      <c r="K8271" s="39" t="n">
        <f aca="false">IF(K8270&lt;=Assumptions!$E$84,1,0)</f>
        <v>1</v>
      </c>
      <c r="L8271" s="39" t="n">
        <f aca="false">IF(L8270&lt;=Assumptions!$E$84,1,0)</f>
        <v>1</v>
      </c>
      <c r="M8271" s="39" t="n">
        <f aca="false">IF(M8270&lt;=Assumptions!$E$84,1,0)</f>
        <v>1</v>
      </c>
      <c r="N8271" s="39" t="n">
        <f aca="false">IF(N8270&lt;=Assumptions!$E$84,1,0)</f>
        <v>1</v>
      </c>
      <c r="P8271" s="40"/>
      <c r="Q8271" s="40"/>
      <c r="R8271" s="40"/>
      <c r="S8271" s="41"/>
    </row>
    <row r="8272" customFormat="false" ht="15" hidden="false" customHeight="false" outlineLevel="0" collapsed="false">
      <c r="A8272" s="4" t="s">
        <v>477</v>
      </c>
      <c r="B8272" s="36" t="s">
        <v>478</v>
      </c>
      <c r="C8272" s="42" t="n">
        <f aca="false">IF(C8270=Assumptions!$E$13,0.5,IF(C8270&gt;Assumptions!$E$13,1,0))</f>
        <v>0.5</v>
      </c>
      <c r="D8272" s="42" t="n">
        <f aca="false">IF(D8270=Assumptions!$E$13,0.5,IF(D8270&gt;Assumptions!$E$13,1,0))</f>
        <v>1</v>
      </c>
      <c r="E8272" s="42" t="n">
        <f aca="false">IF(E8270=Assumptions!$E$13,0.5,IF(E8270&gt;Assumptions!$E$13,1,0))</f>
        <v>1</v>
      </c>
      <c r="F8272" s="42" t="n">
        <f aca="false">IF(F8270=Assumptions!$E$13,0.5,IF(F8270&gt;Assumptions!$E$13,1,0))</f>
        <v>1</v>
      </c>
      <c r="G8272" s="42" t="n">
        <f aca="false">IF(G8270=Assumptions!$E$13,0.5,IF(G8270&gt;Assumptions!$E$13,1,0))</f>
        <v>1</v>
      </c>
      <c r="H8272" s="42" t="n">
        <f aca="false">IF(H8270=Assumptions!$E$13,0.5,IF(H8270&gt;Assumptions!$E$13,1,0))</f>
        <v>1</v>
      </c>
      <c r="I8272" s="42" t="n">
        <f aca="false">IF(I8270=Assumptions!$E$13,0.5,IF(I8270&gt;Assumptions!$E$13,1,0))</f>
        <v>1</v>
      </c>
      <c r="J8272" s="42" t="n">
        <f aca="false">IF(J8270=Assumptions!$E$13,0.5,IF(J8270&gt;Assumptions!$E$13,1,0))</f>
        <v>1</v>
      </c>
      <c r="K8272" s="42" t="n">
        <f aca="false">IF(K8270=Assumptions!$E$13,0.5,IF(K8270&gt;Assumptions!$E$13,1,0))</f>
        <v>1</v>
      </c>
      <c r="L8272" s="42" t="n">
        <f aca="false">IF(L8270=Assumptions!$E$13,0.5,IF(L8270&gt;Assumptions!$E$13,1,0))</f>
        <v>1</v>
      </c>
      <c r="M8272" s="42" t="n">
        <f aca="false">IF(M8270=Assumptions!$E$13,0.5,IF(M8270&gt;Assumptions!$E$13,1,0))</f>
        <v>1</v>
      </c>
      <c r="N8272" s="42" t="n">
        <f aca="false">IF(N8270=Assumptions!$E$13,0.5,IF(N8270&gt;Assumptions!$E$13,1,0))</f>
        <v>1</v>
      </c>
      <c r="P8272" s="43"/>
      <c r="Q8272" s="43"/>
      <c r="R8272" s="43"/>
      <c r="S8272" s="44"/>
    </row>
    <row r="8273" customFormat="false" ht="15" hidden="false" customHeight="false" outlineLevel="0" collapsed="false">
      <c r="A8273" s="4" t="s">
        <v>479</v>
      </c>
      <c r="B8273" s="36" t="s">
        <v>478</v>
      </c>
      <c r="C8273" s="42" t="n">
        <f aca="false">IF(C8270=Assumptions!$E$14,0.5,IF(C8270&gt;Assumptions!$E$14,1,0))</f>
        <v>0</v>
      </c>
      <c r="D8273" s="42" t="n">
        <f aca="false">IF(D8270=Assumptions!$E$14,0.5,IF(D8270&gt;Assumptions!$E$14,1,0))</f>
        <v>0</v>
      </c>
      <c r="E8273" s="42" t="n">
        <f aca="false">IF(E8270=Assumptions!$E$14,0.5,IF(E8270&gt;Assumptions!$E$14,1,0))</f>
        <v>0</v>
      </c>
      <c r="F8273" s="42" t="n">
        <f aca="false">IF(F8270=Assumptions!$E$14,0.5,IF(F8270&gt;Assumptions!$E$14,1,0))</f>
        <v>0</v>
      </c>
      <c r="G8273" s="42" t="n">
        <f aca="false">IF(G8270=Assumptions!$E$14,0.5,IF(G8270&gt;Assumptions!$E$14,1,0))</f>
        <v>0.5</v>
      </c>
      <c r="H8273" s="42" t="n">
        <f aca="false">IF(H8270=Assumptions!$E$14,0.5,IF(H8270&gt;Assumptions!$E$14,1,0))</f>
        <v>1</v>
      </c>
      <c r="I8273" s="42" t="n">
        <f aca="false">IF(I8270=Assumptions!$E$14,0.5,IF(I8270&gt;Assumptions!$E$14,1,0))</f>
        <v>1</v>
      </c>
      <c r="J8273" s="42" t="n">
        <f aca="false">IF(J8270=Assumptions!$E$14,0.5,IF(J8270&gt;Assumptions!$E$14,1,0))</f>
        <v>1</v>
      </c>
      <c r="K8273" s="42" t="n">
        <f aca="false">IF(K8270=Assumptions!$E$14,0.5,IF(K8270&gt;Assumptions!$E$14,1,0))</f>
        <v>1</v>
      </c>
      <c r="L8273" s="42" t="n">
        <f aca="false">IF(L8270=Assumptions!$E$14,0.5,IF(L8270&gt;Assumptions!$E$14,1,0))</f>
        <v>1</v>
      </c>
      <c r="M8273" s="42" t="n">
        <f aca="false">IF(M8270=Assumptions!$E$14,0.5,IF(M8270&gt;Assumptions!$E$14,1,0))</f>
        <v>1</v>
      </c>
      <c r="N8273" s="42" t="n">
        <f aca="false">IF(N8270=Assumptions!$E$14,0.5,IF(N8270&gt;Assumptions!$E$14,1,0))</f>
        <v>1</v>
      </c>
      <c r="P8273" s="43"/>
      <c r="Q8273" s="43"/>
      <c r="R8273" s="43"/>
      <c r="S8273" s="44"/>
    </row>
    <row r="8274" customFormat="false" ht="15" hidden="false" customHeight="false" outlineLevel="0" collapsed="false">
      <c r="A8274" s="4" t="s">
        <v>480</v>
      </c>
      <c r="B8274" s="36" t="s">
        <v>478</v>
      </c>
      <c r="C8274" s="42" t="n">
        <f aca="false">IF(C8270=Assumptions!$E$15,0.5,IF(C8270&gt;Assumptions!$E$15,1,0))</f>
        <v>0</v>
      </c>
      <c r="D8274" s="42" t="n">
        <f aca="false">IF(D8270=Assumptions!$E$15,0.5,IF(D8270&gt;Assumptions!$E$15,1,0))</f>
        <v>0</v>
      </c>
      <c r="E8274" s="42" t="n">
        <f aca="false">IF(E8270=Assumptions!$E$15,0.5,IF(E8270&gt;Assumptions!$E$15,1,0))</f>
        <v>0</v>
      </c>
      <c r="F8274" s="42" t="n">
        <f aca="false">IF(F8270=Assumptions!$E$15,0.5,IF(F8270&gt;Assumptions!$E$15,1,0))</f>
        <v>0</v>
      </c>
      <c r="G8274" s="42" t="n">
        <f aca="false">IF(G8270=Assumptions!$E$15,0.5,IF(G8270&gt;Assumptions!$E$15,1,0))</f>
        <v>0</v>
      </c>
      <c r="H8274" s="42" t="n">
        <f aca="false">IF(H8270=Assumptions!$E$15,0.5,IF(H8270&gt;Assumptions!$E$15,1,0))</f>
        <v>0</v>
      </c>
      <c r="I8274" s="42" t="n">
        <f aca="false">IF(I8270=Assumptions!$E$15,0.5,IF(I8270&gt;Assumptions!$E$15,1,0))</f>
        <v>0.5</v>
      </c>
      <c r="J8274" s="42" t="n">
        <f aca="false">IF(J8270=Assumptions!$E$15,0.5,IF(J8270&gt;Assumptions!$E$15,1,0))</f>
        <v>1</v>
      </c>
      <c r="K8274" s="42" t="n">
        <f aca="false">IF(K8270=Assumptions!$E$15,0.5,IF(K8270&gt;Assumptions!$E$15,1,0))</f>
        <v>1</v>
      </c>
      <c r="L8274" s="42" t="n">
        <f aca="false">IF(L8270=Assumptions!$E$15,0.5,IF(L8270&gt;Assumptions!$E$15,1,0))</f>
        <v>1</v>
      </c>
      <c r="M8274" s="42" t="n">
        <f aca="false">IF(M8270=Assumptions!$E$15,0.5,IF(M8270&gt;Assumptions!$E$15,1,0))</f>
        <v>1</v>
      </c>
      <c r="N8274" s="42" t="n">
        <f aca="false">IF(N8270=Assumptions!$E$15,0.5,IF(N8270&gt;Assumptions!$E$15,1,0))</f>
        <v>1</v>
      </c>
      <c r="P8274" s="43"/>
      <c r="Q8274" s="43"/>
      <c r="R8274" s="43"/>
      <c r="S8274" s="44"/>
    </row>
    <row r="8275" customFormat="false" ht="15" hidden="false" customHeight="false" outlineLevel="0" collapsed="false">
      <c r="A8275" s="4" t="s">
        <v>481</v>
      </c>
      <c r="B8275" s="36" t="s">
        <v>478</v>
      </c>
      <c r="C8275" s="45" t="n">
        <f aca="false">Assumptions!$E$21^(MAX(0,C8270-Assumptions!$E$13)/4)</f>
        <v>1</v>
      </c>
      <c r="D8275" s="45" t="n">
        <f aca="false">Assumptions!$E$21^(MAX(0,D8270-Assumptions!$E$13)/4)</f>
        <v>0.9306048591021</v>
      </c>
      <c r="E8275" s="45" t="n">
        <f aca="false">Assumptions!$E$21^(MAX(0,E8270-Assumptions!$E$13)/4)</f>
        <v>0.866025403784439</v>
      </c>
      <c r="F8275" s="45" t="n">
        <f aca="false">Assumptions!$E$21^(MAX(0,F8270-Assumptions!$E$13)/4)</f>
        <v>0.805927448867656</v>
      </c>
      <c r="G8275" s="45" t="n">
        <f aca="false">Assumptions!$E$21^(MAX(0,G8270-Assumptions!$E$13)/4)</f>
        <v>0.75</v>
      </c>
      <c r="H8275" s="45" t="n">
        <f aca="false">Assumptions!$E$21^(MAX(0,H8270-Assumptions!$E$13)/4)</f>
        <v>0.697953644326575</v>
      </c>
      <c r="I8275" s="45" t="n">
        <f aca="false">Assumptions!$E$21^(MAX(0,I8270-Assumptions!$E$13)/4)</f>
        <v>0.649519052838329</v>
      </c>
      <c r="J8275" s="45" t="n">
        <f aca="false">Assumptions!$E$21^(MAX(0,J8270-Assumptions!$E$13)/4)</f>
        <v>0.604445586650742</v>
      </c>
      <c r="K8275" s="45" t="n">
        <f aca="false">Assumptions!$E$21^(MAX(0,K8270-Assumptions!$E$13)/4)</f>
        <v>0.5625</v>
      </c>
      <c r="L8275" s="45" t="n">
        <f aca="false">Assumptions!$E$21^(MAX(0,L8270-Assumptions!$E$13)/4)</f>
        <v>0.523465233244931</v>
      </c>
      <c r="M8275" s="45" t="n">
        <f aca="false">Assumptions!$E$21^(MAX(0,M8270-Assumptions!$E$13)/4)</f>
        <v>0.487139289628747</v>
      </c>
      <c r="N8275" s="45" t="n">
        <f aca="false">Assumptions!$E$21^(MAX(0,N8270-Assumptions!$E$13)/4)</f>
        <v>0.453334189988057</v>
      </c>
      <c r="P8275" s="46"/>
      <c r="Q8275" s="46"/>
      <c r="R8275" s="46"/>
      <c r="S8275" s="47"/>
    </row>
    <row r="8276" customFormat="false" ht="15" hidden="false" customHeight="false" outlineLevel="0" collapsed="false">
      <c r="A8276" s="4" t="s">
        <v>482</v>
      </c>
      <c r="B8276" s="36" t="s">
        <v>478</v>
      </c>
      <c r="C8276" s="45" t="n">
        <f aca="false">Assumptions!$E$21^(MAX(0,C8270-Assumptions!$E$14)/4)</f>
        <v>1</v>
      </c>
      <c r="D8276" s="45" t="n">
        <f aca="false">Assumptions!$E$21^(MAX(0,D8270-Assumptions!$E$14)/4)</f>
        <v>1</v>
      </c>
      <c r="E8276" s="45" t="n">
        <f aca="false">Assumptions!$E$21^(MAX(0,E8270-Assumptions!$E$14)/4)</f>
        <v>1</v>
      </c>
      <c r="F8276" s="45" t="n">
        <f aca="false">Assumptions!$E$21^(MAX(0,F8270-Assumptions!$E$14)/4)</f>
        <v>1</v>
      </c>
      <c r="G8276" s="45" t="n">
        <f aca="false">Assumptions!$E$21^(MAX(0,G8270-Assumptions!$E$14)/4)</f>
        <v>1</v>
      </c>
      <c r="H8276" s="45" t="n">
        <f aca="false">Assumptions!$E$21^(MAX(0,H8270-Assumptions!$E$14)/4)</f>
        <v>0.9306048591021</v>
      </c>
      <c r="I8276" s="45" t="n">
        <f aca="false">Assumptions!$E$21^(MAX(0,I8270-Assumptions!$E$14)/4)</f>
        <v>0.866025403784439</v>
      </c>
      <c r="J8276" s="45" t="n">
        <f aca="false">Assumptions!$E$21^(MAX(0,J8270-Assumptions!$E$14)/4)</f>
        <v>0.805927448867656</v>
      </c>
      <c r="K8276" s="45" t="n">
        <f aca="false">Assumptions!$E$21^(MAX(0,K8270-Assumptions!$E$14)/4)</f>
        <v>0.75</v>
      </c>
      <c r="L8276" s="45" t="n">
        <f aca="false">Assumptions!$E$21^(MAX(0,L8270-Assumptions!$E$14)/4)</f>
        <v>0.697953644326575</v>
      </c>
      <c r="M8276" s="45" t="n">
        <f aca="false">Assumptions!$E$21^(MAX(0,M8270-Assumptions!$E$14)/4)</f>
        <v>0.649519052838329</v>
      </c>
      <c r="N8276" s="45" t="n">
        <f aca="false">Assumptions!$E$21^(MAX(0,N8270-Assumptions!$E$14)/4)</f>
        <v>0.604445586650742</v>
      </c>
      <c r="P8276" s="46"/>
      <c r="Q8276" s="46"/>
      <c r="R8276" s="46"/>
      <c r="S8276" s="47"/>
    </row>
    <row r="8277" customFormat="false" ht="15" hidden="false" customHeight="false" outlineLevel="0" collapsed="false">
      <c r="A8277" s="4" t="s">
        <v>483</v>
      </c>
      <c r="B8277" s="36" t="s">
        <v>478</v>
      </c>
      <c r="C8277" s="45" t="n">
        <f aca="false">Assumptions!$E$21^(MAX(0,C8270-Assumptions!$E$15)/4)</f>
        <v>1</v>
      </c>
      <c r="D8277" s="45" t="n">
        <f aca="false">Assumptions!$E$21^(MAX(0,D8270-Assumptions!$E$15)/4)</f>
        <v>1</v>
      </c>
      <c r="E8277" s="45" t="n">
        <f aca="false">Assumptions!$E$21^(MAX(0,E8270-Assumptions!$E$15)/4)</f>
        <v>1</v>
      </c>
      <c r="F8277" s="45" t="n">
        <f aca="false">Assumptions!$E$21^(MAX(0,F8270-Assumptions!$E$15)/4)</f>
        <v>1</v>
      </c>
      <c r="G8277" s="45" t="n">
        <f aca="false">Assumptions!$E$21^(MAX(0,G8270-Assumptions!$E$15)/4)</f>
        <v>1</v>
      </c>
      <c r="H8277" s="45" t="n">
        <f aca="false">Assumptions!$E$21^(MAX(0,H8270-Assumptions!$E$15)/4)</f>
        <v>1</v>
      </c>
      <c r="I8277" s="45" t="n">
        <f aca="false">Assumptions!$E$21^(MAX(0,I8270-Assumptions!$E$15)/4)</f>
        <v>1</v>
      </c>
      <c r="J8277" s="45" t="n">
        <f aca="false">Assumptions!$E$21^(MAX(0,J8270-Assumptions!$E$15)/4)</f>
        <v>0.9306048591021</v>
      </c>
      <c r="K8277" s="45" t="n">
        <f aca="false">Assumptions!$E$21^(MAX(0,K8270-Assumptions!$E$15)/4)</f>
        <v>0.866025403784439</v>
      </c>
      <c r="L8277" s="45" t="n">
        <f aca="false">Assumptions!$E$21^(MAX(0,L8270-Assumptions!$E$15)/4)</f>
        <v>0.805927448867656</v>
      </c>
      <c r="M8277" s="45" t="n">
        <f aca="false">Assumptions!$E$21^(MAX(0,M8270-Assumptions!$E$15)/4)</f>
        <v>0.75</v>
      </c>
      <c r="N8277" s="45" t="n">
        <f aca="false">Assumptions!$E$21^(MAX(0,N8270-Assumptions!$E$15)/4)</f>
        <v>0.697953644326575</v>
      </c>
      <c r="P8277" s="46"/>
      <c r="Q8277" s="46"/>
      <c r="R8277" s="46"/>
      <c r="S8277" s="47"/>
    </row>
    <row r="8278" customFormat="false" ht="15" hidden="false" customHeight="false" outlineLevel="0" collapsed="false">
      <c r="A8278" s="4" t="s">
        <v>484</v>
      </c>
      <c r="B8278" s="36" t="s">
        <v>485</v>
      </c>
      <c r="C8278" s="39" t="n">
        <f aca="false">$C$8249*C8272+$C$8253*C8273+$C$8257*C8274</f>
        <v>421.51972352</v>
      </c>
      <c r="D8278" s="39" t="n">
        <f aca="false">$C$8249*D8272+$C$8253*D8273+$C$8257*D8274</f>
        <v>843.03944704</v>
      </c>
      <c r="E8278" s="39" t="n">
        <f aca="false">$C$8249*E8272+$C$8253*E8273+$C$8257*E8274</f>
        <v>843.03944704</v>
      </c>
      <c r="F8278" s="39" t="n">
        <f aca="false">$C$8249*F8272+$C$8253*F8273+$C$8257*F8274</f>
        <v>843.03944704</v>
      </c>
      <c r="G8278" s="39" t="n">
        <f aca="false">$C$8249*G8272+$C$8253*G8273+$C$8257*G8274</f>
        <v>1149.32798176</v>
      </c>
      <c r="H8278" s="39" t="n">
        <f aca="false">$C$8249*H8272+$C$8253*H8273+$C$8257*H8274</f>
        <v>1455.61651648</v>
      </c>
      <c r="I8278" s="39" t="n">
        <f aca="false">$C$8249*I8272+$C$8253*I8273+$C$8257*I8274</f>
        <v>2486.00303616</v>
      </c>
      <c r="J8278" s="39" t="n">
        <f aca="false">$C$8249*J8272+$C$8253*J8273+$C$8257*J8274</f>
        <v>3516.38955584</v>
      </c>
      <c r="K8278" s="39" t="n">
        <f aca="false">$C$8249*K8272+$C$8253*K8273+$C$8257*K8274</f>
        <v>3516.38955584</v>
      </c>
      <c r="L8278" s="39" t="n">
        <f aca="false">$C$8249*L8272+$C$8253*L8273+$C$8257*L8274</f>
        <v>3516.38955584</v>
      </c>
      <c r="M8278" s="39" t="n">
        <f aca="false">$C$8249*M8272+$C$8253*M8273+$C$8257*M8274</f>
        <v>3516.38955584</v>
      </c>
      <c r="N8278" s="39" t="n">
        <f aca="false">$C$8249*N8272+$C$8253*N8273+$C$8257*N8274</f>
        <v>3516.38955584</v>
      </c>
      <c r="P8278" s="40" t="n">
        <f aca="false">F8278</f>
        <v>843.03944704</v>
      </c>
      <c r="Q8278" s="40" t="n">
        <f aca="false">J8278</f>
        <v>3516.38955584</v>
      </c>
      <c r="R8278" s="40" t="n">
        <f aca="false">N8278</f>
        <v>3516.38955584</v>
      </c>
      <c r="S8278" s="41" t="n">
        <f aca="false">R8278</f>
        <v>3516.38955584</v>
      </c>
    </row>
    <row r="8279" customFormat="false" ht="15" hidden="false" customHeight="false" outlineLevel="0" collapsed="false">
      <c r="A8279" s="4" t="s">
        <v>486</v>
      </c>
      <c r="B8279" s="36" t="s">
        <v>485</v>
      </c>
      <c r="C8279" s="39" t="n">
        <f aca="false">$C$8250*C8272+$C$8254*C8273+$C$8258*C8274</f>
        <v>105.59808</v>
      </c>
      <c r="D8279" s="39" t="n">
        <f aca="false">$C$8250*D8272+$C$8254*D8273+$C$8258*D8274</f>
        <v>211.19616</v>
      </c>
      <c r="E8279" s="39" t="n">
        <f aca="false">$C$8250*E8272+$C$8254*E8273+$C$8258*E8274</f>
        <v>211.19616</v>
      </c>
      <c r="F8279" s="39" t="n">
        <f aca="false">$C$8250*F8272+$C$8254*F8273+$C$8258*F8274</f>
        <v>211.19616</v>
      </c>
      <c r="G8279" s="39" t="n">
        <f aca="false">$C$8250*G8272+$C$8254*G8273+$C$8258*G8274</f>
        <v>282.24672</v>
      </c>
      <c r="H8279" s="39" t="n">
        <f aca="false">$C$8250*H8272+$C$8254*H8273+$C$8258*H8274</f>
        <v>353.29728</v>
      </c>
      <c r="I8279" s="39" t="n">
        <f aca="false">$C$8250*I8272+$C$8254*I8273+$C$8258*I8274</f>
        <v>567.53536</v>
      </c>
      <c r="J8279" s="39" t="n">
        <f aca="false">$C$8250*J8272+$C$8254*J8273+$C$8258*J8274</f>
        <v>781.77344</v>
      </c>
      <c r="K8279" s="39" t="n">
        <f aca="false">$C$8250*K8272+$C$8254*K8273+$C$8258*K8274</f>
        <v>781.77344</v>
      </c>
      <c r="L8279" s="39" t="n">
        <f aca="false">$C$8250*L8272+$C$8254*L8273+$C$8258*L8274</f>
        <v>781.77344</v>
      </c>
      <c r="M8279" s="39" t="n">
        <f aca="false">$C$8250*M8272+$C$8254*M8273+$C$8258*M8274</f>
        <v>781.77344</v>
      </c>
      <c r="N8279" s="39" t="n">
        <f aca="false">$C$8250*N8272+$C$8254*N8273+$C$8258*N8274</f>
        <v>781.77344</v>
      </c>
      <c r="P8279" s="40" t="n">
        <f aca="false">F8279</f>
        <v>211.19616</v>
      </c>
      <c r="Q8279" s="40" t="n">
        <f aca="false">J8279</f>
        <v>781.77344</v>
      </c>
      <c r="R8279" s="40" t="n">
        <f aca="false">N8279</f>
        <v>781.77344</v>
      </c>
      <c r="S8279" s="41" t="n">
        <f aca="false">R8279</f>
        <v>781.77344</v>
      </c>
    </row>
    <row r="8280" customFormat="false" ht="15" hidden="false" customHeight="false" outlineLevel="0" collapsed="false">
      <c r="A8280" s="4" t="s">
        <v>487</v>
      </c>
      <c r="B8280" s="36" t="s">
        <v>485</v>
      </c>
      <c r="C8280" s="39" t="n">
        <f aca="false">$C$8251*C8272+$C$8255*C8273+$C$8259*C8274</f>
        <v>24.76992</v>
      </c>
      <c r="D8280" s="39" t="n">
        <f aca="false">$C$8251*D8272+$C$8255*D8273+$C$8259*D8274</f>
        <v>49.53984</v>
      </c>
      <c r="E8280" s="39" t="n">
        <f aca="false">$C$8251*E8272+$C$8255*E8273+$C$8259*E8274</f>
        <v>49.53984</v>
      </c>
      <c r="F8280" s="39" t="n">
        <f aca="false">$C$8251*F8272+$C$8255*F8273+$C$8259*F8274</f>
        <v>49.53984</v>
      </c>
      <c r="G8280" s="39" t="n">
        <f aca="false">$C$8251*G8272+$C$8255*G8273+$C$8259*G8274</f>
        <v>61.9248</v>
      </c>
      <c r="H8280" s="39" t="n">
        <f aca="false">$C$8251*H8272+$C$8255*H8273+$C$8259*H8274</f>
        <v>74.30976</v>
      </c>
      <c r="I8280" s="39" t="n">
        <f aca="false">$C$8251*I8272+$C$8255*I8273+$C$8259*I8274</f>
        <v>114.072</v>
      </c>
      <c r="J8280" s="39" t="n">
        <f aca="false">$C$8251*J8272+$C$8255*J8273+$C$8259*J8274</f>
        <v>153.83424</v>
      </c>
      <c r="K8280" s="39" t="n">
        <f aca="false">$C$8251*K8272+$C$8255*K8273+$C$8259*K8274</f>
        <v>153.83424</v>
      </c>
      <c r="L8280" s="39" t="n">
        <f aca="false">$C$8251*L8272+$C$8255*L8273+$C$8259*L8274</f>
        <v>153.83424</v>
      </c>
      <c r="M8280" s="39" t="n">
        <f aca="false">$C$8251*M8272+$C$8255*M8273+$C$8259*M8274</f>
        <v>153.83424</v>
      </c>
      <c r="N8280" s="39" t="n">
        <f aca="false">$C$8251*N8272+$C$8255*N8273+$C$8259*N8274</f>
        <v>153.83424</v>
      </c>
      <c r="P8280" s="40" t="n">
        <f aca="false">F8280</f>
        <v>49.53984</v>
      </c>
      <c r="Q8280" s="40" t="n">
        <f aca="false">J8280</f>
        <v>153.83424</v>
      </c>
      <c r="R8280" s="40" t="n">
        <f aca="false">N8280</f>
        <v>153.83424</v>
      </c>
      <c r="S8280" s="41" t="n">
        <f aca="false">R8280</f>
        <v>153.83424</v>
      </c>
    </row>
    <row r="8281" customFormat="false" ht="15" hidden="false" customHeight="false" outlineLevel="0" collapsed="false">
      <c r="A8281" s="4" t="s">
        <v>488</v>
      </c>
      <c r="B8281" s="36" t="s">
        <v>485</v>
      </c>
      <c r="C8281" s="39" t="n">
        <f aca="false">C8278+C8279+C8280</f>
        <v>551.88772352</v>
      </c>
      <c r="D8281" s="39" t="n">
        <f aca="false">D8278+D8279+D8280</f>
        <v>1103.77544704</v>
      </c>
      <c r="E8281" s="39" t="n">
        <f aca="false">E8278+E8279+E8280</f>
        <v>1103.77544704</v>
      </c>
      <c r="F8281" s="39" t="n">
        <f aca="false">F8278+F8279+F8280</f>
        <v>1103.77544704</v>
      </c>
      <c r="G8281" s="39" t="n">
        <f aca="false">G8278+G8279+G8280</f>
        <v>1493.49950176</v>
      </c>
      <c r="H8281" s="39" t="n">
        <f aca="false">H8278+H8279+H8280</f>
        <v>1883.22355648</v>
      </c>
      <c r="I8281" s="39" t="n">
        <f aca="false">I8278+I8279+I8280</f>
        <v>3167.61039616</v>
      </c>
      <c r="J8281" s="39" t="n">
        <f aca="false">J8278+J8279+J8280</f>
        <v>4451.99723584</v>
      </c>
      <c r="K8281" s="39" t="n">
        <f aca="false">K8278+K8279+K8280</f>
        <v>4451.99723584</v>
      </c>
      <c r="L8281" s="39" t="n">
        <f aca="false">L8278+L8279+L8280</f>
        <v>4451.99723584</v>
      </c>
      <c r="M8281" s="39" t="n">
        <f aca="false">M8278+M8279+M8280</f>
        <v>4451.99723584</v>
      </c>
      <c r="N8281" s="39" t="n">
        <f aca="false">N8278+N8279+N8280</f>
        <v>4451.99723584</v>
      </c>
      <c r="P8281" s="40" t="n">
        <f aca="false">F8281</f>
        <v>1103.77544704</v>
      </c>
      <c r="Q8281" s="40" t="n">
        <f aca="false">J8281</f>
        <v>4451.99723584</v>
      </c>
      <c r="R8281" s="40" t="n">
        <f aca="false">N8281</f>
        <v>4451.99723584</v>
      </c>
      <c r="S8281" s="41" t="n">
        <f aca="false">R8281</f>
        <v>4451.99723584</v>
      </c>
    </row>
    <row r="8282" customFormat="false" ht="15" hidden="false" customHeight="false" outlineLevel="0" collapsed="false">
      <c r="A8282" s="4" t="s">
        <v>489</v>
      </c>
      <c r="B8282" s="36" t="s">
        <v>485</v>
      </c>
      <c r="C8282" s="39" t="n">
        <f aca="false">$C$8252*C8272*C8275+$C$8256*C8273*C8276+$C$8260*C8274*C8277</f>
        <v>551.88772352</v>
      </c>
      <c r="D8282" s="39" t="n">
        <f aca="false">$C$8252*D8272*D8275+$C$8256*D8273*D8276+$C$8260*D8274*D8277</f>
        <v>1027.17879437302</v>
      </c>
      <c r="E8282" s="39" t="n">
        <f aca="false">$C$8252*E8272*E8275+$C$8256*E8273*E8276+$C$8260*E8274*E8277</f>
        <v>955.897577210165</v>
      </c>
      <c r="F8282" s="39" t="n">
        <f aca="false">$C$8252*F8272*F8275+$C$8256*F8273*F8276+$C$8260*F8274*F8277</f>
        <v>889.562930155704</v>
      </c>
      <c r="G8282" s="39" t="n">
        <f aca="false">$C$8252*G8272*G8275+$C$8256*G8273*G8276+$C$8260*G8274*G8277</f>
        <v>1217.55564</v>
      </c>
      <c r="H8282" s="39" t="n">
        <f aca="false">$C$8252*H8272*H8275+$C$8256*H8273*H8276+$C$8260*H8274*H8277</f>
        <v>1495.74229384257</v>
      </c>
      <c r="I8282" s="39" t="n">
        <f aca="false">$C$8252*I8272*I8275+$C$8256*I8273*I8276+$C$8260*I8274*I8277</f>
        <v>2676.33188629442</v>
      </c>
      <c r="J8282" s="39" t="n">
        <f aca="false">$C$8252*J8272*J8275+$C$8256*J8273*J8276+$C$8260*J8274*J8277</f>
        <v>3685.86409192847</v>
      </c>
      <c r="K8282" s="39" t="n">
        <f aca="false">$C$8252*K8272*K8275+$C$8256*K8273*K8276+$C$8260*K8274*K8277</f>
        <v>3430.08303393858</v>
      </c>
      <c r="L8282" s="39" t="n">
        <f aca="false">$C$8252*L8272*L8275+$C$8256*L8273*L8276+$C$8260*L8274*L8277</f>
        <v>3192.05193850692</v>
      </c>
      <c r="M8282" s="39" t="n">
        <f aca="false">$C$8252*M8272*M8275+$C$8256*M8273*M8276+$C$8260*M8274*M8277</f>
        <v>2970.53904448081</v>
      </c>
      <c r="N8282" s="39" t="n">
        <f aca="false">$C$8252*N8272*N8275+$C$8256*N8273*N8276+$C$8260*N8274*N8277</f>
        <v>2764.39806894635</v>
      </c>
      <c r="P8282" s="40"/>
      <c r="Q8282" s="40"/>
      <c r="R8282" s="40"/>
      <c r="S8282" s="41"/>
    </row>
    <row r="8283" customFormat="false" ht="15" hidden="false" customHeight="false" outlineLevel="0" collapsed="false">
      <c r="A8283" s="4" t="s">
        <v>490</v>
      </c>
      <c r="B8283" s="36" t="s">
        <v>491</v>
      </c>
      <c r="C8283" s="48" t="n">
        <f aca="false">$C$8264*Assumptions!$E$20*C8271*C8282</f>
        <v>6.62265268224</v>
      </c>
      <c r="D8283" s="48" t="n">
        <f aca="false">$C$8264*Assumptions!$E$20*D8271*D8282</f>
        <v>12.3261455324762</v>
      </c>
      <c r="E8283" s="48" t="n">
        <f aca="false">$C$8264*Assumptions!$E$20*E8271*E8282</f>
        <v>11.470770926522</v>
      </c>
      <c r="F8283" s="48" t="n">
        <f aca="false">$C$8264*Assumptions!$E$20*F8271*F8282</f>
        <v>10.6747551618685</v>
      </c>
      <c r="G8283" s="48" t="n">
        <f aca="false">$C$8264*Assumptions!$E$20*G8271*G8282</f>
        <v>14.61066768</v>
      </c>
      <c r="H8283" s="48" t="n">
        <f aca="false">$C$8264*Assumptions!$E$20*H8271*H8282</f>
        <v>17.9489075261109</v>
      </c>
      <c r="I8283" s="48" t="n">
        <f aca="false">$C$8264*Assumptions!$E$20*I8271*I8282</f>
        <v>32.115982635533</v>
      </c>
      <c r="J8283" s="48" t="n">
        <f aca="false">$C$8264*Assumptions!$E$20*J8271*J8282</f>
        <v>44.2303691031417</v>
      </c>
      <c r="K8283" s="48" t="n">
        <f aca="false">$C$8264*Assumptions!$E$20*K8271*K8282</f>
        <v>41.160996407263</v>
      </c>
      <c r="L8283" s="48" t="n">
        <f aca="false">$C$8264*Assumptions!$E$20*L8271*L8282</f>
        <v>38.304623262083</v>
      </c>
      <c r="M8283" s="48" t="n">
        <f aca="false">$C$8264*Assumptions!$E$20*M8271*M8282</f>
        <v>35.6464685337698</v>
      </c>
      <c r="N8283" s="48" t="n">
        <f aca="false">$C$8264*Assumptions!$E$20*N8271*N8282</f>
        <v>33.1727768273562</v>
      </c>
      <c r="P8283" s="49" t="n">
        <f aca="false">SUM(C8283:F8283)</f>
        <v>41.0943243031066</v>
      </c>
      <c r="Q8283" s="49" t="n">
        <f aca="false">SUM(G8283:J8283)</f>
        <v>108.905926944786</v>
      </c>
      <c r="R8283" s="49" t="n">
        <f aca="false">SUM(K8283:N8283)</f>
        <v>148.284865030472</v>
      </c>
      <c r="S8283" s="50" t="n">
        <f aca="false">SUM(P8283:R8283)</f>
        <v>298.285116278364</v>
      </c>
    </row>
    <row r="8284" customFormat="false" ht="15" hidden="false" customHeight="false" outlineLevel="0" collapsed="false">
      <c r="A8284" s="4" t="s">
        <v>492</v>
      </c>
      <c r="B8284" s="36" t="s">
        <v>321</v>
      </c>
      <c r="C8284" s="48" t="n">
        <f aca="false">Assumptions!$D$111</f>
        <v>0</v>
      </c>
      <c r="D8284" s="48" t="n">
        <f aca="false">Assumptions!$E$111</f>
        <v>0</v>
      </c>
      <c r="E8284" s="48" t="n">
        <f aca="false">Assumptions!$F$111</f>
        <v>0</v>
      </c>
      <c r="F8284" s="48" t="n">
        <f aca="false">Assumptions!$G$111</f>
        <v>0</v>
      </c>
      <c r="G8284" s="48" t="n">
        <f aca="false">Assumptions!$H$111</f>
        <v>0</v>
      </c>
      <c r="H8284" s="48" t="n">
        <f aca="false">Assumptions!$I$111</f>
        <v>0</v>
      </c>
      <c r="I8284" s="48" t="n">
        <f aca="false">Assumptions!$J$111</f>
        <v>0</v>
      </c>
      <c r="J8284" s="48" t="n">
        <f aca="false">Assumptions!$K$111</f>
        <v>0</v>
      </c>
      <c r="K8284" s="48" t="n">
        <f aca="false">Assumptions!$L$111</f>
        <v>0</v>
      </c>
      <c r="L8284" s="48" t="n">
        <f aca="false">Assumptions!$M$111</f>
        <v>0</v>
      </c>
      <c r="M8284" s="48" t="n">
        <f aca="false">Assumptions!$N$111</f>
        <v>0</v>
      </c>
      <c r="N8284" s="48" t="n">
        <f aca="false">Assumptions!$O$111</f>
        <v>0</v>
      </c>
      <c r="P8284" s="49" t="n">
        <f aca="false">F8284</f>
        <v>0</v>
      </c>
      <c r="Q8284" s="49" t="n">
        <f aca="false">J8284</f>
        <v>0</v>
      </c>
      <c r="R8284" s="49" t="n">
        <f aca="false">N8284</f>
        <v>0</v>
      </c>
      <c r="S8284" s="50" t="n">
        <f aca="false">R8284</f>
        <v>0</v>
      </c>
    </row>
    <row r="8285" customFormat="false" ht="15" hidden="false" customHeight="false" outlineLevel="0" collapsed="false">
      <c r="A8285" s="4" t="s">
        <v>493</v>
      </c>
      <c r="B8285" s="36" t="s">
        <v>321</v>
      </c>
      <c r="C8285" s="48" t="n">
        <f aca="false">0</f>
        <v>0</v>
      </c>
      <c r="D8285" s="48" t="n">
        <f aca="false">0.5*C8284</f>
        <v>0</v>
      </c>
      <c r="E8285" s="48" t="n">
        <f aca="false">C8284+0.5*(D8284-C8284)</f>
        <v>0</v>
      </c>
      <c r="F8285" s="48" t="n">
        <f aca="false">D8284+0.5*(E8284-D8284)</f>
        <v>0</v>
      </c>
      <c r="G8285" s="48" t="n">
        <f aca="false">E8284+0.5*(F8284-E8284)</f>
        <v>0</v>
      </c>
      <c r="H8285" s="48" t="n">
        <f aca="false">F8284+0.5*(G8284-F8284)</f>
        <v>0</v>
      </c>
      <c r="I8285" s="48" t="n">
        <f aca="false">G8284+0.5*(H8284-G8284)</f>
        <v>0</v>
      </c>
      <c r="J8285" s="48" t="n">
        <f aca="false">H8284+0.5*(I8284-H8284)</f>
        <v>0</v>
      </c>
      <c r="K8285" s="48" t="n">
        <f aca="false">I8284+0.5*(J8284-I8284)</f>
        <v>0</v>
      </c>
      <c r="L8285" s="48" t="n">
        <f aca="false">J8284+0.5*(K8284-J8284)</f>
        <v>0</v>
      </c>
      <c r="M8285" s="48" t="n">
        <f aca="false">K8284+0.5*(L8284-K8284)</f>
        <v>0</v>
      </c>
      <c r="N8285" s="48" t="n">
        <f aca="false">L8284+0.5*(M8284-L8284)</f>
        <v>0</v>
      </c>
      <c r="P8285" s="49" t="n">
        <f aca="false">F8285</f>
        <v>0</v>
      </c>
      <c r="Q8285" s="49" t="n">
        <f aca="false">J8285</f>
        <v>0</v>
      </c>
      <c r="R8285" s="49" t="n">
        <f aca="false">N8285</f>
        <v>0</v>
      </c>
      <c r="S8285" s="50" t="n">
        <f aca="false">R8285</f>
        <v>0</v>
      </c>
    </row>
    <row r="8286" customFormat="false" ht="15" hidden="false" customHeight="false" outlineLevel="0" collapsed="false">
      <c r="A8286" s="4" t="s">
        <v>494</v>
      </c>
      <c r="B8286" s="36" t="s">
        <v>485</v>
      </c>
      <c r="C8286" s="39" t="n">
        <f aca="false">MIN(C8285*Assumptions!$E$38,C8281*(1-$C$8264))</f>
        <v>0</v>
      </c>
      <c r="D8286" s="39" t="n">
        <f aca="false">MIN(D8285*Assumptions!$E$38,D8281*(1-$C$8264))</f>
        <v>0</v>
      </c>
      <c r="E8286" s="39" t="n">
        <f aca="false">MIN(E8285*Assumptions!$E$38,E8281*(1-$C$8264))</f>
        <v>0</v>
      </c>
      <c r="F8286" s="39" t="n">
        <f aca="false">MIN(F8285*Assumptions!$E$38,F8281*(1-$C$8264))</f>
        <v>0</v>
      </c>
      <c r="G8286" s="39" t="n">
        <f aca="false">MIN(G8285*Assumptions!$E$38,G8281*(1-$C$8264))</f>
        <v>0</v>
      </c>
      <c r="H8286" s="39" t="n">
        <f aca="false">MIN(H8285*Assumptions!$E$38,H8281*(1-$C$8264))</f>
        <v>0</v>
      </c>
      <c r="I8286" s="39" t="n">
        <f aca="false">MIN(I8285*Assumptions!$E$38,I8281*(1-$C$8264))</f>
        <v>0</v>
      </c>
      <c r="J8286" s="39" t="n">
        <f aca="false">MIN(J8285*Assumptions!$E$38,J8281*(1-$C$8264))</f>
        <v>0</v>
      </c>
      <c r="K8286" s="39" t="n">
        <f aca="false">MIN(K8285*Assumptions!$E$38,K8281*(1-$C$8264))</f>
        <v>0</v>
      </c>
      <c r="L8286" s="39" t="n">
        <f aca="false">MIN(L8285*Assumptions!$E$38,L8281*(1-$C$8264))</f>
        <v>0</v>
      </c>
      <c r="M8286" s="39" t="n">
        <f aca="false">MIN(M8285*Assumptions!$E$38,M8281*(1-$C$8264))</f>
        <v>0</v>
      </c>
      <c r="N8286" s="39" t="n">
        <f aca="false">MIN(N8285*Assumptions!$E$38,N8281*(1-$C$8264))</f>
        <v>0</v>
      </c>
      <c r="P8286" s="40" t="n">
        <f aca="false">SUM(C8286:F8286)</f>
        <v>0</v>
      </c>
      <c r="Q8286" s="40" t="n">
        <f aca="false">SUM(G8286:J8286)</f>
        <v>0</v>
      </c>
      <c r="R8286" s="40" t="n">
        <f aca="false">SUM(K8286:N8286)</f>
        <v>0</v>
      </c>
      <c r="S8286" s="41" t="n">
        <f aca="false">SUM(P8286:R8286)</f>
        <v>0</v>
      </c>
    </row>
    <row r="8287" customFormat="false" ht="15" hidden="false" customHeight="false" outlineLevel="0" collapsed="false">
      <c r="A8287" s="4" t="s">
        <v>495</v>
      </c>
      <c r="B8287" s="36" t="s">
        <v>491</v>
      </c>
      <c r="C8287" s="48" t="n">
        <f aca="false">C8286*Assumptions!$E$20*Assumptions!$E$39*IF(C8281&gt;0,C8282/C8281,0)*C8271</f>
        <v>0</v>
      </c>
      <c r="D8287" s="48" t="n">
        <f aca="false">D8286*Assumptions!$E$20*Assumptions!$E$39*IF(D8281&gt;0,D8282/D8281,0)*D8271</f>
        <v>0</v>
      </c>
      <c r="E8287" s="48" t="n">
        <f aca="false">E8286*Assumptions!$E$20*Assumptions!$E$39*IF(E8281&gt;0,E8282/E8281,0)*E8271</f>
        <v>0</v>
      </c>
      <c r="F8287" s="48" t="n">
        <f aca="false">F8286*Assumptions!$E$20*Assumptions!$E$39*IF(F8281&gt;0,F8282/F8281,0)*F8271</f>
        <v>0</v>
      </c>
      <c r="G8287" s="48" t="n">
        <f aca="false">G8286*Assumptions!$E$20*Assumptions!$E$39*IF(G8281&gt;0,G8282/G8281,0)*G8271</f>
        <v>0</v>
      </c>
      <c r="H8287" s="48" t="n">
        <f aca="false">H8286*Assumptions!$E$20*Assumptions!$E$39*IF(H8281&gt;0,H8282/H8281,0)*H8271</f>
        <v>0</v>
      </c>
      <c r="I8287" s="48" t="n">
        <f aca="false">I8286*Assumptions!$E$20*Assumptions!$E$39*IF(I8281&gt;0,I8282/I8281,0)*I8271</f>
        <v>0</v>
      </c>
      <c r="J8287" s="48" t="n">
        <f aca="false">J8286*Assumptions!$E$20*Assumptions!$E$39*IF(J8281&gt;0,J8282/J8281,0)*J8271</f>
        <v>0</v>
      </c>
      <c r="K8287" s="48" t="n">
        <f aca="false">K8286*Assumptions!$E$20*Assumptions!$E$39*IF(K8281&gt;0,K8282/K8281,0)*K8271</f>
        <v>0</v>
      </c>
      <c r="L8287" s="48" t="n">
        <f aca="false">L8286*Assumptions!$E$20*Assumptions!$E$39*IF(L8281&gt;0,L8282/L8281,0)*L8271</f>
        <v>0</v>
      </c>
      <c r="M8287" s="48" t="n">
        <f aca="false">M8286*Assumptions!$E$20*Assumptions!$E$39*IF(M8281&gt;0,M8282/M8281,0)*M8271</f>
        <v>0</v>
      </c>
      <c r="N8287" s="48" t="n">
        <f aca="false">N8286*Assumptions!$E$20*Assumptions!$E$39*IF(N8281&gt;0,N8282/N8281,0)*N8271</f>
        <v>0</v>
      </c>
      <c r="P8287" s="49" t="n">
        <f aca="false">SUM(C8287:F8287)</f>
        <v>0</v>
      </c>
      <c r="Q8287" s="49" t="n">
        <f aca="false">SUM(G8287:J8287)</f>
        <v>0</v>
      </c>
      <c r="R8287" s="49" t="n">
        <f aca="false">SUM(K8287:N8287)</f>
        <v>0</v>
      </c>
      <c r="S8287" s="50" t="n">
        <f aca="false">SUM(P8287:R8287)</f>
        <v>0</v>
      </c>
    </row>
    <row r="8288" customFormat="false" ht="15" hidden="false" customHeight="false" outlineLevel="0" collapsed="false">
      <c r="A8288" s="4" t="s">
        <v>496</v>
      </c>
      <c r="B8288" s="36" t="s">
        <v>497</v>
      </c>
      <c r="C8288" s="48" t="n">
        <f aca="false">IF(AND(C8281&gt;0,$C$8268&gt;0),C8281*Assumptions!$E$24*(1-EXP(-$C$8268/(Assumptions!$E$23*C8281*Assumptions!$E$24))),0)</f>
        <v>0</v>
      </c>
      <c r="D8288" s="48" t="n">
        <f aca="false">IF(AND(D8281&gt;0,$C$8268&gt;0),D8281*Assumptions!$E$24*(1-EXP(-$C$8268/(Assumptions!$E$23*D8281*Assumptions!$E$24))),0)</f>
        <v>0</v>
      </c>
      <c r="E8288" s="48" t="n">
        <f aca="false">IF(AND(E8281&gt;0,$C$8268&gt;0),E8281*Assumptions!$E$24*(1-EXP(-$C$8268/(Assumptions!$E$23*E8281*Assumptions!$E$24))),0)</f>
        <v>0</v>
      </c>
      <c r="F8288" s="48" t="n">
        <f aca="false">IF(AND(F8281&gt;0,$C$8268&gt;0),F8281*Assumptions!$E$24*(1-EXP(-$C$8268/(Assumptions!$E$23*F8281*Assumptions!$E$24))),0)</f>
        <v>0</v>
      </c>
      <c r="G8288" s="48" t="n">
        <f aca="false">IF(AND(G8281&gt;0,$C$8268&gt;0),G8281*Assumptions!$E$24*(1-EXP(-$C$8268/(Assumptions!$E$23*G8281*Assumptions!$E$24))),0)</f>
        <v>0</v>
      </c>
      <c r="H8288" s="48" t="n">
        <f aca="false">IF(AND(H8281&gt;0,$C$8268&gt;0),H8281*Assumptions!$E$24*(1-EXP(-$C$8268/(Assumptions!$E$23*H8281*Assumptions!$E$24))),0)</f>
        <v>0</v>
      </c>
      <c r="I8288" s="48" t="n">
        <f aca="false">IF(AND(I8281&gt;0,$C$8268&gt;0),I8281*Assumptions!$E$24*(1-EXP(-$C$8268/(Assumptions!$E$23*I8281*Assumptions!$E$24))),0)</f>
        <v>0</v>
      </c>
      <c r="J8288" s="48" t="n">
        <f aca="false">IF(AND(J8281&gt;0,$C$8268&gt;0),J8281*Assumptions!$E$24*(1-EXP(-$C$8268/(Assumptions!$E$23*J8281*Assumptions!$E$24))),0)</f>
        <v>0</v>
      </c>
      <c r="K8288" s="48" t="n">
        <f aca="false">IF(AND(K8281&gt;0,$C$8268&gt;0),K8281*Assumptions!$E$24*(1-EXP(-$C$8268/(Assumptions!$E$23*K8281*Assumptions!$E$24))),0)</f>
        <v>0</v>
      </c>
      <c r="L8288" s="48" t="n">
        <f aca="false">IF(AND(L8281&gt;0,$C$8268&gt;0),L8281*Assumptions!$E$24*(1-EXP(-$C$8268/(Assumptions!$E$23*L8281*Assumptions!$E$24))),0)</f>
        <v>0</v>
      </c>
      <c r="M8288" s="48" t="n">
        <f aca="false">IF(AND(M8281&gt;0,$C$8268&gt;0),M8281*Assumptions!$E$24*(1-EXP(-$C$8268/(Assumptions!$E$23*M8281*Assumptions!$E$24))),0)</f>
        <v>0</v>
      </c>
      <c r="N8288" s="48" t="n">
        <f aca="false">IF(AND(N8281&gt;0,$C$8268&gt;0),N8281*Assumptions!$E$24*(1-EXP(-$C$8268/(Assumptions!$E$23*N8281*Assumptions!$E$24))),0)</f>
        <v>0</v>
      </c>
      <c r="P8288" s="49" t="n">
        <f aca="false">SUM(C8288:F8288)</f>
        <v>0</v>
      </c>
      <c r="Q8288" s="49" t="n">
        <f aca="false">SUM(G8288:J8288)</f>
        <v>0</v>
      </c>
      <c r="R8288" s="49" t="n">
        <f aca="false">SUM(K8288:N8288)</f>
        <v>0</v>
      </c>
      <c r="S8288" s="50" t="n">
        <f aca="false">SUM(P8288:R8288)</f>
        <v>0</v>
      </c>
    </row>
    <row r="8289" customFormat="false" ht="15" hidden="false" customHeight="false" outlineLevel="0" collapsed="false">
      <c r="A8289" s="4" t="s">
        <v>498</v>
      </c>
      <c r="B8289" s="36" t="s">
        <v>497</v>
      </c>
      <c r="C8289" s="48" t="n">
        <f aca="false">(C8281*Assumptions!$E$22*MIN(1,Assumptions!$D$103/Assumptions!$E$78)+C8288)*C8271</f>
        <v>5.5188772352</v>
      </c>
      <c r="D8289" s="48" t="n">
        <f aca="false">(D8281*Assumptions!$E$22*MIN(1,Assumptions!$D$103/Assumptions!$E$78)+D8288)*D8271</f>
        <v>11.0377544704</v>
      </c>
      <c r="E8289" s="48" t="n">
        <f aca="false">(E8281*Assumptions!$E$22*MIN(1,Assumptions!$D$103/Assumptions!$E$78)+E8288)*E8271</f>
        <v>11.0377544704</v>
      </c>
      <c r="F8289" s="48" t="n">
        <f aca="false">(F8281*Assumptions!$E$22*MIN(1,Assumptions!$D$103/Assumptions!$E$78)+F8288)*F8271</f>
        <v>11.0377544704</v>
      </c>
      <c r="G8289" s="48" t="n">
        <f aca="false">(G8281*Assumptions!$E$22*MIN(1,Assumptions!$D$103/Assumptions!$E$78)+G8288)*G8271</f>
        <v>14.9349950176</v>
      </c>
      <c r="H8289" s="48" t="n">
        <f aca="false">(H8281*Assumptions!$E$22*MIN(1,Assumptions!$D$103/Assumptions!$E$78)+H8288)*H8271</f>
        <v>18.8322355648</v>
      </c>
      <c r="I8289" s="48" t="n">
        <f aca="false">(I8281*Assumptions!$E$22*MIN(1,Assumptions!$D$103/Assumptions!$E$78)+I8288)*I8271</f>
        <v>31.6761039616</v>
      </c>
      <c r="J8289" s="48" t="n">
        <f aca="false">(J8281*Assumptions!$E$22*MIN(1,Assumptions!$D$103/Assumptions!$E$78)+J8288)*J8271</f>
        <v>44.5199723584</v>
      </c>
      <c r="K8289" s="48" t="n">
        <f aca="false">(K8281*Assumptions!$E$22*MIN(1,Assumptions!$D$103/Assumptions!$E$78)+K8288)*K8271</f>
        <v>44.5199723584</v>
      </c>
      <c r="L8289" s="48" t="n">
        <f aca="false">(L8281*Assumptions!$E$22*MIN(1,Assumptions!$D$103/Assumptions!$E$78)+L8288)*L8271</f>
        <v>44.5199723584</v>
      </c>
      <c r="M8289" s="48" t="n">
        <f aca="false">(M8281*Assumptions!$E$22*MIN(1,Assumptions!$D$103/Assumptions!$E$78)+M8288)*M8271</f>
        <v>44.5199723584</v>
      </c>
      <c r="N8289" s="48" t="n">
        <f aca="false">(N8281*Assumptions!$E$22*MIN(1,Assumptions!$D$103/Assumptions!$E$78)+N8288)*N8271</f>
        <v>44.5199723584</v>
      </c>
      <c r="P8289" s="49" t="n">
        <f aca="false">SUM(C8289:F8289)</f>
        <v>38.6321406464</v>
      </c>
      <c r="Q8289" s="49" t="n">
        <f aca="false">SUM(G8289:J8289)</f>
        <v>109.9633069024</v>
      </c>
      <c r="R8289" s="49" t="n">
        <f aca="false">SUM(K8289:N8289)</f>
        <v>178.0798894336</v>
      </c>
      <c r="S8289" s="50" t="n">
        <f aca="false">SUM(P8289:R8289)</f>
        <v>326.6753369824</v>
      </c>
    </row>
    <row r="8290" customFormat="false" ht="15" hidden="false" customHeight="false" outlineLevel="0" collapsed="false">
      <c r="A8290" s="4" t="s">
        <v>499</v>
      </c>
      <c r="B8290" s="36" t="s">
        <v>500</v>
      </c>
      <c r="C8290" s="48" t="n">
        <f aca="false">C8271*MIN(Assumptions!$E$27,Assumptions!$E$25+Assumptions!$E$26*(C8270-1))*Assumptions!$D$107</f>
        <v>2</v>
      </c>
      <c r="D8290" s="48" t="n">
        <f aca="false">D8271*MIN(Assumptions!$E$27,Assumptions!$E$25+Assumptions!$E$26*(D8270-1))*Assumptions!$D$107</f>
        <v>3</v>
      </c>
      <c r="E8290" s="48" t="n">
        <f aca="false">E8271*MIN(Assumptions!$E$27,Assumptions!$E$25+Assumptions!$E$26*(E8270-1))*Assumptions!$D$107</f>
        <v>4</v>
      </c>
      <c r="F8290" s="48" t="n">
        <f aca="false">F8271*MIN(Assumptions!$E$27,Assumptions!$E$25+Assumptions!$E$26*(F8270-1))*Assumptions!$D$107</f>
        <v>5</v>
      </c>
      <c r="G8290" s="48" t="n">
        <f aca="false">G8271*MIN(Assumptions!$E$27,Assumptions!$E$25+Assumptions!$E$26*(G8270-1))*Assumptions!$D$107</f>
        <v>6</v>
      </c>
      <c r="H8290" s="48" t="n">
        <f aca="false">H8271*MIN(Assumptions!$E$27,Assumptions!$E$25+Assumptions!$E$26*(H8270-1))*Assumptions!$D$107</f>
        <v>7</v>
      </c>
      <c r="I8290" s="48" t="n">
        <f aca="false">I8271*MIN(Assumptions!$E$27,Assumptions!$E$25+Assumptions!$E$26*(I8270-1))*Assumptions!$D$107</f>
        <v>8</v>
      </c>
      <c r="J8290" s="48" t="n">
        <f aca="false">J8271*MIN(Assumptions!$E$27,Assumptions!$E$25+Assumptions!$E$26*(J8270-1))*Assumptions!$D$107</f>
        <v>9</v>
      </c>
      <c r="K8290" s="48" t="n">
        <f aca="false">K8271*MIN(Assumptions!$E$27,Assumptions!$E$25+Assumptions!$E$26*(K8270-1))*Assumptions!$D$107</f>
        <v>10</v>
      </c>
      <c r="L8290" s="48" t="n">
        <f aca="false">L8271*MIN(Assumptions!$E$27,Assumptions!$E$25+Assumptions!$E$26*(L8270-1))*Assumptions!$D$107</f>
        <v>10</v>
      </c>
      <c r="M8290" s="48" t="n">
        <f aca="false">M8271*MIN(Assumptions!$E$27,Assumptions!$E$25+Assumptions!$E$26*(M8270-1))*Assumptions!$D$107</f>
        <v>10</v>
      </c>
      <c r="N8290" s="48" t="n">
        <f aca="false">N8271*MIN(Assumptions!$E$27,Assumptions!$E$25+Assumptions!$E$26*(N8270-1))*Assumptions!$D$107</f>
        <v>10</v>
      </c>
      <c r="P8290" s="49" t="n">
        <f aca="false">F8290</f>
        <v>5</v>
      </c>
      <c r="Q8290" s="49" t="n">
        <f aca="false">J8290</f>
        <v>9</v>
      </c>
      <c r="R8290" s="49" t="n">
        <f aca="false">N8290</f>
        <v>10</v>
      </c>
      <c r="S8290" s="50" t="n">
        <f aca="false">R8290</f>
        <v>10</v>
      </c>
    </row>
    <row r="8291" customFormat="false" ht="15" hidden="false" customHeight="false" outlineLevel="0" collapsed="false">
      <c r="A8291" s="4" t="s">
        <v>501</v>
      </c>
      <c r="B8291" s="36" t="s">
        <v>502</v>
      </c>
      <c r="C8291" s="48" t="n">
        <f aca="false">C8290*Assumptions!$E$28</f>
        <v>6</v>
      </c>
      <c r="D8291" s="48" t="n">
        <f aca="false">D8290*Assumptions!$E$28</f>
        <v>9</v>
      </c>
      <c r="E8291" s="48" t="n">
        <f aca="false">E8290*Assumptions!$E$28</f>
        <v>12</v>
      </c>
      <c r="F8291" s="48" t="n">
        <f aca="false">F8290*Assumptions!$E$28</f>
        <v>15</v>
      </c>
      <c r="G8291" s="48" t="n">
        <f aca="false">G8290*Assumptions!$E$28</f>
        <v>18</v>
      </c>
      <c r="H8291" s="48" t="n">
        <f aca="false">H8290*Assumptions!$E$28</f>
        <v>21</v>
      </c>
      <c r="I8291" s="48" t="n">
        <f aca="false">I8290*Assumptions!$E$28</f>
        <v>24</v>
      </c>
      <c r="J8291" s="48" t="n">
        <f aca="false">J8290*Assumptions!$E$28</f>
        <v>27</v>
      </c>
      <c r="K8291" s="48" t="n">
        <f aca="false">K8290*Assumptions!$E$28</f>
        <v>30</v>
      </c>
      <c r="L8291" s="48" t="n">
        <f aca="false">L8290*Assumptions!$E$28</f>
        <v>30</v>
      </c>
      <c r="M8291" s="48" t="n">
        <f aca="false">M8290*Assumptions!$E$28</f>
        <v>30</v>
      </c>
      <c r="N8291" s="48" t="n">
        <f aca="false">N8290*Assumptions!$E$28</f>
        <v>30</v>
      </c>
      <c r="P8291" s="49" t="n">
        <f aca="false">SUM(C8291:F8291)</f>
        <v>42</v>
      </c>
      <c r="Q8291" s="49" t="n">
        <f aca="false">SUM(G8291:J8291)</f>
        <v>90</v>
      </c>
      <c r="R8291" s="49" t="n">
        <f aca="false">SUM(K8291:N8291)</f>
        <v>120</v>
      </c>
      <c r="S8291" s="50" t="n">
        <f aca="false">SUM(P8291:R8291)</f>
        <v>252</v>
      </c>
    </row>
    <row r="8292" customFormat="false" ht="15" hidden="false" customHeight="false" outlineLevel="0" collapsed="false">
      <c r="A8292" s="4" t="s">
        <v>503</v>
      </c>
      <c r="B8292" s="36" t="s">
        <v>504</v>
      </c>
      <c r="C8292" s="48" t="n">
        <f aca="false">(C8283+C8287)*Assumptions!$E$29</f>
        <v>2.649061072896</v>
      </c>
      <c r="D8292" s="48" t="n">
        <f aca="false">(D8283+D8287)*Assumptions!$E$29</f>
        <v>4.93045821299048</v>
      </c>
      <c r="E8292" s="48" t="n">
        <f aca="false">(E8283+E8287)*Assumptions!$E$29</f>
        <v>4.58830837060879</v>
      </c>
      <c r="F8292" s="48" t="n">
        <f aca="false">(F8283+F8287)*Assumptions!$E$29</f>
        <v>4.26990206474738</v>
      </c>
      <c r="G8292" s="48" t="n">
        <f aca="false">(G8283+G8287)*Assumptions!$E$29</f>
        <v>5.844267072</v>
      </c>
      <c r="H8292" s="48" t="n">
        <f aca="false">(H8283+H8287)*Assumptions!$E$29</f>
        <v>7.17956301044434</v>
      </c>
      <c r="I8292" s="48" t="n">
        <f aca="false">(I8283+I8287)*Assumptions!$E$29</f>
        <v>12.8463930542132</v>
      </c>
      <c r="J8292" s="48" t="n">
        <f aca="false">(J8283+J8287)*Assumptions!$E$29</f>
        <v>17.6921476412567</v>
      </c>
      <c r="K8292" s="48" t="n">
        <f aca="false">(K8283+K8287)*Assumptions!$E$29</f>
        <v>16.4643985629052</v>
      </c>
      <c r="L8292" s="48" t="n">
        <f aca="false">(L8283+L8287)*Assumptions!$E$29</f>
        <v>15.3218493048332</v>
      </c>
      <c r="M8292" s="48" t="n">
        <f aca="false">(M8283+M8287)*Assumptions!$E$29</f>
        <v>14.2585874135079</v>
      </c>
      <c r="N8292" s="48" t="n">
        <f aca="false">(N8283+N8287)*Assumptions!$E$29</f>
        <v>13.2691107309425</v>
      </c>
      <c r="P8292" s="49" t="n">
        <f aca="false">SUM(C8292:F8292)</f>
        <v>16.4377297212427</v>
      </c>
      <c r="Q8292" s="49" t="n">
        <f aca="false">SUM(G8292:J8292)</f>
        <v>43.5623707779142</v>
      </c>
      <c r="R8292" s="49" t="n">
        <f aca="false">SUM(K8292:N8292)</f>
        <v>59.3139460121888</v>
      </c>
      <c r="S8292" s="50" t="n">
        <f aca="false">SUM(P8292:R8292)</f>
        <v>119.314046511346</v>
      </c>
    </row>
    <row r="8293" customFormat="false" ht="15" hidden="false" customHeight="false" outlineLevel="0" collapsed="false">
      <c r="A8293" s="4" t="s">
        <v>505</v>
      </c>
      <c r="B8293" s="36" t="s">
        <v>504</v>
      </c>
      <c r="C8293" s="48" t="n">
        <f aca="false">C8289*Assumptions!$E$31</f>
        <v>0.883020357632</v>
      </c>
      <c r="D8293" s="48" t="n">
        <f aca="false">D8289*Assumptions!$E$31</f>
        <v>1.766040715264</v>
      </c>
      <c r="E8293" s="48" t="n">
        <f aca="false">E8289*Assumptions!$E$31</f>
        <v>1.766040715264</v>
      </c>
      <c r="F8293" s="48" t="n">
        <f aca="false">F8289*Assumptions!$E$31</f>
        <v>1.766040715264</v>
      </c>
      <c r="G8293" s="48" t="n">
        <f aca="false">G8289*Assumptions!$E$31</f>
        <v>2.389599202816</v>
      </c>
      <c r="H8293" s="48" t="n">
        <f aca="false">H8289*Assumptions!$E$31</f>
        <v>3.013157690368</v>
      </c>
      <c r="I8293" s="48" t="n">
        <f aca="false">I8289*Assumptions!$E$31</f>
        <v>5.068176633856</v>
      </c>
      <c r="J8293" s="48" t="n">
        <f aca="false">J8289*Assumptions!$E$31</f>
        <v>7.123195577344</v>
      </c>
      <c r="K8293" s="48" t="n">
        <f aca="false">K8289*Assumptions!$E$31</f>
        <v>7.123195577344</v>
      </c>
      <c r="L8293" s="48" t="n">
        <f aca="false">L8289*Assumptions!$E$31</f>
        <v>7.123195577344</v>
      </c>
      <c r="M8293" s="48" t="n">
        <f aca="false">M8289*Assumptions!$E$31</f>
        <v>7.123195577344</v>
      </c>
      <c r="N8293" s="48" t="n">
        <f aca="false">N8289*Assumptions!$E$31</f>
        <v>7.123195577344</v>
      </c>
      <c r="P8293" s="49" t="n">
        <f aca="false">SUM(C8293:F8293)</f>
        <v>6.181142503424</v>
      </c>
      <c r="Q8293" s="49" t="n">
        <f aca="false">SUM(G8293:J8293)</f>
        <v>17.594129104384</v>
      </c>
      <c r="R8293" s="49" t="n">
        <f aca="false">SUM(K8293:N8293)</f>
        <v>28.492782309376</v>
      </c>
      <c r="S8293" s="50" t="n">
        <f aca="false">SUM(P8293:R8293)</f>
        <v>52.268053917184</v>
      </c>
    </row>
    <row r="8294" customFormat="false" ht="15" hidden="false" customHeight="false" outlineLevel="0" collapsed="false">
      <c r="A8294" s="4" t="s">
        <v>506</v>
      </c>
      <c r="B8294" s="36" t="s">
        <v>504</v>
      </c>
      <c r="C8294" s="48" t="n">
        <f aca="false">C8291*Assumptions!$E$30</f>
        <v>3</v>
      </c>
      <c r="D8294" s="48" t="n">
        <f aca="false">D8291*Assumptions!$E$30</f>
        <v>4.5</v>
      </c>
      <c r="E8294" s="48" t="n">
        <f aca="false">E8291*Assumptions!$E$30</f>
        <v>6</v>
      </c>
      <c r="F8294" s="48" t="n">
        <f aca="false">F8291*Assumptions!$E$30</f>
        <v>7.5</v>
      </c>
      <c r="G8294" s="48" t="n">
        <f aca="false">G8291*Assumptions!$E$30</f>
        <v>9</v>
      </c>
      <c r="H8294" s="48" t="n">
        <f aca="false">H8291*Assumptions!$E$30</f>
        <v>10.5</v>
      </c>
      <c r="I8294" s="48" t="n">
        <f aca="false">I8291*Assumptions!$E$30</f>
        <v>12</v>
      </c>
      <c r="J8294" s="48" t="n">
        <f aca="false">J8291*Assumptions!$E$30</f>
        <v>13.5</v>
      </c>
      <c r="K8294" s="48" t="n">
        <f aca="false">K8291*Assumptions!$E$30</f>
        <v>15</v>
      </c>
      <c r="L8294" s="48" t="n">
        <f aca="false">L8291*Assumptions!$E$30</f>
        <v>15</v>
      </c>
      <c r="M8294" s="48" t="n">
        <f aca="false">M8291*Assumptions!$E$30</f>
        <v>15</v>
      </c>
      <c r="N8294" s="48" t="n">
        <f aca="false">N8291*Assumptions!$E$30</f>
        <v>15</v>
      </c>
      <c r="P8294" s="49" t="n">
        <f aca="false">SUM(C8294:F8294)</f>
        <v>21</v>
      </c>
      <c r="Q8294" s="49" t="n">
        <f aca="false">SUM(G8294:J8294)</f>
        <v>45</v>
      </c>
      <c r="R8294" s="49" t="n">
        <f aca="false">SUM(K8294:N8294)</f>
        <v>60</v>
      </c>
      <c r="S8294" s="50" t="n">
        <f aca="false">SUM(P8294:R8294)</f>
        <v>126</v>
      </c>
    </row>
    <row r="8295" customFormat="false" ht="15" hidden="false" customHeight="false" outlineLevel="0" collapsed="false">
      <c r="A8295" s="9" t="s">
        <v>507</v>
      </c>
      <c r="B8295" s="36" t="s">
        <v>504</v>
      </c>
      <c r="C8295" s="49" t="n">
        <f aca="false">C8292+C8293+C8294</f>
        <v>6.532081430528</v>
      </c>
      <c r="D8295" s="49" t="n">
        <f aca="false">D8292+D8293+D8294</f>
        <v>11.1964989282545</v>
      </c>
      <c r="E8295" s="49" t="n">
        <f aca="false">E8292+E8293+E8294</f>
        <v>12.3543490858728</v>
      </c>
      <c r="F8295" s="49" t="n">
        <f aca="false">F8292+F8293+F8294</f>
        <v>13.5359427800114</v>
      </c>
      <c r="G8295" s="49" t="n">
        <f aca="false">G8292+G8293+G8294</f>
        <v>17.233866274816</v>
      </c>
      <c r="H8295" s="49" t="n">
        <f aca="false">H8292+H8293+H8294</f>
        <v>20.6927207008123</v>
      </c>
      <c r="I8295" s="49" t="n">
        <f aca="false">I8292+I8293+I8294</f>
        <v>29.9145696880692</v>
      </c>
      <c r="J8295" s="49" t="n">
        <f aca="false">J8292+J8293+J8294</f>
        <v>38.3153432186007</v>
      </c>
      <c r="K8295" s="49" t="n">
        <f aca="false">K8292+K8293+K8294</f>
        <v>38.5875941402492</v>
      </c>
      <c r="L8295" s="49" t="n">
        <f aca="false">L8292+L8293+L8294</f>
        <v>37.4450448821772</v>
      </c>
      <c r="M8295" s="49" t="n">
        <f aca="false">M8292+M8293+M8294</f>
        <v>36.3817829908519</v>
      </c>
      <c r="N8295" s="49" t="n">
        <f aca="false">N8292+N8293+N8294</f>
        <v>35.3923063082865</v>
      </c>
      <c r="P8295" s="49" t="n">
        <f aca="false">SUM(C8295:F8295)</f>
        <v>43.6188722246667</v>
      </c>
      <c r="Q8295" s="49" t="n">
        <f aca="false">SUM(G8295:J8295)</f>
        <v>106.156499882298</v>
      </c>
      <c r="R8295" s="49" t="n">
        <f aca="false">SUM(K8295:N8295)</f>
        <v>147.806728321565</v>
      </c>
      <c r="S8295" s="50" t="n">
        <f aca="false">SUM(P8295:R8295)</f>
        <v>297.58210042853</v>
      </c>
    </row>
    <row r="8296" customFormat="false" ht="15" hidden="false" customHeight="false" outlineLevel="0" collapsed="false">
      <c r="A8296" s="4" t="s">
        <v>508</v>
      </c>
      <c r="B8296" s="36" t="s">
        <v>509</v>
      </c>
      <c r="C8296" s="48" t="n">
        <f aca="false">C8278</f>
        <v>421.51972352</v>
      </c>
      <c r="D8296" s="48" t="n">
        <f aca="false">D8278</f>
        <v>843.03944704</v>
      </c>
      <c r="E8296" s="48" t="n">
        <f aca="false">E8278</f>
        <v>843.03944704</v>
      </c>
      <c r="F8296" s="48" t="n">
        <f aca="false">F8278</f>
        <v>843.03944704</v>
      </c>
      <c r="G8296" s="48" t="n">
        <f aca="false">G8278</f>
        <v>1149.32798176</v>
      </c>
      <c r="H8296" s="48" t="n">
        <f aca="false">H8278</f>
        <v>1455.61651648</v>
      </c>
      <c r="I8296" s="48" t="n">
        <f aca="false">I8278</f>
        <v>2486.00303616</v>
      </c>
      <c r="J8296" s="48" t="n">
        <f aca="false">J8278</f>
        <v>3516.38955584</v>
      </c>
      <c r="K8296" s="48" t="n">
        <f aca="false">K8278</f>
        <v>3516.38955584</v>
      </c>
      <c r="L8296" s="48" t="n">
        <f aca="false">L8278</f>
        <v>3516.38955584</v>
      </c>
      <c r="M8296" s="48" t="n">
        <f aca="false">M8278</f>
        <v>3516.38955584</v>
      </c>
      <c r="N8296" s="48" t="n">
        <f aca="false">N8278</f>
        <v>3516.38955584</v>
      </c>
      <c r="P8296" s="49"/>
      <c r="Q8296" s="49"/>
      <c r="R8296" s="49"/>
      <c r="S8296" s="50"/>
    </row>
    <row r="8297" customFormat="false" ht="15" hidden="false" customHeight="false" outlineLevel="0" collapsed="false">
      <c r="A8297" s="4" t="s">
        <v>510</v>
      </c>
      <c r="B8297" s="36" t="s">
        <v>509</v>
      </c>
      <c r="C8297" s="48" t="n">
        <f aca="false">C8279*Assumptions!$E$18*Assumptions!$E$33</f>
        <v>211.19616</v>
      </c>
      <c r="D8297" s="48" t="n">
        <f aca="false">D8279*Assumptions!$E$18*Assumptions!$E$33</f>
        <v>422.39232</v>
      </c>
      <c r="E8297" s="48" t="n">
        <f aca="false">E8279*Assumptions!$E$18*Assumptions!$E$33</f>
        <v>422.39232</v>
      </c>
      <c r="F8297" s="48" t="n">
        <f aca="false">F8279*Assumptions!$E$18*Assumptions!$E$33</f>
        <v>422.39232</v>
      </c>
      <c r="G8297" s="48" t="n">
        <f aca="false">G8279*Assumptions!$E$18*Assumptions!$E$33</f>
        <v>564.49344</v>
      </c>
      <c r="H8297" s="48" t="n">
        <f aca="false">H8279*Assumptions!$E$18*Assumptions!$E$33</f>
        <v>706.59456</v>
      </c>
      <c r="I8297" s="48" t="n">
        <f aca="false">I8279*Assumptions!$E$18*Assumptions!$E$33</f>
        <v>1135.07072</v>
      </c>
      <c r="J8297" s="48" t="n">
        <f aca="false">J8279*Assumptions!$E$18*Assumptions!$E$33</f>
        <v>1563.54688</v>
      </c>
      <c r="K8297" s="48" t="n">
        <f aca="false">K8279*Assumptions!$E$18*Assumptions!$E$33</f>
        <v>1563.54688</v>
      </c>
      <c r="L8297" s="48" t="n">
        <f aca="false">L8279*Assumptions!$E$18*Assumptions!$E$33</f>
        <v>1563.54688</v>
      </c>
      <c r="M8297" s="48" t="n">
        <f aca="false">M8279*Assumptions!$E$18*Assumptions!$E$33</f>
        <v>1563.54688</v>
      </c>
      <c r="N8297" s="48" t="n">
        <f aca="false">N8279*Assumptions!$E$18*Assumptions!$E$33</f>
        <v>1563.54688</v>
      </c>
      <c r="P8297" s="49"/>
      <c r="Q8297" s="49"/>
      <c r="R8297" s="49"/>
      <c r="S8297" s="50"/>
    </row>
    <row r="8298" customFormat="false" ht="15" hidden="false" customHeight="false" outlineLevel="0" collapsed="false">
      <c r="A8298" s="4" t="s">
        <v>511</v>
      </c>
      <c r="B8298" s="36" t="s">
        <v>509</v>
      </c>
      <c r="C8298" s="48" t="n">
        <f aca="false">C8280*Assumptions!$E$19*Assumptions!$E$34</f>
        <v>34.677888</v>
      </c>
      <c r="D8298" s="48" t="n">
        <f aca="false">D8280*Assumptions!$E$19*Assumptions!$E$34</f>
        <v>69.355776</v>
      </c>
      <c r="E8298" s="48" t="n">
        <f aca="false">E8280*Assumptions!$E$19*Assumptions!$E$34</f>
        <v>69.355776</v>
      </c>
      <c r="F8298" s="48" t="n">
        <f aca="false">F8280*Assumptions!$E$19*Assumptions!$E$34</f>
        <v>69.355776</v>
      </c>
      <c r="G8298" s="48" t="n">
        <f aca="false">G8280*Assumptions!$E$19*Assumptions!$E$34</f>
        <v>86.69472</v>
      </c>
      <c r="H8298" s="48" t="n">
        <f aca="false">H8280*Assumptions!$E$19*Assumptions!$E$34</f>
        <v>104.033664</v>
      </c>
      <c r="I8298" s="48" t="n">
        <f aca="false">I8280*Assumptions!$E$19*Assumptions!$E$34</f>
        <v>159.7008</v>
      </c>
      <c r="J8298" s="48" t="n">
        <f aca="false">J8280*Assumptions!$E$19*Assumptions!$E$34</f>
        <v>215.367936</v>
      </c>
      <c r="K8298" s="48" t="n">
        <f aca="false">K8280*Assumptions!$E$19*Assumptions!$E$34</f>
        <v>215.367936</v>
      </c>
      <c r="L8298" s="48" t="n">
        <f aca="false">L8280*Assumptions!$E$19*Assumptions!$E$34</f>
        <v>215.367936</v>
      </c>
      <c r="M8298" s="48" t="n">
        <f aca="false">M8280*Assumptions!$E$19*Assumptions!$E$34</f>
        <v>215.367936</v>
      </c>
      <c r="N8298" s="48" t="n">
        <f aca="false">N8280*Assumptions!$E$19*Assumptions!$E$34</f>
        <v>215.367936</v>
      </c>
      <c r="P8298" s="49"/>
      <c r="Q8298" s="49"/>
      <c r="R8298" s="49"/>
      <c r="S8298" s="50"/>
    </row>
    <row r="8299" customFormat="false" ht="15" hidden="false" customHeight="false" outlineLevel="0" collapsed="false">
      <c r="A8299" s="4" t="s">
        <v>512</v>
      </c>
      <c r="B8299" s="36" t="s">
        <v>77</v>
      </c>
      <c r="C8299" s="51" t="n">
        <f aca="false">IFERROR(C8296/(C8296+C8297+C8298),0)</f>
        <v>0.631590736245533</v>
      </c>
      <c r="D8299" s="51" t="n">
        <f aca="false">IFERROR(D8296/(D8296+D8297+D8298),0)</f>
        <v>0.631590736245533</v>
      </c>
      <c r="E8299" s="51" t="n">
        <f aca="false">IFERROR(E8296/(E8296+E8297+E8298),0)</f>
        <v>0.631590736245533</v>
      </c>
      <c r="F8299" s="51" t="n">
        <f aca="false">IFERROR(F8296/(F8296+F8297+F8298),0)</f>
        <v>0.631590736245533</v>
      </c>
      <c r="G8299" s="51" t="n">
        <f aca="false">IFERROR(G8296/(G8296+G8297+G8298),0)</f>
        <v>0.638332506498128</v>
      </c>
      <c r="H8299" s="51" t="n">
        <f aca="false">IFERROR(H8296/(H8296+H8297+H8298),0)</f>
        <v>0.642303318118984</v>
      </c>
      <c r="I8299" s="51" t="n">
        <f aca="false">IFERROR(I8296/(I8296+I8297+I8298),0)</f>
        <v>0.657538025405288</v>
      </c>
      <c r="J8299" s="51" t="n">
        <f aca="false">IFERROR(J8296/(J8296+J8297+J8298),0)</f>
        <v>0.664058061428891</v>
      </c>
      <c r="K8299" s="51" t="n">
        <f aca="false">IFERROR(K8296/(K8296+K8297+K8298),0)</f>
        <v>0.664058061428891</v>
      </c>
      <c r="L8299" s="51" t="n">
        <f aca="false">IFERROR(L8296/(L8296+L8297+L8298),0)</f>
        <v>0.664058061428891</v>
      </c>
      <c r="M8299" s="51" t="n">
        <f aca="false">IFERROR(M8296/(M8296+M8297+M8298),0)</f>
        <v>0.664058061428891</v>
      </c>
      <c r="N8299" s="51" t="n">
        <f aca="false">IFERROR(N8296/(N8296+N8297+N8298),0)</f>
        <v>0.664058061428891</v>
      </c>
      <c r="P8299" s="52"/>
      <c r="Q8299" s="52"/>
      <c r="R8299" s="52"/>
      <c r="S8299" s="53"/>
    </row>
    <row r="8300" customFormat="false" ht="15" hidden="false" customHeight="false" outlineLevel="0" collapsed="false">
      <c r="A8300" s="4" t="s">
        <v>513</v>
      </c>
      <c r="B8300" s="36" t="s">
        <v>77</v>
      </c>
      <c r="C8300" s="51" t="n">
        <f aca="false">IFERROR(C8297/(C8296+C8297+C8298),0)</f>
        <v>0.316449102482628</v>
      </c>
      <c r="D8300" s="51" t="n">
        <f aca="false">IFERROR(D8297/(D8296+D8297+D8298),0)</f>
        <v>0.316449102482628</v>
      </c>
      <c r="E8300" s="51" t="n">
        <f aca="false">IFERROR(E8297/(E8296+E8297+E8298),0)</f>
        <v>0.316449102482628</v>
      </c>
      <c r="F8300" s="51" t="n">
        <f aca="false">IFERROR(F8297/(F8296+F8297+F8298),0)</f>
        <v>0.316449102482628</v>
      </c>
      <c r="G8300" s="51" t="n">
        <f aca="false">IFERROR(G8297/(G8296+G8297+G8298),0)</f>
        <v>0.313517566939561</v>
      </c>
      <c r="H8300" s="51" t="n">
        <f aca="false">IFERROR(H8297/(H8296+H8297+H8298),0)</f>
        <v>0.311790932099567</v>
      </c>
      <c r="I8300" s="51" t="n">
        <f aca="false">IFERROR(I8297/(I8296+I8297+I8298),0)</f>
        <v>0.300221741111391</v>
      </c>
      <c r="J8300" s="51" t="n">
        <f aca="false">IFERROR(J8297/(J8296+J8297+J8298),0)</f>
        <v>0.295270445324128</v>
      </c>
      <c r="K8300" s="51" t="n">
        <f aca="false">IFERROR(K8297/(K8296+K8297+K8298),0)</f>
        <v>0.295270445324128</v>
      </c>
      <c r="L8300" s="51" t="n">
        <f aca="false">IFERROR(L8297/(L8296+L8297+L8298),0)</f>
        <v>0.295270445324128</v>
      </c>
      <c r="M8300" s="51" t="n">
        <f aca="false">IFERROR(M8297/(M8296+M8297+M8298),0)</f>
        <v>0.295270445324128</v>
      </c>
      <c r="N8300" s="51" t="n">
        <f aca="false">IFERROR(N8297/(N8296+N8297+N8298),0)</f>
        <v>0.295270445324128</v>
      </c>
      <c r="P8300" s="52"/>
      <c r="Q8300" s="52"/>
      <c r="R8300" s="52"/>
      <c r="S8300" s="53"/>
    </row>
    <row r="8301" customFormat="false" ht="15" hidden="false" customHeight="false" outlineLevel="0" collapsed="false">
      <c r="A8301" s="4" t="s">
        <v>514</v>
      </c>
      <c r="B8301" s="36" t="s">
        <v>77</v>
      </c>
      <c r="C8301" s="51" t="n">
        <f aca="false">IFERROR(C8298/(C8296+C8297+C8298),0)</f>
        <v>0.0519601612718389</v>
      </c>
      <c r="D8301" s="51" t="n">
        <f aca="false">IFERROR(D8298/(D8296+D8297+D8298),0)</f>
        <v>0.0519601612718389</v>
      </c>
      <c r="E8301" s="51" t="n">
        <f aca="false">IFERROR(E8298/(E8296+E8297+E8298),0)</f>
        <v>0.0519601612718389</v>
      </c>
      <c r="F8301" s="51" t="n">
        <f aca="false">IFERROR(F8298/(F8296+F8297+F8298),0)</f>
        <v>0.0519601612718389</v>
      </c>
      <c r="G8301" s="51" t="n">
        <f aca="false">IFERROR(G8298/(G8296+G8297+G8298),0)</f>
        <v>0.0481499265623113</v>
      </c>
      <c r="H8301" s="51" t="n">
        <f aca="false">IFERROR(H8298/(H8296+H8297+H8298),0)</f>
        <v>0.0459057497814491</v>
      </c>
      <c r="I8301" s="51" t="n">
        <f aca="false">IFERROR(I8298/(I8296+I8297+I8298),0)</f>
        <v>0.0422402334833216</v>
      </c>
      <c r="J8301" s="51" t="n">
        <f aca="false">IFERROR(J8298/(J8296+J8297+J8298),0)</f>
        <v>0.0406714932469811</v>
      </c>
      <c r="K8301" s="51" t="n">
        <f aca="false">IFERROR(K8298/(K8296+K8297+K8298),0)</f>
        <v>0.0406714932469811</v>
      </c>
      <c r="L8301" s="51" t="n">
        <f aca="false">IFERROR(L8298/(L8296+L8297+L8298),0)</f>
        <v>0.0406714932469811</v>
      </c>
      <c r="M8301" s="51" t="n">
        <f aca="false">IFERROR(M8298/(M8296+M8297+M8298),0)</f>
        <v>0.0406714932469811</v>
      </c>
      <c r="N8301" s="51" t="n">
        <f aca="false">IFERROR(N8298/(N8296+N8297+N8298),0)</f>
        <v>0.0406714932469811</v>
      </c>
      <c r="P8301" s="52"/>
      <c r="Q8301" s="52"/>
      <c r="R8301" s="52"/>
      <c r="S8301" s="53"/>
    </row>
    <row r="8302" customFormat="false" ht="15" hidden="false" customHeight="false" outlineLevel="0" collapsed="false">
      <c r="A8302" s="4" t="s">
        <v>515</v>
      </c>
      <c r="B8302" s="36" t="s">
        <v>516</v>
      </c>
      <c r="C8302" s="48" t="n">
        <f aca="false">IF(C8270-Assumptions!$E$35&lt;1,0,INDEX($C$8295:$N$8295,1,C8270-Assumptions!$E$35)*INDEX($C$8299:$N$8299,1,C8270-Assumptions!$E$35)*0.15)</f>
        <v>0</v>
      </c>
      <c r="D8302" s="48" t="n">
        <f aca="false">IF(D8270-Assumptions!$E$35&lt;1,0,INDEX($C$8295:$N$8295,1,D8270-Assumptions!$E$35)*INDEX($C$8299:$N$8299,1,D8270-Assumptions!$E$35)*0.15)</f>
        <v>0.618840317988444</v>
      </c>
      <c r="E8302" s="48" t="n">
        <f aca="false">IF(E8270-Assumptions!$E$35&lt;1,0,INDEX($C$8295:$N$8295,1,E8270-Assumptions!$E$35)*INDEX($C$8299:$N$8299,1,E8270-Assumptions!$E$35)*0.15)</f>
        <v>1.06074075022029</v>
      </c>
      <c r="F8302" s="48" t="n">
        <f aca="false">IF(F8270-Assumptions!$E$35&lt;1,0,INDEX($C$8295:$N$8295,1,F8270-Assumptions!$E$35)*INDEX($C$8299:$N$8299,1,F8270-Assumptions!$E$35)*0.15)</f>
        <v>1.17043386524711</v>
      </c>
      <c r="G8302" s="48" t="n">
        <f aca="false">IF(G8270-Assumptions!$E$35&lt;1,0,INDEX($C$8295:$N$8295,1,G8270-Assumptions!$E$35)*INDEX($C$8299:$N$8299,1,G8270-Assumptions!$E$35)*0.15)</f>
        <v>1.28237640993072</v>
      </c>
      <c r="H8302" s="48" t="n">
        <f aca="false">IF(H8270-Assumptions!$E$35&lt;1,0,INDEX($C$8295:$N$8295,1,H8270-Assumptions!$E$35)*INDEX($C$8299:$N$8299,1,H8270-Assumptions!$E$35)*0.15)</f>
        <v>1.65014055837853</v>
      </c>
      <c r="I8302" s="48" t="n">
        <f aca="false">IF(I8270-Assumptions!$E$35&lt;1,0,INDEX($C$8295:$N$8295,1,I8270-Assumptions!$E$35)*INDEX($C$8299:$N$8299,1,I8270-Assumptions!$E$35)*0.15)</f>
        <v>1.99365047505617</v>
      </c>
      <c r="J8302" s="48" t="n">
        <f aca="false">IF(J8270-Assumptions!$E$35&lt;1,0,INDEX($C$8295:$N$8295,1,J8270-Assumptions!$E$35)*INDEX($C$8299:$N$8299,1,J8270-Assumptions!$E$35)*0.15)</f>
        <v>2.95049506253129</v>
      </c>
      <c r="K8302" s="48" t="n">
        <f aca="false">IF(K8270-Assumptions!$E$35&lt;1,0,INDEX($C$8295:$N$8295,1,K8270-Assumptions!$E$35)*INDEX($C$8299:$N$8299,1,K8270-Assumptions!$E$35)*0.15)</f>
        <v>3.81654188110898</v>
      </c>
      <c r="L8302" s="48" t="n">
        <f aca="false">IF(L8270-Assumptions!$E$35&lt;1,0,INDEX($C$8295:$N$8295,1,L8270-Assumptions!$E$35)*INDEX($C$8299:$N$8299,1,L8270-Assumptions!$E$35)*0.15)</f>
        <v>3.84366044399681</v>
      </c>
      <c r="M8302" s="48" t="n">
        <f aca="false">IF(M8270-Assumptions!$E$35&lt;1,0,INDEX($C$8295:$N$8295,1,M8270-Assumptions!$E$35)*INDEX($C$8299:$N$8299,1,M8270-Assumptions!$E$35)*0.15)</f>
        <v>3.72985258718646</v>
      </c>
      <c r="N8302" s="48" t="n">
        <f aca="false">IF(N8270-Assumptions!$E$35&lt;1,0,INDEX($C$8295:$N$8295,1,N8270-Assumptions!$E$35)*INDEX($C$8299:$N$8299,1,N8270-Assumptions!$E$35)*0.15)</f>
        <v>3.62394244263476</v>
      </c>
      <c r="P8302" s="49" t="n">
        <f aca="false">SUM(C8302:F8302)</f>
        <v>2.85001493345584</v>
      </c>
      <c r="Q8302" s="49" t="n">
        <f aca="false">SUM(G8302:J8302)</f>
        <v>7.87666250589671</v>
      </c>
      <c r="R8302" s="49" t="n">
        <f aca="false">SUM(K8302:N8302)</f>
        <v>15.013997354927</v>
      </c>
      <c r="S8302" s="50" t="n">
        <f aca="false">SUM(P8302:R8302)</f>
        <v>25.7406747942796</v>
      </c>
    </row>
    <row r="8303" customFormat="false" ht="15" hidden="false" customHeight="false" outlineLevel="0" collapsed="false">
      <c r="A8303" s="4" t="s">
        <v>517</v>
      </c>
      <c r="B8303" s="36" t="s">
        <v>516</v>
      </c>
      <c r="C8303" s="48" t="n">
        <f aca="false">IF(C8270-Assumptions!$E$35&lt;1,0,INDEX($C$8295:$N$8295,1,C8270-Assumptions!$E$35)*INDEX($C$8300:$N$8300,1,C8270-Assumptions!$E$35)*0.15)</f>
        <v>0</v>
      </c>
      <c r="D8303" s="48" t="n">
        <f aca="false">IF(D8270-Assumptions!$E$35&lt;1,0,INDEX($C$8295:$N$8295,1,D8270-Assumptions!$E$35)*INDEX($C$8300:$N$8300,1,D8270-Assumptions!$E$35)*0.15)</f>
        <v>0.310060695905104</v>
      </c>
      <c r="E8303" s="48" t="n">
        <f aca="false">IF(E8270-Assumptions!$E$35&lt;1,0,INDEX($C$8295:$N$8295,1,E8270-Assumptions!$E$35)*INDEX($C$8300:$N$8300,1,E8270-Assumptions!$E$35)*0.15)</f>
        <v>0.531468305519075</v>
      </c>
      <c r="F8303" s="48" t="n">
        <f aca="false">IF(F8270-Assumptions!$E$35&lt;1,0,INDEX($C$8295:$N$8295,1,F8270-Assumptions!$E$35)*INDEX($C$8300:$N$8300,1,F8270-Assumptions!$E$35)*0.15)</f>
        <v>0.586428401997228</v>
      </c>
      <c r="G8303" s="48" t="n">
        <f aca="false">IF(G8270-Assumptions!$E$35&lt;1,0,INDEX($C$8295:$N$8295,1,G8270-Assumptions!$E$35)*INDEX($C$8300:$N$8300,1,G8270-Assumptions!$E$35)*0.15)</f>
        <v>0.642515541598621</v>
      </c>
      <c r="H8303" s="48" t="n">
        <f aca="false">IF(H8270-Assumptions!$E$35&lt;1,0,INDEX($C$8295:$N$8295,1,H8270-Assumptions!$E$35)*INDEX($C$8300:$N$8300,1,H8270-Assumptions!$E$35)*0.15)</f>
        <v>0.810467973516309</v>
      </c>
      <c r="I8303" s="48" t="n">
        <f aca="false">IF(I8270-Assumptions!$E$35&lt;1,0,INDEX($C$8295:$N$8295,1,I8270-Assumptions!$E$35)*INDEX($C$8300:$N$8300,1,I8270-Assumptions!$E$35)*0.15)</f>
        <v>0.967770401247342</v>
      </c>
      <c r="J8303" s="48" t="n">
        <f aca="false">IF(J8270-Assumptions!$E$35&lt;1,0,INDEX($C$8295:$N$8295,1,J8270-Assumptions!$E$35)*INDEX($C$8300:$N$8300,1,J8270-Assumptions!$E$35)*0.15)</f>
        <v>1.34715062945252</v>
      </c>
      <c r="K8303" s="48" t="n">
        <f aca="false">IF(K8270-Assumptions!$E$35&lt;1,0,INDEX($C$8295:$N$8295,1,K8270-Assumptions!$E$35)*INDEX($C$8300:$N$8300,1,K8270-Assumptions!$E$35)*0.15)</f>
        <v>1.69700826823545</v>
      </c>
      <c r="L8303" s="48" t="n">
        <f aca="false">IF(L8270-Assumptions!$E$35&lt;1,0,INDEX($C$8295:$N$8295,1,L8270-Assumptions!$E$35)*INDEX($C$8300:$N$8300,1,L8270-Assumptions!$E$35)*0.15)</f>
        <v>1.70906641586672</v>
      </c>
      <c r="M8303" s="48" t="n">
        <f aca="false">IF(M8270-Assumptions!$E$35&lt;1,0,INDEX($C$8295:$N$8295,1,M8270-Assumptions!$E$35)*INDEX($C$8300:$N$8300,1,M8270-Assumptions!$E$35)*0.15)</f>
        <v>1.65846226163137</v>
      </c>
      <c r="N8303" s="48" t="n">
        <f aca="false">IF(N8270-Assumptions!$E$35&lt;1,0,INDEX($C$8295:$N$8295,1,N8270-Assumptions!$E$35)*INDEX($C$8300:$N$8300,1,N8270-Assumptions!$E$35)*0.15)</f>
        <v>1.6113697898092</v>
      </c>
      <c r="P8303" s="49" t="n">
        <f aca="false">SUM(C8303:F8303)</f>
        <v>1.42795740342141</v>
      </c>
      <c r="Q8303" s="49" t="n">
        <f aca="false">SUM(G8303:J8303)</f>
        <v>3.7679045458148</v>
      </c>
      <c r="R8303" s="49" t="n">
        <f aca="false">SUM(K8303:N8303)</f>
        <v>6.67590673554273</v>
      </c>
      <c r="S8303" s="50" t="n">
        <f aca="false">SUM(P8303:R8303)</f>
        <v>11.8717686847789</v>
      </c>
    </row>
    <row r="8304" customFormat="false" ht="15" hidden="false" customHeight="false" outlineLevel="0" collapsed="false">
      <c r="A8304" s="4" t="s">
        <v>518</v>
      </c>
      <c r="B8304" s="36" t="s">
        <v>516</v>
      </c>
      <c r="C8304" s="48" t="n">
        <f aca="false">IF(C8270-Assumptions!$E$36&lt;1,0,INDEX($C$8295:$N$8295,1,C8270-Assumptions!$E$36)*INDEX($C$8301:$N$8301,1,C8270-Assumptions!$E$36)*0.15)</f>
        <v>0</v>
      </c>
      <c r="D8304" s="48" t="n">
        <f aca="false">IF(D8270-Assumptions!$E$36&lt;1,0,INDEX($C$8295:$N$8295,1,D8270-Assumptions!$E$36)*INDEX($C$8301:$N$8301,1,D8270-Assumptions!$E$36)*0.15)</f>
        <v>0</v>
      </c>
      <c r="E8304" s="48" t="n">
        <f aca="false">IF(E8270-Assumptions!$E$36&lt;1,0,INDEX($C$8295:$N$8295,1,E8270-Assumptions!$E$36)*INDEX($C$8301:$N$8301,1,E8270-Assumptions!$E$36)*0.15)</f>
        <v>0.0509112006856529</v>
      </c>
      <c r="F8304" s="48" t="n">
        <f aca="false">IF(F8270-Assumptions!$E$36&lt;1,0,INDEX($C$8295:$N$8295,1,F8270-Assumptions!$E$36)*INDEX($C$8301:$N$8301,1,F8270-Assumptions!$E$36)*0.15)</f>
        <v>0.0872657834988111</v>
      </c>
      <c r="G8304" s="48" t="n">
        <f aca="false">IF(G8270-Assumptions!$E$36&lt;1,0,INDEX($C$8295:$N$8295,1,G8270-Assumptions!$E$36)*INDEX($C$8301:$N$8301,1,G8270-Assumptions!$E$36)*0.15)</f>
        <v>0.0962900956365819</v>
      </c>
      <c r="H8304" s="48" t="n">
        <f aca="false">IF(H8270-Assumptions!$E$36&lt;1,0,INDEX($C$8295:$N$8295,1,H8270-Assumptions!$E$36)*INDEX($C$8301:$N$8301,1,H8270-Assumptions!$E$36)*0.15)</f>
        <v>0.105499465472366</v>
      </c>
      <c r="I8304" s="48" t="n">
        <f aca="false">IF(I8270-Assumptions!$E$36&lt;1,0,INDEX($C$8295:$N$8295,1,I8270-Assumptions!$E$36)*INDEX($C$8301:$N$8301,1,I8270-Assumptions!$E$36)*0.15)</f>
        <v>0.124471409327562</v>
      </c>
      <c r="J8304" s="48" t="n">
        <f aca="false">IF(J8270-Assumptions!$E$36&lt;1,0,INDEX($C$8295:$N$8295,1,J8270-Assumptions!$E$36)*INDEX($C$8301:$N$8301,1,J8270-Assumptions!$E$36)*0.15)</f>
        <v>0.142487228818336</v>
      </c>
      <c r="K8304" s="48" t="n">
        <f aca="false">IF(K8270-Assumptions!$E$36&lt;1,0,INDEX($C$8295:$N$8295,1,K8270-Assumptions!$E$36)*INDEX($C$8301:$N$8301,1,K8270-Assumptions!$E$36)*0.15)</f>
        <v>0.189539761226571</v>
      </c>
      <c r="L8304" s="48" t="n">
        <f aca="false">IF(L8270-Assumptions!$E$36&lt;1,0,INDEX($C$8295:$N$8295,1,L8270-Assumptions!$E$36)*INDEX($C$8301:$N$8301,1,L8270-Assumptions!$E$36)*0.15)</f>
        <v>0.233751333445662</v>
      </c>
      <c r="M8304" s="48" t="n">
        <f aca="false">IF(M8270-Assumptions!$E$36&lt;1,0,INDEX($C$8295:$N$8295,1,M8270-Assumptions!$E$36)*INDEX($C$8301:$N$8301,1,M8270-Assumptions!$E$36)*0.15)</f>
        <v>0.235412261173859</v>
      </c>
      <c r="N8304" s="48" t="n">
        <f aca="false">IF(N8270-Assumptions!$E$36&lt;1,0,INDEX($C$8295:$N$8295,1,N8270-Assumptions!$E$36)*INDEX($C$8301:$N$8301,1,N8270-Assumptions!$E$36)*0.15)</f>
        <v>0.228441883508756</v>
      </c>
      <c r="P8304" s="49" t="n">
        <f aca="false">SUM(C8304:F8304)</f>
        <v>0.138176984184464</v>
      </c>
      <c r="Q8304" s="49" t="n">
        <f aca="false">SUM(G8304:J8304)</f>
        <v>0.468748199254846</v>
      </c>
      <c r="R8304" s="49" t="n">
        <f aca="false">SUM(K8304:N8304)</f>
        <v>0.887145239354848</v>
      </c>
      <c r="S8304" s="50" t="n">
        <f aca="false">SUM(P8304:R8304)</f>
        <v>1.49407042279416</v>
      </c>
    </row>
    <row r="8305" customFormat="false" ht="15" hidden="false" customHeight="false" outlineLevel="0" collapsed="false">
      <c r="A8305" s="4" t="s">
        <v>519</v>
      </c>
      <c r="B8305" s="36" t="s">
        <v>77</v>
      </c>
      <c r="C8305" s="51" t="n">
        <f aca="false">IF(C8270-Assumptions!$E$35&lt;1,0,IFERROR(INDEX($C$8294:$N$8294,1,C8270-Assumptions!$E$35)/INDEX($C$8295:$N$8295,1,C8270-Assumptions!$E$35),0))</f>
        <v>0</v>
      </c>
      <c r="D8305" s="51" t="n">
        <f aca="false">IF(D8270-Assumptions!$E$35&lt;1,0,IFERROR(INDEX($C$8294:$N$8294,1,D8270-Assumptions!$E$35)/INDEX($C$8295:$N$8295,1,D8270-Assumptions!$E$35),0))</f>
        <v>0.459271678087073</v>
      </c>
      <c r="E8305" s="51" t="n">
        <f aca="false">IF(E8270-Assumptions!$E$35&lt;1,0,IFERROR(INDEX($C$8294:$N$8294,1,E8270-Assumptions!$E$35)/INDEX($C$8295:$N$8295,1,E8270-Assumptions!$E$35),0))</f>
        <v>0.401911350042128</v>
      </c>
      <c r="F8305" s="51" t="n">
        <f aca="false">IF(F8270-Assumptions!$E$35&lt;1,0,IFERROR(INDEX($C$8294:$N$8294,1,F8270-Assumptions!$E$35)/INDEX($C$8295:$N$8295,1,F8270-Assumptions!$E$35),0))</f>
        <v>0.485658933408398</v>
      </c>
      <c r="G8305" s="51" t="n">
        <f aca="false">IF(G8270-Assumptions!$E$35&lt;1,0,IFERROR(INDEX($C$8294:$N$8294,1,G8270-Assumptions!$E$35)/INDEX($C$8295:$N$8295,1,G8270-Assumptions!$E$35),0))</f>
        <v>0.554080356417826</v>
      </c>
      <c r="H8305" s="51" t="n">
        <f aca="false">IF(H8270-Assumptions!$E$35&lt;1,0,IFERROR(INDEX($C$8294:$N$8294,1,H8270-Assumptions!$E$35)/INDEX($C$8295:$N$8295,1,H8270-Assumptions!$E$35),0))</f>
        <v>0.522227563825987</v>
      </c>
      <c r="I8305" s="51" t="n">
        <f aca="false">IF(I8270-Assumptions!$E$35&lt;1,0,IFERROR(INDEX($C$8294:$N$8294,1,I8270-Assumptions!$E$35)/INDEX($C$8295:$N$8295,1,I8270-Assumptions!$E$35),0))</f>
        <v>0.507424816282752</v>
      </c>
      <c r="J8305" s="51" t="n">
        <f aca="false">IF(J8270-Assumptions!$E$35&lt;1,0,IFERROR(INDEX($C$8294:$N$8294,1,J8270-Assumptions!$E$35)/INDEX($C$8295:$N$8295,1,J8270-Assumptions!$E$35),0))</f>
        <v>0.401142323795015</v>
      </c>
      <c r="K8305" s="51" t="n">
        <f aca="false">IF(K8270-Assumptions!$E$35&lt;1,0,IFERROR(INDEX($C$8294:$N$8294,1,K8270-Assumptions!$E$35)/INDEX($C$8295:$N$8295,1,K8270-Assumptions!$E$35),0))</f>
        <v>0.352339268448632</v>
      </c>
      <c r="L8305" s="51" t="n">
        <f aca="false">IF(L8270-Assumptions!$E$35&lt;1,0,IFERROR(INDEX($C$8294:$N$8294,1,L8270-Assumptions!$E$35)/INDEX($C$8295:$N$8295,1,L8270-Assumptions!$E$35),0))</f>
        <v>0.388725970981282</v>
      </c>
      <c r="M8305" s="51" t="n">
        <f aca="false">IF(M8270-Assumptions!$E$35&lt;1,0,IFERROR(INDEX($C$8294:$N$8294,1,M8270-Assumptions!$E$35)/INDEX($C$8295:$N$8295,1,M8270-Assumptions!$E$35),0))</f>
        <v>0.400587048224893</v>
      </c>
      <c r="N8305" s="51" t="n">
        <f aca="false">IF(N8270-Assumptions!$E$35&lt;1,0,IFERROR(INDEX($C$8294:$N$8294,1,N8270-Assumptions!$E$35)/INDEX($C$8295:$N$8295,1,N8270-Assumptions!$E$35),0))</f>
        <v>0.412294251872474</v>
      </c>
      <c r="P8305" s="52"/>
      <c r="Q8305" s="52"/>
      <c r="R8305" s="52"/>
      <c r="S8305" s="53"/>
    </row>
    <row r="8306" customFormat="false" ht="15" hidden="false" customHeight="false" outlineLevel="0" collapsed="false">
      <c r="A8306" s="4" t="s">
        <v>520</v>
      </c>
      <c r="B8306" s="36" t="s">
        <v>516</v>
      </c>
      <c r="C8306" s="48" t="n">
        <f aca="false">C8302*Assumptions!$E$37</f>
        <v>0</v>
      </c>
      <c r="D8306" s="48" t="n">
        <f aca="false">D8302*Assumptions!$E$37</f>
        <v>0.185652095396533</v>
      </c>
      <c r="E8306" s="48" t="n">
        <f aca="false">E8302*Assumptions!$E$37</f>
        <v>0.318222225066086</v>
      </c>
      <c r="F8306" s="48" t="n">
        <f aca="false">F8302*Assumptions!$E$37</f>
        <v>0.351130159574133</v>
      </c>
      <c r="G8306" s="48" t="n">
        <f aca="false">G8302*Assumptions!$E$37</f>
        <v>0.384712922979216</v>
      </c>
      <c r="H8306" s="48" t="n">
        <f aca="false">H8302*Assumptions!$E$37</f>
        <v>0.495042167513559</v>
      </c>
      <c r="I8306" s="48" t="n">
        <f aca="false">I8302*Assumptions!$E$37</f>
        <v>0.598095142516852</v>
      </c>
      <c r="J8306" s="48" t="n">
        <f aca="false">J8302*Assumptions!$E$37</f>
        <v>0.885148518759386</v>
      </c>
      <c r="K8306" s="48" t="n">
        <f aca="false">K8302*Assumptions!$E$37</f>
        <v>1.14496256433269</v>
      </c>
      <c r="L8306" s="48" t="n">
        <f aca="false">L8302*Assumptions!$E$37</f>
        <v>1.15309813319904</v>
      </c>
      <c r="M8306" s="48" t="n">
        <f aca="false">M8302*Assumptions!$E$37</f>
        <v>1.11895577615594</v>
      </c>
      <c r="N8306" s="48" t="n">
        <f aca="false">N8302*Assumptions!$E$37</f>
        <v>1.08718273279043</v>
      </c>
      <c r="P8306" s="49" t="n">
        <f aca="false">SUM(C8306:F8306)</f>
        <v>0.855004480036751</v>
      </c>
      <c r="Q8306" s="49" t="n">
        <f aca="false">SUM(G8306:J8306)</f>
        <v>2.36299875176901</v>
      </c>
      <c r="R8306" s="49" t="n">
        <f aca="false">SUM(K8306:N8306)</f>
        <v>4.5041992064781</v>
      </c>
      <c r="S8306" s="50" t="n">
        <f aca="false">SUM(P8306:R8306)</f>
        <v>7.72220243828386</v>
      </c>
    </row>
    <row r="8307" customFormat="false" ht="15" hidden="false" customHeight="false" outlineLevel="0" collapsed="false">
      <c r="A8307" s="4" t="s">
        <v>521</v>
      </c>
      <c r="B8307" s="36" t="s">
        <v>516</v>
      </c>
      <c r="C8307" s="48" t="n">
        <f aca="false">C8302*(1-Assumptions!$E$37)</f>
        <v>0</v>
      </c>
      <c r="D8307" s="48" t="n">
        <f aca="false">D8302*(1-Assumptions!$E$37)</f>
        <v>0.43318822259191</v>
      </c>
      <c r="E8307" s="48" t="n">
        <f aca="false">E8302*(1-Assumptions!$E$37)</f>
        <v>0.7425185251542</v>
      </c>
      <c r="F8307" s="48" t="n">
        <f aca="false">F8302*(1-Assumptions!$E$37)</f>
        <v>0.819303705672977</v>
      </c>
      <c r="G8307" s="48" t="n">
        <f aca="false">G8302*(1-Assumptions!$E$37)</f>
        <v>0.897663486951504</v>
      </c>
      <c r="H8307" s="48" t="n">
        <f aca="false">H8302*(1-Assumptions!$E$37)</f>
        <v>1.15509839086497</v>
      </c>
      <c r="I8307" s="48" t="n">
        <f aca="false">I8302*(1-Assumptions!$E$37)</f>
        <v>1.39555533253932</v>
      </c>
      <c r="J8307" s="48" t="n">
        <f aca="false">J8302*(1-Assumptions!$E$37)</f>
        <v>2.0653465437719</v>
      </c>
      <c r="K8307" s="48" t="n">
        <f aca="false">K8302*(1-Assumptions!$E$37)</f>
        <v>2.67157931677629</v>
      </c>
      <c r="L8307" s="48" t="n">
        <f aca="false">L8302*(1-Assumptions!$E$37)</f>
        <v>2.69056231079776</v>
      </c>
      <c r="M8307" s="48" t="n">
        <f aca="false">M8302*(1-Assumptions!$E$37)</f>
        <v>2.61089681103052</v>
      </c>
      <c r="N8307" s="48" t="n">
        <f aca="false">N8302*(1-Assumptions!$E$37)</f>
        <v>2.53675970984433</v>
      </c>
      <c r="P8307" s="49" t="n">
        <f aca="false">SUM(C8307:F8307)</f>
        <v>1.99501045341909</v>
      </c>
      <c r="Q8307" s="49" t="n">
        <f aca="false">SUM(G8307:J8307)</f>
        <v>5.5136637541277</v>
      </c>
      <c r="R8307" s="49" t="n">
        <f aca="false">SUM(K8307:N8307)</f>
        <v>10.5097981484489</v>
      </c>
      <c r="S8307" s="50" t="n">
        <f aca="false">SUM(P8307:R8307)</f>
        <v>18.0184723559957</v>
      </c>
    </row>
    <row r="8308" customFormat="false" ht="15" hidden="false" customHeight="false" outlineLevel="0" collapsed="false">
      <c r="A8308" s="4" t="s">
        <v>522</v>
      </c>
      <c r="B8308" s="36" t="s">
        <v>125</v>
      </c>
      <c r="C8308" s="54" t="n">
        <f aca="false">C8307*$C$8261+C8303*$C$8262+C8304*$C$8263</f>
        <v>0</v>
      </c>
      <c r="D8308" s="54" t="n">
        <f aca="false">D8307*$C$8261+D8303*$C$8262+D8304*$C$8263</f>
        <v>5346.69940714316</v>
      </c>
      <c r="E8308" s="54" t="n">
        <f aca="false">E8307*$C$8261+E8303*$C$8262+E8304*$C$8263</f>
        <v>12309.8665443297</v>
      </c>
      <c r="F8308" s="54" t="n">
        <f aca="false">F8307*$C$8261+F8303*$C$8262+F8304*$C$8263</f>
        <v>15503.5234427996</v>
      </c>
      <c r="G8308" s="54" t="n">
        <f aca="false">G8307*$C$8261+G8303*$C$8262+G8304*$C$8263</f>
        <v>17028.1986549627</v>
      </c>
      <c r="H8308" s="54" t="n">
        <f aca="false">H8307*$C$8261+H8303*$C$8262+H8304*$C$8263</f>
        <v>20615.2734675256</v>
      </c>
      <c r="I8308" s="54" t="n">
        <f aca="false">I8307*$C$8261+I8303*$C$8262+I8304*$C$8263</f>
        <v>24610.5814150561</v>
      </c>
      <c r="J8308" s="54" t="n">
        <f aca="false">J8307*$C$8261+J8303*$C$8262+J8304*$C$8263</f>
        <v>33013.5904013391</v>
      </c>
      <c r="K8308" s="54" t="n">
        <f aca="false">K8307*$C$8261+K8303*$C$8262+K8304*$C$8263</f>
        <v>42581.9332482469</v>
      </c>
      <c r="L8308" s="54" t="n">
        <f aca="false">L8307*$C$8261+L8303*$C$8262+L8304*$C$8263</f>
        <v>45532.6126218508</v>
      </c>
      <c r="M8308" s="54" t="n">
        <f aca="false">M8307*$C$8261+M8303*$C$8262+M8304*$C$8263</f>
        <v>44714.6154740821</v>
      </c>
      <c r="N8308" s="54" t="n">
        <f aca="false">N8307*$C$8261+N8303*$C$8262+N8304*$C$8263</f>
        <v>43427.2769387344</v>
      </c>
      <c r="P8308" s="55" t="n">
        <f aca="false">SUM(C8308:F8308)</f>
        <v>33160.0893942725</v>
      </c>
      <c r="Q8308" s="55" t="n">
        <f aca="false">SUM(G8308:J8308)</f>
        <v>95267.6439388836</v>
      </c>
      <c r="R8308" s="55" t="n">
        <f aca="false">SUM(K8308:N8308)</f>
        <v>176256.438282914</v>
      </c>
      <c r="S8308" s="56" t="n">
        <f aca="false">SUM(P8308:R8308)</f>
        <v>304684.17161607</v>
      </c>
    </row>
    <row r="8309" customFormat="false" ht="15" hidden="false" customHeight="false" outlineLevel="0" collapsed="false">
      <c r="A8309" s="4" t="s">
        <v>523</v>
      </c>
      <c r="B8309" s="36" t="s">
        <v>125</v>
      </c>
      <c r="C8309" s="54" t="n">
        <f aca="false">(C8285+Assumptions!$D$104*C8271)*$C$8266</f>
        <v>306250</v>
      </c>
      <c r="D8309" s="54" t="n">
        <f aca="false">(D8285+Assumptions!$D$104*D8271)*$C$8266</f>
        <v>306250</v>
      </c>
      <c r="E8309" s="54" t="n">
        <f aca="false">(E8285+Assumptions!$D$104*E8271)*$C$8266</f>
        <v>306250</v>
      </c>
      <c r="F8309" s="54" t="n">
        <f aca="false">(F8285+Assumptions!$D$104*F8271)*$C$8266</f>
        <v>306250</v>
      </c>
      <c r="G8309" s="54" t="n">
        <f aca="false">(G8285+Assumptions!$D$104*G8271)*$C$8266</f>
        <v>306250</v>
      </c>
      <c r="H8309" s="54" t="n">
        <f aca="false">(H8285+Assumptions!$D$104*H8271)*$C$8266</f>
        <v>306250</v>
      </c>
      <c r="I8309" s="54" t="n">
        <f aca="false">(I8285+Assumptions!$D$104*I8271)*$C$8266</f>
        <v>306250</v>
      </c>
      <c r="J8309" s="54" t="n">
        <f aca="false">(J8285+Assumptions!$D$104*J8271)*$C$8266</f>
        <v>306250</v>
      </c>
      <c r="K8309" s="54" t="n">
        <f aca="false">(K8285+Assumptions!$D$104*K8271)*$C$8266</f>
        <v>306250</v>
      </c>
      <c r="L8309" s="54" t="n">
        <f aca="false">(L8285+Assumptions!$D$104*L8271)*$C$8266</f>
        <v>306250</v>
      </c>
      <c r="M8309" s="54" t="n">
        <f aca="false">(M8285+Assumptions!$D$104*M8271)*$C$8266</f>
        <v>306250</v>
      </c>
      <c r="N8309" s="54" t="n">
        <f aca="false">(N8285+Assumptions!$D$104*N8271)*$C$8266</f>
        <v>306250</v>
      </c>
      <c r="P8309" s="55" t="n">
        <f aca="false">SUM(C8309:F8309)</f>
        <v>1225000</v>
      </c>
      <c r="Q8309" s="55" t="n">
        <f aca="false">SUM(G8309:J8309)</f>
        <v>1225000</v>
      </c>
      <c r="R8309" s="55" t="n">
        <f aca="false">SUM(K8309:N8309)</f>
        <v>1225000</v>
      </c>
      <c r="S8309" s="56" t="n">
        <f aca="false">SUM(P8309:R8309)</f>
        <v>3675000</v>
      </c>
    </row>
    <row r="8310" customFormat="false" ht="15" hidden="false" customHeight="false" outlineLevel="0" collapsed="false">
      <c r="A8310" s="4" t="s">
        <v>524</v>
      </c>
      <c r="B8310" s="36" t="s">
        <v>77</v>
      </c>
      <c r="C8310" s="51" t="n">
        <f aca="false">IF(C8308&gt;0,MIN(1,C8309/C8308),1)</f>
        <v>1</v>
      </c>
      <c r="D8310" s="51" t="n">
        <f aca="false">IF(D8308&gt;0,MIN(1,D8309/D8308),1)</f>
        <v>1</v>
      </c>
      <c r="E8310" s="51" t="n">
        <f aca="false">IF(E8308&gt;0,MIN(1,E8309/E8308),1)</f>
        <v>1</v>
      </c>
      <c r="F8310" s="51" t="n">
        <f aca="false">IF(F8308&gt;0,MIN(1,F8309/F8308),1)</f>
        <v>1</v>
      </c>
      <c r="G8310" s="51" t="n">
        <f aca="false">IF(G8308&gt;0,MIN(1,G8309/G8308),1)</f>
        <v>1</v>
      </c>
      <c r="H8310" s="51" t="n">
        <f aca="false">IF(H8308&gt;0,MIN(1,H8309/H8308),1)</f>
        <v>1</v>
      </c>
      <c r="I8310" s="51" t="n">
        <f aca="false">IF(I8308&gt;0,MIN(1,I8309/I8308),1)</f>
        <v>1</v>
      </c>
      <c r="J8310" s="51" t="n">
        <f aca="false">IF(J8308&gt;0,MIN(1,J8309/J8308),1)</f>
        <v>1</v>
      </c>
      <c r="K8310" s="51" t="n">
        <f aca="false">IF(K8308&gt;0,MIN(1,K8309/K8308),1)</f>
        <v>1</v>
      </c>
      <c r="L8310" s="51" t="n">
        <f aca="false">IF(L8308&gt;0,MIN(1,L8309/L8308),1)</f>
        <v>1</v>
      </c>
      <c r="M8310" s="51" t="n">
        <f aca="false">IF(M8308&gt;0,MIN(1,M8309/M8308),1)</f>
        <v>1</v>
      </c>
      <c r="N8310" s="51" t="n">
        <f aca="false">IF(N8308&gt;0,MIN(1,N8309/N8308),1)</f>
        <v>1</v>
      </c>
      <c r="P8310" s="52"/>
      <c r="Q8310" s="52"/>
      <c r="R8310" s="52"/>
      <c r="S8310" s="53"/>
    </row>
    <row r="8311" customFormat="false" ht="15" hidden="false" customHeight="false" outlineLevel="0" collapsed="false">
      <c r="A8311" s="4" t="s">
        <v>525</v>
      </c>
      <c r="B8311" s="36" t="s">
        <v>125</v>
      </c>
      <c r="C8311" s="54" t="n">
        <f aca="false">C8308*(1-C8310)</f>
        <v>0</v>
      </c>
      <c r="D8311" s="54" t="n">
        <f aca="false">D8308*(1-D8310)</f>
        <v>0</v>
      </c>
      <c r="E8311" s="54" t="n">
        <f aca="false">E8308*(1-E8310)</f>
        <v>0</v>
      </c>
      <c r="F8311" s="54" t="n">
        <f aca="false">F8308*(1-F8310)</f>
        <v>0</v>
      </c>
      <c r="G8311" s="54" t="n">
        <f aca="false">G8308*(1-G8310)</f>
        <v>0</v>
      </c>
      <c r="H8311" s="54" t="n">
        <f aca="false">H8308*(1-H8310)</f>
        <v>0</v>
      </c>
      <c r="I8311" s="54" t="n">
        <f aca="false">I8308*(1-I8310)</f>
        <v>0</v>
      </c>
      <c r="J8311" s="54" t="n">
        <f aca="false">J8308*(1-J8310)</f>
        <v>0</v>
      </c>
      <c r="K8311" s="54" t="n">
        <f aca="false">K8308*(1-K8310)</f>
        <v>0</v>
      </c>
      <c r="L8311" s="54" t="n">
        <f aca="false">L8308*(1-L8310)</f>
        <v>0</v>
      </c>
      <c r="M8311" s="54" t="n">
        <f aca="false">M8308*(1-M8310)</f>
        <v>0</v>
      </c>
      <c r="N8311" s="54" t="n">
        <f aca="false">N8308*(1-N8310)</f>
        <v>0</v>
      </c>
      <c r="P8311" s="55" t="n">
        <f aca="false">SUM(C8311:F8311)</f>
        <v>0</v>
      </c>
      <c r="Q8311" s="55" t="n">
        <f aca="false">SUM(G8311:J8311)</f>
        <v>0</v>
      </c>
      <c r="R8311" s="55" t="n">
        <f aca="false">SUM(K8311:N8311)</f>
        <v>0</v>
      </c>
      <c r="S8311" s="56" t="n">
        <f aca="false">SUM(P8311:R8311)</f>
        <v>0</v>
      </c>
    </row>
    <row r="8312" customFormat="false" ht="15" hidden="false" customHeight="false" outlineLevel="0" collapsed="false">
      <c r="A8312" s="4" t="s">
        <v>526</v>
      </c>
      <c r="B8312" s="36" t="s">
        <v>527</v>
      </c>
      <c r="C8312" s="48" t="n">
        <f aca="false">C8306+C8307*C8310</f>
        <v>0</v>
      </c>
      <c r="D8312" s="48" t="n">
        <f aca="false">D8306+D8307*D8310</f>
        <v>0.618840317988443</v>
      </c>
      <c r="E8312" s="48" t="n">
        <f aca="false">E8306+E8307*E8310</f>
        <v>1.06074075022029</v>
      </c>
      <c r="F8312" s="48" t="n">
        <f aca="false">F8306+F8307*F8310</f>
        <v>1.17043386524711</v>
      </c>
      <c r="G8312" s="48" t="n">
        <f aca="false">G8306+G8307*G8310</f>
        <v>1.28237640993072</v>
      </c>
      <c r="H8312" s="48" t="n">
        <f aca="false">H8306+H8307*H8310</f>
        <v>1.65014055837853</v>
      </c>
      <c r="I8312" s="48" t="n">
        <f aca="false">I8306+I8307*I8310</f>
        <v>1.99365047505617</v>
      </c>
      <c r="J8312" s="48" t="n">
        <f aca="false">J8306+J8307*J8310</f>
        <v>2.95049506253129</v>
      </c>
      <c r="K8312" s="48" t="n">
        <f aca="false">K8306+K8307*K8310</f>
        <v>3.81654188110898</v>
      </c>
      <c r="L8312" s="48" t="n">
        <f aca="false">L8306+L8307*L8310</f>
        <v>3.84366044399681</v>
      </c>
      <c r="M8312" s="48" t="n">
        <f aca="false">M8306+M8307*M8310</f>
        <v>3.72985258718646</v>
      </c>
      <c r="N8312" s="48" t="n">
        <f aca="false">N8306+N8307*N8310</f>
        <v>3.62394244263475</v>
      </c>
      <c r="P8312" s="49" t="n">
        <f aca="false">SUM(C8312:F8312)</f>
        <v>2.85001493345584</v>
      </c>
      <c r="Q8312" s="49" t="n">
        <f aca="false">SUM(G8312:J8312)</f>
        <v>7.87666250589671</v>
      </c>
      <c r="R8312" s="49" t="n">
        <f aca="false">SUM(K8312:N8312)</f>
        <v>15.013997354927</v>
      </c>
      <c r="S8312" s="50" t="n">
        <f aca="false">SUM(P8312:R8312)</f>
        <v>25.7406747942796</v>
      </c>
    </row>
    <row r="8313" customFormat="false" ht="15" hidden="false" customHeight="false" outlineLevel="0" collapsed="false">
      <c r="A8313" s="4" t="s">
        <v>528</v>
      </c>
      <c r="B8313" s="36" t="s">
        <v>527</v>
      </c>
      <c r="C8313" s="48" t="n">
        <f aca="false">C8303*C8310</f>
        <v>0</v>
      </c>
      <c r="D8313" s="48" t="n">
        <f aca="false">D8303*D8310</f>
        <v>0.310060695905104</v>
      </c>
      <c r="E8313" s="48" t="n">
        <f aca="false">E8303*E8310</f>
        <v>0.531468305519075</v>
      </c>
      <c r="F8313" s="48" t="n">
        <f aca="false">F8303*F8310</f>
        <v>0.586428401997228</v>
      </c>
      <c r="G8313" s="48" t="n">
        <f aca="false">G8303*G8310</f>
        <v>0.642515541598621</v>
      </c>
      <c r="H8313" s="48" t="n">
        <f aca="false">H8303*H8310</f>
        <v>0.810467973516309</v>
      </c>
      <c r="I8313" s="48" t="n">
        <f aca="false">I8303*I8310</f>
        <v>0.967770401247342</v>
      </c>
      <c r="J8313" s="48" t="n">
        <f aca="false">J8303*J8310</f>
        <v>1.34715062945252</v>
      </c>
      <c r="K8313" s="48" t="n">
        <f aca="false">K8303*K8310</f>
        <v>1.69700826823545</v>
      </c>
      <c r="L8313" s="48" t="n">
        <f aca="false">L8303*L8310</f>
        <v>1.70906641586672</v>
      </c>
      <c r="M8313" s="48" t="n">
        <f aca="false">M8303*M8310</f>
        <v>1.65846226163137</v>
      </c>
      <c r="N8313" s="48" t="n">
        <f aca="false">N8303*N8310</f>
        <v>1.6113697898092</v>
      </c>
      <c r="P8313" s="49" t="n">
        <f aca="false">SUM(C8313:F8313)</f>
        <v>1.42795740342141</v>
      </c>
      <c r="Q8313" s="49" t="n">
        <f aca="false">SUM(G8313:J8313)</f>
        <v>3.7679045458148</v>
      </c>
      <c r="R8313" s="49" t="n">
        <f aca="false">SUM(K8313:N8313)</f>
        <v>6.67590673554273</v>
      </c>
      <c r="S8313" s="50" t="n">
        <f aca="false">SUM(P8313:R8313)</f>
        <v>11.8717686847789</v>
      </c>
    </row>
    <row r="8314" customFormat="false" ht="15" hidden="false" customHeight="false" outlineLevel="0" collapsed="false">
      <c r="A8314" s="4" t="s">
        <v>529</v>
      </c>
      <c r="B8314" s="36" t="s">
        <v>527</v>
      </c>
      <c r="C8314" s="48" t="n">
        <f aca="false">C8304*C8310</f>
        <v>0</v>
      </c>
      <c r="D8314" s="48" t="n">
        <f aca="false">D8304*D8310</f>
        <v>0</v>
      </c>
      <c r="E8314" s="48" t="n">
        <f aca="false">E8304*E8310</f>
        <v>0.0509112006856529</v>
      </c>
      <c r="F8314" s="48" t="n">
        <f aca="false">F8304*F8310</f>
        <v>0.0872657834988111</v>
      </c>
      <c r="G8314" s="48" t="n">
        <f aca="false">G8304*G8310</f>
        <v>0.0962900956365819</v>
      </c>
      <c r="H8314" s="48" t="n">
        <f aca="false">H8304*H8310</f>
        <v>0.105499465472366</v>
      </c>
      <c r="I8314" s="48" t="n">
        <f aca="false">I8304*I8310</f>
        <v>0.124471409327562</v>
      </c>
      <c r="J8314" s="48" t="n">
        <f aca="false">J8304*J8310</f>
        <v>0.142487228818336</v>
      </c>
      <c r="K8314" s="48" t="n">
        <f aca="false">K8304*K8310</f>
        <v>0.189539761226571</v>
      </c>
      <c r="L8314" s="48" t="n">
        <f aca="false">L8304*L8310</f>
        <v>0.233751333445662</v>
      </c>
      <c r="M8314" s="48" t="n">
        <f aca="false">M8304*M8310</f>
        <v>0.235412261173859</v>
      </c>
      <c r="N8314" s="48" t="n">
        <f aca="false">N8304*N8310</f>
        <v>0.228441883508756</v>
      </c>
      <c r="P8314" s="49" t="n">
        <f aca="false">SUM(C8314:F8314)</f>
        <v>0.138176984184464</v>
      </c>
      <c r="Q8314" s="49" t="n">
        <f aca="false">SUM(G8314:J8314)</f>
        <v>0.468748199254846</v>
      </c>
      <c r="R8314" s="49" t="n">
        <f aca="false">SUM(K8314:N8314)</f>
        <v>0.887145239354848</v>
      </c>
      <c r="S8314" s="50" t="n">
        <f aca="false">SUM(P8314:R8314)</f>
        <v>1.49407042279416</v>
      </c>
    </row>
    <row r="8315" customFormat="false" ht="15" hidden="false" customHeight="false" outlineLevel="0" collapsed="false">
      <c r="A8315" s="9" t="s">
        <v>530</v>
      </c>
      <c r="B8315" s="36" t="s">
        <v>527</v>
      </c>
      <c r="C8315" s="49" t="n">
        <f aca="false">C8312+C8313+C8314</f>
        <v>0</v>
      </c>
      <c r="D8315" s="49" t="n">
        <f aca="false">D8312+D8313+D8314</f>
        <v>0.928901013893547</v>
      </c>
      <c r="E8315" s="49" t="n">
        <f aca="false">E8312+E8313+E8314</f>
        <v>1.64312025642501</v>
      </c>
      <c r="F8315" s="49" t="n">
        <f aca="false">F8312+F8313+F8314</f>
        <v>1.84412805074315</v>
      </c>
      <c r="G8315" s="49" t="n">
        <f aca="false">G8312+G8313+G8314</f>
        <v>2.02118204716592</v>
      </c>
      <c r="H8315" s="49" t="n">
        <f aca="false">H8312+H8313+H8314</f>
        <v>2.5661079973672</v>
      </c>
      <c r="I8315" s="49" t="n">
        <f aca="false">I8312+I8313+I8314</f>
        <v>3.08589228563108</v>
      </c>
      <c r="J8315" s="49" t="n">
        <f aca="false">J8312+J8313+J8314</f>
        <v>4.44013292080215</v>
      </c>
      <c r="K8315" s="49" t="n">
        <f aca="false">K8312+K8313+K8314</f>
        <v>5.70308991057101</v>
      </c>
      <c r="L8315" s="49" t="n">
        <f aca="false">L8312+L8313+L8314</f>
        <v>5.78647819330918</v>
      </c>
      <c r="M8315" s="49" t="n">
        <f aca="false">M8312+M8313+M8314</f>
        <v>5.62372710999168</v>
      </c>
      <c r="N8315" s="49" t="n">
        <f aca="false">N8312+N8313+N8314</f>
        <v>5.46375411595271</v>
      </c>
      <c r="P8315" s="49" t="n">
        <f aca="false">SUM(C8315:F8315)</f>
        <v>4.41614932106171</v>
      </c>
      <c r="Q8315" s="49" t="n">
        <f aca="false">SUM(G8315:J8315)</f>
        <v>12.1133152509664</v>
      </c>
      <c r="R8315" s="49" t="n">
        <f aca="false">SUM(K8315:N8315)</f>
        <v>22.5770493298246</v>
      </c>
      <c r="S8315" s="50" t="n">
        <f aca="false">SUM(P8315:R8315)</f>
        <v>39.1065139018526</v>
      </c>
    </row>
    <row r="8316" customFormat="false" ht="15" hidden="false" customHeight="false" outlineLevel="0" collapsed="false">
      <c r="A8316" s="35" t="s">
        <v>533</v>
      </c>
      <c r="B8316" s="35" t="s">
        <v>444</v>
      </c>
      <c r="C8316" s="6" t="s">
        <v>354</v>
      </c>
      <c r="D8316" s="6" t="s">
        <v>355</v>
      </c>
      <c r="E8316" s="6" t="s">
        <v>356</v>
      </c>
      <c r="F8316" s="6" t="s">
        <v>357</v>
      </c>
      <c r="G8316" s="6" t="s">
        <v>358</v>
      </c>
      <c r="H8316" s="6" t="s">
        <v>359</v>
      </c>
      <c r="I8316" s="6" t="s">
        <v>360</v>
      </c>
      <c r="J8316" s="6" t="s">
        <v>361</v>
      </c>
      <c r="K8316" s="6" t="s">
        <v>362</v>
      </c>
      <c r="L8316" s="6" t="s">
        <v>363</v>
      </c>
      <c r="M8316" s="6" t="s">
        <v>364</v>
      </c>
      <c r="N8316" s="6" t="s">
        <v>365</v>
      </c>
      <c r="P8316" s="6" t="s">
        <v>445</v>
      </c>
      <c r="Q8316" s="6" t="s">
        <v>446</v>
      </c>
      <c r="R8316" s="6" t="s">
        <v>447</v>
      </c>
      <c r="S8316" s="6" t="s">
        <v>448</v>
      </c>
    </row>
    <row r="8317" customFormat="false" ht="15" hidden="false" customHeight="false" outlineLevel="0" collapsed="false">
      <c r="A8317" s="4" t="s">
        <v>534</v>
      </c>
      <c r="B8317" s="36" t="s">
        <v>527</v>
      </c>
      <c r="C8317" s="48" t="n">
        <f aca="false">0*Assumptions!$E$59^(1/4)+C8312</f>
        <v>0</v>
      </c>
      <c r="D8317" s="48" t="n">
        <f aca="false">C8317*Assumptions!$E$59^(1/4)+D8312</f>
        <v>0.618840317988443</v>
      </c>
      <c r="E8317" s="48" t="n">
        <f aca="false">D8317*Assumptions!$E$59^(1/4)+E8312</f>
        <v>1.66011663920288</v>
      </c>
      <c r="F8317" s="48" t="n">
        <f aca="false">E8317*Assumptions!$E$59^(1/4)+F8312</f>
        <v>2.77833473646281</v>
      </c>
      <c r="G8317" s="48" t="n">
        <f aca="false">F8317*Assumptions!$E$59^(1/4)+G8312</f>
        <v>3.97332398421226</v>
      </c>
      <c r="H8317" s="48" t="n">
        <f aca="false">G8317*Assumptions!$E$59^(1/4)+H8312</f>
        <v>5.49849129770052</v>
      </c>
      <c r="I8317" s="48" t="n">
        <f aca="false">H8317*Assumptions!$E$59^(1/4)+I8312</f>
        <v>7.31919733072152</v>
      </c>
      <c r="J8317" s="48" t="n">
        <f aca="false">I8317*Assumptions!$E$59^(1/4)+J8312</f>
        <v>10.039481153483</v>
      </c>
      <c r="K8317" s="48" t="n">
        <f aca="false">J8317*Assumptions!$E$59^(1/4)+K8312</f>
        <v>13.5402505122025</v>
      </c>
      <c r="L8317" s="48" t="n">
        <f aca="false">K8317*Assumptions!$E$59^(1/4)+L8312</f>
        <v>16.9580284835238</v>
      </c>
      <c r="M8317" s="48" t="n">
        <f aca="false">L8317*Assumptions!$E$59^(1/4)+M8312</f>
        <v>20.1544989818224</v>
      </c>
      <c r="N8317" s="48" t="n">
        <f aca="false">M8317*Assumptions!$E$59^(1/4)+N8312</f>
        <v>23.144520519214</v>
      </c>
      <c r="P8317" s="49" t="n">
        <f aca="false">F8317</f>
        <v>2.77833473646281</v>
      </c>
      <c r="Q8317" s="49" t="n">
        <f aca="false">J8317</f>
        <v>10.039481153483</v>
      </c>
      <c r="R8317" s="49" t="n">
        <f aca="false">N8317</f>
        <v>23.144520519214</v>
      </c>
      <c r="S8317" s="50" t="n">
        <f aca="false">R8317</f>
        <v>23.144520519214</v>
      </c>
    </row>
    <row r="8318" customFormat="false" ht="15" hidden="false" customHeight="false" outlineLevel="0" collapsed="false">
      <c r="A8318" s="4" t="s">
        <v>535</v>
      </c>
      <c r="B8318" s="36" t="s">
        <v>527</v>
      </c>
      <c r="C8318" s="48" t="n">
        <f aca="false">0*Assumptions!$E$60^(1/4)+C8313</f>
        <v>0</v>
      </c>
      <c r="D8318" s="48" t="n">
        <f aca="false">C8318*Assumptions!$E$60^(1/4)+D8313</f>
        <v>0.310060695905104</v>
      </c>
      <c r="E8318" s="48" t="n">
        <f aca="false">D8318*Assumptions!$E$60^(1/4)+E8313</f>
        <v>0.833468584949881</v>
      </c>
      <c r="F8318" s="48" t="n">
        <f aca="false">E8318*Assumptions!$E$60^(1/4)+F8313</f>
        <v>1.3982299262662</v>
      </c>
      <c r="G8318" s="48" t="n">
        <f aca="false">F8318*Assumptions!$E$60^(1/4)+G8313</f>
        <v>2.00439672814587</v>
      </c>
      <c r="H8318" s="48" t="n">
        <f aca="false">G8318*Assumptions!$E$60^(1/4)+H8313</f>
        <v>2.76275789605299</v>
      </c>
      <c r="I8318" s="48" t="n">
        <f aca="false">H8318*Assumptions!$E$60^(1/4)+I8313</f>
        <v>3.65870694246903</v>
      </c>
      <c r="J8318" s="48" t="n">
        <f aca="false">I8318*Assumptions!$E$60^(1/4)+J8313</f>
        <v>4.9107448984896</v>
      </c>
      <c r="K8318" s="48" t="n">
        <f aca="false">J8318*Assumptions!$E$60^(1/4)+K8313</f>
        <v>6.48009219710324</v>
      </c>
      <c r="L8318" s="48" t="n">
        <f aca="false">K8318*Assumptions!$E$60^(1/4)+L8313</f>
        <v>8.0207004930266</v>
      </c>
      <c r="M8318" s="48" t="n">
        <f aca="false">L8318*Assumptions!$E$60^(1/4)+M8313</f>
        <v>9.4706545907945</v>
      </c>
      <c r="N8318" s="48" t="n">
        <f aca="false">M8318*Assumptions!$E$60^(1/4)+N8313</f>
        <v>10.835822842343</v>
      </c>
      <c r="P8318" s="49" t="n">
        <f aca="false">F8318</f>
        <v>1.3982299262662</v>
      </c>
      <c r="Q8318" s="49" t="n">
        <f aca="false">J8318</f>
        <v>4.9107448984896</v>
      </c>
      <c r="R8318" s="49" t="n">
        <f aca="false">N8318</f>
        <v>10.835822842343</v>
      </c>
      <c r="S8318" s="50" t="n">
        <f aca="false">R8318</f>
        <v>10.835822842343</v>
      </c>
    </row>
    <row r="8319" customFormat="false" ht="15" hidden="false" customHeight="false" outlineLevel="0" collapsed="false">
      <c r="A8319" s="4" t="s">
        <v>536</v>
      </c>
      <c r="B8319" s="36" t="s">
        <v>527</v>
      </c>
      <c r="C8319" s="48" t="n">
        <f aca="false">0*Assumptions!$E$61^(1/4)+C8314</f>
        <v>0</v>
      </c>
      <c r="D8319" s="48" t="n">
        <f aca="false">C8319*Assumptions!$E$61^(1/4)+D8314</f>
        <v>0</v>
      </c>
      <c r="E8319" s="48" t="n">
        <f aca="false">D8319*Assumptions!$E$61^(1/4)+E8314</f>
        <v>0.0509112006856529</v>
      </c>
      <c r="F8319" s="48" t="n">
        <f aca="false">E8319*Assumptions!$E$61^(1/4)+F8314</f>
        <v>0.137126704510346</v>
      </c>
      <c r="G8319" s="48" t="n">
        <f aca="false">F8319*Assumptions!$E$61^(1/4)+G8314</f>
        <v>0.230587925781634</v>
      </c>
      <c r="H8319" s="48" t="n">
        <f aca="false">G8319*Assumptions!$E$61^(1/4)+H8314</f>
        <v>0.331330445664742</v>
      </c>
      <c r="I8319" s="48" t="n">
        <f aca="false">H8319*Assumptions!$E$61^(1/4)+I8314</f>
        <v>0.448966627619713</v>
      </c>
      <c r="J8319" s="48" t="n">
        <f aca="false">I8319*Assumptions!$E$61^(1/4)+J8314</f>
        <v>0.582191837137861</v>
      </c>
      <c r="K8319" s="48" t="n">
        <f aca="false">J8319*Assumptions!$E$61^(1/4)+K8314</f>
        <v>0.759721191130891</v>
      </c>
      <c r="L8319" s="48" t="n">
        <f aca="false">K8319*Assumptions!$E$61^(1/4)+L8314</f>
        <v>0.977799750917804</v>
      </c>
      <c r="M8319" s="48" t="n">
        <f aca="false">L8319*Assumptions!$E$61^(1/4)+M8314</f>
        <v>1.19304035654405</v>
      </c>
      <c r="N8319" s="48" t="n">
        <f aca="false">M8319*Assumptions!$E$61^(1/4)+N8314</f>
        <v>1.39687024858521</v>
      </c>
      <c r="P8319" s="49" t="n">
        <f aca="false">F8319</f>
        <v>0.137126704510346</v>
      </c>
      <c r="Q8319" s="49" t="n">
        <f aca="false">J8319</f>
        <v>0.582191837137861</v>
      </c>
      <c r="R8319" s="49" t="n">
        <f aca="false">N8319</f>
        <v>1.39687024858521</v>
      </c>
      <c r="S8319" s="50" t="n">
        <f aca="false">R8319</f>
        <v>1.39687024858521</v>
      </c>
    </row>
    <row r="8320" customFormat="false" ht="15" hidden="false" customHeight="false" outlineLevel="0" collapsed="false">
      <c r="A8320" s="9" t="s">
        <v>537</v>
      </c>
      <c r="B8320" s="36" t="s">
        <v>527</v>
      </c>
      <c r="C8320" s="49" t="n">
        <f aca="false">C8317+C8318+C8319</f>
        <v>0</v>
      </c>
      <c r="D8320" s="49" t="n">
        <f aca="false">D8317+D8318+D8319</f>
        <v>0.928901013893547</v>
      </c>
      <c r="E8320" s="49" t="n">
        <f aca="false">E8317+E8318+E8319</f>
        <v>2.54449642483841</v>
      </c>
      <c r="F8320" s="49" t="n">
        <f aca="false">F8317+F8318+F8319</f>
        <v>4.31369136723936</v>
      </c>
      <c r="G8320" s="49" t="n">
        <f aca="false">G8317+G8318+G8319</f>
        <v>6.20830863813976</v>
      </c>
      <c r="H8320" s="49" t="n">
        <f aca="false">H8317+H8318+H8319</f>
        <v>8.59257963941825</v>
      </c>
      <c r="I8320" s="49" t="n">
        <f aca="false">I8317+I8318+I8319</f>
        <v>11.4268709008103</v>
      </c>
      <c r="J8320" s="49" t="n">
        <f aca="false">J8317+J8318+J8319</f>
        <v>15.5324178891105</v>
      </c>
      <c r="K8320" s="49" t="n">
        <f aca="false">K8317+K8318+K8319</f>
        <v>20.7800639004366</v>
      </c>
      <c r="L8320" s="49" t="n">
        <f aca="false">L8317+L8318+L8319</f>
        <v>25.9565287274682</v>
      </c>
      <c r="M8320" s="49" t="n">
        <f aca="false">M8317+M8318+M8319</f>
        <v>30.8181939291609</v>
      </c>
      <c r="N8320" s="49" t="n">
        <f aca="false">N8317+N8318+N8319</f>
        <v>35.3772136101422</v>
      </c>
      <c r="P8320" s="49" t="n">
        <f aca="false">F8320</f>
        <v>4.31369136723936</v>
      </c>
      <c r="Q8320" s="49" t="n">
        <f aca="false">J8320</f>
        <v>15.5324178891105</v>
      </c>
      <c r="R8320" s="49" t="n">
        <f aca="false">N8320</f>
        <v>35.3772136101422</v>
      </c>
      <c r="S8320" s="50" t="n">
        <f aca="false">R8320</f>
        <v>35.3772136101422</v>
      </c>
    </row>
    <row r="8321" customFormat="false" ht="15" hidden="false" customHeight="false" outlineLevel="0" collapsed="false">
      <c r="A8321" s="4" t="s">
        <v>538</v>
      </c>
      <c r="B8321" s="36" t="s">
        <v>125</v>
      </c>
      <c r="C8321" s="54" t="n">
        <f aca="false">0*Assumptions!$E$62^(1/4)+C8312*$C$8261</f>
        <v>0</v>
      </c>
      <c r="D8321" s="54" t="n">
        <f aca="false">C8321*Assumptions!$E$62^(1/4)+D8312*$C$8261</f>
        <v>3312.03338187415</v>
      </c>
      <c r="E8321" s="54" t="n">
        <f aca="false">D8321*Assumptions!$E$62^(1/4)+E8312*$C$8261</f>
        <v>8989.11787705312</v>
      </c>
      <c r="F8321" s="54" t="n">
        <f aca="false">E8321*Assumptions!$E$62^(1/4)+F8312*$C$8261</f>
        <v>15253.2799238556</v>
      </c>
      <c r="G8321" s="54" t="n">
        <f aca="false">F8321*Assumptions!$E$62^(1/4)+G8312*$C$8261</f>
        <v>22116.5584698049</v>
      </c>
      <c r="H8321" s="54" t="n">
        <f aca="false">G8321*Assumptions!$E$62^(1/4)+H8312*$C$8261</f>
        <v>30948.1107382467</v>
      </c>
      <c r="I8321" s="54" t="n">
        <f aca="false">H8321*Assumptions!$E$62^(1/4)+I8312*$C$8261</f>
        <v>41618.1280807474</v>
      </c>
      <c r="J8321" s="54" t="n">
        <f aca="false">I8321*Assumptions!$E$62^(1/4)+J8312*$C$8261</f>
        <v>57409.1776554148</v>
      </c>
      <c r="K8321" s="54" t="n">
        <f aca="false">J8321*Assumptions!$E$62^(1/4)+K8312*$C$8261</f>
        <v>77835.3098031101</v>
      </c>
      <c r="L8321" s="54" t="n">
        <f aca="false">K8321*Assumptions!$E$62^(1/4)+L8312*$C$8261</f>
        <v>98406.580499381</v>
      </c>
      <c r="M8321" s="54" t="n">
        <f aca="false">L8321*Assumptions!$E$62^(1/4)+M8312*$C$8261</f>
        <v>118368.751546003</v>
      </c>
      <c r="N8321" s="54" t="n">
        <f aca="false">M8321*Assumptions!$E$62^(1/4)+N8312*$C$8261</f>
        <v>137764.091498984</v>
      </c>
      <c r="P8321" s="55" t="n">
        <f aca="false">F8321</f>
        <v>15253.2799238556</v>
      </c>
      <c r="Q8321" s="55" t="n">
        <f aca="false">J8321</f>
        <v>57409.1776554148</v>
      </c>
      <c r="R8321" s="55" t="n">
        <f aca="false">N8321</f>
        <v>137764.091498984</v>
      </c>
      <c r="S8321" s="56" t="n">
        <f aca="false">R8321</f>
        <v>137764.091498984</v>
      </c>
    </row>
    <row r="8322" customFormat="false" ht="15" hidden="false" customHeight="false" outlineLevel="0" collapsed="false">
      <c r="A8322" s="4" t="s">
        <v>539</v>
      </c>
      <c r="B8322" s="36" t="s">
        <v>125</v>
      </c>
      <c r="C8322" s="54" t="n">
        <f aca="false">0*Assumptions!$E$63^(1/4)+C8313*$C$8262</f>
        <v>0</v>
      </c>
      <c r="D8322" s="54" t="n">
        <f aca="false">C8322*Assumptions!$E$63^(1/4)+D8313*$C$8262</f>
        <v>3028.27603983126</v>
      </c>
      <c r="E8322" s="54" t="n">
        <f aca="false">D8322*Assumptions!$E$63^(1/4)+E8313*$C$8262</f>
        <v>8263.41469390289</v>
      </c>
      <c r="F8322" s="54" t="n">
        <f aca="false">E8322*Assumptions!$E$63^(1/4)+F8313*$C$8262</f>
        <v>14112.1528478073</v>
      </c>
      <c r="G8322" s="54" t="n">
        <f aca="false">F8322*Assumptions!$E$63^(1/4)+G8313*$C$8262</f>
        <v>20594.5018809719</v>
      </c>
      <c r="H8322" s="54" t="n">
        <f aca="false">G8322*Assumptions!$E$63^(1/4)+H8313*$C$8262</f>
        <v>28812.3163041441</v>
      </c>
      <c r="I8322" s="54" t="n">
        <f aca="false">H8322*Assumptions!$E$63^(1/4)+I8313*$C$8262</f>
        <v>38687.0464592268</v>
      </c>
      <c r="J8322" s="54" t="n">
        <f aca="false">I8322*Assumptions!$E$63^(1/4)+J8313*$C$8262</f>
        <v>52411.9773968243</v>
      </c>
      <c r="K8322" s="54" t="n">
        <f aca="false">J8322*Assumptions!$E$63^(1/4)+K8313*$C$8262</f>
        <v>69755.2675025744</v>
      </c>
      <c r="L8322" s="54" t="n">
        <f aca="false">K8322*Assumptions!$E$63^(1/4)+L8313*$C$8262</f>
        <v>87470.8189325805</v>
      </c>
      <c r="M8322" s="54" t="n">
        <f aca="false">L8322*Assumptions!$E$63^(1/4)+M8313*$C$8262</f>
        <v>104952.089027295</v>
      </c>
      <c r="N8322" s="54" t="n">
        <f aca="false">M8322*Assumptions!$E$63^(1/4)+N8313*$C$8262</f>
        <v>122229.937597753</v>
      </c>
      <c r="P8322" s="55" t="n">
        <f aca="false">F8322</f>
        <v>14112.1528478073</v>
      </c>
      <c r="Q8322" s="55" t="n">
        <f aca="false">J8322</f>
        <v>52411.9773968243</v>
      </c>
      <c r="R8322" s="55" t="n">
        <f aca="false">N8322</f>
        <v>122229.937597753</v>
      </c>
      <c r="S8322" s="56" t="n">
        <f aca="false">R8322</f>
        <v>122229.937597753</v>
      </c>
    </row>
    <row r="8323" customFormat="false" ht="15" hidden="false" customHeight="false" outlineLevel="0" collapsed="false">
      <c r="A8323" s="4" t="s">
        <v>540</v>
      </c>
      <c r="B8323" s="36" t="s">
        <v>125</v>
      </c>
      <c r="C8323" s="54" t="n">
        <f aca="false">0*Assumptions!$E$64^(1/4)+C8314*$C$8263</f>
        <v>0</v>
      </c>
      <c r="D8323" s="54" t="n">
        <f aca="false">C8323*Assumptions!$E$64^(1/4)+D8314*$C$8263</f>
        <v>0</v>
      </c>
      <c r="E8323" s="54" t="n">
        <f aca="false">D8323*Assumptions!$E$64^(1/4)+E8314*$C$8263</f>
        <v>3145.20520039752</v>
      </c>
      <c r="F8323" s="54" t="n">
        <f aca="false">E8323*Assumptions!$E$64^(1/4)+F8314*$C$8263</f>
        <v>8648.17057920292</v>
      </c>
      <c r="G8323" s="54" t="n">
        <f aca="false">F8323*Assumptions!$E$64^(1/4)+G8314*$C$8263</f>
        <v>14904.3170885046</v>
      </c>
      <c r="H8323" s="54" t="n">
        <f aca="false">G8323*Assumptions!$E$64^(1/4)+H8314*$C$8263</f>
        <v>21951.858942323</v>
      </c>
      <c r="I8323" s="54" t="n">
        <f aca="false">H8323*Assumptions!$E$64^(1/4)+I8314*$C$8263</f>
        <v>30422.0514358674</v>
      </c>
      <c r="J8323" s="54" t="n">
        <f aca="false">I8323*Assumptions!$E$64^(1/4)+J8314*$C$8263</f>
        <v>40306.4135932297</v>
      </c>
      <c r="K8323" s="54" t="n">
        <f aca="false">J8323*Assumptions!$E$64^(1/4)+K8314*$C$8263</f>
        <v>53449.068057661</v>
      </c>
      <c r="L8323" s="54" t="n">
        <f aca="false">K8323*Assumptions!$E$64^(1/4)+L8314*$C$8263</f>
        <v>69790.3638692854</v>
      </c>
      <c r="M8323" s="54" t="n">
        <f aca="false">L8323*Assumptions!$E$64^(1/4)+M8314*$C$8263</f>
        <v>86815.3339436551</v>
      </c>
      <c r="N8323" s="54" t="n">
        <f aca="false">M8323*Assumptions!$E$64^(1/4)+N8314*$C$8263</f>
        <v>104015.061426302</v>
      </c>
      <c r="P8323" s="55" t="n">
        <f aca="false">F8323</f>
        <v>8648.17057920292</v>
      </c>
      <c r="Q8323" s="55" t="n">
        <f aca="false">J8323</f>
        <v>40306.4135932297</v>
      </c>
      <c r="R8323" s="55" t="n">
        <f aca="false">N8323</f>
        <v>104015.061426302</v>
      </c>
      <c r="S8323" s="56" t="n">
        <f aca="false">R8323</f>
        <v>104015.061426302</v>
      </c>
    </row>
    <row r="8324" customFormat="false" ht="15" hidden="false" customHeight="false" outlineLevel="0" collapsed="false">
      <c r="A8324" s="9" t="s">
        <v>541</v>
      </c>
      <c r="B8324" s="36" t="s">
        <v>125</v>
      </c>
      <c r="C8324" s="55" t="n">
        <f aca="false">C8321+C8322+C8323</f>
        <v>0</v>
      </c>
      <c r="D8324" s="55" t="n">
        <f aca="false">D8321+D8322+D8323</f>
        <v>6340.30942170541</v>
      </c>
      <c r="E8324" s="55" t="n">
        <f aca="false">E8321+E8322+E8323</f>
        <v>20397.7377713535</v>
      </c>
      <c r="F8324" s="55" t="n">
        <f aca="false">F8321+F8322+F8323</f>
        <v>38013.6033508659</v>
      </c>
      <c r="G8324" s="55" t="n">
        <f aca="false">G8321+G8322+G8323</f>
        <v>57615.3774392814</v>
      </c>
      <c r="H8324" s="55" t="n">
        <f aca="false">H8321+H8322+H8323</f>
        <v>81712.2859847139</v>
      </c>
      <c r="I8324" s="55" t="n">
        <f aca="false">I8321+I8322+I8323</f>
        <v>110727.225975842</v>
      </c>
      <c r="J8324" s="55" t="n">
        <f aca="false">J8321+J8322+J8323</f>
        <v>150127.568645469</v>
      </c>
      <c r="K8324" s="55" t="n">
        <f aca="false">K8321+K8322+K8323</f>
        <v>201039.645363346</v>
      </c>
      <c r="L8324" s="55" t="n">
        <f aca="false">L8321+L8322+L8323</f>
        <v>255667.763301247</v>
      </c>
      <c r="M8324" s="55" t="n">
        <f aca="false">M8321+M8322+M8323</f>
        <v>310136.174516953</v>
      </c>
      <c r="N8324" s="55" t="n">
        <f aca="false">N8321+N8322+N8323</f>
        <v>364009.090523039</v>
      </c>
      <c r="P8324" s="55" t="n">
        <f aca="false">F8324</f>
        <v>38013.6033508659</v>
      </c>
      <c r="Q8324" s="55" t="n">
        <f aca="false">J8324</f>
        <v>150127.568645469</v>
      </c>
      <c r="R8324" s="55" t="n">
        <f aca="false">N8324</f>
        <v>364009.090523039</v>
      </c>
      <c r="S8324" s="56" t="n">
        <f aca="false">R8324</f>
        <v>364009.090523039</v>
      </c>
    </row>
    <row r="8325" customFormat="false" ht="15" hidden="false" customHeight="false" outlineLevel="0" collapsed="false">
      <c r="A8325" s="4" t="s">
        <v>542</v>
      </c>
      <c r="B8325" s="36" t="s">
        <v>125</v>
      </c>
      <c r="C8325" s="54" t="n">
        <f aca="false">C8312*$C$8261+C8313*$C$8262+C8314*$C$8263</f>
        <v>0</v>
      </c>
      <c r="D8325" s="54" t="n">
        <f aca="false">D8312*$C$8261+D8313*$C$8262+D8314*$C$8263</f>
        <v>6340.30942170541</v>
      </c>
      <c r="E8325" s="54" t="n">
        <f aca="false">E8312*$C$8261+E8313*$C$8262+E8314*$C$8263</f>
        <v>14012.9918928834</v>
      </c>
      <c r="F8325" s="54" t="n">
        <f aca="false">F8312*$C$8261+F8313*$C$8262+F8314*$C$8263</f>
        <v>17382.7720568404</v>
      </c>
      <c r="G8325" s="54" t="n">
        <f aca="false">G8312*$C$8261+G8313*$C$8262+G8314*$C$8263</f>
        <v>19087.1822187475</v>
      </c>
      <c r="H8325" s="54" t="n">
        <f aca="false">H8312*$C$8261+H8313*$C$8262+H8314*$C$8263</f>
        <v>23264.7391480582</v>
      </c>
      <c r="I8325" s="54" t="n">
        <f aca="false">I8312*$C$8261+I8313*$C$8262+I8314*$C$8263</f>
        <v>27811.5866178063</v>
      </c>
      <c r="J8325" s="54" t="n">
        <f aca="false">J8312*$C$8261+J8313*$C$8262+J8314*$C$8263</f>
        <v>37750.9052737394</v>
      </c>
      <c r="K8325" s="54" t="n">
        <f aca="false">K8312*$C$8261+K8313*$C$8262+K8314*$C$8263</f>
        <v>48709.7728925555</v>
      </c>
      <c r="L8325" s="54" t="n">
        <f aca="false">L8312*$C$8261+L8313*$C$8262+L8314*$C$8263</f>
        <v>51703.9938307321</v>
      </c>
      <c r="M8325" s="54" t="n">
        <f aca="false">M8312*$C$8261+M8313*$C$8262+M8314*$C$8263</f>
        <v>50703.2667880687</v>
      </c>
      <c r="N8325" s="54" t="n">
        <f aca="false">N8312*$C$8261+N8313*$C$8262+N8314*$C$8263</f>
        <v>49245.8789246288</v>
      </c>
      <c r="P8325" s="55" t="n">
        <f aca="false">SUM(C8325:F8325)</f>
        <v>37736.0733714292</v>
      </c>
      <c r="Q8325" s="55" t="n">
        <f aca="false">SUM(G8325:J8325)</f>
        <v>107914.413258351</v>
      </c>
      <c r="R8325" s="55" t="n">
        <f aca="false">SUM(K8325:N8325)</f>
        <v>200362.912435985</v>
      </c>
      <c r="S8325" s="56" t="n">
        <f aca="false">SUM(P8325:R8325)</f>
        <v>346013.399065766</v>
      </c>
    </row>
    <row r="8326" customFormat="false" ht="15" hidden="false" customHeight="false" outlineLevel="0" collapsed="false">
      <c r="A8326" s="9" t="s">
        <v>543</v>
      </c>
      <c r="B8326" s="36" t="s">
        <v>125</v>
      </c>
      <c r="C8326" s="55" t="n">
        <f aca="false">(0+C8324)/8</f>
        <v>0</v>
      </c>
      <c r="D8326" s="55" t="n">
        <f aca="false">(C8324+D8324)/8</f>
        <v>792.538677713176</v>
      </c>
      <c r="E8326" s="55" t="n">
        <f aca="false">(D8324+E8324)/8</f>
        <v>3342.25589913237</v>
      </c>
      <c r="F8326" s="55" t="n">
        <f aca="false">(E8324+F8324)/8</f>
        <v>7301.41764027743</v>
      </c>
      <c r="G8326" s="55" t="n">
        <f aca="false">(F8324+G8324)/8</f>
        <v>11953.6225987684</v>
      </c>
      <c r="H8326" s="55" t="n">
        <f aca="false">(G8324+H8324)/8</f>
        <v>17415.9579279994</v>
      </c>
      <c r="I8326" s="55" t="n">
        <f aca="false">(H8324+I8324)/8</f>
        <v>24054.9389950694</v>
      </c>
      <c r="J8326" s="55" t="n">
        <f aca="false">(I8324+J8324)/8</f>
        <v>32606.8493276638</v>
      </c>
      <c r="K8326" s="55" t="n">
        <f aca="false">(J8324+K8324)/8</f>
        <v>43895.9017511018</v>
      </c>
      <c r="L8326" s="55" t="n">
        <f aca="false">(K8324+L8324)/8</f>
        <v>57088.4260830741</v>
      </c>
      <c r="M8326" s="55" t="n">
        <f aca="false">(L8324+M8324)/8</f>
        <v>70725.4922272749</v>
      </c>
      <c r="N8326" s="55" t="n">
        <f aca="false">(M8324+N8324)/8</f>
        <v>84268.158129999</v>
      </c>
      <c r="P8326" s="55" t="n">
        <f aca="false">SUM(C8326:F8326)</f>
        <v>11436.212217123</v>
      </c>
      <c r="Q8326" s="55" t="n">
        <f aca="false">SUM(G8326:J8326)</f>
        <v>86031.368849501</v>
      </c>
      <c r="R8326" s="55" t="n">
        <f aca="false">SUM(K8326:N8326)</f>
        <v>255977.97819145</v>
      </c>
      <c r="S8326" s="56" t="n">
        <f aca="false">SUM(P8326:R8326)</f>
        <v>353445.559258074</v>
      </c>
    </row>
    <row r="8327" customFormat="false" ht="15" hidden="false" customHeight="false" outlineLevel="0" collapsed="false">
      <c r="A8327" s="4" t="s">
        <v>544</v>
      </c>
      <c r="B8327" s="36" t="s">
        <v>125</v>
      </c>
      <c r="C8327" s="54" t="n">
        <f aca="false">C8326*Assumptions!$E$76</f>
        <v>0</v>
      </c>
      <c r="D8327" s="54" t="n">
        <f aca="false">D8326*Assumptions!$E$76</f>
        <v>515.150140513564</v>
      </c>
      <c r="E8327" s="54" t="n">
        <f aca="false">E8326*Assumptions!$E$76</f>
        <v>2172.46633443604</v>
      </c>
      <c r="F8327" s="54" t="n">
        <f aca="false">F8326*Assumptions!$E$76</f>
        <v>4745.92146618033</v>
      </c>
      <c r="G8327" s="54" t="n">
        <f aca="false">G8326*Assumptions!$E$76</f>
        <v>7769.85468919947</v>
      </c>
      <c r="H8327" s="54" t="n">
        <f aca="false">H8326*Assumptions!$E$76</f>
        <v>11320.3726531996</v>
      </c>
      <c r="I8327" s="54" t="n">
        <f aca="false">I8326*Assumptions!$E$76</f>
        <v>15635.7103467951</v>
      </c>
      <c r="J8327" s="54" t="n">
        <f aca="false">J8326*Assumptions!$E$76</f>
        <v>21194.4520629815</v>
      </c>
      <c r="K8327" s="54" t="n">
        <f aca="false">K8326*Assumptions!$E$76</f>
        <v>28532.3361382162</v>
      </c>
      <c r="L8327" s="54" t="n">
        <f aca="false">L8326*Assumptions!$E$76</f>
        <v>37107.4769539981</v>
      </c>
      <c r="M8327" s="54" t="n">
        <f aca="false">M8326*Assumptions!$E$76</f>
        <v>45971.5699477287</v>
      </c>
      <c r="N8327" s="54" t="n">
        <f aca="false">N8326*Assumptions!$E$76</f>
        <v>54774.3027844993</v>
      </c>
      <c r="P8327" s="55" t="n">
        <f aca="false">SUM(C8327:F8327)</f>
        <v>7433.53794112993</v>
      </c>
      <c r="Q8327" s="55" t="n">
        <f aca="false">SUM(G8327:J8327)</f>
        <v>55920.3897521757</v>
      </c>
      <c r="R8327" s="55" t="n">
        <f aca="false">SUM(K8327:N8327)</f>
        <v>166385.685824442</v>
      </c>
      <c r="S8327" s="56" t="n">
        <f aca="false">SUM(P8327:R8327)</f>
        <v>229739.613517748</v>
      </c>
    </row>
    <row r="8328" customFormat="false" ht="15" hidden="false" customHeight="false" outlineLevel="0" collapsed="false">
      <c r="A8328" s="35" t="s">
        <v>547</v>
      </c>
      <c r="B8328" s="35" t="s">
        <v>444</v>
      </c>
      <c r="C8328" s="6" t="s">
        <v>354</v>
      </c>
      <c r="D8328" s="6" t="s">
        <v>355</v>
      </c>
      <c r="E8328" s="6" t="s">
        <v>356</v>
      </c>
      <c r="F8328" s="6" t="s">
        <v>357</v>
      </c>
      <c r="G8328" s="6" t="s">
        <v>358</v>
      </c>
      <c r="H8328" s="6" t="s">
        <v>359</v>
      </c>
      <c r="I8328" s="6" t="s">
        <v>360</v>
      </c>
      <c r="J8328" s="6" t="s">
        <v>361</v>
      </c>
      <c r="K8328" s="6" t="s">
        <v>362</v>
      </c>
      <c r="L8328" s="6" t="s">
        <v>363</v>
      </c>
      <c r="M8328" s="6" t="s">
        <v>364</v>
      </c>
      <c r="N8328" s="6" t="s">
        <v>365</v>
      </c>
      <c r="P8328" s="6" t="s">
        <v>445</v>
      </c>
      <c r="Q8328" s="6" t="s">
        <v>446</v>
      </c>
      <c r="R8328" s="6" t="s">
        <v>447</v>
      </c>
      <c r="S8328" s="6" t="s">
        <v>448</v>
      </c>
    </row>
    <row r="8329" customFormat="false" ht="15" hidden="false" customHeight="false" outlineLevel="0" collapsed="false">
      <c r="A8329" s="4" t="s">
        <v>548</v>
      </c>
      <c r="B8329" s="36" t="s">
        <v>321</v>
      </c>
      <c r="C8329" s="48" t="n">
        <f aca="false">Assumptions!$D$97*C8271</f>
        <v>1</v>
      </c>
      <c r="D8329" s="48" t="n">
        <f aca="false">Assumptions!$D$97*D8271</f>
        <v>1</v>
      </c>
      <c r="E8329" s="48" t="n">
        <f aca="false">Assumptions!$D$97*E8271</f>
        <v>1</v>
      </c>
      <c r="F8329" s="48" t="n">
        <f aca="false">Assumptions!$D$97*F8271</f>
        <v>1</v>
      </c>
      <c r="G8329" s="48" t="n">
        <f aca="false">Assumptions!$D$97*G8271</f>
        <v>1</v>
      </c>
      <c r="H8329" s="48" t="n">
        <f aca="false">Assumptions!$D$97*H8271</f>
        <v>1</v>
      </c>
      <c r="I8329" s="48" t="n">
        <f aca="false">Assumptions!$D$97*I8271</f>
        <v>1</v>
      </c>
      <c r="J8329" s="48" t="n">
        <f aca="false">Assumptions!$D$97*J8271</f>
        <v>1</v>
      </c>
      <c r="K8329" s="48" t="n">
        <f aca="false">Assumptions!$D$97*K8271</f>
        <v>1</v>
      </c>
      <c r="L8329" s="48" t="n">
        <f aca="false">Assumptions!$D$97*L8271</f>
        <v>1</v>
      </c>
      <c r="M8329" s="48" t="n">
        <f aca="false">Assumptions!$D$97*M8271</f>
        <v>1</v>
      </c>
      <c r="N8329" s="48" t="n">
        <f aca="false">Assumptions!$D$97*N8271</f>
        <v>1</v>
      </c>
      <c r="P8329" s="49" t="n">
        <f aca="false">AVERAGE(C8329:F8329)</f>
        <v>1</v>
      </c>
      <c r="Q8329" s="49" t="n">
        <f aca="false">AVERAGE(G8329:J8329)</f>
        <v>1</v>
      </c>
      <c r="R8329" s="49" t="n">
        <f aca="false">AVERAGE(K8329:N8329)</f>
        <v>1</v>
      </c>
      <c r="S8329" s="50"/>
    </row>
    <row r="8330" customFormat="false" ht="15" hidden="false" customHeight="false" outlineLevel="0" collapsed="false">
      <c r="A8330" s="4" t="s">
        <v>549</v>
      </c>
      <c r="B8330" s="36" t="s">
        <v>321</v>
      </c>
      <c r="C8330" s="48" t="n">
        <f aca="false">C8284*C8271</f>
        <v>0</v>
      </c>
      <c r="D8330" s="48" t="n">
        <f aca="false">D8284*D8271</f>
        <v>0</v>
      </c>
      <c r="E8330" s="48" t="n">
        <f aca="false">E8284*E8271</f>
        <v>0</v>
      </c>
      <c r="F8330" s="48" t="n">
        <f aca="false">F8284*F8271</f>
        <v>0</v>
      </c>
      <c r="G8330" s="48" t="n">
        <f aca="false">G8284*G8271</f>
        <v>0</v>
      </c>
      <c r="H8330" s="48" t="n">
        <f aca="false">H8284*H8271</f>
        <v>0</v>
      </c>
      <c r="I8330" s="48" t="n">
        <f aca="false">I8284*I8271</f>
        <v>0</v>
      </c>
      <c r="J8330" s="48" t="n">
        <f aca="false">J8284*J8271</f>
        <v>0</v>
      </c>
      <c r="K8330" s="48" t="n">
        <f aca="false">K8284*K8271</f>
        <v>0</v>
      </c>
      <c r="L8330" s="48" t="n">
        <f aca="false">L8284*L8271</f>
        <v>0</v>
      </c>
      <c r="M8330" s="48" t="n">
        <f aca="false">M8284*M8271</f>
        <v>0</v>
      </c>
      <c r="N8330" s="48" t="n">
        <f aca="false">N8284*N8271</f>
        <v>0</v>
      </c>
      <c r="P8330" s="49" t="n">
        <f aca="false">AVERAGE(C8330:F8330)</f>
        <v>0</v>
      </c>
      <c r="Q8330" s="49" t="n">
        <f aca="false">AVERAGE(G8330:J8330)</f>
        <v>0</v>
      </c>
      <c r="R8330" s="49" t="n">
        <f aca="false">AVERAGE(K8330:N8330)</f>
        <v>0</v>
      </c>
      <c r="S8330" s="50"/>
    </row>
    <row r="8331" customFormat="false" ht="15" hidden="false" customHeight="false" outlineLevel="0" collapsed="false">
      <c r="A8331" s="4" t="s">
        <v>550</v>
      </c>
      <c r="B8331" s="36" t="s">
        <v>321</v>
      </c>
      <c r="C8331" s="48" t="n">
        <f aca="false">IF(C8270&lt;=4,Assumptions!$D$98,Assumptions!$D$99)*C8271</f>
        <v>0</v>
      </c>
      <c r="D8331" s="48" t="n">
        <f aca="false">IF(D8270&lt;=4,Assumptions!$D$98,Assumptions!$D$99)*D8271</f>
        <v>0</v>
      </c>
      <c r="E8331" s="48" t="n">
        <f aca="false">IF(E8270&lt;=4,Assumptions!$D$98,Assumptions!$D$99)*E8271</f>
        <v>0</v>
      </c>
      <c r="F8331" s="48" t="n">
        <f aca="false">IF(F8270&lt;=4,Assumptions!$D$98,Assumptions!$D$99)*F8271</f>
        <v>0</v>
      </c>
      <c r="G8331" s="48" t="n">
        <f aca="false">IF(G8270&lt;=4,Assumptions!$D$98,Assumptions!$D$99)*G8271</f>
        <v>0.5</v>
      </c>
      <c r="H8331" s="48" t="n">
        <f aca="false">IF(H8270&lt;=4,Assumptions!$D$98,Assumptions!$D$99)*H8271</f>
        <v>0.5</v>
      </c>
      <c r="I8331" s="48" t="n">
        <f aca="false">IF(I8270&lt;=4,Assumptions!$D$98,Assumptions!$D$99)*I8271</f>
        <v>0.5</v>
      </c>
      <c r="J8331" s="48" t="n">
        <f aca="false">IF(J8270&lt;=4,Assumptions!$D$98,Assumptions!$D$99)*J8271</f>
        <v>0.5</v>
      </c>
      <c r="K8331" s="48" t="n">
        <f aca="false">IF(K8270&lt;=4,Assumptions!$D$98,Assumptions!$D$99)*K8271</f>
        <v>0.5</v>
      </c>
      <c r="L8331" s="48" t="n">
        <f aca="false">IF(L8270&lt;=4,Assumptions!$D$98,Assumptions!$D$99)*L8271</f>
        <v>0.5</v>
      </c>
      <c r="M8331" s="48" t="n">
        <f aca="false">IF(M8270&lt;=4,Assumptions!$D$98,Assumptions!$D$99)*M8271</f>
        <v>0.5</v>
      </c>
      <c r="N8331" s="48" t="n">
        <f aca="false">IF(N8270&lt;=4,Assumptions!$D$98,Assumptions!$D$99)*N8271</f>
        <v>0.5</v>
      </c>
      <c r="P8331" s="49" t="n">
        <f aca="false">AVERAGE(C8331:F8331)</f>
        <v>0</v>
      </c>
      <c r="Q8331" s="49" t="n">
        <f aca="false">AVERAGE(G8331:J8331)</f>
        <v>0.5</v>
      </c>
      <c r="R8331" s="49" t="n">
        <f aca="false">AVERAGE(K8331:N8331)</f>
        <v>0.5</v>
      </c>
      <c r="S8331" s="50"/>
    </row>
    <row r="8332" customFormat="false" ht="15" hidden="false" customHeight="false" outlineLevel="0" collapsed="false">
      <c r="A8332" s="4" t="s">
        <v>551</v>
      </c>
      <c r="B8332" s="36" t="s">
        <v>321</v>
      </c>
      <c r="C8332" s="48" t="n">
        <f aca="false">IF(C8270&lt;=4,Assumptions!$D$100,Assumptions!$D$101)*C8271</f>
        <v>1</v>
      </c>
      <c r="D8332" s="48" t="n">
        <f aca="false">IF(D8270&lt;=4,Assumptions!$D$100,Assumptions!$D$101)*D8271</f>
        <v>1</v>
      </c>
      <c r="E8332" s="48" t="n">
        <f aca="false">IF(E8270&lt;=4,Assumptions!$D$100,Assumptions!$D$101)*E8271</f>
        <v>1</v>
      </c>
      <c r="F8332" s="48" t="n">
        <f aca="false">IF(F8270&lt;=4,Assumptions!$D$100,Assumptions!$D$101)*F8271</f>
        <v>1</v>
      </c>
      <c r="G8332" s="48" t="n">
        <f aca="false">IF(G8270&lt;=4,Assumptions!$D$100,Assumptions!$D$101)*G8271</f>
        <v>0.5</v>
      </c>
      <c r="H8332" s="48" t="n">
        <f aca="false">IF(H8270&lt;=4,Assumptions!$D$100,Assumptions!$D$101)*H8271</f>
        <v>0.5</v>
      </c>
      <c r="I8332" s="48" t="n">
        <f aca="false">IF(I8270&lt;=4,Assumptions!$D$100,Assumptions!$D$101)*I8271</f>
        <v>0.5</v>
      </c>
      <c r="J8332" s="48" t="n">
        <f aca="false">IF(J8270&lt;=4,Assumptions!$D$100,Assumptions!$D$101)*J8271</f>
        <v>0.5</v>
      </c>
      <c r="K8332" s="48" t="n">
        <f aca="false">IF(K8270&lt;=4,Assumptions!$D$100,Assumptions!$D$101)*K8271</f>
        <v>0.5</v>
      </c>
      <c r="L8332" s="48" t="n">
        <f aca="false">IF(L8270&lt;=4,Assumptions!$D$100,Assumptions!$D$101)*L8271</f>
        <v>0.5</v>
      </c>
      <c r="M8332" s="48" t="n">
        <f aca="false">IF(M8270&lt;=4,Assumptions!$D$100,Assumptions!$D$101)*M8271</f>
        <v>0.5</v>
      </c>
      <c r="N8332" s="48" t="n">
        <f aca="false">IF(N8270&lt;=4,Assumptions!$D$100,Assumptions!$D$101)*N8271</f>
        <v>0.5</v>
      </c>
      <c r="P8332" s="49" t="n">
        <f aca="false">AVERAGE(C8332:F8332)</f>
        <v>1</v>
      </c>
      <c r="Q8332" s="49" t="n">
        <f aca="false">AVERAGE(G8332:J8332)</f>
        <v>0.5</v>
      </c>
      <c r="R8332" s="49" t="n">
        <f aca="false">AVERAGE(K8332:N8332)</f>
        <v>0.5</v>
      </c>
      <c r="S8332" s="50"/>
    </row>
    <row r="8333" customFormat="false" ht="15" hidden="false" customHeight="false" outlineLevel="0" collapsed="false">
      <c r="A8333" s="4" t="s">
        <v>552</v>
      </c>
      <c r="B8333" s="36" t="s">
        <v>321</v>
      </c>
      <c r="C8333" s="48" t="n">
        <f aca="false">Assumptions!$D$102*C8271</f>
        <v>0.25</v>
      </c>
      <c r="D8333" s="48" t="n">
        <f aca="false">Assumptions!$D$102*D8271</f>
        <v>0.25</v>
      </c>
      <c r="E8333" s="48" t="n">
        <f aca="false">Assumptions!$D$102*E8271</f>
        <v>0.25</v>
      </c>
      <c r="F8333" s="48" t="n">
        <f aca="false">Assumptions!$D$102*F8271</f>
        <v>0.25</v>
      </c>
      <c r="G8333" s="48" t="n">
        <f aca="false">Assumptions!$D$102*G8271</f>
        <v>0.25</v>
      </c>
      <c r="H8333" s="48" t="n">
        <f aca="false">Assumptions!$D$102*H8271</f>
        <v>0.25</v>
      </c>
      <c r="I8333" s="48" t="n">
        <f aca="false">Assumptions!$D$102*I8271</f>
        <v>0.25</v>
      </c>
      <c r="J8333" s="48" t="n">
        <f aca="false">Assumptions!$D$102*J8271</f>
        <v>0.25</v>
      </c>
      <c r="K8333" s="48" t="n">
        <f aca="false">Assumptions!$D$102*K8271</f>
        <v>0.25</v>
      </c>
      <c r="L8333" s="48" t="n">
        <f aca="false">Assumptions!$D$102*L8271</f>
        <v>0.25</v>
      </c>
      <c r="M8333" s="48" t="n">
        <f aca="false">Assumptions!$D$102*M8271</f>
        <v>0.25</v>
      </c>
      <c r="N8333" s="48" t="n">
        <f aca="false">Assumptions!$D$102*N8271</f>
        <v>0.25</v>
      </c>
      <c r="P8333" s="49" t="n">
        <f aca="false">AVERAGE(C8333:F8333)</f>
        <v>0.25</v>
      </c>
      <c r="Q8333" s="49" t="n">
        <f aca="false">AVERAGE(G8333:J8333)</f>
        <v>0.25</v>
      </c>
      <c r="R8333" s="49" t="n">
        <f aca="false">AVERAGE(K8333:N8333)</f>
        <v>0.25</v>
      </c>
      <c r="S8333" s="50"/>
    </row>
    <row r="8334" customFormat="false" ht="15" hidden="false" customHeight="false" outlineLevel="0" collapsed="false">
      <c r="A8334" s="4" t="s">
        <v>553</v>
      </c>
      <c r="B8334" s="36" t="s">
        <v>321</v>
      </c>
      <c r="C8334" s="48" t="n">
        <f aca="false">(C8318+C8319)/Assumptions!$E$74+C8317/Assumptions!$E$75</f>
        <v>0</v>
      </c>
      <c r="D8334" s="48" t="n">
        <f aca="false">(D8318+D8319)/Assumptions!$E$74+D8317/Assumptions!$E$75</f>
        <v>0.0102268786695814</v>
      </c>
      <c r="E8334" s="48" t="n">
        <f aca="false">(E8318+E8319)/Assumptions!$E$74+E8317/Assumptions!$E$75</f>
        <v>0.0287499611976999</v>
      </c>
      <c r="F8334" s="48" t="n">
        <f aca="false">(F8318+F8319)/Assumptions!$E$74+F8317/Assumptions!$E$75</f>
        <v>0.049497254715265</v>
      </c>
      <c r="G8334" s="48" t="n">
        <f aca="false">(G8318+G8319)/Assumptions!$E$74+G8317/Assumptions!$E$75</f>
        <v>0.0717679122850366</v>
      </c>
      <c r="H8334" s="48" t="n">
        <f aca="false">(H8318+H8319)/Assumptions!$E$74+H8317/Assumptions!$E$75</f>
        <v>0.0993461737337454</v>
      </c>
      <c r="I8334" s="48" t="n">
        <f aca="false">(I8318+I8319)/Assumptions!$E$74+I8317/Assumptions!$E$75</f>
        <v>0.131968628575105</v>
      </c>
      <c r="J8334" s="48" t="n">
        <f aca="false">(J8318+J8319)/Assumptions!$E$74+J8317/Assumptions!$E$75</f>
        <v>0.177481343004619</v>
      </c>
      <c r="K8334" s="48" t="n">
        <f aca="false">(K8318+K8319)/Assumptions!$E$74+K8317/Assumptions!$E$75</f>
        <v>0.235156336754663</v>
      </c>
      <c r="L8334" s="48" t="n">
        <f aca="false">(L8318+L8319)/Assumptions!$E$74+L8317/Assumptions!$E$75</f>
        <v>0.292794620032706</v>
      </c>
      <c r="M8334" s="48" t="n">
        <f aca="false">(M8318+M8319)/Assumptions!$E$74+M8317/Assumptions!$E$75</f>
        <v>0.347210369610753</v>
      </c>
      <c r="N8334" s="48" t="n">
        <f aca="false">(N8318+N8319)/Assumptions!$E$74+N8317/Assumptions!$E$75</f>
        <v>0.398395409350061</v>
      </c>
      <c r="P8334" s="49" t="n">
        <f aca="false">AVERAGE(C8334:F8334)</f>
        <v>0.0221185236456365</v>
      </c>
      <c r="Q8334" s="49" t="n">
        <f aca="false">AVERAGE(G8334:J8334)</f>
        <v>0.120141014399626</v>
      </c>
      <c r="R8334" s="49" t="n">
        <f aca="false">AVERAGE(K8334:N8334)</f>
        <v>0.318389183937046</v>
      </c>
      <c r="S8334" s="50"/>
    </row>
    <row r="8335" customFormat="false" ht="15" hidden="false" customHeight="false" outlineLevel="0" collapsed="false">
      <c r="A8335" s="4" t="s">
        <v>554</v>
      </c>
      <c r="B8335" s="36" t="s">
        <v>125</v>
      </c>
      <c r="C8335" s="54" t="n">
        <f aca="false">(C8329+C8331)*Assumptions!$E$70/Assumptions!$E$69/4</f>
        <v>66753.5714285714</v>
      </c>
      <c r="D8335" s="54" t="n">
        <f aca="false">(D8329+D8331)*Assumptions!$E$70/Assumptions!$E$69/4</f>
        <v>66753.5714285714</v>
      </c>
      <c r="E8335" s="54" t="n">
        <f aca="false">(E8329+E8331)*Assumptions!$E$70/Assumptions!$E$69/4</f>
        <v>66753.5714285714</v>
      </c>
      <c r="F8335" s="54" t="n">
        <f aca="false">(F8329+F8331)*Assumptions!$E$70/Assumptions!$E$69/4</f>
        <v>66753.5714285714</v>
      </c>
      <c r="G8335" s="54" t="n">
        <f aca="false">(G8329+G8331)*Assumptions!$E$70/Assumptions!$E$69/4</f>
        <v>100130.357142857</v>
      </c>
      <c r="H8335" s="54" t="n">
        <f aca="false">(H8329+H8331)*Assumptions!$E$70/Assumptions!$E$69/4</f>
        <v>100130.357142857</v>
      </c>
      <c r="I8335" s="54" t="n">
        <f aca="false">(I8329+I8331)*Assumptions!$E$70/Assumptions!$E$69/4</f>
        <v>100130.357142857</v>
      </c>
      <c r="J8335" s="54" t="n">
        <f aca="false">(J8329+J8331)*Assumptions!$E$70/Assumptions!$E$69/4</f>
        <v>100130.357142857</v>
      </c>
      <c r="K8335" s="54" t="n">
        <f aca="false">(K8329+K8331)*Assumptions!$E$70/Assumptions!$E$69/4</f>
        <v>100130.357142857</v>
      </c>
      <c r="L8335" s="54" t="n">
        <f aca="false">(L8329+L8331)*Assumptions!$E$70/Assumptions!$E$69/4</f>
        <v>100130.357142857</v>
      </c>
      <c r="M8335" s="54" t="n">
        <f aca="false">(M8329+M8331)*Assumptions!$E$70/Assumptions!$E$69/4</f>
        <v>100130.357142857</v>
      </c>
      <c r="N8335" s="54" t="n">
        <f aca="false">(N8329+N8331)*Assumptions!$E$70/Assumptions!$E$69/4</f>
        <v>100130.357142857</v>
      </c>
      <c r="P8335" s="55" t="n">
        <f aca="false">SUM(C8335:F8335)</f>
        <v>267014.285714286</v>
      </c>
      <c r="Q8335" s="55" t="n">
        <f aca="false">SUM(G8335:J8335)</f>
        <v>400521.428571429</v>
      </c>
      <c r="R8335" s="55" t="n">
        <f aca="false">SUM(K8335:N8335)</f>
        <v>400521.428571429</v>
      </c>
      <c r="S8335" s="56" t="n">
        <f aca="false">SUM(P8335:R8335)</f>
        <v>1068057.14285714</v>
      </c>
    </row>
    <row r="8336" customFormat="false" ht="15" hidden="false" customHeight="false" outlineLevel="0" collapsed="false">
      <c r="A8336" s="4" t="s">
        <v>555</v>
      </c>
      <c r="B8336" s="36" t="s">
        <v>125</v>
      </c>
      <c r="C8336" s="54" t="n">
        <f aca="false">C8330*$C$8265/4</f>
        <v>0</v>
      </c>
      <c r="D8336" s="54" t="n">
        <f aca="false">D8330*$C$8265/4</f>
        <v>0</v>
      </c>
      <c r="E8336" s="54" t="n">
        <f aca="false">E8330*$C$8265/4</f>
        <v>0</v>
      </c>
      <c r="F8336" s="54" t="n">
        <f aca="false">F8330*$C$8265/4</f>
        <v>0</v>
      </c>
      <c r="G8336" s="54" t="n">
        <f aca="false">G8330*$C$8265/4</f>
        <v>0</v>
      </c>
      <c r="H8336" s="54" t="n">
        <f aca="false">H8330*$C$8265/4</f>
        <v>0</v>
      </c>
      <c r="I8336" s="54" t="n">
        <f aca="false">I8330*$C$8265/4</f>
        <v>0</v>
      </c>
      <c r="J8336" s="54" t="n">
        <f aca="false">J8330*$C$8265/4</f>
        <v>0</v>
      </c>
      <c r="K8336" s="54" t="n">
        <f aca="false">K8330*$C$8265/4</f>
        <v>0</v>
      </c>
      <c r="L8336" s="54" t="n">
        <f aca="false">L8330*$C$8265/4</f>
        <v>0</v>
      </c>
      <c r="M8336" s="54" t="n">
        <f aca="false">M8330*$C$8265/4</f>
        <v>0</v>
      </c>
      <c r="N8336" s="54" t="n">
        <f aca="false">N8330*$C$8265/4</f>
        <v>0</v>
      </c>
      <c r="P8336" s="55" t="n">
        <f aca="false">SUM(C8336:F8336)</f>
        <v>0</v>
      </c>
      <c r="Q8336" s="55" t="n">
        <f aca="false">SUM(G8336:J8336)</f>
        <v>0</v>
      </c>
      <c r="R8336" s="55" t="n">
        <f aca="false">SUM(K8336:N8336)</f>
        <v>0</v>
      </c>
      <c r="S8336" s="56" t="n">
        <f aca="false">SUM(P8336:R8336)</f>
        <v>0</v>
      </c>
    </row>
    <row r="8337" customFormat="false" ht="15" hidden="false" customHeight="false" outlineLevel="0" collapsed="false">
      <c r="A8337" s="4" t="s">
        <v>556</v>
      </c>
      <c r="B8337" s="36" t="s">
        <v>125</v>
      </c>
      <c r="C8337" s="54" t="n">
        <f aca="false">MAX(0,(C8325-C8306*$C$8261)-C8285*$C$8266)*$C$8267*Assumptions!$D$105</f>
        <v>0</v>
      </c>
      <c r="D8337" s="54" t="n">
        <f aca="false">MAX(0,(D8325-D8306*$C$8261)-D8285*$C$8266)*$C$8267*Assumptions!$D$105</f>
        <v>2494.08718700556</v>
      </c>
      <c r="E8337" s="54" t="n">
        <f aca="false">MAX(0,(E8325-E8306*$C$8261)-E8285*$C$8266)*$C$8267*Assumptions!$D$105</f>
        <v>5742.21179910424</v>
      </c>
      <c r="F8337" s="54" t="n">
        <f aca="false">MAX(0,(F8325-F8306*$C$8261)-F8285*$C$8266)*$C$8267*Assumptions!$D$105</f>
        <v>7231.96428818641</v>
      </c>
      <c r="G8337" s="54" t="n">
        <f aca="false">MAX(0,(G8325-G8306*$C$8261)-G8285*$C$8266)*$C$8267*Assumptions!$D$105</f>
        <v>7943.18304604676</v>
      </c>
      <c r="H8337" s="54" t="n">
        <f aca="false">MAX(0,(H8325-H8306*$C$8261)-H8285*$C$8266)*$C$8267*Assumptions!$D$105</f>
        <v>9616.45409563877</v>
      </c>
      <c r="I8337" s="54" t="n">
        <f aca="false">MAX(0,(I8325-I8306*$C$8261)-I8285*$C$8266)*$C$8267*Assumptions!$D$105</f>
        <v>11480.1545959445</v>
      </c>
      <c r="J8337" s="54" t="n">
        <f aca="false">MAX(0,(J8325-J8306*$C$8261)-J8285*$C$8266)*$C$8267*Assumptions!$D$105</f>
        <v>15399.9255516451</v>
      </c>
      <c r="K8337" s="54" t="n">
        <f aca="false">MAX(0,(K8325-K8306*$C$8261)-K8285*$C$8266)*$C$8267*Assumptions!$D$105</f>
        <v>19863.2924773164</v>
      </c>
      <c r="L8337" s="54" t="n">
        <f aca="false">MAX(0,(L8325-L8306*$C$8261)-L8285*$C$8266)*$C$8267*Assumptions!$D$105</f>
        <v>21239.7026807467</v>
      </c>
      <c r="M8337" s="54" t="n">
        <f aca="false">MAX(0,(M8325-M8306*$C$8261)-M8285*$C$8266)*$C$8267*Assumptions!$D$105</f>
        <v>20858.1296672103</v>
      </c>
      <c r="N8337" s="54" t="n">
        <f aca="false">MAX(0,(N8325-N8306*$C$8261)-N8285*$C$8266)*$C$8267*Assumptions!$D$105</f>
        <v>20257.6218956195</v>
      </c>
      <c r="P8337" s="55" t="n">
        <f aca="false">SUM(C8337:F8337)</f>
        <v>15468.2632742962</v>
      </c>
      <c r="Q8337" s="55" t="n">
        <f aca="false">SUM(G8337:J8337)</f>
        <v>44439.7172892752</v>
      </c>
      <c r="R8337" s="55" t="n">
        <f aca="false">SUM(K8337:N8337)</f>
        <v>82218.746720893</v>
      </c>
      <c r="S8337" s="56" t="n">
        <f aca="false">SUM(P8337:R8337)</f>
        <v>142126.727284464</v>
      </c>
    </row>
    <row r="8338" customFormat="false" ht="15" hidden="false" customHeight="false" outlineLevel="0" collapsed="false">
      <c r="A8338" s="4" t="s">
        <v>557</v>
      </c>
      <c r="B8338" s="36" t="s">
        <v>125</v>
      </c>
      <c r="C8338" s="54" t="n">
        <f aca="false">C8333*Assumptions!$E$71/Assumptions!$E$69/4</f>
        <v>18475.8928571429</v>
      </c>
      <c r="D8338" s="54" t="n">
        <f aca="false">D8333*Assumptions!$E$71/Assumptions!$E$69/4</f>
        <v>18475.8928571429</v>
      </c>
      <c r="E8338" s="54" t="n">
        <f aca="false">E8333*Assumptions!$E$71/Assumptions!$E$69/4</f>
        <v>18475.8928571429</v>
      </c>
      <c r="F8338" s="54" t="n">
        <f aca="false">F8333*Assumptions!$E$71/Assumptions!$E$69/4</f>
        <v>18475.8928571429</v>
      </c>
      <c r="G8338" s="54" t="n">
        <f aca="false">G8333*Assumptions!$E$71/Assumptions!$E$69/4</f>
        <v>18475.8928571429</v>
      </c>
      <c r="H8338" s="54" t="n">
        <f aca="false">H8333*Assumptions!$E$71/Assumptions!$E$69/4</f>
        <v>18475.8928571429</v>
      </c>
      <c r="I8338" s="54" t="n">
        <f aca="false">I8333*Assumptions!$E$71/Assumptions!$E$69/4</f>
        <v>18475.8928571429</v>
      </c>
      <c r="J8338" s="54" t="n">
        <f aca="false">J8333*Assumptions!$E$71/Assumptions!$E$69/4</f>
        <v>18475.8928571429</v>
      </c>
      <c r="K8338" s="54" t="n">
        <f aca="false">K8333*Assumptions!$E$71/Assumptions!$E$69/4</f>
        <v>18475.8928571429</v>
      </c>
      <c r="L8338" s="54" t="n">
        <f aca="false">L8333*Assumptions!$E$71/Assumptions!$E$69/4</f>
        <v>18475.8928571429</v>
      </c>
      <c r="M8338" s="54" t="n">
        <f aca="false">M8333*Assumptions!$E$71/Assumptions!$E$69/4</f>
        <v>18475.8928571429</v>
      </c>
      <c r="N8338" s="54" t="n">
        <f aca="false">N8333*Assumptions!$E$71/Assumptions!$E$69/4</f>
        <v>18475.8928571429</v>
      </c>
      <c r="P8338" s="55" t="n">
        <f aca="false">SUM(C8338:F8338)</f>
        <v>73903.5714285714</v>
      </c>
      <c r="Q8338" s="55" t="n">
        <f aca="false">SUM(G8338:J8338)</f>
        <v>73903.5714285714</v>
      </c>
      <c r="R8338" s="55" t="n">
        <f aca="false">SUM(K8338:N8338)</f>
        <v>73903.5714285714</v>
      </c>
      <c r="S8338" s="56" t="n">
        <f aca="false">SUM(P8338:R8338)</f>
        <v>221710.714285714</v>
      </c>
    </row>
    <row r="8339" customFormat="false" ht="15" hidden="false" customHeight="false" outlineLevel="0" collapsed="false">
      <c r="A8339" s="4" t="s">
        <v>558</v>
      </c>
      <c r="B8339" s="36" t="s">
        <v>125</v>
      </c>
      <c r="C8339" s="54" t="n">
        <f aca="false">(Assumptions!$D$103+Assumptions!$E$77*((C8270=Assumptions!$E$13)+(C8270=Assumptions!$E$14)+(C8270=Assumptions!$E$15)))*C8271</f>
        <v>65000</v>
      </c>
      <c r="D8339" s="54" t="n">
        <f aca="false">(Assumptions!$D$103+Assumptions!$E$77*((D8270=Assumptions!$E$13)+(D8270=Assumptions!$E$14)+(D8270=Assumptions!$E$15)))*D8271</f>
        <v>25000</v>
      </c>
      <c r="E8339" s="54" t="n">
        <f aca="false">(Assumptions!$D$103+Assumptions!$E$77*((E8270=Assumptions!$E$13)+(E8270=Assumptions!$E$14)+(E8270=Assumptions!$E$15)))*E8271</f>
        <v>25000</v>
      </c>
      <c r="F8339" s="54" t="n">
        <f aca="false">(Assumptions!$D$103+Assumptions!$E$77*((F8270=Assumptions!$E$13)+(F8270=Assumptions!$E$14)+(F8270=Assumptions!$E$15)))*F8271</f>
        <v>25000</v>
      </c>
      <c r="G8339" s="54" t="n">
        <f aca="false">(Assumptions!$D$103+Assumptions!$E$77*((G8270=Assumptions!$E$13)+(G8270=Assumptions!$E$14)+(G8270=Assumptions!$E$15)))*G8271</f>
        <v>65000</v>
      </c>
      <c r="H8339" s="54" t="n">
        <f aca="false">(Assumptions!$D$103+Assumptions!$E$77*((H8270=Assumptions!$E$13)+(H8270=Assumptions!$E$14)+(H8270=Assumptions!$E$15)))*H8271</f>
        <v>25000</v>
      </c>
      <c r="I8339" s="54" t="n">
        <f aca="false">(Assumptions!$D$103+Assumptions!$E$77*((I8270=Assumptions!$E$13)+(I8270=Assumptions!$E$14)+(I8270=Assumptions!$E$15)))*I8271</f>
        <v>65000</v>
      </c>
      <c r="J8339" s="54" t="n">
        <f aca="false">(Assumptions!$D$103+Assumptions!$E$77*((J8270=Assumptions!$E$13)+(J8270=Assumptions!$E$14)+(J8270=Assumptions!$E$15)))*J8271</f>
        <v>25000</v>
      </c>
      <c r="K8339" s="54" t="n">
        <f aca="false">(Assumptions!$D$103+Assumptions!$E$77*((K8270=Assumptions!$E$13)+(K8270=Assumptions!$E$14)+(K8270=Assumptions!$E$15)))*K8271</f>
        <v>25000</v>
      </c>
      <c r="L8339" s="54" t="n">
        <f aca="false">(Assumptions!$D$103+Assumptions!$E$77*((L8270=Assumptions!$E$13)+(L8270=Assumptions!$E$14)+(L8270=Assumptions!$E$15)))*L8271</f>
        <v>25000</v>
      </c>
      <c r="M8339" s="54" t="n">
        <f aca="false">(Assumptions!$D$103+Assumptions!$E$77*((M8270=Assumptions!$E$13)+(M8270=Assumptions!$E$14)+(M8270=Assumptions!$E$15)))*M8271</f>
        <v>25000</v>
      </c>
      <c r="N8339" s="54" t="n">
        <f aca="false">(Assumptions!$D$103+Assumptions!$E$77*((N8270=Assumptions!$E$13)+(N8270=Assumptions!$E$14)+(N8270=Assumptions!$E$15)))*N8271</f>
        <v>25000</v>
      </c>
      <c r="P8339" s="55" t="n">
        <f aca="false">SUM(C8339:F8339)</f>
        <v>140000</v>
      </c>
      <c r="Q8339" s="55" t="n">
        <f aca="false">SUM(G8339:J8339)</f>
        <v>180000</v>
      </c>
      <c r="R8339" s="55" t="n">
        <f aca="false">SUM(K8339:N8339)</f>
        <v>100000</v>
      </c>
      <c r="S8339" s="56" t="n">
        <f aca="false">SUM(P8339:R8339)</f>
        <v>420000</v>
      </c>
    </row>
    <row r="8340" customFormat="false" ht="15" hidden="false" customHeight="false" outlineLevel="0" collapsed="false">
      <c r="A8340" s="4" t="s">
        <v>559</v>
      </c>
      <c r="B8340" s="36" t="s">
        <v>125</v>
      </c>
      <c r="C8340" s="54" t="n">
        <f aca="false">C8325*C8305*Assumptions!$E$79</f>
        <v>0</v>
      </c>
      <c r="D8340" s="54" t="n">
        <f aca="false">D8325*D8305*Assumptions!$E$79</f>
        <v>582.384909539584</v>
      </c>
      <c r="E8340" s="54" t="n">
        <f aca="false">E8325*E8305*Assumptions!$E$79</f>
        <v>1126.39609795963</v>
      </c>
      <c r="F8340" s="54" t="n">
        <f aca="false">F8325*F8305*Assumptions!$E$79</f>
        <v>1688.41970736128</v>
      </c>
      <c r="G8340" s="54" t="n">
        <f aca="false">G8325*G8305*Assumptions!$E$79</f>
        <v>2115.16654535512</v>
      </c>
      <c r="H8340" s="54" t="n">
        <f aca="false">H8325*H8305*Assumptions!$E$79</f>
        <v>2429.8976096675</v>
      </c>
      <c r="I8340" s="54" t="n">
        <f aca="false">I8325*I8305*Assumptions!$E$79</f>
        <v>2822.45784601444</v>
      </c>
      <c r="J8340" s="54" t="n">
        <f aca="false">J8325*J8305*Assumptions!$E$79</f>
        <v>3028.69717337466</v>
      </c>
      <c r="K8340" s="54" t="n">
        <f aca="false">K8325*K8305*Assumptions!$E$79</f>
        <v>3432.4731494524</v>
      </c>
      <c r="L8340" s="54" t="n">
        <f aca="false">L8325*L8305*Assumptions!$E$79</f>
        <v>4019.73704109231</v>
      </c>
      <c r="M8340" s="54" t="n">
        <f aca="false">M8325*M8305*Assumptions!$E$79</f>
        <v>4062.21439559834</v>
      </c>
      <c r="N8340" s="54" t="n">
        <f aca="false">N8325*N8305*Assumptions!$E$79</f>
        <v>4060.75856180645</v>
      </c>
      <c r="P8340" s="55" t="n">
        <f aca="false">SUM(C8340:F8340)</f>
        <v>3397.2007148605</v>
      </c>
      <c r="Q8340" s="55" t="n">
        <f aca="false">SUM(G8340:J8340)</f>
        <v>10396.2191744117</v>
      </c>
      <c r="R8340" s="55" t="n">
        <f aca="false">SUM(K8340:N8340)</f>
        <v>15575.1831479495</v>
      </c>
      <c r="S8340" s="56" t="n">
        <f aca="false">SUM(P8340:R8340)</f>
        <v>29368.6030372217</v>
      </c>
    </row>
    <row r="8341" customFormat="false" ht="15" hidden="false" customHeight="false" outlineLevel="0" collapsed="false">
      <c r="A8341" s="4" t="s">
        <v>560</v>
      </c>
      <c r="B8341" s="36" t="s">
        <v>125</v>
      </c>
      <c r="C8341" s="54" t="n">
        <f aca="false">C8290*Assumptions!$E$80</f>
        <v>4000</v>
      </c>
      <c r="D8341" s="54" t="n">
        <f aca="false">D8290*Assumptions!$E$80</f>
        <v>6000</v>
      </c>
      <c r="E8341" s="54" t="n">
        <f aca="false">E8290*Assumptions!$E$80</f>
        <v>8000</v>
      </c>
      <c r="F8341" s="54" t="n">
        <f aca="false">F8290*Assumptions!$E$80</f>
        <v>10000</v>
      </c>
      <c r="G8341" s="54" t="n">
        <f aca="false">G8290*Assumptions!$E$80</f>
        <v>12000</v>
      </c>
      <c r="H8341" s="54" t="n">
        <f aca="false">H8290*Assumptions!$E$80</f>
        <v>14000</v>
      </c>
      <c r="I8341" s="54" t="n">
        <f aca="false">I8290*Assumptions!$E$80</f>
        <v>16000</v>
      </c>
      <c r="J8341" s="54" t="n">
        <f aca="false">J8290*Assumptions!$E$80</f>
        <v>18000</v>
      </c>
      <c r="K8341" s="54" t="n">
        <f aca="false">K8290*Assumptions!$E$80</f>
        <v>20000</v>
      </c>
      <c r="L8341" s="54" t="n">
        <f aca="false">L8290*Assumptions!$E$80</f>
        <v>20000</v>
      </c>
      <c r="M8341" s="54" t="n">
        <f aca="false">M8290*Assumptions!$E$80</f>
        <v>20000</v>
      </c>
      <c r="N8341" s="54" t="n">
        <f aca="false">N8290*Assumptions!$E$80</f>
        <v>20000</v>
      </c>
      <c r="P8341" s="55" t="n">
        <f aca="false">SUM(C8341:F8341)</f>
        <v>28000</v>
      </c>
      <c r="Q8341" s="55" t="n">
        <f aca="false">SUM(G8341:J8341)</f>
        <v>60000</v>
      </c>
      <c r="R8341" s="55" t="n">
        <f aca="false">SUM(K8341:N8341)</f>
        <v>80000</v>
      </c>
      <c r="S8341" s="56" t="n">
        <f aca="false">SUM(P8341:R8341)</f>
        <v>168000</v>
      </c>
    </row>
    <row r="8342" customFormat="false" ht="15" hidden="false" customHeight="false" outlineLevel="0" collapsed="false">
      <c r="A8342" s="4" t="s">
        <v>561</v>
      </c>
      <c r="B8342" s="36" t="s">
        <v>125</v>
      </c>
      <c r="C8342" s="54" t="n">
        <f aca="false">(C8313*$C$8262+C8314*$C$8263)*Assumptions!$E$81</f>
        <v>0</v>
      </c>
      <c r="D8342" s="54" t="n">
        <f aca="false">(D8313*$C$8262+D8314*$C$8263)*Assumptions!$E$81</f>
        <v>454.241405974688</v>
      </c>
      <c r="E8342" s="54" t="n">
        <f aca="false">(E8313*$C$8262+E8314*$C$8263)*Assumptions!$E$81</f>
        <v>1250.38610965566</v>
      </c>
      <c r="F8342" s="54" t="n">
        <f aca="false">(F8313*$C$8262+F8314*$C$8263)*Assumptions!$E$81</f>
        <v>1667.79150150568</v>
      </c>
      <c r="G8342" s="54" t="n">
        <f aca="false">(G8313*$C$8262+G8314*$C$8263)*Assumptions!$E$81</f>
        <v>1833.58555091974</v>
      </c>
      <c r="H8342" s="54" t="n">
        <f aca="false">(H8313*$C$8262+H8314*$C$8263)*Assumptions!$E$81</f>
        <v>2164.97803194244</v>
      </c>
      <c r="I8342" s="54" t="n">
        <f aca="false">(I8313*$C$8262+I8314*$C$8263)*Assumptions!$E$81</f>
        <v>2571.23539129585</v>
      </c>
      <c r="J8342" s="54" t="n">
        <f aca="false">(J8313*$C$8262+J8314*$C$8263)*Assumptions!$E$81</f>
        <v>3293.97835486079</v>
      </c>
      <c r="K8342" s="54" t="n">
        <f aca="false">(K8313*$C$8262+K8314*$C$8263)*Assumptions!$E$81</f>
        <v>4242.54611172903</v>
      </c>
      <c r="L8342" s="54" t="n">
        <f aca="false">(L8313*$C$8262+L8314*$C$8263)*Assumptions!$E$81</f>
        <v>4669.90847016917</v>
      </c>
      <c r="M8342" s="54" t="n">
        <f aca="false">(M8313*$C$8262+M8314*$C$8263)*Assumptions!$E$81</f>
        <v>4611.16436121702</v>
      </c>
      <c r="N8342" s="54" t="n">
        <f aca="false">(N8313*$C$8262+N8314*$C$8263)*Assumptions!$E$81</f>
        <v>4477.58084574713</v>
      </c>
      <c r="P8342" s="55" t="n">
        <f aca="false">SUM(C8342:F8342)</f>
        <v>3372.41901713603</v>
      </c>
      <c r="Q8342" s="55" t="n">
        <f aca="false">SUM(G8342:J8342)</f>
        <v>9863.77732901883</v>
      </c>
      <c r="R8342" s="55" t="n">
        <f aca="false">SUM(K8342:N8342)</f>
        <v>18001.1997888624</v>
      </c>
      <c r="S8342" s="56" t="n">
        <f aca="false">SUM(P8342:R8342)</f>
        <v>31237.3961350172</v>
      </c>
    </row>
    <row r="8343" customFormat="false" ht="15" hidden="false" customHeight="false" outlineLevel="0" collapsed="false">
      <c r="A8343" s="9" t="s">
        <v>562</v>
      </c>
      <c r="B8343" s="36" t="s">
        <v>125</v>
      </c>
      <c r="C8343" s="55" t="n">
        <f aca="false">C8335+C8336+C8337+C8338+C8339+C8340+C8341+C8342</f>
        <v>154229.464285714</v>
      </c>
      <c r="D8343" s="55" t="n">
        <f aca="false">D8335+D8336+D8337+D8338+D8339+D8340+D8341+D8342</f>
        <v>119760.177788234</v>
      </c>
      <c r="E8343" s="55" t="n">
        <f aca="false">E8335+E8336+E8337+E8338+E8339+E8340+E8341+E8342</f>
        <v>126348.458292434</v>
      </c>
      <c r="F8343" s="55" t="n">
        <f aca="false">F8335+F8336+F8337+F8338+F8339+F8340+F8341+F8342</f>
        <v>130817.639782768</v>
      </c>
      <c r="G8343" s="55" t="n">
        <f aca="false">G8335+G8336+G8337+G8338+G8339+G8340+G8341+G8342</f>
        <v>207498.185142322</v>
      </c>
      <c r="H8343" s="55" t="n">
        <f aca="false">H8335+H8336+H8337+H8338+H8339+H8340+H8341+H8342</f>
        <v>171817.579737249</v>
      </c>
      <c r="I8343" s="55" t="n">
        <f aca="false">I8335+I8336+I8337+I8338+I8339+I8340+I8341+I8342</f>
        <v>216480.097833255</v>
      </c>
      <c r="J8343" s="55" t="n">
        <f aca="false">J8335+J8336+J8337+J8338+J8339+J8340+J8341+J8342</f>
        <v>183328.851079881</v>
      </c>
      <c r="K8343" s="55" t="n">
        <f aca="false">K8335+K8336+K8337+K8338+K8339+K8340+K8341+K8342</f>
        <v>191144.561738498</v>
      </c>
      <c r="L8343" s="55" t="n">
        <f aca="false">L8335+L8336+L8337+L8338+L8339+L8340+L8341+L8342</f>
        <v>193535.598192008</v>
      </c>
      <c r="M8343" s="55" t="n">
        <f aca="false">M8335+M8336+M8337+M8338+M8339+M8340+M8341+M8342</f>
        <v>193137.758424026</v>
      </c>
      <c r="N8343" s="55" t="n">
        <f aca="false">N8335+N8336+N8337+N8338+N8339+N8340+N8341+N8342</f>
        <v>192402.211303173</v>
      </c>
      <c r="P8343" s="55" t="n">
        <f aca="false">SUM(C8343:F8343)</f>
        <v>531155.74014915</v>
      </c>
      <c r="Q8343" s="55" t="n">
        <f aca="false">SUM(G8343:J8343)</f>
        <v>779124.713792706</v>
      </c>
      <c r="R8343" s="55" t="n">
        <f aca="false">SUM(K8343:N8343)</f>
        <v>770220.129657705</v>
      </c>
      <c r="S8343" s="56" t="n">
        <f aca="false">SUM(P8343:R8343)</f>
        <v>2080500.58359956</v>
      </c>
    </row>
    <row r="8344" customFormat="false" ht="15" hidden="false" customHeight="false" outlineLevel="0" collapsed="false">
      <c r="A8344" s="4" t="s">
        <v>563</v>
      </c>
      <c r="B8344" s="36" t="s">
        <v>125</v>
      </c>
      <c r="C8344" s="54" t="n">
        <f aca="false">C8332*Assumptions!$E$72/Assumptions!$E$69/4</f>
        <v>56535.7142857143</v>
      </c>
      <c r="D8344" s="54" t="n">
        <f aca="false">D8332*Assumptions!$E$72/Assumptions!$E$69/4</f>
        <v>56535.7142857143</v>
      </c>
      <c r="E8344" s="54" t="n">
        <f aca="false">E8332*Assumptions!$E$72/Assumptions!$E$69/4</f>
        <v>56535.7142857143</v>
      </c>
      <c r="F8344" s="54" t="n">
        <f aca="false">F8332*Assumptions!$E$72/Assumptions!$E$69/4</f>
        <v>56535.7142857143</v>
      </c>
      <c r="G8344" s="54" t="n">
        <f aca="false">G8332*Assumptions!$E$72/Assumptions!$E$69/4</f>
        <v>28267.8571428571</v>
      </c>
      <c r="H8344" s="54" t="n">
        <f aca="false">H8332*Assumptions!$E$72/Assumptions!$E$69/4</f>
        <v>28267.8571428571</v>
      </c>
      <c r="I8344" s="54" t="n">
        <f aca="false">I8332*Assumptions!$E$72/Assumptions!$E$69/4</f>
        <v>28267.8571428571</v>
      </c>
      <c r="J8344" s="54" t="n">
        <f aca="false">J8332*Assumptions!$E$72/Assumptions!$E$69/4</f>
        <v>28267.8571428571</v>
      </c>
      <c r="K8344" s="54" t="n">
        <f aca="false">K8332*Assumptions!$E$72/Assumptions!$E$69/4</f>
        <v>28267.8571428571</v>
      </c>
      <c r="L8344" s="54" t="n">
        <f aca="false">L8332*Assumptions!$E$72/Assumptions!$E$69/4</f>
        <v>28267.8571428571</v>
      </c>
      <c r="M8344" s="54" t="n">
        <f aca="false">M8332*Assumptions!$E$72/Assumptions!$E$69/4</f>
        <v>28267.8571428571</v>
      </c>
      <c r="N8344" s="54" t="n">
        <f aca="false">N8332*Assumptions!$E$72/Assumptions!$E$69/4</f>
        <v>28267.8571428571</v>
      </c>
      <c r="P8344" s="55" t="n">
        <f aca="false">SUM(C8344:F8344)</f>
        <v>226142.857142857</v>
      </c>
      <c r="Q8344" s="55" t="n">
        <f aca="false">SUM(G8344:J8344)</f>
        <v>113071.428571429</v>
      </c>
      <c r="R8344" s="55" t="n">
        <f aca="false">SUM(K8344:N8344)</f>
        <v>113071.428571429</v>
      </c>
      <c r="S8344" s="56" t="n">
        <f aca="false">SUM(P8344:R8344)</f>
        <v>452285.714285714</v>
      </c>
    </row>
    <row r="8345" customFormat="false" ht="15" hidden="false" customHeight="false" outlineLevel="0" collapsed="false">
      <c r="A8345" s="4" t="s">
        <v>564</v>
      </c>
      <c r="B8345" s="36" t="s">
        <v>125</v>
      </c>
      <c r="C8345" s="54" t="n">
        <f aca="false">IF(C8270&lt;=Assumptions!$E$83,Assumptions!$E$82*Assumptions!$D$108/Assumptions!$E$83,0)</f>
        <v>62500</v>
      </c>
      <c r="D8345" s="54" t="n">
        <f aca="false">IF(D8270&lt;=Assumptions!$E$83,Assumptions!$E$82*Assumptions!$D$108/Assumptions!$E$83,0)</f>
        <v>62500</v>
      </c>
      <c r="E8345" s="54" t="n">
        <f aca="false">IF(E8270&lt;=Assumptions!$E$83,Assumptions!$E$82*Assumptions!$D$108/Assumptions!$E$83,0)</f>
        <v>62500</v>
      </c>
      <c r="F8345" s="54" t="n">
        <f aca="false">IF(F8270&lt;=Assumptions!$E$83,Assumptions!$E$82*Assumptions!$D$108/Assumptions!$E$83,0)</f>
        <v>62500</v>
      </c>
      <c r="G8345" s="54" t="n">
        <f aca="false">IF(G8270&lt;=Assumptions!$E$83,Assumptions!$E$82*Assumptions!$D$108/Assumptions!$E$83,0)</f>
        <v>0</v>
      </c>
      <c r="H8345" s="54" t="n">
        <f aca="false">IF(H8270&lt;=Assumptions!$E$83,Assumptions!$E$82*Assumptions!$D$108/Assumptions!$E$83,0)</f>
        <v>0</v>
      </c>
      <c r="I8345" s="54" t="n">
        <f aca="false">IF(I8270&lt;=Assumptions!$E$83,Assumptions!$E$82*Assumptions!$D$108/Assumptions!$E$83,0)</f>
        <v>0</v>
      </c>
      <c r="J8345" s="54" t="n">
        <f aca="false">IF(J8270&lt;=Assumptions!$E$83,Assumptions!$E$82*Assumptions!$D$108/Assumptions!$E$83,0)</f>
        <v>0</v>
      </c>
      <c r="K8345" s="54" t="n">
        <f aca="false">IF(K8270&lt;=Assumptions!$E$83,Assumptions!$E$82*Assumptions!$D$108/Assumptions!$E$83,0)</f>
        <v>0</v>
      </c>
      <c r="L8345" s="54" t="n">
        <f aca="false">IF(L8270&lt;=Assumptions!$E$83,Assumptions!$E$82*Assumptions!$D$108/Assumptions!$E$83,0)</f>
        <v>0</v>
      </c>
      <c r="M8345" s="54" t="n">
        <f aca="false">IF(M8270&lt;=Assumptions!$E$83,Assumptions!$E$82*Assumptions!$D$108/Assumptions!$E$83,0)</f>
        <v>0</v>
      </c>
      <c r="N8345" s="54" t="n">
        <f aca="false">IF(N8270&lt;=Assumptions!$E$83,Assumptions!$E$82*Assumptions!$D$108/Assumptions!$E$83,0)</f>
        <v>0</v>
      </c>
      <c r="P8345" s="55" t="n">
        <f aca="false">SUM(C8345:F8345)</f>
        <v>250000</v>
      </c>
      <c r="Q8345" s="55" t="n">
        <f aca="false">SUM(G8345:J8345)</f>
        <v>0</v>
      </c>
      <c r="R8345" s="55" t="n">
        <f aca="false">SUM(K8345:N8345)</f>
        <v>0</v>
      </c>
      <c r="S8345" s="56" t="n">
        <f aca="false">SUM(P8345:R8345)</f>
        <v>250000</v>
      </c>
    </row>
    <row r="8346" customFormat="false" ht="15" hidden="false" customHeight="false" outlineLevel="0" collapsed="false">
      <c r="A8346" s="4" t="s">
        <v>565</v>
      </c>
      <c r="B8346" s="36" t="s">
        <v>125</v>
      </c>
      <c r="C8346" s="54" t="n">
        <f aca="false">C8334*Assumptions!$E$73/Assumptions!$E$69/4</f>
        <v>0</v>
      </c>
      <c r="D8346" s="54" t="n">
        <f aca="false">D8334*Assumptions!$E$73/Assumptions!$E$69/4</f>
        <v>410.937899683786</v>
      </c>
      <c r="E8346" s="54" t="n">
        <f aca="false">E8334*Assumptions!$E$73/Assumptions!$E$69/4</f>
        <v>1155.23504798329</v>
      </c>
      <c r="F8346" s="54" t="n">
        <f aca="false">F8334*Assumptions!$E$73/Assumptions!$E$69/4</f>
        <v>1988.90576000517</v>
      </c>
      <c r="G8346" s="54" t="n">
        <f aca="false">G8334*Assumptions!$E$73/Assumptions!$E$69/4</f>
        <v>2883.78850399624</v>
      </c>
      <c r="H8346" s="54" t="n">
        <f aca="false">H8334*Assumptions!$E$73/Assumptions!$E$69/4</f>
        <v>3991.94214527989</v>
      </c>
      <c r="I8346" s="54" t="n">
        <f aca="false">I8334*Assumptions!$E$73/Assumptions!$E$69/4</f>
        <v>5302.78228606608</v>
      </c>
      <c r="J8346" s="54" t="n">
        <f aca="false">J8334*Assumptions!$E$73/Assumptions!$E$69/4</f>
        <v>7131.58067908916</v>
      </c>
      <c r="K8346" s="54" t="n">
        <f aca="false">K8334*Assumptions!$E$73/Assumptions!$E$69/4</f>
        <v>9449.08551723827</v>
      </c>
      <c r="L8346" s="54" t="n">
        <f aca="false">L8334*Assumptions!$E$73/Assumptions!$E$69/4</f>
        <v>11765.115249957</v>
      </c>
      <c r="M8346" s="54" t="n">
        <f aca="false">M8334*Assumptions!$E$73/Assumptions!$E$69/4</f>
        <v>13951.6566731807</v>
      </c>
      <c r="N8346" s="54" t="n">
        <f aca="false">N8334*Assumptions!$E$73/Assumptions!$E$69/4</f>
        <v>16008.381252134</v>
      </c>
      <c r="P8346" s="55" t="n">
        <f aca="false">SUM(C8346:F8346)</f>
        <v>3555.07870767224</v>
      </c>
      <c r="Q8346" s="55" t="n">
        <f aca="false">SUM(G8346:J8346)</f>
        <v>19310.0936144314</v>
      </c>
      <c r="R8346" s="55" t="n">
        <f aca="false">SUM(K8346:N8346)</f>
        <v>51174.23869251</v>
      </c>
      <c r="S8346" s="56" t="n">
        <f aca="false">SUM(P8346:R8346)</f>
        <v>74039.4110146136</v>
      </c>
    </row>
    <row r="8347" customFormat="false" ht="15" hidden="false" customHeight="false" outlineLevel="0" collapsed="false">
      <c r="A8347" s="9" t="s">
        <v>566</v>
      </c>
      <c r="B8347" s="36" t="s">
        <v>125</v>
      </c>
      <c r="C8347" s="55" t="n">
        <f aca="false">C8343+C8344+C8345+C8346</f>
        <v>273265.178571429</v>
      </c>
      <c r="D8347" s="55" t="n">
        <f aca="false">D8343+D8344+D8345+D8346</f>
        <v>239206.829973632</v>
      </c>
      <c r="E8347" s="55" t="n">
        <f aca="false">E8343+E8344+E8345+E8346</f>
        <v>246539.407626131</v>
      </c>
      <c r="F8347" s="55" t="n">
        <f aca="false">F8343+F8344+F8345+F8346</f>
        <v>251842.259828487</v>
      </c>
      <c r="G8347" s="55" t="n">
        <f aca="false">G8343+G8344+G8345+G8346</f>
        <v>238649.830789175</v>
      </c>
      <c r="H8347" s="55" t="n">
        <f aca="false">H8343+H8344+H8345+H8346</f>
        <v>204077.379025386</v>
      </c>
      <c r="I8347" s="55" t="n">
        <f aca="false">I8343+I8344+I8345+I8346</f>
        <v>250050.737262178</v>
      </c>
      <c r="J8347" s="55" t="n">
        <f aca="false">J8343+J8344+J8345+J8346</f>
        <v>218728.288901827</v>
      </c>
      <c r="K8347" s="55" t="n">
        <f aca="false">K8343+K8344+K8345+K8346</f>
        <v>228861.504398593</v>
      </c>
      <c r="L8347" s="55" t="n">
        <f aca="false">L8343+L8344+L8345+L8346</f>
        <v>233568.570584822</v>
      </c>
      <c r="M8347" s="55" t="n">
        <f aca="false">M8343+M8344+M8345+M8346</f>
        <v>235357.272240064</v>
      </c>
      <c r="N8347" s="55" t="n">
        <f aca="false">N8343+N8344+N8345+N8346</f>
        <v>236678.449698164</v>
      </c>
      <c r="P8347" s="55" t="n">
        <f aca="false">SUM(C8347:F8347)</f>
        <v>1010853.67599968</v>
      </c>
      <c r="Q8347" s="55" t="n">
        <f aca="false">SUM(G8347:J8347)</f>
        <v>911506.235978566</v>
      </c>
      <c r="R8347" s="55" t="n">
        <f aca="false">SUM(K8347:N8347)</f>
        <v>934465.796921643</v>
      </c>
      <c r="S8347" s="56" t="n">
        <f aca="false">SUM(P8347:R8347)</f>
        <v>2856825.70889989</v>
      </c>
    </row>
    <row r="8348" customFormat="false" ht="15" hidden="false" customHeight="false" outlineLevel="0" collapsed="false">
      <c r="A8348" s="35" t="s">
        <v>567</v>
      </c>
      <c r="B8348" s="35" t="s">
        <v>444</v>
      </c>
      <c r="C8348" s="6" t="s">
        <v>354</v>
      </c>
      <c r="D8348" s="6" t="s">
        <v>355</v>
      </c>
      <c r="E8348" s="6" t="s">
        <v>356</v>
      </c>
      <c r="F8348" s="6" t="s">
        <v>357</v>
      </c>
      <c r="G8348" s="6" t="s">
        <v>358</v>
      </c>
      <c r="H8348" s="6" t="s">
        <v>359</v>
      </c>
      <c r="I8348" s="6" t="s">
        <v>360</v>
      </c>
      <c r="J8348" s="6" t="s">
        <v>361</v>
      </c>
      <c r="K8348" s="6" t="s">
        <v>362</v>
      </c>
      <c r="L8348" s="6" t="s">
        <v>363</v>
      </c>
      <c r="M8348" s="6" t="s">
        <v>364</v>
      </c>
      <c r="N8348" s="6" t="s">
        <v>365</v>
      </c>
      <c r="P8348" s="6" t="s">
        <v>445</v>
      </c>
      <c r="Q8348" s="6" t="s">
        <v>446</v>
      </c>
      <c r="R8348" s="6" t="s">
        <v>447</v>
      </c>
      <c r="S8348" s="6" t="s">
        <v>448</v>
      </c>
    </row>
    <row r="8349" customFormat="false" ht="15" hidden="false" customHeight="false" outlineLevel="0" collapsed="false">
      <c r="A8349" s="9" t="s">
        <v>568</v>
      </c>
      <c r="B8349" s="36" t="s">
        <v>125</v>
      </c>
      <c r="C8349" s="55" t="n">
        <f aca="false">C8327-C8347</f>
        <v>-273265.178571429</v>
      </c>
      <c r="D8349" s="55" t="n">
        <f aca="false">D8327-D8347</f>
        <v>-238691.679833119</v>
      </c>
      <c r="E8349" s="55" t="n">
        <f aca="false">E8327-E8347</f>
        <v>-244366.941291695</v>
      </c>
      <c r="F8349" s="55" t="n">
        <f aca="false">F8327-F8347</f>
        <v>-247096.338362307</v>
      </c>
      <c r="G8349" s="55" t="n">
        <f aca="false">G8327-G8347</f>
        <v>-230879.976099976</v>
      </c>
      <c r="H8349" s="55" t="n">
        <f aca="false">H8327-H8347</f>
        <v>-192757.006372186</v>
      </c>
      <c r="I8349" s="55" t="n">
        <f aca="false">I8327-I8347</f>
        <v>-234415.026915383</v>
      </c>
      <c r="J8349" s="55" t="n">
        <f aca="false">J8327-J8347</f>
        <v>-197533.836838845</v>
      </c>
      <c r="K8349" s="55" t="n">
        <f aca="false">K8327-K8347</f>
        <v>-200329.168260377</v>
      </c>
      <c r="L8349" s="55" t="n">
        <f aca="false">L8327-L8347</f>
        <v>-196461.093630824</v>
      </c>
      <c r="M8349" s="55" t="n">
        <f aca="false">M8327-M8347</f>
        <v>-189385.702292335</v>
      </c>
      <c r="N8349" s="55" t="n">
        <f aca="false">N8327-N8347</f>
        <v>-181904.146913665</v>
      </c>
      <c r="P8349" s="55" t="n">
        <f aca="false">SUM(C8349:F8349)</f>
        <v>-1003420.13805855</v>
      </c>
      <c r="Q8349" s="55" t="n">
        <f aca="false">SUM(G8349:J8349)</f>
        <v>-855585.84622639</v>
      </c>
      <c r="R8349" s="55" t="n">
        <f aca="false">SUM(K8349:N8349)</f>
        <v>-768080.111097201</v>
      </c>
      <c r="S8349" s="56" t="n">
        <f aca="false">SUM(P8349:R8349)</f>
        <v>-2627086.09538214</v>
      </c>
    </row>
    <row r="8350" customFormat="false" ht="15" hidden="false" customHeight="false" outlineLevel="0" collapsed="false">
      <c r="A8350" s="9" t="s">
        <v>569</v>
      </c>
      <c r="B8350" s="36" t="s">
        <v>125</v>
      </c>
      <c r="C8350" s="55" t="n">
        <f aca="false">0+C8349</f>
        <v>-273265.178571429</v>
      </c>
      <c r="D8350" s="55" t="n">
        <f aca="false">C8350+D8349</f>
        <v>-511956.858404547</v>
      </c>
      <c r="E8350" s="55" t="n">
        <f aca="false">D8350+E8349</f>
        <v>-756323.799696243</v>
      </c>
      <c r="F8350" s="55" t="n">
        <f aca="false">E8350+F8349</f>
        <v>-1003420.13805855</v>
      </c>
      <c r="G8350" s="55" t="n">
        <f aca="false">F8350+G8349</f>
        <v>-1234300.11415853</v>
      </c>
      <c r="H8350" s="55" t="n">
        <f aca="false">G8350+H8349</f>
        <v>-1427057.12053071</v>
      </c>
      <c r="I8350" s="55" t="n">
        <f aca="false">H8350+I8349</f>
        <v>-1661472.14744609</v>
      </c>
      <c r="J8350" s="55" t="n">
        <f aca="false">I8350+J8349</f>
        <v>-1859005.98428494</v>
      </c>
      <c r="K8350" s="55" t="n">
        <f aca="false">J8350+K8349</f>
        <v>-2059335.15254532</v>
      </c>
      <c r="L8350" s="55" t="n">
        <f aca="false">K8350+L8349</f>
        <v>-2255796.24617614</v>
      </c>
      <c r="M8350" s="55" t="n">
        <f aca="false">L8350+M8349</f>
        <v>-2445181.94846848</v>
      </c>
      <c r="N8350" s="55" t="n">
        <f aca="false">M8350+N8349</f>
        <v>-2627086.09538214</v>
      </c>
      <c r="P8350" s="55" t="n">
        <f aca="false">F8350</f>
        <v>-1003420.13805855</v>
      </c>
      <c r="Q8350" s="55" t="n">
        <f aca="false">J8350</f>
        <v>-1859005.98428494</v>
      </c>
      <c r="R8350" s="55" t="n">
        <f aca="false">N8350</f>
        <v>-2627086.09538214</v>
      </c>
      <c r="S8350" s="56" t="n">
        <f aca="false">R8350</f>
        <v>-2627086.09538214</v>
      </c>
    </row>
    <row r="8351" customFormat="false" ht="15" hidden="false" customHeight="false" outlineLevel="0" collapsed="false">
      <c r="A8351" s="4" t="s">
        <v>570</v>
      </c>
      <c r="B8351" s="36" t="s">
        <v>107</v>
      </c>
      <c r="C8351" s="57" t="n">
        <f aca="false">1/(1+Assumptions!$E$87)^(C8270/4)</f>
        <v>0.972065420906982</v>
      </c>
      <c r="D8351" s="57" t="n">
        <f aca="false">1/(1+Assumptions!$E$87)^(D8270/4)</f>
        <v>0.944911182523068</v>
      </c>
      <c r="E8351" s="57" t="n">
        <f aca="false">1/(1+Assumptions!$E$87)^(E8270/4)</f>
        <v>0.918515486359</v>
      </c>
      <c r="F8351" s="57" t="n">
        <f aca="false">1/(1+Assumptions!$E$87)^(F8270/4)</f>
        <v>0.892857142857143</v>
      </c>
      <c r="G8351" s="57" t="n">
        <f aca="false">1/(1+Assumptions!$E$87)^(G8270/4)</f>
        <v>0.867915554381234</v>
      </c>
      <c r="H8351" s="57" t="n">
        <f aca="false">1/(1+Assumptions!$E$87)^(H8270/4)</f>
        <v>0.843670698681311</v>
      </c>
      <c r="I8351" s="57" t="n">
        <f aca="false">1/(1+Assumptions!$E$87)^(I8270/4)</f>
        <v>0.820103112820536</v>
      </c>
      <c r="J8351" s="57" t="n">
        <f aca="false">1/(1+Assumptions!$E$87)^(J8270/4)</f>
        <v>0.79719387755102</v>
      </c>
      <c r="K8351" s="57" t="n">
        <f aca="false">1/(1+Assumptions!$E$87)^(K8270/4)</f>
        <v>0.774924602126102</v>
      </c>
      <c r="L8351" s="57" t="n">
        <f aca="false">1/(1+Assumptions!$E$87)^(L8270/4)</f>
        <v>0.753277409536885</v>
      </c>
      <c r="M8351" s="57" t="n">
        <f aca="false">1/(1+Assumptions!$E$87)^(M8270/4)</f>
        <v>0.732234922161193</v>
      </c>
      <c r="N8351" s="57" t="n">
        <f aca="false">1/(1+Assumptions!$E$87)^(N8270/4)</f>
        <v>0.711780247813411</v>
      </c>
      <c r="P8351" s="58"/>
      <c r="Q8351" s="58"/>
      <c r="R8351" s="58"/>
      <c r="S8351" s="59"/>
    </row>
    <row r="8352" customFormat="false" ht="15" hidden="false" customHeight="false" outlineLevel="0" collapsed="false">
      <c r="A8352" s="4" t="s">
        <v>571</v>
      </c>
      <c r="B8352" s="36" t="s">
        <v>125</v>
      </c>
      <c r="C8352" s="54" t="n">
        <f aca="false">(C8327*(1-Assumptions!$E$88)-C8347)*C8351</f>
        <v>-265631.630827257</v>
      </c>
      <c r="D8352" s="54" t="n">
        <f aca="false">(D8327*(1-Assumptions!$E$88)-D8347)*D8351</f>
        <v>-225639.79167522</v>
      </c>
      <c r="E8352" s="54" t="n">
        <f aca="false">(E8327*(1-Assumptions!$E$88)-E8347)*E8351</f>
        <v>-224853.908724957</v>
      </c>
      <c r="F8352" s="54" t="n">
        <f aca="false">(F8327*(1-Assumptions!$E$88)-F8347)*F8351</f>
        <v>-221469.216656735</v>
      </c>
      <c r="G8352" s="54" t="n">
        <f aca="false">(G8327*(1-Assumptions!$E$88)-G8347)*G8351</f>
        <v>-201733.038000344</v>
      </c>
      <c r="H8352" s="54" t="n">
        <f aca="false">(H8327*(1-Assumptions!$E$88)-H8347)*H8351</f>
        <v>-164533.571582872</v>
      </c>
      <c r="I8352" s="54" t="n">
        <f aca="false">(I8327*(1-Assumptions!$E$88)-I8347)*I8351</f>
        <v>-194809.072210529</v>
      </c>
      <c r="J8352" s="54" t="n">
        <f aca="false">(J8327*(1-Assumptions!$E$88)-J8347)*J8351</f>
        <v>-160851.982821621</v>
      </c>
      <c r="K8352" s="54" t="n">
        <f aca="false">(K8327*(1-Assumptions!$E$88)-K8347)*K8351</f>
        <v>-159662.082854353</v>
      </c>
      <c r="L8352" s="54" t="n">
        <f aca="false">(L8327*(1-Assumptions!$E$88)-L8347)*L8351</f>
        <v>-153580.148507882</v>
      </c>
      <c r="M8352" s="54" t="n">
        <f aca="false">(M8327*(1-Assumptions!$E$88)-M8347)*M8351</f>
        <v>-145407.222764931</v>
      </c>
      <c r="N8352" s="54" t="n">
        <f aca="false">(N8327*(1-Assumptions!$E$88)-N8347)*N8351</f>
        <v>-137273.232130447</v>
      </c>
      <c r="P8352" s="55" t="n">
        <f aca="false">SUM(C8352:F8352)</f>
        <v>-937594.547884169</v>
      </c>
      <c r="Q8352" s="55" t="n">
        <f aca="false">SUM(G8352:J8352)</f>
        <v>-721927.664615365</v>
      </c>
      <c r="R8352" s="55" t="n">
        <f aca="false">SUM(K8352:N8352)</f>
        <v>-595922.686257613</v>
      </c>
      <c r="S8352" s="56" t="n">
        <f aca="false">SUM(P8352:R8352)</f>
        <v>-2255444.89875715</v>
      </c>
    </row>
    <row r="8353" customFormat="false" ht="15" hidden="false" customHeight="false" outlineLevel="0" collapsed="false">
      <c r="A8353" s="4" t="s">
        <v>572</v>
      </c>
      <c r="B8353" s="36" t="s">
        <v>125</v>
      </c>
      <c r="C8353" s="54" t="n">
        <f aca="false">(C8347-C8346)*12/(Assumptions!$E$89*Assumptions!$E$76)*Assumptions!$E$90</f>
        <v>189183.585164835</v>
      </c>
      <c r="D8353" s="54" t="n">
        <f aca="false">(D8347-D8346)*12/(Assumptions!$E$89*Assumptions!$E$76)*Assumptions!$E$90</f>
        <v>165320.232974272</v>
      </c>
      <c r="E8353" s="54" t="n">
        <f aca="false">(E8347-E8346)*12/(Assumptions!$E$89*Assumptions!$E$76)*Assumptions!$E$90</f>
        <v>169881.35024641</v>
      </c>
      <c r="F8353" s="54" t="n">
        <f aca="false">(F8347-F8346)*12/(Assumptions!$E$89*Assumptions!$E$76)*Assumptions!$E$90</f>
        <v>172975.398970488</v>
      </c>
      <c r="G8353" s="54" t="n">
        <f aca="false">(G8347-G8346)*12/(Assumptions!$E$89*Assumptions!$E$76)*Assumptions!$E$90</f>
        <v>163222.64465897</v>
      </c>
      <c r="H8353" s="54" t="n">
        <f aca="false">(H8347-H8346)*12/(Assumptions!$E$89*Assumptions!$E$76)*Assumptions!$E$90</f>
        <v>138520.687070843</v>
      </c>
      <c r="I8353" s="54" t="n">
        <f aca="false">(I8347-I8346)*12/(Assumptions!$E$89*Assumptions!$E$76)*Assumptions!$E$90</f>
        <v>169440.891906539</v>
      </c>
      <c r="J8353" s="54" t="n">
        <f aca="false">(J8347-J8346)*12/(Assumptions!$E$89*Assumptions!$E$76)*Assumptions!$E$90</f>
        <v>146490.028769588</v>
      </c>
      <c r="K8353" s="54" t="n">
        <f aca="false">(K8347-K8346)*12/(Assumptions!$E$89*Assumptions!$E$76)*Assumptions!$E$90</f>
        <v>151900.9053794</v>
      </c>
      <c r="L8353" s="54" t="n">
        <f aca="false">(L8347-L8346)*12/(Assumptions!$E$89*Assumptions!$E$76)*Assumptions!$E$90</f>
        <v>153556.238308753</v>
      </c>
      <c r="M8353" s="54" t="n">
        <f aca="false">(M8347-M8346)*12/(Assumptions!$E$89*Assumptions!$E$76)*Assumptions!$E$90</f>
        <v>153280.810777073</v>
      </c>
      <c r="N8353" s="54" t="n">
        <f aca="false">(N8347-N8346)*12/(Assumptions!$E$89*Assumptions!$E$76)*Assumptions!$E$90</f>
        <v>152771.585847252</v>
      </c>
      <c r="P8353" s="55" t="n">
        <f aca="false">SUM(C8353:F8353)</f>
        <v>697360.567356005</v>
      </c>
      <c r="Q8353" s="55" t="n">
        <f aca="false">SUM(G8353:J8353)</f>
        <v>617674.252405939</v>
      </c>
      <c r="R8353" s="55" t="n">
        <f aca="false">SUM(K8353:N8353)</f>
        <v>611509.540312477</v>
      </c>
      <c r="S8353" s="56" t="n">
        <f aca="false">SUM(P8353:R8353)</f>
        <v>1926544.36007442</v>
      </c>
    </row>
    <row r="8354" customFormat="false" ht="15" hidden="false" customHeight="false" outlineLevel="0" collapsed="false">
      <c r="A8354" s="4" t="s">
        <v>573</v>
      </c>
      <c r="B8354" s="36" t="s">
        <v>125</v>
      </c>
      <c r="C8354" s="54" t="n">
        <f aca="false">0*Assumptions!$E$92^(1/4)+C8353</f>
        <v>189183.585164835</v>
      </c>
      <c r="D8354" s="54" t="n">
        <f aca="false">C8354*Assumptions!$E$92^(1/4)+D8353</f>
        <v>354975.013781286</v>
      </c>
      <c r="E8354" s="54" t="n">
        <f aca="false">D8354*Assumptions!$E$92^(1/4)+E8353</f>
        <v>525740.492951623</v>
      </c>
      <c r="F8354" s="54" t="n">
        <f aca="false">E8354*Assumptions!$E$92^(1/4)+F8353</f>
        <v>700025.342892606</v>
      </c>
      <c r="G8354" s="54" t="n">
        <f aca="false">F8354*Assumptions!$E$92^(1/4)+G8353</f>
        <v>864991.526192619</v>
      </c>
      <c r="H8354" s="54" t="n">
        <f aca="false">G8354*Assumptions!$E$92^(1/4)+H8353</f>
        <v>1005666.62976481</v>
      </c>
      <c r="I8354" s="54" t="n">
        <f aca="false">H8354*Assumptions!$E$92^(1/4)+I8353</f>
        <v>1177612.31474321</v>
      </c>
      <c r="J8354" s="54" t="n">
        <f aca="false">I8354*Assumptions!$E$92^(1/4)+J8353</f>
        <v>1327035.39814542</v>
      </c>
      <c r="K8354" s="54" t="n">
        <f aca="false">J8354*Assumptions!$E$92^(1/4)+K8353</f>
        <v>1482241.52314035</v>
      </c>
      <c r="L8354" s="54" t="n">
        <f aca="false">K8354*Assumptions!$E$92^(1/4)+L8353</f>
        <v>1639489.54974962</v>
      </c>
      <c r="M8354" s="54" t="n">
        <f aca="false">L8354*Assumptions!$E$92^(1/4)+M8353</f>
        <v>1796853.8032343</v>
      </c>
      <c r="N8354" s="54" t="n">
        <f aca="false">M8354*Assumptions!$E$92^(1/4)+N8353</f>
        <v>1954100.77568012</v>
      </c>
      <c r="P8354" s="55" t="n">
        <f aca="false">F8354</f>
        <v>700025.342892606</v>
      </c>
      <c r="Q8354" s="55" t="n">
        <f aca="false">J8354</f>
        <v>1327035.39814542</v>
      </c>
      <c r="R8354" s="55" t="n">
        <f aca="false">N8354</f>
        <v>1954100.77568012</v>
      </c>
      <c r="S8354" s="56" t="n">
        <f aca="false">R8354</f>
        <v>1954100.77568012</v>
      </c>
    </row>
    <row r="8355" customFormat="false" ht="15" hidden="false" customHeight="false" outlineLevel="0" collapsed="false">
      <c r="A8355" s="4" t="s">
        <v>574</v>
      </c>
      <c r="B8355" s="36" t="s">
        <v>125</v>
      </c>
      <c r="C8355" s="54" t="n">
        <f aca="false">(0+C8354)/8*Assumptions!$E$76-(C8347-C8346)-C8354*Assumptions!$E$93/4</f>
        <v>-260258.807091346</v>
      </c>
      <c r="D8355" s="54" t="n">
        <f aca="false">(C8354+D8354)/8*Assumptions!$E$76-(D8347-D8346)-D8354*Assumptions!$E$93/4</f>
        <v>-199020.193581842</v>
      </c>
      <c r="E8355" s="54" t="n">
        <f aca="false">(D8354+E8354)/8*Assumptions!$E$76-(E8347-E8346)-E8354*Assumptions!$E$93/4</f>
        <v>-180397.793817995</v>
      </c>
      <c r="F8355" s="54" t="n">
        <f aca="false">(E8354+F8354)/8*Assumptions!$E$76-(F8347-F8346)-F8354*Assumptions!$E$93/4</f>
        <v>-159010.196692296</v>
      </c>
      <c r="G8355" s="54" t="n">
        <f aca="false">(F8354+G8354)/8*Assumptions!$E$76-(G8347-G8346)-G8354*Assumptions!$E$93/4</f>
        <v>-119420.815749412</v>
      </c>
      <c r="H8355" s="54" t="n">
        <f aca="false">(G8354+H8354)/8*Assumptions!$E$76-(H8347-H8346)-H8354*Assumptions!$E$93/4</f>
        <v>-60665.2945806248</v>
      </c>
      <c r="I8355" s="54" t="n">
        <f aca="false">(H8354+I8354)/8*Assumptions!$E$76-(I8347-I8346)-I8354*Assumptions!$E$93/4</f>
        <v>-82076.6946691254</v>
      </c>
      <c r="J8355" s="54" t="n">
        <f aca="false">(I8354+J8354)/8*Assumptions!$E$76-(J8347-J8346)-J8354*Assumptions!$E$93/4</f>
        <v>-24682.0240273544</v>
      </c>
      <c r="K8355" s="54" t="n">
        <f aca="false">(J8354+K8354)/8*Assumptions!$E$76-(K8347-K8346)-K8354*Assumptions!$E$93/4</f>
        <v>-9686.68806614066</v>
      </c>
      <c r="L8355" s="54" t="n">
        <f aca="false">(K8354+L8354)/8*Assumptions!$E$76-(L8347-L8346)-L8354*Assumptions!$E$93/4</f>
        <v>11343.5749655742</v>
      </c>
      <c r="M8355" s="54" t="n">
        <f aca="false">(L8354+M8354)/8*Assumptions!$E$76-(M8347-M8346)-M8354*Assumptions!$E$93/4</f>
        <v>35336.6093226314</v>
      </c>
      <c r="N8355" s="54" t="n">
        <f aca="false">(M8354+N8354)/8*Assumptions!$E$76-(N8347-N8346)-N8354*Assumptions!$E$93/4</f>
        <v>59668.7313947647</v>
      </c>
      <c r="P8355" s="55" t="n">
        <f aca="false">SUM(C8355:F8355)</f>
        <v>-798686.991183479</v>
      </c>
      <c r="Q8355" s="55" t="n">
        <f aca="false">SUM(G8355:J8355)</f>
        <v>-286844.829026517</v>
      </c>
      <c r="R8355" s="55" t="n">
        <f aca="false">SUM(K8355:N8355)</f>
        <v>96662.2276168296</v>
      </c>
      <c r="S8355" s="56" t="n">
        <f aca="false">SUM(P8355:R8355)</f>
        <v>-988869.592593166</v>
      </c>
    </row>
    <row r="8356" customFormat="false" ht="15" hidden="false" customHeight="false" outlineLevel="0" collapsed="false">
      <c r="A8356" s="4" t="s">
        <v>575</v>
      </c>
      <c r="B8356" s="36" t="s">
        <v>125</v>
      </c>
      <c r="C8356" s="54" t="n">
        <f aca="false">C8355*C8351</f>
        <v>-252988.586859998</v>
      </c>
      <c r="D8356" s="54" t="n">
        <f aca="false">D8355*D8351</f>
        <v>-188056.406463388</v>
      </c>
      <c r="E8356" s="54" t="n">
        <f aca="false">E8355*E8351</f>
        <v>-165698.167326826</v>
      </c>
      <c r="F8356" s="54" t="n">
        <f aca="false">F8355*F8351</f>
        <v>-141973.389903836</v>
      </c>
      <c r="G8356" s="54" t="n">
        <f aca="false">G8355*G8351</f>
        <v>-103647.18350581</v>
      </c>
      <c r="H8356" s="54" t="n">
        <f aca="false">H8355*H8351</f>
        <v>-51181.5314645432</v>
      </c>
      <c r="I8356" s="54" t="n">
        <f aca="false">I8355*I8351</f>
        <v>-67311.3527881704</v>
      </c>
      <c r="J8356" s="54" t="n">
        <f aca="false">J8355*J8351</f>
        <v>-19676.3584401741</v>
      </c>
      <c r="K8356" s="54" t="n">
        <f aca="false">K8355*K8351</f>
        <v>-7506.45289557371</v>
      </c>
      <c r="L8356" s="54" t="n">
        <f aca="false">L8355*L8351</f>
        <v>8544.85876495517</v>
      </c>
      <c r="M8356" s="54" t="n">
        <f aca="false">M8355*M8351</f>
        <v>25874.6993767975</v>
      </c>
      <c r="N8356" s="54" t="n">
        <f aca="false">N8355*N8351</f>
        <v>42471.0244188775</v>
      </c>
      <c r="P8356" s="55" t="n">
        <f aca="false">SUM(C8356:F8356)</f>
        <v>-748716.550554048</v>
      </c>
      <c r="Q8356" s="55" t="n">
        <f aca="false">SUM(G8356:J8356)</f>
        <v>-241816.426198698</v>
      </c>
      <c r="R8356" s="55" t="n">
        <f aca="false">SUM(K8356:N8356)</f>
        <v>69384.1296650564</v>
      </c>
      <c r="S8356" s="56" t="n">
        <f aca="false">SUM(P8356:R8356)</f>
        <v>-921148.84708769</v>
      </c>
    </row>
    <row r="8357" customFormat="false" ht="15" hidden="false" customHeight="false" outlineLevel="0" collapsed="false">
      <c r="A8357" s="4" t="s">
        <v>576</v>
      </c>
      <c r="B8357" s="36"/>
      <c r="C8357" s="37" t="n">
        <f aca="false">IFERROR((S8312*$C$8261*Assumptions!$E$59+S8313*$C$8262*Assumptions!$E$60+S8314*$C$8263*Assumptions!$E$61)/(S8312*$C$8261+S8313*$C$8262+S8314*$C$8263),0.9)</f>
        <v>0.897372181179546</v>
      </c>
    </row>
    <row r="8358" customFormat="false" ht="15" hidden="false" customHeight="false" outlineLevel="0" collapsed="false">
      <c r="A8358" s="4" t="s">
        <v>577</v>
      </c>
      <c r="B8358" s="36"/>
      <c r="C8358" s="37" t="n">
        <f aca="false">IFERROR(N8346*4/N8324,0)</f>
        <v>0.175911884278844</v>
      </c>
    </row>
    <row r="8359" customFormat="false" ht="15" hidden="false" customHeight="false" outlineLevel="0" collapsed="false">
      <c r="A8359" s="4" t="s">
        <v>578</v>
      </c>
      <c r="B8359" s="36"/>
      <c r="C8359" s="60" t="n">
        <f aca="false">$C$8357/(1+Assumptions!$E$87)</f>
        <v>0.801225161767451</v>
      </c>
    </row>
    <row r="8360" customFormat="false" ht="15" hidden="false" customHeight="false" outlineLevel="0" collapsed="false">
      <c r="A8360" s="4" t="s">
        <v>579</v>
      </c>
      <c r="B8360" s="36"/>
      <c r="C8360" s="60" t="n">
        <f aca="false">Assumptions!$E$91/(1+Assumptions!$E$87)</f>
        <v>0.803571428571429</v>
      </c>
    </row>
    <row r="8361" customFormat="false" ht="15" hidden="false" customHeight="false" outlineLevel="0" collapsed="false">
      <c r="A8361" s="35" t="s">
        <v>580</v>
      </c>
      <c r="B8361" s="35" t="s">
        <v>444</v>
      </c>
      <c r="C8361" s="6" t="s">
        <v>354</v>
      </c>
      <c r="D8361" s="6" t="s">
        <v>355</v>
      </c>
      <c r="E8361" s="6" t="s">
        <v>356</v>
      </c>
      <c r="F8361" s="6" t="s">
        <v>357</v>
      </c>
      <c r="G8361" s="6" t="s">
        <v>358</v>
      </c>
      <c r="H8361" s="6" t="s">
        <v>359</v>
      </c>
      <c r="I8361" s="6" t="s">
        <v>360</v>
      </c>
      <c r="J8361" s="6" t="s">
        <v>361</v>
      </c>
      <c r="K8361" s="6" t="s">
        <v>362</v>
      </c>
      <c r="L8361" s="6" t="s">
        <v>363</v>
      </c>
      <c r="M8361" s="6" t="s">
        <v>364</v>
      </c>
      <c r="N8361" s="6" t="s">
        <v>365</v>
      </c>
      <c r="P8361" s="6" t="s">
        <v>445</v>
      </c>
      <c r="Q8361" s="6" t="s">
        <v>446</v>
      </c>
      <c r="R8361" s="6" t="s">
        <v>447</v>
      </c>
      <c r="S8361" s="6" t="s">
        <v>448</v>
      </c>
    </row>
    <row r="8362" customFormat="false" ht="15" hidden="false" customHeight="false" outlineLevel="0" collapsed="false">
      <c r="A8362" s="9" t="s">
        <v>581</v>
      </c>
      <c r="C8362" s="61" t="n">
        <f aca="false">N8324</f>
        <v>364009.090523039</v>
      </c>
      <c r="D8362" s="61"/>
    </row>
    <row r="8363" customFormat="false" ht="15" hidden="false" customHeight="false" outlineLevel="0" collapsed="false">
      <c r="A8363" s="9" t="s">
        <v>582</v>
      </c>
      <c r="C8363" s="62" t="n">
        <f aca="false">N8320</f>
        <v>35.3772136101422</v>
      </c>
      <c r="D8363" s="62"/>
    </row>
    <row r="8364" customFormat="false" ht="15" hidden="false" customHeight="false" outlineLevel="0" collapsed="false">
      <c r="A8364" s="9" t="s">
        <v>583</v>
      </c>
      <c r="C8364" s="63" t="n">
        <f aca="false">S8315</f>
        <v>39.1065139018526</v>
      </c>
      <c r="D8364" s="63"/>
    </row>
    <row r="8365" customFormat="false" ht="15" hidden="false" customHeight="false" outlineLevel="0" collapsed="false">
      <c r="A8365" s="9" t="s">
        <v>584</v>
      </c>
      <c r="C8365" s="61" t="n">
        <f aca="false">S8326</f>
        <v>353445.559258074</v>
      </c>
      <c r="D8365" s="61"/>
    </row>
    <row r="8366" customFormat="false" ht="15" hidden="false" customHeight="false" outlineLevel="0" collapsed="false">
      <c r="A8366" s="9" t="s">
        <v>22</v>
      </c>
      <c r="C8366" s="61" t="n">
        <f aca="false">IFERROR(S8325/S8315,0)</f>
        <v>8847.97350983958</v>
      </c>
      <c r="D8366" s="61"/>
    </row>
    <row r="8367" customFormat="false" ht="15" hidden="false" customHeight="false" outlineLevel="0" collapsed="false">
      <c r="A8367" s="9" t="s">
        <v>585</v>
      </c>
      <c r="C8367" s="61" t="n">
        <f aca="false">IFERROR(S8343/S8315,0)</f>
        <v>53200.8705460447</v>
      </c>
      <c r="D8367" s="61"/>
    </row>
    <row r="8368" customFormat="false" ht="23.85" hidden="false" customHeight="false" outlineLevel="0" collapsed="false">
      <c r="A8368" s="9" t="s">
        <v>586</v>
      </c>
      <c r="C8368" s="61" t="n">
        <f aca="false">IFERROR((S8337+S8339+S8340+S8341+S8342)/S8315,0)</f>
        <v>20219.9748216177</v>
      </c>
      <c r="D8368" s="61"/>
    </row>
    <row r="8369" customFormat="false" ht="15" hidden="false" customHeight="false" outlineLevel="0" collapsed="false">
      <c r="A8369" s="9" t="s">
        <v>587</v>
      </c>
      <c r="C8369" s="64" t="n">
        <f aca="false">IFERROR('Engine Runs'!$C$8367/('Engine Runs'!$C$8366*Assumptions!$E$76/12),0)</f>
        <v>111.005069881922</v>
      </c>
      <c r="D8369" s="64"/>
    </row>
    <row r="8370" customFormat="false" ht="15" hidden="false" customHeight="false" outlineLevel="0" collapsed="false">
      <c r="A8370" s="9" t="s">
        <v>588</v>
      </c>
      <c r="C8370" s="64" t="n">
        <f aca="false">IFERROR((R8343/R8315)/((R8325/R8315)*Assumptions!$E$76/12),0)</f>
        <v>70.968466043185</v>
      </c>
      <c r="D8370" s="64"/>
    </row>
    <row r="8371" customFormat="false" ht="15" hidden="false" customHeight="false" outlineLevel="0" collapsed="false">
      <c r="A8371" s="9" t="s">
        <v>589</v>
      </c>
      <c r="C8371" s="61" t="n">
        <f aca="false">S8347</f>
        <v>2856825.70889989</v>
      </c>
      <c r="D8371" s="61"/>
    </row>
    <row r="8372" customFormat="false" ht="15" hidden="false" customHeight="false" outlineLevel="0" collapsed="false">
      <c r="A8372" s="9" t="s">
        <v>590</v>
      </c>
      <c r="C8372" s="61" t="n">
        <f aca="false">N8350</f>
        <v>-2627086.09538214</v>
      </c>
      <c r="D8372" s="61"/>
    </row>
    <row r="8373" customFormat="false" ht="15" hidden="false" customHeight="false" outlineLevel="0" collapsed="false">
      <c r="A8373" s="9" t="s">
        <v>591</v>
      </c>
      <c r="C8373" s="61" t="n">
        <f aca="false">MIN($C$8350:$N$8350)</f>
        <v>-2627086.09538214</v>
      </c>
      <c r="D8373" s="61"/>
    </row>
    <row r="8374" customFormat="false" ht="15" hidden="false" customHeight="false" outlineLevel="0" collapsed="false">
      <c r="A8374" s="9" t="s">
        <v>592</v>
      </c>
      <c r="C8374" s="61" t="n">
        <f aca="false">N8324*(Assumptions!$E$76-$C$8358)*$C$8357*(1-$C$8357^Assumptions!$E$85)/(1-$C$8357)</f>
        <v>630868.109056122</v>
      </c>
      <c r="D8374" s="61"/>
    </row>
    <row r="8375" customFormat="false" ht="15" hidden="false" customHeight="false" outlineLevel="0" collapsed="false">
      <c r="A8375" s="9" t="s">
        <v>593</v>
      </c>
      <c r="C8375" s="61" t="n">
        <f aca="false">N8324*(Assumptions!$E$76-$C$8358)*(1-Assumptions!$E$88)/(1+Assumptions!$E$87)^2.5*$C$8359*(1-$C$8359^Assumptions!$E$85)/(1-$C$8359)</f>
        <v>280773.81247159</v>
      </c>
      <c r="D8375" s="61"/>
    </row>
    <row r="8376" customFormat="false" ht="15" hidden="false" customHeight="false" outlineLevel="0" collapsed="false">
      <c r="A8376" s="9" t="s">
        <v>594</v>
      </c>
      <c r="C8376" s="61" t="n">
        <f aca="false">SUM($C$8352:$N$8352)+'Engine Runs'!$C$8375</f>
        <v>-1974671.08628556</v>
      </c>
      <c r="D8376" s="61"/>
    </row>
    <row r="8377" customFormat="false" ht="15" hidden="false" customHeight="false" outlineLevel="0" collapsed="false">
      <c r="A8377" s="9" t="s">
        <v>595</v>
      </c>
      <c r="C8377" s="61" t="n">
        <f aca="false">SUM($C$8356:$N$8356)+N8354*(Assumptions!$E$76-Assumptions!$E$93)/(1+Assumptions!$E$87)^2.5*$C$8360*(1-$C$8360^Assumptions!$E$85)/(1-$C$8360)</f>
        <v>1481307.54997726</v>
      </c>
      <c r="D8377" s="61"/>
    </row>
    <row r="8378" customFormat="false" ht="15" hidden="false" customHeight="false" outlineLevel="0" collapsed="false">
      <c r="A8378" s="9" t="s">
        <v>596</v>
      </c>
      <c r="C8378" s="61" t="n">
        <f aca="false">'Engine Runs'!$C$8376-'Engine Runs'!$C$8377</f>
        <v>-3455978.63626282</v>
      </c>
      <c r="D8378" s="61"/>
    </row>
    <row r="8379" customFormat="false" ht="15" hidden="false" customHeight="false" outlineLevel="0" collapsed="false">
      <c r="A8379" s="9" t="s">
        <v>597</v>
      </c>
      <c r="C8379" s="61" t="n">
        <f aca="false">S8311</f>
        <v>0</v>
      </c>
      <c r="D8379" s="61"/>
    </row>
    <row r="8380" customFormat="false" ht="15" hidden="false" customHeight="false" outlineLevel="0" collapsed="false">
      <c r="A8380" s="9" t="s">
        <v>598</v>
      </c>
      <c r="C8380" s="63" t="n">
        <f aca="false">P8295</f>
        <v>43.6188722246667</v>
      </c>
      <c r="D8380" s="63"/>
    </row>
    <row r="8381" customFormat="false" ht="15" hidden="false" customHeight="false" outlineLevel="0" collapsed="false">
      <c r="A8381" s="9" t="s">
        <v>599</v>
      </c>
      <c r="C8381" s="63" t="n">
        <f aca="false">P8315</f>
        <v>4.41614932106171</v>
      </c>
      <c r="D8381" s="63"/>
    </row>
    <row r="8382" customFormat="false" ht="15" hidden="false" customHeight="false" outlineLevel="0" collapsed="false">
      <c r="A8382" s="9" t="s">
        <v>600</v>
      </c>
      <c r="C8382" s="63" t="n">
        <f aca="false">P8291</f>
        <v>42</v>
      </c>
      <c r="D8382" s="63"/>
    </row>
    <row r="8383" customFormat="false" ht="15" hidden="false" customHeight="false" outlineLevel="0" collapsed="false">
      <c r="A8383" s="9" t="s">
        <v>601</v>
      </c>
      <c r="C8383" s="61" t="n">
        <f aca="false">IFERROR(P8325/P8315,0)</f>
        <v>8545.01753177967</v>
      </c>
      <c r="D8383" s="61"/>
    </row>
    <row r="8386" customFormat="false" ht="15" hidden="false" customHeight="true" outlineLevel="0" collapsed="false">
      <c r="A8386" s="78" t="s">
        <v>921</v>
      </c>
      <c r="B8386" s="78"/>
      <c r="C8386" s="78"/>
      <c r="D8386" s="78"/>
      <c r="E8386" s="78"/>
      <c r="F8386" s="78"/>
      <c r="G8386" s="78"/>
      <c r="H8386" s="78"/>
      <c r="I8386" s="78"/>
      <c r="J8386" s="78"/>
      <c r="K8386" s="78"/>
      <c r="L8386" s="78"/>
      <c r="M8386" s="78"/>
      <c r="N8386" s="78"/>
    </row>
    <row r="8387" customFormat="false" ht="15" hidden="false" customHeight="true" outlineLevel="0" collapsed="false">
      <c r="A8387" s="79" t="s">
        <v>922</v>
      </c>
      <c r="B8387" s="79"/>
      <c r="C8387" s="79"/>
      <c r="D8387" s="79"/>
      <c r="E8387" s="79"/>
      <c r="F8387" s="79"/>
      <c r="G8387" s="79"/>
      <c r="H8387" s="79"/>
      <c r="I8387" s="79"/>
      <c r="J8387" s="79"/>
      <c r="K8387" s="79"/>
      <c r="L8387" s="79"/>
      <c r="M8387" s="79"/>
      <c r="N8387" s="79"/>
    </row>
    <row r="8388" customFormat="false" ht="15" hidden="false" customHeight="false" outlineLevel="0" collapsed="false">
      <c r="A8388" s="35" t="s">
        <v>923</v>
      </c>
      <c r="B8388" s="35" t="s">
        <v>444</v>
      </c>
      <c r="C8388" s="6" t="s">
        <v>354</v>
      </c>
      <c r="D8388" s="6" t="s">
        <v>355</v>
      </c>
      <c r="E8388" s="6" t="s">
        <v>356</v>
      </c>
      <c r="F8388" s="6" t="s">
        <v>357</v>
      </c>
      <c r="G8388" s="6" t="s">
        <v>358</v>
      </c>
      <c r="H8388" s="6" t="s">
        <v>359</v>
      </c>
      <c r="I8388" s="6" t="s">
        <v>360</v>
      </c>
      <c r="J8388" s="6" t="s">
        <v>361</v>
      </c>
      <c r="K8388" s="6" t="s">
        <v>362</v>
      </c>
      <c r="L8388" s="6" t="s">
        <v>363</v>
      </c>
      <c r="M8388" s="6" t="s">
        <v>364</v>
      </c>
      <c r="N8388" s="6" t="s">
        <v>365</v>
      </c>
      <c r="P8388" s="6" t="s">
        <v>445</v>
      </c>
      <c r="Q8388" s="6" t="s">
        <v>446</v>
      </c>
      <c r="R8388" s="6" t="s">
        <v>447</v>
      </c>
      <c r="S8388" s="6" t="s">
        <v>448</v>
      </c>
    </row>
    <row r="8389" customFormat="false" ht="15" hidden="false" customHeight="false" outlineLevel="0" collapsed="false">
      <c r="A8389" s="4" t="s">
        <v>449</v>
      </c>
      <c r="B8389" s="36" t="s">
        <v>450</v>
      </c>
      <c r="C8389" s="34" t="n">
        <f aca="false">'Market Sizing'!$C$17*Assumptions!$E$10*Assumptions!$E$11*(1-Assumptions!$E$12)</f>
        <v>843.03944704</v>
      </c>
    </row>
    <row r="8390" customFormat="false" ht="15" hidden="false" customHeight="false" outlineLevel="0" collapsed="false">
      <c r="A8390" s="4" t="s">
        <v>451</v>
      </c>
      <c r="B8390" s="36" t="s">
        <v>450</v>
      </c>
      <c r="C8390" s="34" t="n">
        <f aca="false">'Market Sizing'!$D$17*Assumptions!$E$10*Assumptions!$E$11*(1-Assumptions!$E$12)</f>
        <v>211.19616</v>
      </c>
    </row>
    <row r="8391" customFormat="false" ht="15" hidden="false" customHeight="false" outlineLevel="0" collapsed="false">
      <c r="A8391" s="4" t="s">
        <v>452</v>
      </c>
      <c r="B8391" s="36" t="s">
        <v>450</v>
      </c>
      <c r="C8391" s="34" t="n">
        <f aca="false">'Market Sizing'!$E$17*Assumptions!$E$10*Assumptions!$E$11*(1-Assumptions!$E$12)</f>
        <v>49.53984</v>
      </c>
    </row>
    <row r="8392" customFormat="false" ht="15" hidden="false" customHeight="false" outlineLevel="0" collapsed="false">
      <c r="A8392" s="4" t="s">
        <v>453</v>
      </c>
      <c r="B8392" s="36"/>
      <c r="C8392" s="34" t="n">
        <f aca="false">$C$8389+$C$8390+$C$8391</f>
        <v>1103.77544704</v>
      </c>
    </row>
    <row r="8393" customFormat="false" ht="15" hidden="false" customHeight="false" outlineLevel="0" collapsed="false">
      <c r="A8393" s="4" t="s">
        <v>454</v>
      </c>
      <c r="B8393" s="36" t="s">
        <v>450</v>
      </c>
      <c r="C8393" s="34" t="n">
        <f aca="false">'Market Sizing'!$C$18*Assumptions!$E$10*Assumptions!$E$11*(1-Assumptions!$E$12)</f>
        <v>612.57706944</v>
      </c>
    </row>
    <row r="8394" customFormat="false" ht="15" hidden="false" customHeight="false" outlineLevel="0" collapsed="false">
      <c r="A8394" s="4" t="s">
        <v>455</v>
      </c>
      <c r="B8394" s="36" t="s">
        <v>450</v>
      </c>
      <c r="C8394" s="34" t="n">
        <f aca="false">'Market Sizing'!$D$18*Assumptions!$E$10*Assumptions!$E$11*(1-Assumptions!$E$12)</f>
        <v>142.10112</v>
      </c>
    </row>
    <row r="8395" customFormat="false" ht="15" hidden="false" customHeight="false" outlineLevel="0" collapsed="false">
      <c r="A8395" s="4" t="s">
        <v>456</v>
      </c>
      <c r="B8395" s="36" t="s">
        <v>450</v>
      </c>
      <c r="C8395" s="34" t="n">
        <f aca="false">'Market Sizing'!$E$18*Assumptions!$E$10*Assumptions!$E$11*(1-Assumptions!$E$12)</f>
        <v>24.76992</v>
      </c>
    </row>
    <row r="8396" customFormat="false" ht="15" hidden="false" customHeight="false" outlineLevel="0" collapsed="false">
      <c r="A8396" s="4" t="s">
        <v>457</v>
      </c>
      <c r="B8396" s="36"/>
      <c r="C8396" s="34" t="n">
        <f aca="false">$C$8393+$C$8394+$C$8395</f>
        <v>779.44810944</v>
      </c>
    </row>
    <row r="8397" customFormat="false" ht="15" hidden="false" customHeight="false" outlineLevel="0" collapsed="false">
      <c r="A8397" s="4" t="s">
        <v>458</v>
      </c>
      <c r="B8397" s="36" t="s">
        <v>450</v>
      </c>
      <c r="C8397" s="34" t="n">
        <f aca="false">'Market Sizing'!$C$19*Assumptions!$E$10*Assumptions!$E$11*(1-Assumptions!$E$12)</f>
        <v>2060.77303936</v>
      </c>
    </row>
    <row r="8398" customFormat="false" ht="15" hidden="false" customHeight="false" outlineLevel="0" collapsed="false">
      <c r="A8398" s="4" t="s">
        <v>459</v>
      </c>
      <c r="B8398" s="36" t="s">
        <v>450</v>
      </c>
      <c r="C8398" s="34" t="n">
        <f aca="false">'Market Sizing'!$D$19*Assumptions!$E$10*Assumptions!$E$11*(1-Assumptions!$E$12)</f>
        <v>428.47616</v>
      </c>
    </row>
    <row r="8399" customFormat="false" ht="15" hidden="false" customHeight="false" outlineLevel="0" collapsed="false">
      <c r="A8399" s="4" t="s">
        <v>460</v>
      </c>
      <c r="B8399" s="36" t="s">
        <v>450</v>
      </c>
      <c r="C8399" s="34" t="n">
        <f aca="false">'Market Sizing'!$E$19*Assumptions!$E$10*Assumptions!$E$11*(1-Assumptions!$E$12)</f>
        <v>79.52448</v>
      </c>
    </row>
    <row r="8400" customFormat="false" ht="15" hidden="false" customHeight="false" outlineLevel="0" collapsed="false">
      <c r="A8400" s="4" t="s">
        <v>461</v>
      </c>
      <c r="B8400" s="36"/>
      <c r="C8400" s="34" t="n">
        <f aca="false">$C$8397+$C$8398+$C$8399</f>
        <v>2568.77367936</v>
      </c>
    </row>
    <row r="8401" customFormat="false" ht="15" hidden="false" customHeight="false" outlineLevel="0" collapsed="false">
      <c r="A8401" s="4" t="s">
        <v>462</v>
      </c>
      <c r="B8401" s="36" t="s">
        <v>463</v>
      </c>
      <c r="C8401" s="33" t="n">
        <f aca="false">MAX((Assumptions!$E$51+Assumptions!$E$53)*12,(((('Market Sizing'!$E$25*Assumptions!$E$41*Assumptions!$E$42*1.5)*Assumptions!$E$44)*Assumptions!$E$45*Assumptions!$E$46+('Market Sizing'!$E$25*Assumptions!$E$41*Assumptions!$E$42*1.5)*Assumptions!$E$47+('Market Sizing'!$E$25*Assumptions!$E$41*Assumptions!$E$42*1.5)*Assumptions!$E$48*Assumptions!$E$49)*(Assumptions!$E$51*12/Assumptions!$E$52)+((('Market Sizing'!$E$25*Assumptions!$E$41*Assumptions!$E$42*1.5)*Assumptions!$E$44)*Assumptions!$E$45+('Market Sizing'!$E$25*Assumptions!$E$41*Assumptions!$E$42*1.5)+('Market Sizing'!$E$25*Assumptions!$E$41*Assumptions!$E$42*1.5)*Assumptions!$E$48)*Assumptions!$E$50*(Assumptions!$E$53*12/Assumptions!$E$54)))</f>
        <v>5352</v>
      </c>
    </row>
    <row r="8402" customFormat="false" ht="15" hidden="false" customHeight="false" outlineLevel="0" collapsed="false">
      <c r="A8402" s="4" t="s">
        <v>464</v>
      </c>
      <c r="B8402" s="36" t="s">
        <v>463</v>
      </c>
      <c r="C8402" s="33" t="n">
        <f aca="false">MAX((Assumptions!$E$51+Assumptions!$E$53)*12,(((('Market Sizing'!$E$26*Assumptions!$E$41*Assumptions!$E$42*1.5)*Assumptions!$E$44)*Assumptions!$E$45*Assumptions!$E$46+('Market Sizing'!$E$26*Assumptions!$E$41*Assumptions!$E$42*1.5)*Assumptions!$E$47+('Market Sizing'!$E$26*Assumptions!$E$41*Assumptions!$E$42*1.5)*Assumptions!$E$48*Assumptions!$E$49)*(Assumptions!$E$51*12/Assumptions!$E$52)+((('Market Sizing'!$E$26*Assumptions!$E$41*Assumptions!$E$42*1.5)*Assumptions!$E$44)*Assumptions!$E$45+('Market Sizing'!$E$26*Assumptions!$E$41*Assumptions!$E$42*1.5)+('Market Sizing'!$E$26*Assumptions!$E$41*Assumptions!$E$42*1.5)*Assumptions!$E$48)*Assumptions!$E$50*(Assumptions!$E$53*12/Assumptions!$E$54)))</f>
        <v>14650.0801931281</v>
      </c>
    </row>
    <row r="8403" customFormat="false" ht="15" hidden="false" customHeight="false" outlineLevel="0" collapsed="false">
      <c r="A8403" s="4" t="s">
        <v>465</v>
      </c>
      <c r="B8403" s="36" t="s">
        <v>463</v>
      </c>
      <c r="C8403" s="33" t="n">
        <f aca="false">MAX(Assumptions!$E$55*(Assumptions!$E$51*12/Assumptions!$E$52)+Assumptions!$E$56*(Assumptions!$E$53*12/Assumptions!$E$54),(((('Market Sizing'!$E$27*Assumptions!$E$41*Assumptions!$E$42*1.5)*Assumptions!$E$44)*Assumptions!$E$45*Assumptions!$E$46+('Market Sizing'!$E$27*Assumptions!$E$41*Assumptions!$E$42*1.5)*Assumptions!$E$47+('Market Sizing'!$E$27*Assumptions!$E$41*Assumptions!$E$42*1.5)*Assumptions!$E$48*Assumptions!$E$49)*(Assumptions!$E$51*12/Assumptions!$E$52)+((('Market Sizing'!$E$27*Assumptions!$E$41*Assumptions!$E$42*1.5)*Assumptions!$E$44)*Assumptions!$E$45+('Market Sizing'!$E$27*Assumptions!$E$41*Assumptions!$E$42*1.5)+('Market Sizing'!$E$27*Assumptions!$E$41*Assumptions!$E$42*1.5)*Assumptions!$E$48)*Assumptions!$E$50*(Assumptions!$E$53*12/Assumptions!$E$54)))*(1-Assumptions!$E$57)</f>
        <v>92667.3843291578</v>
      </c>
    </row>
    <row r="8404" customFormat="false" ht="23.85" hidden="false" customHeight="false" outlineLevel="0" collapsed="false">
      <c r="A8404" s="4" t="s">
        <v>466</v>
      </c>
      <c r="B8404" s="36" t="s">
        <v>467</v>
      </c>
      <c r="C8404" s="37" t="n">
        <f aca="false">Assumptions!$E$17*Assumptions!$D$106</f>
        <v>0.4</v>
      </c>
    </row>
    <row r="8405" customFormat="false" ht="23.85" hidden="false" customHeight="false" outlineLevel="0" collapsed="false">
      <c r="A8405" s="4" t="s">
        <v>468</v>
      </c>
      <c r="B8405" s="36" t="s">
        <v>469</v>
      </c>
      <c r="C8405" s="33" t="n">
        <f aca="false">Assumptions!$E$68/Assumptions!$E$69</f>
        <v>285714.285714286</v>
      </c>
    </row>
    <row r="8406" customFormat="false" ht="23.85" hidden="false" customHeight="false" outlineLevel="0" collapsed="false">
      <c r="A8406" s="4" t="s">
        <v>470</v>
      </c>
      <c r="B8406" s="36" t="s">
        <v>471</v>
      </c>
      <c r="C8406" s="33" t="n">
        <f aca="false">Assumptions!$E$66*Assumptions!$E$67/4</f>
        <v>153125</v>
      </c>
    </row>
    <row r="8407" customFormat="false" ht="15" hidden="false" customHeight="false" outlineLevel="0" collapsed="false">
      <c r="A8407" s="4" t="s">
        <v>472</v>
      </c>
      <c r="B8407" s="36"/>
      <c r="C8407" s="38" t="n">
        <f aca="false">$C$8405/Assumptions!$E$66/Assumptions!$E$67</f>
        <v>0.466472303206997</v>
      </c>
    </row>
    <row r="8408" customFormat="false" ht="15" hidden="false" customHeight="false" outlineLevel="0" collapsed="false">
      <c r="A8408" s="4" t="s">
        <v>473</v>
      </c>
      <c r="B8408" s="36"/>
      <c r="C8408" s="33" t="n">
        <f aca="false">MAX(0,Assumptions!$D$103-Assumptions!$E$78)</f>
        <v>0</v>
      </c>
    </row>
    <row r="8409" customFormat="false" ht="15" hidden="false" customHeight="false" outlineLevel="0" collapsed="false">
      <c r="A8409" s="35" t="s">
        <v>474</v>
      </c>
      <c r="B8409" s="35" t="s">
        <v>444</v>
      </c>
      <c r="C8409" s="6" t="s">
        <v>354</v>
      </c>
      <c r="D8409" s="6" t="s">
        <v>355</v>
      </c>
      <c r="E8409" s="6" t="s">
        <v>356</v>
      </c>
      <c r="F8409" s="6" t="s">
        <v>357</v>
      </c>
      <c r="G8409" s="6" t="s">
        <v>358</v>
      </c>
      <c r="H8409" s="6" t="s">
        <v>359</v>
      </c>
      <c r="I8409" s="6" t="s">
        <v>360</v>
      </c>
      <c r="J8409" s="6" t="s">
        <v>361</v>
      </c>
      <c r="K8409" s="6" t="s">
        <v>362</v>
      </c>
      <c r="L8409" s="6" t="s">
        <v>363</v>
      </c>
      <c r="M8409" s="6" t="s">
        <v>364</v>
      </c>
      <c r="N8409" s="6" t="s">
        <v>365</v>
      </c>
      <c r="P8409" s="6" t="s">
        <v>445</v>
      </c>
      <c r="Q8409" s="6" t="s">
        <v>446</v>
      </c>
      <c r="R8409" s="6" t="s">
        <v>447</v>
      </c>
      <c r="S8409" s="6" t="s">
        <v>448</v>
      </c>
    </row>
    <row r="8410" customFormat="false" ht="15" hidden="false" customHeight="false" outlineLevel="0" collapsed="false">
      <c r="A8410" s="4" t="s">
        <v>475</v>
      </c>
      <c r="B8410" s="36" t="s">
        <v>133</v>
      </c>
      <c r="C8410" s="39" t="n">
        <v>1</v>
      </c>
      <c r="D8410" s="39" t="n">
        <v>2</v>
      </c>
      <c r="E8410" s="39" t="n">
        <v>3</v>
      </c>
      <c r="F8410" s="39" t="n">
        <v>4</v>
      </c>
      <c r="G8410" s="39" t="n">
        <v>5</v>
      </c>
      <c r="H8410" s="39" t="n">
        <v>6</v>
      </c>
      <c r="I8410" s="39" t="n">
        <v>7</v>
      </c>
      <c r="J8410" s="39" t="n">
        <v>8</v>
      </c>
      <c r="K8410" s="39" t="n">
        <v>9</v>
      </c>
      <c r="L8410" s="39" t="n">
        <v>10</v>
      </c>
      <c r="M8410" s="39" t="n">
        <v>11</v>
      </c>
      <c r="N8410" s="39" t="n">
        <v>12</v>
      </c>
      <c r="P8410" s="40"/>
      <c r="Q8410" s="40"/>
      <c r="R8410" s="40"/>
      <c r="S8410" s="41"/>
    </row>
    <row r="8411" customFormat="false" ht="15" hidden="false" customHeight="false" outlineLevel="0" collapsed="false">
      <c r="A8411" s="4" t="s">
        <v>476</v>
      </c>
      <c r="B8411" s="36" t="s">
        <v>343</v>
      </c>
      <c r="C8411" s="39" t="n">
        <f aca="false">IF(C8410&lt;=Assumptions!$E$84,1,0)</f>
        <v>1</v>
      </c>
      <c r="D8411" s="39" t="n">
        <f aca="false">IF(D8410&lt;=Assumptions!$E$84,1,0)</f>
        <v>1</v>
      </c>
      <c r="E8411" s="39" t="n">
        <f aca="false">IF(E8410&lt;=Assumptions!$E$84,1,0)</f>
        <v>1</v>
      </c>
      <c r="F8411" s="39" t="n">
        <f aca="false">IF(F8410&lt;=Assumptions!$E$84,1,0)</f>
        <v>1</v>
      </c>
      <c r="G8411" s="39" t="n">
        <f aca="false">IF(G8410&lt;=Assumptions!$E$84,1,0)</f>
        <v>1</v>
      </c>
      <c r="H8411" s="39" t="n">
        <f aca="false">IF(H8410&lt;=Assumptions!$E$84,1,0)</f>
        <v>1</v>
      </c>
      <c r="I8411" s="39" t="n">
        <f aca="false">IF(I8410&lt;=Assumptions!$E$84,1,0)</f>
        <v>1</v>
      </c>
      <c r="J8411" s="39" t="n">
        <f aca="false">IF(J8410&lt;=Assumptions!$E$84,1,0)</f>
        <v>1</v>
      </c>
      <c r="K8411" s="39" t="n">
        <f aca="false">IF(K8410&lt;=Assumptions!$E$84,1,0)</f>
        <v>1</v>
      </c>
      <c r="L8411" s="39" t="n">
        <f aca="false">IF(L8410&lt;=Assumptions!$E$84,1,0)</f>
        <v>1</v>
      </c>
      <c r="M8411" s="39" t="n">
        <f aca="false">IF(M8410&lt;=Assumptions!$E$84,1,0)</f>
        <v>1</v>
      </c>
      <c r="N8411" s="39" t="n">
        <f aca="false">IF(N8410&lt;=Assumptions!$E$84,1,0)</f>
        <v>1</v>
      </c>
      <c r="P8411" s="40"/>
      <c r="Q8411" s="40"/>
      <c r="R8411" s="40"/>
      <c r="S8411" s="41"/>
    </row>
    <row r="8412" customFormat="false" ht="15" hidden="false" customHeight="false" outlineLevel="0" collapsed="false">
      <c r="A8412" s="4" t="s">
        <v>477</v>
      </c>
      <c r="B8412" s="36" t="s">
        <v>478</v>
      </c>
      <c r="C8412" s="42" t="n">
        <f aca="false">IF(C8410=Assumptions!$E$13,0.5,IF(C8410&gt;Assumptions!$E$13,1,0))</f>
        <v>0.5</v>
      </c>
      <c r="D8412" s="42" t="n">
        <f aca="false">IF(D8410=Assumptions!$E$13,0.5,IF(D8410&gt;Assumptions!$E$13,1,0))</f>
        <v>1</v>
      </c>
      <c r="E8412" s="42" t="n">
        <f aca="false">IF(E8410=Assumptions!$E$13,0.5,IF(E8410&gt;Assumptions!$E$13,1,0))</f>
        <v>1</v>
      </c>
      <c r="F8412" s="42" t="n">
        <f aca="false">IF(F8410=Assumptions!$E$13,0.5,IF(F8410&gt;Assumptions!$E$13,1,0))</f>
        <v>1</v>
      </c>
      <c r="G8412" s="42" t="n">
        <f aca="false">IF(G8410=Assumptions!$E$13,0.5,IF(G8410&gt;Assumptions!$E$13,1,0))</f>
        <v>1</v>
      </c>
      <c r="H8412" s="42" t="n">
        <f aca="false">IF(H8410=Assumptions!$E$13,0.5,IF(H8410&gt;Assumptions!$E$13,1,0))</f>
        <v>1</v>
      </c>
      <c r="I8412" s="42" t="n">
        <f aca="false">IF(I8410=Assumptions!$E$13,0.5,IF(I8410&gt;Assumptions!$E$13,1,0))</f>
        <v>1</v>
      </c>
      <c r="J8412" s="42" t="n">
        <f aca="false">IF(J8410=Assumptions!$E$13,0.5,IF(J8410&gt;Assumptions!$E$13,1,0))</f>
        <v>1</v>
      </c>
      <c r="K8412" s="42" t="n">
        <f aca="false">IF(K8410=Assumptions!$E$13,0.5,IF(K8410&gt;Assumptions!$E$13,1,0))</f>
        <v>1</v>
      </c>
      <c r="L8412" s="42" t="n">
        <f aca="false">IF(L8410=Assumptions!$E$13,0.5,IF(L8410&gt;Assumptions!$E$13,1,0))</f>
        <v>1</v>
      </c>
      <c r="M8412" s="42" t="n">
        <f aca="false">IF(M8410=Assumptions!$E$13,0.5,IF(M8410&gt;Assumptions!$E$13,1,0))</f>
        <v>1</v>
      </c>
      <c r="N8412" s="42" t="n">
        <f aca="false">IF(N8410=Assumptions!$E$13,0.5,IF(N8410&gt;Assumptions!$E$13,1,0))</f>
        <v>1</v>
      </c>
      <c r="P8412" s="43"/>
      <c r="Q8412" s="43"/>
      <c r="R8412" s="43"/>
      <c r="S8412" s="44"/>
    </row>
    <row r="8413" customFormat="false" ht="15" hidden="false" customHeight="false" outlineLevel="0" collapsed="false">
      <c r="A8413" s="4" t="s">
        <v>479</v>
      </c>
      <c r="B8413" s="36" t="s">
        <v>478</v>
      </c>
      <c r="C8413" s="42" t="n">
        <f aca="false">IF(C8410=Assumptions!$E$14,0.5,IF(C8410&gt;Assumptions!$E$14,1,0))</f>
        <v>0</v>
      </c>
      <c r="D8413" s="42" t="n">
        <f aca="false">IF(D8410=Assumptions!$E$14,0.5,IF(D8410&gt;Assumptions!$E$14,1,0))</f>
        <v>0</v>
      </c>
      <c r="E8413" s="42" t="n">
        <f aca="false">IF(E8410=Assumptions!$E$14,0.5,IF(E8410&gt;Assumptions!$E$14,1,0))</f>
        <v>0</v>
      </c>
      <c r="F8413" s="42" t="n">
        <f aca="false">IF(F8410=Assumptions!$E$14,0.5,IF(F8410&gt;Assumptions!$E$14,1,0))</f>
        <v>0</v>
      </c>
      <c r="G8413" s="42" t="n">
        <f aca="false">IF(G8410=Assumptions!$E$14,0.5,IF(G8410&gt;Assumptions!$E$14,1,0))</f>
        <v>0.5</v>
      </c>
      <c r="H8413" s="42" t="n">
        <f aca="false">IF(H8410=Assumptions!$E$14,0.5,IF(H8410&gt;Assumptions!$E$14,1,0))</f>
        <v>1</v>
      </c>
      <c r="I8413" s="42" t="n">
        <f aca="false">IF(I8410=Assumptions!$E$14,0.5,IF(I8410&gt;Assumptions!$E$14,1,0))</f>
        <v>1</v>
      </c>
      <c r="J8413" s="42" t="n">
        <f aca="false">IF(J8410=Assumptions!$E$14,0.5,IF(J8410&gt;Assumptions!$E$14,1,0))</f>
        <v>1</v>
      </c>
      <c r="K8413" s="42" t="n">
        <f aca="false">IF(K8410=Assumptions!$E$14,0.5,IF(K8410&gt;Assumptions!$E$14,1,0))</f>
        <v>1</v>
      </c>
      <c r="L8413" s="42" t="n">
        <f aca="false">IF(L8410=Assumptions!$E$14,0.5,IF(L8410&gt;Assumptions!$E$14,1,0))</f>
        <v>1</v>
      </c>
      <c r="M8413" s="42" t="n">
        <f aca="false">IF(M8410=Assumptions!$E$14,0.5,IF(M8410&gt;Assumptions!$E$14,1,0))</f>
        <v>1</v>
      </c>
      <c r="N8413" s="42" t="n">
        <f aca="false">IF(N8410=Assumptions!$E$14,0.5,IF(N8410&gt;Assumptions!$E$14,1,0))</f>
        <v>1</v>
      </c>
      <c r="P8413" s="43"/>
      <c r="Q8413" s="43"/>
      <c r="R8413" s="43"/>
      <c r="S8413" s="44"/>
    </row>
    <row r="8414" customFormat="false" ht="15" hidden="false" customHeight="false" outlineLevel="0" collapsed="false">
      <c r="A8414" s="4" t="s">
        <v>480</v>
      </c>
      <c r="B8414" s="36" t="s">
        <v>478</v>
      </c>
      <c r="C8414" s="42" t="n">
        <f aca="false">IF(C8410=Assumptions!$E$15,0.5,IF(C8410&gt;Assumptions!$E$15,1,0))</f>
        <v>0</v>
      </c>
      <c r="D8414" s="42" t="n">
        <f aca="false">IF(D8410=Assumptions!$E$15,0.5,IF(D8410&gt;Assumptions!$E$15,1,0))</f>
        <v>0</v>
      </c>
      <c r="E8414" s="42" t="n">
        <f aca="false">IF(E8410=Assumptions!$E$15,0.5,IF(E8410&gt;Assumptions!$E$15,1,0))</f>
        <v>0</v>
      </c>
      <c r="F8414" s="42" t="n">
        <f aca="false">IF(F8410=Assumptions!$E$15,0.5,IF(F8410&gt;Assumptions!$E$15,1,0))</f>
        <v>0</v>
      </c>
      <c r="G8414" s="42" t="n">
        <f aca="false">IF(G8410=Assumptions!$E$15,0.5,IF(G8410&gt;Assumptions!$E$15,1,0))</f>
        <v>0</v>
      </c>
      <c r="H8414" s="42" t="n">
        <f aca="false">IF(H8410=Assumptions!$E$15,0.5,IF(H8410&gt;Assumptions!$E$15,1,0))</f>
        <v>0</v>
      </c>
      <c r="I8414" s="42" t="n">
        <f aca="false">IF(I8410=Assumptions!$E$15,0.5,IF(I8410&gt;Assumptions!$E$15,1,0))</f>
        <v>0.5</v>
      </c>
      <c r="J8414" s="42" t="n">
        <f aca="false">IF(J8410=Assumptions!$E$15,0.5,IF(J8410&gt;Assumptions!$E$15,1,0))</f>
        <v>1</v>
      </c>
      <c r="K8414" s="42" t="n">
        <f aca="false">IF(K8410=Assumptions!$E$15,0.5,IF(K8410&gt;Assumptions!$E$15,1,0))</f>
        <v>1</v>
      </c>
      <c r="L8414" s="42" t="n">
        <f aca="false">IF(L8410=Assumptions!$E$15,0.5,IF(L8410&gt;Assumptions!$E$15,1,0))</f>
        <v>1</v>
      </c>
      <c r="M8414" s="42" t="n">
        <f aca="false">IF(M8410=Assumptions!$E$15,0.5,IF(M8410&gt;Assumptions!$E$15,1,0))</f>
        <v>1</v>
      </c>
      <c r="N8414" s="42" t="n">
        <f aca="false">IF(N8410=Assumptions!$E$15,0.5,IF(N8410&gt;Assumptions!$E$15,1,0))</f>
        <v>1</v>
      </c>
      <c r="P8414" s="43"/>
      <c r="Q8414" s="43"/>
      <c r="R8414" s="43"/>
      <c r="S8414" s="44"/>
    </row>
    <row r="8415" customFormat="false" ht="15" hidden="false" customHeight="false" outlineLevel="0" collapsed="false">
      <c r="A8415" s="4" t="s">
        <v>481</v>
      </c>
      <c r="B8415" s="36" t="s">
        <v>478</v>
      </c>
      <c r="C8415" s="45" t="n">
        <f aca="false">Assumptions!$E$21^(MAX(0,C8410-Assumptions!$E$13)/4)</f>
        <v>1</v>
      </c>
      <c r="D8415" s="45" t="n">
        <f aca="false">Assumptions!$E$21^(MAX(0,D8410-Assumptions!$E$13)/4)</f>
        <v>0.9306048591021</v>
      </c>
      <c r="E8415" s="45" t="n">
        <f aca="false">Assumptions!$E$21^(MAX(0,E8410-Assumptions!$E$13)/4)</f>
        <v>0.866025403784439</v>
      </c>
      <c r="F8415" s="45" t="n">
        <f aca="false">Assumptions!$E$21^(MAX(0,F8410-Assumptions!$E$13)/4)</f>
        <v>0.805927448867656</v>
      </c>
      <c r="G8415" s="45" t="n">
        <f aca="false">Assumptions!$E$21^(MAX(0,G8410-Assumptions!$E$13)/4)</f>
        <v>0.75</v>
      </c>
      <c r="H8415" s="45" t="n">
        <f aca="false">Assumptions!$E$21^(MAX(0,H8410-Assumptions!$E$13)/4)</f>
        <v>0.697953644326575</v>
      </c>
      <c r="I8415" s="45" t="n">
        <f aca="false">Assumptions!$E$21^(MAX(0,I8410-Assumptions!$E$13)/4)</f>
        <v>0.649519052838329</v>
      </c>
      <c r="J8415" s="45" t="n">
        <f aca="false">Assumptions!$E$21^(MAX(0,J8410-Assumptions!$E$13)/4)</f>
        <v>0.604445586650742</v>
      </c>
      <c r="K8415" s="45" t="n">
        <f aca="false">Assumptions!$E$21^(MAX(0,K8410-Assumptions!$E$13)/4)</f>
        <v>0.5625</v>
      </c>
      <c r="L8415" s="45" t="n">
        <f aca="false">Assumptions!$E$21^(MAX(0,L8410-Assumptions!$E$13)/4)</f>
        <v>0.523465233244931</v>
      </c>
      <c r="M8415" s="45" t="n">
        <f aca="false">Assumptions!$E$21^(MAX(0,M8410-Assumptions!$E$13)/4)</f>
        <v>0.487139289628747</v>
      </c>
      <c r="N8415" s="45" t="n">
        <f aca="false">Assumptions!$E$21^(MAX(0,N8410-Assumptions!$E$13)/4)</f>
        <v>0.453334189988057</v>
      </c>
      <c r="P8415" s="46"/>
      <c r="Q8415" s="46"/>
      <c r="R8415" s="46"/>
      <c r="S8415" s="47"/>
    </row>
    <row r="8416" customFormat="false" ht="15" hidden="false" customHeight="false" outlineLevel="0" collapsed="false">
      <c r="A8416" s="4" t="s">
        <v>482</v>
      </c>
      <c r="B8416" s="36" t="s">
        <v>478</v>
      </c>
      <c r="C8416" s="45" t="n">
        <f aca="false">Assumptions!$E$21^(MAX(0,C8410-Assumptions!$E$14)/4)</f>
        <v>1</v>
      </c>
      <c r="D8416" s="45" t="n">
        <f aca="false">Assumptions!$E$21^(MAX(0,D8410-Assumptions!$E$14)/4)</f>
        <v>1</v>
      </c>
      <c r="E8416" s="45" t="n">
        <f aca="false">Assumptions!$E$21^(MAX(0,E8410-Assumptions!$E$14)/4)</f>
        <v>1</v>
      </c>
      <c r="F8416" s="45" t="n">
        <f aca="false">Assumptions!$E$21^(MAX(0,F8410-Assumptions!$E$14)/4)</f>
        <v>1</v>
      </c>
      <c r="G8416" s="45" t="n">
        <f aca="false">Assumptions!$E$21^(MAX(0,G8410-Assumptions!$E$14)/4)</f>
        <v>1</v>
      </c>
      <c r="H8416" s="45" t="n">
        <f aca="false">Assumptions!$E$21^(MAX(0,H8410-Assumptions!$E$14)/4)</f>
        <v>0.9306048591021</v>
      </c>
      <c r="I8416" s="45" t="n">
        <f aca="false">Assumptions!$E$21^(MAX(0,I8410-Assumptions!$E$14)/4)</f>
        <v>0.866025403784439</v>
      </c>
      <c r="J8416" s="45" t="n">
        <f aca="false">Assumptions!$E$21^(MAX(0,J8410-Assumptions!$E$14)/4)</f>
        <v>0.805927448867656</v>
      </c>
      <c r="K8416" s="45" t="n">
        <f aca="false">Assumptions!$E$21^(MAX(0,K8410-Assumptions!$E$14)/4)</f>
        <v>0.75</v>
      </c>
      <c r="L8416" s="45" t="n">
        <f aca="false">Assumptions!$E$21^(MAX(0,L8410-Assumptions!$E$14)/4)</f>
        <v>0.697953644326575</v>
      </c>
      <c r="M8416" s="45" t="n">
        <f aca="false">Assumptions!$E$21^(MAX(0,M8410-Assumptions!$E$14)/4)</f>
        <v>0.649519052838329</v>
      </c>
      <c r="N8416" s="45" t="n">
        <f aca="false">Assumptions!$E$21^(MAX(0,N8410-Assumptions!$E$14)/4)</f>
        <v>0.604445586650742</v>
      </c>
      <c r="P8416" s="46"/>
      <c r="Q8416" s="46"/>
      <c r="R8416" s="46"/>
      <c r="S8416" s="47"/>
    </row>
    <row r="8417" customFormat="false" ht="15" hidden="false" customHeight="false" outlineLevel="0" collapsed="false">
      <c r="A8417" s="4" t="s">
        <v>483</v>
      </c>
      <c r="B8417" s="36" t="s">
        <v>478</v>
      </c>
      <c r="C8417" s="45" t="n">
        <f aca="false">Assumptions!$E$21^(MAX(0,C8410-Assumptions!$E$15)/4)</f>
        <v>1</v>
      </c>
      <c r="D8417" s="45" t="n">
        <f aca="false">Assumptions!$E$21^(MAX(0,D8410-Assumptions!$E$15)/4)</f>
        <v>1</v>
      </c>
      <c r="E8417" s="45" t="n">
        <f aca="false">Assumptions!$E$21^(MAX(0,E8410-Assumptions!$E$15)/4)</f>
        <v>1</v>
      </c>
      <c r="F8417" s="45" t="n">
        <f aca="false">Assumptions!$E$21^(MAX(0,F8410-Assumptions!$E$15)/4)</f>
        <v>1</v>
      </c>
      <c r="G8417" s="45" t="n">
        <f aca="false">Assumptions!$E$21^(MAX(0,G8410-Assumptions!$E$15)/4)</f>
        <v>1</v>
      </c>
      <c r="H8417" s="45" t="n">
        <f aca="false">Assumptions!$E$21^(MAX(0,H8410-Assumptions!$E$15)/4)</f>
        <v>1</v>
      </c>
      <c r="I8417" s="45" t="n">
        <f aca="false">Assumptions!$E$21^(MAX(0,I8410-Assumptions!$E$15)/4)</f>
        <v>1</v>
      </c>
      <c r="J8417" s="45" t="n">
        <f aca="false">Assumptions!$E$21^(MAX(0,J8410-Assumptions!$E$15)/4)</f>
        <v>0.9306048591021</v>
      </c>
      <c r="K8417" s="45" t="n">
        <f aca="false">Assumptions!$E$21^(MAX(0,K8410-Assumptions!$E$15)/4)</f>
        <v>0.866025403784439</v>
      </c>
      <c r="L8417" s="45" t="n">
        <f aca="false">Assumptions!$E$21^(MAX(0,L8410-Assumptions!$E$15)/4)</f>
        <v>0.805927448867656</v>
      </c>
      <c r="M8417" s="45" t="n">
        <f aca="false">Assumptions!$E$21^(MAX(0,M8410-Assumptions!$E$15)/4)</f>
        <v>0.75</v>
      </c>
      <c r="N8417" s="45" t="n">
        <f aca="false">Assumptions!$E$21^(MAX(0,N8410-Assumptions!$E$15)/4)</f>
        <v>0.697953644326575</v>
      </c>
      <c r="P8417" s="46"/>
      <c r="Q8417" s="46"/>
      <c r="R8417" s="46"/>
      <c r="S8417" s="47"/>
    </row>
    <row r="8418" customFormat="false" ht="15" hidden="false" customHeight="false" outlineLevel="0" collapsed="false">
      <c r="A8418" s="4" t="s">
        <v>484</v>
      </c>
      <c r="B8418" s="36" t="s">
        <v>485</v>
      </c>
      <c r="C8418" s="39" t="n">
        <f aca="false">$C$8389*C8412+$C$8393*C8413+$C$8397*C8414</f>
        <v>421.51972352</v>
      </c>
      <c r="D8418" s="39" t="n">
        <f aca="false">$C$8389*D8412+$C$8393*D8413+$C$8397*D8414</f>
        <v>843.03944704</v>
      </c>
      <c r="E8418" s="39" t="n">
        <f aca="false">$C$8389*E8412+$C$8393*E8413+$C$8397*E8414</f>
        <v>843.03944704</v>
      </c>
      <c r="F8418" s="39" t="n">
        <f aca="false">$C$8389*F8412+$C$8393*F8413+$C$8397*F8414</f>
        <v>843.03944704</v>
      </c>
      <c r="G8418" s="39" t="n">
        <f aca="false">$C$8389*G8412+$C$8393*G8413+$C$8397*G8414</f>
        <v>1149.32798176</v>
      </c>
      <c r="H8418" s="39" t="n">
        <f aca="false">$C$8389*H8412+$C$8393*H8413+$C$8397*H8414</f>
        <v>1455.61651648</v>
      </c>
      <c r="I8418" s="39" t="n">
        <f aca="false">$C$8389*I8412+$C$8393*I8413+$C$8397*I8414</f>
        <v>2486.00303616</v>
      </c>
      <c r="J8418" s="39" t="n">
        <f aca="false">$C$8389*J8412+$C$8393*J8413+$C$8397*J8414</f>
        <v>3516.38955584</v>
      </c>
      <c r="K8418" s="39" t="n">
        <f aca="false">$C$8389*K8412+$C$8393*K8413+$C$8397*K8414</f>
        <v>3516.38955584</v>
      </c>
      <c r="L8418" s="39" t="n">
        <f aca="false">$C$8389*L8412+$C$8393*L8413+$C$8397*L8414</f>
        <v>3516.38955584</v>
      </c>
      <c r="M8418" s="39" t="n">
        <f aca="false">$C$8389*M8412+$C$8393*M8413+$C$8397*M8414</f>
        <v>3516.38955584</v>
      </c>
      <c r="N8418" s="39" t="n">
        <f aca="false">$C$8389*N8412+$C$8393*N8413+$C$8397*N8414</f>
        <v>3516.38955584</v>
      </c>
      <c r="P8418" s="40" t="n">
        <f aca="false">F8418</f>
        <v>843.03944704</v>
      </c>
      <c r="Q8418" s="40" t="n">
        <f aca="false">J8418</f>
        <v>3516.38955584</v>
      </c>
      <c r="R8418" s="40" t="n">
        <f aca="false">N8418</f>
        <v>3516.38955584</v>
      </c>
      <c r="S8418" s="41" t="n">
        <f aca="false">R8418</f>
        <v>3516.38955584</v>
      </c>
    </row>
    <row r="8419" customFormat="false" ht="15" hidden="false" customHeight="false" outlineLevel="0" collapsed="false">
      <c r="A8419" s="4" t="s">
        <v>486</v>
      </c>
      <c r="B8419" s="36" t="s">
        <v>485</v>
      </c>
      <c r="C8419" s="39" t="n">
        <f aca="false">$C$8390*C8412+$C$8394*C8413+$C$8398*C8414</f>
        <v>105.59808</v>
      </c>
      <c r="D8419" s="39" t="n">
        <f aca="false">$C$8390*D8412+$C$8394*D8413+$C$8398*D8414</f>
        <v>211.19616</v>
      </c>
      <c r="E8419" s="39" t="n">
        <f aca="false">$C$8390*E8412+$C$8394*E8413+$C$8398*E8414</f>
        <v>211.19616</v>
      </c>
      <c r="F8419" s="39" t="n">
        <f aca="false">$C$8390*F8412+$C$8394*F8413+$C$8398*F8414</f>
        <v>211.19616</v>
      </c>
      <c r="G8419" s="39" t="n">
        <f aca="false">$C$8390*G8412+$C$8394*G8413+$C$8398*G8414</f>
        <v>282.24672</v>
      </c>
      <c r="H8419" s="39" t="n">
        <f aca="false">$C$8390*H8412+$C$8394*H8413+$C$8398*H8414</f>
        <v>353.29728</v>
      </c>
      <c r="I8419" s="39" t="n">
        <f aca="false">$C$8390*I8412+$C$8394*I8413+$C$8398*I8414</f>
        <v>567.53536</v>
      </c>
      <c r="J8419" s="39" t="n">
        <f aca="false">$C$8390*J8412+$C$8394*J8413+$C$8398*J8414</f>
        <v>781.77344</v>
      </c>
      <c r="K8419" s="39" t="n">
        <f aca="false">$C$8390*K8412+$C$8394*K8413+$C$8398*K8414</f>
        <v>781.77344</v>
      </c>
      <c r="L8419" s="39" t="n">
        <f aca="false">$C$8390*L8412+$C$8394*L8413+$C$8398*L8414</f>
        <v>781.77344</v>
      </c>
      <c r="M8419" s="39" t="n">
        <f aca="false">$C$8390*M8412+$C$8394*M8413+$C$8398*M8414</f>
        <v>781.77344</v>
      </c>
      <c r="N8419" s="39" t="n">
        <f aca="false">$C$8390*N8412+$C$8394*N8413+$C$8398*N8414</f>
        <v>781.77344</v>
      </c>
      <c r="P8419" s="40" t="n">
        <f aca="false">F8419</f>
        <v>211.19616</v>
      </c>
      <c r="Q8419" s="40" t="n">
        <f aca="false">J8419</f>
        <v>781.77344</v>
      </c>
      <c r="R8419" s="40" t="n">
        <f aca="false">N8419</f>
        <v>781.77344</v>
      </c>
      <c r="S8419" s="41" t="n">
        <f aca="false">R8419</f>
        <v>781.77344</v>
      </c>
    </row>
    <row r="8420" customFormat="false" ht="15" hidden="false" customHeight="false" outlineLevel="0" collapsed="false">
      <c r="A8420" s="4" t="s">
        <v>487</v>
      </c>
      <c r="B8420" s="36" t="s">
        <v>485</v>
      </c>
      <c r="C8420" s="39" t="n">
        <f aca="false">$C$8391*C8412+$C$8395*C8413+$C$8399*C8414</f>
        <v>24.76992</v>
      </c>
      <c r="D8420" s="39" t="n">
        <f aca="false">$C$8391*D8412+$C$8395*D8413+$C$8399*D8414</f>
        <v>49.53984</v>
      </c>
      <c r="E8420" s="39" t="n">
        <f aca="false">$C$8391*E8412+$C$8395*E8413+$C$8399*E8414</f>
        <v>49.53984</v>
      </c>
      <c r="F8420" s="39" t="n">
        <f aca="false">$C$8391*F8412+$C$8395*F8413+$C$8399*F8414</f>
        <v>49.53984</v>
      </c>
      <c r="G8420" s="39" t="n">
        <f aca="false">$C$8391*G8412+$C$8395*G8413+$C$8399*G8414</f>
        <v>61.9248</v>
      </c>
      <c r="H8420" s="39" t="n">
        <f aca="false">$C$8391*H8412+$C$8395*H8413+$C$8399*H8414</f>
        <v>74.30976</v>
      </c>
      <c r="I8420" s="39" t="n">
        <f aca="false">$C$8391*I8412+$C$8395*I8413+$C$8399*I8414</f>
        <v>114.072</v>
      </c>
      <c r="J8420" s="39" t="n">
        <f aca="false">$C$8391*J8412+$C$8395*J8413+$C$8399*J8414</f>
        <v>153.83424</v>
      </c>
      <c r="K8420" s="39" t="n">
        <f aca="false">$C$8391*K8412+$C$8395*K8413+$C$8399*K8414</f>
        <v>153.83424</v>
      </c>
      <c r="L8420" s="39" t="n">
        <f aca="false">$C$8391*L8412+$C$8395*L8413+$C$8399*L8414</f>
        <v>153.83424</v>
      </c>
      <c r="M8420" s="39" t="n">
        <f aca="false">$C$8391*M8412+$C$8395*M8413+$C$8399*M8414</f>
        <v>153.83424</v>
      </c>
      <c r="N8420" s="39" t="n">
        <f aca="false">$C$8391*N8412+$C$8395*N8413+$C$8399*N8414</f>
        <v>153.83424</v>
      </c>
      <c r="P8420" s="40" t="n">
        <f aca="false">F8420</f>
        <v>49.53984</v>
      </c>
      <c r="Q8420" s="40" t="n">
        <f aca="false">J8420</f>
        <v>153.83424</v>
      </c>
      <c r="R8420" s="40" t="n">
        <f aca="false">N8420</f>
        <v>153.83424</v>
      </c>
      <c r="S8420" s="41" t="n">
        <f aca="false">R8420</f>
        <v>153.83424</v>
      </c>
    </row>
    <row r="8421" customFormat="false" ht="15" hidden="false" customHeight="false" outlineLevel="0" collapsed="false">
      <c r="A8421" s="4" t="s">
        <v>488</v>
      </c>
      <c r="B8421" s="36" t="s">
        <v>485</v>
      </c>
      <c r="C8421" s="39" t="n">
        <f aca="false">C8418+C8419+C8420</f>
        <v>551.88772352</v>
      </c>
      <c r="D8421" s="39" t="n">
        <f aca="false">D8418+D8419+D8420</f>
        <v>1103.77544704</v>
      </c>
      <c r="E8421" s="39" t="n">
        <f aca="false">E8418+E8419+E8420</f>
        <v>1103.77544704</v>
      </c>
      <c r="F8421" s="39" t="n">
        <f aca="false">F8418+F8419+F8420</f>
        <v>1103.77544704</v>
      </c>
      <c r="G8421" s="39" t="n">
        <f aca="false">G8418+G8419+G8420</f>
        <v>1493.49950176</v>
      </c>
      <c r="H8421" s="39" t="n">
        <f aca="false">H8418+H8419+H8420</f>
        <v>1883.22355648</v>
      </c>
      <c r="I8421" s="39" t="n">
        <f aca="false">I8418+I8419+I8420</f>
        <v>3167.61039616</v>
      </c>
      <c r="J8421" s="39" t="n">
        <f aca="false">J8418+J8419+J8420</f>
        <v>4451.99723584</v>
      </c>
      <c r="K8421" s="39" t="n">
        <f aca="false">K8418+K8419+K8420</f>
        <v>4451.99723584</v>
      </c>
      <c r="L8421" s="39" t="n">
        <f aca="false">L8418+L8419+L8420</f>
        <v>4451.99723584</v>
      </c>
      <c r="M8421" s="39" t="n">
        <f aca="false">M8418+M8419+M8420</f>
        <v>4451.99723584</v>
      </c>
      <c r="N8421" s="39" t="n">
        <f aca="false">N8418+N8419+N8420</f>
        <v>4451.99723584</v>
      </c>
      <c r="P8421" s="40" t="n">
        <f aca="false">F8421</f>
        <v>1103.77544704</v>
      </c>
      <c r="Q8421" s="40" t="n">
        <f aca="false">J8421</f>
        <v>4451.99723584</v>
      </c>
      <c r="R8421" s="40" t="n">
        <f aca="false">N8421</f>
        <v>4451.99723584</v>
      </c>
      <c r="S8421" s="41" t="n">
        <f aca="false">R8421</f>
        <v>4451.99723584</v>
      </c>
    </row>
    <row r="8422" customFormat="false" ht="15" hidden="false" customHeight="false" outlineLevel="0" collapsed="false">
      <c r="A8422" s="4" t="s">
        <v>489</v>
      </c>
      <c r="B8422" s="36" t="s">
        <v>485</v>
      </c>
      <c r="C8422" s="39" t="n">
        <f aca="false">$C$8392*C8412*C8415+$C$8396*C8413*C8416+$C$8400*C8414*C8417</f>
        <v>551.88772352</v>
      </c>
      <c r="D8422" s="39" t="n">
        <f aca="false">$C$8392*D8412*D8415+$C$8396*D8413*D8416+$C$8400*D8414*D8417</f>
        <v>1027.17879437302</v>
      </c>
      <c r="E8422" s="39" t="n">
        <f aca="false">$C$8392*E8412*E8415+$C$8396*E8413*E8416+$C$8400*E8414*E8417</f>
        <v>955.897577210165</v>
      </c>
      <c r="F8422" s="39" t="n">
        <f aca="false">$C$8392*F8412*F8415+$C$8396*F8413*F8416+$C$8400*F8414*F8417</f>
        <v>889.562930155704</v>
      </c>
      <c r="G8422" s="39" t="n">
        <f aca="false">$C$8392*G8412*G8415+$C$8396*G8413*G8416+$C$8400*G8414*G8417</f>
        <v>1217.55564</v>
      </c>
      <c r="H8422" s="39" t="n">
        <f aca="false">$C$8392*H8412*H8415+$C$8396*H8413*H8416+$C$8400*H8414*H8417</f>
        <v>1495.74229384257</v>
      </c>
      <c r="I8422" s="39" t="n">
        <f aca="false">$C$8392*I8412*I8415+$C$8396*I8413*I8416+$C$8400*I8414*I8417</f>
        <v>2676.33188629442</v>
      </c>
      <c r="J8422" s="39" t="n">
        <f aca="false">$C$8392*J8412*J8415+$C$8396*J8413*J8416+$C$8400*J8414*J8417</f>
        <v>3685.86409192847</v>
      </c>
      <c r="K8422" s="39" t="n">
        <f aca="false">$C$8392*K8412*K8415+$C$8396*K8413*K8416+$C$8400*K8414*K8417</f>
        <v>3430.08303393858</v>
      </c>
      <c r="L8422" s="39" t="n">
        <f aca="false">$C$8392*L8412*L8415+$C$8396*L8413*L8416+$C$8400*L8414*L8417</f>
        <v>3192.05193850692</v>
      </c>
      <c r="M8422" s="39" t="n">
        <f aca="false">$C$8392*M8412*M8415+$C$8396*M8413*M8416+$C$8400*M8414*M8417</f>
        <v>2970.53904448081</v>
      </c>
      <c r="N8422" s="39" t="n">
        <f aca="false">$C$8392*N8412*N8415+$C$8396*N8413*N8416+$C$8400*N8414*N8417</f>
        <v>2764.39806894635</v>
      </c>
      <c r="P8422" s="40"/>
      <c r="Q8422" s="40"/>
      <c r="R8422" s="40"/>
      <c r="S8422" s="41"/>
    </row>
    <row r="8423" customFormat="false" ht="15" hidden="false" customHeight="false" outlineLevel="0" collapsed="false">
      <c r="A8423" s="4" t="s">
        <v>490</v>
      </c>
      <c r="B8423" s="36" t="s">
        <v>491</v>
      </c>
      <c r="C8423" s="48" t="n">
        <f aca="false">$C$8404*Assumptions!$E$20*C8411*C8422</f>
        <v>6.62265268224</v>
      </c>
      <c r="D8423" s="48" t="n">
        <f aca="false">$C$8404*Assumptions!$E$20*D8411*D8422</f>
        <v>12.3261455324762</v>
      </c>
      <c r="E8423" s="48" t="n">
        <f aca="false">$C$8404*Assumptions!$E$20*E8411*E8422</f>
        <v>11.470770926522</v>
      </c>
      <c r="F8423" s="48" t="n">
        <f aca="false">$C$8404*Assumptions!$E$20*F8411*F8422</f>
        <v>10.6747551618685</v>
      </c>
      <c r="G8423" s="48" t="n">
        <f aca="false">$C$8404*Assumptions!$E$20*G8411*G8422</f>
        <v>14.61066768</v>
      </c>
      <c r="H8423" s="48" t="n">
        <f aca="false">$C$8404*Assumptions!$E$20*H8411*H8422</f>
        <v>17.9489075261109</v>
      </c>
      <c r="I8423" s="48" t="n">
        <f aca="false">$C$8404*Assumptions!$E$20*I8411*I8422</f>
        <v>32.115982635533</v>
      </c>
      <c r="J8423" s="48" t="n">
        <f aca="false">$C$8404*Assumptions!$E$20*J8411*J8422</f>
        <v>44.2303691031417</v>
      </c>
      <c r="K8423" s="48" t="n">
        <f aca="false">$C$8404*Assumptions!$E$20*K8411*K8422</f>
        <v>41.160996407263</v>
      </c>
      <c r="L8423" s="48" t="n">
        <f aca="false">$C$8404*Assumptions!$E$20*L8411*L8422</f>
        <v>38.304623262083</v>
      </c>
      <c r="M8423" s="48" t="n">
        <f aca="false">$C$8404*Assumptions!$E$20*M8411*M8422</f>
        <v>35.6464685337698</v>
      </c>
      <c r="N8423" s="48" t="n">
        <f aca="false">$C$8404*Assumptions!$E$20*N8411*N8422</f>
        <v>33.1727768273562</v>
      </c>
      <c r="P8423" s="49" t="n">
        <f aca="false">SUM(C8423:F8423)</f>
        <v>41.0943243031066</v>
      </c>
      <c r="Q8423" s="49" t="n">
        <f aca="false">SUM(G8423:J8423)</f>
        <v>108.905926944786</v>
      </c>
      <c r="R8423" s="49" t="n">
        <f aca="false">SUM(K8423:N8423)</f>
        <v>148.284865030472</v>
      </c>
      <c r="S8423" s="50" t="n">
        <f aca="false">SUM(P8423:R8423)</f>
        <v>298.285116278364</v>
      </c>
    </row>
    <row r="8424" customFormat="false" ht="15" hidden="false" customHeight="false" outlineLevel="0" collapsed="false">
      <c r="A8424" s="4" t="s">
        <v>492</v>
      </c>
      <c r="B8424" s="36" t="s">
        <v>321</v>
      </c>
      <c r="C8424" s="48" t="n">
        <f aca="false">Assumptions!$D$111</f>
        <v>0</v>
      </c>
      <c r="D8424" s="48" t="n">
        <f aca="false">Assumptions!$E$111</f>
        <v>0</v>
      </c>
      <c r="E8424" s="48" t="n">
        <f aca="false">Assumptions!$F$111</f>
        <v>0</v>
      </c>
      <c r="F8424" s="48" t="n">
        <f aca="false">Assumptions!$G$111</f>
        <v>0</v>
      </c>
      <c r="G8424" s="48" t="n">
        <f aca="false">Assumptions!$H$111</f>
        <v>0</v>
      </c>
      <c r="H8424" s="48" t="n">
        <f aca="false">Assumptions!$I$111</f>
        <v>0</v>
      </c>
      <c r="I8424" s="48" t="n">
        <f aca="false">Assumptions!$J$111</f>
        <v>0</v>
      </c>
      <c r="J8424" s="48" t="n">
        <f aca="false">Assumptions!$K$111</f>
        <v>0</v>
      </c>
      <c r="K8424" s="48" t="n">
        <f aca="false">Assumptions!$L$111</f>
        <v>0</v>
      </c>
      <c r="L8424" s="48" t="n">
        <f aca="false">Assumptions!$M$111</f>
        <v>0</v>
      </c>
      <c r="M8424" s="48" t="n">
        <f aca="false">Assumptions!$N$111</f>
        <v>0</v>
      </c>
      <c r="N8424" s="48" t="n">
        <f aca="false">Assumptions!$O$111</f>
        <v>0</v>
      </c>
      <c r="P8424" s="49" t="n">
        <f aca="false">F8424</f>
        <v>0</v>
      </c>
      <c r="Q8424" s="49" t="n">
        <f aca="false">J8424</f>
        <v>0</v>
      </c>
      <c r="R8424" s="49" t="n">
        <f aca="false">N8424</f>
        <v>0</v>
      </c>
      <c r="S8424" s="50" t="n">
        <f aca="false">R8424</f>
        <v>0</v>
      </c>
    </row>
    <row r="8425" customFormat="false" ht="15" hidden="false" customHeight="false" outlineLevel="0" collapsed="false">
      <c r="A8425" s="4" t="s">
        <v>493</v>
      </c>
      <c r="B8425" s="36" t="s">
        <v>321</v>
      </c>
      <c r="C8425" s="48" t="n">
        <f aca="false">0</f>
        <v>0</v>
      </c>
      <c r="D8425" s="48" t="n">
        <f aca="false">0.5*C8424</f>
        <v>0</v>
      </c>
      <c r="E8425" s="48" t="n">
        <f aca="false">C8424+0.5*(D8424-C8424)</f>
        <v>0</v>
      </c>
      <c r="F8425" s="48" t="n">
        <f aca="false">D8424+0.5*(E8424-D8424)</f>
        <v>0</v>
      </c>
      <c r="G8425" s="48" t="n">
        <f aca="false">E8424+0.5*(F8424-E8424)</f>
        <v>0</v>
      </c>
      <c r="H8425" s="48" t="n">
        <f aca="false">F8424+0.5*(G8424-F8424)</f>
        <v>0</v>
      </c>
      <c r="I8425" s="48" t="n">
        <f aca="false">G8424+0.5*(H8424-G8424)</f>
        <v>0</v>
      </c>
      <c r="J8425" s="48" t="n">
        <f aca="false">H8424+0.5*(I8424-H8424)</f>
        <v>0</v>
      </c>
      <c r="K8425" s="48" t="n">
        <f aca="false">I8424+0.5*(J8424-I8424)</f>
        <v>0</v>
      </c>
      <c r="L8425" s="48" t="n">
        <f aca="false">J8424+0.5*(K8424-J8424)</f>
        <v>0</v>
      </c>
      <c r="M8425" s="48" t="n">
        <f aca="false">K8424+0.5*(L8424-K8424)</f>
        <v>0</v>
      </c>
      <c r="N8425" s="48" t="n">
        <f aca="false">L8424+0.5*(M8424-L8424)</f>
        <v>0</v>
      </c>
      <c r="P8425" s="49" t="n">
        <f aca="false">F8425</f>
        <v>0</v>
      </c>
      <c r="Q8425" s="49" t="n">
        <f aca="false">J8425</f>
        <v>0</v>
      </c>
      <c r="R8425" s="49" t="n">
        <f aca="false">N8425</f>
        <v>0</v>
      </c>
      <c r="S8425" s="50" t="n">
        <f aca="false">R8425</f>
        <v>0</v>
      </c>
    </row>
    <row r="8426" customFormat="false" ht="15" hidden="false" customHeight="false" outlineLevel="0" collapsed="false">
      <c r="A8426" s="4" t="s">
        <v>494</v>
      </c>
      <c r="B8426" s="36" t="s">
        <v>485</v>
      </c>
      <c r="C8426" s="39" t="n">
        <f aca="false">MIN(C8425*Assumptions!$E$38,C8421*(1-$C$8404))</f>
        <v>0</v>
      </c>
      <c r="D8426" s="39" t="n">
        <f aca="false">MIN(D8425*Assumptions!$E$38,D8421*(1-$C$8404))</f>
        <v>0</v>
      </c>
      <c r="E8426" s="39" t="n">
        <f aca="false">MIN(E8425*Assumptions!$E$38,E8421*(1-$C$8404))</f>
        <v>0</v>
      </c>
      <c r="F8426" s="39" t="n">
        <f aca="false">MIN(F8425*Assumptions!$E$38,F8421*(1-$C$8404))</f>
        <v>0</v>
      </c>
      <c r="G8426" s="39" t="n">
        <f aca="false">MIN(G8425*Assumptions!$E$38,G8421*(1-$C$8404))</f>
        <v>0</v>
      </c>
      <c r="H8426" s="39" t="n">
        <f aca="false">MIN(H8425*Assumptions!$E$38,H8421*(1-$C$8404))</f>
        <v>0</v>
      </c>
      <c r="I8426" s="39" t="n">
        <f aca="false">MIN(I8425*Assumptions!$E$38,I8421*(1-$C$8404))</f>
        <v>0</v>
      </c>
      <c r="J8426" s="39" t="n">
        <f aca="false">MIN(J8425*Assumptions!$E$38,J8421*(1-$C$8404))</f>
        <v>0</v>
      </c>
      <c r="K8426" s="39" t="n">
        <f aca="false">MIN(K8425*Assumptions!$E$38,K8421*(1-$C$8404))</f>
        <v>0</v>
      </c>
      <c r="L8426" s="39" t="n">
        <f aca="false">MIN(L8425*Assumptions!$E$38,L8421*(1-$C$8404))</f>
        <v>0</v>
      </c>
      <c r="M8426" s="39" t="n">
        <f aca="false">MIN(M8425*Assumptions!$E$38,M8421*(1-$C$8404))</f>
        <v>0</v>
      </c>
      <c r="N8426" s="39" t="n">
        <f aca="false">MIN(N8425*Assumptions!$E$38,N8421*(1-$C$8404))</f>
        <v>0</v>
      </c>
      <c r="P8426" s="40" t="n">
        <f aca="false">SUM(C8426:F8426)</f>
        <v>0</v>
      </c>
      <c r="Q8426" s="40" t="n">
        <f aca="false">SUM(G8426:J8426)</f>
        <v>0</v>
      </c>
      <c r="R8426" s="40" t="n">
        <f aca="false">SUM(K8426:N8426)</f>
        <v>0</v>
      </c>
      <c r="S8426" s="41" t="n">
        <f aca="false">SUM(P8426:R8426)</f>
        <v>0</v>
      </c>
    </row>
    <row r="8427" customFormat="false" ht="15" hidden="false" customHeight="false" outlineLevel="0" collapsed="false">
      <c r="A8427" s="4" t="s">
        <v>495</v>
      </c>
      <c r="B8427" s="36" t="s">
        <v>491</v>
      </c>
      <c r="C8427" s="48" t="n">
        <f aca="false">C8426*Assumptions!$E$20*Assumptions!$E$39*IF(C8421&gt;0,C8422/C8421,0)*C8411</f>
        <v>0</v>
      </c>
      <c r="D8427" s="48" t="n">
        <f aca="false">D8426*Assumptions!$E$20*Assumptions!$E$39*IF(D8421&gt;0,D8422/D8421,0)*D8411</f>
        <v>0</v>
      </c>
      <c r="E8427" s="48" t="n">
        <f aca="false">E8426*Assumptions!$E$20*Assumptions!$E$39*IF(E8421&gt;0,E8422/E8421,0)*E8411</f>
        <v>0</v>
      </c>
      <c r="F8427" s="48" t="n">
        <f aca="false">F8426*Assumptions!$E$20*Assumptions!$E$39*IF(F8421&gt;0,F8422/F8421,0)*F8411</f>
        <v>0</v>
      </c>
      <c r="G8427" s="48" t="n">
        <f aca="false">G8426*Assumptions!$E$20*Assumptions!$E$39*IF(G8421&gt;0,G8422/G8421,0)*G8411</f>
        <v>0</v>
      </c>
      <c r="H8427" s="48" t="n">
        <f aca="false">H8426*Assumptions!$E$20*Assumptions!$E$39*IF(H8421&gt;0,H8422/H8421,0)*H8411</f>
        <v>0</v>
      </c>
      <c r="I8427" s="48" t="n">
        <f aca="false">I8426*Assumptions!$E$20*Assumptions!$E$39*IF(I8421&gt;0,I8422/I8421,0)*I8411</f>
        <v>0</v>
      </c>
      <c r="J8427" s="48" t="n">
        <f aca="false">J8426*Assumptions!$E$20*Assumptions!$E$39*IF(J8421&gt;0,J8422/J8421,0)*J8411</f>
        <v>0</v>
      </c>
      <c r="K8427" s="48" t="n">
        <f aca="false">K8426*Assumptions!$E$20*Assumptions!$E$39*IF(K8421&gt;0,K8422/K8421,0)*K8411</f>
        <v>0</v>
      </c>
      <c r="L8427" s="48" t="n">
        <f aca="false">L8426*Assumptions!$E$20*Assumptions!$E$39*IF(L8421&gt;0,L8422/L8421,0)*L8411</f>
        <v>0</v>
      </c>
      <c r="M8427" s="48" t="n">
        <f aca="false">M8426*Assumptions!$E$20*Assumptions!$E$39*IF(M8421&gt;0,M8422/M8421,0)*M8411</f>
        <v>0</v>
      </c>
      <c r="N8427" s="48" t="n">
        <f aca="false">N8426*Assumptions!$E$20*Assumptions!$E$39*IF(N8421&gt;0,N8422/N8421,0)*N8411</f>
        <v>0</v>
      </c>
      <c r="P8427" s="49" t="n">
        <f aca="false">SUM(C8427:F8427)</f>
        <v>0</v>
      </c>
      <c r="Q8427" s="49" t="n">
        <f aca="false">SUM(G8427:J8427)</f>
        <v>0</v>
      </c>
      <c r="R8427" s="49" t="n">
        <f aca="false">SUM(K8427:N8427)</f>
        <v>0</v>
      </c>
      <c r="S8427" s="50" t="n">
        <f aca="false">SUM(P8427:R8427)</f>
        <v>0</v>
      </c>
    </row>
    <row r="8428" customFormat="false" ht="15" hidden="false" customHeight="false" outlineLevel="0" collapsed="false">
      <c r="A8428" s="4" t="s">
        <v>496</v>
      </c>
      <c r="B8428" s="36" t="s">
        <v>497</v>
      </c>
      <c r="C8428" s="48" t="n">
        <f aca="false">IF(AND(C8421&gt;0,$C$8408&gt;0),C8421*Assumptions!$E$24*(1-EXP(-$C$8408/(Assumptions!$E$23*C8421*Assumptions!$E$24))),0)</f>
        <v>0</v>
      </c>
      <c r="D8428" s="48" t="n">
        <f aca="false">IF(AND(D8421&gt;0,$C$8408&gt;0),D8421*Assumptions!$E$24*(1-EXP(-$C$8408/(Assumptions!$E$23*D8421*Assumptions!$E$24))),0)</f>
        <v>0</v>
      </c>
      <c r="E8428" s="48" t="n">
        <f aca="false">IF(AND(E8421&gt;0,$C$8408&gt;0),E8421*Assumptions!$E$24*(1-EXP(-$C$8408/(Assumptions!$E$23*E8421*Assumptions!$E$24))),0)</f>
        <v>0</v>
      </c>
      <c r="F8428" s="48" t="n">
        <f aca="false">IF(AND(F8421&gt;0,$C$8408&gt;0),F8421*Assumptions!$E$24*(1-EXP(-$C$8408/(Assumptions!$E$23*F8421*Assumptions!$E$24))),0)</f>
        <v>0</v>
      </c>
      <c r="G8428" s="48" t="n">
        <f aca="false">IF(AND(G8421&gt;0,$C$8408&gt;0),G8421*Assumptions!$E$24*(1-EXP(-$C$8408/(Assumptions!$E$23*G8421*Assumptions!$E$24))),0)</f>
        <v>0</v>
      </c>
      <c r="H8428" s="48" t="n">
        <f aca="false">IF(AND(H8421&gt;0,$C$8408&gt;0),H8421*Assumptions!$E$24*(1-EXP(-$C$8408/(Assumptions!$E$23*H8421*Assumptions!$E$24))),0)</f>
        <v>0</v>
      </c>
      <c r="I8428" s="48" t="n">
        <f aca="false">IF(AND(I8421&gt;0,$C$8408&gt;0),I8421*Assumptions!$E$24*(1-EXP(-$C$8408/(Assumptions!$E$23*I8421*Assumptions!$E$24))),0)</f>
        <v>0</v>
      </c>
      <c r="J8428" s="48" t="n">
        <f aca="false">IF(AND(J8421&gt;0,$C$8408&gt;0),J8421*Assumptions!$E$24*(1-EXP(-$C$8408/(Assumptions!$E$23*J8421*Assumptions!$E$24))),0)</f>
        <v>0</v>
      </c>
      <c r="K8428" s="48" t="n">
        <f aca="false">IF(AND(K8421&gt;0,$C$8408&gt;0),K8421*Assumptions!$E$24*(1-EXP(-$C$8408/(Assumptions!$E$23*K8421*Assumptions!$E$24))),0)</f>
        <v>0</v>
      </c>
      <c r="L8428" s="48" t="n">
        <f aca="false">IF(AND(L8421&gt;0,$C$8408&gt;0),L8421*Assumptions!$E$24*(1-EXP(-$C$8408/(Assumptions!$E$23*L8421*Assumptions!$E$24))),0)</f>
        <v>0</v>
      </c>
      <c r="M8428" s="48" t="n">
        <f aca="false">IF(AND(M8421&gt;0,$C$8408&gt;0),M8421*Assumptions!$E$24*(1-EXP(-$C$8408/(Assumptions!$E$23*M8421*Assumptions!$E$24))),0)</f>
        <v>0</v>
      </c>
      <c r="N8428" s="48" t="n">
        <f aca="false">IF(AND(N8421&gt;0,$C$8408&gt;0),N8421*Assumptions!$E$24*(1-EXP(-$C$8408/(Assumptions!$E$23*N8421*Assumptions!$E$24))),0)</f>
        <v>0</v>
      </c>
      <c r="P8428" s="49" t="n">
        <f aca="false">SUM(C8428:F8428)</f>
        <v>0</v>
      </c>
      <c r="Q8428" s="49" t="n">
        <f aca="false">SUM(G8428:J8428)</f>
        <v>0</v>
      </c>
      <c r="R8428" s="49" t="n">
        <f aca="false">SUM(K8428:N8428)</f>
        <v>0</v>
      </c>
      <c r="S8428" s="50" t="n">
        <f aca="false">SUM(P8428:R8428)</f>
        <v>0</v>
      </c>
    </row>
    <row r="8429" customFormat="false" ht="15" hidden="false" customHeight="false" outlineLevel="0" collapsed="false">
      <c r="A8429" s="4" t="s">
        <v>498</v>
      </c>
      <c r="B8429" s="36" t="s">
        <v>497</v>
      </c>
      <c r="C8429" s="48" t="n">
        <f aca="false">(C8421*Assumptions!$E$22*MIN(1,Assumptions!$D$103/Assumptions!$E$78)+C8428)*C8411</f>
        <v>5.5188772352</v>
      </c>
      <c r="D8429" s="48" t="n">
        <f aca="false">(D8421*Assumptions!$E$22*MIN(1,Assumptions!$D$103/Assumptions!$E$78)+D8428)*D8411</f>
        <v>11.0377544704</v>
      </c>
      <c r="E8429" s="48" t="n">
        <f aca="false">(E8421*Assumptions!$E$22*MIN(1,Assumptions!$D$103/Assumptions!$E$78)+E8428)*E8411</f>
        <v>11.0377544704</v>
      </c>
      <c r="F8429" s="48" t="n">
        <f aca="false">(F8421*Assumptions!$E$22*MIN(1,Assumptions!$D$103/Assumptions!$E$78)+F8428)*F8411</f>
        <v>11.0377544704</v>
      </c>
      <c r="G8429" s="48" t="n">
        <f aca="false">(G8421*Assumptions!$E$22*MIN(1,Assumptions!$D$103/Assumptions!$E$78)+G8428)*G8411</f>
        <v>14.9349950176</v>
      </c>
      <c r="H8429" s="48" t="n">
        <f aca="false">(H8421*Assumptions!$E$22*MIN(1,Assumptions!$D$103/Assumptions!$E$78)+H8428)*H8411</f>
        <v>18.8322355648</v>
      </c>
      <c r="I8429" s="48" t="n">
        <f aca="false">(I8421*Assumptions!$E$22*MIN(1,Assumptions!$D$103/Assumptions!$E$78)+I8428)*I8411</f>
        <v>31.6761039616</v>
      </c>
      <c r="J8429" s="48" t="n">
        <f aca="false">(J8421*Assumptions!$E$22*MIN(1,Assumptions!$D$103/Assumptions!$E$78)+J8428)*J8411</f>
        <v>44.5199723584</v>
      </c>
      <c r="K8429" s="48" t="n">
        <f aca="false">(K8421*Assumptions!$E$22*MIN(1,Assumptions!$D$103/Assumptions!$E$78)+K8428)*K8411</f>
        <v>44.5199723584</v>
      </c>
      <c r="L8429" s="48" t="n">
        <f aca="false">(L8421*Assumptions!$E$22*MIN(1,Assumptions!$D$103/Assumptions!$E$78)+L8428)*L8411</f>
        <v>44.5199723584</v>
      </c>
      <c r="M8429" s="48" t="n">
        <f aca="false">(M8421*Assumptions!$E$22*MIN(1,Assumptions!$D$103/Assumptions!$E$78)+M8428)*M8411</f>
        <v>44.5199723584</v>
      </c>
      <c r="N8429" s="48" t="n">
        <f aca="false">(N8421*Assumptions!$E$22*MIN(1,Assumptions!$D$103/Assumptions!$E$78)+N8428)*N8411</f>
        <v>44.5199723584</v>
      </c>
      <c r="P8429" s="49" t="n">
        <f aca="false">SUM(C8429:F8429)</f>
        <v>38.6321406464</v>
      </c>
      <c r="Q8429" s="49" t="n">
        <f aca="false">SUM(G8429:J8429)</f>
        <v>109.9633069024</v>
      </c>
      <c r="R8429" s="49" t="n">
        <f aca="false">SUM(K8429:N8429)</f>
        <v>178.0798894336</v>
      </c>
      <c r="S8429" s="50" t="n">
        <f aca="false">SUM(P8429:R8429)</f>
        <v>326.6753369824</v>
      </c>
    </row>
    <row r="8430" customFormat="false" ht="15" hidden="false" customHeight="false" outlineLevel="0" collapsed="false">
      <c r="A8430" s="4" t="s">
        <v>499</v>
      </c>
      <c r="B8430" s="36" t="s">
        <v>500</v>
      </c>
      <c r="C8430" s="48" t="n">
        <f aca="false">C8411*MIN(Assumptions!$E$27,Assumptions!$E$25+Assumptions!$E$26*(C8410-1))*Assumptions!$D$107</f>
        <v>2</v>
      </c>
      <c r="D8430" s="48" t="n">
        <f aca="false">D8411*MIN(Assumptions!$E$27,Assumptions!$E$25+Assumptions!$E$26*(D8410-1))*Assumptions!$D$107</f>
        <v>3</v>
      </c>
      <c r="E8430" s="48" t="n">
        <f aca="false">E8411*MIN(Assumptions!$E$27,Assumptions!$E$25+Assumptions!$E$26*(E8410-1))*Assumptions!$D$107</f>
        <v>4</v>
      </c>
      <c r="F8430" s="48" t="n">
        <f aca="false">F8411*MIN(Assumptions!$E$27,Assumptions!$E$25+Assumptions!$E$26*(F8410-1))*Assumptions!$D$107</f>
        <v>5</v>
      </c>
      <c r="G8430" s="48" t="n">
        <f aca="false">G8411*MIN(Assumptions!$E$27,Assumptions!$E$25+Assumptions!$E$26*(G8410-1))*Assumptions!$D$107</f>
        <v>6</v>
      </c>
      <c r="H8430" s="48" t="n">
        <f aca="false">H8411*MIN(Assumptions!$E$27,Assumptions!$E$25+Assumptions!$E$26*(H8410-1))*Assumptions!$D$107</f>
        <v>7</v>
      </c>
      <c r="I8430" s="48" t="n">
        <f aca="false">I8411*MIN(Assumptions!$E$27,Assumptions!$E$25+Assumptions!$E$26*(I8410-1))*Assumptions!$D$107</f>
        <v>8</v>
      </c>
      <c r="J8430" s="48" t="n">
        <f aca="false">J8411*MIN(Assumptions!$E$27,Assumptions!$E$25+Assumptions!$E$26*(J8410-1))*Assumptions!$D$107</f>
        <v>9</v>
      </c>
      <c r="K8430" s="48" t="n">
        <f aca="false">K8411*MIN(Assumptions!$E$27,Assumptions!$E$25+Assumptions!$E$26*(K8410-1))*Assumptions!$D$107</f>
        <v>10</v>
      </c>
      <c r="L8430" s="48" t="n">
        <f aca="false">L8411*MIN(Assumptions!$E$27,Assumptions!$E$25+Assumptions!$E$26*(L8410-1))*Assumptions!$D$107</f>
        <v>10</v>
      </c>
      <c r="M8430" s="48" t="n">
        <f aca="false">M8411*MIN(Assumptions!$E$27,Assumptions!$E$25+Assumptions!$E$26*(M8410-1))*Assumptions!$D$107</f>
        <v>10</v>
      </c>
      <c r="N8430" s="48" t="n">
        <f aca="false">N8411*MIN(Assumptions!$E$27,Assumptions!$E$25+Assumptions!$E$26*(N8410-1))*Assumptions!$D$107</f>
        <v>10</v>
      </c>
      <c r="P8430" s="49" t="n">
        <f aca="false">F8430</f>
        <v>5</v>
      </c>
      <c r="Q8430" s="49" t="n">
        <f aca="false">J8430</f>
        <v>9</v>
      </c>
      <c r="R8430" s="49" t="n">
        <f aca="false">N8430</f>
        <v>10</v>
      </c>
      <c r="S8430" s="50" t="n">
        <f aca="false">R8430</f>
        <v>10</v>
      </c>
    </row>
    <row r="8431" customFormat="false" ht="15" hidden="false" customHeight="false" outlineLevel="0" collapsed="false">
      <c r="A8431" s="4" t="s">
        <v>501</v>
      </c>
      <c r="B8431" s="36" t="s">
        <v>502</v>
      </c>
      <c r="C8431" s="48" t="n">
        <f aca="false">C8430*Assumptions!$E$28</f>
        <v>6</v>
      </c>
      <c r="D8431" s="48" t="n">
        <f aca="false">D8430*Assumptions!$E$28</f>
        <v>9</v>
      </c>
      <c r="E8431" s="48" t="n">
        <f aca="false">E8430*Assumptions!$E$28</f>
        <v>12</v>
      </c>
      <c r="F8431" s="48" t="n">
        <f aca="false">F8430*Assumptions!$E$28</f>
        <v>15</v>
      </c>
      <c r="G8431" s="48" t="n">
        <f aca="false">G8430*Assumptions!$E$28</f>
        <v>18</v>
      </c>
      <c r="H8431" s="48" t="n">
        <f aca="false">H8430*Assumptions!$E$28</f>
        <v>21</v>
      </c>
      <c r="I8431" s="48" t="n">
        <f aca="false">I8430*Assumptions!$E$28</f>
        <v>24</v>
      </c>
      <c r="J8431" s="48" t="n">
        <f aca="false">J8430*Assumptions!$E$28</f>
        <v>27</v>
      </c>
      <c r="K8431" s="48" t="n">
        <f aca="false">K8430*Assumptions!$E$28</f>
        <v>30</v>
      </c>
      <c r="L8431" s="48" t="n">
        <f aca="false">L8430*Assumptions!$E$28</f>
        <v>30</v>
      </c>
      <c r="M8431" s="48" t="n">
        <f aca="false">M8430*Assumptions!$E$28</f>
        <v>30</v>
      </c>
      <c r="N8431" s="48" t="n">
        <f aca="false">N8430*Assumptions!$E$28</f>
        <v>30</v>
      </c>
      <c r="P8431" s="49" t="n">
        <f aca="false">SUM(C8431:F8431)</f>
        <v>42</v>
      </c>
      <c r="Q8431" s="49" t="n">
        <f aca="false">SUM(G8431:J8431)</f>
        <v>90</v>
      </c>
      <c r="R8431" s="49" t="n">
        <f aca="false">SUM(K8431:N8431)</f>
        <v>120</v>
      </c>
      <c r="S8431" s="50" t="n">
        <f aca="false">SUM(P8431:R8431)</f>
        <v>252</v>
      </c>
    </row>
    <row r="8432" customFormat="false" ht="15" hidden="false" customHeight="false" outlineLevel="0" collapsed="false">
      <c r="A8432" s="4" t="s">
        <v>503</v>
      </c>
      <c r="B8432" s="36" t="s">
        <v>504</v>
      </c>
      <c r="C8432" s="48" t="n">
        <f aca="false">(C8423+C8427)*Assumptions!$E$29</f>
        <v>2.649061072896</v>
      </c>
      <c r="D8432" s="48" t="n">
        <f aca="false">(D8423+D8427)*Assumptions!$E$29</f>
        <v>4.93045821299048</v>
      </c>
      <c r="E8432" s="48" t="n">
        <f aca="false">(E8423+E8427)*Assumptions!$E$29</f>
        <v>4.58830837060879</v>
      </c>
      <c r="F8432" s="48" t="n">
        <f aca="false">(F8423+F8427)*Assumptions!$E$29</f>
        <v>4.26990206474738</v>
      </c>
      <c r="G8432" s="48" t="n">
        <f aca="false">(G8423+G8427)*Assumptions!$E$29</f>
        <v>5.844267072</v>
      </c>
      <c r="H8432" s="48" t="n">
        <f aca="false">(H8423+H8427)*Assumptions!$E$29</f>
        <v>7.17956301044434</v>
      </c>
      <c r="I8432" s="48" t="n">
        <f aca="false">(I8423+I8427)*Assumptions!$E$29</f>
        <v>12.8463930542132</v>
      </c>
      <c r="J8432" s="48" t="n">
        <f aca="false">(J8423+J8427)*Assumptions!$E$29</f>
        <v>17.6921476412567</v>
      </c>
      <c r="K8432" s="48" t="n">
        <f aca="false">(K8423+K8427)*Assumptions!$E$29</f>
        <v>16.4643985629052</v>
      </c>
      <c r="L8432" s="48" t="n">
        <f aca="false">(L8423+L8427)*Assumptions!$E$29</f>
        <v>15.3218493048332</v>
      </c>
      <c r="M8432" s="48" t="n">
        <f aca="false">(M8423+M8427)*Assumptions!$E$29</f>
        <v>14.2585874135079</v>
      </c>
      <c r="N8432" s="48" t="n">
        <f aca="false">(N8423+N8427)*Assumptions!$E$29</f>
        <v>13.2691107309425</v>
      </c>
      <c r="P8432" s="49" t="n">
        <f aca="false">SUM(C8432:F8432)</f>
        <v>16.4377297212427</v>
      </c>
      <c r="Q8432" s="49" t="n">
        <f aca="false">SUM(G8432:J8432)</f>
        <v>43.5623707779142</v>
      </c>
      <c r="R8432" s="49" t="n">
        <f aca="false">SUM(K8432:N8432)</f>
        <v>59.3139460121888</v>
      </c>
      <c r="S8432" s="50" t="n">
        <f aca="false">SUM(P8432:R8432)</f>
        <v>119.314046511346</v>
      </c>
    </row>
    <row r="8433" customFormat="false" ht="15" hidden="false" customHeight="false" outlineLevel="0" collapsed="false">
      <c r="A8433" s="4" t="s">
        <v>505</v>
      </c>
      <c r="B8433" s="36" t="s">
        <v>504</v>
      </c>
      <c r="C8433" s="48" t="n">
        <f aca="false">C8429*Assumptions!$E$31</f>
        <v>0.883020357632</v>
      </c>
      <c r="D8433" s="48" t="n">
        <f aca="false">D8429*Assumptions!$E$31</f>
        <v>1.766040715264</v>
      </c>
      <c r="E8433" s="48" t="n">
        <f aca="false">E8429*Assumptions!$E$31</f>
        <v>1.766040715264</v>
      </c>
      <c r="F8433" s="48" t="n">
        <f aca="false">F8429*Assumptions!$E$31</f>
        <v>1.766040715264</v>
      </c>
      <c r="G8433" s="48" t="n">
        <f aca="false">G8429*Assumptions!$E$31</f>
        <v>2.389599202816</v>
      </c>
      <c r="H8433" s="48" t="n">
        <f aca="false">H8429*Assumptions!$E$31</f>
        <v>3.013157690368</v>
      </c>
      <c r="I8433" s="48" t="n">
        <f aca="false">I8429*Assumptions!$E$31</f>
        <v>5.068176633856</v>
      </c>
      <c r="J8433" s="48" t="n">
        <f aca="false">J8429*Assumptions!$E$31</f>
        <v>7.123195577344</v>
      </c>
      <c r="K8433" s="48" t="n">
        <f aca="false">K8429*Assumptions!$E$31</f>
        <v>7.123195577344</v>
      </c>
      <c r="L8433" s="48" t="n">
        <f aca="false">L8429*Assumptions!$E$31</f>
        <v>7.123195577344</v>
      </c>
      <c r="M8433" s="48" t="n">
        <f aca="false">M8429*Assumptions!$E$31</f>
        <v>7.123195577344</v>
      </c>
      <c r="N8433" s="48" t="n">
        <f aca="false">N8429*Assumptions!$E$31</f>
        <v>7.123195577344</v>
      </c>
      <c r="P8433" s="49" t="n">
        <f aca="false">SUM(C8433:F8433)</f>
        <v>6.181142503424</v>
      </c>
      <c r="Q8433" s="49" t="n">
        <f aca="false">SUM(G8433:J8433)</f>
        <v>17.594129104384</v>
      </c>
      <c r="R8433" s="49" t="n">
        <f aca="false">SUM(K8433:N8433)</f>
        <v>28.492782309376</v>
      </c>
      <c r="S8433" s="50" t="n">
        <f aca="false">SUM(P8433:R8433)</f>
        <v>52.268053917184</v>
      </c>
    </row>
    <row r="8434" customFormat="false" ht="15" hidden="false" customHeight="false" outlineLevel="0" collapsed="false">
      <c r="A8434" s="4" t="s">
        <v>506</v>
      </c>
      <c r="B8434" s="36" t="s">
        <v>504</v>
      </c>
      <c r="C8434" s="48" t="n">
        <f aca="false">C8431*Assumptions!$E$30</f>
        <v>3</v>
      </c>
      <c r="D8434" s="48" t="n">
        <f aca="false">D8431*Assumptions!$E$30</f>
        <v>4.5</v>
      </c>
      <c r="E8434" s="48" t="n">
        <f aca="false">E8431*Assumptions!$E$30</f>
        <v>6</v>
      </c>
      <c r="F8434" s="48" t="n">
        <f aca="false">F8431*Assumptions!$E$30</f>
        <v>7.5</v>
      </c>
      <c r="G8434" s="48" t="n">
        <f aca="false">G8431*Assumptions!$E$30</f>
        <v>9</v>
      </c>
      <c r="H8434" s="48" t="n">
        <f aca="false">H8431*Assumptions!$E$30</f>
        <v>10.5</v>
      </c>
      <c r="I8434" s="48" t="n">
        <f aca="false">I8431*Assumptions!$E$30</f>
        <v>12</v>
      </c>
      <c r="J8434" s="48" t="n">
        <f aca="false">J8431*Assumptions!$E$30</f>
        <v>13.5</v>
      </c>
      <c r="K8434" s="48" t="n">
        <f aca="false">K8431*Assumptions!$E$30</f>
        <v>15</v>
      </c>
      <c r="L8434" s="48" t="n">
        <f aca="false">L8431*Assumptions!$E$30</f>
        <v>15</v>
      </c>
      <c r="M8434" s="48" t="n">
        <f aca="false">M8431*Assumptions!$E$30</f>
        <v>15</v>
      </c>
      <c r="N8434" s="48" t="n">
        <f aca="false">N8431*Assumptions!$E$30</f>
        <v>15</v>
      </c>
      <c r="P8434" s="49" t="n">
        <f aca="false">SUM(C8434:F8434)</f>
        <v>21</v>
      </c>
      <c r="Q8434" s="49" t="n">
        <f aca="false">SUM(G8434:J8434)</f>
        <v>45</v>
      </c>
      <c r="R8434" s="49" t="n">
        <f aca="false">SUM(K8434:N8434)</f>
        <v>60</v>
      </c>
      <c r="S8434" s="50" t="n">
        <f aca="false">SUM(P8434:R8434)</f>
        <v>126</v>
      </c>
    </row>
    <row r="8435" customFormat="false" ht="15" hidden="false" customHeight="false" outlineLevel="0" collapsed="false">
      <c r="A8435" s="9" t="s">
        <v>507</v>
      </c>
      <c r="B8435" s="36" t="s">
        <v>504</v>
      </c>
      <c r="C8435" s="49" t="n">
        <f aca="false">C8432+C8433+C8434</f>
        <v>6.532081430528</v>
      </c>
      <c r="D8435" s="49" t="n">
        <f aca="false">D8432+D8433+D8434</f>
        <v>11.1964989282545</v>
      </c>
      <c r="E8435" s="49" t="n">
        <f aca="false">E8432+E8433+E8434</f>
        <v>12.3543490858728</v>
      </c>
      <c r="F8435" s="49" t="n">
        <f aca="false">F8432+F8433+F8434</f>
        <v>13.5359427800114</v>
      </c>
      <c r="G8435" s="49" t="n">
        <f aca="false">G8432+G8433+G8434</f>
        <v>17.233866274816</v>
      </c>
      <c r="H8435" s="49" t="n">
        <f aca="false">H8432+H8433+H8434</f>
        <v>20.6927207008123</v>
      </c>
      <c r="I8435" s="49" t="n">
        <f aca="false">I8432+I8433+I8434</f>
        <v>29.9145696880692</v>
      </c>
      <c r="J8435" s="49" t="n">
        <f aca="false">J8432+J8433+J8434</f>
        <v>38.3153432186007</v>
      </c>
      <c r="K8435" s="49" t="n">
        <f aca="false">K8432+K8433+K8434</f>
        <v>38.5875941402492</v>
      </c>
      <c r="L8435" s="49" t="n">
        <f aca="false">L8432+L8433+L8434</f>
        <v>37.4450448821772</v>
      </c>
      <c r="M8435" s="49" t="n">
        <f aca="false">M8432+M8433+M8434</f>
        <v>36.3817829908519</v>
      </c>
      <c r="N8435" s="49" t="n">
        <f aca="false">N8432+N8433+N8434</f>
        <v>35.3923063082865</v>
      </c>
      <c r="P8435" s="49" t="n">
        <f aca="false">SUM(C8435:F8435)</f>
        <v>43.6188722246667</v>
      </c>
      <c r="Q8435" s="49" t="n">
        <f aca="false">SUM(G8435:J8435)</f>
        <v>106.156499882298</v>
      </c>
      <c r="R8435" s="49" t="n">
        <f aca="false">SUM(K8435:N8435)</f>
        <v>147.806728321565</v>
      </c>
      <c r="S8435" s="50" t="n">
        <f aca="false">SUM(P8435:R8435)</f>
        <v>297.58210042853</v>
      </c>
    </row>
    <row r="8436" customFormat="false" ht="15" hidden="false" customHeight="false" outlineLevel="0" collapsed="false">
      <c r="A8436" s="4" t="s">
        <v>508</v>
      </c>
      <c r="B8436" s="36" t="s">
        <v>509</v>
      </c>
      <c r="C8436" s="48" t="n">
        <f aca="false">C8418</f>
        <v>421.51972352</v>
      </c>
      <c r="D8436" s="48" t="n">
        <f aca="false">D8418</f>
        <v>843.03944704</v>
      </c>
      <c r="E8436" s="48" t="n">
        <f aca="false">E8418</f>
        <v>843.03944704</v>
      </c>
      <c r="F8436" s="48" t="n">
        <f aca="false">F8418</f>
        <v>843.03944704</v>
      </c>
      <c r="G8436" s="48" t="n">
        <f aca="false">G8418</f>
        <v>1149.32798176</v>
      </c>
      <c r="H8436" s="48" t="n">
        <f aca="false">H8418</f>
        <v>1455.61651648</v>
      </c>
      <c r="I8436" s="48" t="n">
        <f aca="false">I8418</f>
        <v>2486.00303616</v>
      </c>
      <c r="J8436" s="48" t="n">
        <f aca="false">J8418</f>
        <v>3516.38955584</v>
      </c>
      <c r="K8436" s="48" t="n">
        <f aca="false">K8418</f>
        <v>3516.38955584</v>
      </c>
      <c r="L8436" s="48" t="n">
        <f aca="false">L8418</f>
        <v>3516.38955584</v>
      </c>
      <c r="M8436" s="48" t="n">
        <f aca="false">M8418</f>
        <v>3516.38955584</v>
      </c>
      <c r="N8436" s="48" t="n">
        <f aca="false">N8418</f>
        <v>3516.38955584</v>
      </c>
      <c r="P8436" s="49"/>
      <c r="Q8436" s="49"/>
      <c r="R8436" s="49"/>
      <c r="S8436" s="50"/>
    </row>
    <row r="8437" customFormat="false" ht="15" hidden="false" customHeight="false" outlineLevel="0" collapsed="false">
      <c r="A8437" s="4" t="s">
        <v>510</v>
      </c>
      <c r="B8437" s="36" t="s">
        <v>509</v>
      </c>
      <c r="C8437" s="48" t="n">
        <f aca="false">C8419*Assumptions!$E$18*Assumptions!$E$33</f>
        <v>211.19616</v>
      </c>
      <c r="D8437" s="48" t="n">
        <f aca="false">D8419*Assumptions!$E$18*Assumptions!$E$33</f>
        <v>422.39232</v>
      </c>
      <c r="E8437" s="48" t="n">
        <f aca="false">E8419*Assumptions!$E$18*Assumptions!$E$33</f>
        <v>422.39232</v>
      </c>
      <c r="F8437" s="48" t="n">
        <f aca="false">F8419*Assumptions!$E$18*Assumptions!$E$33</f>
        <v>422.39232</v>
      </c>
      <c r="G8437" s="48" t="n">
        <f aca="false">G8419*Assumptions!$E$18*Assumptions!$E$33</f>
        <v>564.49344</v>
      </c>
      <c r="H8437" s="48" t="n">
        <f aca="false">H8419*Assumptions!$E$18*Assumptions!$E$33</f>
        <v>706.59456</v>
      </c>
      <c r="I8437" s="48" t="n">
        <f aca="false">I8419*Assumptions!$E$18*Assumptions!$E$33</f>
        <v>1135.07072</v>
      </c>
      <c r="J8437" s="48" t="n">
        <f aca="false">J8419*Assumptions!$E$18*Assumptions!$E$33</f>
        <v>1563.54688</v>
      </c>
      <c r="K8437" s="48" t="n">
        <f aca="false">K8419*Assumptions!$E$18*Assumptions!$E$33</f>
        <v>1563.54688</v>
      </c>
      <c r="L8437" s="48" t="n">
        <f aca="false">L8419*Assumptions!$E$18*Assumptions!$E$33</f>
        <v>1563.54688</v>
      </c>
      <c r="M8437" s="48" t="n">
        <f aca="false">M8419*Assumptions!$E$18*Assumptions!$E$33</f>
        <v>1563.54688</v>
      </c>
      <c r="N8437" s="48" t="n">
        <f aca="false">N8419*Assumptions!$E$18*Assumptions!$E$33</f>
        <v>1563.54688</v>
      </c>
      <c r="P8437" s="49"/>
      <c r="Q8437" s="49"/>
      <c r="R8437" s="49"/>
      <c r="S8437" s="50"/>
    </row>
    <row r="8438" customFormat="false" ht="15" hidden="false" customHeight="false" outlineLevel="0" collapsed="false">
      <c r="A8438" s="4" t="s">
        <v>511</v>
      </c>
      <c r="B8438" s="36" t="s">
        <v>509</v>
      </c>
      <c r="C8438" s="48" t="n">
        <f aca="false">C8420*Assumptions!$E$19*Assumptions!$E$34</f>
        <v>34.677888</v>
      </c>
      <c r="D8438" s="48" t="n">
        <f aca="false">D8420*Assumptions!$E$19*Assumptions!$E$34</f>
        <v>69.355776</v>
      </c>
      <c r="E8438" s="48" t="n">
        <f aca="false">E8420*Assumptions!$E$19*Assumptions!$E$34</f>
        <v>69.355776</v>
      </c>
      <c r="F8438" s="48" t="n">
        <f aca="false">F8420*Assumptions!$E$19*Assumptions!$E$34</f>
        <v>69.355776</v>
      </c>
      <c r="G8438" s="48" t="n">
        <f aca="false">G8420*Assumptions!$E$19*Assumptions!$E$34</f>
        <v>86.69472</v>
      </c>
      <c r="H8438" s="48" t="n">
        <f aca="false">H8420*Assumptions!$E$19*Assumptions!$E$34</f>
        <v>104.033664</v>
      </c>
      <c r="I8438" s="48" t="n">
        <f aca="false">I8420*Assumptions!$E$19*Assumptions!$E$34</f>
        <v>159.7008</v>
      </c>
      <c r="J8438" s="48" t="n">
        <f aca="false">J8420*Assumptions!$E$19*Assumptions!$E$34</f>
        <v>215.367936</v>
      </c>
      <c r="K8438" s="48" t="n">
        <f aca="false">K8420*Assumptions!$E$19*Assumptions!$E$34</f>
        <v>215.367936</v>
      </c>
      <c r="L8438" s="48" t="n">
        <f aca="false">L8420*Assumptions!$E$19*Assumptions!$E$34</f>
        <v>215.367936</v>
      </c>
      <c r="M8438" s="48" t="n">
        <f aca="false">M8420*Assumptions!$E$19*Assumptions!$E$34</f>
        <v>215.367936</v>
      </c>
      <c r="N8438" s="48" t="n">
        <f aca="false">N8420*Assumptions!$E$19*Assumptions!$E$34</f>
        <v>215.367936</v>
      </c>
      <c r="P8438" s="49"/>
      <c r="Q8438" s="49"/>
      <c r="R8438" s="49"/>
      <c r="S8438" s="50"/>
    </row>
    <row r="8439" customFormat="false" ht="15" hidden="false" customHeight="false" outlineLevel="0" collapsed="false">
      <c r="A8439" s="4" t="s">
        <v>512</v>
      </c>
      <c r="B8439" s="36" t="s">
        <v>77</v>
      </c>
      <c r="C8439" s="51" t="n">
        <f aca="false">IFERROR(C8436/(C8436+C8437+C8438),0)</f>
        <v>0.631590736245533</v>
      </c>
      <c r="D8439" s="51" t="n">
        <f aca="false">IFERROR(D8436/(D8436+D8437+D8438),0)</f>
        <v>0.631590736245533</v>
      </c>
      <c r="E8439" s="51" t="n">
        <f aca="false">IFERROR(E8436/(E8436+E8437+E8438),0)</f>
        <v>0.631590736245533</v>
      </c>
      <c r="F8439" s="51" t="n">
        <f aca="false">IFERROR(F8436/(F8436+F8437+F8438),0)</f>
        <v>0.631590736245533</v>
      </c>
      <c r="G8439" s="51" t="n">
        <f aca="false">IFERROR(G8436/(G8436+G8437+G8438),0)</f>
        <v>0.638332506498128</v>
      </c>
      <c r="H8439" s="51" t="n">
        <f aca="false">IFERROR(H8436/(H8436+H8437+H8438),0)</f>
        <v>0.642303318118984</v>
      </c>
      <c r="I8439" s="51" t="n">
        <f aca="false">IFERROR(I8436/(I8436+I8437+I8438),0)</f>
        <v>0.657538025405288</v>
      </c>
      <c r="J8439" s="51" t="n">
        <f aca="false">IFERROR(J8436/(J8436+J8437+J8438),0)</f>
        <v>0.664058061428891</v>
      </c>
      <c r="K8439" s="51" t="n">
        <f aca="false">IFERROR(K8436/(K8436+K8437+K8438),0)</f>
        <v>0.664058061428891</v>
      </c>
      <c r="L8439" s="51" t="n">
        <f aca="false">IFERROR(L8436/(L8436+L8437+L8438),0)</f>
        <v>0.664058061428891</v>
      </c>
      <c r="M8439" s="51" t="n">
        <f aca="false">IFERROR(M8436/(M8436+M8437+M8438),0)</f>
        <v>0.664058061428891</v>
      </c>
      <c r="N8439" s="51" t="n">
        <f aca="false">IFERROR(N8436/(N8436+N8437+N8438),0)</f>
        <v>0.664058061428891</v>
      </c>
      <c r="P8439" s="52"/>
      <c r="Q8439" s="52"/>
      <c r="R8439" s="52"/>
      <c r="S8439" s="53"/>
    </row>
    <row r="8440" customFormat="false" ht="15" hidden="false" customHeight="false" outlineLevel="0" collapsed="false">
      <c r="A8440" s="4" t="s">
        <v>513</v>
      </c>
      <c r="B8440" s="36" t="s">
        <v>77</v>
      </c>
      <c r="C8440" s="51" t="n">
        <f aca="false">IFERROR(C8437/(C8436+C8437+C8438),0)</f>
        <v>0.316449102482628</v>
      </c>
      <c r="D8440" s="51" t="n">
        <f aca="false">IFERROR(D8437/(D8436+D8437+D8438),0)</f>
        <v>0.316449102482628</v>
      </c>
      <c r="E8440" s="51" t="n">
        <f aca="false">IFERROR(E8437/(E8436+E8437+E8438),0)</f>
        <v>0.316449102482628</v>
      </c>
      <c r="F8440" s="51" t="n">
        <f aca="false">IFERROR(F8437/(F8436+F8437+F8438),0)</f>
        <v>0.316449102482628</v>
      </c>
      <c r="G8440" s="51" t="n">
        <f aca="false">IFERROR(G8437/(G8436+G8437+G8438),0)</f>
        <v>0.313517566939561</v>
      </c>
      <c r="H8440" s="51" t="n">
        <f aca="false">IFERROR(H8437/(H8436+H8437+H8438),0)</f>
        <v>0.311790932099567</v>
      </c>
      <c r="I8440" s="51" t="n">
        <f aca="false">IFERROR(I8437/(I8436+I8437+I8438),0)</f>
        <v>0.300221741111391</v>
      </c>
      <c r="J8440" s="51" t="n">
        <f aca="false">IFERROR(J8437/(J8436+J8437+J8438),0)</f>
        <v>0.295270445324128</v>
      </c>
      <c r="K8440" s="51" t="n">
        <f aca="false">IFERROR(K8437/(K8436+K8437+K8438),0)</f>
        <v>0.295270445324128</v>
      </c>
      <c r="L8440" s="51" t="n">
        <f aca="false">IFERROR(L8437/(L8436+L8437+L8438),0)</f>
        <v>0.295270445324128</v>
      </c>
      <c r="M8440" s="51" t="n">
        <f aca="false">IFERROR(M8437/(M8436+M8437+M8438),0)</f>
        <v>0.295270445324128</v>
      </c>
      <c r="N8440" s="51" t="n">
        <f aca="false">IFERROR(N8437/(N8436+N8437+N8438),0)</f>
        <v>0.295270445324128</v>
      </c>
      <c r="P8440" s="52"/>
      <c r="Q8440" s="52"/>
      <c r="R8440" s="52"/>
      <c r="S8440" s="53"/>
    </row>
    <row r="8441" customFormat="false" ht="15" hidden="false" customHeight="false" outlineLevel="0" collapsed="false">
      <c r="A8441" s="4" t="s">
        <v>514</v>
      </c>
      <c r="B8441" s="36" t="s">
        <v>77</v>
      </c>
      <c r="C8441" s="51" t="n">
        <f aca="false">IFERROR(C8438/(C8436+C8437+C8438),0)</f>
        <v>0.0519601612718389</v>
      </c>
      <c r="D8441" s="51" t="n">
        <f aca="false">IFERROR(D8438/(D8436+D8437+D8438),0)</f>
        <v>0.0519601612718389</v>
      </c>
      <c r="E8441" s="51" t="n">
        <f aca="false">IFERROR(E8438/(E8436+E8437+E8438),0)</f>
        <v>0.0519601612718389</v>
      </c>
      <c r="F8441" s="51" t="n">
        <f aca="false">IFERROR(F8438/(F8436+F8437+F8438),0)</f>
        <v>0.0519601612718389</v>
      </c>
      <c r="G8441" s="51" t="n">
        <f aca="false">IFERROR(G8438/(G8436+G8437+G8438),0)</f>
        <v>0.0481499265623113</v>
      </c>
      <c r="H8441" s="51" t="n">
        <f aca="false">IFERROR(H8438/(H8436+H8437+H8438),0)</f>
        <v>0.0459057497814491</v>
      </c>
      <c r="I8441" s="51" t="n">
        <f aca="false">IFERROR(I8438/(I8436+I8437+I8438),0)</f>
        <v>0.0422402334833216</v>
      </c>
      <c r="J8441" s="51" t="n">
        <f aca="false">IFERROR(J8438/(J8436+J8437+J8438),0)</f>
        <v>0.0406714932469811</v>
      </c>
      <c r="K8441" s="51" t="n">
        <f aca="false">IFERROR(K8438/(K8436+K8437+K8438),0)</f>
        <v>0.0406714932469811</v>
      </c>
      <c r="L8441" s="51" t="n">
        <f aca="false">IFERROR(L8438/(L8436+L8437+L8438),0)</f>
        <v>0.0406714932469811</v>
      </c>
      <c r="M8441" s="51" t="n">
        <f aca="false">IFERROR(M8438/(M8436+M8437+M8438),0)</f>
        <v>0.0406714932469811</v>
      </c>
      <c r="N8441" s="51" t="n">
        <f aca="false">IFERROR(N8438/(N8436+N8437+N8438),0)</f>
        <v>0.0406714932469811</v>
      </c>
      <c r="P8441" s="52"/>
      <c r="Q8441" s="52"/>
      <c r="R8441" s="52"/>
      <c r="S8441" s="53"/>
    </row>
    <row r="8442" customFormat="false" ht="15" hidden="false" customHeight="false" outlineLevel="0" collapsed="false">
      <c r="A8442" s="4" t="s">
        <v>515</v>
      </c>
      <c r="B8442" s="36" t="s">
        <v>516</v>
      </c>
      <c r="C8442" s="48" t="n">
        <f aca="false">IF(C8410-Assumptions!$E$35&lt;1,0,INDEX($C$8435:$N$8435,1,C8410-Assumptions!$E$35)*INDEX($C$8439:$N$8439,1,C8410-Assumptions!$E$35)*0.15)</f>
        <v>0</v>
      </c>
      <c r="D8442" s="48" t="n">
        <f aca="false">IF(D8410-Assumptions!$E$35&lt;1,0,INDEX($C$8435:$N$8435,1,D8410-Assumptions!$E$35)*INDEX($C$8439:$N$8439,1,D8410-Assumptions!$E$35)*0.15)</f>
        <v>0.618840317988444</v>
      </c>
      <c r="E8442" s="48" t="n">
        <f aca="false">IF(E8410-Assumptions!$E$35&lt;1,0,INDEX($C$8435:$N$8435,1,E8410-Assumptions!$E$35)*INDEX($C$8439:$N$8439,1,E8410-Assumptions!$E$35)*0.15)</f>
        <v>1.06074075022029</v>
      </c>
      <c r="F8442" s="48" t="n">
        <f aca="false">IF(F8410-Assumptions!$E$35&lt;1,0,INDEX($C$8435:$N$8435,1,F8410-Assumptions!$E$35)*INDEX($C$8439:$N$8439,1,F8410-Assumptions!$E$35)*0.15)</f>
        <v>1.17043386524711</v>
      </c>
      <c r="G8442" s="48" t="n">
        <f aca="false">IF(G8410-Assumptions!$E$35&lt;1,0,INDEX($C$8435:$N$8435,1,G8410-Assumptions!$E$35)*INDEX($C$8439:$N$8439,1,G8410-Assumptions!$E$35)*0.15)</f>
        <v>1.28237640993072</v>
      </c>
      <c r="H8442" s="48" t="n">
        <f aca="false">IF(H8410-Assumptions!$E$35&lt;1,0,INDEX($C$8435:$N$8435,1,H8410-Assumptions!$E$35)*INDEX($C$8439:$N$8439,1,H8410-Assumptions!$E$35)*0.15)</f>
        <v>1.65014055837853</v>
      </c>
      <c r="I8442" s="48" t="n">
        <f aca="false">IF(I8410-Assumptions!$E$35&lt;1,0,INDEX($C$8435:$N$8435,1,I8410-Assumptions!$E$35)*INDEX($C$8439:$N$8439,1,I8410-Assumptions!$E$35)*0.15)</f>
        <v>1.99365047505617</v>
      </c>
      <c r="J8442" s="48" t="n">
        <f aca="false">IF(J8410-Assumptions!$E$35&lt;1,0,INDEX($C$8435:$N$8435,1,J8410-Assumptions!$E$35)*INDEX($C$8439:$N$8439,1,J8410-Assumptions!$E$35)*0.15)</f>
        <v>2.95049506253129</v>
      </c>
      <c r="K8442" s="48" t="n">
        <f aca="false">IF(K8410-Assumptions!$E$35&lt;1,0,INDEX($C$8435:$N$8435,1,K8410-Assumptions!$E$35)*INDEX($C$8439:$N$8439,1,K8410-Assumptions!$E$35)*0.15)</f>
        <v>3.81654188110898</v>
      </c>
      <c r="L8442" s="48" t="n">
        <f aca="false">IF(L8410-Assumptions!$E$35&lt;1,0,INDEX($C$8435:$N$8435,1,L8410-Assumptions!$E$35)*INDEX($C$8439:$N$8439,1,L8410-Assumptions!$E$35)*0.15)</f>
        <v>3.84366044399681</v>
      </c>
      <c r="M8442" s="48" t="n">
        <f aca="false">IF(M8410-Assumptions!$E$35&lt;1,0,INDEX($C$8435:$N$8435,1,M8410-Assumptions!$E$35)*INDEX($C$8439:$N$8439,1,M8410-Assumptions!$E$35)*0.15)</f>
        <v>3.72985258718646</v>
      </c>
      <c r="N8442" s="48" t="n">
        <f aca="false">IF(N8410-Assumptions!$E$35&lt;1,0,INDEX($C$8435:$N$8435,1,N8410-Assumptions!$E$35)*INDEX($C$8439:$N$8439,1,N8410-Assumptions!$E$35)*0.15)</f>
        <v>3.62394244263476</v>
      </c>
      <c r="P8442" s="49" t="n">
        <f aca="false">SUM(C8442:F8442)</f>
        <v>2.85001493345584</v>
      </c>
      <c r="Q8442" s="49" t="n">
        <f aca="false">SUM(G8442:J8442)</f>
        <v>7.87666250589671</v>
      </c>
      <c r="R8442" s="49" t="n">
        <f aca="false">SUM(K8442:N8442)</f>
        <v>15.013997354927</v>
      </c>
      <c r="S8442" s="50" t="n">
        <f aca="false">SUM(P8442:R8442)</f>
        <v>25.7406747942796</v>
      </c>
    </row>
    <row r="8443" customFormat="false" ht="15" hidden="false" customHeight="false" outlineLevel="0" collapsed="false">
      <c r="A8443" s="4" t="s">
        <v>517</v>
      </c>
      <c r="B8443" s="36" t="s">
        <v>516</v>
      </c>
      <c r="C8443" s="48" t="n">
        <f aca="false">IF(C8410-Assumptions!$E$35&lt;1,0,INDEX($C$8435:$N$8435,1,C8410-Assumptions!$E$35)*INDEX($C$8440:$N$8440,1,C8410-Assumptions!$E$35)*0.15)</f>
        <v>0</v>
      </c>
      <c r="D8443" s="48" t="n">
        <f aca="false">IF(D8410-Assumptions!$E$35&lt;1,0,INDEX($C$8435:$N$8435,1,D8410-Assumptions!$E$35)*INDEX($C$8440:$N$8440,1,D8410-Assumptions!$E$35)*0.15)</f>
        <v>0.310060695905104</v>
      </c>
      <c r="E8443" s="48" t="n">
        <f aca="false">IF(E8410-Assumptions!$E$35&lt;1,0,INDEX($C$8435:$N$8435,1,E8410-Assumptions!$E$35)*INDEX($C$8440:$N$8440,1,E8410-Assumptions!$E$35)*0.15)</f>
        <v>0.531468305519075</v>
      </c>
      <c r="F8443" s="48" t="n">
        <f aca="false">IF(F8410-Assumptions!$E$35&lt;1,0,INDEX($C$8435:$N$8435,1,F8410-Assumptions!$E$35)*INDEX($C$8440:$N$8440,1,F8410-Assumptions!$E$35)*0.15)</f>
        <v>0.586428401997228</v>
      </c>
      <c r="G8443" s="48" t="n">
        <f aca="false">IF(G8410-Assumptions!$E$35&lt;1,0,INDEX($C$8435:$N$8435,1,G8410-Assumptions!$E$35)*INDEX($C$8440:$N$8440,1,G8410-Assumptions!$E$35)*0.15)</f>
        <v>0.642515541598621</v>
      </c>
      <c r="H8443" s="48" t="n">
        <f aca="false">IF(H8410-Assumptions!$E$35&lt;1,0,INDEX($C$8435:$N$8435,1,H8410-Assumptions!$E$35)*INDEX($C$8440:$N$8440,1,H8410-Assumptions!$E$35)*0.15)</f>
        <v>0.810467973516309</v>
      </c>
      <c r="I8443" s="48" t="n">
        <f aca="false">IF(I8410-Assumptions!$E$35&lt;1,0,INDEX($C$8435:$N$8435,1,I8410-Assumptions!$E$35)*INDEX($C$8440:$N$8440,1,I8410-Assumptions!$E$35)*0.15)</f>
        <v>0.967770401247342</v>
      </c>
      <c r="J8443" s="48" t="n">
        <f aca="false">IF(J8410-Assumptions!$E$35&lt;1,0,INDEX($C$8435:$N$8435,1,J8410-Assumptions!$E$35)*INDEX($C$8440:$N$8440,1,J8410-Assumptions!$E$35)*0.15)</f>
        <v>1.34715062945252</v>
      </c>
      <c r="K8443" s="48" t="n">
        <f aca="false">IF(K8410-Assumptions!$E$35&lt;1,0,INDEX($C$8435:$N$8435,1,K8410-Assumptions!$E$35)*INDEX($C$8440:$N$8440,1,K8410-Assumptions!$E$35)*0.15)</f>
        <v>1.69700826823545</v>
      </c>
      <c r="L8443" s="48" t="n">
        <f aca="false">IF(L8410-Assumptions!$E$35&lt;1,0,INDEX($C$8435:$N$8435,1,L8410-Assumptions!$E$35)*INDEX($C$8440:$N$8440,1,L8410-Assumptions!$E$35)*0.15)</f>
        <v>1.70906641586672</v>
      </c>
      <c r="M8443" s="48" t="n">
        <f aca="false">IF(M8410-Assumptions!$E$35&lt;1,0,INDEX($C$8435:$N$8435,1,M8410-Assumptions!$E$35)*INDEX($C$8440:$N$8440,1,M8410-Assumptions!$E$35)*0.15)</f>
        <v>1.65846226163137</v>
      </c>
      <c r="N8443" s="48" t="n">
        <f aca="false">IF(N8410-Assumptions!$E$35&lt;1,0,INDEX($C$8435:$N$8435,1,N8410-Assumptions!$E$35)*INDEX($C$8440:$N$8440,1,N8410-Assumptions!$E$35)*0.15)</f>
        <v>1.6113697898092</v>
      </c>
      <c r="P8443" s="49" t="n">
        <f aca="false">SUM(C8443:F8443)</f>
        <v>1.42795740342141</v>
      </c>
      <c r="Q8443" s="49" t="n">
        <f aca="false">SUM(G8443:J8443)</f>
        <v>3.7679045458148</v>
      </c>
      <c r="R8443" s="49" t="n">
        <f aca="false">SUM(K8443:N8443)</f>
        <v>6.67590673554273</v>
      </c>
      <c r="S8443" s="50" t="n">
        <f aca="false">SUM(P8443:R8443)</f>
        <v>11.8717686847789</v>
      </c>
    </row>
    <row r="8444" customFormat="false" ht="15" hidden="false" customHeight="false" outlineLevel="0" collapsed="false">
      <c r="A8444" s="4" t="s">
        <v>518</v>
      </c>
      <c r="B8444" s="36" t="s">
        <v>516</v>
      </c>
      <c r="C8444" s="48" t="n">
        <f aca="false">IF(C8410-Assumptions!$E$36&lt;1,0,INDEX($C$8435:$N$8435,1,C8410-Assumptions!$E$36)*INDEX($C$8441:$N$8441,1,C8410-Assumptions!$E$36)*0.15)</f>
        <v>0</v>
      </c>
      <c r="D8444" s="48" t="n">
        <f aca="false">IF(D8410-Assumptions!$E$36&lt;1,0,INDEX($C$8435:$N$8435,1,D8410-Assumptions!$E$36)*INDEX($C$8441:$N$8441,1,D8410-Assumptions!$E$36)*0.15)</f>
        <v>0</v>
      </c>
      <c r="E8444" s="48" t="n">
        <f aca="false">IF(E8410-Assumptions!$E$36&lt;1,0,INDEX($C$8435:$N$8435,1,E8410-Assumptions!$E$36)*INDEX($C$8441:$N$8441,1,E8410-Assumptions!$E$36)*0.15)</f>
        <v>0.0509112006856529</v>
      </c>
      <c r="F8444" s="48" t="n">
        <f aca="false">IF(F8410-Assumptions!$E$36&lt;1,0,INDEX($C$8435:$N$8435,1,F8410-Assumptions!$E$36)*INDEX($C$8441:$N$8441,1,F8410-Assumptions!$E$36)*0.15)</f>
        <v>0.0872657834988111</v>
      </c>
      <c r="G8444" s="48" t="n">
        <f aca="false">IF(G8410-Assumptions!$E$36&lt;1,0,INDEX($C$8435:$N$8435,1,G8410-Assumptions!$E$36)*INDEX($C$8441:$N$8441,1,G8410-Assumptions!$E$36)*0.15)</f>
        <v>0.0962900956365819</v>
      </c>
      <c r="H8444" s="48" t="n">
        <f aca="false">IF(H8410-Assumptions!$E$36&lt;1,0,INDEX($C$8435:$N$8435,1,H8410-Assumptions!$E$36)*INDEX($C$8441:$N$8441,1,H8410-Assumptions!$E$36)*0.15)</f>
        <v>0.105499465472366</v>
      </c>
      <c r="I8444" s="48" t="n">
        <f aca="false">IF(I8410-Assumptions!$E$36&lt;1,0,INDEX($C$8435:$N$8435,1,I8410-Assumptions!$E$36)*INDEX($C$8441:$N$8441,1,I8410-Assumptions!$E$36)*0.15)</f>
        <v>0.124471409327562</v>
      </c>
      <c r="J8444" s="48" t="n">
        <f aca="false">IF(J8410-Assumptions!$E$36&lt;1,0,INDEX($C$8435:$N$8435,1,J8410-Assumptions!$E$36)*INDEX($C$8441:$N$8441,1,J8410-Assumptions!$E$36)*0.15)</f>
        <v>0.142487228818336</v>
      </c>
      <c r="K8444" s="48" t="n">
        <f aca="false">IF(K8410-Assumptions!$E$36&lt;1,0,INDEX($C$8435:$N$8435,1,K8410-Assumptions!$E$36)*INDEX($C$8441:$N$8441,1,K8410-Assumptions!$E$36)*0.15)</f>
        <v>0.189539761226571</v>
      </c>
      <c r="L8444" s="48" t="n">
        <f aca="false">IF(L8410-Assumptions!$E$36&lt;1,0,INDEX($C$8435:$N$8435,1,L8410-Assumptions!$E$36)*INDEX($C$8441:$N$8441,1,L8410-Assumptions!$E$36)*0.15)</f>
        <v>0.233751333445662</v>
      </c>
      <c r="M8444" s="48" t="n">
        <f aca="false">IF(M8410-Assumptions!$E$36&lt;1,0,INDEX($C$8435:$N$8435,1,M8410-Assumptions!$E$36)*INDEX($C$8441:$N$8441,1,M8410-Assumptions!$E$36)*0.15)</f>
        <v>0.235412261173859</v>
      </c>
      <c r="N8444" s="48" t="n">
        <f aca="false">IF(N8410-Assumptions!$E$36&lt;1,0,INDEX($C$8435:$N$8435,1,N8410-Assumptions!$E$36)*INDEX($C$8441:$N$8441,1,N8410-Assumptions!$E$36)*0.15)</f>
        <v>0.228441883508756</v>
      </c>
      <c r="P8444" s="49" t="n">
        <f aca="false">SUM(C8444:F8444)</f>
        <v>0.138176984184464</v>
      </c>
      <c r="Q8444" s="49" t="n">
        <f aca="false">SUM(G8444:J8444)</f>
        <v>0.468748199254846</v>
      </c>
      <c r="R8444" s="49" t="n">
        <f aca="false">SUM(K8444:N8444)</f>
        <v>0.887145239354848</v>
      </c>
      <c r="S8444" s="50" t="n">
        <f aca="false">SUM(P8444:R8444)</f>
        <v>1.49407042279416</v>
      </c>
    </row>
    <row r="8445" customFormat="false" ht="15" hidden="false" customHeight="false" outlineLevel="0" collapsed="false">
      <c r="A8445" s="4" t="s">
        <v>519</v>
      </c>
      <c r="B8445" s="36" t="s">
        <v>77</v>
      </c>
      <c r="C8445" s="51" t="n">
        <f aca="false">IF(C8410-Assumptions!$E$35&lt;1,0,IFERROR(INDEX($C$8434:$N$8434,1,C8410-Assumptions!$E$35)/INDEX($C$8435:$N$8435,1,C8410-Assumptions!$E$35),0))</f>
        <v>0</v>
      </c>
      <c r="D8445" s="51" t="n">
        <f aca="false">IF(D8410-Assumptions!$E$35&lt;1,0,IFERROR(INDEX($C$8434:$N$8434,1,D8410-Assumptions!$E$35)/INDEX($C$8435:$N$8435,1,D8410-Assumptions!$E$35),0))</f>
        <v>0.459271678087073</v>
      </c>
      <c r="E8445" s="51" t="n">
        <f aca="false">IF(E8410-Assumptions!$E$35&lt;1,0,IFERROR(INDEX($C$8434:$N$8434,1,E8410-Assumptions!$E$35)/INDEX($C$8435:$N$8435,1,E8410-Assumptions!$E$35),0))</f>
        <v>0.401911350042128</v>
      </c>
      <c r="F8445" s="51" t="n">
        <f aca="false">IF(F8410-Assumptions!$E$35&lt;1,0,IFERROR(INDEX($C$8434:$N$8434,1,F8410-Assumptions!$E$35)/INDEX($C$8435:$N$8435,1,F8410-Assumptions!$E$35),0))</f>
        <v>0.485658933408398</v>
      </c>
      <c r="G8445" s="51" t="n">
        <f aca="false">IF(G8410-Assumptions!$E$35&lt;1,0,IFERROR(INDEX($C$8434:$N$8434,1,G8410-Assumptions!$E$35)/INDEX($C$8435:$N$8435,1,G8410-Assumptions!$E$35),0))</f>
        <v>0.554080356417826</v>
      </c>
      <c r="H8445" s="51" t="n">
        <f aca="false">IF(H8410-Assumptions!$E$35&lt;1,0,IFERROR(INDEX($C$8434:$N$8434,1,H8410-Assumptions!$E$35)/INDEX($C$8435:$N$8435,1,H8410-Assumptions!$E$35),0))</f>
        <v>0.522227563825987</v>
      </c>
      <c r="I8445" s="51" t="n">
        <f aca="false">IF(I8410-Assumptions!$E$35&lt;1,0,IFERROR(INDEX($C$8434:$N$8434,1,I8410-Assumptions!$E$35)/INDEX($C$8435:$N$8435,1,I8410-Assumptions!$E$35),0))</f>
        <v>0.507424816282752</v>
      </c>
      <c r="J8445" s="51" t="n">
        <f aca="false">IF(J8410-Assumptions!$E$35&lt;1,0,IFERROR(INDEX($C$8434:$N$8434,1,J8410-Assumptions!$E$35)/INDEX($C$8435:$N$8435,1,J8410-Assumptions!$E$35),0))</f>
        <v>0.401142323795015</v>
      </c>
      <c r="K8445" s="51" t="n">
        <f aca="false">IF(K8410-Assumptions!$E$35&lt;1,0,IFERROR(INDEX($C$8434:$N$8434,1,K8410-Assumptions!$E$35)/INDEX($C$8435:$N$8435,1,K8410-Assumptions!$E$35),0))</f>
        <v>0.352339268448632</v>
      </c>
      <c r="L8445" s="51" t="n">
        <f aca="false">IF(L8410-Assumptions!$E$35&lt;1,0,IFERROR(INDEX($C$8434:$N$8434,1,L8410-Assumptions!$E$35)/INDEX($C$8435:$N$8435,1,L8410-Assumptions!$E$35),0))</f>
        <v>0.388725970981282</v>
      </c>
      <c r="M8445" s="51" t="n">
        <f aca="false">IF(M8410-Assumptions!$E$35&lt;1,0,IFERROR(INDEX($C$8434:$N$8434,1,M8410-Assumptions!$E$35)/INDEX($C$8435:$N$8435,1,M8410-Assumptions!$E$35),0))</f>
        <v>0.400587048224893</v>
      </c>
      <c r="N8445" s="51" t="n">
        <f aca="false">IF(N8410-Assumptions!$E$35&lt;1,0,IFERROR(INDEX($C$8434:$N$8434,1,N8410-Assumptions!$E$35)/INDEX($C$8435:$N$8435,1,N8410-Assumptions!$E$35),0))</f>
        <v>0.412294251872474</v>
      </c>
      <c r="P8445" s="52"/>
      <c r="Q8445" s="52"/>
      <c r="R8445" s="52"/>
      <c r="S8445" s="53"/>
    </row>
    <row r="8446" customFormat="false" ht="15" hidden="false" customHeight="false" outlineLevel="0" collapsed="false">
      <c r="A8446" s="4" t="s">
        <v>520</v>
      </c>
      <c r="B8446" s="36" t="s">
        <v>516</v>
      </c>
      <c r="C8446" s="48" t="n">
        <f aca="false">C8442*Assumptions!$E$37</f>
        <v>0</v>
      </c>
      <c r="D8446" s="48" t="n">
        <f aca="false">D8442*Assumptions!$E$37</f>
        <v>0.185652095396533</v>
      </c>
      <c r="E8446" s="48" t="n">
        <f aca="false">E8442*Assumptions!$E$37</f>
        <v>0.318222225066086</v>
      </c>
      <c r="F8446" s="48" t="n">
        <f aca="false">F8442*Assumptions!$E$37</f>
        <v>0.351130159574133</v>
      </c>
      <c r="G8446" s="48" t="n">
        <f aca="false">G8442*Assumptions!$E$37</f>
        <v>0.384712922979216</v>
      </c>
      <c r="H8446" s="48" t="n">
        <f aca="false">H8442*Assumptions!$E$37</f>
        <v>0.495042167513559</v>
      </c>
      <c r="I8446" s="48" t="n">
        <f aca="false">I8442*Assumptions!$E$37</f>
        <v>0.598095142516852</v>
      </c>
      <c r="J8446" s="48" t="n">
        <f aca="false">J8442*Assumptions!$E$37</f>
        <v>0.885148518759386</v>
      </c>
      <c r="K8446" s="48" t="n">
        <f aca="false">K8442*Assumptions!$E$37</f>
        <v>1.14496256433269</v>
      </c>
      <c r="L8446" s="48" t="n">
        <f aca="false">L8442*Assumptions!$E$37</f>
        <v>1.15309813319904</v>
      </c>
      <c r="M8446" s="48" t="n">
        <f aca="false">M8442*Assumptions!$E$37</f>
        <v>1.11895577615594</v>
      </c>
      <c r="N8446" s="48" t="n">
        <f aca="false">N8442*Assumptions!$E$37</f>
        <v>1.08718273279043</v>
      </c>
      <c r="P8446" s="49" t="n">
        <f aca="false">SUM(C8446:F8446)</f>
        <v>0.855004480036751</v>
      </c>
      <c r="Q8446" s="49" t="n">
        <f aca="false">SUM(G8446:J8446)</f>
        <v>2.36299875176901</v>
      </c>
      <c r="R8446" s="49" t="n">
        <f aca="false">SUM(K8446:N8446)</f>
        <v>4.5041992064781</v>
      </c>
      <c r="S8446" s="50" t="n">
        <f aca="false">SUM(P8446:R8446)</f>
        <v>7.72220243828386</v>
      </c>
    </row>
    <row r="8447" customFormat="false" ht="15" hidden="false" customHeight="false" outlineLevel="0" collapsed="false">
      <c r="A8447" s="4" t="s">
        <v>521</v>
      </c>
      <c r="B8447" s="36" t="s">
        <v>516</v>
      </c>
      <c r="C8447" s="48" t="n">
        <f aca="false">C8442*(1-Assumptions!$E$37)</f>
        <v>0</v>
      </c>
      <c r="D8447" s="48" t="n">
        <f aca="false">D8442*(1-Assumptions!$E$37)</f>
        <v>0.43318822259191</v>
      </c>
      <c r="E8447" s="48" t="n">
        <f aca="false">E8442*(1-Assumptions!$E$37)</f>
        <v>0.7425185251542</v>
      </c>
      <c r="F8447" s="48" t="n">
        <f aca="false">F8442*(1-Assumptions!$E$37)</f>
        <v>0.819303705672977</v>
      </c>
      <c r="G8447" s="48" t="n">
        <f aca="false">G8442*(1-Assumptions!$E$37)</f>
        <v>0.897663486951504</v>
      </c>
      <c r="H8447" s="48" t="n">
        <f aca="false">H8442*(1-Assumptions!$E$37)</f>
        <v>1.15509839086497</v>
      </c>
      <c r="I8447" s="48" t="n">
        <f aca="false">I8442*(1-Assumptions!$E$37)</f>
        <v>1.39555533253932</v>
      </c>
      <c r="J8447" s="48" t="n">
        <f aca="false">J8442*(1-Assumptions!$E$37)</f>
        <v>2.0653465437719</v>
      </c>
      <c r="K8447" s="48" t="n">
        <f aca="false">K8442*(1-Assumptions!$E$37)</f>
        <v>2.67157931677629</v>
      </c>
      <c r="L8447" s="48" t="n">
        <f aca="false">L8442*(1-Assumptions!$E$37)</f>
        <v>2.69056231079776</v>
      </c>
      <c r="M8447" s="48" t="n">
        <f aca="false">M8442*(1-Assumptions!$E$37)</f>
        <v>2.61089681103052</v>
      </c>
      <c r="N8447" s="48" t="n">
        <f aca="false">N8442*(1-Assumptions!$E$37)</f>
        <v>2.53675970984433</v>
      </c>
      <c r="P8447" s="49" t="n">
        <f aca="false">SUM(C8447:F8447)</f>
        <v>1.99501045341909</v>
      </c>
      <c r="Q8447" s="49" t="n">
        <f aca="false">SUM(G8447:J8447)</f>
        <v>5.5136637541277</v>
      </c>
      <c r="R8447" s="49" t="n">
        <f aca="false">SUM(K8447:N8447)</f>
        <v>10.5097981484489</v>
      </c>
      <c r="S8447" s="50" t="n">
        <f aca="false">SUM(P8447:R8447)</f>
        <v>18.0184723559957</v>
      </c>
    </row>
    <row r="8448" customFormat="false" ht="15" hidden="false" customHeight="false" outlineLevel="0" collapsed="false">
      <c r="A8448" s="4" t="s">
        <v>522</v>
      </c>
      <c r="B8448" s="36" t="s">
        <v>125</v>
      </c>
      <c r="C8448" s="54" t="n">
        <f aca="false">C8447*$C$8401+C8443*$C$8402+C8444*$C$8403</f>
        <v>0</v>
      </c>
      <c r="D8448" s="54" t="n">
        <f aca="false">D8447*$C$8401+D8443*$C$8402+D8444*$C$8403</f>
        <v>6860.83742705879</v>
      </c>
      <c r="E8448" s="54" t="n">
        <f aca="false">E8447*$C$8401+E8443*$C$8402+E8444*$C$8403</f>
        <v>16477.8202431819</v>
      </c>
      <c r="F8448" s="54" t="n">
        <f aca="false">F8447*$C$8401+F8443*$C$8402+F8444*$C$8403</f>
        <v>21062.8284478185</v>
      </c>
      <c r="G8448" s="54" t="n">
        <f aca="false">G8447*$C$8401+G8443*$C$8402+G8444*$C$8403</f>
        <v>23140.1504913619</v>
      </c>
      <c r="H8448" s="54" t="n">
        <f aca="false">H8447*$C$8401+H8443*$C$8402+H8444*$C$8403</f>
        <v>27831.8669073338</v>
      </c>
      <c r="I8448" s="54" t="n">
        <f aca="false">I8447*$C$8401+I8443*$C$8402+I8444*$C$8403</f>
        <v>33181.3660527089</v>
      </c>
      <c r="J8448" s="54" t="n">
        <f aca="false">J8447*$C$8401+J8443*$C$8402+J8444*$C$8403</f>
        <v>43993.5182508751</v>
      </c>
      <c r="K8448" s="54" t="n">
        <f aca="false">K8447*$C$8401+K8443*$C$8402+K8444*$C$8403</f>
        <v>56723.753620677</v>
      </c>
      <c r="L8448" s="54" t="n">
        <f aca="false">L8447*$C$8401+L8443*$C$8402+L8444*$C$8403</f>
        <v>61098.9741890813</v>
      </c>
      <c r="M8448" s="54" t="n">
        <f aca="false">M8447*$C$8401+M8443*$C$8402+M8444*$C$8403</f>
        <v>60085.1633448055</v>
      </c>
      <c r="N8448" s="54" t="n">
        <f aca="false">N8447*$C$8401+N8443*$C$8402+N8444*$C$8403</f>
        <v>58352.5464245582</v>
      </c>
      <c r="P8448" s="55" t="n">
        <f aca="false">SUM(C8448:F8448)</f>
        <v>44401.4861180593</v>
      </c>
      <c r="Q8448" s="55" t="n">
        <f aca="false">SUM(G8448:J8448)</f>
        <v>128146.90170228</v>
      </c>
      <c r="R8448" s="55" t="n">
        <f aca="false">SUM(K8448:N8448)</f>
        <v>236260.437579122</v>
      </c>
      <c r="S8448" s="56" t="n">
        <f aca="false">SUM(P8448:R8448)</f>
        <v>408808.825399461</v>
      </c>
    </row>
    <row r="8449" customFormat="false" ht="15" hidden="false" customHeight="false" outlineLevel="0" collapsed="false">
      <c r="A8449" s="4" t="s">
        <v>523</v>
      </c>
      <c r="B8449" s="36" t="s">
        <v>125</v>
      </c>
      <c r="C8449" s="54" t="n">
        <f aca="false">(C8425+Assumptions!$D$104*C8411)*$C$8406</f>
        <v>306250</v>
      </c>
      <c r="D8449" s="54" t="n">
        <f aca="false">(D8425+Assumptions!$D$104*D8411)*$C$8406</f>
        <v>306250</v>
      </c>
      <c r="E8449" s="54" t="n">
        <f aca="false">(E8425+Assumptions!$D$104*E8411)*$C$8406</f>
        <v>306250</v>
      </c>
      <c r="F8449" s="54" t="n">
        <f aca="false">(F8425+Assumptions!$D$104*F8411)*$C$8406</f>
        <v>306250</v>
      </c>
      <c r="G8449" s="54" t="n">
        <f aca="false">(G8425+Assumptions!$D$104*G8411)*$C$8406</f>
        <v>306250</v>
      </c>
      <c r="H8449" s="54" t="n">
        <f aca="false">(H8425+Assumptions!$D$104*H8411)*$C$8406</f>
        <v>306250</v>
      </c>
      <c r="I8449" s="54" t="n">
        <f aca="false">(I8425+Assumptions!$D$104*I8411)*$C$8406</f>
        <v>306250</v>
      </c>
      <c r="J8449" s="54" t="n">
        <f aca="false">(J8425+Assumptions!$D$104*J8411)*$C$8406</f>
        <v>306250</v>
      </c>
      <c r="K8449" s="54" t="n">
        <f aca="false">(K8425+Assumptions!$D$104*K8411)*$C$8406</f>
        <v>306250</v>
      </c>
      <c r="L8449" s="54" t="n">
        <f aca="false">(L8425+Assumptions!$D$104*L8411)*$C$8406</f>
        <v>306250</v>
      </c>
      <c r="M8449" s="54" t="n">
        <f aca="false">(M8425+Assumptions!$D$104*M8411)*$C$8406</f>
        <v>306250</v>
      </c>
      <c r="N8449" s="54" t="n">
        <f aca="false">(N8425+Assumptions!$D$104*N8411)*$C$8406</f>
        <v>306250</v>
      </c>
      <c r="P8449" s="55" t="n">
        <f aca="false">SUM(C8449:F8449)</f>
        <v>1225000</v>
      </c>
      <c r="Q8449" s="55" t="n">
        <f aca="false">SUM(G8449:J8449)</f>
        <v>1225000</v>
      </c>
      <c r="R8449" s="55" t="n">
        <f aca="false">SUM(K8449:N8449)</f>
        <v>1225000</v>
      </c>
      <c r="S8449" s="56" t="n">
        <f aca="false">SUM(P8449:R8449)</f>
        <v>3675000</v>
      </c>
    </row>
    <row r="8450" customFormat="false" ht="15" hidden="false" customHeight="false" outlineLevel="0" collapsed="false">
      <c r="A8450" s="4" t="s">
        <v>524</v>
      </c>
      <c r="B8450" s="36" t="s">
        <v>77</v>
      </c>
      <c r="C8450" s="51" t="n">
        <f aca="false">IF(C8448&gt;0,MIN(1,C8449/C8448),1)</f>
        <v>1</v>
      </c>
      <c r="D8450" s="51" t="n">
        <f aca="false">IF(D8448&gt;0,MIN(1,D8449/D8448),1)</f>
        <v>1</v>
      </c>
      <c r="E8450" s="51" t="n">
        <f aca="false">IF(E8448&gt;0,MIN(1,E8449/E8448),1)</f>
        <v>1</v>
      </c>
      <c r="F8450" s="51" t="n">
        <f aca="false">IF(F8448&gt;0,MIN(1,F8449/F8448),1)</f>
        <v>1</v>
      </c>
      <c r="G8450" s="51" t="n">
        <f aca="false">IF(G8448&gt;0,MIN(1,G8449/G8448),1)</f>
        <v>1</v>
      </c>
      <c r="H8450" s="51" t="n">
        <f aca="false">IF(H8448&gt;0,MIN(1,H8449/H8448),1)</f>
        <v>1</v>
      </c>
      <c r="I8450" s="51" t="n">
        <f aca="false">IF(I8448&gt;0,MIN(1,I8449/I8448),1)</f>
        <v>1</v>
      </c>
      <c r="J8450" s="51" t="n">
        <f aca="false">IF(J8448&gt;0,MIN(1,J8449/J8448),1)</f>
        <v>1</v>
      </c>
      <c r="K8450" s="51" t="n">
        <f aca="false">IF(K8448&gt;0,MIN(1,K8449/K8448),1)</f>
        <v>1</v>
      </c>
      <c r="L8450" s="51" t="n">
        <f aca="false">IF(L8448&gt;0,MIN(1,L8449/L8448),1)</f>
        <v>1</v>
      </c>
      <c r="M8450" s="51" t="n">
        <f aca="false">IF(M8448&gt;0,MIN(1,M8449/M8448),1)</f>
        <v>1</v>
      </c>
      <c r="N8450" s="51" t="n">
        <f aca="false">IF(N8448&gt;0,MIN(1,N8449/N8448),1)</f>
        <v>1</v>
      </c>
      <c r="P8450" s="52"/>
      <c r="Q8450" s="52"/>
      <c r="R8450" s="52"/>
      <c r="S8450" s="53"/>
    </row>
    <row r="8451" customFormat="false" ht="15" hidden="false" customHeight="false" outlineLevel="0" collapsed="false">
      <c r="A8451" s="4" t="s">
        <v>525</v>
      </c>
      <c r="B8451" s="36" t="s">
        <v>125</v>
      </c>
      <c r="C8451" s="54" t="n">
        <f aca="false">C8448*(1-C8450)</f>
        <v>0</v>
      </c>
      <c r="D8451" s="54" t="n">
        <f aca="false">D8448*(1-D8450)</f>
        <v>0</v>
      </c>
      <c r="E8451" s="54" t="n">
        <f aca="false">E8448*(1-E8450)</f>
        <v>0</v>
      </c>
      <c r="F8451" s="54" t="n">
        <f aca="false">F8448*(1-F8450)</f>
        <v>0</v>
      </c>
      <c r="G8451" s="54" t="n">
        <f aca="false">G8448*(1-G8450)</f>
        <v>0</v>
      </c>
      <c r="H8451" s="54" t="n">
        <f aca="false">H8448*(1-H8450)</f>
        <v>0</v>
      </c>
      <c r="I8451" s="54" t="n">
        <f aca="false">I8448*(1-I8450)</f>
        <v>0</v>
      </c>
      <c r="J8451" s="54" t="n">
        <f aca="false">J8448*(1-J8450)</f>
        <v>0</v>
      </c>
      <c r="K8451" s="54" t="n">
        <f aca="false">K8448*(1-K8450)</f>
        <v>0</v>
      </c>
      <c r="L8451" s="54" t="n">
        <f aca="false">L8448*(1-L8450)</f>
        <v>0</v>
      </c>
      <c r="M8451" s="54" t="n">
        <f aca="false">M8448*(1-M8450)</f>
        <v>0</v>
      </c>
      <c r="N8451" s="54" t="n">
        <f aca="false">N8448*(1-N8450)</f>
        <v>0</v>
      </c>
      <c r="P8451" s="55" t="n">
        <f aca="false">SUM(C8451:F8451)</f>
        <v>0</v>
      </c>
      <c r="Q8451" s="55" t="n">
        <f aca="false">SUM(G8451:J8451)</f>
        <v>0</v>
      </c>
      <c r="R8451" s="55" t="n">
        <f aca="false">SUM(K8451:N8451)</f>
        <v>0</v>
      </c>
      <c r="S8451" s="56" t="n">
        <f aca="false">SUM(P8451:R8451)</f>
        <v>0</v>
      </c>
    </row>
    <row r="8452" customFormat="false" ht="15" hidden="false" customHeight="false" outlineLevel="0" collapsed="false">
      <c r="A8452" s="4" t="s">
        <v>526</v>
      </c>
      <c r="B8452" s="36" t="s">
        <v>527</v>
      </c>
      <c r="C8452" s="48" t="n">
        <f aca="false">C8446+C8447*C8450</f>
        <v>0</v>
      </c>
      <c r="D8452" s="48" t="n">
        <f aca="false">D8446+D8447*D8450</f>
        <v>0.618840317988443</v>
      </c>
      <c r="E8452" s="48" t="n">
        <f aca="false">E8446+E8447*E8450</f>
        <v>1.06074075022029</v>
      </c>
      <c r="F8452" s="48" t="n">
        <f aca="false">F8446+F8447*F8450</f>
        <v>1.17043386524711</v>
      </c>
      <c r="G8452" s="48" t="n">
        <f aca="false">G8446+G8447*G8450</f>
        <v>1.28237640993072</v>
      </c>
      <c r="H8452" s="48" t="n">
        <f aca="false">H8446+H8447*H8450</f>
        <v>1.65014055837853</v>
      </c>
      <c r="I8452" s="48" t="n">
        <f aca="false">I8446+I8447*I8450</f>
        <v>1.99365047505617</v>
      </c>
      <c r="J8452" s="48" t="n">
        <f aca="false">J8446+J8447*J8450</f>
        <v>2.95049506253129</v>
      </c>
      <c r="K8452" s="48" t="n">
        <f aca="false">K8446+K8447*K8450</f>
        <v>3.81654188110898</v>
      </c>
      <c r="L8452" s="48" t="n">
        <f aca="false">L8446+L8447*L8450</f>
        <v>3.84366044399681</v>
      </c>
      <c r="M8452" s="48" t="n">
        <f aca="false">M8446+M8447*M8450</f>
        <v>3.72985258718646</v>
      </c>
      <c r="N8452" s="48" t="n">
        <f aca="false">N8446+N8447*N8450</f>
        <v>3.62394244263475</v>
      </c>
      <c r="P8452" s="49" t="n">
        <f aca="false">SUM(C8452:F8452)</f>
        <v>2.85001493345584</v>
      </c>
      <c r="Q8452" s="49" t="n">
        <f aca="false">SUM(G8452:J8452)</f>
        <v>7.87666250589671</v>
      </c>
      <c r="R8452" s="49" t="n">
        <f aca="false">SUM(K8452:N8452)</f>
        <v>15.013997354927</v>
      </c>
      <c r="S8452" s="50" t="n">
        <f aca="false">SUM(P8452:R8452)</f>
        <v>25.7406747942796</v>
      </c>
    </row>
    <row r="8453" customFormat="false" ht="15" hidden="false" customHeight="false" outlineLevel="0" collapsed="false">
      <c r="A8453" s="4" t="s">
        <v>528</v>
      </c>
      <c r="B8453" s="36" t="s">
        <v>527</v>
      </c>
      <c r="C8453" s="48" t="n">
        <f aca="false">C8443*C8450</f>
        <v>0</v>
      </c>
      <c r="D8453" s="48" t="n">
        <f aca="false">D8443*D8450</f>
        <v>0.310060695905104</v>
      </c>
      <c r="E8453" s="48" t="n">
        <f aca="false">E8443*E8450</f>
        <v>0.531468305519075</v>
      </c>
      <c r="F8453" s="48" t="n">
        <f aca="false">F8443*F8450</f>
        <v>0.586428401997228</v>
      </c>
      <c r="G8453" s="48" t="n">
        <f aca="false">G8443*G8450</f>
        <v>0.642515541598621</v>
      </c>
      <c r="H8453" s="48" t="n">
        <f aca="false">H8443*H8450</f>
        <v>0.810467973516309</v>
      </c>
      <c r="I8453" s="48" t="n">
        <f aca="false">I8443*I8450</f>
        <v>0.967770401247342</v>
      </c>
      <c r="J8453" s="48" t="n">
        <f aca="false">J8443*J8450</f>
        <v>1.34715062945252</v>
      </c>
      <c r="K8453" s="48" t="n">
        <f aca="false">K8443*K8450</f>
        <v>1.69700826823545</v>
      </c>
      <c r="L8453" s="48" t="n">
        <f aca="false">L8443*L8450</f>
        <v>1.70906641586672</v>
      </c>
      <c r="M8453" s="48" t="n">
        <f aca="false">M8443*M8450</f>
        <v>1.65846226163137</v>
      </c>
      <c r="N8453" s="48" t="n">
        <f aca="false">N8443*N8450</f>
        <v>1.6113697898092</v>
      </c>
      <c r="P8453" s="49" t="n">
        <f aca="false">SUM(C8453:F8453)</f>
        <v>1.42795740342141</v>
      </c>
      <c r="Q8453" s="49" t="n">
        <f aca="false">SUM(G8453:J8453)</f>
        <v>3.7679045458148</v>
      </c>
      <c r="R8453" s="49" t="n">
        <f aca="false">SUM(K8453:N8453)</f>
        <v>6.67590673554273</v>
      </c>
      <c r="S8453" s="50" t="n">
        <f aca="false">SUM(P8453:R8453)</f>
        <v>11.8717686847789</v>
      </c>
    </row>
    <row r="8454" customFormat="false" ht="15" hidden="false" customHeight="false" outlineLevel="0" collapsed="false">
      <c r="A8454" s="4" t="s">
        <v>529</v>
      </c>
      <c r="B8454" s="36" t="s">
        <v>527</v>
      </c>
      <c r="C8454" s="48" t="n">
        <f aca="false">C8444*C8450</f>
        <v>0</v>
      </c>
      <c r="D8454" s="48" t="n">
        <f aca="false">D8444*D8450</f>
        <v>0</v>
      </c>
      <c r="E8454" s="48" t="n">
        <f aca="false">E8444*E8450</f>
        <v>0.0509112006856529</v>
      </c>
      <c r="F8454" s="48" t="n">
        <f aca="false">F8444*F8450</f>
        <v>0.0872657834988111</v>
      </c>
      <c r="G8454" s="48" t="n">
        <f aca="false">G8444*G8450</f>
        <v>0.0962900956365819</v>
      </c>
      <c r="H8454" s="48" t="n">
        <f aca="false">H8444*H8450</f>
        <v>0.105499465472366</v>
      </c>
      <c r="I8454" s="48" t="n">
        <f aca="false">I8444*I8450</f>
        <v>0.124471409327562</v>
      </c>
      <c r="J8454" s="48" t="n">
        <f aca="false">J8444*J8450</f>
        <v>0.142487228818336</v>
      </c>
      <c r="K8454" s="48" t="n">
        <f aca="false">K8444*K8450</f>
        <v>0.189539761226571</v>
      </c>
      <c r="L8454" s="48" t="n">
        <f aca="false">L8444*L8450</f>
        <v>0.233751333445662</v>
      </c>
      <c r="M8454" s="48" t="n">
        <f aca="false">M8444*M8450</f>
        <v>0.235412261173859</v>
      </c>
      <c r="N8454" s="48" t="n">
        <f aca="false">N8444*N8450</f>
        <v>0.228441883508756</v>
      </c>
      <c r="P8454" s="49" t="n">
        <f aca="false">SUM(C8454:F8454)</f>
        <v>0.138176984184464</v>
      </c>
      <c r="Q8454" s="49" t="n">
        <f aca="false">SUM(G8454:J8454)</f>
        <v>0.468748199254846</v>
      </c>
      <c r="R8454" s="49" t="n">
        <f aca="false">SUM(K8454:N8454)</f>
        <v>0.887145239354848</v>
      </c>
      <c r="S8454" s="50" t="n">
        <f aca="false">SUM(P8454:R8454)</f>
        <v>1.49407042279416</v>
      </c>
    </row>
    <row r="8455" customFormat="false" ht="15" hidden="false" customHeight="false" outlineLevel="0" collapsed="false">
      <c r="A8455" s="9" t="s">
        <v>530</v>
      </c>
      <c r="B8455" s="36" t="s">
        <v>527</v>
      </c>
      <c r="C8455" s="49" t="n">
        <f aca="false">C8452+C8453+C8454</f>
        <v>0</v>
      </c>
      <c r="D8455" s="49" t="n">
        <f aca="false">D8452+D8453+D8454</f>
        <v>0.928901013893547</v>
      </c>
      <c r="E8455" s="49" t="n">
        <f aca="false">E8452+E8453+E8454</f>
        <v>1.64312025642501</v>
      </c>
      <c r="F8455" s="49" t="n">
        <f aca="false">F8452+F8453+F8454</f>
        <v>1.84412805074315</v>
      </c>
      <c r="G8455" s="49" t="n">
        <f aca="false">G8452+G8453+G8454</f>
        <v>2.02118204716592</v>
      </c>
      <c r="H8455" s="49" t="n">
        <f aca="false">H8452+H8453+H8454</f>
        <v>2.5661079973672</v>
      </c>
      <c r="I8455" s="49" t="n">
        <f aca="false">I8452+I8453+I8454</f>
        <v>3.08589228563108</v>
      </c>
      <c r="J8455" s="49" t="n">
        <f aca="false">J8452+J8453+J8454</f>
        <v>4.44013292080215</v>
      </c>
      <c r="K8455" s="49" t="n">
        <f aca="false">K8452+K8453+K8454</f>
        <v>5.70308991057101</v>
      </c>
      <c r="L8455" s="49" t="n">
        <f aca="false">L8452+L8453+L8454</f>
        <v>5.78647819330918</v>
      </c>
      <c r="M8455" s="49" t="n">
        <f aca="false">M8452+M8453+M8454</f>
        <v>5.62372710999168</v>
      </c>
      <c r="N8455" s="49" t="n">
        <f aca="false">N8452+N8453+N8454</f>
        <v>5.46375411595271</v>
      </c>
      <c r="P8455" s="49" t="n">
        <f aca="false">SUM(C8455:F8455)</f>
        <v>4.41614932106171</v>
      </c>
      <c r="Q8455" s="49" t="n">
        <f aca="false">SUM(G8455:J8455)</f>
        <v>12.1133152509664</v>
      </c>
      <c r="R8455" s="49" t="n">
        <f aca="false">SUM(K8455:N8455)</f>
        <v>22.5770493298246</v>
      </c>
      <c r="S8455" s="50" t="n">
        <f aca="false">SUM(P8455:R8455)</f>
        <v>39.1065139018526</v>
      </c>
    </row>
    <row r="8456" customFormat="false" ht="15" hidden="false" customHeight="false" outlineLevel="0" collapsed="false">
      <c r="A8456" s="35" t="s">
        <v>533</v>
      </c>
      <c r="B8456" s="35" t="s">
        <v>444</v>
      </c>
      <c r="C8456" s="6" t="s">
        <v>354</v>
      </c>
      <c r="D8456" s="6" t="s">
        <v>355</v>
      </c>
      <c r="E8456" s="6" t="s">
        <v>356</v>
      </c>
      <c r="F8456" s="6" t="s">
        <v>357</v>
      </c>
      <c r="G8456" s="6" t="s">
        <v>358</v>
      </c>
      <c r="H8456" s="6" t="s">
        <v>359</v>
      </c>
      <c r="I8456" s="6" t="s">
        <v>360</v>
      </c>
      <c r="J8456" s="6" t="s">
        <v>361</v>
      </c>
      <c r="K8456" s="6" t="s">
        <v>362</v>
      </c>
      <c r="L8456" s="6" t="s">
        <v>363</v>
      </c>
      <c r="M8456" s="6" t="s">
        <v>364</v>
      </c>
      <c r="N8456" s="6" t="s">
        <v>365</v>
      </c>
      <c r="P8456" s="6" t="s">
        <v>445</v>
      </c>
      <c r="Q8456" s="6" t="s">
        <v>446</v>
      </c>
      <c r="R8456" s="6" t="s">
        <v>447</v>
      </c>
      <c r="S8456" s="6" t="s">
        <v>448</v>
      </c>
    </row>
    <row r="8457" customFormat="false" ht="15" hidden="false" customHeight="false" outlineLevel="0" collapsed="false">
      <c r="A8457" s="4" t="s">
        <v>534</v>
      </c>
      <c r="B8457" s="36" t="s">
        <v>527</v>
      </c>
      <c r="C8457" s="48" t="n">
        <f aca="false">0*Assumptions!$E$59^(1/4)+C8452</f>
        <v>0</v>
      </c>
      <c r="D8457" s="48" t="n">
        <f aca="false">C8457*Assumptions!$E$59^(1/4)+D8452</f>
        <v>0.618840317988443</v>
      </c>
      <c r="E8457" s="48" t="n">
        <f aca="false">D8457*Assumptions!$E$59^(1/4)+E8452</f>
        <v>1.66011663920288</v>
      </c>
      <c r="F8457" s="48" t="n">
        <f aca="false">E8457*Assumptions!$E$59^(1/4)+F8452</f>
        <v>2.77833473646281</v>
      </c>
      <c r="G8457" s="48" t="n">
        <f aca="false">F8457*Assumptions!$E$59^(1/4)+G8452</f>
        <v>3.97332398421226</v>
      </c>
      <c r="H8457" s="48" t="n">
        <f aca="false">G8457*Assumptions!$E$59^(1/4)+H8452</f>
        <v>5.49849129770052</v>
      </c>
      <c r="I8457" s="48" t="n">
        <f aca="false">H8457*Assumptions!$E$59^(1/4)+I8452</f>
        <v>7.31919733072152</v>
      </c>
      <c r="J8457" s="48" t="n">
        <f aca="false">I8457*Assumptions!$E$59^(1/4)+J8452</f>
        <v>10.039481153483</v>
      </c>
      <c r="K8457" s="48" t="n">
        <f aca="false">J8457*Assumptions!$E$59^(1/4)+K8452</f>
        <v>13.5402505122025</v>
      </c>
      <c r="L8457" s="48" t="n">
        <f aca="false">K8457*Assumptions!$E$59^(1/4)+L8452</f>
        <v>16.9580284835238</v>
      </c>
      <c r="M8457" s="48" t="n">
        <f aca="false">L8457*Assumptions!$E$59^(1/4)+M8452</f>
        <v>20.1544989818224</v>
      </c>
      <c r="N8457" s="48" t="n">
        <f aca="false">M8457*Assumptions!$E$59^(1/4)+N8452</f>
        <v>23.144520519214</v>
      </c>
      <c r="P8457" s="49" t="n">
        <f aca="false">F8457</f>
        <v>2.77833473646281</v>
      </c>
      <c r="Q8457" s="49" t="n">
        <f aca="false">J8457</f>
        <v>10.039481153483</v>
      </c>
      <c r="R8457" s="49" t="n">
        <f aca="false">N8457</f>
        <v>23.144520519214</v>
      </c>
      <c r="S8457" s="50" t="n">
        <f aca="false">R8457</f>
        <v>23.144520519214</v>
      </c>
    </row>
    <row r="8458" customFormat="false" ht="15" hidden="false" customHeight="false" outlineLevel="0" collapsed="false">
      <c r="A8458" s="4" t="s">
        <v>535</v>
      </c>
      <c r="B8458" s="36" t="s">
        <v>527</v>
      </c>
      <c r="C8458" s="48" t="n">
        <f aca="false">0*Assumptions!$E$60^(1/4)+C8453</f>
        <v>0</v>
      </c>
      <c r="D8458" s="48" t="n">
        <f aca="false">C8458*Assumptions!$E$60^(1/4)+D8453</f>
        <v>0.310060695905104</v>
      </c>
      <c r="E8458" s="48" t="n">
        <f aca="false">D8458*Assumptions!$E$60^(1/4)+E8453</f>
        <v>0.833468584949881</v>
      </c>
      <c r="F8458" s="48" t="n">
        <f aca="false">E8458*Assumptions!$E$60^(1/4)+F8453</f>
        <v>1.3982299262662</v>
      </c>
      <c r="G8458" s="48" t="n">
        <f aca="false">F8458*Assumptions!$E$60^(1/4)+G8453</f>
        <v>2.00439672814587</v>
      </c>
      <c r="H8458" s="48" t="n">
        <f aca="false">G8458*Assumptions!$E$60^(1/4)+H8453</f>
        <v>2.76275789605299</v>
      </c>
      <c r="I8458" s="48" t="n">
        <f aca="false">H8458*Assumptions!$E$60^(1/4)+I8453</f>
        <v>3.65870694246903</v>
      </c>
      <c r="J8458" s="48" t="n">
        <f aca="false">I8458*Assumptions!$E$60^(1/4)+J8453</f>
        <v>4.9107448984896</v>
      </c>
      <c r="K8458" s="48" t="n">
        <f aca="false">J8458*Assumptions!$E$60^(1/4)+K8453</f>
        <v>6.48009219710324</v>
      </c>
      <c r="L8458" s="48" t="n">
        <f aca="false">K8458*Assumptions!$E$60^(1/4)+L8453</f>
        <v>8.0207004930266</v>
      </c>
      <c r="M8458" s="48" t="n">
        <f aca="false">L8458*Assumptions!$E$60^(1/4)+M8453</f>
        <v>9.4706545907945</v>
      </c>
      <c r="N8458" s="48" t="n">
        <f aca="false">M8458*Assumptions!$E$60^(1/4)+N8453</f>
        <v>10.835822842343</v>
      </c>
      <c r="P8458" s="49" t="n">
        <f aca="false">F8458</f>
        <v>1.3982299262662</v>
      </c>
      <c r="Q8458" s="49" t="n">
        <f aca="false">J8458</f>
        <v>4.9107448984896</v>
      </c>
      <c r="R8458" s="49" t="n">
        <f aca="false">N8458</f>
        <v>10.835822842343</v>
      </c>
      <c r="S8458" s="50" t="n">
        <f aca="false">R8458</f>
        <v>10.835822842343</v>
      </c>
    </row>
    <row r="8459" customFormat="false" ht="15" hidden="false" customHeight="false" outlineLevel="0" collapsed="false">
      <c r="A8459" s="4" t="s">
        <v>536</v>
      </c>
      <c r="B8459" s="36" t="s">
        <v>527</v>
      </c>
      <c r="C8459" s="48" t="n">
        <f aca="false">0*Assumptions!$E$61^(1/4)+C8454</f>
        <v>0</v>
      </c>
      <c r="D8459" s="48" t="n">
        <f aca="false">C8459*Assumptions!$E$61^(1/4)+D8454</f>
        <v>0</v>
      </c>
      <c r="E8459" s="48" t="n">
        <f aca="false">D8459*Assumptions!$E$61^(1/4)+E8454</f>
        <v>0.0509112006856529</v>
      </c>
      <c r="F8459" s="48" t="n">
        <f aca="false">E8459*Assumptions!$E$61^(1/4)+F8454</f>
        <v>0.137126704510346</v>
      </c>
      <c r="G8459" s="48" t="n">
        <f aca="false">F8459*Assumptions!$E$61^(1/4)+G8454</f>
        <v>0.230587925781634</v>
      </c>
      <c r="H8459" s="48" t="n">
        <f aca="false">G8459*Assumptions!$E$61^(1/4)+H8454</f>
        <v>0.331330445664742</v>
      </c>
      <c r="I8459" s="48" t="n">
        <f aca="false">H8459*Assumptions!$E$61^(1/4)+I8454</f>
        <v>0.448966627619713</v>
      </c>
      <c r="J8459" s="48" t="n">
        <f aca="false">I8459*Assumptions!$E$61^(1/4)+J8454</f>
        <v>0.582191837137861</v>
      </c>
      <c r="K8459" s="48" t="n">
        <f aca="false">J8459*Assumptions!$E$61^(1/4)+K8454</f>
        <v>0.759721191130891</v>
      </c>
      <c r="L8459" s="48" t="n">
        <f aca="false">K8459*Assumptions!$E$61^(1/4)+L8454</f>
        <v>0.977799750917804</v>
      </c>
      <c r="M8459" s="48" t="n">
        <f aca="false">L8459*Assumptions!$E$61^(1/4)+M8454</f>
        <v>1.19304035654405</v>
      </c>
      <c r="N8459" s="48" t="n">
        <f aca="false">M8459*Assumptions!$E$61^(1/4)+N8454</f>
        <v>1.39687024858521</v>
      </c>
      <c r="P8459" s="49" t="n">
        <f aca="false">F8459</f>
        <v>0.137126704510346</v>
      </c>
      <c r="Q8459" s="49" t="n">
        <f aca="false">J8459</f>
        <v>0.582191837137861</v>
      </c>
      <c r="R8459" s="49" t="n">
        <f aca="false">N8459</f>
        <v>1.39687024858521</v>
      </c>
      <c r="S8459" s="50" t="n">
        <f aca="false">R8459</f>
        <v>1.39687024858521</v>
      </c>
    </row>
    <row r="8460" customFormat="false" ht="15" hidden="false" customHeight="false" outlineLevel="0" collapsed="false">
      <c r="A8460" s="9" t="s">
        <v>537</v>
      </c>
      <c r="B8460" s="36" t="s">
        <v>527</v>
      </c>
      <c r="C8460" s="49" t="n">
        <f aca="false">C8457+C8458+C8459</f>
        <v>0</v>
      </c>
      <c r="D8460" s="49" t="n">
        <f aca="false">D8457+D8458+D8459</f>
        <v>0.928901013893547</v>
      </c>
      <c r="E8460" s="49" t="n">
        <f aca="false">E8457+E8458+E8459</f>
        <v>2.54449642483841</v>
      </c>
      <c r="F8460" s="49" t="n">
        <f aca="false">F8457+F8458+F8459</f>
        <v>4.31369136723936</v>
      </c>
      <c r="G8460" s="49" t="n">
        <f aca="false">G8457+G8458+G8459</f>
        <v>6.20830863813976</v>
      </c>
      <c r="H8460" s="49" t="n">
        <f aca="false">H8457+H8458+H8459</f>
        <v>8.59257963941825</v>
      </c>
      <c r="I8460" s="49" t="n">
        <f aca="false">I8457+I8458+I8459</f>
        <v>11.4268709008103</v>
      </c>
      <c r="J8460" s="49" t="n">
        <f aca="false">J8457+J8458+J8459</f>
        <v>15.5324178891105</v>
      </c>
      <c r="K8460" s="49" t="n">
        <f aca="false">K8457+K8458+K8459</f>
        <v>20.7800639004366</v>
      </c>
      <c r="L8460" s="49" t="n">
        <f aca="false">L8457+L8458+L8459</f>
        <v>25.9565287274682</v>
      </c>
      <c r="M8460" s="49" t="n">
        <f aca="false">M8457+M8458+M8459</f>
        <v>30.8181939291609</v>
      </c>
      <c r="N8460" s="49" t="n">
        <f aca="false">N8457+N8458+N8459</f>
        <v>35.3772136101422</v>
      </c>
      <c r="P8460" s="49" t="n">
        <f aca="false">F8460</f>
        <v>4.31369136723936</v>
      </c>
      <c r="Q8460" s="49" t="n">
        <f aca="false">J8460</f>
        <v>15.5324178891105</v>
      </c>
      <c r="R8460" s="49" t="n">
        <f aca="false">N8460</f>
        <v>35.3772136101422</v>
      </c>
      <c r="S8460" s="50" t="n">
        <f aca="false">R8460</f>
        <v>35.3772136101422</v>
      </c>
    </row>
    <row r="8461" customFormat="false" ht="15" hidden="false" customHeight="false" outlineLevel="0" collapsed="false">
      <c r="A8461" s="4" t="s">
        <v>538</v>
      </c>
      <c r="B8461" s="36" t="s">
        <v>125</v>
      </c>
      <c r="C8461" s="54" t="n">
        <f aca="false">0*Assumptions!$E$62^(1/4)+C8452*$C$8401</f>
        <v>0</v>
      </c>
      <c r="D8461" s="54" t="n">
        <f aca="false">C8461*Assumptions!$E$62^(1/4)+D8452*$C$8401</f>
        <v>3312.03338187415</v>
      </c>
      <c r="E8461" s="54" t="n">
        <f aca="false">D8461*Assumptions!$E$62^(1/4)+E8452*$C$8401</f>
        <v>8989.11787705312</v>
      </c>
      <c r="F8461" s="54" t="n">
        <f aca="false">E8461*Assumptions!$E$62^(1/4)+F8452*$C$8401</f>
        <v>15253.2799238556</v>
      </c>
      <c r="G8461" s="54" t="n">
        <f aca="false">F8461*Assumptions!$E$62^(1/4)+G8452*$C$8401</f>
        <v>22116.5584698049</v>
      </c>
      <c r="H8461" s="54" t="n">
        <f aca="false">G8461*Assumptions!$E$62^(1/4)+H8452*$C$8401</f>
        <v>30948.1107382467</v>
      </c>
      <c r="I8461" s="54" t="n">
        <f aca="false">H8461*Assumptions!$E$62^(1/4)+I8452*$C$8401</f>
        <v>41618.1280807474</v>
      </c>
      <c r="J8461" s="54" t="n">
        <f aca="false">I8461*Assumptions!$E$62^(1/4)+J8452*$C$8401</f>
        <v>57409.1776554148</v>
      </c>
      <c r="K8461" s="54" t="n">
        <f aca="false">J8461*Assumptions!$E$62^(1/4)+K8452*$C$8401</f>
        <v>77835.3098031101</v>
      </c>
      <c r="L8461" s="54" t="n">
        <f aca="false">K8461*Assumptions!$E$62^(1/4)+L8452*$C$8401</f>
        <v>98406.580499381</v>
      </c>
      <c r="M8461" s="54" t="n">
        <f aca="false">L8461*Assumptions!$E$62^(1/4)+M8452*$C$8401</f>
        <v>118368.751546003</v>
      </c>
      <c r="N8461" s="54" t="n">
        <f aca="false">M8461*Assumptions!$E$62^(1/4)+N8452*$C$8401</f>
        <v>137764.091498984</v>
      </c>
      <c r="P8461" s="55" t="n">
        <f aca="false">F8461</f>
        <v>15253.2799238556</v>
      </c>
      <c r="Q8461" s="55" t="n">
        <f aca="false">J8461</f>
        <v>57409.1776554148</v>
      </c>
      <c r="R8461" s="55" t="n">
        <f aca="false">N8461</f>
        <v>137764.091498984</v>
      </c>
      <c r="S8461" s="56" t="n">
        <f aca="false">R8461</f>
        <v>137764.091498984</v>
      </c>
    </row>
    <row r="8462" customFormat="false" ht="15" hidden="false" customHeight="false" outlineLevel="0" collapsed="false">
      <c r="A8462" s="4" t="s">
        <v>539</v>
      </c>
      <c r="B8462" s="36" t="s">
        <v>125</v>
      </c>
      <c r="C8462" s="54" t="n">
        <f aca="false">0*Assumptions!$E$63^(1/4)+C8453*$C$8402</f>
        <v>0</v>
      </c>
      <c r="D8462" s="54" t="n">
        <f aca="false">C8462*Assumptions!$E$63^(1/4)+D8453*$C$8402</f>
        <v>4542.41405974688</v>
      </c>
      <c r="E8462" s="54" t="n">
        <f aca="false">D8462*Assumptions!$E$63^(1/4)+E8453*$C$8402</f>
        <v>12395.1220408543</v>
      </c>
      <c r="F8462" s="54" t="n">
        <f aca="false">E8462*Assumptions!$E$63^(1/4)+F8453*$C$8402</f>
        <v>21168.229271711</v>
      </c>
      <c r="G8462" s="54" t="n">
        <f aca="false">F8462*Assumptions!$E$63^(1/4)+G8453*$C$8402</f>
        <v>30891.7528214579</v>
      </c>
      <c r="H8462" s="54" t="n">
        <f aca="false">G8462*Assumptions!$E$63^(1/4)+H8453*$C$8402</f>
        <v>43218.4744562162</v>
      </c>
      <c r="I8462" s="54" t="n">
        <f aca="false">H8462*Assumptions!$E$63^(1/4)+I8453*$C$8402</f>
        <v>58030.5696888402</v>
      </c>
      <c r="J8462" s="54" t="n">
        <f aca="false">I8462*Assumptions!$E$63^(1/4)+J8453*$C$8402</f>
        <v>78617.9660952364</v>
      </c>
      <c r="K8462" s="54" t="n">
        <f aca="false">J8462*Assumptions!$E$63^(1/4)+K8453*$C$8402</f>
        <v>104632.901253862</v>
      </c>
      <c r="L8462" s="54" t="n">
        <f aca="false">K8462*Assumptions!$E$63^(1/4)+L8453*$C$8402</f>
        <v>131206.228398871</v>
      </c>
      <c r="M8462" s="54" t="n">
        <f aca="false">L8462*Assumptions!$E$63^(1/4)+M8453*$C$8402</f>
        <v>157428.133540942</v>
      </c>
      <c r="N8462" s="54" t="n">
        <f aca="false">M8462*Assumptions!$E$63^(1/4)+N8453*$C$8402</f>
        <v>183344.90639663</v>
      </c>
      <c r="P8462" s="55" t="n">
        <f aca="false">F8462</f>
        <v>21168.229271711</v>
      </c>
      <c r="Q8462" s="55" t="n">
        <f aca="false">J8462</f>
        <v>78617.9660952364</v>
      </c>
      <c r="R8462" s="55" t="n">
        <f aca="false">N8462</f>
        <v>183344.90639663</v>
      </c>
      <c r="S8462" s="56" t="n">
        <f aca="false">R8462</f>
        <v>183344.90639663</v>
      </c>
    </row>
    <row r="8463" customFormat="false" ht="15" hidden="false" customHeight="false" outlineLevel="0" collapsed="false">
      <c r="A8463" s="4" t="s">
        <v>540</v>
      </c>
      <c r="B8463" s="36" t="s">
        <v>125</v>
      </c>
      <c r="C8463" s="54" t="n">
        <f aca="false">0*Assumptions!$E$64^(1/4)+C8454*$C$8403</f>
        <v>0</v>
      </c>
      <c r="D8463" s="54" t="n">
        <f aca="false">C8463*Assumptions!$E$64^(1/4)+D8454*$C$8403</f>
        <v>0</v>
      </c>
      <c r="E8463" s="54" t="n">
        <f aca="false">D8463*Assumptions!$E$64^(1/4)+E8454*$C$8403</f>
        <v>4717.80780059628</v>
      </c>
      <c r="F8463" s="54" t="n">
        <f aca="false">E8463*Assumptions!$E$64^(1/4)+F8454*$C$8403</f>
        <v>12972.2558688044</v>
      </c>
      <c r="G8463" s="54" t="n">
        <f aca="false">F8463*Assumptions!$E$64^(1/4)+G8454*$C$8403</f>
        <v>22356.4756327569</v>
      </c>
      <c r="H8463" s="54" t="n">
        <f aca="false">G8463*Assumptions!$E$64^(1/4)+H8454*$C$8403</f>
        <v>32927.7884134845</v>
      </c>
      <c r="I8463" s="54" t="n">
        <f aca="false">H8463*Assumptions!$E$64^(1/4)+I8454*$C$8403</f>
        <v>45633.0771538012</v>
      </c>
      <c r="J8463" s="54" t="n">
        <f aca="false">I8463*Assumptions!$E$64^(1/4)+J8454*$C$8403</f>
        <v>60459.6203898445</v>
      </c>
      <c r="K8463" s="54" t="n">
        <f aca="false">J8463*Assumptions!$E$64^(1/4)+K8454*$C$8403</f>
        <v>80173.6020864915</v>
      </c>
      <c r="L8463" s="54" t="n">
        <f aca="false">K8463*Assumptions!$E$64^(1/4)+L8454*$C$8403</f>
        <v>104685.545803928</v>
      </c>
      <c r="M8463" s="54" t="n">
        <f aca="false">L8463*Assumptions!$E$64^(1/4)+M8454*$C$8403</f>
        <v>130223.000915483</v>
      </c>
      <c r="N8463" s="54" t="n">
        <f aca="false">M8463*Assumptions!$E$64^(1/4)+N8454*$C$8403</f>
        <v>156022.592139453</v>
      </c>
      <c r="P8463" s="55" t="n">
        <f aca="false">F8463</f>
        <v>12972.2558688044</v>
      </c>
      <c r="Q8463" s="55" t="n">
        <f aca="false">J8463</f>
        <v>60459.6203898445</v>
      </c>
      <c r="R8463" s="55" t="n">
        <f aca="false">N8463</f>
        <v>156022.592139453</v>
      </c>
      <c r="S8463" s="56" t="n">
        <f aca="false">R8463</f>
        <v>156022.592139453</v>
      </c>
    </row>
    <row r="8464" customFormat="false" ht="15" hidden="false" customHeight="false" outlineLevel="0" collapsed="false">
      <c r="A8464" s="9" t="s">
        <v>541</v>
      </c>
      <c r="B8464" s="36" t="s">
        <v>125</v>
      </c>
      <c r="C8464" s="55" t="n">
        <f aca="false">C8461+C8462+C8463</f>
        <v>0</v>
      </c>
      <c r="D8464" s="55" t="n">
        <f aca="false">D8461+D8462+D8463</f>
        <v>7854.44744162103</v>
      </c>
      <c r="E8464" s="55" t="n">
        <f aca="false">E8461+E8462+E8463</f>
        <v>26102.0477185037</v>
      </c>
      <c r="F8464" s="55" t="n">
        <f aca="false">F8461+F8462+F8463</f>
        <v>49393.765064371</v>
      </c>
      <c r="G8464" s="55" t="n">
        <f aca="false">G8461+G8462+G8463</f>
        <v>75364.7869240196</v>
      </c>
      <c r="H8464" s="55" t="n">
        <f aca="false">H8461+H8462+H8463</f>
        <v>107094.373607947</v>
      </c>
      <c r="I8464" s="55" t="n">
        <f aca="false">I8461+I8462+I8463</f>
        <v>145281.774923389</v>
      </c>
      <c r="J8464" s="55" t="n">
        <f aca="false">J8461+J8462+J8463</f>
        <v>196486.764140496</v>
      </c>
      <c r="K8464" s="55" t="n">
        <f aca="false">K8461+K8462+K8463</f>
        <v>262641.813143463</v>
      </c>
      <c r="L8464" s="55" t="n">
        <f aca="false">L8461+L8462+L8463</f>
        <v>334298.35470218</v>
      </c>
      <c r="M8464" s="55" t="n">
        <f aca="false">M8461+M8462+M8463</f>
        <v>406019.886002427</v>
      </c>
      <c r="N8464" s="55" t="n">
        <f aca="false">N8461+N8462+N8463</f>
        <v>477131.590035067</v>
      </c>
      <c r="P8464" s="55" t="n">
        <f aca="false">F8464</f>
        <v>49393.765064371</v>
      </c>
      <c r="Q8464" s="55" t="n">
        <f aca="false">J8464</f>
        <v>196486.764140496</v>
      </c>
      <c r="R8464" s="55" t="n">
        <f aca="false">N8464</f>
        <v>477131.590035067</v>
      </c>
      <c r="S8464" s="56" t="n">
        <f aca="false">R8464</f>
        <v>477131.590035067</v>
      </c>
    </row>
    <row r="8465" customFormat="false" ht="15" hidden="false" customHeight="false" outlineLevel="0" collapsed="false">
      <c r="A8465" s="4" t="s">
        <v>542</v>
      </c>
      <c r="B8465" s="36" t="s">
        <v>125</v>
      </c>
      <c r="C8465" s="54" t="n">
        <f aca="false">C8452*$C$8401+C8453*$C$8402+C8454*$C$8403</f>
        <v>0</v>
      </c>
      <c r="D8465" s="54" t="n">
        <f aca="false">D8452*$C$8401+D8453*$C$8402+D8454*$C$8403</f>
        <v>7854.44744162103</v>
      </c>
      <c r="E8465" s="54" t="n">
        <f aca="false">E8452*$C$8401+E8453*$C$8402+E8454*$C$8403</f>
        <v>18180.9455917356</v>
      </c>
      <c r="F8465" s="54" t="n">
        <f aca="false">F8452*$C$8401+F8453*$C$8402+F8454*$C$8403</f>
        <v>22942.0770618593</v>
      </c>
      <c r="G8465" s="54" t="n">
        <f aca="false">G8452*$C$8401+G8453*$C$8402+G8454*$C$8403</f>
        <v>25199.1340551467</v>
      </c>
      <c r="H8465" s="54" t="n">
        <f aca="false">H8452*$C$8401+H8453*$C$8402+H8454*$C$8403</f>
        <v>30481.3325878663</v>
      </c>
      <c r="I8465" s="54" t="n">
        <f aca="false">I8452*$C$8401+I8453*$C$8402+I8454*$C$8403</f>
        <v>36382.3712554591</v>
      </c>
      <c r="J8465" s="54" t="n">
        <f aca="false">J8452*$C$8401+J8453*$C$8402+J8454*$C$8403</f>
        <v>48730.8331232753</v>
      </c>
      <c r="K8465" s="54" t="n">
        <f aca="false">K8452*$C$8401+K8453*$C$8402+K8454*$C$8403</f>
        <v>62851.5932649856</v>
      </c>
      <c r="L8465" s="54" t="n">
        <f aca="false">L8452*$C$8401+L8453*$C$8402+L8454*$C$8403</f>
        <v>67270.3553979626</v>
      </c>
      <c r="M8465" s="54" t="n">
        <f aca="false">M8452*$C$8401+M8453*$C$8402+M8454*$C$8403</f>
        <v>66073.8146587921</v>
      </c>
      <c r="N8465" s="54" t="n">
        <f aca="false">N8452*$C$8401+N8453*$C$8402+N8454*$C$8403</f>
        <v>64171.1484104525</v>
      </c>
      <c r="P8465" s="55" t="n">
        <f aca="false">SUM(C8465:F8465)</f>
        <v>48977.470095216</v>
      </c>
      <c r="Q8465" s="55" t="n">
        <f aca="false">SUM(G8465:J8465)</f>
        <v>140793.671021747</v>
      </c>
      <c r="R8465" s="55" t="n">
        <f aca="false">SUM(K8465:N8465)</f>
        <v>260366.911732193</v>
      </c>
      <c r="S8465" s="56" t="n">
        <f aca="false">SUM(P8465:R8465)</f>
        <v>450138.052849156</v>
      </c>
    </row>
    <row r="8466" customFormat="false" ht="15" hidden="false" customHeight="false" outlineLevel="0" collapsed="false">
      <c r="A8466" s="9" t="s">
        <v>543</v>
      </c>
      <c r="B8466" s="36" t="s">
        <v>125</v>
      </c>
      <c r="C8466" s="55" t="n">
        <f aca="false">(0+C8464)/8</f>
        <v>0</v>
      </c>
      <c r="D8466" s="55" t="n">
        <f aca="false">(C8464+D8464)/8</f>
        <v>981.805930202629</v>
      </c>
      <c r="E8466" s="55" t="n">
        <f aca="false">(D8464+E8464)/8</f>
        <v>4244.5618950156</v>
      </c>
      <c r="F8466" s="55" t="n">
        <f aca="false">(E8464+F8464)/8</f>
        <v>9436.97659785934</v>
      </c>
      <c r="G8466" s="55" t="n">
        <f aca="false">(F8464+G8464)/8</f>
        <v>15594.8189985488</v>
      </c>
      <c r="H8466" s="55" t="n">
        <f aca="false">(G8464+H8464)/8</f>
        <v>22807.3950664959</v>
      </c>
      <c r="I8466" s="55" t="n">
        <f aca="false">(H8464+I8464)/8</f>
        <v>31547.018566417</v>
      </c>
      <c r="J8466" s="55" t="n">
        <f aca="false">(I8464+J8464)/8</f>
        <v>42721.0673829856</v>
      </c>
      <c r="K8466" s="55" t="n">
        <f aca="false">(J8464+K8464)/8</f>
        <v>57391.0721604949</v>
      </c>
      <c r="L8466" s="55" t="n">
        <f aca="false">(K8464+L8464)/8</f>
        <v>74617.5209807054</v>
      </c>
      <c r="M8466" s="55" t="n">
        <f aca="false">(L8464+M8464)/8</f>
        <v>92539.7800880759</v>
      </c>
      <c r="N8466" s="55" t="n">
        <f aca="false">(M8464+N8464)/8</f>
        <v>110393.934504687</v>
      </c>
      <c r="P8466" s="55" t="n">
        <f aca="false">SUM(C8466:F8466)</f>
        <v>14663.3444230776</v>
      </c>
      <c r="Q8466" s="55" t="n">
        <f aca="false">SUM(G8466:J8466)</f>
        <v>112670.300014447</v>
      </c>
      <c r="R8466" s="55" t="n">
        <f aca="false">SUM(K8466:N8466)</f>
        <v>334942.307733963</v>
      </c>
      <c r="S8466" s="56" t="n">
        <f aca="false">SUM(P8466:R8466)</f>
        <v>462275.952171488</v>
      </c>
    </row>
    <row r="8467" customFormat="false" ht="15" hidden="false" customHeight="false" outlineLevel="0" collapsed="false">
      <c r="A8467" s="4" t="s">
        <v>544</v>
      </c>
      <c r="B8467" s="36" t="s">
        <v>125</v>
      </c>
      <c r="C8467" s="54" t="n">
        <f aca="false">C8466*Assumptions!$E$76</f>
        <v>0</v>
      </c>
      <c r="D8467" s="54" t="n">
        <f aca="false">D8466*Assumptions!$E$76</f>
        <v>638.173854631709</v>
      </c>
      <c r="E8467" s="54" t="n">
        <f aca="false">E8466*Assumptions!$E$76</f>
        <v>2758.96523176014</v>
      </c>
      <c r="F8467" s="54" t="n">
        <f aca="false">F8466*Assumptions!$E$76</f>
        <v>6134.03478860857</v>
      </c>
      <c r="G8467" s="54" t="n">
        <f aca="false">G8466*Assumptions!$E$76</f>
        <v>10136.6323490567</v>
      </c>
      <c r="H8467" s="54" t="n">
        <f aca="false">H8466*Assumptions!$E$76</f>
        <v>14824.8067932223</v>
      </c>
      <c r="I8467" s="54" t="n">
        <f aca="false">I8466*Assumptions!$E$76</f>
        <v>20505.5620681711</v>
      </c>
      <c r="J8467" s="54" t="n">
        <f aca="false">J8466*Assumptions!$E$76</f>
        <v>27768.6937989406</v>
      </c>
      <c r="K8467" s="54" t="n">
        <f aca="false">K8466*Assumptions!$E$76</f>
        <v>37304.1969043217</v>
      </c>
      <c r="L8467" s="54" t="n">
        <f aca="false">L8466*Assumptions!$E$76</f>
        <v>48501.3886374585</v>
      </c>
      <c r="M8467" s="54" t="n">
        <f aca="false">M8466*Assumptions!$E$76</f>
        <v>60150.8570572493</v>
      </c>
      <c r="N8467" s="54" t="n">
        <f aca="false">N8466*Assumptions!$E$76</f>
        <v>71756.0574280464</v>
      </c>
      <c r="P8467" s="55" t="n">
        <f aca="false">SUM(C8467:F8467)</f>
        <v>9531.17387500042</v>
      </c>
      <c r="Q8467" s="55" t="n">
        <f aca="false">SUM(G8467:J8467)</f>
        <v>73235.6950093907</v>
      </c>
      <c r="R8467" s="55" t="n">
        <f aca="false">SUM(K8467:N8467)</f>
        <v>217712.500027076</v>
      </c>
      <c r="S8467" s="56" t="n">
        <f aca="false">SUM(P8467:R8467)</f>
        <v>300479.368911467</v>
      </c>
    </row>
    <row r="8468" customFormat="false" ht="15" hidden="false" customHeight="false" outlineLevel="0" collapsed="false">
      <c r="A8468" s="35" t="s">
        <v>547</v>
      </c>
      <c r="B8468" s="35" t="s">
        <v>444</v>
      </c>
      <c r="C8468" s="6" t="s">
        <v>354</v>
      </c>
      <c r="D8468" s="6" t="s">
        <v>355</v>
      </c>
      <c r="E8468" s="6" t="s">
        <v>356</v>
      </c>
      <c r="F8468" s="6" t="s">
        <v>357</v>
      </c>
      <c r="G8468" s="6" t="s">
        <v>358</v>
      </c>
      <c r="H8468" s="6" t="s">
        <v>359</v>
      </c>
      <c r="I8468" s="6" t="s">
        <v>360</v>
      </c>
      <c r="J8468" s="6" t="s">
        <v>361</v>
      </c>
      <c r="K8468" s="6" t="s">
        <v>362</v>
      </c>
      <c r="L8468" s="6" t="s">
        <v>363</v>
      </c>
      <c r="M8468" s="6" t="s">
        <v>364</v>
      </c>
      <c r="N8468" s="6" t="s">
        <v>365</v>
      </c>
      <c r="P8468" s="6" t="s">
        <v>445</v>
      </c>
      <c r="Q8468" s="6" t="s">
        <v>446</v>
      </c>
      <c r="R8468" s="6" t="s">
        <v>447</v>
      </c>
      <c r="S8468" s="6" t="s">
        <v>448</v>
      </c>
    </row>
    <row r="8469" customFormat="false" ht="15" hidden="false" customHeight="false" outlineLevel="0" collapsed="false">
      <c r="A8469" s="4" t="s">
        <v>548</v>
      </c>
      <c r="B8469" s="36" t="s">
        <v>321</v>
      </c>
      <c r="C8469" s="48" t="n">
        <f aca="false">Assumptions!$D$97*C8411</f>
        <v>1</v>
      </c>
      <c r="D8469" s="48" t="n">
        <f aca="false">Assumptions!$D$97*D8411</f>
        <v>1</v>
      </c>
      <c r="E8469" s="48" t="n">
        <f aca="false">Assumptions!$D$97*E8411</f>
        <v>1</v>
      </c>
      <c r="F8469" s="48" t="n">
        <f aca="false">Assumptions!$D$97*F8411</f>
        <v>1</v>
      </c>
      <c r="G8469" s="48" t="n">
        <f aca="false">Assumptions!$D$97*G8411</f>
        <v>1</v>
      </c>
      <c r="H8469" s="48" t="n">
        <f aca="false">Assumptions!$D$97*H8411</f>
        <v>1</v>
      </c>
      <c r="I8469" s="48" t="n">
        <f aca="false">Assumptions!$D$97*I8411</f>
        <v>1</v>
      </c>
      <c r="J8469" s="48" t="n">
        <f aca="false">Assumptions!$D$97*J8411</f>
        <v>1</v>
      </c>
      <c r="K8469" s="48" t="n">
        <f aca="false">Assumptions!$D$97*K8411</f>
        <v>1</v>
      </c>
      <c r="L8469" s="48" t="n">
        <f aca="false">Assumptions!$D$97*L8411</f>
        <v>1</v>
      </c>
      <c r="M8469" s="48" t="n">
        <f aca="false">Assumptions!$D$97*M8411</f>
        <v>1</v>
      </c>
      <c r="N8469" s="48" t="n">
        <f aca="false">Assumptions!$D$97*N8411</f>
        <v>1</v>
      </c>
      <c r="P8469" s="49" t="n">
        <f aca="false">AVERAGE(C8469:F8469)</f>
        <v>1</v>
      </c>
      <c r="Q8469" s="49" t="n">
        <f aca="false">AVERAGE(G8469:J8469)</f>
        <v>1</v>
      </c>
      <c r="R8469" s="49" t="n">
        <f aca="false">AVERAGE(K8469:N8469)</f>
        <v>1</v>
      </c>
      <c r="S8469" s="50"/>
    </row>
    <row r="8470" customFormat="false" ht="15" hidden="false" customHeight="false" outlineLevel="0" collapsed="false">
      <c r="A8470" s="4" t="s">
        <v>549</v>
      </c>
      <c r="B8470" s="36" t="s">
        <v>321</v>
      </c>
      <c r="C8470" s="48" t="n">
        <f aca="false">C8424*C8411</f>
        <v>0</v>
      </c>
      <c r="D8470" s="48" t="n">
        <f aca="false">D8424*D8411</f>
        <v>0</v>
      </c>
      <c r="E8470" s="48" t="n">
        <f aca="false">E8424*E8411</f>
        <v>0</v>
      </c>
      <c r="F8470" s="48" t="n">
        <f aca="false">F8424*F8411</f>
        <v>0</v>
      </c>
      <c r="G8470" s="48" t="n">
        <f aca="false">G8424*G8411</f>
        <v>0</v>
      </c>
      <c r="H8470" s="48" t="n">
        <f aca="false">H8424*H8411</f>
        <v>0</v>
      </c>
      <c r="I8470" s="48" t="n">
        <f aca="false">I8424*I8411</f>
        <v>0</v>
      </c>
      <c r="J8470" s="48" t="n">
        <f aca="false">J8424*J8411</f>
        <v>0</v>
      </c>
      <c r="K8470" s="48" t="n">
        <f aca="false">K8424*K8411</f>
        <v>0</v>
      </c>
      <c r="L8470" s="48" t="n">
        <f aca="false">L8424*L8411</f>
        <v>0</v>
      </c>
      <c r="M8470" s="48" t="n">
        <f aca="false">M8424*M8411</f>
        <v>0</v>
      </c>
      <c r="N8470" s="48" t="n">
        <f aca="false">N8424*N8411</f>
        <v>0</v>
      </c>
      <c r="P8470" s="49" t="n">
        <f aca="false">AVERAGE(C8470:F8470)</f>
        <v>0</v>
      </c>
      <c r="Q8470" s="49" t="n">
        <f aca="false">AVERAGE(G8470:J8470)</f>
        <v>0</v>
      </c>
      <c r="R8470" s="49" t="n">
        <f aca="false">AVERAGE(K8470:N8470)</f>
        <v>0</v>
      </c>
      <c r="S8470" s="50"/>
    </row>
    <row r="8471" customFormat="false" ht="15" hidden="false" customHeight="false" outlineLevel="0" collapsed="false">
      <c r="A8471" s="4" t="s">
        <v>550</v>
      </c>
      <c r="B8471" s="36" t="s">
        <v>321</v>
      </c>
      <c r="C8471" s="48" t="n">
        <f aca="false">IF(C8410&lt;=4,Assumptions!$D$98,Assumptions!$D$99)*C8411</f>
        <v>0</v>
      </c>
      <c r="D8471" s="48" t="n">
        <f aca="false">IF(D8410&lt;=4,Assumptions!$D$98,Assumptions!$D$99)*D8411</f>
        <v>0</v>
      </c>
      <c r="E8471" s="48" t="n">
        <f aca="false">IF(E8410&lt;=4,Assumptions!$D$98,Assumptions!$D$99)*E8411</f>
        <v>0</v>
      </c>
      <c r="F8471" s="48" t="n">
        <f aca="false">IF(F8410&lt;=4,Assumptions!$D$98,Assumptions!$D$99)*F8411</f>
        <v>0</v>
      </c>
      <c r="G8471" s="48" t="n">
        <f aca="false">IF(G8410&lt;=4,Assumptions!$D$98,Assumptions!$D$99)*G8411</f>
        <v>0.5</v>
      </c>
      <c r="H8471" s="48" t="n">
        <f aca="false">IF(H8410&lt;=4,Assumptions!$D$98,Assumptions!$D$99)*H8411</f>
        <v>0.5</v>
      </c>
      <c r="I8471" s="48" t="n">
        <f aca="false">IF(I8410&lt;=4,Assumptions!$D$98,Assumptions!$D$99)*I8411</f>
        <v>0.5</v>
      </c>
      <c r="J8471" s="48" t="n">
        <f aca="false">IF(J8410&lt;=4,Assumptions!$D$98,Assumptions!$D$99)*J8411</f>
        <v>0.5</v>
      </c>
      <c r="K8471" s="48" t="n">
        <f aca="false">IF(K8410&lt;=4,Assumptions!$D$98,Assumptions!$D$99)*K8411</f>
        <v>0.5</v>
      </c>
      <c r="L8471" s="48" t="n">
        <f aca="false">IF(L8410&lt;=4,Assumptions!$D$98,Assumptions!$D$99)*L8411</f>
        <v>0.5</v>
      </c>
      <c r="M8471" s="48" t="n">
        <f aca="false">IF(M8410&lt;=4,Assumptions!$D$98,Assumptions!$D$99)*M8411</f>
        <v>0.5</v>
      </c>
      <c r="N8471" s="48" t="n">
        <f aca="false">IF(N8410&lt;=4,Assumptions!$D$98,Assumptions!$D$99)*N8411</f>
        <v>0.5</v>
      </c>
      <c r="P8471" s="49" t="n">
        <f aca="false">AVERAGE(C8471:F8471)</f>
        <v>0</v>
      </c>
      <c r="Q8471" s="49" t="n">
        <f aca="false">AVERAGE(G8471:J8471)</f>
        <v>0.5</v>
      </c>
      <c r="R8471" s="49" t="n">
        <f aca="false">AVERAGE(K8471:N8471)</f>
        <v>0.5</v>
      </c>
      <c r="S8471" s="50"/>
    </row>
    <row r="8472" customFormat="false" ht="15" hidden="false" customHeight="false" outlineLevel="0" collapsed="false">
      <c r="A8472" s="4" t="s">
        <v>551</v>
      </c>
      <c r="B8472" s="36" t="s">
        <v>321</v>
      </c>
      <c r="C8472" s="48" t="n">
        <f aca="false">IF(C8410&lt;=4,Assumptions!$D$100,Assumptions!$D$101)*C8411</f>
        <v>1</v>
      </c>
      <c r="D8472" s="48" t="n">
        <f aca="false">IF(D8410&lt;=4,Assumptions!$D$100,Assumptions!$D$101)*D8411</f>
        <v>1</v>
      </c>
      <c r="E8472" s="48" t="n">
        <f aca="false">IF(E8410&lt;=4,Assumptions!$D$100,Assumptions!$D$101)*E8411</f>
        <v>1</v>
      </c>
      <c r="F8472" s="48" t="n">
        <f aca="false">IF(F8410&lt;=4,Assumptions!$D$100,Assumptions!$D$101)*F8411</f>
        <v>1</v>
      </c>
      <c r="G8472" s="48" t="n">
        <f aca="false">IF(G8410&lt;=4,Assumptions!$D$100,Assumptions!$D$101)*G8411</f>
        <v>0.5</v>
      </c>
      <c r="H8472" s="48" t="n">
        <f aca="false">IF(H8410&lt;=4,Assumptions!$D$100,Assumptions!$D$101)*H8411</f>
        <v>0.5</v>
      </c>
      <c r="I8472" s="48" t="n">
        <f aca="false">IF(I8410&lt;=4,Assumptions!$D$100,Assumptions!$D$101)*I8411</f>
        <v>0.5</v>
      </c>
      <c r="J8472" s="48" t="n">
        <f aca="false">IF(J8410&lt;=4,Assumptions!$D$100,Assumptions!$D$101)*J8411</f>
        <v>0.5</v>
      </c>
      <c r="K8472" s="48" t="n">
        <f aca="false">IF(K8410&lt;=4,Assumptions!$D$100,Assumptions!$D$101)*K8411</f>
        <v>0.5</v>
      </c>
      <c r="L8472" s="48" t="n">
        <f aca="false">IF(L8410&lt;=4,Assumptions!$D$100,Assumptions!$D$101)*L8411</f>
        <v>0.5</v>
      </c>
      <c r="M8472" s="48" t="n">
        <f aca="false">IF(M8410&lt;=4,Assumptions!$D$100,Assumptions!$D$101)*M8411</f>
        <v>0.5</v>
      </c>
      <c r="N8472" s="48" t="n">
        <f aca="false">IF(N8410&lt;=4,Assumptions!$D$100,Assumptions!$D$101)*N8411</f>
        <v>0.5</v>
      </c>
      <c r="P8472" s="49" t="n">
        <f aca="false">AVERAGE(C8472:F8472)</f>
        <v>1</v>
      </c>
      <c r="Q8472" s="49" t="n">
        <f aca="false">AVERAGE(G8472:J8472)</f>
        <v>0.5</v>
      </c>
      <c r="R8472" s="49" t="n">
        <f aca="false">AVERAGE(K8472:N8472)</f>
        <v>0.5</v>
      </c>
      <c r="S8472" s="50"/>
    </row>
    <row r="8473" customFormat="false" ht="15" hidden="false" customHeight="false" outlineLevel="0" collapsed="false">
      <c r="A8473" s="4" t="s">
        <v>552</v>
      </c>
      <c r="B8473" s="36" t="s">
        <v>321</v>
      </c>
      <c r="C8473" s="48" t="n">
        <f aca="false">Assumptions!$D$102*C8411</f>
        <v>0.25</v>
      </c>
      <c r="D8473" s="48" t="n">
        <f aca="false">Assumptions!$D$102*D8411</f>
        <v>0.25</v>
      </c>
      <c r="E8473" s="48" t="n">
        <f aca="false">Assumptions!$D$102*E8411</f>
        <v>0.25</v>
      </c>
      <c r="F8473" s="48" t="n">
        <f aca="false">Assumptions!$D$102*F8411</f>
        <v>0.25</v>
      </c>
      <c r="G8473" s="48" t="n">
        <f aca="false">Assumptions!$D$102*G8411</f>
        <v>0.25</v>
      </c>
      <c r="H8473" s="48" t="n">
        <f aca="false">Assumptions!$D$102*H8411</f>
        <v>0.25</v>
      </c>
      <c r="I8473" s="48" t="n">
        <f aca="false">Assumptions!$D$102*I8411</f>
        <v>0.25</v>
      </c>
      <c r="J8473" s="48" t="n">
        <f aca="false">Assumptions!$D$102*J8411</f>
        <v>0.25</v>
      </c>
      <c r="K8473" s="48" t="n">
        <f aca="false">Assumptions!$D$102*K8411</f>
        <v>0.25</v>
      </c>
      <c r="L8473" s="48" t="n">
        <f aca="false">Assumptions!$D$102*L8411</f>
        <v>0.25</v>
      </c>
      <c r="M8473" s="48" t="n">
        <f aca="false">Assumptions!$D$102*M8411</f>
        <v>0.25</v>
      </c>
      <c r="N8473" s="48" t="n">
        <f aca="false">Assumptions!$D$102*N8411</f>
        <v>0.25</v>
      </c>
      <c r="P8473" s="49" t="n">
        <f aca="false">AVERAGE(C8473:F8473)</f>
        <v>0.25</v>
      </c>
      <c r="Q8473" s="49" t="n">
        <f aca="false">AVERAGE(G8473:J8473)</f>
        <v>0.25</v>
      </c>
      <c r="R8473" s="49" t="n">
        <f aca="false">AVERAGE(K8473:N8473)</f>
        <v>0.25</v>
      </c>
      <c r="S8473" s="50"/>
    </row>
    <row r="8474" customFormat="false" ht="15" hidden="false" customHeight="false" outlineLevel="0" collapsed="false">
      <c r="A8474" s="4" t="s">
        <v>553</v>
      </c>
      <c r="B8474" s="36" t="s">
        <v>321</v>
      </c>
      <c r="C8474" s="48" t="n">
        <f aca="false">(C8458+C8459)/Assumptions!$E$74+C8457/Assumptions!$E$75</f>
        <v>0</v>
      </c>
      <c r="D8474" s="48" t="n">
        <f aca="false">(D8458+D8459)/Assumptions!$E$74+D8457/Assumptions!$E$75</f>
        <v>0.0102268786695814</v>
      </c>
      <c r="E8474" s="48" t="n">
        <f aca="false">(E8458+E8459)/Assumptions!$E$74+E8457/Assumptions!$E$75</f>
        <v>0.0287499611976999</v>
      </c>
      <c r="F8474" s="48" t="n">
        <f aca="false">(F8458+F8459)/Assumptions!$E$74+F8457/Assumptions!$E$75</f>
        <v>0.049497254715265</v>
      </c>
      <c r="G8474" s="48" t="n">
        <f aca="false">(G8458+G8459)/Assumptions!$E$74+G8457/Assumptions!$E$75</f>
        <v>0.0717679122850366</v>
      </c>
      <c r="H8474" s="48" t="n">
        <f aca="false">(H8458+H8459)/Assumptions!$E$74+H8457/Assumptions!$E$75</f>
        <v>0.0993461737337454</v>
      </c>
      <c r="I8474" s="48" t="n">
        <f aca="false">(I8458+I8459)/Assumptions!$E$74+I8457/Assumptions!$E$75</f>
        <v>0.131968628575105</v>
      </c>
      <c r="J8474" s="48" t="n">
        <f aca="false">(J8458+J8459)/Assumptions!$E$74+J8457/Assumptions!$E$75</f>
        <v>0.177481343004619</v>
      </c>
      <c r="K8474" s="48" t="n">
        <f aca="false">(K8458+K8459)/Assumptions!$E$74+K8457/Assumptions!$E$75</f>
        <v>0.235156336754663</v>
      </c>
      <c r="L8474" s="48" t="n">
        <f aca="false">(L8458+L8459)/Assumptions!$E$74+L8457/Assumptions!$E$75</f>
        <v>0.292794620032706</v>
      </c>
      <c r="M8474" s="48" t="n">
        <f aca="false">(M8458+M8459)/Assumptions!$E$74+M8457/Assumptions!$E$75</f>
        <v>0.347210369610753</v>
      </c>
      <c r="N8474" s="48" t="n">
        <f aca="false">(N8458+N8459)/Assumptions!$E$74+N8457/Assumptions!$E$75</f>
        <v>0.398395409350061</v>
      </c>
      <c r="P8474" s="49" t="n">
        <f aca="false">AVERAGE(C8474:F8474)</f>
        <v>0.0221185236456365</v>
      </c>
      <c r="Q8474" s="49" t="n">
        <f aca="false">AVERAGE(G8474:J8474)</f>
        <v>0.120141014399626</v>
      </c>
      <c r="R8474" s="49" t="n">
        <f aca="false">AVERAGE(K8474:N8474)</f>
        <v>0.318389183937046</v>
      </c>
      <c r="S8474" s="50"/>
    </row>
    <row r="8475" customFormat="false" ht="15" hidden="false" customHeight="false" outlineLevel="0" collapsed="false">
      <c r="A8475" s="4" t="s">
        <v>554</v>
      </c>
      <c r="B8475" s="36" t="s">
        <v>125</v>
      </c>
      <c r="C8475" s="54" t="n">
        <f aca="false">(C8469+C8471)*Assumptions!$E$70/Assumptions!$E$69/4</f>
        <v>66753.5714285714</v>
      </c>
      <c r="D8475" s="54" t="n">
        <f aca="false">(D8469+D8471)*Assumptions!$E$70/Assumptions!$E$69/4</f>
        <v>66753.5714285714</v>
      </c>
      <c r="E8475" s="54" t="n">
        <f aca="false">(E8469+E8471)*Assumptions!$E$70/Assumptions!$E$69/4</f>
        <v>66753.5714285714</v>
      </c>
      <c r="F8475" s="54" t="n">
        <f aca="false">(F8469+F8471)*Assumptions!$E$70/Assumptions!$E$69/4</f>
        <v>66753.5714285714</v>
      </c>
      <c r="G8475" s="54" t="n">
        <f aca="false">(G8469+G8471)*Assumptions!$E$70/Assumptions!$E$69/4</f>
        <v>100130.357142857</v>
      </c>
      <c r="H8475" s="54" t="n">
        <f aca="false">(H8469+H8471)*Assumptions!$E$70/Assumptions!$E$69/4</f>
        <v>100130.357142857</v>
      </c>
      <c r="I8475" s="54" t="n">
        <f aca="false">(I8469+I8471)*Assumptions!$E$70/Assumptions!$E$69/4</f>
        <v>100130.357142857</v>
      </c>
      <c r="J8475" s="54" t="n">
        <f aca="false">(J8469+J8471)*Assumptions!$E$70/Assumptions!$E$69/4</f>
        <v>100130.357142857</v>
      </c>
      <c r="K8475" s="54" t="n">
        <f aca="false">(K8469+K8471)*Assumptions!$E$70/Assumptions!$E$69/4</f>
        <v>100130.357142857</v>
      </c>
      <c r="L8475" s="54" t="n">
        <f aca="false">(L8469+L8471)*Assumptions!$E$70/Assumptions!$E$69/4</f>
        <v>100130.357142857</v>
      </c>
      <c r="M8475" s="54" t="n">
        <f aca="false">(M8469+M8471)*Assumptions!$E$70/Assumptions!$E$69/4</f>
        <v>100130.357142857</v>
      </c>
      <c r="N8475" s="54" t="n">
        <f aca="false">(N8469+N8471)*Assumptions!$E$70/Assumptions!$E$69/4</f>
        <v>100130.357142857</v>
      </c>
      <c r="P8475" s="55" t="n">
        <f aca="false">SUM(C8475:F8475)</f>
        <v>267014.285714286</v>
      </c>
      <c r="Q8475" s="55" t="n">
        <f aca="false">SUM(G8475:J8475)</f>
        <v>400521.428571429</v>
      </c>
      <c r="R8475" s="55" t="n">
        <f aca="false">SUM(K8475:N8475)</f>
        <v>400521.428571429</v>
      </c>
      <c r="S8475" s="56" t="n">
        <f aca="false">SUM(P8475:R8475)</f>
        <v>1068057.14285714</v>
      </c>
    </row>
    <row r="8476" customFormat="false" ht="15" hidden="false" customHeight="false" outlineLevel="0" collapsed="false">
      <c r="A8476" s="4" t="s">
        <v>555</v>
      </c>
      <c r="B8476" s="36" t="s">
        <v>125</v>
      </c>
      <c r="C8476" s="54" t="n">
        <f aca="false">C8470*$C$8405/4</f>
        <v>0</v>
      </c>
      <c r="D8476" s="54" t="n">
        <f aca="false">D8470*$C$8405/4</f>
        <v>0</v>
      </c>
      <c r="E8476" s="54" t="n">
        <f aca="false">E8470*$C$8405/4</f>
        <v>0</v>
      </c>
      <c r="F8476" s="54" t="n">
        <f aca="false">F8470*$C$8405/4</f>
        <v>0</v>
      </c>
      <c r="G8476" s="54" t="n">
        <f aca="false">G8470*$C$8405/4</f>
        <v>0</v>
      </c>
      <c r="H8476" s="54" t="n">
        <f aca="false">H8470*$C$8405/4</f>
        <v>0</v>
      </c>
      <c r="I8476" s="54" t="n">
        <f aca="false">I8470*$C$8405/4</f>
        <v>0</v>
      </c>
      <c r="J8476" s="54" t="n">
        <f aca="false">J8470*$C$8405/4</f>
        <v>0</v>
      </c>
      <c r="K8476" s="54" t="n">
        <f aca="false">K8470*$C$8405/4</f>
        <v>0</v>
      </c>
      <c r="L8476" s="54" t="n">
        <f aca="false">L8470*$C$8405/4</f>
        <v>0</v>
      </c>
      <c r="M8476" s="54" t="n">
        <f aca="false">M8470*$C$8405/4</f>
        <v>0</v>
      </c>
      <c r="N8476" s="54" t="n">
        <f aca="false">N8470*$C$8405/4</f>
        <v>0</v>
      </c>
      <c r="P8476" s="55" t="n">
        <f aca="false">SUM(C8476:F8476)</f>
        <v>0</v>
      </c>
      <c r="Q8476" s="55" t="n">
        <f aca="false">SUM(G8476:J8476)</f>
        <v>0</v>
      </c>
      <c r="R8476" s="55" t="n">
        <f aca="false">SUM(K8476:N8476)</f>
        <v>0</v>
      </c>
      <c r="S8476" s="56" t="n">
        <f aca="false">SUM(P8476:R8476)</f>
        <v>0</v>
      </c>
    </row>
    <row r="8477" customFormat="false" ht="15" hidden="false" customHeight="false" outlineLevel="0" collapsed="false">
      <c r="A8477" s="4" t="s">
        <v>556</v>
      </c>
      <c r="B8477" s="36" t="s">
        <v>125</v>
      </c>
      <c r="C8477" s="54" t="n">
        <f aca="false">MAX(0,(C8465-C8446*$C$8401)-C8425*$C$8406)*$C$8407*Assumptions!$D$105</f>
        <v>0</v>
      </c>
      <c r="D8477" s="54" t="n">
        <f aca="false">MAX(0,(D8465-D8446*$C$8401)-D8425*$C$8406)*$C$8407*Assumptions!$D$105</f>
        <v>3200.39063652888</v>
      </c>
      <c r="E8477" s="54" t="n">
        <f aca="false">MAX(0,(E8465-E8446*$C$8401)-E8425*$C$8406)*$C$8407*Assumptions!$D$105</f>
        <v>7686.44676066795</v>
      </c>
      <c r="F8477" s="54" t="n">
        <f aca="false">MAX(0,(F8465-F8446*$C$8401)-F8425*$C$8406)*$C$8407*Assumptions!$D$105</f>
        <v>9825.22609810778</v>
      </c>
      <c r="G8477" s="54" t="n">
        <f aca="false">MAX(0,(G8465-G8446*$C$8401)-G8425*$C$8406)*$C$8407*Assumptions!$D$105</f>
        <v>10794.2392962621</v>
      </c>
      <c r="H8477" s="54" t="n">
        <f aca="false">MAX(0,(H8465-H8446*$C$8401)-H8425*$C$8406)*$C$8407*Assumptions!$D$105</f>
        <v>12982.7950588146</v>
      </c>
      <c r="I8477" s="54" t="n">
        <f aca="false">MAX(0,(I8465-I8446*$C$8401)-I8425*$C$8406)*$C$8407*Assumptions!$D$105</f>
        <v>15478.1882461616</v>
      </c>
      <c r="J8477" s="54" t="n">
        <f aca="false">MAX(0,(J8465-J8446*$C$8401)-J8425*$C$8406)*$C$8407*Assumptions!$D$105</f>
        <v>20521.7577846648</v>
      </c>
      <c r="K8477" s="54" t="n">
        <f aca="false">MAX(0,(K8465-K8446*$C$8401)-K8425*$C$8406)*$C$8407*Assumptions!$D$105</f>
        <v>26460.0599979835</v>
      </c>
      <c r="L8477" s="54" t="n">
        <f aca="false">MAX(0,(L8465-L8446*$C$8401)-L8425*$C$8406)*$C$8407*Assumptions!$D$105</f>
        <v>28500.9792135656</v>
      </c>
      <c r="M8477" s="54" t="n">
        <f aca="false">MAX(0,(M8465-M8446*$C$8401)-M8425*$C$8406)*$C$8407*Assumptions!$D$105</f>
        <v>28028.0645340201</v>
      </c>
      <c r="N8477" s="54" t="n">
        <f aca="false">MAX(0,(N8465-N8446*$C$8401)-N8425*$C$8406)*$C$8407*Assumptions!$D$105</f>
        <v>27219.8467286569</v>
      </c>
      <c r="P8477" s="55" t="n">
        <f aca="false">SUM(C8477:F8477)</f>
        <v>20712.0634953046</v>
      </c>
      <c r="Q8477" s="55" t="n">
        <f aca="false">SUM(G8477:J8477)</f>
        <v>59776.9803859031</v>
      </c>
      <c r="R8477" s="55" t="n">
        <f aca="false">SUM(K8477:N8477)</f>
        <v>110208.950474226</v>
      </c>
      <c r="S8477" s="56" t="n">
        <f aca="false">SUM(P8477:R8477)</f>
        <v>190697.994355434</v>
      </c>
    </row>
    <row r="8478" customFormat="false" ht="15" hidden="false" customHeight="false" outlineLevel="0" collapsed="false">
      <c r="A8478" s="4" t="s">
        <v>557</v>
      </c>
      <c r="B8478" s="36" t="s">
        <v>125</v>
      </c>
      <c r="C8478" s="54" t="n">
        <f aca="false">C8473*Assumptions!$E$71/Assumptions!$E$69/4</f>
        <v>18475.8928571429</v>
      </c>
      <c r="D8478" s="54" t="n">
        <f aca="false">D8473*Assumptions!$E$71/Assumptions!$E$69/4</f>
        <v>18475.8928571429</v>
      </c>
      <c r="E8478" s="54" t="n">
        <f aca="false">E8473*Assumptions!$E$71/Assumptions!$E$69/4</f>
        <v>18475.8928571429</v>
      </c>
      <c r="F8478" s="54" t="n">
        <f aca="false">F8473*Assumptions!$E$71/Assumptions!$E$69/4</f>
        <v>18475.8928571429</v>
      </c>
      <c r="G8478" s="54" t="n">
        <f aca="false">G8473*Assumptions!$E$71/Assumptions!$E$69/4</f>
        <v>18475.8928571429</v>
      </c>
      <c r="H8478" s="54" t="n">
        <f aca="false">H8473*Assumptions!$E$71/Assumptions!$E$69/4</f>
        <v>18475.8928571429</v>
      </c>
      <c r="I8478" s="54" t="n">
        <f aca="false">I8473*Assumptions!$E$71/Assumptions!$E$69/4</f>
        <v>18475.8928571429</v>
      </c>
      <c r="J8478" s="54" t="n">
        <f aca="false">J8473*Assumptions!$E$71/Assumptions!$E$69/4</f>
        <v>18475.8928571429</v>
      </c>
      <c r="K8478" s="54" t="n">
        <f aca="false">K8473*Assumptions!$E$71/Assumptions!$E$69/4</f>
        <v>18475.8928571429</v>
      </c>
      <c r="L8478" s="54" t="n">
        <f aca="false">L8473*Assumptions!$E$71/Assumptions!$E$69/4</f>
        <v>18475.8928571429</v>
      </c>
      <c r="M8478" s="54" t="n">
        <f aca="false">M8473*Assumptions!$E$71/Assumptions!$E$69/4</f>
        <v>18475.8928571429</v>
      </c>
      <c r="N8478" s="54" t="n">
        <f aca="false">N8473*Assumptions!$E$71/Assumptions!$E$69/4</f>
        <v>18475.8928571429</v>
      </c>
      <c r="P8478" s="55" t="n">
        <f aca="false">SUM(C8478:F8478)</f>
        <v>73903.5714285714</v>
      </c>
      <c r="Q8478" s="55" t="n">
        <f aca="false">SUM(G8478:J8478)</f>
        <v>73903.5714285714</v>
      </c>
      <c r="R8478" s="55" t="n">
        <f aca="false">SUM(K8478:N8478)</f>
        <v>73903.5714285714</v>
      </c>
      <c r="S8478" s="56" t="n">
        <f aca="false">SUM(P8478:R8478)</f>
        <v>221710.714285714</v>
      </c>
    </row>
    <row r="8479" customFormat="false" ht="15" hidden="false" customHeight="false" outlineLevel="0" collapsed="false">
      <c r="A8479" s="4" t="s">
        <v>558</v>
      </c>
      <c r="B8479" s="36" t="s">
        <v>125</v>
      </c>
      <c r="C8479" s="54" t="n">
        <f aca="false">(Assumptions!$D$103+Assumptions!$E$77*((C8410=Assumptions!$E$13)+(C8410=Assumptions!$E$14)+(C8410=Assumptions!$E$15)))*C8411</f>
        <v>65000</v>
      </c>
      <c r="D8479" s="54" t="n">
        <f aca="false">(Assumptions!$D$103+Assumptions!$E$77*((D8410=Assumptions!$E$13)+(D8410=Assumptions!$E$14)+(D8410=Assumptions!$E$15)))*D8411</f>
        <v>25000</v>
      </c>
      <c r="E8479" s="54" t="n">
        <f aca="false">(Assumptions!$D$103+Assumptions!$E$77*((E8410=Assumptions!$E$13)+(E8410=Assumptions!$E$14)+(E8410=Assumptions!$E$15)))*E8411</f>
        <v>25000</v>
      </c>
      <c r="F8479" s="54" t="n">
        <f aca="false">(Assumptions!$D$103+Assumptions!$E$77*((F8410=Assumptions!$E$13)+(F8410=Assumptions!$E$14)+(F8410=Assumptions!$E$15)))*F8411</f>
        <v>25000</v>
      </c>
      <c r="G8479" s="54" t="n">
        <f aca="false">(Assumptions!$D$103+Assumptions!$E$77*((G8410=Assumptions!$E$13)+(G8410=Assumptions!$E$14)+(G8410=Assumptions!$E$15)))*G8411</f>
        <v>65000</v>
      </c>
      <c r="H8479" s="54" t="n">
        <f aca="false">(Assumptions!$D$103+Assumptions!$E$77*((H8410=Assumptions!$E$13)+(H8410=Assumptions!$E$14)+(H8410=Assumptions!$E$15)))*H8411</f>
        <v>25000</v>
      </c>
      <c r="I8479" s="54" t="n">
        <f aca="false">(Assumptions!$D$103+Assumptions!$E$77*((I8410=Assumptions!$E$13)+(I8410=Assumptions!$E$14)+(I8410=Assumptions!$E$15)))*I8411</f>
        <v>65000</v>
      </c>
      <c r="J8479" s="54" t="n">
        <f aca="false">(Assumptions!$D$103+Assumptions!$E$77*((J8410=Assumptions!$E$13)+(J8410=Assumptions!$E$14)+(J8410=Assumptions!$E$15)))*J8411</f>
        <v>25000</v>
      </c>
      <c r="K8479" s="54" t="n">
        <f aca="false">(Assumptions!$D$103+Assumptions!$E$77*((K8410=Assumptions!$E$13)+(K8410=Assumptions!$E$14)+(K8410=Assumptions!$E$15)))*K8411</f>
        <v>25000</v>
      </c>
      <c r="L8479" s="54" t="n">
        <f aca="false">(Assumptions!$D$103+Assumptions!$E$77*((L8410=Assumptions!$E$13)+(L8410=Assumptions!$E$14)+(L8410=Assumptions!$E$15)))*L8411</f>
        <v>25000</v>
      </c>
      <c r="M8479" s="54" t="n">
        <f aca="false">(Assumptions!$D$103+Assumptions!$E$77*((M8410=Assumptions!$E$13)+(M8410=Assumptions!$E$14)+(M8410=Assumptions!$E$15)))*M8411</f>
        <v>25000</v>
      </c>
      <c r="N8479" s="54" t="n">
        <f aca="false">(Assumptions!$D$103+Assumptions!$E$77*((N8410=Assumptions!$E$13)+(N8410=Assumptions!$E$14)+(N8410=Assumptions!$E$15)))*N8411</f>
        <v>25000</v>
      </c>
      <c r="P8479" s="55" t="n">
        <f aca="false">SUM(C8479:F8479)</f>
        <v>140000</v>
      </c>
      <c r="Q8479" s="55" t="n">
        <f aca="false">SUM(G8479:J8479)</f>
        <v>180000</v>
      </c>
      <c r="R8479" s="55" t="n">
        <f aca="false">SUM(K8479:N8479)</f>
        <v>100000</v>
      </c>
      <c r="S8479" s="56" t="n">
        <f aca="false">SUM(P8479:R8479)</f>
        <v>420000</v>
      </c>
    </row>
    <row r="8480" customFormat="false" ht="15" hidden="false" customHeight="false" outlineLevel="0" collapsed="false">
      <c r="A8480" s="4" t="s">
        <v>559</v>
      </c>
      <c r="B8480" s="36" t="s">
        <v>125</v>
      </c>
      <c r="C8480" s="54" t="n">
        <f aca="false">C8465*C8445*Assumptions!$E$79</f>
        <v>0</v>
      </c>
      <c r="D8480" s="54" t="n">
        <f aca="false">D8465*D8445*Assumptions!$E$79</f>
        <v>721.465051392001</v>
      </c>
      <c r="E8480" s="54" t="n">
        <f aca="false">E8465*E8445*Assumptions!$E$79</f>
        <v>1461.42567756339</v>
      </c>
      <c r="F8480" s="54" t="n">
        <f aca="false">F8465*F8445*Assumptions!$E$79</f>
        <v>2228.40493520717</v>
      </c>
      <c r="G8480" s="54" t="n">
        <f aca="false">G8465*G8445*Assumptions!$E$79</f>
        <v>2792.46903573925</v>
      </c>
      <c r="H8480" s="54" t="n">
        <f aca="false">H8465*H8445*Assumptions!$E$79</f>
        <v>3183.63841190622</v>
      </c>
      <c r="I8480" s="54" t="n">
        <f aca="false">I8465*I8445*Assumptions!$E$79</f>
        <v>3692.26361004644</v>
      </c>
      <c r="J8480" s="54" t="n">
        <f aca="false">J8465*J8445*Assumptions!$E$79</f>
        <v>3909.59992790755</v>
      </c>
      <c r="K8480" s="54" t="n">
        <f aca="false">K8465*K8445*Assumptions!$E$79</f>
        <v>4429.0168783632</v>
      </c>
      <c r="L8480" s="54" t="n">
        <f aca="false">L8465*L8445*Assumptions!$E$79</f>
        <v>5229.94684406579</v>
      </c>
      <c r="M8480" s="54" t="n">
        <f aca="false">M8465*M8445*Assumptions!$E$79</f>
        <v>5293.66287582484</v>
      </c>
      <c r="N8480" s="54" t="n">
        <f aca="false">N8465*N8445*Assumptions!$E$79</f>
        <v>5291.47912513701</v>
      </c>
      <c r="P8480" s="55" t="n">
        <f aca="false">SUM(C8480:F8480)</f>
        <v>4411.29566416256</v>
      </c>
      <c r="Q8480" s="55" t="n">
        <f aca="false">SUM(G8480:J8480)</f>
        <v>13577.9709855995</v>
      </c>
      <c r="R8480" s="55" t="n">
        <f aca="false">SUM(K8480:N8480)</f>
        <v>20244.1057233908</v>
      </c>
      <c r="S8480" s="56" t="n">
        <f aca="false">SUM(P8480:R8480)</f>
        <v>38233.3723731529</v>
      </c>
    </row>
    <row r="8481" customFormat="false" ht="15" hidden="false" customHeight="false" outlineLevel="0" collapsed="false">
      <c r="A8481" s="4" t="s">
        <v>560</v>
      </c>
      <c r="B8481" s="36" t="s">
        <v>125</v>
      </c>
      <c r="C8481" s="54" t="n">
        <f aca="false">C8430*Assumptions!$E$80</f>
        <v>4000</v>
      </c>
      <c r="D8481" s="54" t="n">
        <f aca="false">D8430*Assumptions!$E$80</f>
        <v>6000</v>
      </c>
      <c r="E8481" s="54" t="n">
        <f aca="false">E8430*Assumptions!$E$80</f>
        <v>8000</v>
      </c>
      <c r="F8481" s="54" t="n">
        <f aca="false">F8430*Assumptions!$E$80</f>
        <v>10000</v>
      </c>
      <c r="G8481" s="54" t="n">
        <f aca="false">G8430*Assumptions!$E$80</f>
        <v>12000</v>
      </c>
      <c r="H8481" s="54" t="n">
        <f aca="false">H8430*Assumptions!$E$80</f>
        <v>14000</v>
      </c>
      <c r="I8481" s="54" t="n">
        <f aca="false">I8430*Assumptions!$E$80</f>
        <v>16000</v>
      </c>
      <c r="J8481" s="54" t="n">
        <f aca="false">J8430*Assumptions!$E$80</f>
        <v>18000</v>
      </c>
      <c r="K8481" s="54" t="n">
        <f aca="false">K8430*Assumptions!$E$80</f>
        <v>20000</v>
      </c>
      <c r="L8481" s="54" t="n">
        <f aca="false">L8430*Assumptions!$E$80</f>
        <v>20000</v>
      </c>
      <c r="M8481" s="54" t="n">
        <f aca="false">M8430*Assumptions!$E$80</f>
        <v>20000</v>
      </c>
      <c r="N8481" s="54" t="n">
        <f aca="false">N8430*Assumptions!$E$80</f>
        <v>20000</v>
      </c>
      <c r="P8481" s="55" t="n">
        <f aca="false">SUM(C8481:F8481)</f>
        <v>28000</v>
      </c>
      <c r="Q8481" s="55" t="n">
        <f aca="false">SUM(G8481:J8481)</f>
        <v>60000</v>
      </c>
      <c r="R8481" s="55" t="n">
        <f aca="false">SUM(K8481:N8481)</f>
        <v>80000</v>
      </c>
      <c r="S8481" s="56" t="n">
        <f aca="false">SUM(P8481:R8481)</f>
        <v>168000</v>
      </c>
    </row>
    <row r="8482" customFormat="false" ht="15" hidden="false" customHeight="false" outlineLevel="0" collapsed="false">
      <c r="A8482" s="4" t="s">
        <v>561</v>
      </c>
      <c r="B8482" s="36" t="s">
        <v>125</v>
      </c>
      <c r="C8482" s="54" t="n">
        <f aca="false">(C8453*$C$8402+C8454*$C$8403)*Assumptions!$E$81</f>
        <v>0</v>
      </c>
      <c r="D8482" s="54" t="n">
        <f aca="false">(D8453*$C$8402+D8454*$C$8403)*Assumptions!$E$81</f>
        <v>681.362108962033</v>
      </c>
      <c r="E8482" s="54" t="n">
        <f aca="false">(E8453*$C$8402+E8454*$C$8403)*Assumptions!$E$81</f>
        <v>1875.5791644835</v>
      </c>
      <c r="F8482" s="54" t="n">
        <f aca="false">(F8453*$C$8402+F8454*$C$8403)*Assumptions!$E$81</f>
        <v>2501.68725225852</v>
      </c>
      <c r="G8482" s="54" t="n">
        <f aca="false">(G8453*$C$8402+G8454*$C$8403)*Assumptions!$E$81</f>
        <v>2750.37832637962</v>
      </c>
      <c r="H8482" s="54" t="n">
        <f aca="false">(H8453*$C$8402+H8454*$C$8403)*Assumptions!$E$81</f>
        <v>3247.46704791367</v>
      </c>
      <c r="I8482" s="54" t="n">
        <f aca="false">(I8453*$C$8402+I8454*$C$8403)*Assumptions!$E$81</f>
        <v>3856.85308694377</v>
      </c>
      <c r="J8482" s="54" t="n">
        <f aca="false">(J8453*$C$8402+J8454*$C$8403)*Assumptions!$E$81</f>
        <v>4940.96753229118</v>
      </c>
      <c r="K8482" s="54" t="n">
        <f aca="false">(K8453*$C$8402+K8454*$C$8403)*Assumptions!$E$81</f>
        <v>6363.81916759355</v>
      </c>
      <c r="L8482" s="54" t="n">
        <f aca="false">(L8453*$C$8402+L8454*$C$8403)*Assumptions!$E$81</f>
        <v>7004.86270525376</v>
      </c>
      <c r="M8482" s="54" t="n">
        <f aca="false">(M8453*$C$8402+M8454*$C$8403)*Assumptions!$E$81</f>
        <v>6916.74654182553</v>
      </c>
      <c r="N8482" s="54" t="n">
        <f aca="false">(N8453*$C$8402+N8454*$C$8403)*Assumptions!$E$81</f>
        <v>6716.3712686207</v>
      </c>
      <c r="P8482" s="55" t="n">
        <f aca="false">SUM(C8482:F8482)</f>
        <v>5058.62852570404</v>
      </c>
      <c r="Q8482" s="55" t="n">
        <f aca="false">SUM(G8482:J8482)</f>
        <v>14795.6659935282</v>
      </c>
      <c r="R8482" s="55" t="n">
        <f aca="false">SUM(K8482:N8482)</f>
        <v>27001.7996832935</v>
      </c>
      <c r="S8482" s="56" t="n">
        <f aca="false">SUM(P8482:R8482)</f>
        <v>46856.0942025258</v>
      </c>
    </row>
    <row r="8483" customFormat="false" ht="15" hidden="false" customHeight="false" outlineLevel="0" collapsed="false">
      <c r="A8483" s="9" t="s">
        <v>562</v>
      </c>
      <c r="B8483" s="36" t="s">
        <v>125</v>
      </c>
      <c r="C8483" s="55" t="n">
        <f aca="false">C8475+C8476+C8477+C8478+C8479+C8480+C8481+C8482</f>
        <v>154229.464285714</v>
      </c>
      <c r="D8483" s="55" t="n">
        <f aca="false">D8475+D8476+D8477+D8478+D8479+D8480+D8481+D8482</f>
        <v>120832.682082597</v>
      </c>
      <c r="E8483" s="55" t="n">
        <f aca="false">E8475+E8476+E8477+E8478+E8479+E8480+E8481+E8482</f>
        <v>129252.915888429</v>
      </c>
      <c r="F8483" s="55" t="n">
        <f aca="false">F8475+F8476+F8477+F8478+F8479+F8480+F8481+F8482</f>
        <v>134784.782571288</v>
      </c>
      <c r="G8483" s="55" t="n">
        <f aca="false">G8475+G8476+G8477+G8478+G8479+G8480+G8481+G8482</f>
        <v>211943.336658381</v>
      </c>
      <c r="H8483" s="55" t="n">
        <f aca="false">H8475+H8476+H8477+H8478+H8479+H8480+H8481+H8482</f>
        <v>177020.150518635</v>
      </c>
      <c r="I8483" s="55" t="n">
        <f aca="false">I8475+I8476+I8477+I8478+I8479+I8480+I8481+I8482</f>
        <v>222633.554943152</v>
      </c>
      <c r="J8483" s="55" t="n">
        <f aca="false">J8475+J8476+J8477+J8478+J8479+J8480+J8481+J8482</f>
        <v>190978.575244864</v>
      </c>
      <c r="K8483" s="55" t="n">
        <f aca="false">K8475+K8476+K8477+K8478+K8479+K8480+K8481+K8482</f>
        <v>200859.14604394</v>
      </c>
      <c r="L8483" s="55" t="n">
        <f aca="false">L8475+L8476+L8477+L8478+L8479+L8480+L8481+L8482</f>
        <v>204342.038762885</v>
      </c>
      <c r="M8483" s="55" t="n">
        <f aca="false">M8475+M8476+M8477+M8478+M8479+M8480+M8481+M8482</f>
        <v>203844.72395167</v>
      </c>
      <c r="N8483" s="55" t="n">
        <f aca="false">N8475+N8476+N8477+N8478+N8479+N8480+N8481+N8482</f>
        <v>202833.947122415</v>
      </c>
      <c r="P8483" s="55" t="n">
        <f aca="false">SUM(C8483:F8483)</f>
        <v>539099.844828028</v>
      </c>
      <c r="Q8483" s="55" t="n">
        <f aca="false">SUM(G8483:J8483)</f>
        <v>802575.617365031</v>
      </c>
      <c r="R8483" s="55" t="n">
        <f aca="false">SUM(K8483:N8483)</f>
        <v>811879.85588091</v>
      </c>
      <c r="S8483" s="56" t="n">
        <f aca="false">SUM(P8483:R8483)</f>
        <v>2153555.31807397</v>
      </c>
    </row>
    <row r="8484" customFormat="false" ht="15" hidden="false" customHeight="false" outlineLevel="0" collapsed="false">
      <c r="A8484" s="4" t="s">
        <v>563</v>
      </c>
      <c r="B8484" s="36" t="s">
        <v>125</v>
      </c>
      <c r="C8484" s="54" t="n">
        <f aca="false">C8472*Assumptions!$E$72/Assumptions!$E$69/4</f>
        <v>56535.7142857143</v>
      </c>
      <c r="D8484" s="54" t="n">
        <f aca="false">D8472*Assumptions!$E$72/Assumptions!$E$69/4</f>
        <v>56535.7142857143</v>
      </c>
      <c r="E8484" s="54" t="n">
        <f aca="false">E8472*Assumptions!$E$72/Assumptions!$E$69/4</f>
        <v>56535.7142857143</v>
      </c>
      <c r="F8484" s="54" t="n">
        <f aca="false">F8472*Assumptions!$E$72/Assumptions!$E$69/4</f>
        <v>56535.7142857143</v>
      </c>
      <c r="G8484" s="54" t="n">
        <f aca="false">G8472*Assumptions!$E$72/Assumptions!$E$69/4</f>
        <v>28267.8571428571</v>
      </c>
      <c r="H8484" s="54" t="n">
        <f aca="false">H8472*Assumptions!$E$72/Assumptions!$E$69/4</f>
        <v>28267.8571428571</v>
      </c>
      <c r="I8484" s="54" t="n">
        <f aca="false">I8472*Assumptions!$E$72/Assumptions!$E$69/4</f>
        <v>28267.8571428571</v>
      </c>
      <c r="J8484" s="54" t="n">
        <f aca="false">J8472*Assumptions!$E$72/Assumptions!$E$69/4</f>
        <v>28267.8571428571</v>
      </c>
      <c r="K8484" s="54" t="n">
        <f aca="false">K8472*Assumptions!$E$72/Assumptions!$E$69/4</f>
        <v>28267.8571428571</v>
      </c>
      <c r="L8484" s="54" t="n">
        <f aca="false">L8472*Assumptions!$E$72/Assumptions!$E$69/4</f>
        <v>28267.8571428571</v>
      </c>
      <c r="M8484" s="54" t="n">
        <f aca="false">M8472*Assumptions!$E$72/Assumptions!$E$69/4</f>
        <v>28267.8571428571</v>
      </c>
      <c r="N8484" s="54" t="n">
        <f aca="false">N8472*Assumptions!$E$72/Assumptions!$E$69/4</f>
        <v>28267.8571428571</v>
      </c>
      <c r="P8484" s="55" t="n">
        <f aca="false">SUM(C8484:F8484)</f>
        <v>226142.857142857</v>
      </c>
      <c r="Q8484" s="55" t="n">
        <f aca="false">SUM(G8484:J8484)</f>
        <v>113071.428571429</v>
      </c>
      <c r="R8484" s="55" t="n">
        <f aca="false">SUM(K8484:N8484)</f>
        <v>113071.428571429</v>
      </c>
      <c r="S8484" s="56" t="n">
        <f aca="false">SUM(P8484:R8484)</f>
        <v>452285.714285714</v>
      </c>
    </row>
    <row r="8485" customFormat="false" ht="15" hidden="false" customHeight="false" outlineLevel="0" collapsed="false">
      <c r="A8485" s="4" t="s">
        <v>564</v>
      </c>
      <c r="B8485" s="36" t="s">
        <v>125</v>
      </c>
      <c r="C8485" s="54" t="n">
        <f aca="false">IF(C8410&lt;=Assumptions!$E$83,Assumptions!$E$82*Assumptions!$D$108/Assumptions!$E$83,0)</f>
        <v>62500</v>
      </c>
      <c r="D8485" s="54" t="n">
        <f aca="false">IF(D8410&lt;=Assumptions!$E$83,Assumptions!$E$82*Assumptions!$D$108/Assumptions!$E$83,0)</f>
        <v>62500</v>
      </c>
      <c r="E8485" s="54" t="n">
        <f aca="false">IF(E8410&lt;=Assumptions!$E$83,Assumptions!$E$82*Assumptions!$D$108/Assumptions!$E$83,0)</f>
        <v>62500</v>
      </c>
      <c r="F8485" s="54" t="n">
        <f aca="false">IF(F8410&lt;=Assumptions!$E$83,Assumptions!$E$82*Assumptions!$D$108/Assumptions!$E$83,0)</f>
        <v>62500</v>
      </c>
      <c r="G8485" s="54" t="n">
        <f aca="false">IF(G8410&lt;=Assumptions!$E$83,Assumptions!$E$82*Assumptions!$D$108/Assumptions!$E$83,0)</f>
        <v>0</v>
      </c>
      <c r="H8485" s="54" t="n">
        <f aca="false">IF(H8410&lt;=Assumptions!$E$83,Assumptions!$E$82*Assumptions!$D$108/Assumptions!$E$83,0)</f>
        <v>0</v>
      </c>
      <c r="I8485" s="54" t="n">
        <f aca="false">IF(I8410&lt;=Assumptions!$E$83,Assumptions!$E$82*Assumptions!$D$108/Assumptions!$E$83,0)</f>
        <v>0</v>
      </c>
      <c r="J8485" s="54" t="n">
        <f aca="false">IF(J8410&lt;=Assumptions!$E$83,Assumptions!$E$82*Assumptions!$D$108/Assumptions!$E$83,0)</f>
        <v>0</v>
      </c>
      <c r="K8485" s="54" t="n">
        <f aca="false">IF(K8410&lt;=Assumptions!$E$83,Assumptions!$E$82*Assumptions!$D$108/Assumptions!$E$83,0)</f>
        <v>0</v>
      </c>
      <c r="L8485" s="54" t="n">
        <f aca="false">IF(L8410&lt;=Assumptions!$E$83,Assumptions!$E$82*Assumptions!$D$108/Assumptions!$E$83,0)</f>
        <v>0</v>
      </c>
      <c r="M8485" s="54" t="n">
        <f aca="false">IF(M8410&lt;=Assumptions!$E$83,Assumptions!$E$82*Assumptions!$D$108/Assumptions!$E$83,0)</f>
        <v>0</v>
      </c>
      <c r="N8485" s="54" t="n">
        <f aca="false">IF(N8410&lt;=Assumptions!$E$83,Assumptions!$E$82*Assumptions!$D$108/Assumptions!$E$83,0)</f>
        <v>0</v>
      </c>
      <c r="P8485" s="55" t="n">
        <f aca="false">SUM(C8485:F8485)</f>
        <v>250000</v>
      </c>
      <c r="Q8485" s="55" t="n">
        <f aca="false">SUM(G8485:J8485)</f>
        <v>0</v>
      </c>
      <c r="R8485" s="55" t="n">
        <f aca="false">SUM(K8485:N8485)</f>
        <v>0</v>
      </c>
      <c r="S8485" s="56" t="n">
        <f aca="false">SUM(P8485:R8485)</f>
        <v>250000</v>
      </c>
    </row>
    <row r="8486" customFormat="false" ht="15" hidden="false" customHeight="false" outlineLevel="0" collapsed="false">
      <c r="A8486" s="4" t="s">
        <v>565</v>
      </c>
      <c r="B8486" s="36" t="s">
        <v>125</v>
      </c>
      <c r="C8486" s="54" t="n">
        <f aca="false">C8474*Assumptions!$E$73/Assumptions!$E$69/4</f>
        <v>0</v>
      </c>
      <c r="D8486" s="54" t="n">
        <f aca="false">D8474*Assumptions!$E$73/Assumptions!$E$69/4</f>
        <v>410.937899683786</v>
      </c>
      <c r="E8486" s="54" t="n">
        <f aca="false">E8474*Assumptions!$E$73/Assumptions!$E$69/4</f>
        <v>1155.23504798329</v>
      </c>
      <c r="F8486" s="54" t="n">
        <f aca="false">F8474*Assumptions!$E$73/Assumptions!$E$69/4</f>
        <v>1988.90576000517</v>
      </c>
      <c r="G8486" s="54" t="n">
        <f aca="false">G8474*Assumptions!$E$73/Assumptions!$E$69/4</f>
        <v>2883.78850399624</v>
      </c>
      <c r="H8486" s="54" t="n">
        <f aca="false">H8474*Assumptions!$E$73/Assumptions!$E$69/4</f>
        <v>3991.94214527989</v>
      </c>
      <c r="I8486" s="54" t="n">
        <f aca="false">I8474*Assumptions!$E$73/Assumptions!$E$69/4</f>
        <v>5302.78228606608</v>
      </c>
      <c r="J8486" s="54" t="n">
        <f aca="false">J8474*Assumptions!$E$73/Assumptions!$E$69/4</f>
        <v>7131.58067908916</v>
      </c>
      <c r="K8486" s="54" t="n">
        <f aca="false">K8474*Assumptions!$E$73/Assumptions!$E$69/4</f>
        <v>9449.08551723827</v>
      </c>
      <c r="L8486" s="54" t="n">
        <f aca="false">L8474*Assumptions!$E$73/Assumptions!$E$69/4</f>
        <v>11765.115249957</v>
      </c>
      <c r="M8486" s="54" t="n">
        <f aca="false">M8474*Assumptions!$E$73/Assumptions!$E$69/4</f>
        <v>13951.6566731807</v>
      </c>
      <c r="N8486" s="54" t="n">
        <f aca="false">N8474*Assumptions!$E$73/Assumptions!$E$69/4</f>
        <v>16008.381252134</v>
      </c>
      <c r="P8486" s="55" t="n">
        <f aca="false">SUM(C8486:F8486)</f>
        <v>3555.07870767224</v>
      </c>
      <c r="Q8486" s="55" t="n">
        <f aca="false">SUM(G8486:J8486)</f>
        <v>19310.0936144314</v>
      </c>
      <c r="R8486" s="55" t="n">
        <f aca="false">SUM(K8486:N8486)</f>
        <v>51174.23869251</v>
      </c>
      <c r="S8486" s="56" t="n">
        <f aca="false">SUM(P8486:R8486)</f>
        <v>74039.4110146136</v>
      </c>
    </row>
    <row r="8487" customFormat="false" ht="15" hidden="false" customHeight="false" outlineLevel="0" collapsed="false">
      <c r="A8487" s="9" t="s">
        <v>566</v>
      </c>
      <c r="B8487" s="36" t="s">
        <v>125</v>
      </c>
      <c r="C8487" s="55" t="n">
        <f aca="false">C8483+C8484+C8485+C8486</f>
        <v>273265.178571429</v>
      </c>
      <c r="D8487" s="55" t="n">
        <f aca="false">D8483+D8484+D8485+D8486</f>
        <v>240279.334267995</v>
      </c>
      <c r="E8487" s="55" t="n">
        <f aca="false">E8483+E8484+E8485+E8486</f>
        <v>249443.865222127</v>
      </c>
      <c r="F8487" s="55" t="n">
        <f aca="false">F8483+F8484+F8485+F8486</f>
        <v>255809.402617007</v>
      </c>
      <c r="G8487" s="55" t="n">
        <f aca="false">G8483+G8484+G8485+G8486</f>
        <v>243094.982305234</v>
      </c>
      <c r="H8487" s="55" t="n">
        <f aca="false">H8483+H8484+H8485+H8486</f>
        <v>209279.949806772</v>
      </c>
      <c r="I8487" s="55" t="n">
        <f aca="false">I8483+I8484+I8485+I8486</f>
        <v>256204.194372075</v>
      </c>
      <c r="J8487" s="55" t="n">
        <f aca="false">J8483+J8484+J8485+J8486</f>
        <v>226378.01306681</v>
      </c>
      <c r="K8487" s="55" t="n">
        <f aca="false">K8483+K8484+K8485+K8486</f>
        <v>238576.088704036</v>
      </c>
      <c r="L8487" s="55" t="n">
        <f aca="false">L8483+L8484+L8485+L8486</f>
        <v>244375.011155699</v>
      </c>
      <c r="M8487" s="55" t="n">
        <f aca="false">M8483+M8484+M8485+M8486</f>
        <v>246064.237767708</v>
      </c>
      <c r="N8487" s="55" t="n">
        <f aca="false">N8483+N8484+N8485+N8486</f>
        <v>247110.185517406</v>
      </c>
      <c r="P8487" s="55" t="n">
        <f aca="false">SUM(C8487:F8487)</f>
        <v>1018797.78067856</v>
      </c>
      <c r="Q8487" s="55" t="n">
        <f aca="false">SUM(G8487:J8487)</f>
        <v>934957.139550891</v>
      </c>
      <c r="R8487" s="55" t="n">
        <f aca="false">SUM(K8487:N8487)</f>
        <v>976125.523144849</v>
      </c>
      <c r="S8487" s="56" t="n">
        <f aca="false">SUM(P8487:R8487)</f>
        <v>2929880.4433743</v>
      </c>
    </row>
    <row r="8488" customFormat="false" ht="15" hidden="false" customHeight="false" outlineLevel="0" collapsed="false">
      <c r="A8488" s="35" t="s">
        <v>567</v>
      </c>
      <c r="B8488" s="35" t="s">
        <v>444</v>
      </c>
      <c r="C8488" s="6" t="s">
        <v>354</v>
      </c>
      <c r="D8488" s="6" t="s">
        <v>355</v>
      </c>
      <c r="E8488" s="6" t="s">
        <v>356</v>
      </c>
      <c r="F8488" s="6" t="s">
        <v>357</v>
      </c>
      <c r="G8488" s="6" t="s">
        <v>358</v>
      </c>
      <c r="H8488" s="6" t="s">
        <v>359</v>
      </c>
      <c r="I8488" s="6" t="s">
        <v>360</v>
      </c>
      <c r="J8488" s="6" t="s">
        <v>361</v>
      </c>
      <c r="K8488" s="6" t="s">
        <v>362</v>
      </c>
      <c r="L8488" s="6" t="s">
        <v>363</v>
      </c>
      <c r="M8488" s="6" t="s">
        <v>364</v>
      </c>
      <c r="N8488" s="6" t="s">
        <v>365</v>
      </c>
      <c r="P8488" s="6" t="s">
        <v>445</v>
      </c>
      <c r="Q8488" s="6" t="s">
        <v>446</v>
      </c>
      <c r="R8488" s="6" t="s">
        <v>447</v>
      </c>
      <c r="S8488" s="6" t="s">
        <v>448</v>
      </c>
    </row>
    <row r="8489" customFormat="false" ht="15" hidden="false" customHeight="false" outlineLevel="0" collapsed="false">
      <c r="A8489" s="9" t="s">
        <v>568</v>
      </c>
      <c r="B8489" s="36" t="s">
        <v>125</v>
      </c>
      <c r="C8489" s="55" t="n">
        <f aca="false">C8467-C8487</f>
        <v>-273265.178571429</v>
      </c>
      <c r="D8489" s="55" t="n">
        <f aca="false">D8467-D8487</f>
        <v>-239641.160413364</v>
      </c>
      <c r="E8489" s="55" t="n">
        <f aca="false">E8467-E8487</f>
        <v>-246684.899990367</v>
      </c>
      <c r="F8489" s="55" t="n">
        <f aca="false">F8467-F8487</f>
        <v>-249675.367828399</v>
      </c>
      <c r="G8489" s="55" t="n">
        <f aca="false">G8467-G8487</f>
        <v>-232958.349956178</v>
      </c>
      <c r="H8489" s="55" t="n">
        <f aca="false">H8467-H8487</f>
        <v>-194455.143013549</v>
      </c>
      <c r="I8489" s="55" t="n">
        <f aca="false">I8467-I8487</f>
        <v>-235698.632303904</v>
      </c>
      <c r="J8489" s="55" t="n">
        <f aca="false">J8467-J8487</f>
        <v>-198609.319267869</v>
      </c>
      <c r="K8489" s="55" t="n">
        <f aca="false">K8467-K8487</f>
        <v>-201271.891799714</v>
      </c>
      <c r="L8489" s="55" t="n">
        <f aca="false">L8467-L8487</f>
        <v>-195873.622518241</v>
      </c>
      <c r="M8489" s="55" t="n">
        <f aca="false">M8467-M8487</f>
        <v>-185913.380710459</v>
      </c>
      <c r="N8489" s="55" t="n">
        <f aca="false">N8467-N8487</f>
        <v>-175354.128089359</v>
      </c>
      <c r="P8489" s="55" t="n">
        <f aca="false">SUM(C8489:F8489)</f>
        <v>-1009266.60680356</v>
      </c>
      <c r="Q8489" s="55" t="n">
        <f aca="false">SUM(G8489:J8489)</f>
        <v>-861721.4445415</v>
      </c>
      <c r="R8489" s="55" t="n">
        <f aca="false">SUM(K8489:N8489)</f>
        <v>-758413.023117773</v>
      </c>
      <c r="S8489" s="56" t="n">
        <f aca="false">SUM(P8489:R8489)</f>
        <v>-2629401.07446283</v>
      </c>
    </row>
    <row r="8490" customFormat="false" ht="15" hidden="false" customHeight="false" outlineLevel="0" collapsed="false">
      <c r="A8490" s="9" t="s">
        <v>569</v>
      </c>
      <c r="B8490" s="36" t="s">
        <v>125</v>
      </c>
      <c r="C8490" s="55" t="n">
        <f aca="false">0+C8489</f>
        <v>-273265.178571429</v>
      </c>
      <c r="D8490" s="55" t="n">
        <f aca="false">C8490+D8489</f>
        <v>-512906.338984792</v>
      </c>
      <c r="E8490" s="55" t="n">
        <f aca="false">D8490+E8489</f>
        <v>-759591.238975159</v>
      </c>
      <c r="F8490" s="55" t="n">
        <f aca="false">E8490+F8489</f>
        <v>-1009266.60680356</v>
      </c>
      <c r="G8490" s="55" t="n">
        <f aca="false">F8490+G8489</f>
        <v>-1242224.95675973</v>
      </c>
      <c r="H8490" s="55" t="n">
        <f aca="false">G8490+H8489</f>
        <v>-1436680.09977328</v>
      </c>
      <c r="I8490" s="55" t="n">
        <f aca="false">H8490+I8489</f>
        <v>-1672378.73207719</v>
      </c>
      <c r="J8490" s="55" t="n">
        <f aca="false">I8490+J8489</f>
        <v>-1870988.05134506</v>
      </c>
      <c r="K8490" s="55" t="n">
        <f aca="false">J8490+K8489</f>
        <v>-2072259.94314477</v>
      </c>
      <c r="L8490" s="55" t="n">
        <f aca="false">K8490+L8489</f>
        <v>-2268133.56566301</v>
      </c>
      <c r="M8490" s="55" t="n">
        <f aca="false">L8490+M8489</f>
        <v>-2454046.94637347</v>
      </c>
      <c r="N8490" s="55" t="n">
        <f aca="false">M8490+N8489</f>
        <v>-2629401.07446283</v>
      </c>
      <c r="P8490" s="55" t="n">
        <f aca="false">F8490</f>
        <v>-1009266.60680356</v>
      </c>
      <c r="Q8490" s="55" t="n">
        <f aca="false">J8490</f>
        <v>-1870988.05134506</v>
      </c>
      <c r="R8490" s="55" t="n">
        <f aca="false">N8490</f>
        <v>-2629401.07446283</v>
      </c>
      <c r="S8490" s="56" t="n">
        <f aca="false">R8490</f>
        <v>-2629401.07446283</v>
      </c>
    </row>
    <row r="8491" customFormat="false" ht="15" hidden="false" customHeight="false" outlineLevel="0" collapsed="false">
      <c r="A8491" s="4" t="s">
        <v>570</v>
      </c>
      <c r="B8491" s="36" t="s">
        <v>107</v>
      </c>
      <c r="C8491" s="57" t="n">
        <f aca="false">1/(1+Assumptions!$E$87)^(C8410/4)</f>
        <v>0.972065420906982</v>
      </c>
      <c r="D8491" s="57" t="n">
        <f aca="false">1/(1+Assumptions!$E$87)^(D8410/4)</f>
        <v>0.944911182523068</v>
      </c>
      <c r="E8491" s="57" t="n">
        <f aca="false">1/(1+Assumptions!$E$87)^(E8410/4)</f>
        <v>0.918515486359</v>
      </c>
      <c r="F8491" s="57" t="n">
        <f aca="false">1/(1+Assumptions!$E$87)^(F8410/4)</f>
        <v>0.892857142857143</v>
      </c>
      <c r="G8491" s="57" t="n">
        <f aca="false">1/(1+Assumptions!$E$87)^(G8410/4)</f>
        <v>0.867915554381234</v>
      </c>
      <c r="H8491" s="57" t="n">
        <f aca="false">1/(1+Assumptions!$E$87)^(H8410/4)</f>
        <v>0.843670698681311</v>
      </c>
      <c r="I8491" s="57" t="n">
        <f aca="false">1/(1+Assumptions!$E$87)^(I8410/4)</f>
        <v>0.820103112820536</v>
      </c>
      <c r="J8491" s="57" t="n">
        <f aca="false">1/(1+Assumptions!$E$87)^(J8410/4)</f>
        <v>0.79719387755102</v>
      </c>
      <c r="K8491" s="57" t="n">
        <f aca="false">1/(1+Assumptions!$E$87)^(K8410/4)</f>
        <v>0.774924602126102</v>
      </c>
      <c r="L8491" s="57" t="n">
        <f aca="false">1/(1+Assumptions!$E$87)^(L8410/4)</f>
        <v>0.753277409536885</v>
      </c>
      <c r="M8491" s="57" t="n">
        <f aca="false">1/(1+Assumptions!$E$87)^(M8410/4)</f>
        <v>0.732234922161193</v>
      </c>
      <c r="N8491" s="57" t="n">
        <f aca="false">1/(1+Assumptions!$E$87)^(N8410/4)</f>
        <v>0.711780247813411</v>
      </c>
      <c r="P8491" s="58"/>
      <c r="Q8491" s="58"/>
      <c r="R8491" s="58"/>
      <c r="S8491" s="59"/>
    </row>
    <row r="8492" customFormat="false" ht="15" hidden="false" customHeight="false" outlineLevel="0" collapsed="false">
      <c r="A8492" s="4" t="s">
        <v>571</v>
      </c>
      <c r="B8492" s="36" t="s">
        <v>125</v>
      </c>
      <c r="C8492" s="54" t="n">
        <f aca="false">(C8467*(1-Assumptions!$E$88)-C8487)*C8491</f>
        <v>-265631.630827257</v>
      </c>
      <c r="D8492" s="54" t="n">
        <f aca="false">(D8467*(1-Assumptions!$E$88)-D8487)*D8491</f>
        <v>-226560.215789719</v>
      </c>
      <c r="E8492" s="54" t="n">
        <f aca="false">(E8467*(1-Assumptions!$E$88)-E8487)*E8491</f>
        <v>-227090.731350412</v>
      </c>
      <c r="F8492" s="54" t="n">
        <f aca="false">(F8467*(1-Assumptions!$E$88)-F8487)*F8491</f>
        <v>-224019.798916179</v>
      </c>
      <c r="G8492" s="54" t="n">
        <f aca="false">(G8467*(1-Assumptions!$E$88)-G8487)*G8491</f>
        <v>-203947.723626911</v>
      </c>
      <c r="H8492" s="54" t="n">
        <f aca="false">(H8467*(1-Assumptions!$E$88)-H8487)*H8491</f>
        <v>-166557.557389426</v>
      </c>
      <c r="I8492" s="54" t="n">
        <f aca="false">(I8467*(1-Assumptions!$E$88)-I8487)*I8491</f>
        <v>-196660.517096423</v>
      </c>
      <c r="J8492" s="54" t="n">
        <f aca="false">(J8467*(1-Assumptions!$E$88)-J8487)*J8491</f>
        <v>-162757.539881742</v>
      </c>
      <c r="K8492" s="54" t="n">
        <f aca="false">(K8467*(1-Assumptions!$E$88)-K8487)*K8491</f>
        <v>-161752.128660804</v>
      </c>
      <c r="L8492" s="54" t="n">
        <f aca="false">(L8467*(1-Assumptions!$E$88)-L8487)*L8491</f>
        <v>-154854.175045499</v>
      </c>
      <c r="M8492" s="54" t="n">
        <f aca="false">(M8467*(1-Assumptions!$E$88)-M8487)*M8491</f>
        <v>-144941.181480296</v>
      </c>
      <c r="N8492" s="54" t="n">
        <f aca="false">(N8467*(1-Assumptions!$E$88)-N8487)*N8491</f>
        <v>-135028.513614198</v>
      </c>
      <c r="P8492" s="55" t="n">
        <f aca="false">SUM(C8492:F8492)</f>
        <v>-943302.376883567</v>
      </c>
      <c r="Q8492" s="55" t="n">
        <f aca="false">SUM(G8492:J8492)</f>
        <v>-729923.337994502</v>
      </c>
      <c r="R8492" s="55" t="n">
        <f aca="false">SUM(K8492:N8492)</f>
        <v>-596575.998800798</v>
      </c>
      <c r="S8492" s="56" t="n">
        <f aca="false">SUM(P8492:R8492)</f>
        <v>-2269801.71367887</v>
      </c>
    </row>
    <row r="8493" customFormat="false" ht="15" hidden="false" customHeight="false" outlineLevel="0" collapsed="false">
      <c r="A8493" s="4" t="s">
        <v>572</v>
      </c>
      <c r="B8493" s="36" t="s">
        <v>125</v>
      </c>
      <c r="C8493" s="54" t="n">
        <f aca="false">(C8487-C8486)*12/(Assumptions!$E$89*Assumptions!$E$76)*Assumptions!$E$90</f>
        <v>189183.585164835</v>
      </c>
      <c r="D8493" s="54" t="n">
        <f aca="false">(D8487-D8486)*12/(Assumptions!$E$89*Assumptions!$E$76)*Assumptions!$E$90</f>
        <v>166062.735947293</v>
      </c>
      <c r="E8493" s="54" t="n">
        <f aca="false">(E8487-E8486)*12/(Assumptions!$E$89*Assumptions!$E$76)*Assumptions!$E$90</f>
        <v>171892.128582099</v>
      </c>
      <c r="F8493" s="54" t="n">
        <f aca="false">(F8487-F8486)*12/(Assumptions!$E$89*Assumptions!$E$76)*Assumptions!$E$90</f>
        <v>175721.882439463</v>
      </c>
      <c r="G8493" s="54" t="n">
        <f aca="false">(G8487-G8486)*12/(Assumptions!$E$89*Assumptions!$E$76)*Assumptions!$E$90</f>
        <v>166300.057247011</v>
      </c>
      <c r="H8493" s="54" t="n">
        <f aca="false">(H8487-H8486)*12/(Assumptions!$E$89*Assumptions!$E$76)*Assumptions!$E$90</f>
        <v>142122.466842571</v>
      </c>
      <c r="I8493" s="54" t="n">
        <f aca="false">(I8487-I8486)*12/(Assumptions!$E$89*Assumptions!$E$76)*Assumptions!$E$90</f>
        <v>173700.977598006</v>
      </c>
      <c r="J8493" s="54" t="n">
        <f aca="false">(J8487-J8486)*12/(Assumptions!$E$89*Assumptions!$E$76)*Assumptions!$E$90</f>
        <v>151785.991653037</v>
      </c>
      <c r="K8493" s="54" t="n">
        <f aca="false">(K8487-K8486)*12/(Assumptions!$E$89*Assumptions!$E$76)*Assumptions!$E$90</f>
        <v>158626.386821629</v>
      </c>
      <c r="L8493" s="54" t="n">
        <f aca="false">(L8487-L8486)*12/(Assumptions!$E$89*Assumptions!$E$76)*Assumptions!$E$90</f>
        <v>161037.620242437</v>
      </c>
      <c r="M8493" s="54" t="n">
        <f aca="false">(M8487-M8486)*12/(Assumptions!$E$89*Assumptions!$E$76)*Assumptions!$E$90</f>
        <v>160693.325373135</v>
      </c>
      <c r="N8493" s="54" t="n">
        <f aca="false">(N8487-N8486)*12/(Assumptions!$E$89*Assumptions!$E$76)*Assumptions!$E$90</f>
        <v>159993.556799034</v>
      </c>
      <c r="P8493" s="55" t="n">
        <f aca="false">SUM(C8493:F8493)</f>
        <v>702860.33213369</v>
      </c>
      <c r="Q8493" s="55" t="n">
        <f aca="false">SUM(G8493:J8493)</f>
        <v>633909.493340626</v>
      </c>
      <c r="R8493" s="55" t="n">
        <f aca="false">SUM(K8493:N8493)</f>
        <v>640350.889236235</v>
      </c>
      <c r="S8493" s="56" t="n">
        <f aca="false">SUM(P8493:R8493)</f>
        <v>1977120.71471055</v>
      </c>
    </row>
    <row r="8494" customFormat="false" ht="15" hidden="false" customHeight="false" outlineLevel="0" collapsed="false">
      <c r="A8494" s="4" t="s">
        <v>573</v>
      </c>
      <c r="B8494" s="36" t="s">
        <v>125</v>
      </c>
      <c r="C8494" s="54" t="n">
        <f aca="false">0*Assumptions!$E$92^(1/4)+C8493</f>
        <v>189183.585164835</v>
      </c>
      <c r="D8494" s="54" t="n">
        <f aca="false">C8494*Assumptions!$E$92^(1/4)+D8493</f>
        <v>355717.516754307</v>
      </c>
      <c r="E8494" s="54" t="n">
        <f aca="false">D8494*Assumptions!$E$92^(1/4)+E8493</f>
        <v>528495.623597128</v>
      </c>
      <c r="F8494" s="54" t="n">
        <f aca="false">E8494*Assumptions!$E$92^(1/4)+F8493</f>
        <v>705533.819153993</v>
      </c>
      <c r="G8494" s="54" t="n">
        <f aca="false">F8494*Assumptions!$E$92^(1/4)+G8493</f>
        <v>873591.134889925</v>
      </c>
      <c r="H8494" s="54" t="n">
        <f aca="false">G8494*Assumptions!$E$92^(1/4)+H8493</f>
        <v>1017889.43710134</v>
      </c>
      <c r="I8494" s="54" t="n">
        <f aca="false">H8494*Assumptions!$E$92^(1/4)+I8493</f>
        <v>1194125.6508646</v>
      </c>
      <c r="J8494" s="54" t="n">
        <f aca="false">I8494*Assumptions!$E$92^(1/4)+J8493</f>
        <v>1348885.82657495</v>
      </c>
      <c r="K8494" s="54" t="n">
        <f aca="false">J8494*Assumptions!$E$92^(1/4)+K8493</f>
        <v>1510871.85542221</v>
      </c>
      <c r="L8494" s="54" t="n">
        <f aca="false">K8494*Assumptions!$E$92^(1/4)+L8493</f>
        <v>1675672.57294153</v>
      </c>
      <c r="M8494" s="54" t="n">
        <f aca="false">L8494*Assumptions!$E$92^(1/4)+M8493</f>
        <v>1840539.46132967</v>
      </c>
      <c r="N8494" s="54" t="n">
        <f aca="false">M8494*Assumptions!$E$92^(1/4)+N8493</f>
        <v>2005117.21169223</v>
      </c>
      <c r="P8494" s="55" t="n">
        <f aca="false">F8494</f>
        <v>705533.819153993</v>
      </c>
      <c r="Q8494" s="55" t="n">
        <f aca="false">J8494</f>
        <v>1348885.82657495</v>
      </c>
      <c r="R8494" s="55" t="n">
        <f aca="false">N8494</f>
        <v>2005117.21169223</v>
      </c>
      <c r="S8494" s="56" t="n">
        <f aca="false">R8494</f>
        <v>2005117.21169223</v>
      </c>
    </row>
    <row r="8495" customFormat="false" ht="15" hidden="false" customHeight="false" outlineLevel="0" collapsed="false">
      <c r="A8495" s="4" t="s">
        <v>574</v>
      </c>
      <c r="B8495" s="36" t="s">
        <v>125</v>
      </c>
      <c r="C8495" s="54" t="n">
        <f aca="false">(0+C8494)/8*Assumptions!$E$76-(C8487-C8486)-C8494*Assumptions!$E$93/4</f>
        <v>-260258.807091346</v>
      </c>
      <c r="D8495" s="54" t="n">
        <f aca="false">(C8494+D8494)/8*Assumptions!$E$76-(D8487-D8486)-D8494*Assumptions!$E$93/4</f>
        <v>-200041.65079681</v>
      </c>
      <c r="E8495" s="54" t="n">
        <f aca="false">(D8494+E8494)/8*Assumptions!$E$76-(E8487-E8486)-E8494*Assumptions!$E$93/4</f>
        <v>-183052.507815553</v>
      </c>
      <c r="F8495" s="54" t="n">
        <f aca="false">(E8494+F8494)/8*Assumptions!$E$76-(F8487-F8486)-F8494*Assumptions!$E$93/4</f>
        <v>-162374.777372898</v>
      </c>
      <c r="G8495" s="54" t="n">
        <f aca="false">(F8494+G8494)/8*Assumptions!$E$76-(G8487-G8486)-G8494*Assumptions!$E$93/4</f>
        <v>-122827.180471294</v>
      </c>
      <c r="H8495" s="54" t="n">
        <f aca="false">(G8494+H8494)/8*Assumptions!$E$76-(H8487-H8486)-H8494*Assumptions!$E$93/4</f>
        <v>-64328.829150968</v>
      </c>
      <c r="I8495" s="54" t="n">
        <f aca="false">(H8494+I8494)/8*Assumptions!$E$76-(I8487-I8486)-I8494*Assumptions!$E$93/4</f>
        <v>-86101.7568245837</v>
      </c>
      <c r="J8495" s="54" t="n">
        <f aca="false">(I8494+J8494)/8*Assumptions!$E$76-(J8487-J8486)-J8494*Assumptions!$E$93/4</f>
        <v>-29487.8226779442</v>
      </c>
      <c r="K8495" s="54" t="n">
        <f aca="false">(J8494+K8494)/8*Assumptions!$E$76-(K8487-K8486)-K8494*Assumptions!$E$93/4</f>
        <v>-15657.5897173061</v>
      </c>
      <c r="L8495" s="54" t="n">
        <f aca="false">(K8494+L8494)/8*Assumptions!$E$76-(L8487-L8486)-L8494*Assumptions!$E$93/4</f>
        <v>5350.93173704245</v>
      </c>
      <c r="M8495" s="54" t="n">
        <f aca="false">(L8494+M8494)/8*Assumptions!$E$76-(M8487-M8486)-M8494*Assumptions!$E$93/4</f>
        <v>30572.9034233868</v>
      </c>
      <c r="N8495" s="54" t="n">
        <f aca="false">(M8494+N8494)/8*Assumptions!$E$76-(N8487-N8486)-N8494*Assumptions!$E$93/4</f>
        <v>56293.8352716047</v>
      </c>
      <c r="P8495" s="55" t="n">
        <f aca="false">SUM(C8495:F8495)</f>
        <v>-805727.743076608</v>
      </c>
      <c r="Q8495" s="55" t="n">
        <f aca="false">SUM(G8495:J8495)</f>
        <v>-302745.58912479</v>
      </c>
      <c r="R8495" s="55" t="n">
        <f aca="false">SUM(K8495:N8495)</f>
        <v>76560.0807147279</v>
      </c>
      <c r="S8495" s="56" t="n">
        <f aca="false">SUM(P8495:R8495)</f>
        <v>-1031913.25148667</v>
      </c>
    </row>
    <row r="8496" customFormat="false" ht="15" hidden="false" customHeight="false" outlineLevel="0" collapsed="false">
      <c r="A8496" s="4" t="s">
        <v>575</v>
      </c>
      <c r="B8496" s="36" t="s">
        <v>125</v>
      </c>
      <c r="C8496" s="54" t="n">
        <f aca="false">C8495*C8491</f>
        <v>-252988.586859998</v>
      </c>
      <c r="D8496" s="54" t="n">
        <f aca="false">D8495*D8491</f>
        <v>-189021.59280828</v>
      </c>
      <c r="E8496" s="54" t="n">
        <f aca="false">E8495*E8491</f>
        <v>-168136.563245438</v>
      </c>
      <c r="F8496" s="54" t="n">
        <f aca="false">F8495*F8491</f>
        <v>-144977.479797231</v>
      </c>
      <c r="G8496" s="54" t="n">
        <f aca="false">G8495*G8491</f>
        <v>-106603.620431827</v>
      </c>
      <c r="H8496" s="54" t="n">
        <f aca="false">H8495*H8491</f>
        <v>-54272.3482351479</v>
      </c>
      <c r="I8496" s="54" t="n">
        <f aca="false">I8495*I8491</f>
        <v>-70612.3187911579</v>
      </c>
      <c r="J8496" s="54" t="n">
        <f aca="false">J8495*J8491</f>
        <v>-23507.5117011672</v>
      </c>
      <c r="K8496" s="54" t="n">
        <f aca="false">K8495*K8491</f>
        <v>-12133.4514819372</v>
      </c>
      <c r="L8496" s="54" t="n">
        <f aca="false">L8495*L8491</f>
        <v>4030.73599748804</v>
      </c>
      <c r="M8496" s="54" t="n">
        <f aca="false">M8495*M8491</f>
        <v>22386.5475584653</v>
      </c>
      <c r="N8496" s="54" t="n">
        <f aca="false">N8495*N8491</f>
        <v>40068.8400199901</v>
      </c>
      <c r="P8496" s="55" t="n">
        <f aca="false">SUM(C8496:F8496)</f>
        <v>-755124.222710947</v>
      </c>
      <c r="Q8496" s="55" t="n">
        <f aca="false">SUM(G8496:J8496)</f>
        <v>-254995.7991593</v>
      </c>
      <c r="R8496" s="55" t="n">
        <f aca="false">SUM(K8496:N8496)</f>
        <v>54352.6720940063</v>
      </c>
      <c r="S8496" s="56" t="n">
        <f aca="false">SUM(P8496:R8496)</f>
        <v>-955767.349776241</v>
      </c>
    </row>
    <row r="8497" customFormat="false" ht="15" hidden="false" customHeight="false" outlineLevel="0" collapsed="false">
      <c r="A8497" s="4" t="s">
        <v>576</v>
      </c>
      <c r="B8497" s="36"/>
      <c r="C8497" s="37" t="n">
        <f aca="false">IFERROR((S8452*$C$8401*Assumptions!$E$59+S8453*$C$8402*Assumptions!$E$60+S8454*$C$8403*Assumptions!$E$61)/(S8452*$C$8401+S8453*$C$8402+S8454*$C$8403),0.9)</f>
        <v>0.900030546477045</v>
      </c>
    </row>
    <row r="8498" customFormat="false" ht="15" hidden="false" customHeight="false" outlineLevel="0" collapsed="false">
      <c r="A8498" s="4" t="s">
        <v>577</v>
      </c>
      <c r="B8498" s="36"/>
      <c r="C8498" s="37" t="n">
        <f aca="false">IFERROR(N8486*4/N8464,0)</f>
        <v>0.134205167601311</v>
      </c>
    </row>
    <row r="8499" customFormat="false" ht="15" hidden="false" customHeight="false" outlineLevel="0" collapsed="false">
      <c r="A8499" s="4" t="s">
        <v>578</v>
      </c>
      <c r="B8499" s="36"/>
      <c r="C8499" s="60" t="n">
        <f aca="false">$C$8497/(1+Assumptions!$E$87)</f>
        <v>0.803598702211647</v>
      </c>
    </row>
    <row r="8500" customFormat="false" ht="15" hidden="false" customHeight="false" outlineLevel="0" collapsed="false">
      <c r="A8500" s="4" t="s">
        <v>579</v>
      </c>
      <c r="B8500" s="36"/>
      <c r="C8500" s="60" t="n">
        <f aca="false">Assumptions!$E$91/(1+Assumptions!$E$87)</f>
        <v>0.803571428571429</v>
      </c>
    </row>
    <row r="8501" customFormat="false" ht="15" hidden="false" customHeight="false" outlineLevel="0" collapsed="false">
      <c r="A8501" s="35" t="s">
        <v>580</v>
      </c>
      <c r="B8501" s="35" t="s">
        <v>444</v>
      </c>
      <c r="C8501" s="6" t="s">
        <v>354</v>
      </c>
      <c r="D8501" s="6" t="s">
        <v>355</v>
      </c>
      <c r="E8501" s="6" t="s">
        <v>356</v>
      </c>
      <c r="F8501" s="6" t="s">
        <v>357</v>
      </c>
      <c r="G8501" s="6" t="s">
        <v>358</v>
      </c>
      <c r="H8501" s="6" t="s">
        <v>359</v>
      </c>
      <c r="I8501" s="6" t="s">
        <v>360</v>
      </c>
      <c r="J8501" s="6" t="s">
        <v>361</v>
      </c>
      <c r="K8501" s="6" t="s">
        <v>362</v>
      </c>
      <c r="L8501" s="6" t="s">
        <v>363</v>
      </c>
      <c r="M8501" s="6" t="s">
        <v>364</v>
      </c>
      <c r="N8501" s="6" t="s">
        <v>365</v>
      </c>
      <c r="P8501" s="6" t="s">
        <v>445</v>
      </c>
      <c r="Q8501" s="6" t="s">
        <v>446</v>
      </c>
      <c r="R8501" s="6" t="s">
        <v>447</v>
      </c>
      <c r="S8501" s="6" t="s">
        <v>448</v>
      </c>
    </row>
    <row r="8502" customFormat="false" ht="15" hidden="false" customHeight="false" outlineLevel="0" collapsed="false">
      <c r="A8502" s="9" t="s">
        <v>581</v>
      </c>
      <c r="C8502" s="61" t="n">
        <f aca="false">N8464</f>
        <v>477131.590035067</v>
      </c>
      <c r="D8502" s="61"/>
    </row>
    <row r="8503" customFormat="false" ht="15" hidden="false" customHeight="false" outlineLevel="0" collapsed="false">
      <c r="A8503" s="9" t="s">
        <v>582</v>
      </c>
      <c r="C8503" s="62" t="n">
        <f aca="false">N8460</f>
        <v>35.3772136101422</v>
      </c>
      <c r="D8503" s="62"/>
    </row>
    <row r="8504" customFormat="false" ht="15" hidden="false" customHeight="false" outlineLevel="0" collapsed="false">
      <c r="A8504" s="9" t="s">
        <v>583</v>
      </c>
      <c r="C8504" s="63" t="n">
        <f aca="false">S8455</f>
        <v>39.1065139018526</v>
      </c>
      <c r="D8504" s="63"/>
    </row>
    <row r="8505" customFormat="false" ht="15" hidden="false" customHeight="false" outlineLevel="0" collapsed="false">
      <c r="A8505" s="9" t="s">
        <v>584</v>
      </c>
      <c r="C8505" s="61" t="n">
        <f aca="false">S8466</f>
        <v>462275.952171488</v>
      </c>
      <c r="D8505" s="61"/>
    </row>
    <row r="8506" customFormat="false" ht="15" hidden="false" customHeight="false" outlineLevel="0" collapsed="false">
      <c r="A8506" s="9" t="s">
        <v>22</v>
      </c>
      <c r="C8506" s="61" t="n">
        <f aca="false">IFERROR(S8465/S8455,0)</f>
        <v>11510.5645565567</v>
      </c>
      <c r="D8506" s="61"/>
    </row>
    <row r="8507" customFormat="false" ht="15" hidden="false" customHeight="false" outlineLevel="0" collapsed="false">
      <c r="A8507" s="9" t="s">
        <v>585</v>
      </c>
      <c r="C8507" s="61" t="n">
        <f aca="false">IFERROR(S8483/S8455,0)</f>
        <v>55068.9668600695</v>
      </c>
      <c r="D8507" s="61"/>
    </row>
    <row r="8508" customFormat="false" ht="23.85" hidden="false" customHeight="false" outlineLevel="0" collapsed="false">
      <c r="A8508" s="9" t="s">
        <v>586</v>
      </c>
      <c r="C8508" s="61" t="n">
        <f aca="false">IFERROR((S8477+S8479+S8480+S8481+S8482)/S8455,0)</f>
        <v>22088.0711356425</v>
      </c>
      <c r="D8508" s="61"/>
    </row>
    <row r="8509" customFormat="false" ht="15" hidden="false" customHeight="false" outlineLevel="0" collapsed="false">
      <c r="A8509" s="9" t="s">
        <v>587</v>
      </c>
      <c r="C8509" s="64" t="n">
        <f aca="false">IFERROR('Engine Runs'!$C$8507/('Engine Runs'!$C$8506*Assumptions!$E$76/12),0)</f>
        <v>88.3238910419253</v>
      </c>
      <c r="D8509" s="64"/>
    </row>
    <row r="8510" customFormat="false" ht="15" hidden="false" customHeight="false" outlineLevel="0" collapsed="false">
      <c r="A8510" s="9" t="s">
        <v>588</v>
      </c>
      <c r="C8510" s="64" t="n">
        <f aca="false">IFERROR((R8483/R8455)/((R8465/R8455)*Assumptions!$E$76/12),0)</f>
        <v>57.567035249512</v>
      </c>
      <c r="D8510" s="64"/>
    </row>
    <row r="8511" customFormat="false" ht="15" hidden="false" customHeight="false" outlineLevel="0" collapsed="false">
      <c r="A8511" s="9" t="s">
        <v>589</v>
      </c>
      <c r="C8511" s="61" t="n">
        <f aca="false">S8487</f>
        <v>2929880.4433743</v>
      </c>
      <c r="D8511" s="61"/>
    </row>
    <row r="8512" customFormat="false" ht="15" hidden="false" customHeight="false" outlineLevel="0" collapsed="false">
      <c r="A8512" s="9" t="s">
        <v>590</v>
      </c>
      <c r="C8512" s="61" t="n">
        <f aca="false">N8490</f>
        <v>-2629401.07446283</v>
      </c>
      <c r="D8512" s="61"/>
    </row>
    <row r="8513" customFormat="false" ht="15" hidden="false" customHeight="false" outlineLevel="0" collapsed="false">
      <c r="A8513" s="9" t="s">
        <v>591</v>
      </c>
      <c r="C8513" s="61" t="n">
        <f aca="false">MIN($C$8490:$N$8490)</f>
        <v>-2629401.07446283</v>
      </c>
      <c r="D8513" s="61"/>
    </row>
    <row r="8514" customFormat="false" ht="15" hidden="false" customHeight="false" outlineLevel="0" collapsed="false">
      <c r="A8514" s="9" t="s">
        <v>592</v>
      </c>
      <c r="C8514" s="61" t="n">
        <f aca="false">N8464*(Assumptions!$E$76-$C$8498)*$C$8497*(1-$C$8497^Assumptions!$E$85)/(1-$C$8497)</f>
        <v>907117.00447755</v>
      </c>
      <c r="D8514" s="61"/>
    </row>
    <row r="8515" customFormat="false" ht="15" hidden="false" customHeight="false" outlineLevel="0" collapsed="false">
      <c r="A8515" s="9" t="s">
        <v>593</v>
      </c>
      <c r="C8515" s="61" t="n">
        <f aca="false">N8464*(Assumptions!$E$76-$C$8498)*(1-Assumptions!$E$88)/(1+Assumptions!$E$87)^2.5*$C$8499*(1-$C$8499^Assumptions!$E$85)/(1-$C$8499)</f>
        <v>403459.880104329</v>
      </c>
      <c r="D8515" s="61"/>
    </row>
    <row r="8516" customFormat="false" ht="15" hidden="false" customHeight="false" outlineLevel="0" collapsed="false">
      <c r="A8516" s="9" t="s">
        <v>594</v>
      </c>
      <c r="C8516" s="61" t="n">
        <f aca="false">SUM($C$8492:$N$8492)+'Engine Runs'!$C$8515</f>
        <v>-1866341.83357454</v>
      </c>
      <c r="D8516" s="61"/>
    </row>
    <row r="8517" customFormat="false" ht="15" hidden="false" customHeight="false" outlineLevel="0" collapsed="false">
      <c r="A8517" s="9" t="s">
        <v>595</v>
      </c>
      <c r="C8517" s="61" t="n">
        <f aca="false">SUM($C$8496:$N$8496)+N8494*(Assumptions!$E$76-Assumptions!$E$93)/(1+Assumptions!$E$87)^2.5*$C$8500*(1-$C$8500^Assumptions!$E$85)/(1-$C$8500)</f>
        <v>1509410.8703278</v>
      </c>
      <c r="D8517" s="61"/>
    </row>
    <row r="8518" customFormat="false" ht="15" hidden="false" customHeight="false" outlineLevel="0" collapsed="false">
      <c r="A8518" s="9" t="s">
        <v>596</v>
      </c>
      <c r="C8518" s="61" t="n">
        <f aca="false">'Engine Runs'!$C$8516-'Engine Runs'!$C$8517</f>
        <v>-3375752.70390233</v>
      </c>
      <c r="D8518" s="61"/>
    </row>
    <row r="8519" customFormat="false" ht="15" hidden="false" customHeight="false" outlineLevel="0" collapsed="false">
      <c r="A8519" s="9" t="s">
        <v>597</v>
      </c>
      <c r="C8519" s="61" t="n">
        <f aca="false">S8451</f>
        <v>0</v>
      </c>
      <c r="D8519" s="61"/>
    </row>
    <row r="8520" customFormat="false" ht="15" hidden="false" customHeight="false" outlineLevel="0" collapsed="false">
      <c r="A8520" s="9" t="s">
        <v>598</v>
      </c>
      <c r="C8520" s="63" t="n">
        <f aca="false">P8435</f>
        <v>43.6188722246667</v>
      </c>
      <c r="D8520" s="63"/>
    </row>
    <row r="8521" customFormat="false" ht="15" hidden="false" customHeight="false" outlineLevel="0" collapsed="false">
      <c r="A8521" s="9" t="s">
        <v>599</v>
      </c>
      <c r="C8521" s="63" t="n">
        <f aca="false">P8455</f>
        <v>4.41614932106171</v>
      </c>
      <c r="D8521" s="63"/>
    </row>
    <row r="8522" customFormat="false" ht="15" hidden="false" customHeight="false" outlineLevel="0" collapsed="false">
      <c r="A8522" s="9" t="s">
        <v>600</v>
      </c>
      <c r="C8522" s="63" t="n">
        <f aca="false">P8431</f>
        <v>42</v>
      </c>
      <c r="D8522" s="63"/>
    </row>
    <row r="8523" customFormat="false" ht="15" hidden="false" customHeight="false" outlineLevel="0" collapsed="false">
      <c r="A8523" s="9" t="s">
        <v>601</v>
      </c>
      <c r="C8523" s="61" t="n">
        <f aca="false">IFERROR(P8465/P8455,0)</f>
        <v>11090.5376006265</v>
      </c>
      <c r="D8523" s="61"/>
    </row>
    <row r="8526" customFormat="false" ht="15" hidden="false" customHeight="true" outlineLevel="0" collapsed="false">
      <c r="A8526" s="78" t="s">
        <v>924</v>
      </c>
      <c r="B8526" s="78"/>
      <c r="C8526" s="78"/>
      <c r="D8526" s="78"/>
      <c r="E8526" s="78"/>
      <c r="F8526" s="78"/>
      <c r="G8526" s="78"/>
      <c r="H8526" s="78"/>
      <c r="I8526" s="78"/>
      <c r="J8526" s="78"/>
      <c r="K8526" s="78"/>
      <c r="L8526" s="78"/>
      <c r="M8526" s="78"/>
      <c r="N8526" s="78"/>
    </row>
    <row r="8527" customFormat="false" ht="15" hidden="false" customHeight="true" outlineLevel="0" collapsed="false">
      <c r="A8527" s="79" t="s">
        <v>925</v>
      </c>
      <c r="B8527" s="79"/>
      <c r="C8527" s="79"/>
      <c r="D8527" s="79"/>
      <c r="E8527" s="79"/>
      <c r="F8527" s="79"/>
      <c r="G8527" s="79"/>
      <c r="H8527" s="79"/>
      <c r="I8527" s="79"/>
      <c r="J8527" s="79"/>
      <c r="K8527" s="79"/>
      <c r="L8527" s="79"/>
      <c r="M8527" s="79"/>
      <c r="N8527" s="79"/>
    </row>
    <row r="8528" customFormat="false" ht="15" hidden="false" customHeight="false" outlineLevel="0" collapsed="false">
      <c r="A8528" s="35" t="s">
        <v>926</v>
      </c>
      <c r="B8528" s="35" t="s">
        <v>444</v>
      </c>
      <c r="C8528" s="6" t="s">
        <v>354</v>
      </c>
      <c r="D8528" s="6" t="s">
        <v>355</v>
      </c>
      <c r="E8528" s="6" t="s">
        <v>356</v>
      </c>
      <c r="F8528" s="6" t="s">
        <v>357</v>
      </c>
      <c r="G8528" s="6" t="s">
        <v>358</v>
      </c>
      <c r="H8528" s="6" t="s">
        <v>359</v>
      </c>
      <c r="I8528" s="6" t="s">
        <v>360</v>
      </c>
      <c r="J8528" s="6" t="s">
        <v>361</v>
      </c>
      <c r="K8528" s="6" t="s">
        <v>362</v>
      </c>
      <c r="L8528" s="6" t="s">
        <v>363</v>
      </c>
      <c r="M8528" s="6" t="s">
        <v>364</v>
      </c>
      <c r="N8528" s="6" t="s">
        <v>365</v>
      </c>
      <c r="P8528" s="6" t="s">
        <v>445</v>
      </c>
      <c r="Q8528" s="6" t="s">
        <v>446</v>
      </c>
      <c r="R8528" s="6" t="s">
        <v>447</v>
      </c>
      <c r="S8528" s="6" t="s">
        <v>448</v>
      </c>
    </row>
    <row r="8529" customFormat="false" ht="15" hidden="false" customHeight="false" outlineLevel="0" collapsed="false">
      <c r="A8529" s="4" t="s">
        <v>449</v>
      </c>
      <c r="B8529" s="36" t="s">
        <v>450</v>
      </c>
      <c r="C8529" s="34" t="n">
        <f aca="false">'Market Sizing'!$C$17*Assumptions!$E$10*Assumptions!$E$11*(1-Assumptions!$E$12)</f>
        <v>843.03944704</v>
      </c>
    </row>
    <row r="8530" customFormat="false" ht="15" hidden="false" customHeight="false" outlineLevel="0" collapsed="false">
      <c r="A8530" s="4" t="s">
        <v>451</v>
      </c>
      <c r="B8530" s="36" t="s">
        <v>450</v>
      </c>
      <c r="C8530" s="34" t="n">
        <f aca="false">'Market Sizing'!$D$17*Assumptions!$E$10*Assumptions!$E$11*(1-Assumptions!$E$12)</f>
        <v>211.19616</v>
      </c>
    </row>
    <row r="8531" customFormat="false" ht="15" hidden="false" customHeight="false" outlineLevel="0" collapsed="false">
      <c r="A8531" s="4" t="s">
        <v>452</v>
      </c>
      <c r="B8531" s="36" t="s">
        <v>450</v>
      </c>
      <c r="C8531" s="34" t="n">
        <f aca="false">'Market Sizing'!$E$17*Assumptions!$E$10*Assumptions!$E$11*(1-Assumptions!$E$12)</f>
        <v>49.53984</v>
      </c>
    </row>
    <row r="8532" customFormat="false" ht="15" hidden="false" customHeight="false" outlineLevel="0" collapsed="false">
      <c r="A8532" s="4" t="s">
        <v>453</v>
      </c>
      <c r="B8532" s="36"/>
      <c r="C8532" s="34" t="n">
        <f aca="false">$C$8529+$C$8530+$C$8531</f>
        <v>1103.77544704</v>
      </c>
    </row>
    <row r="8533" customFormat="false" ht="15" hidden="false" customHeight="false" outlineLevel="0" collapsed="false">
      <c r="A8533" s="4" t="s">
        <v>454</v>
      </c>
      <c r="B8533" s="36" t="s">
        <v>450</v>
      </c>
      <c r="C8533" s="34" t="n">
        <f aca="false">'Market Sizing'!$C$18*Assumptions!$E$10*Assumptions!$E$11*(1-Assumptions!$E$12)</f>
        <v>612.57706944</v>
      </c>
    </row>
    <row r="8534" customFormat="false" ht="15" hidden="false" customHeight="false" outlineLevel="0" collapsed="false">
      <c r="A8534" s="4" t="s">
        <v>455</v>
      </c>
      <c r="B8534" s="36" t="s">
        <v>450</v>
      </c>
      <c r="C8534" s="34" t="n">
        <f aca="false">'Market Sizing'!$D$18*Assumptions!$E$10*Assumptions!$E$11*(1-Assumptions!$E$12)</f>
        <v>142.10112</v>
      </c>
    </row>
    <row r="8535" customFormat="false" ht="15" hidden="false" customHeight="false" outlineLevel="0" collapsed="false">
      <c r="A8535" s="4" t="s">
        <v>456</v>
      </c>
      <c r="B8535" s="36" t="s">
        <v>450</v>
      </c>
      <c r="C8535" s="34" t="n">
        <f aca="false">'Market Sizing'!$E$18*Assumptions!$E$10*Assumptions!$E$11*(1-Assumptions!$E$12)</f>
        <v>24.76992</v>
      </c>
    </row>
    <row r="8536" customFormat="false" ht="15" hidden="false" customHeight="false" outlineLevel="0" collapsed="false">
      <c r="A8536" s="4" t="s">
        <v>457</v>
      </c>
      <c r="B8536" s="36"/>
      <c r="C8536" s="34" t="n">
        <f aca="false">$C$8533+$C$8534+$C$8535</f>
        <v>779.44810944</v>
      </c>
    </row>
    <row r="8537" customFormat="false" ht="15" hidden="false" customHeight="false" outlineLevel="0" collapsed="false">
      <c r="A8537" s="4" t="s">
        <v>458</v>
      </c>
      <c r="B8537" s="36" t="s">
        <v>450</v>
      </c>
      <c r="C8537" s="34" t="n">
        <f aca="false">'Market Sizing'!$C$19*Assumptions!$E$10*Assumptions!$E$11*(1-Assumptions!$E$12)</f>
        <v>2060.77303936</v>
      </c>
    </row>
    <row r="8538" customFormat="false" ht="15" hidden="false" customHeight="false" outlineLevel="0" collapsed="false">
      <c r="A8538" s="4" t="s">
        <v>459</v>
      </c>
      <c r="B8538" s="36" t="s">
        <v>450</v>
      </c>
      <c r="C8538" s="34" t="n">
        <f aca="false">'Market Sizing'!$D$19*Assumptions!$E$10*Assumptions!$E$11*(1-Assumptions!$E$12)</f>
        <v>428.47616</v>
      </c>
    </row>
    <row r="8539" customFormat="false" ht="15" hidden="false" customHeight="false" outlineLevel="0" collapsed="false">
      <c r="A8539" s="4" t="s">
        <v>460</v>
      </c>
      <c r="B8539" s="36" t="s">
        <v>450</v>
      </c>
      <c r="C8539" s="34" t="n">
        <f aca="false">'Market Sizing'!$E$19*Assumptions!$E$10*Assumptions!$E$11*(1-Assumptions!$E$12)</f>
        <v>79.52448</v>
      </c>
    </row>
    <row r="8540" customFormat="false" ht="15" hidden="false" customHeight="false" outlineLevel="0" collapsed="false">
      <c r="A8540" s="4" t="s">
        <v>461</v>
      </c>
      <c r="B8540" s="36"/>
      <c r="C8540" s="34" t="n">
        <f aca="false">$C$8537+$C$8538+$C$8539</f>
        <v>2568.77367936</v>
      </c>
    </row>
    <row r="8541" customFormat="false" ht="15" hidden="false" customHeight="false" outlineLevel="0" collapsed="false">
      <c r="A8541" s="4" t="s">
        <v>462</v>
      </c>
      <c r="B8541" s="36" t="s">
        <v>463</v>
      </c>
      <c r="C8541" s="33" t="n">
        <f aca="false">MAX((Assumptions!$E$51+Assumptions!$E$53)*12,(((('Market Sizing'!$E$25*Assumptions!$E$41*Assumptions!$E$42*2.5)*Assumptions!$E$44)*Assumptions!$E$45*Assumptions!$E$46+('Market Sizing'!$E$25*Assumptions!$E$41*Assumptions!$E$42*2.5)*Assumptions!$E$47+('Market Sizing'!$E$25*Assumptions!$E$41*Assumptions!$E$42*2.5)*Assumptions!$E$48*Assumptions!$E$49)*(Assumptions!$E$51*12/Assumptions!$E$52)+((('Market Sizing'!$E$25*Assumptions!$E$41*Assumptions!$E$42*2.5)*Assumptions!$E$44)*Assumptions!$E$45+('Market Sizing'!$E$25*Assumptions!$E$41*Assumptions!$E$42*2.5)+('Market Sizing'!$E$25*Assumptions!$E$41*Assumptions!$E$42*2.5)*Assumptions!$E$48)*Assumptions!$E$50*(Assumptions!$E$53*12/Assumptions!$E$54)))</f>
        <v>5352</v>
      </c>
    </row>
    <row r="8542" customFormat="false" ht="15" hidden="false" customHeight="false" outlineLevel="0" collapsed="false">
      <c r="A8542" s="4" t="s">
        <v>464</v>
      </c>
      <c r="B8542" s="36" t="s">
        <v>463</v>
      </c>
      <c r="C8542" s="33" t="n">
        <f aca="false">MAX((Assumptions!$E$51+Assumptions!$E$53)*12,(((('Market Sizing'!$E$26*Assumptions!$E$41*Assumptions!$E$42*2.5)*Assumptions!$E$44)*Assumptions!$E$45*Assumptions!$E$46+('Market Sizing'!$E$26*Assumptions!$E$41*Assumptions!$E$42*2.5)*Assumptions!$E$47+('Market Sizing'!$E$26*Assumptions!$E$41*Assumptions!$E$42*2.5)*Assumptions!$E$48*Assumptions!$E$49)*(Assumptions!$E$51*12/Assumptions!$E$52)+((('Market Sizing'!$E$26*Assumptions!$E$41*Assumptions!$E$42*2.5)*Assumptions!$E$44)*Assumptions!$E$45+('Market Sizing'!$E$26*Assumptions!$E$41*Assumptions!$E$42*2.5)+('Market Sizing'!$E$26*Assumptions!$E$41*Assumptions!$E$42*2.5)*Assumptions!$E$48)*Assumptions!$E$50*(Assumptions!$E$53*12/Assumptions!$E$54)))</f>
        <v>24416.8003218802</v>
      </c>
    </row>
    <row r="8543" customFormat="false" ht="15" hidden="false" customHeight="false" outlineLevel="0" collapsed="false">
      <c r="A8543" s="4" t="s">
        <v>465</v>
      </c>
      <c r="B8543" s="36" t="s">
        <v>463</v>
      </c>
      <c r="C8543" s="33" t="n">
        <f aca="false">MAX(Assumptions!$E$55*(Assumptions!$E$51*12/Assumptions!$E$52)+Assumptions!$E$56*(Assumptions!$E$53*12/Assumptions!$E$54),(((('Market Sizing'!$E$27*Assumptions!$E$41*Assumptions!$E$42*2.5)*Assumptions!$E$44)*Assumptions!$E$45*Assumptions!$E$46+('Market Sizing'!$E$27*Assumptions!$E$41*Assumptions!$E$42*2.5)*Assumptions!$E$47+('Market Sizing'!$E$27*Assumptions!$E$41*Assumptions!$E$42*2.5)*Assumptions!$E$48*Assumptions!$E$49)*(Assumptions!$E$51*12/Assumptions!$E$52)+((('Market Sizing'!$E$27*Assumptions!$E$41*Assumptions!$E$42*2.5)*Assumptions!$E$44)*Assumptions!$E$45+('Market Sizing'!$E$27*Assumptions!$E$41*Assumptions!$E$42*2.5)+('Market Sizing'!$E$27*Assumptions!$E$41*Assumptions!$E$42*2.5)*Assumptions!$E$48)*Assumptions!$E$50*(Assumptions!$E$53*12/Assumptions!$E$54)))*(1-Assumptions!$E$57)</f>
        <v>154445.640548596</v>
      </c>
    </row>
    <row r="8544" customFormat="false" ht="23.85" hidden="false" customHeight="false" outlineLevel="0" collapsed="false">
      <c r="A8544" s="4" t="s">
        <v>466</v>
      </c>
      <c r="B8544" s="36" t="s">
        <v>467</v>
      </c>
      <c r="C8544" s="37" t="n">
        <f aca="false">Assumptions!$E$17*Assumptions!$D$106</f>
        <v>0.4</v>
      </c>
    </row>
    <row r="8545" customFormat="false" ht="23.85" hidden="false" customHeight="false" outlineLevel="0" collapsed="false">
      <c r="A8545" s="4" t="s">
        <v>468</v>
      </c>
      <c r="B8545" s="36" t="s">
        <v>469</v>
      </c>
      <c r="C8545" s="33" t="n">
        <f aca="false">Assumptions!$E$68/Assumptions!$E$69</f>
        <v>285714.285714286</v>
      </c>
    </row>
    <row r="8546" customFormat="false" ht="23.85" hidden="false" customHeight="false" outlineLevel="0" collapsed="false">
      <c r="A8546" s="4" t="s">
        <v>470</v>
      </c>
      <c r="B8546" s="36" t="s">
        <v>471</v>
      </c>
      <c r="C8546" s="33" t="n">
        <f aca="false">Assumptions!$E$66*Assumptions!$E$67/4</f>
        <v>153125</v>
      </c>
    </row>
    <row r="8547" customFormat="false" ht="15" hidden="false" customHeight="false" outlineLevel="0" collapsed="false">
      <c r="A8547" s="4" t="s">
        <v>472</v>
      </c>
      <c r="B8547" s="36"/>
      <c r="C8547" s="38" t="n">
        <f aca="false">$C$8545/Assumptions!$E$66/Assumptions!$E$67</f>
        <v>0.466472303206997</v>
      </c>
    </row>
    <row r="8548" customFormat="false" ht="15" hidden="false" customHeight="false" outlineLevel="0" collapsed="false">
      <c r="A8548" s="4" t="s">
        <v>473</v>
      </c>
      <c r="B8548" s="36"/>
      <c r="C8548" s="33" t="n">
        <f aca="false">MAX(0,Assumptions!$D$103-Assumptions!$E$78)</f>
        <v>0</v>
      </c>
    </row>
    <row r="8549" customFormat="false" ht="15" hidden="false" customHeight="false" outlineLevel="0" collapsed="false">
      <c r="A8549" s="35" t="s">
        <v>474</v>
      </c>
      <c r="B8549" s="35" t="s">
        <v>444</v>
      </c>
      <c r="C8549" s="6" t="s">
        <v>354</v>
      </c>
      <c r="D8549" s="6" t="s">
        <v>355</v>
      </c>
      <c r="E8549" s="6" t="s">
        <v>356</v>
      </c>
      <c r="F8549" s="6" t="s">
        <v>357</v>
      </c>
      <c r="G8549" s="6" t="s">
        <v>358</v>
      </c>
      <c r="H8549" s="6" t="s">
        <v>359</v>
      </c>
      <c r="I8549" s="6" t="s">
        <v>360</v>
      </c>
      <c r="J8549" s="6" t="s">
        <v>361</v>
      </c>
      <c r="K8549" s="6" t="s">
        <v>362</v>
      </c>
      <c r="L8549" s="6" t="s">
        <v>363</v>
      </c>
      <c r="M8549" s="6" t="s">
        <v>364</v>
      </c>
      <c r="N8549" s="6" t="s">
        <v>365</v>
      </c>
      <c r="P8549" s="6" t="s">
        <v>445</v>
      </c>
      <c r="Q8549" s="6" t="s">
        <v>446</v>
      </c>
      <c r="R8549" s="6" t="s">
        <v>447</v>
      </c>
      <c r="S8549" s="6" t="s">
        <v>448</v>
      </c>
    </row>
    <row r="8550" customFormat="false" ht="15" hidden="false" customHeight="false" outlineLevel="0" collapsed="false">
      <c r="A8550" s="4" t="s">
        <v>475</v>
      </c>
      <c r="B8550" s="36" t="s">
        <v>133</v>
      </c>
      <c r="C8550" s="39" t="n">
        <v>1</v>
      </c>
      <c r="D8550" s="39" t="n">
        <v>2</v>
      </c>
      <c r="E8550" s="39" t="n">
        <v>3</v>
      </c>
      <c r="F8550" s="39" t="n">
        <v>4</v>
      </c>
      <c r="G8550" s="39" t="n">
        <v>5</v>
      </c>
      <c r="H8550" s="39" t="n">
        <v>6</v>
      </c>
      <c r="I8550" s="39" t="n">
        <v>7</v>
      </c>
      <c r="J8550" s="39" t="n">
        <v>8</v>
      </c>
      <c r="K8550" s="39" t="n">
        <v>9</v>
      </c>
      <c r="L8550" s="39" t="n">
        <v>10</v>
      </c>
      <c r="M8550" s="39" t="n">
        <v>11</v>
      </c>
      <c r="N8550" s="39" t="n">
        <v>12</v>
      </c>
      <c r="P8550" s="40"/>
      <c r="Q8550" s="40"/>
      <c r="R8550" s="40"/>
      <c r="S8550" s="41"/>
    </row>
    <row r="8551" customFormat="false" ht="15" hidden="false" customHeight="false" outlineLevel="0" collapsed="false">
      <c r="A8551" s="4" t="s">
        <v>476</v>
      </c>
      <c r="B8551" s="36" t="s">
        <v>343</v>
      </c>
      <c r="C8551" s="39" t="n">
        <f aca="false">IF(C8550&lt;=Assumptions!$E$84,1,0)</f>
        <v>1</v>
      </c>
      <c r="D8551" s="39" t="n">
        <f aca="false">IF(D8550&lt;=Assumptions!$E$84,1,0)</f>
        <v>1</v>
      </c>
      <c r="E8551" s="39" t="n">
        <f aca="false">IF(E8550&lt;=Assumptions!$E$84,1,0)</f>
        <v>1</v>
      </c>
      <c r="F8551" s="39" t="n">
        <f aca="false">IF(F8550&lt;=Assumptions!$E$84,1,0)</f>
        <v>1</v>
      </c>
      <c r="G8551" s="39" t="n">
        <f aca="false">IF(G8550&lt;=Assumptions!$E$84,1,0)</f>
        <v>1</v>
      </c>
      <c r="H8551" s="39" t="n">
        <f aca="false">IF(H8550&lt;=Assumptions!$E$84,1,0)</f>
        <v>1</v>
      </c>
      <c r="I8551" s="39" t="n">
        <f aca="false">IF(I8550&lt;=Assumptions!$E$84,1,0)</f>
        <v>1</v>
      </c>
      <c r="J8551" s="39" t="n">
        <f aca="false">IF(J8550&lt;=Assumptions!$E$84,1,0)</f>
        <v>1</v>
      </c>
      <c r="K8551" s="39" t="n">
        <f aca="false">IF(K8550&lt;=Assumptions!$E$84,1,0)</f>
        <v>1</v>
      </c>
      <c r="L8551" s="39" t="n">
        <f aca="false">IF(L8550&lt;=Assumptions!$E$84,1,0)</f>
        <v>1</v>
      </c>
      <c r="M8551" s="39" t="n">
        <f aca="false">IF(M8550&lt;=Assumptions!$E$84,1,0)</f>
        <v>1</v>
      </c>
      <c r="N8551" s="39" t="n">
        <f aca="false">IF(N8550&lt;=Assumptions!$E$84,1,0)</f>
        <v>1</v>
      </c>
      <c r="P8551" s="40"/>
      <c r="Q8551" s="40"/>
      <c r="R8551" s="40"/>
      <c r="S8551" s="41"/>
    </row>
    <row r="8552" customFormat="false" ht="15" hidden="false" customHeight="false" outlineLevel="0" collapsed="false">
      <c r="A8552" s="4" t="s">
        <v>477</v>
      </c>
      <c r="B8552" s="36" t="s">
        <v>478</v>
      </c>
      <c r="C8552" s="42" t="n">
        <f aca="false">IF(C8550=Assumptions!$E$13,0.5,IF(C8550&gt;Assumptions!$E$13,1,0))</f>
        <v>0.5</v>
      </c>
      <c r="D8552" s="42" t="n">
        <f aca="false">IF(D8550=Assumptions!$E$13,0.5,IF(D8550&gt;Assumptions!$E$13,1,0))</f>
        <v>1</v>
      </c>
      <c r="E8552" s="42" t="n">
        <f aca="false">IF(E8550=Assumptions!$E$13,0.5,IF(E8550&gt;Assumptions!$E$13,1,0))</f>
        <v>1</v>
      </c>
      <c r="F8552" s="42" t="n">
        <f aca="false">IF(F8550=Assumptions!$E$13,0.5,IF(F8550&gt;Assumptions!$E$13,1,0))</f>
        <v>1</v>
      </c>
      <c r="G8552" s="42" t="n">
        <f aca="false">IF(G8550=Assumptions!$E$13,0.5,IF(G8550&gt;Assumptions!$E$13,1,0))</f>
        <v>1</v>
      </c>
      <c r="H8552" s="42" t="n">
        <f aca="false">IF(H8550=Assumptions!$E$13,0.5,IF(H8550&gt;Assumptions!$E$13,1,0))</f>
        <v>1</v>
      </c>
      <c r="I8552" s="42" t="n">
        <f aca="false">IF(I8550=Assumptions!$E$13,0.5,IF(I8550&gt;Assumptions!$E$13,1,0))</f>
        <v>1</v>
      </c>
      <c r="J8552" s="42" t="n">
        <f aca="false">IF(J8550=Assumptions!$E$13,0.5,IF(J8550&gt;Assumptions!$E$13,1,0))</f>
        <v>1</v>
      </c>
      <c r="K8552" s="42" t="n">
        <f aca="false">IF(K8550=Assumptions!$E$13,0.5,IF(K8550&gt;Assumptions!$E$13,1,0))</f>
        <v>1</v>
      </c>
      <c r="L8552" s="42" t="n">
        <f aca="false">IF(L8550=Assumptions!$E$13,0.5,IF(L8550&gt;Assumptions!$E$13,1,0))</f>
        <v>1</v>
      </c>
      <c r="M8552" s="42" t="n">
        <f aca="false">IF(M8550=Assumptions!$E$13,0.5,IF(M8550&gt;Assumptions!$E$13,1,0))</f>
        <v>1</v>
      </c>
      <c r="N8552" s="42" t="n">
        <f aca="false">IF(N8550=Assumptions!$E$13,0.5,IF(N8550&gt;Assumptions!$E$13,1,0))</f>
        <v>1</v>
      </c>
      <c r="P8552" s="43"/>
      <c r="Q8552" s="43"/>
      <c r="R8552" s="43"/>
      <c r="S8552" s="44"/>
    </row>
    <row r="8553" customFormat="false" ht="15" hidden="false" customHeight="false" outlineLevel="0" collapsed="false">
      <c r="A8553" s="4" t="s">
        <v>479</v>
      </c>
      <c r="B8553" s="36" t="s">
        <v>478</v>
      </c>
      <c r="C8553" s="42" t="n">
        <f aca="false">IF(C8550=Assumptions!$E$14,0.5,IF(C8550&gt;Assumptions!$E$14,1,0))</f>
        <v>0</v>
      </c>
      <c r="D8553" s="42" t="n">
        <f aca="false">IF(D8550=Assumptions!$E$14,0.5,IF(D8550&gt;Assumptions!$E$14,1,0))</f>
        <v>0</v>
      </c>
      <c r="E8553" s="42" t="n">
        <f aca="false">IF(E8550=Assumptions!$E$14,0.5,IF(E8550&gt;Assumptions!$E$14,1,0))</f>
        <v>0</v>
      </c>
      <c r="F8553" s="42" t="n">
        <f aca="false">IF(F8550=Assumptions!$E$14,0.5,IF(F8550&gt;Assumptions!$E$14,1,0))</f>
        <v>0</v>
      </c>
      <c r="G8553" s="42" t="n">
        <f aca="false">IF(G8550=Assumptions!$E$14,0.5,IF(G8550&gt;Assumptions!$E$14,1,0))</f>
        <v>0.5</v>
      </c>
      <c r="H8553" s="42" t="n">
        <f aca="false">IF(H8550=Assumptions!$E$14,0.5,IF(H8550&gt;Assumptions!$E$14,1,0))</f>
        <v>1</v>
      </c>
      <c r="I8553" s="42" t="n">
        <f aca="false">IF(I8550=Assumptions!$E$14,0.5,IF(I8550&gt;Assumptions!$E$14,1,0))</f>
        <v>1</v>
      </c>
      <c r="J8553" s="42" t="n">
        <f aca="false">IF(J8550=Assumptions!$E$14,0.5,IF(J8550&gt;Assumptions!$E$14,1,0))</f>
        <v>1</v>
      </c>
      <c r="K8553" s="42" t="n">
        <f aca="false">IF(K8550=Assumptions!$E$14,0.5,IF(K8550&gt;Assumptions!$E$14,1,0))</f>
        <v>1</v>
      </c>
      <c r="L8553" s="42" t="n">
        <f aca="false">IF(L8550=Assumptions!$E$14,0.5,IF(L8550&gt;Assumptions!$E$14,1,0))</f>
        <v>1</v>
      </c>
      <c r="M8553" s="42" t="n">
        <f aca="false">IF(M8550=Assumptions!$E$14,0.5,IF(M8550&gt;Assumptions!$E$14,1,0))</f>
        <v>1</v>
      </c>
      <c r="N8553" s="42" t="n">
        <f aca="false">IF(N8550=Assumptions!$E$14,0.5,IF(N8550&gt;Assumptions!$E$14,1,0))</f>
        <v>1</v>
      </c>
      <c r="P8553" s="43"/>
      <c r="Q8553" s="43"/>
      <c r="R8553" s="43"/>
      <c r="S8553" s="44"/>
    </row>
    <row r="8554" customFormat="false" ht="15" hidden="false" customHeight="false" outlineLevel="0" collapsed="false">
      <c r="A8554" s="4" t="s">
        <v>480</v>
      </c>
      <c r="B8554" s="36" t="s">
        <v>478</v>
      </c>
      <c r="C8554" s="42" t="n">
        <f aca="false">IF(C8550=Assumptions!$E$15,0.5,IF(C8550&gt;Assumptions!$E$15,1,0))</f>
        <v>0</v>
      </c>
      <c r="D8554" s="42" t="n">
        <f aca="false">IF(D8550=Assumptions!$E$15,0.5,IF(D8550&gt;Assumptions!$E$15,1,0))</f>
        <v>0</v>
      </c>
      <c r="E8554" s="42" t="n">
        <f aca="false">IF(E8550=Assumptions!$E$15,0.5,IF(E8550&gt;Assumptions!$E$15,1,0))</f>
        <v>0</v>
      </c>
      <c r="F8554" s="42" t="n">
        <f aca="false">IF(F8550=Assumptions!$E$15,0.5,IF(F8550&gt;Assumptions!$E$15,1,0))</f>
        <v>0</v>
      </c>
      <c r="G8554" s="42" t="n">
        <f aca="false">IF(G8550=Assumptions!$E$15,0.5,IF(G8550&gt;Assumptions!$E$15,1,0))</f>
        <v>0</v>
      </c>
      <c r="H8554" s="42" t="n">
        <f aca="false">IF(H8550=Assumptions!$E$15,0.5,IF(H8550&gt;Assumptions!$E$15,1,0))</f>
        <v>0</v>
      </c>
      <c r="I8554" s="42" t="n">
        <f aca="false">IF(I8550=Assumptions!$E$15,0.5,IF(I8550&gt;Assumptions!$E$15,1,0))</f>
        <v>0.5</v>
      </c>
      <c r="J8554" s="42" t="n">
        <f aca="false">IF(J8550=Assumptions!$E$15,0.5,IF(J8550&gt;Assumptions!$E$15,1,0))</f>
        <v>1</v>
      </c>
      <c r="K8554" s="42" t="n">
        <f aca="false">IF(K8550=Assumptions!$E$15,0.5,IF(K8550&gt;Assumptions!$E$15,1,0))</f>
        <v>1</v>
      </c>
      <c r="L8554" s="42" t="n">
        <f aca="false">IF(L8550=Assumptions!$E$15,0.5,IF(L8550&gt;Assumptions!$E$15,1,0))</f>
        <v>1</v>
      </c>
      <c r="M8554" s="42" t="n">
        <f aca="false">IF(M8550=Assumptions!$E$15,0.5,IF(M8550&gt;Assumptions!$E$15,1,0))</f>
        <v>1</v>
      </c>
      <c r="N8554" s="42" t="n">
        <f aca="false">IF(N8550=Assumptions!$E$15,0.5,IF(N8550&gt;Assumptions!$E$15,1,0))</f>
        <v>1</v>
      </c>
      <c r="P8554" s="43"/>
      <c r="Q8554" s="43"/>
      <c r="R8554" s="43"/>
      <c r="S8554" s="44"/>
    </row>
    <row r="8555" customFormat="false" ht="15" hidden="false" customHeight="false" outlineLevel="0" collapsed="false">
      <c r="A8555" s="4" t="s">
        <v>481</v>
      </c>
      <c r="B8555" s="36" t="s">
        <v>478</v>
      </c>
      <c r="C8555" s="45" t="n">
        <f aca="false">Assumptions!$E$21^(MAX(0,C8550-Assumptions!$E$13)/4)</f>
        <v>1</v>
      </c>
      <c r="D8555" s="45" t="n">
        <f aca="false">Assumptions!$E$21^(MAX(0,D8550-Assumptions!$E$13)/4)</f>
        <v>0.9306048591021</v>
      </c>
      <c r="E8555" s="45" t="n">
        <f aca="false">Assumptions!$E$21^(MAX(0,E8550-Assumptions!$E$13)/4)</f>
        <v>0.866025403784439</v>
      </c>
      <c r="F8555" s="45" t="n">
        <f aca="false">Assumptions!$E$21^(MAX(0,F8550-Assumptions!$E$13)/4)</f>
        <v>0.805927448867656</v>
      </c>
      <c r="G8555" s="45" t="n">
        <f aca="false">Assumptions!$E$21^(MAX(0,G8550-Assumptions!$E$13)/4)</f>
        <v>0.75</v>
      </c>
      <c r="H8555" s="45" t="n">
        <f aca="false">Assumptions!$E$21^(MAX(0,H8550-Assumptions!$E$13)/4)</f>
        <v>0.697953644326575</v>
      </c>
      <c r="I8555" s="45" t="n">
        <f aca="false">Assumptions!$E$21^(MAX(0,I8550-Assumptions!$E$13)/4)</f>
        <v>0.649519052838329</v>
      </c>
      <c r="J8555" s="45" t="n">
        <f aca="false">Assumptions!$E$21^(MAX(0,J8550-Assumptions!$E$13)/4)</f>
        <v>0.604445586650742</v>
      </c>
      <c r="K8555" s="45" t="n">
        <f aca="false">Assumptions!$E$21^(MAX(0,K8550-Assumptions!$E$13)/4)</f>
        <v>0.5625</v>
      </c>
      <c r="L8555" s="45" t="n">
        <f aca="false">Assumptions!$E$21^(MAX(0,L8550-Assumptions!$E$13)/4)</f>
        <v>0.523465233244931</v>
      </c>
      <c r="M8555" s="45" t="n">
        <f aca="false">Assumptions!$E$21^(MAX(0,M8550-Assumptions!$E$13)/4)</f>
        <v>0.487139289628747</v>
      </c>
      <c r="N8555" s="45" t="n">
        <f aca="false">Assumptions!$E$21^(MAX(0,N8550-Assumptions!$E$13)/4)</f>
        <v>0.453334189988057</v>
      </c>
      <c r="P8555" s="46"/>
      <c r="Q8555" s="46"/>
      <c r="R8555" s="46"/>
      <c r="S8555" s="47"/>
    </row>
    <row r="8556" customFormat="false" ht="15" hidden="false" customHeight="false" outlineLevel="0" collapsed="false">
      <c r="A8556" s="4" t="s">
        <v>482</v>
      </c>
      <c r="B8556" s="36" t="s">
        <v>478</v>
      </c>
      <c r="C8556" s="45" t="n">
        <f aca="false">Assumptions!$E$21^(MAX(0,C8550-Assumptions!$E$14)/4)</f>
        <v>1</v>
      </c>
      <c r="D8556" s="45" t="n">
        <f aca="false">Assumptions!$E$21^(MAX(0,D8550-Assumptions!$E$14)/4)</f>
        <v>1</v>
      </c>
      <c r="E8556" s="45" t="n">
        <f aca="false">Assumptions!$E$21^(MAX(0,E8550-Assumptions!$E$14)/4)</f>
        <v>1</v>
      </c>
      <c r="F8556" s="45" t="n">
        <f aca="false">Assumptions!$E$21^(MAX(0,F8550-Assumptions!$E$14)/4)</f>
        <v>1</v>
      </c>
      <c r="G8556" s="45" t="n">
        <f aca="false">Assumptions!$E$21^(MAX(0,G8550-Assumptions!$E$14)/4)</f>
        <v>1</v>
      </c>
      <c r="H8556" s="45" t="n">
        <f aca="false">Assumptions!$E$21^(MAX(0,H8550-Assumptions!$E$14)/4)</f>
        <v>0.9306048591021</v>
      </c>
      <c r="I8556" s="45" t="n">
        <f aca="false">Assumptions!$E$21^(MAX(0,I8550-Assumptions!$E$14)/4)</f>
        <v>0.866025403784439</v>
      </c>
      <c r="J8556" s="45" t="n">
        <f aca="false">Assumptions!$E$21^(MAX(0,J8550-Assumptions!$E$14)/4)</f>
        <v>0.805927448867656</v>
      </c>
      <c r="K8556" s="45" t="n">
        <f aca="false">Assumptions!$E$21^(MAX(0,K8550-Assumptions!$E$14)/4)</f>
        <v>0.75</v>
      </c>
      <c r="L8556" s="45" t="n">
        <f aca="false">Assumptions!$E$21^(MAX(0,L8550-Assumptions!$E$14)/4)</f>
        <v>0.697953644326575</v>
      </c>
      <c r="M8556" s="45" t="n">
        <f aca="false">Assumptions!$E$21^(MAX(0,M8550-Assumptions!$E$14)/4)</f>
        <v>0.649519052838329</v>
      </c>
      <c r="N8556" s="45" t="n">
        <f aca="false">Assumptions!$E$21^(MAX(0,N8550-Assumptions!$E$14)/4)</f>
        <v>0.604445586650742</v>
      </c>
      <c r="P8556" s="46"/>
      <c r="Q8556" s="46"/>
      <c r="R8556" s="46"/>
      <c r="S8556" s="47"/>
    </row>
    <row r="8557" customFormat="false" ht="15" hidden="false" customHeight="false" outlineLevel="0" collapsed="false">
      <c r="A8557" s="4" t="s">
        <v>483</v>
      </c>
      <c r="B8557" s="36" t="s">
        <v>478</v>
      </c>
      <c r="C8557" s="45" t="n">
        <f aca="false">Assumptions!$E$21^(MAX(0,C8550-Assumptions!$E$15)/4)</f>
        <v>1</v>
      </c>
      <c r="D8557" s="45" t="n">
        <f aca="false">Assumptions!$E$21^(MAX(0,D8550-Assumptions!$E$15)/4)</f>
        <v>1</v>
      </c>
      <c r="E8557" s="45" t="n">
        <f aca="false">Assumptions!$E$21^(MAX(0,E8550-Assumptions!$E$15)/4)</f>
        <v>1</v>
      </c>
      <c r="F8557" s="45" t="n">
        <f aca="false">Assumptions!$E$21^(MAX(0,F8550-Assumptions!$E$15)/4)</f>
        <v>1</v>
      </c>
      <c r="G8557" s="45" t="n">
        <f aca="false">Assumptions!$E$21^(MAX(0,G8550-Assumptions!$E$15)/4)</f>
        <v>1</v>
      </c>
      <c r="H8557" s="45" t="n">
        <f aca="false">Assumptions!$E$21^(MAX(0,H8550-Assumptions!$E$15)/4)</f>
        <v>1</v>
      </c>
      <c r="I8557" s="45" t="n">
        <f aca="false">Assumptions!$E$21^(MAX(0,I8550-Assumptions!$E$15)/4)</f>
        <v>1</v>
      </c>
      <c r="J8557" s="45" t="n">
        <f aca="false">Assumptions!$E$21^(MAX(0,J8550-Assumptions!$E$15)/4)</f>
        <v>0.9306048591021</v>
      </c>
      <c r="K8557" s="45" t="n">
        <f aca="false">Assumptions!$E$21^(MAX(0,K8550-Assumptions!$E$15)/4)</f>
        <v>0.866025403784439</v>
      </c>
      <c r="L8557" s="45" t="n">
        <f aca="false">Assumptions!$E$21^(MAX(0,L8550-Assumptions!$E$15)/4)</f>
        <v>0.805927448867656</v>
      </c>
      <c r="M8557" s="45" t="n">
        <f aca="false">Assumptions!$E$21^(MAX(0,M8550-Assumptions!$E$15)/4)</f>
        <v>0.75</v>
      </c>
      <c r="N8557" s="45" t="n">
        <f aca="false">Assumptions!$E$21^(MAX(0,N8550-Assumptions!$E$15)/4)</f>
        <v>0.697953644326575</v>
      </c>
      <c r="P8557" s="46"/>
      <c r="Q8557" s="46"/>
      <c r="R8557" s="46"/>
      <c r="S8557" s="47"/>
    </row>
    <row r="8558" customFormat="false" ht="15" hidden="false" customHeight="false" outlineLevel="0" collapsed="false">
      <c r="A8558" s="4" t="s">
        <v>484</v>
      </c>
      <c r="B8558" s="36" t="s">
        <v>485</v>
      </c>
      <c r="C8558" s="39" t="n">
        <f aca="false">$C$8529*C8552+$C$8533*C8553+$C$8537*C8554</f>
        <v>421.51972352</v>
      </c>
      <c r="D8558" s="39" t="n">
        <f aca="false">$C$8529*D8552+$C$8533*D8553+$C$8537*D8554</f>
        <v>843.03944704</v>
      </c>
      <c r="E8558" s="39" t="n">
        <f aca="false">$C$8529*E8552+$C$8533*E8553+$C$8537*E8554</f>
        <v>843.03944704</v>
      </c>
      <c r="F8558" s="39" t="n">
        <f aca="false">$C$8529*F8552+$C$8533*F8553+$C$8537*F8554</f>
        <v>843.03944704</v>
      </c>
      <c r="G8558" s="39" t="n">
        <f aca="false">$C$8529*G8552+$C$8533*G8553+$C$8537*G8554</f>
        <v>1149.32798176</v>
      </c>
      <c r="H8558" s="39" t="n">
        <f aca="false">$C$8529*H8552+$C$8533*H8553+$C$8537*H8554</f>
        <v>1455.61651648</v>
      </c>
      <c r="I8558" s="39" t="n">
        <f aca="false">$C$8529*I8552+$C$8533*I8553+$C$8537*I8554</f>
        <v>2486.00303616</v>
      </c>
      <c r="J8558" s="39" t="n">
        <f aca="false">$C$8529*J8552+$C$8533*J8553+$C$8537*J8554</f>
        <v>3516.38955584</v>
      </c>
      <c r="K8558" s="39" t="n">
        <f aca="false">$C$8529*K8552+$C$8533*K8553+$C$8537*K8554</f>
        <v>3516.38955584</v>
      </c>
      <c r="L8558" s="39" t="n">
        <f aca="false">$C$8529*L8552+$C$8533*L8553+$C$8537*L8554</f>
        <v>3516.38955584</v>
      </c>
      <c r="M8558" s="39" t="n">
        <f aca="false">$C$8529*M8552+$C$8533*M8553+$C$8537*M8554</f>
        <v>3516.38955584</v>
      </c>
      <c r="N8558" s="39" t="n">
        <f aca="false">$C$8529*N8552+$C$8533*N8553+$C$8537*N8554</f>
        <v>3516.38955584</v>
      </c>
      <c r="P8558" s="40" t="n">
        <f aca="false">F8558</f>
        <v>843.03944704</v>
      </c>
      <c r="Q8558" s="40" t="n">
        <f aca="false">J8558</f>
        <v>3516.38955584</v>
      </c>
      <c r="R8558" s="40" t="n">
        <f aca="false">N8558</f>
        <v>3516.38955584</v>
      </c>
      <c r="S8558" s="41" t="n">
        <f aca="false">R8558</f>
        <v>3516.38955584</v>
      </c>
    </row>
    <row r="8559" customFormat="false" ht="15" hidden="false" customHeight="false" outlineLevel="0" collapsed="false">
      <c r="A8559" s="4" t="s">
        <v>486</v>
      </c>
      <c r="B8559" s="36" t="s">
        <v>485</v>
      </c>
      <c r="C8559" s="39" t="n">
        <f aca="false">$C$8530*C8552+$C$8534*C8553+$C$8538*C8554</f>
        <v>105.59808</v>
      </c>
      <c r="D8559" s="39" t="n">
        <f aca="false">$C$8530*D8552+$C$8534*D8553+$C$8538*D8554</f>
        <v>211.19616</v>
      </c>
      <c r="E8559" s="39" t="n">
        <f aca="false">$C$8530*E8552+$C$8534*E8553+$C$8538*E8554</f>
        <v>211.19616</v>
      </c>
      <c r="F8559" s="39" t="n">
        <f aca="false">$C$8530*F8552+$C$8534*F8553+$C$8538*F8554</f>
        <v>211.19616</v>
      </c>
      <c r="G8559" s="39" t="n">
        <f aca="false">$C$8530*G8552+$C$8534*G8553+$C$8538*G8554</f>
        <v>282.24672</v>
      </c>
      <c r="H8559" s="39" t="n">
        <f aca="false">$C$8530*H8552+$C$8534*H8553+$C$8538*H8554</f>
        <v>353.29728</v>
      </c>
      <c r="I8559" s="39" t="n">
        <f aca="false">$C$8530*I8552+$C$8534*I8553+$C$8538*I8554</f>
        <v>567.53536</v>
      </c>
      <c r="J8559" s="39" t="n">
        <f aca="false">$C$8530*J8552+$C$8534*J8553+$C$8538*J8554</f>
        <v>781.77344</v>
      </c>
      <c r="K8559" s="39" t="n">
        <f aca="false">$C$8530*K8552+$C$8534*K8553+$C$8538*K8554</f>
        <v>781.77344</v>
      </c>
      <c r="L8559" s="39" t="n">
        <f aca="false">$C$8530*L8552+$C$8534*L8553+$C$8538*L8554</f>
        <v>781.77344</v>
      </c>
      <c r="M8559" s="39" t="n">
        <f aca="false">$C$8530*M8552+$C$8534*M8553+$C$8538*M8554</f>
        <v>781.77344</v>
      </c>
      <c r="N8559" s="39" t="n">
        <f aca="false">$C$8530*N8552+$C$8534*N8553+$C$8538*N8554</f>
        <v>781.77344</v>
      </c>
      <c r="P8559" s="40" t="n">
        <f aca="false">F8559</f>
        <v>211.19616</v>
      </c>
      <c r="Q8559" s="40" t="n">
        <f aca="false">J8559</f>
        <v>781.77344</v>
      </c>
      <c r="R8559" s="40" t="n">
        <f aca="false">N8559</f>
        <v>781.77344</v>
      </c>
      <c r="S8559" s="41" t="n">
        <f aca="false">R8559</f>
        <v>781.77344</v>
      </c>
    </row>
    <row r="8560" customFormat="false" ht="15" hidden="false" customHeight="false" outlineLevel="0" collapsed="false">
      <c r="A8560" s="4" t="s">
        <v>487</v>
      </c>
      <c r="B8560" s="36" t="s">
        <v>485</v>
      </c>
      <c r="C8560" s="39" t="n">
        <f aca="false">$C$8531*C8552+$C$8535*C8553+$C$8539*C8554</f>
        <v>24.76992</v>
      </c>
      <c r="D8560" s="39" t="n">
        <f aca="false">$C$8531*D8552+$C$8535*D8553+$C$8539*D8554</f>
        <v>49.53984</v>
      </c>
      <c r="E8560" s="39" t="n">
        <f aca="false">$C$8531*E8552+$C$8535*E8553+$C$8539*E8554</f>
        <v>49.53984</v>
      </c>
      <c r="F8560" s="39" t="n">
        <f aca="false">$C$8531*F8552+$C$8535*F8553+$C$8539*F8554</f>
        <v>49.53984</v>
      </c>
      <c r="G8560" s="39" t="n">
        <f aca="false">$C$8531*G8552+$C$8535*G8553+$C$8539*G8554</f>
        <v>61.9248</v>
      </c>
      <c r="H8560" s="39" t="n">
        <f aca="false">$C$8531*H8552+$C$8535*H8553+$C$8539*H8554</f>
        <v>74.30976</v>
      </c>
      <c r="I8560" s="39" t="n">
        <f aca="false">$C$8531*I8552+$C$8535*I8553+$C$8539*I8554</f>
        <v>114.072</v>
      </c>
      <c r="J8560" s="39" t="n">
        <f aca="false">$C$8531*J8552+$C$8535*J8553+$C$8539*J8554</f>
        <v>153.83424</v>
      </c>
      <c r="K8560" s="39" t="n">
        <f aca="false">$C$8531*K8552+$C$8535*K8553+$C$8539*K8554</f>
        <v>153.83424</v>
      </c>
      <c r="L8560" s="39" t="n">
        <f aca="false">$C$8531*L8552+$C$8535*L8553+$C$8539*L8554</f>
        <v>153.83424</v>
      </c>
      <c r="M8560" s="39" t="n">
        <f aca="false">$C$8531*M8552+$C$8535*M8553+$C$8539*M8554</f>
        <v>153.83424</v>
      </c>
      <c r="N8560" s="39" t="n">
        <f aca="false">$C$8531*N8552+$C$8535*N8553+$C$8539*N8554</f>
        <v>153.83424</v>
      </c>
      <c r="P8560" s="40" t="n">
        <f aca="false">F8560</f>
        <v>49.53984</v>
      </c>
      <c r="Q8560" s="40" t="n">
        <f aca="false">J8560</f>
        <v>153.83424</v>
      </c>
      <c r="R8560" s="40" t="n">
        <f aca="false">N8560</f>
        <v>153.83424</v>
      </c>
      <c r="S8560" s="41" t="n">
        <f aca="false">R8560</f>
        <v>153.83424</v>
      </c>
    </row>
    <row r="8561" customFormat="false" ht="15" hidden="false" customHeight="false" outlineLevel="0" collapsed="false">
      <c r="A8561" s="4" t="s">
        <v>488</v>
      </c>
      <c r="B8561" s="36" t="s">
        <v>485</v>
      </c>
      <c r="C8561" s="39" t="n">
        <f aca="false">C8558+C8559+C8560</f>
        <v>551.88772352</v>
      </c>
      <c r="D8561" s="39" t="n">
        <f aca="false">D8558+D8559+D8560</f>
        <v>1103.77544704</v>
      </c>
      <c r="E8561" s="39" t="n">
        <f aca="false">E8558+E8559+E8560</f>
        <v>1103.77544704</v>
      </c>
      <c r="F8561" s="39" t="n">
        <f aca="false">F8558+F8559+F8560</f>
        <v>1103.77544704</v>
      </c>
      <c r="G8561" s="39" t="n">
        <f aca="false">G8558+G8559+G8560</f>
        <v>1493.49950176</v>
      </c>
      <c r="H8561" s="39" t="n">
        <f aca="false">H8558+H8559+H8560</f>
        <v>1883.22355648</v>
      </c>
      <c r="I8561" s="39" t="n">
        <f aca="false">I8558+I8559+I8560</f>
        <v>3167.61039616</v>
      </c>
      <c r="J8561" s="39" t="n">
        <f aca="false">J8558+J8559+J8560</f>
        <v>4451.99723584</v>
      </c>
      <c r="K8561" s="39" t="n">
        <f aca="false">K8558+K8559+K8560</f>
        <v>4451.99723584</v>
      </c>
      <c r="L8561" s="39" t="n">
        <f aca="false">L8558+L8559+L8560</f>
        <v>4451.99723584</v>
      </c>
      <c r="M8561" s="39" t="n">
        <f aca="false">M8558+M8559+M8560</f>
        <v>4451.99723584</v>
      </c>
      <c r="N8561" s="39" t="n">
        <f aca="false">N8558+N8559+N8560</f>
        <v>4451.99723584</v>
      </c>
      <c r="P8561" s="40" t="n">
        <f aca="false">F8561</f>
        <v>1103.77544704</v>
      </c>
      <c r="Q8561" s="40" t="n">
        <f aca="false">J8561</f>
        <v>4451.99723584</v>
      </c>
      <c r="R8561" s="40" t="n">
        <f aca="false">N8561</f>
        <v>4451.99723584</v>
      </c>
      <c r="S8561" s="41" t="n">
        <f aca="false">R8561</f>
        <v>4451.99723584</v>
      </c>
    </row>
    <row r="8562" customFormat="false" ht="15" hidden="false" customHeight="false" outlineLevel="0" collapsed="false">
      <c r="A8562" s="4" t="s">
        <v>489</v>
      </c>
      <c r="B8562" s="36" t="s">
        <v>485</v>
      </c>
      <c r="C8562" s="39" t="n">
        <f aca="false">$C$8532*C8552*C8555+$C$8536*C8553*C8556+$C$8540*C8554*C8557</f>
        <v>551.88772352</v>
      </c>
      <c r="D8562" s="39" t="n">
        <f aca="false">$C$8532*D8552*D8555+$C$8536*D8553*D8556+$C$8540*D8554*D8557</f>
        <v>1027.17879437302</v>
      </c>
      <c r="E8562" s="39" t="n">
        <f aca="false">$C$8532*E8552*E8555+$C$8536*E8553*E8556+$C$8540*E8554*E8557</f>
        <v>955.897577210165</v>
      </c>
      <c r="F8562" s="39" t="n">
        <f aca="false">$C$8532*F8552*F8555+$C$8536*F8553*F8556+$C$8540*F8554*F8557</f>
        <v>889.562930155704</v>
      </c>
      <c r="G8562" s="39" t="n">
        <f aca="false">$C$8532*G8552*G8555+$C$8536*G8553*G8556+$C$8540*G8554*G8557</f>
        <v>1217.55564</v>
      </c>
      <c r="H8562" s="39" t="n">
        <f aca="false">$C$8532*H8552*H8555+$C$8536*H8553*H8556+$C$8540*H8554*H8557</f>
        <v>1495.74229384257</v>
      </c>
      <c r="I8562" s="39" t="n">
        <f aca="false">$C$8532*I8552*I8555+$C$8536*I8553*I8556+$C$8540*I8554*I8557</f>
        <v>2676.33188629442</v>
      </c>
      <c r="J8562" s="39" t="n">
        <f aca="false">$C$8532*J8552*J8555+$C$8536*J8553*J8556+$C$8540*J8554*J8557</f>
        <v>3685.86409192847</v>
      </c>
      <c r="K8562" s="39" t="n">
        <f aca="false">$C$8532*K8552*K8555+$C$8536*K8553*K8556+$C$8540*K8554*K8557</f>
        <v>3430.08303393858</v>
      </c>
      <c r="L8562" s="39" t="n">
        <f aca="false">$C$8532*L8552*L8555+$C$8536*L8553*L8556+$C$8540*L8554*L8557</f>
        <v>3192.05193850692</v>
      </c>
      <c r="M8562" s="39" t="n">
        <f aca="false">$C$8532*M8552*M8555+$C$8536*M8553*M8556+$C$8540*M8554*M8557</f>
        <v>2970.53904448081</v>
      </c>
      <c r="N8562" s="39" t="n">
        <f aca="false">$C$8532*N8552*N8555+$C$8536*N8553*N8556+$C$8540*N8554*N8557</f>
        <v>2764.39806894635</v>
      </c>
      <c r="P8562" s="40"/>
      <c r="Q8562" s="40"/>
      <c r="R8562" s="40"/>
      <c r="S8562" s="41"/>
    </row>
    <row r="8563" customFormat="false" ht="15" hidden="false" customHeight="false" outlineLevel="0" collapsed="false">
      <c r="A8563" s="4" t="s">
        <v>490</v>
      </c>
      <c r="B8563" s="36" t="s">
        <v>491</v>
      </c>
      <c r="C8563" s="48" t="n">
        <f aca="false">$C$8544*Assumptions!$E$20*C8551*C8562</f>
        <v>6.62265268224</v>
      </c>
      <c r="D8563" s="48" t="n">
        <f aca="false">$C$8544*Assumptions!$E$20*D8551*D8562</f>
        <v>12.3261455324762</v>
      </c>
      <c r="E8563" s="48" t="n">
        <f aca="false">$C$8544*Assumptions!$E$20*E8551*E8562</f>
        <v>11.470770926522</v>
      </c>
      <c r="F8563" s="48" t="n">
        <f aca="false">$C$8544*Assumptions!$E$20*F8551*F8562</f>
        <v>10.6747551618685</v>
      </c>
      <c r="G8563" s="48" t="n">
        <f aca="false">$C$8544*Assumptions!$E$20*G8551*G8562</f>
        <v>14.61066768</v>
      </c>
      <c r="H8563" s="48" t="n">
        <f aca="false">$C$8544*Assumptions!$E$20*H8551*H8562</f>
        <v>17.9489075261109</v>
      </c>
      <c r="I8563" s="48" t="n">
        <f aca="false">$C$8544*Assumptions!$E$20*I8551*I8562</f>
        <v>32.115982635533</v>
      </c>
      <c r="J8563" s="48" t="n">
        <f aca="false">$C$8544*Assumptions!$E$20*J8551*J8562</f>
        <v>44.2303691031417</v>
      </c>
      <c r="K8563" s="48" t="n">
        <f aca="false">$C$8544*Assumptions!$E$20*K8551*K8562</f>
        <v>41.160996407263</v>
      </c>
      <c r="L8563" s="48" t="n">
        <f aca="false">$C$8544*Assumptions!$E$20*L8551*L8562</f>
        <v>38.304623262083</v>
      </c>
      <c r="M8563" s="48" t="n">
        <f aca="false">$C$8544*Assumptions!$E$20*M8551*M8562</f>
        <v>35.6464685337698</v>
      </c>
      <c r="N8563" s="48" t="n">
        <f aca="false">$C$8544*Assumptions!$E$20*N8551*N8562</f>
        <v>33.1727768273562</v>
      </c>
      <c r="P8563" s="49" t="n">
        <f aca="false">SUM(C8563:F8563)</f>
        <v>41.0943243031066</v>
      </c>
      <c r="Q8563" s="49" t="n">
        <f aca="false">SUM(G8563:J8563)</f>
        <v>108.905926944786</v>
      </c>
      <c r="R8563" s="49" t="n">
        <f aca="false">SUM(K8563:N8563)</f>
        <v>148.284865030472</v>
      </c>
      <c r="S8563" s="50" t="n">
        <f aca="false">SUM(P8563:R8563)</f>
        <v>298.285116278364</v>
      </c>
    </row>
    <row r="8564" customFormat="false" ht="15" hidden="false" customHeight="false" outlineLevel="0" collapsed="false">
      <c r="A8564" s="4" t="s">
        <v>492</v>
      </c>
      <c r="B8564" s="36" t="s">
        <v>321</v>
      </c>
      <c r="C8564" s="48" t="n">
        <f aca="false">Assumptions!$D$111</f>
        <v>0</v>
      </c>
      <c r="D8564" s="48" t="n">
        <f aca="false">Assumptions!$E$111</f>
        <v>0</v>
      </c>
      <c r="E8564" s="48" t="n">
        <f aca="false">Assumptions!$F$111</f>
        <v>0</v>
      </c>
      <c r="F8564" s="48" t="n">
        <f aca="false">Assumptions!$G$111</f>
        <v>0</v>
      </c>
      <c r="G8564" s="48" t="n">
        <f aca="false">Assumptions!$H$111</f>
        <v>0</v>
      </c>
      <c r="H8564" s="48" t="n">
        <f aca="false">Assumptions!$I$111</f>
        <v>0</v>
      </c>
      <c r="I8564" s="48" t="n">
        <f aca="false">Assumptions!$J$111</f>
        <v>0</v>
      </c>
      <c r="J8564" s="48" t="n">
        <f aca="false">Assumptions!$K$111</f>
        <v>0</v>
      </c>
      <c r="K8564" s="48" t="n">
        <f aca="false">Assumptions!$L$111</f>
        <v>0</v>
      </c>
      <c r="L8564" s="48" t="n">
        <f aca="false">Assumptions!$M$111</f>
        <v>0</v>
      </c>
      <c r="M8564" s="48" t="n">
        <f aca="false">Assumptions!$N$111</f>
        <v>0</v>
      </c>
      <c r="N8564" s="48" t="n">
        <f aca="false">Assumptions!$O$111</f>
        <v>0</v>
      </c>
      <c r="P8564" s="49" t="n">
        <f aca="false">F8564</f>
        <v>0</v>
      </c>
      <c r="Q8564" s="49" t="n">
        <f aca="false">J8564</f>
        <v>0</v>
      </c>
      <c r="R8564" s="49" t="n">
        <f aca="false">N8564</f>
        <v>0</v>
      </c>
      <c r="S8564" s="50" t="n">
        <f aca="false">R8564</f>
        <v>0</v>
      </c>
    </row>
    <row r="8565" customFormat="false" ht="15" hidden="false" customHeight="false" outlineLevel="0" collapsed="false">
      <c r="A8565" s="4" t="s">
        <v>493</v>
      </c>
      <c r="B8565" s="36" t="s">
        <v>321</v>
      </c>
      <c r="C8565" s="48" t="n">
        <f aca="false">0</f>
        <v>0</v>
      </c>
      <c r="D8565" s="48" t="n">
        <f aca="false">0.5*C8564</f>
        <v>0</v>
      </c>
      <c r="E8565" s="48" t="n">
        <f aca="false">C8564+0.5*(D8564-C8564)</f>
        <v>0</v>
      </c>
      <c r="F8565" s="48" t="n">
        <f aca="false">D8564+0.5*(E8564-D8564)</f>
        <v>0</v>
      </c>
      <c r="G8565" s="48" t="n">
        <f aca="false">E8564+0.5*(F8564-E8564)</f>
        <v>0</v>
      </c>
      <c r="H8565" s="48" t="n">
        <f aca="false">F8564+0.5*(G8564-F8564)</f>
        <v>0</v>
      </c>
      <c r="I8565" s="48" t="n">
        <f aca="false">G8564+0.5*(H8564-G8564)</f>
        <v>0</v>
      </c>
      <c r="J8565" s="48" t="n">
        <f aca="false">H8564+0.5*(I8564-H8564)</f>
        <v>0</v>
      </c>
      <c r="K8565" s="48" t="n">
        <f aca="false">I8564+0.5*(J8564-I8564)</f>
        <v>0</v>
      </c>
      <c r="L8565" s="48" t="n">
        <f aca="false">J8564+0.5*(K8564-J8564)</f>
        <v>0</v>
      </c>
      <c r="M8565" s="48" t="n">
        <f aca="false">K8564+0.5*(L8564-K8564)</f>
        <v>0</v>
      </c>
      <c r="N8565" s="48" t="n">
        <f aca="false">L8564+0.5*(M8564-L8564)</f>
        <v>0</v>
      </c>
      <c r="P8565" s="49" t="n">
        <f aca="false">F8565</f>
        <v>0</v>
      </c>
      <c r="Q8565" s="49" t="n">
        <f aca="false">J8565</f>
        <v>0</v>
      </c>
      <c r="R8565" s="49" t="n">
        <f aca="false">N8565</f>
        <v>0</v>
      </c>
      <c r="S8565" s="50" t="n">
        <f aca="false">R8565</f>
        <v>0</v>
      </c>
    </row>
    <row r="8566" customFormat="false" ht="15" hidden="false" customHeight="false" outlineLevel="0" collapsed="false">
      <c r="A8566" s="4" t="s">
        <v>494</v>
      </c>
      <c r="B8566" s="36" t="s">
        <v>485</v>
      </c>
      <c r="C8566" s="39" t="n">
        <f aca="false">MIN(C8565*Assumptions!$E$38,C8561*(1-$C$8544))</f>
        <v>0</v>
      </c>
      <c r="D8566" s="39" t="n">
        <f aca="false">MIN(D8565*Assumptions!$E$38,D8561*(1-$C$8544))</f>
        <v>0</v>
      </c>
      <c r="E8566" s="39" t="n">
        <f aca="false">MIN(E8565*Assumptions!$E$38,E8561*(1-$C$8544))</f>
        <v>0</v>
      </c>
      <c r="F8566" s="39" t="n">
        <f aca="false">MIN(F8565*Assumptions!$E$38,F8561*(1-$C$8544))</f>
        <v>0</v>
      </c>
      <c r="G8566" s="39" t="n">
        <f aca="false">MIN(G8565*Assumptions!$E$38,G8561*(1-$C$8544))</f>
        <v>0</v>
      </c>
      <c r="H8566" s="39" t="n">
        <f aca="false">MIN(H8565*Assumptions!$E$38,H8561*(1-$C$8544))</f>
        <v>0</v>
      </c>
      <c r="I8566" s="39" t="n">
        <f aca="false">MIN(I8565*Assumptions!$E$38,I8561*(1-$C$8544))</f>
        <v>0</v>
      </c>
      <c r="J8566" s="39" t="n">
        <f aca="false">MIN(J8565*Assumptions!$E$38,J8561*(1-$C$8544))</f>
        <v>0</v>
      </c>
      <c r="K8566" s="39" t="n">
        <f aca="false">MIN(K8565*Assumptions!$E$38,K8561*(1-$C$8544))</f>
        <v>0</v>
      </c>
      <c r="L8566" s="39" t="n">
        <f aca="false">MIN(L8565*Assumptions!$E$38,L8561*(1-$C$8544))</f>
        <v>0</v>
      </c>
      <c r="M8566" s="39" t="n">
        <f aca="false">MIN(M8565*Assumptions!$E$38,M8561*(1-$C$8544))</f>
        <v>0</v>
      </c>
      <c r="N8566" s="39" t="n">
        <f aca="false">MIN(N8565*Assumptions!$E$38,N8561*(1-$C$8544))</f>
        <v>0</v>
      </c>
      <c r="P8566" s="40" t="n">
        <f aca="false">SUM(C8566:F8566)</f>
        <v>0</v>
      </c>
      <c r="Q8566" s="40" t="n">
        <f aca="false">SUM(G8566:J8566)</f>
        <v>0</v>
      </c>
      <c r="R8566" s="40" t="n">
        <f aca="false">SUM(K8566:N8566)</f>
        <v>0</v>
      </c>
      <c r="S8566" s="41" t="n">
        <f aca="false">SUM(P8566:R8566)</f>
        <v>0</v>
      </c>
    </row>
    <row r="8567" customFormat="false" ht="15" hidden="false" customHeight="false" outlineLevel="0" collapsed="false">
      <c r="A8567" s="4" t="s">
        <v>495</v>
      </c>
      <c r="B8567" s="36" t="s">
        <v>491</v>
      </c>
      <c r="C8567" s="48" t="n">
        <f aca="false">C8566*Assumptions!$E$20*Assumptions!$E$39*IF(C8561&gt;0,C8562/C8561,0)*C8551</f>
        <v>0</v>
      </c>
      <c r="D8567" s="48" t="n">
        <f aca="false">D8566*Assumptions!$E$20*Assumptions!$E$39*IF(D8561&gt;0,D8562/D8561,0)*D8551</f>
        <v>0</v>
      </c>
      <c r="E8567" s="48" t="n">
        <f aca="false">E8566*Assumptions!$E$20*Assumptions!$E$39*IF(E8561&gt;0,E8562/E8561,0)*E8551</f>
        <v>0</v>
      </c>
      <c r="F8567" s="48" t="n">
        <f aca="false">F8566*Assumptions!$E$20*Assumptions!$E$39*IF(F8561&gt;0,F8562/F8561,0)*F8551</f>
        <v>0</v>
      </c>
      <c r="G8567" s="48" t="n">
        <f aca="false">G8566*Assumptions!$E$20*Assumptions!$E$39*IF(G8561&gt;0,G8562/G8561,0)*G8551</f>
        <v>0</v>
      </c>
      <c r="H8567" s="48" t="n">
        <f aca="false">H8566*Assumptions!$E$20*Assumptions!$E$39*IF(H8561&gt;0,H8562/H8561,0)*H8551</f>
        <v>0</v>
      </c>
      <c r="I8567" s="48" t="n">
        <f aca="false">I8566*Assumptions!$E$20*Assumptions!$E$39*IF(I8561&gt;0,I8562/I8561,0)*I8551</f>
        <v>0</v>
      </c>
      <c r="J8567" s="48" t="n">
        <f aca="false">J8566*Assumptions!$E$20*Assumptions!$E$39*IF(J8561&gt;0,J8562/J8561,0)*J8551</f>
        <v>0</v>
      </c>
      <c r="K8567" s="48" t="n">
        <f aca="false">K8566*Assumptions!$E$20*Assumptions!$E$39*IF(K8561&gt;0,K8562/K8561,0)*K8551</f>
        <v>0</v>
      </c>
      <c r="L8567" s="48" t="n">
        <f aca="false">L8566*Assumptions!$E$20*Assumptions!$E$39*IF(L8561&gt;0,L8562/L8561,0)*L8551</f>
        <v>0</v>
      </c>
      <c r="M8567" s="48" t="n">
        <f aca="false">M8566*Assumptions!$E$20*Assumptions!$E$39*IF(M8561&gt;0,M8562/M8561,0)*M8551</f>
        <v>0</v>
      </c>
      <c r="N8567" s="48" t="n">
        <f aca="false">N8566*Assumptions!$E$20*Assumptions!$E$39*IF(N8561&gt;0,N8562/N8561,0)*N8551</f>
        <v>0</v>
      </c>
      <c r="P8567" s="49" t="n">
        <f aca="false">SUM(C8567:F8567)</f>
        <v>0</v>
      </c>
      <c r="Q8567" s="49" t="n">
        <f aca="false">SUM(G8567:J8567)</f>
        <v>0</v>
      </c>
      <c r="R8567" s="49" t="n">
        <f aca="false">SUM(K8567:N8567)</f>
        <v>0</v>
      </c>
      <c r="S8567" s="50" t="n">
        <f aca="false">SUM(P8567:R8567)</f>
        <v>0</v>
      </c>
    </row>
    <row r="8568" customFormat="false" ht="15" hidden="false" customHeight="false" outlineLevel="0" collapsed="false">
      <c r="A8568" s="4" t="s">
        <v>496</v>
      </c>
      <c r="B8568" s="36" t="s">
        <v>497</v>
      </c>
      <c r="C8568" s="48" t="n">
        <f aca="false">IF(AND(C8561&gt;0,$C$8548&gt;0),C8561*Assumptions!$E$24*(1-EXP(-$C$8548/(Assumptions!$E$23*C8561*Assumptions!$E$24))),0)</f>
        <v>0</v>
      </c>
      <c r="D8568" s="48" t="n">
        <f aca="false">IF(AND(D8561&gt;0,$C$8548&gt;0),D8561*Assumptions!$E$24*(1-EXP(-$C$8548/(Assumptions!$E$23*D8561*Assumptions!$E$24))),0)</f>
        <v>0</v>
      </c>
      <c r="E8568" s="48" t="n">
        <f aca="false">IF(AND(E8561&gt;0,$C$8548&gt;0),E8561*Assumptions!$E$24*(1-EXP(-$C$8548/(Assumptions!$E$23*E8561*Assumptions!$E$24))),0)</f>
        <v>0</v>
      </c>
      <c r="F8568" s="48" t="n">
        <f aca="false">IF(AND(F8561&gt;0,$C$8548&gt;0),F8561*Assumptions!$E$24*(1-EXP(-$C$8548/(Assumptions!$E$23*F8561*Assumptions!$E$24))),0)</f>
        <v>0</v>
      </c>
      <c r="G8568" s="48" t="n">
        <f aca="false">IF(AND(G8561&gt;0,$C$8548&gt;0),G8561*Assumptions!$E$24*(1-EXP(-$C$8548/(Assumptions!$E$23*G8561*Assumptions!$E$24))),0)</f>
        <v>0</v>
      </c>
      <c r="H8568" s="48" t="n">
        <f aca="false">IF(AND(H8561&gt;0,$C$8548&gt;0),H8561*Assumptions!$E$24*(1-EXP(-$C$8548/(Assumptions!$E$23*H8561*Assumptions!$E$24))),0)</f>
        <v>0</v>
      </c>
      <c r="I8568" s="48" t="n">
        <f aca="false">IF(AND(I8561&gt;0,$C$8548&gt;0),I8561*Assumptions!$E$24*(1-EXP(-$C$8548/(Assumptions!$E$23*I8561*Assumptions!$E$24))),0)</f>
        <v>0</v>
      </c>
      <c r="J8568" s="48" t="n">
        <f aca="false">IF(AND(J8561&gt;0,$C$8548&gt;0),J8561*Assumptions!$E$24*(1-EXP(-$C$8548/(Assumptions!$E$23*J8561*Assumptions!$E$24))),0)</f>
        <v>0</v>
      </c>
      <c r="K8568" s="48" t="n">
        <f aca="false">IF(AND(K8561&gt;0,$C$8548&gt;0),K8561*Assumptions!$E$24*(1-EXP(-$C$8548/(Assumptions!$E$23*K8561*Assumptions!$E$24))),0)</f>
        <v>0</v>
      </c>
      <c r="L8568" s="48" t="n">
        <f aca="false">IF(AND(L8561&gt;0,$C$8548&gt;0),L8561*Assumptions!$E$24*(1-EXP(-$C$8548/(Assumptions!$E$23*L8561*Assumptions!$E$24))),0)</f>
        <v>0</v>
      </c>
      <c r="M8568" s="48" t="n">
        <f aca="false">IF(AND(M8561&gt;0,$C$8548&gt;0),M8561*Assumptions!$E$24*(1-EXP(-$C$8548/(Assumptions!$E$23*M8561*Assumptions!$E$24))),0)</f>
        <v>0</v>
      </c>
      <c r="N8568" s="48" t="n">
        <f aca="false">IF(AND(N8561&gt;0,$C$8548&gt;0),N8561*Assumptions!$E$24*(1-EXP(-$C$8548/(Assumptions!$E$23*N8561*Assumptions!$E$24))),0)</f>
        <v>0</v>
      </c>
      <c r="P8568" s="49" t="n">
        <f aca="false">SUM(C8568:F8568)</f>
        <v>0</v>
      </c>
      <c r="Q8568" s="49" t="n">
        <f aca="false">SUM(G8568:J8568)</f>
        <v>0</v>
      </c>
      <c r="R8568" s="49" t="n">
        <f aca="false">SUM(K8568:N8568)</f>
        <v>0</v>
      </c>
      <c r="S8568" s="50" t="n">
        <f aca="false">SUM(P8568:R8568)</f>
        <v>0</v>
      </c>
    </row>
    <row r="8569" customFormat="false" ht="15" hidden="false" customHeight="false" outlineLevel="0" collapsed="false">
      <c r="A8569" s="4" t="s">
        <v>498</v>
      </c>
      <c r="B8569" s="36" t="s">
        <v>497</v>
      </c>
      <c r="C8569" s="48" t="n">
        <f aca="false">(C8561*Assumptions!$E$22*MIN(1,Assumptions!$D$103/Assumptions!$E$78)+C8568)*C8551</f>
        <v>5.5188772352</v>
      </c>
      <c r="D8569" s="48" t="n">
        <f aca="false">(D8561*Assumptions!$E$22*MIN(1,Assumptions!$D$103/Assumptions!$E$78)+D8568)*D8551</f>
        <v>11.0377544704</v>
      </c>
      <c r="E8569" s="48" t="n">
        <f aca="false">(E8561*Assumptions!$E$22*MIN(1,Assumptions!$D$103/Assumptions!$E$78)+E8568)*E8551</f>
        <v>11.0377544704</v>
      </c>
      <c r="F8569" s="48" t="n">
        <f aca="false">(F8561*Assumptions!$E$22*MIN(1,Assumptions!$D$103/Assumptions!$E$78)+F8568)*F8551</f>
        <v>11.0377544704</v>
      </c>
      <c r="G8569" s="48" t="n">
        <f aca="false">(G8561*Assumptions!$E$22*MIN(1,Assumptions!$D$103/Assumptions!$E$78)+G8568)*G8551</f>
        <v>14.9349950176</v>
      </c>
      <c r="H8569" s="48" t="n">
        <f aca="false">(H8561*Assumptions!$E$22*MIN(1,Assumptions!$D$103/Assumptions!$E$78)+H8568)*H8551</f>
        <v>18.8322355648</v>
      </c>
      <c r="I8569" s="48" t="n">
        <f aca="false">(I8561*Assumptions!$E$22*MIN(1,Assumptions!$D$103/Assumptions!$E$78)+I8568)*I8551</f>
        <v>31.6761039616</v>
      </c>
      <c r="J8569" s="48" t="n">
        <f aca="false">(J8561*Assumptions!$E$22*MIN(1,Assumptions!$D$103/Assumptions!$E$78)+J8568)*J8551</f>
        <v>44.5199723584</v>
      </c>
      <c r="K8569" s="48" t="n">
        <f aca="false">(K8561*Assumptions!$E$22*MIN(1,Assumptions!$D$103/Assumptions!$E$78)+K8568)*K8551</f>
        <v>44.5199723584</v>
      </c>
      <c r="L8569" s="48" t="n">
        <f aca="false">(L8561*Assumptions!$E$22*MIN(1,Assumptions!$D$103/Assumptions!$E$78)+L8568)*L8551</f>
        <v>44.5199723584</v>
      </c>
      <c r="M8569" s="48" t="n">
        <f aca="false">(M8561*Assumptions!$E$22*MIN(1,Assumptions!$D$103/Assumptions!$E$78)+M8568)*M8551</f>
        <v>44.5199723584</v>
      </c>
      <c r="N8569" s="48" t="n">
        <f aca="false">(N8561*Assumptions!$E$22*MIN(1,Assumptions!$D$103/Assumptions!$E$78)+N8568)*N8551</f>
        <v>44.5199723584</v>
      </c>
      <c r="P8569" s="49" t="n">
        <f aca="false">SUM(C8569:F8569)</f>
        <v>38.6321406464</v>
      </c>
      <c r="Q8569" s="49" t="n">
        <f aca="false">SUM(G8569:J8569)</f>
        <v>109.9633069024</v>
      </c>
      <c r="R8569" s="49" t="n">
        <f aca="false">SUM(K8569:N8569)</f>
        <v>178.0798894336</v>
      </c>
      <c r="S8569" s="50" t="n">
        <f aca="false">SUM(P8569:R8569)</f>
        <v>326.6753369824</v>
      </c>
    </row>
    <row r="8570" customFormat="false" ht="15" hidden="false" customHeight="false" outlineLevel="0" collapsed="false">
      <c r="A8570" s="4" t="s">
        <v>499</v>
      </c>
      <c r="B8570" s="36" t="s">
        <v>500</v>
      </c>
      <c r="C8570" s="48" t="n">
        <f aca="false">C8551*MIN(Assumptions!$E$27,Assumptions!$E$25+Assumptions!$E$26*(C8550-1))*Assumptions!$D$107</f>
        <v>2</v>
      </c>
      <c r="D8570" s="48" t="n">
        <f aca="false">D8551*MIN(Assumptions!$E$27,Assumptions!$E$25+Assumptions!$E$26*(D8550-1))*Assumptions!$D$107</f>
        <v>3</v>
      </c>
      <c r="E8570" s="48" t="n">
        <f aca="false">E8551*MIN(Assumptions!$E$27,Assumptions!$E$25+Assumptions!$E$26*(E8550-1))*Assumptions!$D$107</f>
        <v>4</v>
      </c>
      <c r="F8570" s="48" t="n">
        <f aca="false">F8551*MIN(Assumptions!$E$27,Assumptions!$E$25+Assumptions!$E$26*(F8550-1))*Assumptions!$D$107</f>
        <v>5</v>
      </c>
      <c r="G8570" s="48" t="n">
        <f aca="false">G8551*MIN(Assumptions!$E$27,Assumptions!$E$25+Assumptions!$E$26*(G8550-1))*Assumptions!$D$107</f>
        <v>6</v>
      </c>
      <c r="H8570" s="48" t="n">
        <f aca="false">H8551*MIN(Assumptions!$E$27,Assumptions!$E$25+Assumptions!$E$26*(H8550-1))*Assumptions!$D$107</f>
        <v>7</v>
      </c>
      <c r="I8570" s="48" t="n">
        <f aca="false">I8551*MIN(Assumptions!$E$27,Assumptions!$E$25+Assumptions!$E$26*(I8550-1))*Assumptions!$D$107</f>
        <v>8</v>
      </c>
      <c r="J8570" s="48" t="n">
        <f aca="false">J8551*MIN(Assumptions!$E$27,Assumptions!$E$25+Assumptions!$E$26*(J8550-1))*Assumptions!$D$107</f>
        <v>9</v>
      </c>
      <c r="K8570" s="48" t="n">
        <f aca="false">K8551*MIN(Assumptions!$E$27,Assumptions!$E$25+Assumptions!$E$26*(K8550-1))*Assumptions!$D$107</f>
        <v>10</v>
      </c>
      <c r="L8570" s="48" t="n">
        <f aca="false">L8551*MIN(Assumptions!$E$27,Assumptions!$E$25+Assumptions!$E$26*(L8550-1))*Assumptions!$D$107</f>
        <v>10</v>
      </c>
      <c r="M8570" s="48" t="n">
        <f aca="false">M8551*MIN(Assumptions!$E$27,Assumptions!$E$25+Assumptions!$E$26*(M8550-1))*Assumptions!$D$107</f>
        <v>10</v>
      </c>
      <c r="N8570" s="48" t="n">
        <f aca="false">N8551*MIN(Assumptions!$E$27,Assumptions!$E$25+Assumptions!$E$26*(N8550-1))*Assumptions!$D$107</f>
        <v>10</v>
      </c>
      <c r="P8570" s="49" t="n">
        <f aca="false">F8570</f>
        <v>5</v>
      </c>
      <c r="Q8570" s="49" t="n">
        <f aca="false">J8570</f>
        <v>9</v>
      </c>
      <c r="R8570" s="49" t="n">
        <f aca="false">N8570</f>
        <v>10</v>
      </c>
      <c r="S8570" s="50" t="n">
        <f aca="false">R8570</f>
        <v>10</v>
      </c>
    </row>
    <row r="8571" customFormat="false" ht="15" hidden="false" customHeight="false" outlineLevel="0" collapsed="false">
      <c r="A8571" s="4" t="s">
        <v>501</v>
      </c>
      <c r="B8571" s="36" t="s">
        <v>502</v>
      </c>
      <c r="C8571" s="48" t="n">
        <f aca="false">C8570*Assumptions!$E$28</f>
        <v>6</v>
      </c>
      <c r="D8571" s="48" t="n">
        <f aca="false">D8570*Assumptions!$E$28</f>
        <v>9</v>
      </c>
      <c r="E8571" s="48" t="n">
        <f aca="false">E8570*Assumptions!$E$28</f>
        <v>12</v>
      </c>
      <c r="F8571" s="48" t="n">
        <f aca="false">F8570*Assumptions!$E$28</f>
        <v>15</v>
      </c>
      <c r="G8571" s="48" t="n">
        <f aca="false">G8570*Assumptions!$E$28</f>
        <v>18</v>
      </c>
      <c r="H8571" s="48" t="n">
        <f aca="false">H8570*Assumptions!$E$28</f>
        <v>21</v>
      </c>
      <c r="I8571" s="48" t="n">
        <f aca="false">I8570*Assumptions!$E$28</f>
        <v>24</v>
      </c>
      <c r="J8571" s="48" t="n">
        <f aca="false">J8570*Assumptions!$E$28</f>
        <v>27</v>
      </c>
      <c r="K8571" s="48" t="n">
        <f aca="false">K8570*Assumptions!$E$28</f>
        <v>30</v>
      </c>
      <c r="L8571" s="48" t="n">
        <f aca="false">L8570*Assumptions!$E$28</f>
        <v>30</v>
      </c>
      <c r="M8571" s="48" t="n">
        <f aca="false">M8570*Assumptions!$E$28</f>
        <v>30</v>
      </c>
      <c r="N8571" s="48" t="n">
        <f aca="false">N8570*Assumptions!$E$28</f>
        <v>30</v>
      </c>
      <c r="P8571" s="49" t="n">
        <f aca="false">SUM(C8571:F8571)</f>
        <v>42</v>
      </c>
      <c r="Q8571" s="49" t="n">
        <f aca="false">SUM(G8571:J8571)</f>
        <v>90</v>
      </c>
      <c r="R8571" s="49" t="n">
        <f aca="false">SUM(K8571:N8571)</f>
        <v>120</v>
      </c>
      <c r="S8571" s="50" t="n">
        <f aca="false">SUM(P8571:R8571)</f>
        <v>252</v>
      </c>
    </row>
    <row r="8572" customFormat="false" ht="15" hidden="false" customHeight="false" outlineLevel="0" collapsed="false">
      <c r="A8572" s="4" t="s">
        <v>503</v>
      </c>
      <c r="B8572" s="36" t="s">
        <v>504</v>
      </c>
      <c r="C8572" s="48" t="n">
        <f aca="false">(C8563+C8567)*Assumptions!$E$29</f>
        <v>2.649061072896</v>
      </c>
      <c r="D8572" s="48" t="n">
        <f aca="false">(D8563+D8567)*Assumptions!$E$29</f>
        <v>4.93045821299048</v>
      </c>
      <c r="E8572" s="48" t="n">
        <f aca="false">(E8563+E8567)*Assumptions!$E$29</f>
        <v>4.58830837060879</v>
      </c>
      <c r="F8572" s="48" t="n">
        <f aca="false">(F8563+F8567)*Assumptions!$E$29</f>
        <v>4.26990206474738</v>
      </c>
      <c r="G8572" s="48" t="n">
        <f aca="false">(G8563+G8567)*Assumptions!$E$29</f>
        <v>5.844267072</v>
      </c>
      <c r="H8572" s="48" t="n">
        <f aca="false">(H8563+H8567)*Assumptions!$E$29</f>
        <v>7.17956301044434</v>
      </c>
      <c r="I8572" s="48" t="n">
        <f aca="false">(I8563+I8567)*Assumptions!$E$29</f>
        <v>12.8463930542132</v>
      </c>
      <c r="J8572" s="48" t="n">
        <f aca="false">(J8563+J8567)*Assumptions!$E$29</f>
        <v>17.6921476412567</v>
      </c>
      <c r="K8572" s="48" t="n">
        <f aca="false">(K8563+K8567)*Assumptions!$E$29</f>
        <v>16.4643985629052</v>
      </c>
      <c r="L8572" s="48" t="n">
        <f aca="false">(L8563+L8567)*Assumptions!$E$29</f>
        <v>15.3218493048332</v>
      </c>
      <c r="M8572" s="48" t="n">
        <f aca="false">(M8563+M8567)*Assumptions!$E$29</f>
        <v>14.2585874135079</v>
      </c>
      <c r="N8572" s="48" t="n">
        <f aca="false">(N8563+N8567)*Assumptions!$E$29</f>
        <v>13.2691107309425</v>
      </c>
      <c r="P8572" s="49" t="n">
        <f aca="false">SUM(C8572:F8572)</f>
        <v>16.4377297212427</v>
      </c>
      <c r="Q8572" s="49" t="n">
        <f aca="false">SUM(G8572:J8572)</f>
        <v>43.5623707779142</v>
      </c>
      <c r="R8572" s="49" t="n">
        <f aca="false">SUM(K8572:N8572)</f>
        <v>59.3139460121888</v>
      </c>
      <c r="S8572" s="50" t="n">
        <f aca="false">SUM(P8572:R8572)</f>
        <v>119.314046511346</v>
      </c>
    </row>
    <row r="8573" customFormat="false" ht="15" hidden="false" customHeight="false" outlineLevel="0" collapsed="false">
      <c r="A8573" s="4" t="s">
        <v>505</v>
      </c>
      <c r="B8573" s="36" t="s">
        <v>504</v>
      </c>
      <c r="C8573" s="48" t="n">
        <f aca="false">C8569*Assumptions!$E$31</f>
        <v>0.883020357632</v>
      </c>
      <c r="D8573" s="48" t="n">
        <f aca="false">D8569*Assumptions!$E$31</f>
        <v>1.766040715264</v>
      </c>
      <c r="E8573" s="48" t="n">
        <f aca="false">E8569*Assumptions!$E$31</f>
        <v>1.766040715264</v>
      </c>
      <c r="F8573" s="48" t="n">
        <f aca="false">F8569*Assumptions!$E$31</f>
        <v>1.766040715264</v>
      </c>
      <c r="G8573" s="48" t="n">
        <f aca="false">G8569*Assumptions!$E$31</f>
        <v>2.389599202816</v>
      </c>
      <c r="H8573" s="48" t="n">
        <f aca="false">H8569*Assumptions!$E$31</f>
        <v>3.013157690368</v>
      </c>
      <c r="I8573" s="48" t="n">
        <f aca="false">I8569*Assumptions!$E$31</f>
        <v>5.068176633856</v>
      </c>
      <c r="J8573" s="48" t="n">
        <f aca="false">J8569*Assumptions!$E$31</f>
        <v>7.123195577344</v>
      </c>
      <c r="K8573" s="48" t="n">
        <f aca="false">K8569*Assumptions!$E$31</f>
        <v>7.123195577344</v>
      </c>
      <c r="L8573" s="48" t="n">
        <f aca="false">L8569*Assumptions!$E$31</f>
        <v>7.123195577344</v>
      </c>
      <c r="M8573" s="48" t="n">
        <f aca="false">M8569*Assumptions!$E$31</f>
        <v>7.123195577344</v>
      </c>
      <c r="N8573" s="48" t="n">
        <f aca="false">N8569*Assumptions!$E$31</f>
        <v>7.123195577344</v>
      </c>
      <c r="P8573" s="49" t="n">
        <f aca="false">SUM(C8573:F8573)</f>
        <v>6.181142503424</v>
      </c>
      <c r="Q8573" s="49" t="n">
        <f aca="false">SUM(G8573:J8573)</f>
        <v>17.594129104384</v>
      </c>
      <c r="R8573" s="49" t="n">
        <f aca="false">SUM(K8573:N8573)</f>
        <v>28.492782309376</v>
      </c>
      <c r="S8573" s="50" t="n">
        <f aca="false">SUM(P8573:R8573)</f>
        <v>52.268053917184</v>
      </c>
    </row>
    <row r="8574" customFormat="false" ht="15" hidden="false" customHeight="false" outlineLevel="0" collapsed="false">
      <c r="A8574" s="4" t="s">
        <v>506</v>
      </c>
      <c r="B8574" s="36" t="s">
        <v>504</v>
      </c>
      <c r="C8574" s="48" t="n">
        <f aca="false">C8571*Assumptions!$E$30</f>
        <v>3</v>
      </c>
      <c r="D8574" s="48" t="n">
        <f aca="false">D8571*Assumptions!$E$30</f>
        <v>4.5</v>
      </c>
      <c r="E8574" s="48" t="n">
        <f aca="false">E8571*Assumptions!$E$30</f>
        <v>6</v>
      </c>
      <c r="F8574" s="48" t="n">
        <f aca="false">F8571*Assumptions!$E$30</f>
        <v>7.5</v>
      </c>
      <c r="G8574" s="48" t="n">
        <f aca="false">G8571*Assumptions!$E$30</f>
        <v>9</v>
      </c>
      <c r="H8574" s="48" t="n">
        <f aca="false">H8571*Assumptions!$E$30</f>
        <v>10.5</v>
      </c>
      <c r="I8574" s="48" t="n">
        <f aca="false">I8571*Assumptions!$E$30</f>
        <v>12</v>
      </c>
      <c r="J8574" s="48" t="n">
        <f aca="false">J8571*Assumptions!$E$30</f>
        <v>13.5</v>
      </c>
      <c r="K8574" s="48" t="n">
        <f aca="false">K8571*Assumptions!$E$30</f>
        <v>15</v>
      </c>
      <c r="L8574" s="48" t="n">
        <f aca="false">L8571*Assumptions!$E$30</f>
        <v>15</v>
      </c>
      <c r="M8574" s="48" t="n">
        <f aca="false">M8571*Assumptions!$E$30</f>
        <v>15</v>
      </c>
      <c r="N8574" s="48" t="n">
        <f aca="false">N8571*Assumptions!$E$30</f>
        <v>15</v>
      </c>
      <c r="P8574" s="49" t="n">
        <f aca="false">SUM(C8574:F8574)</f>
        <v>21</v>
      </c>
      <c r="Q8574" s="49" t="n">
        <f aca="false">SUM(G8574:J8574)</f>
        <v>45</v>
      </c>
      <c r="R8574" s="49" t="n">
        <f aca="false">SUM(K8574:N8574)</f>
        <v>60</v>
      </c>
      <c r="S8574" s="50" t="n">
        <f aca="false">SUM(P8574:R8574)</f>
        <v>126</v>
      </c>
    </row>
    <row r="8575" customFormat="false" ht="15" hidden="false" customHeight="false" outlineLevel="0" collapsed="false">
      <c r="A8575" s="9" t="s">
        <v>507</v>
      </c>
      <c r="B8575" s="36" t="s">
        <v>504</v>
      </c>
      <c r="C8575" s="49" t="n">
        <f aca="false">C8572+C8573+C8574</f>
        <v>6.532081430528</v>
      </c>
      <c r="D8575" s="49" t="n">
        <f aca="false">D8572+D8573+D8574</f>
        <v>11.1964989282545</v>
      </c>
      <c r="E8575" s="49" t="n">
        <f aca="false">E8572+E8573+E8574</f>
        <v>12.3543490858728</v>
      </c>
      <c r="F8575" s="49" t="n">
        <f aca="false">F8572+F8573+F8574</f>
        <v>13.5359427800114</v>
      </c>
      <c r="G8575" s="49" t="n">
        <f aca="false">G8572+G8573+G8574</f>
        <v>17.233866274816</v>
      </c>
      <c r="H8575" s="49" t="n">
        <f aca="false">H8572+H8573+H8574</f>
        <v>20.6927207008123</v>
      </c>
      <c r="I8575" s="49" t="n">
        <f aca="false">I8572+I8573+I8574</f>
        <v>29.9145696880692</v>
      </c>
      <c r="J8575" s="49" t="n">
        <f aca="false">J8572+J8573+J8574</f>
        <v>38.3153432186007</v>
      </c>
      <c r="K8575" s="49" t="n">
        <f aca="false">K8572+K8573+K8574</f>
        <v>38.5875941402492</v>
      </c>
      <c r="L8575" s="49" t="n">
        <f aca="false">L8572+L8573+L8574</f>
        <v>37.4450448821772</v>
      </c>
      <c r="M8575" s="49" t="n">
        <f aca="false">M8572+M8573+M8574</f>
        <v>36.3817829908519</v>
      </c>
      <c r="N8575" s="49" t="n">
        <f aca="false">N8572+N8573+N8574</f>
        <v>35.3923063082865</v>
      </c>
      <c r="P8575" s="49" t="n">
        <f aca="false">SUM(C8575:F8575)</f>
        <v>43.6188722246667</v>
      </c>
      <c r="Q8575" s="49" t="n">
        <f aca="false">SUM(G8575:J8575)</f>
        <v>106.156499882298</v>
      </c>
      <c r="R8575" s="49" t="n">
        <f aca="false">SUM(K8575:N8575)</f>
        <v>147.806728321565</v>
      </c>
      <c r="S8575" s="50" t="n">
        <f aca="false">SUM(P8575:R8575)</f>
        <v>297.58210042853</v>
      </c>
    </row>
    <row r="8576" customFormat="false" ht="15" hidden="false" customHeight="false" outlineLevel="0" collapsed="false">
      <c r="A8576" s="4" t="s">
        <v>508</v>
      </c>
      <c r="B8576" s="36" t="s">
        <v>509</v>
      </c>
      <c r="C8576" s="48" t="n">
        <f aca="false">C8558</f>
        <v>421.51972352</v>
      </c>
      <c r="D8576" s="48" t="n">
        <f aca="false">D8558</f>
        <v>843.03944704</v>
      </c>
      <c r="E8576" s="48" t="n">
        <f aca="false">E8558</f>
        <v>843.03944704</v>
      </c>
      <c r="F8576" s="48" t="n">
        <f aca="false">F8558</f>
        <v>843.03944704</v>
      </c>
      <c r="G8576" s="48" t="n">
        <f aca="false">G8558</f>
        <v>1149.32798176</v>
      </c>
      <c r="H8576" s="48" t="n">
        <f aca="false">H8558</f>
        <v>1455.61651648</v>
      </c>
      <c r="I8576" s="48" t="n">
        <f aca="false">I8558</f>
        <v>2486.00303616</v>
      </c>
      <c r="J8576" s="48" t="n">
        <f aca="false">J8558</f>
        <v>3516.38955584</v>
      </c>
      <c r="K8576" s="48" t="n">
        <f aca="false">K8558</f>
        <v>3516.38955584</v>
      </c>
      <c r="L8576" s="48" t="n">
        <f aca="false">L8558</f>
        <v>3516.38955584</v>
      </c>
      <c r="M8576" s="48" t="n">
        <f aca="false">M8558</f>
        <v>3516.38955584</v>
      </c>
      <c r="N8576" s="48" t="n">
        <f aca="false">N8558</f>
        <v>3516.38955584</v>
      </c>
      <c r="P8576" s="49"/>
      <c r="Q8576" s="49"/>
      <c r="R8576" s="49"/>
      <c r="S8576" s="50"/>
    </row>
    <row r="8577" customFormat="false" ht="15" hidden="false" customHeight="false" outlineLevel="0" collapsed="false">
      <c r="A8577" s="4" t="s">
        <v>510</v>
      </c>
      <c r="B8577" s="36" t="s">
        <v>509</v>
      </c>
      <c r="C8577" s="48" t="n">
        <f aca="false">C8559*Assumptions!$E$18*Assumptions!$E$33</f>
        <v>211.19616</v>
      </c>
      <c r="D8577" s="48" t="n">
        <f aca="false">D8559*Assumptions!$E$18*Assumptions!$E$33</f>
        <v>422.39232</v>
      </c>
      <c r="E8577" s="48" t="n">
        <f aca="false">E8559*Assumptions!$E$18*Assumptions!$E$33</f>
        <v>422.39232</v>
      </c>
      <c r="F8577" s="48" t="n">
        <f aca="false">F8559*Assumptions!$E$18*Assumptions!$E$33</f>
        <v>422.39232</v>
      </c>
      <c r="G8577" s="48" t="n">
        <f aca="false">G8559*Assumptions!$E$18*Assumptions!$E$33</f>
        <v>564.49344</v>
      </c>
      <c r="H8577" s="48" t="n">
        <f aca="false">H8559*Assumptions!$E$18*Assumptions!$E$33</f>
        <v>706.59456</v>
      </c>
      <c r="I8577" s="48" t="n">
        <f aca="false">I8559*Assumptions!$E$18*Assumptions!$E$33</f>
        <v>1135.07072</v>
      </c>
      <c r="J8577" s="48" t="n">
        <f aca="false">J8559*Assumptions!$E$18*Assumptions!$E$33</f>
        <v>1563.54688</v>
      </c>
      <c r="K8577" s="48" t="n">
        <f aca="false">K8559*Assumptions!$E$18*Assumptions!$E$33</f>
        <v>1563.54688</v>
      </c>
      <c r="L8577" s="48" t="n">
        <f aca="false">L8559*Assumptions!$E$18*Assumptions!$E$33</f>
        <v>1563.54688</v>
      </c>
      <c r="M8577" s="48" t="n">
        <f aca="false">M8559*Assumptions!$E$18*Assumptions!$E$33</f>
        <v>1563.54688</v>
      </c>
      <c r="N8577" s="48" t="n">
        <f aca="false">N8559*Assumptions!$E$18*Assumptions!$E$33</f>
        <v>1563.54688</v>
      </c>
      <c r="P8577" s="49"/>
      <c r="Q8577" s="49"/>
      <c r="R8577" s="49"/>
      <c r="S8577" s="50"/>
    </row>
    <row r="8578" customFormat="false" ht="15" hidden="false" customHeight="false" outlineLevel="0" collapsed="false">
      <c r="A8578" s="4" t="s">
        <v>511</v>
      </c>
      <c r="B8578" s="36" t="s">
        <v>509</v>
      </c>
      <c r="C8578" s="48" t="n">
        <f aca="false">C8560*Assumptions!$E$19*Assumptions!$E$34</f>
        <v>34.677888</v>
      </c>
      <c r="D8578" s="48" t="n">
        <f aca="false">D8560*Assumptions!$E$19*Assumptions!$E$34</f>
        <v>69.355776</v>
      </c>
      <c r="E8578" s="48" t="n">
        <f aca="false">E8560*Assumptions!$E$19*Assumptions!$E$34</f>
        <v>69.355776</v>
      </c>
      <c r="F8578" s="48" t="n">
        <f aca="false">F8560*Assumptions!$E$19*Assumptions!$E$34</f>
        <v>69.355776</v>
      </c>
      <c r="G8578" s="48" t="n">
        <f aca="false">G8560*Assumptions!$E$19*Assumptions!$E$34</f>
        <v>86.69472</v>
      </c>
      <c r="H8578" s="48" t="n">
        <f aca="false">H8560*Assumptions!$E$19*Assumptions!$E$34</f>
        <v>104.033664</v>
      </c>
      <c r="I8578" s="48" t="n">
        <f aca="false">I8560*Assumptions!$E$19*Assumptions!$E$34</f>
        <v>159.7008</v>
      </c>
      <c r="J8578" s="48" t="n">
        <f aca="false">J8560*Assumptions!$E$19*Assumptions!$E$34</f>
        <v>215.367936</v>
      </c>
      <c r="K8578" s="48" t="n">
        <f aca="false">K8560*Assumptions!$E$19*Assumptions!$E$34</f>
        <v>215.367936</v>
      </c>
      <c r="L8578" s="48" t="n">
        <f aca="false">L8560*Assumptions!$E$19*Assumptions!$E$34</f>
        <v>215.367936</v>
      </c>
      <c r="M8578" s="48" t="n">
        <f aca="false">M8560*Assumptions!$E$19*Assumptions!$E$34</f>
        <v>215.367936</v>
      </c>
      <c r="N8578" s="48" t="n">
        <f aca="false">N8560*Assumptions!$E$19*Assumptions!$E$34</f>
        <v>215.367936</v>
      </c>
      <c r="P8578" s="49"/>
      <c r="Q8578" s="49"/>
      <c r="R8578" s="49"/>
      <c r="S8578" s="50"/>
    </row>
    <row r="8579" customFormat="false" ht="15" hidden="false" customHeight="false" outlineLevel="0" collapsed="false">
      <c r="A8579" s="4" t="s">
        <v>512</v>
      </c>
      <c r="B8579" s="36" t="s">
        <v>77</v>
      </c>
      <c r="C8579" s="51" t="n">
        <f aca="false">IFERROR(C8576/(C8576+C8577+C8578),0)</f>
        <v>0.631590736245533</v>
      </c>
      <c r="D8579" s="51" t="n">
        <f aca="false">IFERROR(D8576/(D8576+D8577+D8578),0)</f>
        <v>0.631590736245533</v>
      </c>
      <c r="E8579" s="51" t="n">
        <f aca="false">IFERROR(E8576/(E8576+E8577+E8578),0)</f>
        <v>0.631590736245533</v>
      </c>
      <c r="F8579" s="51" t="n">
        <f aca="false">IFERROR(F8576/(F8576+F8577+F8578),0)</f>
        <v>0.631590736245533</v>
      </c>
      <c r="G8579" s="51" t="n">
        <f aca="false">IFERROR(G8576/(G8576+G8577+G8578),0)</f>
        <v>0.638332506498128</v>
      </c>
      <c r="H8579" s="51" t="n">
        <f aca="false">IFERROR(H8576/(H8576+H8577+H8578),0)</f>
        <v>0.642303318118984</v>
      </c>
      <c r="I8579" s="51" t="n">
        <f aca="false">IFERROR(I8576/(I8576+I8577+I8578),0)</f>
        <v>0.657538025405288</v>
      </c>
      <c r="J8579" s="51" t="n">
        <f aca="false">IFERROR(J8576/(J8576+J8577+J8578),0)</f>
        <v>0.664058061428891</v>
      </c>
      <c r="K8579" s="51" t="n">
        <f aca="false">IFERROR(K8576/(K8576+K8577+K8578),0)</f>
        <v>0.664058061428891</v>
      </c>
      <c r="L8579" s="51" t="n">
        <f aca="false">IFERROR(L8576/(L8576+L8577+L8578),0)</f>
        <v>0.664058061428891</v>
      </c>
      <c r="M8579" s="51" t="n">
        <f aca="false">IFERROR(M8576/(M8576+M8577+M8578),0)</f>
        <v>0.664058061428891</v>
      </c>
      <c r="N8579" s="51" t="n">
        <f aca="false">IFERROR(N8576/(N8576+N8577+N8578),0)</f>
        <v>0.664058061428891</v>
      </c>
      <c r="P8579" s="52"/>
      <c r="Q8579" s="52"/>
      <c r="R8579" s="52"/>
      <c r="S8579" s="53"/>
    </row>
    <row r="8580" customFormat="false" ht="15" hidden="false" customHeight="false" outlineLevel="0" collapsed="false">
      <c r="A8580" s="4" t="s">
        <v>513</v>
      </c>
      <c r="B8580" s="36" t="s">
        <v>77</v>
      </c>
      <c r="C8580" s="51" t="n">
        <f aca="false">IFERROR(C8577/(C8576+C8577+C8578),0)</f>
        <v>0.316449102482628</v>
      </c>
      <c r="D8580" s="51" t="n">
        <f aca="false">IFERROR(D8577/(D8576+D8577+D8578),0)</f>
        <v>0.316449102482628</v>
      </c>
      <c r="E8580" s="51" t="n">
        <f aca="false">IFERROR(E8577/(E8576+E8577+E8578),0)</f>
        <v>0.316449102482628</v>
      </c>
      <c r="F8580" s="51" t="n">
        <f aca="false">IFERROR(F8577/(F8576+F8577+F8578),0)</f>
        <v>0.316449102482628</v>
      </c>
      <c r="G8580" s="51" t="n">
        <f aca="false">IFERROR(G8577/(G8576+G8577+G8578),0)</f>
        <v>0.313517566939561</v>
      </c>
      <c r="H8580" s="51" t="n">
        <f aca="false">IFERROR(H8577/(H8576+H8577+H8578),0)</f>
        <v>0.311790932099567</v>
      </c>
      <c r="I8580" s="51" t="n">
        <f aca="false">IFERROR(I8577/(I8576+I8577+I8578),0)</f>
        <v>0.300221741111391</v>
      </c>
      <c r="J8580" s="51" t="n">
        <f aca="false">IFERROR(J8577/(J8576+J8577+J8578),0)</f>
        <v>0.295270445324128</v>
      </c>
      <c r="K8580" s="51" t="n">
        <f aca="false">IFERROR(K8577/(K8576+K8577+K8578),0)</f>
        <v>0.295270445324128</v>
      </c>
      <c r="L8580" s="51" t="n">
        <f aca="false">IFERROR(L8577/(L8576+L8577+L8578),0)</f>
        <v>0.295270445324128</v>
      </c>
      <c r="M8580" s="51" t="n">
        <f aca="false">IFERROR(M8577/(M8576+M8577+M8578),0)</f>
        <v>0.295270445324128</v>
      </c>
      <c r="N8580" s="51" t="n">
        <f aca="false">IFERROR(N8577/(N8576+N8577+N8578),0)</f>
        <v>0.295270445324128</v>
      </c>
      <c r="P8580" s="52"/>
      <c r="Q8580" s="52"/>
      <c r="R8580" s="52"/>
      <c r="S8580" s="53"/>
    </row>
    <row r="8581" customFormat="false" ht="15" hidden="false" customHeight="false" outlineLevel="0" collapsed="false">
      <c r="A8581" s="4" t="s">
        <v>514</v>
      </c>
      <c r="B8581" s="36" t="s">
        <v>77</v>
      </c>
      <c r="C8581" s="51" t="n">
        <f aca="false">IFERROR(C8578/(C8576+C8577+C8578),0)</f>
        <v>0.0519601612718389</v>
      </c>
      <c r="D8581" s="51" t="n">
        <f aca="false">IFERROR(D8578/(D8576+D8577+D8578),0)</f>
        <v>0.0519601612718389</v>
      </c>
      <c r="E8581" s="51" t="n">
        <f aca="false">IFERROR(E8578/(E8576+E8577+E8578),0)</f>
        <v>0.0519601612718389</v>
      </c>
      <c r="F8581" s="51" t="n">
        <f aca="false">IFERROR(F8578/(F8576+F8577+F8578),0)</f>
        <v>0.0519601612718389</v>
      </c>
      <c r="G8581" s="51" t="n">
        <f aca="false">IFERROR(G8578/(G8576+G8577+G8578),0)</f>
        <v>0.0481499265623113</v>
      </c>
      <c r="H8581" s="51" t="n">
        <f aca="false">IFERROR(H8578/(H8576+H8577+H8578),0)</f>
        <v>0.0459057497814491</v>
      </c>
      <c r="I8581" s="51" t="n">
        <f aca="false">IFERROR(I8578/(I8576+I8577+I8578),0)</f>
        <v>0.0422402334833216</v>
      </c>
      <c r="J8581" s="51" t="n">
        <f aca="false">IFERROR(J8578/(J8576+J8577+J8578),0)</f>
        <v>0.0406714932469811</v>
      </c>
      <c r="K8581" s="51" t="n">
        <f aca="false">IFERROR(K8578/(K8576+K8577+K8578),0)</f>
        <v>0.0406714932469811</v>
      </c>
      <c r="L8581" s="51" t="n">
        <f aca="false">IFERROR(L8578/(L8576+L8577+L8578),0)</f>
        <v>0.0406714932469811</v>
      </c>
      <c r="M8581" s="51" t="n">
        <f aca="false">IFERROR(M8578/(M8576+M8577+M8578),0)</f>
        <v>0.0406714932469811</v>
      </c>
      <c r="N8581" s="51" t="n">
        <f aca="false">IFERROR(N8578/(N8576+N8577+N8578),0)</f>
        <v>0.0406714932469811</v>
      </c>
      <c r="P8581" s="52"/>
      <c r="Q8581" s="52"/>
      <c r="R8581" s="52"/>
      <c r="S8581" s="53"/>
    </row>
    <row r="8582" customFormat="false" ht="15" hidden="false" customHeight="false" outlineLevel="0" collapsed="false">
      <c r="A8582" s="4" t="s">
        <v>515</v>
      </c>
      <c r="B8582" s="36" t="s">
        <v>516</v>
      </c>
      <c r="C8582" s="48" t="n">
        <f aca="false">IF(C8550-Assumptions!$E$35&lt;1,0,INDEX($C$8575:$N$8575,1,C8550-Assumptions!$E$35)*INDEX($C$8579:$N$8579,1,C8550-Assumptions!$E$35)*0.15)</f>
        <v>0</v>
      </c>
      <c r="D8582" s="48" t="n">
        <f aca="false">IF(D8550-Assumptions!$E$35&lt;1,0,INDEX($C$8575:$N$8575,1,D8550-Assumptions!$E$35)*INDEX($C$8579:$N$8579,1,D8550-Assumptions!$E$35)*0.15)</f>
        <v>0.618840317988444</v>
      </c>
      <c r="E8582" s="48" t="n">
        <f aca="false">IF(E8550-Assumptions!$E$35&lt;1,0,INDEX($C$8575:$N$8575,1,E8550-Assumptions!$E$35)*INDEX($C$8579:$N$8579,1,E8550-Assumptions!$E$35)*0.15)</f>
        <v>1.06074075022029</v>
      </c>
      <c r="F8582" s="48" t="n">
        <f aca="false">IF(F8550-Assumptions!$E$35&lt;1,0,INDEX($C$8575:$N$8575,1,F8550-Assumptions!$E$35)*INDEX($C$8579:$N$8579,1,F8550-Assumptions!$E$35)*0.15)</f>
        <v>1.17043386524711</v>
      </c>
      <c r="G8582" s="48" t="n">
        <f aca="false">IF(G8550-Assumptions!$E$35&lt;1,0,INDEX($C$8575:$N$8575,1,G8550-Assumptions!$E$35)*INDEX($C$8579:$N$8579,1,G8550-Assumptions!$E$35)*0.15)</f>
        <v>1.28237640993072</v>
      </c>
      <c r="H8582" s="48" t="n">
        <f aca="false">IF(H8550-Assumptions!$E$35&lt;1,0,INDEX($C$8575:$N$8575,1,H8550-Assumptions!$E$35)*INDEX($C$8579:$N$8579,1,H8550-Assumptions!$E$35)*0.15)</f>
        <v>1.65014055837853</v>
      </c>
      <c r="I8582" s="48" t="n">
        <f aca="false">IF(I8550-Assumptions!$E$35&lt;1,0,INDEX($C$8575:$N$8575,1,I8550-Assumptions!$E$35)*INDEX($C$8579:$N$8579,1,I8550-Assumptions!$E$35)*0.15)</f>
        <v>1.99365047505617</v>
      </c>
      <c r="J8582" s="48" t="n">
        <f aca="false">IF(J8550-Assumptions!$E$35&lt;1,0,INDEX($C$8575:$N$8575,1,J8550-Assumptions!$E$35)*INDEX($C$8579:$N$8579,1,J8550-Assumptions!$E$35)*0.15)</f>
        <v>2.95049506253129</v>
      </c>
      <c r="K8582" s="48" t="n">
        <f aca="false">IF(K8550-Assumptions!$E$35&lt;1,0,INDEX($C$8575:$N$8575,1,K8550-Assumptions!$E$35)*INDEX($C$8579:$N$8579,1,K8550-Assumptions!$E$35)*0.15)</f>
        <v>3.81654188110898</v>
      </c>
      <c r="L8582" s="48" t="n">
        <f aca="false">IF(L8550-Assumptions!$E$35&lt;1,0,INDEX($C$8575:$N$8575,1,L8550-Assumptions!$E$35)*INDEX($C$8579:$N$8579,1,L8550-Assumptions!$E$35)*0.15)</f>
        <v>3.84366044399681</v>
      </c>
      <c r="M8582" s="48" t="n">
        <f aca="false">IF(M8550-Assumptions!$E$35&lt;1,0,INDEX($C$8575:$N$8575,1,M8550-Assumptions!$E$35)*INDEX($C$8579:$N$8579,1,M8550-Assumptions!$E$35)*0.15)</f>
        <v>3.72985258718646</v>
      </c>
      <c r="N8582" s="48" t="n">
        <f aca="false">IF(N8550-Assumptions!$E$35&lt;1,0,INDEX($C$8575:$N$8575,1,N8550-Assumptions!$E$35)*INDEX($C$8579:$N$8579,1,N8550-Assumptions!$E$35)*0.15)</f>
        <v>3.62394244263476</v>
      </c>
      <c r="P8582" s="49" t="n">
        <f aca="false">SUM(C8582:F8582)</f>
        <v>2.85001493345584</v>
      </c>
      <c r="Q8582" s="49" t="n">
        <f aca="false">SUM(G8582:J8582)</f>
        <v>7.87666250589671</v>
      </c>
      <c r="R8582" s="49" t="n">
        <f aca="false">SUM(K8582:N8582)</f>
        <v>15.013997354927</v>
      </c>
      <c r="S8582" s="50" t="n">
        <f aca="false">SUM(P8582:R8582)</f>
        <v>25.7406747942796</v>
      </c>
    </row>
    <row r="8583" customFormat="false" ht="15" hidden="false" customHeight="false" outlineLevel="0" collapsed="false">
      <c r="A8583" s="4" t="s">
        <v>517</v>
      </c>
      <c r="B8583" s="36" t="s">
        <v>516</v>
      </c>
      <c r="C8583" s="48" t="n">
        <f aca="false">IF(C8550-Assumptions!$E$35&lt;1,0,INDEX($C$8575:$N$8575,1,C8550-Assumptions!$E$35)*INDEX($C$8580:$N$8580,1,C8550-Assumptions!$E$35)*0.15)</f>
        <v>0</v>
      </c>
      <c r="D8583" s="48" t="n">
        <f aca="false">IF(D8550-Assumptions!$E$35&lt;1,0,INDEX($C$8575:$N$8575,1,D8550-Assumptions!$E$35)*INDEX($C$8580:$N$8580,1,D8550-Assumptions!$E$35)*0.15)</f>
        <v>0.310060695905104</v>
      </c>
      <c r="E8583" s="48" t="n">
        <f aca="false">IF(E8550-Assumptions!$E$35&lt;1,0,INDEX($C$8575:$N$8575,1,E8550-Assumptions!$E$35)*INDEX($C$8580:$N$8580,1,E8550-Assumptions!$E$35)*0.15)</f>
        <v>0.531468305519075</v>
      </c>
      <c r="F8583" s="48" t="n">
        <f aca="false">IF(F8550-Assumptions!$E$35&lt;1,0,INDEX($C$8575:$N$8575,1,F8550-Assumptions!$E$35)*INDEX($C$8580:$N$8580,1,F8550-Assumptions!$E$35)*0.15)</f>
        <v>0.586428401997228</v>
      </c>
      <c r="G8583" s="48" t="n">
        <f aca="false">IF(G8550-Assumptions!$E$35&lt;1,0,INDEX($C$8575:$N$8575,1,G8550-Assumptions!$E$35)*INDEX($C$8580:$N$8580,1,G8550-Assumptions!$E$35)*0.15)</f>
        <v>0.642515541598621</v>
      </c>
      <c r="H8583" s="48" t="n">
        <f aca="false">IF(H8550-Assumptions!$E$35&lt;1,0,INDEX($C$8575:$N$8575,1,H8550-Assumptions!$E$35)*INDEX($C$8580:$N$8580,1,H8550-Assumptions!$E$35)*0.15)</f>
        <v>0.810467973516309</v>
      </c>
      <c r="I8583" s="48" t="n">
        <f aca="false">IF(I8550-Assumptions!$E$35&lt;1,0,INDEX($C$8575:$N$8575,1,I8550-Assumptions!$E$35)*INDEX($C$8580:$N$8580,1,I8550-Assumptions!$E$35)*0.15)</f>
        <v>0.967770401247342</v>
      </c>
      <c r="J8583" s="48" t="n">
        <f aca="false">IF(J8550-Assumptions!$E$35&lt;1,0,INDEX($C$8575:$N$8575,1,J8550-Assumptions!$E$35)*INDEX($C$8580:$N$8580,1,J8550-Assumptions!$E$35)*0.15)</f>
        <v>1.34715062945252</v>
      </c>
      <c r="K8583" s="48" t="n">
        <f aca="false">IF(K8550-Assumptions!$E$35&lt;1,0,INDEX($C$8575:$N$8575,1,K8550-Assumptions!$E$35)*INDEX($C$8580:$N$8580,1,K8550-Assumptions!$E$35)*0.15)</f>
        <v>1.69700826823545</v>
      </c>
      <c r="L8583" s="48" t="n">
        <f aca="false">IF(L8550-Assumptions!$E$35&lt;1,0,INDEX($C$8575:$N$8575,1,L8550-Assumptions!$E$35)*INDEX($C$8580:$N$8580,1,L8550-Assumptions!$E$35)*0.15)</f>
        <v>1.70906641586672</v>
      </c>
      <c r="M8583" s="48" t="n">
        <f aca="false">IF(M8550-Assumptions!$E$35&lt;1,0,INDEX($C$8575:$N$8575,1,M8550-Assumptions!$E$35)*INDEX($C$8580:$N$8580,1,M8550-Assumptions!$E$35)*0.15)</f>
        <v>1.65846226163137</v>
      </c>
      <c r="N8583" s="48" t="n">
        <f aca="false">IF(N8550-Assumptions!$E$35&lt;1,0,INDEX($C$8575:$N$8575,1,N8550-Assumptions!$E$35)*INDEX($C$8580:$N$8580,1,N8550-Assumptions!$E$35)*0.15)</f>
        <v>1.6113697898092</v>
      </c>
      <c r="P8583" s="49" t="n">
        <f aca="false">SUM(C8583:F8583)</f>
        <v>1.42795740342141</v>
      </c>
      <c r="Q8583" s="49" t="n">
        <f aca="false">SUM(G8583:J8583)</f>
        <v>3.7679045458148</v>
      </c>
      <c r="R8583" s="49" t="n">
        <f aca="false">SUM(K8583:N8583)</f>
        <v>6.67590673554273</v>
      </c>
      <c r="S8583" s="50" t="n">
        <f aca="false">SUM(P8583:R8583)</f>
        <v>11.8717686847789</v>
      </c>
    </row>
    <row r="8584" customFormat="false" ht="15" hidden="false" customHeight="false" outlineLevel="0" collapsed="false">
      <c r="A8584" s="4" t="s">
        <v>518</v>
      </c>
      <c r="B8584" s="36" t="s">
        <v>516</v>
      </c>
      <c r="C8584" s="48" t="n">
        <f aca="false">IF(C8550-Assumptions!$E$36&lt;1,0,INDEX($C$8575:$N$8575,1,C8550-Assumptions!$E$36)*INDEX($C$8581:$N$8581,1,C8550-Assumptions!$E$36)*0.15)</f>
        <v>0</v>
      </c>
      <c r="D8584" s="48" t="n">
        <f aca="false">IF(D8550-Assumptions!$E$36&lt;1,0,INDEX($C$8575:$N$8575,1,D8550-Assumptions!$E$36)*INDEX($C$8581:$N$8581,1,D8550-Assumptions!$E$36)*0.15)</f>
        <v>0</v>
      </c>
      <c r="E8584" s="48" t="n">
        <f aca="false">IF(E8550-Assumptions!$E$36&lt;1,0,INDEX($C$8575:$N$8575,1,E8550-Assumptions!$E$36)*INDEX($C$8581:$N$8581,1,E8550-Assumptions!$E$36)*0.15)</f>
        <v>0.0509112006856529</v>
      </c>
      <c r="F8584" s="48" t="n">
        <f aca="false">IF(F8550-Assumptions!$E$36&lt;1,0,INDEX($C$8575:$N$8575,1,F8550-Assumptions!$E$36)*INDEX($C$8581:$N$8581,1,F8550-Assumptions!$E$36)*0.15)</f>
        <v>0.0872657834988111</v>
      </c>
      <c r="G8584" s="48" t="n">
        <f aca="false">IF(G8550-Assumptions!$E$36&lt;1,0,INDEX($C$8575:$N$8575,1,G8550-Assumptions!$E$36)*INDEX($C$8581:$N$8581,1,G8550-Assumptions!$E$36)*0.15)</f>
        <v>0.0962900956365819</v>
      </c>
      <c r="H8584" s="48" t="n">
        <f aca="false">IF(H8550-Assumptions!$E$36&lt;1,0,INDEX($C$8575:$N$8575,1,H8550-Assumptions!$E$36)*INDEX($C$8581:$N$8581,1,H8550-Assumptions!$E$36)*0.15)</f>
        <v>0.105499465472366</v>
      </c>
      <c r="I8584" s="48" t="n">
        <f aca="false">IF(I8550-Assumptions!$E$36&lt;1,0,INDEX($C$8575:$N$8575,1,I8550-Assumptions!$E$36)*INDEX($C$8581:$N$8581,1,I8550-Assumptions!$E$36)*0.15)</f>
        <v>0.124471409327562</v>
      </c>
      <c r="J8584" s="48" t="n">
        <f aca="false">IF(J8550-Assumptions!$E$36&lt;1,0,INDEX($C$8575:$N$8575,1,J8550-Assumptions!$E$36)*INDEX($C$8581:$N$8581,1,J8550-Assumptions!$E$36)*0.15)</f>
        <v>0.142487228818336</v>
      </c>
      <c r="K8584" s="48" t="n">
        <f aca="false">IF(K8550-Assumptions!$E$36&lt;1,0,INDEX($C$8575:$N$8575,1,K8550-Assumptions!$E$36)*INDEX($C$8581:$N$8581,1,K8550-Assumptions!$E$36)*0.15)</f>
        <v>0.189539761226571</v>
      </c>
      <c r="L8584" s="48" t="n">
        <f aca="false">IF(L8550-Assumptions!$E$36&lt;1,0,INDEX($C$8575:$N$8575,1,L8550-Assumptions!$E$36)*INDEX($C$8581:$N$8581,1,L8550-Assumptions!$E$36)*0.15)</f>
        <v>0.233751333445662</v>
      </c>
      <c r="M8584" s="48" t="n">
        <f aca="false">IF(M8550-Assumptions!$E$36&lt;1,0,INDEX($C$8575:$N$8575,1,M8550-Assumptions!$E$36)*INDEX($C$8581:$N$8581,1,M8550-Assumptions!$E$36)*0.15)</f>
        <v>0.235412261173859</v>
      </c>
      <c r="N8584" s="48" t="n">
        <f aca="false">IF(N8550-Assumptions!$E$36&lt;1,0,INDEX($C$8575:$N$8575,1,N8550-Assumptions!$E$36)*INDEX($C$8581:$N$8581,1,N8550-Assumptions!$E$36)*0.15)</f>
        <v>0.228441883508756</v>
      </c>
      <c r="P8584" s="49" t="n">
        <f aca="false">SUM(C8584:F8584)</f>
        <v>0.138176984184464</v>
      </c>
      <c r="Q8584" s="49" t="n">
        <f aca="false">SUM(G8584:J8584)</f>
        <v>0.468748199254846</v>
      </c>
      <c r="R8584" s="49" t="n">
        <f aca="false">SUM(K8584:N8584)</f>
        <v>0.887145239354848</v>
      </c>
      <c r="S8584" s="50" t="n">
        <f aca="false">SUM(P8584:R8584)</f>
        <v>1.49407042279416</v>
      </c>
    </row>
    <row r="8585" customFormat="false" ht="15" hidden="false" customHeight="false" outlineLevel="0" collapsed="false">
      <c r="A8585" s="4" t="s">
        <v>519</v>
      </c>
      <c r="B8585" s="36" t="s">
        <v>77</v>
      </c>
      <c r="C8585" s="51" t="n">
        <f aca="false">IF(C8550-Assumptions!$E$35&lt;1,0,IFERROR(INDEX($C$8574:$N$8574,1,C8550-Assumptions!$E$35)/INDEX($C$8575:$N$8575,1,C8550-Assumptions!$E$35),0))</f>
        <v>0</v>
      </c>
      <c r="D8585" s="51" t="n">
        <f aca="false">IF(D8550-Assumptions!$E$35&lt;1,0,IFERROR(INDEX($C$8574:$N$8574,1,D8550-Assumptions!$E$35)/INDEX($C$8575:$N$8575,1,D8550-Assumptions!$E$35),0))</f>
        <v>0.459271678087073</v>
      </c>
      <c r="E8585" s="51" t="n">
        <f aca="false">IF(E8550-Assumptions!$E$35&lt;1,0,IFERROR(INDEX($C$8574:$N$8574,1,E8550-Assumptions!$E$35)/INDEX($C$8575:$N$8575,1,E8550-Assumptions!$E$35),0))</f>
        <v>0.401911350042128</v>
      </c>
      <c r="F8585" s="51" t="n">
        <f aca="false">IF(F8550-Assumptions!$E$35&lt;1,0,IFERROR(INDEX($C$8574:$N$8574,1,F8550-Assumptions!$E$35)/INDEX($C$8575:$N$8575,1,F8550-Assumptions!$E$35),0))</f>
        <v>0.485658933408398</v>
      </c>
      <c r="G8585" s="51" t="n">
        <f aca="false">IF(G8550-Assumptions!$E$35&lt;1,0,IFERROR(INDEX($C$8574:$N$8574,1,G8550-Assumptions!$E$35)/INDEX($C$8575:$N$8575,1,G8550-Assumptions!$E$35),0))</f>
        <v>0.554080356417826</v>
      </c>
      <c r="H8585" s="51" t="n">
        <f aca="false">IF(H8550-Assumptions!$E$35&lt;1,0,IFERROR(INDEX($C$8574:$N$8574,1,H8550-Assumptions!$E$35)/INDEX($C$8575:$N$8575,1,H8550-Assumptions!$E$35),0))</f>
        <v>0.522227563825987</v>
      </c>
      <c r="I8585" s="51" t="n">
        <f aca="false">IF(I8550-Assumptions!$E$35&lt;1,0,IFERROR(INDEX($C$8574:$N$8574,1,I8550-Assumptions!$E$35)/INDEX($C$8575:$N$8575,1,I8550-Assumptions!$E$35),0))</f>
        <v>0.507424816282752</v>
      </c>
      <c r="J8585" s="51" t="n">
        <f aca="false">IF(J8550-Assumptions!$E$35&lt;1,0,IFERROR(INDEX($C$8574:$N$8574,1,J8550-Assumptions!$E$35)/INDEX($C$8575:$N$8575,1,J8550-Assumptions!$E$35),0))</f>
        <v>0.401142323795015</v>
      </c>
      <c r="K8585" s="51" t="n">
        <f aca="false">IF(K8550-Assumptions!$E$35&lt;1,0,IFERROR(INDEX($C$8574:$N$8574,1,K8550-Assumptions!$E$35)/INDEX($C$8575:$N$8575,1,K8550-Assumptions!$E$35),0))</f>
        <v>0.352339268448632</v>
      </c>
      <c r="L8585" s="51" t="n">
        <f aca="false">IF(L8550-Assumptions!$E$35&lt;1,0,IFERROR(INDEX($C$8574:$N$8574,1,L8550-Assumptions!$E$35)/INDEX($C$8575:$N$8575,1,L8550-Assumptions!$E$35),0))</f>
        <v>0.388725970981282</v>
      </c>
      <c r="M8585" s="51" t="n">
        <f aca="false">IF(M8550-Assumptions!$E$35&lt;1,0,IFERROR(INDEX($C$8574:$N$8574,1,M8550-Assumptions!$E$35)/INDEX($C$8575:$N$8575,1,M8550-Assumptions!$E$35),0))</f>
        <v>0.400587048224893</v>
      </c>
      <c r="N8585" s="51" t="n">
        <f aca="false">IF(N8550-Assumptions!$E$35&lt;1,0,IFERROR(INDEX($C$8574:$N$8574,1,N8550-Assumptions!$E$35)/INDEX($C$8575:$N$8575,1,N8550-Assumptions!$E$35),0))</f>
        <v>0.412294251872474</v>
      </c>
      <c r="P8585" s="52"/>
      <c r="Q8585" s="52"/>
      <c r="R8585" s="52"/>
      <c r="S8585" s="53"/>
    </row>
    <row r="8586" customFormat="false" ht="15" hidden="false" customHeight="false" outlineLevel="0" collapsed="false">
      <c r="A8586" s="4" t="s">
        <v>520</v>
      </c>
      <c r="B8586" s="36" t="s">
        <v>516</v>
      </c>
      <c r="C8586" s="48" t="n">
        <f aca="false">C8582*Assumptions!$E$37</f>
        <v>0</v>
      </c>
      <c r="D8586" s="48" t="n">
        <f aca="false">D8582*Assumptions!$E$37</f>
        <v>0.185652095396533</v>
      </c>
      <c r="E8586" s="48" t="n">
        <f aca="false">E8582*Assumptions!$E$37</f>
        <v>0.318222225066086</v>
      </c>
      <c r="F8586" s="48" t="n">
        <f aca="false">F8582*Assumptions!$E$37</f>
        <v>0.351130159574133</v>
      </c>
      <c r="G8586" s="48" t="n">
        <f aca="false">G8582*Assumptions!$E$37</f>
        <v>0.384712922979216</v>
      </c>
      <c r="H8586" s="48" t="n">
        <f aca="false">H8582*Assumptions!$E$37</f>
        <v>0.495042167513559</v>
      </c>
      <c r="I8586" s="48" t="n">
        <f aca="false">I8582*Assumptions!$E$37</f>
        <v>0.598095142516852</v>
      </c>
      <c r="J8586" s="48" t="n">
        <f aca="false">J8582*Assumptions!$E$37</f>
        <v>0.885148518759386</v>
      </c>
      <c r="K8586" s="48" t="n">
        <f aca="false">K8582*Assumptions!$E$37</f>
        <v>1.14496256433269</v>
      </c>
      <c r="L8586" s="48" t="n">
        <f aca="false">L8582*Assumptions!$E$37</f>
        <v>1.15309813319904</v>
      </c>
      <c r="M8586" s="48" t="n">
        <f aca="false">M8582*Assumptions!$E$37</f>
        <v>1.11895577615594</v>
      </c>
      <c r="N8586" s="48" t="n">
        <f aca="false">N8582*Assumptions!$E$37</f>
        <v>1.08718273279043</v>
      </c>
      <c r="P8586" s="49" t="n">
        <f aca="false">SUM(C8586:F8586)</f>
        <v>0.855004480036751</v>
      </c>
      <c r="Q8586" s="49" t="n">
        <f aca="false">SUM(G8586:J8586)</f>
        <v>2.36299875176901</v>
      </c>
      <c r="R8586" s="49" t="n">
        <f aca="false">SUM(K8586:N8586)</f>
        <v>4.5041992064781</v>
      </c>
      <c r="S8586" s="50" t="n">
        <f aca="false">SUM(P8586:R8586)</f>
        <v>7.72220243828386</v>
      </c>
    </row>
    <row r="8587" customFormat="false" ht="15" hidden="false" customHeight="false" outlineLevel="0" collapsed="false">
      <c r="A8587" s="4" t="s">
        <v>521</v>
      </c>
      <c r="B8587" s="36" t="s">
        <v>516</v>
      </c>
      <c r="C8587" s="48" t="n">
        <f aca="false">C8582*(1-Assumptions!$E$37)</f>
        <v>0</v>
      </c>
      <c r="D8587" s="48" t="n">
        <f aca="false">D8582*(1-Assumptions!$E$37)</f>
        <v>0.43318822259191</v>
      </c>
      <c r="E8587" s="48" t="n">
        <f aca="false">E8582*(1-Assumptions!$E$37)</f>
        <v>0.7425185251542</v>
      </c>
      <c r="F8587" s="48" t="n">
        <f aca="false">F8582*(1-Assumptions!$E$37)</f>
        <v>0.819303705672977</v>
      </c>
      <c r="G8587" s="48" t="n">
        <f aca="false">G8582*(1-Assumptions!$E$37)</f>
        <v>0.897663486951504</v>
      </c>
      <c r="H8587" s="48" t="n">
        <f aca="false">H8582*(1-Assumptions!$E$37)</f>
        <v>1.15509839086497</v>
      </c>
      <c r="I8587" s="48" t="n">
        <f aca="false">I8582*(1-Assumptions!$E$37)</f>
        <v>1.39555533253932</v>
      </c>
      <c r="J8587" s="48" t="n">
        <f aca="false">J8582*(1-Assumptions!$E$37)</f>
        <v>2.0653465437719</v>
      </c>
      <c r="K8587" s="48" t="n">
        <f aca="false">K8582*(1-Assumptions!$E$37)</f>
        <v>2.67157931677629</v>
      </c>
      <c r="L8587" s="48" t="n">
        <f aca="false">L8582*(1-Assumptions!$E$37)</f>
        <v>2.69056231079776</v>
      </c>
      <c r="M8587" s="48" t="n">
        <f aca="false">M8582*(1-Assumptions!$E$37)</f>
        <v>2.61089681103052</v>
      </c>
      <c r="N8587" s="48" t="n">
        <f aca="false">N8582*(1-Assumptions!$E$37)</f>
        <v>2.53675970984433</v>
      </c>
      <c r="P8587" s="49" t="n">
        <f aca="false">SUM(C8587:F8587)</f>
        <v>1.99501045341909</v>
      </c>
      <c r="Q8587" s="49" t="n">
        <f aca="false">SUM(G8587:J8587)</f>
        <v>5.5136637541277</v>
      </c>
      <c r="R8587" s="49" t="n">
        <f aca="false">SUM(K8587:N8587)</f>
        <v>10.5097981484489</v>
      </c>
      <c r="S8587" s="50" t="n">
        <f aca="false">SUM(P8587:R8587)</f>
        <v>18.0184723559957</v>
      </c>
    </row>
    <row r="8588" customFormat="false" ht="15" hidden="false" customHeight="false" outlineLevel="0" collapsed="false">
      <c r="A8588" s="4" t="s">
        <v>522</v>
      </c>
      <c r="B8588" s="36" t="s">
        <v>125</v>
      </c>
      <c r="C8588" s="54" t="n">
        <f aca="false">C8587*$C$8541+C8583*$C$8542+C8584*$C$8543</f>
        <v>0</v>
      </c>
      <c r="D8588" s="54" t="n">
        <f aca="false">D8587*$C$8541+D8583*$C$8542+D8584*$C$8543</f>
        <v>9889.11346689005</v>
      </c>
      <c r="E8588" s="54" t="n">
        <f aca="false">E8587*$C$8541+E8583*$C$8542+E8584*$C$8543</f>
        <v>24813.7276408864</v>
      </c>
      <c r="F8588" s="54" t="n">
        <f aca="false">F8587*$C$8541+F8583*$C$8542+F8584*$C$8543</f>
        <v>32181.4384578564</v>
      </c>
      <c r="G8588" s="54" t="n">
        <f aca="false">G8587*$C$8541+G8583*$C$8542+G8584*$C$8543</f>
        <v>35364.0541641602</v>
      </c>
      <c r="H8588" s="54" t="n">
        <f aca="false">H8587*$C$8541+H8583*$C$8542+H8584*$C$8543</f>
        <v>42265.0537869501</v>
      </c>
      <c r="I8588" s="54" t="n">
        <f aca="false">I8587*$C$8541+I8583*$C$8542+I8584*$C$8543</f>
        <v>50322.9353280146</v>
      </c>
      <c r="J8588" s="54" t="n">
        <f aca="false">J8587*$C$8541+J8583*$C$8542+J8584*$C$8543</f>
        <v>65953.373949947</v>
      </c>
      <c r="K8588" s="54" t="n">
        <f aca="false">K8587*$C$8541+K8583*$C$8542+K8584*$C$8543</f>
        <v>85007.3943655372</v>
      </c>
      <c r="L8588" s="54" t="n">
        <f aca="false">L8587*$C$8541+L8583*$C$8542+L8584*$C$8543</f>
        <v>92231.6973235425</v>
      </c>
      <c r="M8588" s="54" t="n">
        <f aca="false">M8587*$C$8541+M8583*$C$8542+M8584*$C$8543</f>
        <v>90826.2590862523</v>
      </c>
      <c r="N8588" s="54" t="n">
        <f aca="false">N8587*$C$8541+N8583*$C$8542+N8584*$C$8543</f>
        <v>88203.0853962057</v>
      </c>
      <c r="P8588" s="55" t="n">
        <f aca="false">SUM(C8588:F8588)</f>
        <v>66884.2795656328</v>
      </c>
      <c r="Q8588" s="55" t="n">
        <f aca="false">SUM(G8588:J8588)</f>
        <v>193905.417229072</v>
      </c>
      <c r="R8588" s="55" t="n">
        <f aca="false">SUM(K8588:N8588)</f>
        <v>356268.436171538</v>
      </c>
      <c r="S8588" s="56" t="n">
        <f aca="false">SUM(P8588:R8588)</f>
        <v>617058.132966242</v>
      </c>
    </row>
    <row r="8589" customFormat="false" ht="15" hidden="false" customHeight="false" outlineLevel="0" collapsed="false">
      <c r="A8589" s="4" t="s">
        <v>523</v>
      </c>
      <c r="B8589" s="36" t="s">
        <v>125</v>
      </c>
      <c r="C8589" s="54" t="n">
        <f aca="false">(C8565+Assumptions!$D$104*C8551)*$C$8546</f>
        <v>306250</v>
      </c>
      <c r="D8589" s="54" t="n">
        <f aca="false">(D8565+Assumptions!$D$104*D8551)*$C$8546</f>
        <v>306250</v>
      </c>
      <c r="E8589" s="54" t="n">
        <f aca="false">(E8565+Assumptions!$D$104*E8551)*$C$8546</f>
        <v>306250</v>
      </c>
      <c r="F8589" s="54" t="n">
        <f aca="false">(F8565+Assumptions!$D$104*F8551)*$C$8546</f>
        <v>306250</v>
      </c>
      <c r="G8589" s="54" t="n">
        <f aca="false">(G8565+Assumptions!$D$104*G8551)*$C$8546</f>
        <v>306250</v>
      </c>
      <c r="H8589" s="54" t="n">
        <f aca="false">(H8565+Assumptions!$D$104*H8551)*$C$8546</f>
        <v>306250</v>
      </c>
      <c r="I8589" s="54" t="n">
        <f aca="false">(I8565+Assumptions!$D$104*I8551)*$C$8546</f>
        <v>306250</v>
      </c>
      <c r="J8589" s="54" t="n">
        <f aca="false">(J8565+Assumptions!$D$104*J8551)*$C$8546</f>
        <v>306250</v>
      </c>
      <c r="K8589" s="54" t="n">
        <f aca="false">(K8565+Assumptions!$D$104*K8551)*$C$8546</f>
        <v>306250</v>
      </c>
      <c r="L8589" s="54" t="n">
        <f aca="false">(L8565+Assumptions!$D$104*L8551)*$C$8546</f>
        <v>306250</v>
      </c>
      <c r="M8589" s="54" t="n">
        <f aca="false">(M8565+Assumptions!$D$104*M8551)*$C$8546</f>
        <v>306250</v>
      </c>
      <c r="N8589" s="54" t="n">
        <f aca="false">(N8565+Assumptions!$D$104*N8551)*$C$8546</f>
        <v>306250</v>
      </c>
      <c r="P8589" s="55" t="n">
        <f aca="false">SUM(C8589:F8589)</f>
        <v>1225000</v>
      </c>
      <c r="Q8589" s="55" t="n">
        <f aca="false">SUM(G8589:J8589)</f>
        <v>1225000</v>
      </c>
      <c r="R8589" s="55" t="n">
        <f aca="false">SUM(K8589:N8589)</f>
        <v>1225000</v>
      </c>
      <c r="S8589" s="56" t="n">
        <f aca="false">SUM(P8589:R8589)</f>
        <v>3675000</v>
      </c>
    </row>
    <row r="8590" customFormat="false" ht="15" hidden="false" customHeight="false" outlineLevel="0" collapsed="false">
      <c r="A8590" s="4" t="s">
        <v>524</v>
      </c>
      <c r="B8590" s="36" t="s">
        <v>77</v>
      </c>
      <c r="C8590" s="51" t="n">
        <f aca="false">IF(C8588&gt;0,MIN(1,C8589/C8588),1)</f>
        <v>1</v>
      </c>
      <c r="D8590" s="51" t="n">
        <f aca="false">IF(D8588&gt;0,MIN(1,D8589/D8588),1)</f>
        <v>1</v>
      </c>
      <c r="E8590" s="51" t="n">
        <f aca="false">IF(E8588&gt;0,MIN(1,E8589/E8588),1)</f>
        <v>1</v>
      </c>
      <c r="F8590" s="51" t="n">
        <f aca="false">IF(F8588&gt;0,MIN(1,F8589/F8588),1)</f>
        <v>1</v>
      </c>
      <c r="G8590" s="51" t="n">
        <f aca="false">IF(G8588&gt;0,MIN(1,G8589/G8588),1)</f>
        <v>1</v>
      </c>
      <c r="H8590" s="51" t="n">
        <f aca="false">IF(H8588&gt;0,MIN(1,H8589/H8588),1)</f>
        <v>1</v>
      </c>
      <c r="I8590" s="51" t="n">
        <f aca="false">IF(I8588&gt;0,MIN(1,I8589/I8588),1)</f>
        <v>1</v>
      </c>
      <c r="J8590" s="51" t="n">
        <f aca="false">IF(J8588&gt;0,MIN(1,J8589/J8588),1)</f>
        <v>1</v>
      </c>
      <c r="K8590" s="51" t="n">
        <f aca="false">IF(K8588&gt;0,MIN(1,K8589/K8588),1)</f>
        <v>1</v>
      </c>
      <c r="L8590" s="51" t="n">
        <f aca="false">IF(L8588&gt;0,MIN(1,L8589/L8588),1)</f>
        <v>1</v>
      </c>
      <c r="M8590" s="51" t="n">
        <f aca="false">IF(M8588&gt;0,MIN(1,M8589/M8588),1)</f>
        <v>1</v>
      </c>
      <c r="N8590" s="51" t="n">
        <f aca="false">IF(N8588&gt;0,MIN(1,N8589/N8588),1)</f>
        <v>1</v>
      </c>
      <c r="P8590" s="52"/>
      <c r="Q8590" s="52"/>
      <c r="R8590" s="52"/>
      <c r="S8590" s="53"/>
    </row>
    <row r="8591" customFormat="false" ht="15" hidden="false" customHeight="false" outlineLevel="0" collapsed="false">
      <c r="A8591" s="4" t="s">
        <v>525</v>
      </c>
      <c r="B8591" s="36" t="s">
        <v>125</v>
      </c>
      <c r="C8591" s="54" t="n">
        <f aca="false">C8588*(1-C8590)</f>
        <v>0</v>
      </c>
      <c r="D8591" s="54" t="n">
        <f aca="false">D8588*(1-D8590)</f>
        <v>0</v>
      </c>
      <c r="E8591" s="54" t="n">
        <f aca="false">E8588*(1-E8590)</f>
        <v>0</v>
      </c>
      <c r="F8591" s="54" t="n">
        <f aca="false">F8588*(1-F8590)</f>
        <v>0</v>
      </c>
      <c r="G8591" s="54" t="n">
        <f aca="false">G8588*(1-G8590)</f>
        <v>0</v>
      </c>
      <c r="H8591" s="54" t="n">
        <f aca="false">H8588*(1-H8590)</f>
        <v>0</v>
      </c>
      <c r="I8591" s="54" t="n">
        <f aca="false">I8588*(1-I8590)</f>
        <v>0</v>
      </c>
      <c r="J8591" s="54" t="n">
        <f aca="false">J8588*(1-J8590)</f>
        <v>0</v>
      </c>
      <c r="K8591" s="54" t="n">
        <f aca="false">K8588*(1-K8590)</f>
        <v>0</v>
      </c>
      <c r="L8591" s="54" t="n">
        <f aca="false">L8588*(1-L8590)</f>
        <v>0</v>
      </c>
      <c r="M8591" s="54" t="n">
        <f aca="false">M8588*(1-M8590)</f>
        <v>0</v>
      </c>
      <c r="N8591" s="54" t="n">
        <f aca="false">N8588*(1-N8590)</f>
        <v>0</v>
      </c>
      <c r="P8591" s="55" t="n">
        <f aca="false">SUM(C8591:F8591)</f>
        <v>0</v>
      </c>
      <c r="Q8591" s="55" t="n">
        <f aca="false">SUM(G8591:J8591)</f>
        <v>0</v>
      </c>
      <c r="R8591" s="55" t="n">
        <f aca="false">SUM(K8591:N8591)</f>
        <v>0</v>
      </c>
      <c r="S8591" s="56" t="n">
        <f aca="false">SUM(P8591:R8591)</f>
        <v>0</v>
      </c>
    </row>
    <row r="8592" customFormat="false" ht="15" hidden="false" customHeight="false" outlineLevel="0" collapsed="false">
      <c r="A8592" s="4" t="s">
        <v>526</v>
      </c>
      <c r="B8592" s="36" t="s">
        <v>527</v>
      </c>
      <c r="C8592" s="48" t="n">
        <f aca="false">C8586+C8587*C8590</f>
        <v>0</v>
      </c>
      <c r="D8592" s="48" t="n">
        <f aca="false">D8586+D8587*D8590</f>
        <v>0.618840317988443</v>
      </c>
      <c r="E8592" s="48" t="n">
        <f aca="false">E8586+E8587*E8590</f>
        <v>1.06074075022029</v>
      </c>
      <c r="F8592" s="48" t="n">
        <f aca="false">F8586+F8587*F8590</f>
        <v>1.17043386524711</v>
      </c>
      <c r="G8592" s="48" t="n">
        <f aca="false">G8586+G8587*G8590</f>
        <v>1.28237640993072</v>
      </c>
      <c r="H8592" s="48" t="n">
        <f aca="false">H8586+H8587*H8590</f>
        <v>1.65014055837853</v>
      </c>
      <c r="I8592" s="48" t="n">
        <f aca="false">I8586+I8587*I8590</f>
        <v>1.99365047505617</v>
      </c>
      <c r="J8592" s="48" t="n">
        <f aca="false">J8586+J8587*J8590</f>
        <v>2.95049506253129</v>
      </c>
      <c r="K8592" s="48" t="n">
        <f aca="false">K8586+K8587*K8590</f>
        <v>3.81654188110898</v>
      </c>
      <c r="L8592" s="48" t="n">
        <f aca="false">L8586+L8587*L8590</f>
        <v>3.84366044399681</v>
      </c>
      <c r="M8592" s="48" t="n">
        <f aca="false">M8586+M8587*M8590</f>
        <v>3.72985258718646</v>
      </c>
      <c r="N8592" s="48" t="n">
        <f aca="false">N8586+N8587*N8590</f>
        <v>3.62394244263475</v>
      </c>
      <c r="P8592" s="49" t="n">
        <f aca="false">SUM(C8592:F8592)</f>
        <v>2.85001493345584</v>
      </c>
      <c r="Q8592" s="49" t="n">
        <f aca="false">SUM(G8592:J8592)</f>
        <v>7.87666250589671</v>
      </c>
      <c r="R8592" s="49" t="n">
        <f aca="false">SUM(K8592:N8592)</f>
        <v>15.013997354927</v>
      </c>
      <c r="S8592" s="50" t="n">
        <f aca="false">SUM(P8592:R8592)</f>
        <v>25.7406747942796</v>
      </c>
    </row>
    <row r="8593" customFormat="false" ht="15" hidden="false" customHeight="false" outlineLevel="0" collapsed="false">
      <c r="A8593" s="4" t="s">
        <v>528</v>
      </c>
      <c r="B8593" s="36" t="s">
        <v>527</v>
      </c>
      <c r="C8593" s="48" t="n">
        <f aca="false">C8583*C8590</f>
        <v>0</v>
      </c>
      <c r="D8593" s="48" t="n">
        <f aca="false">D8583*D8590</f>
        <v>0.310060695905104</v>
      </c>
      <c r="E8593" s="48" t="n">
        <f aca="false">E8583*E8590</f>
        <v>0.531468305519075</v>
      </c>
      <c r="F8593" s="48" t="n">
        <f aca="false">F8583*F8590</f>
        <v>0.586428401997228</v>
      </c>
      <c r="G8593" s="48" t="n">
        <f aca="false">G8583*G8590</f>
        <v>0.642515541598621</v>
      </c>
      <c r="H8593" s="48" t="n">
        <f aca="false">H8583*H8590</f>
        <v>0.810467973516309</v>
      </c>
      <c r="I8593" s="48" t="n">
        <f aca="false">I8583*I8590</f>
        <v>0.967770401247342</v>
      </c>
      <c r="J8593" s="48" t="n">
        <f aca="false">J8583*J8590</f>
        <v>1.34715062945252</v>
      </c>
      <c r="K8593" s="48" t="n">
        <f aca="false">K8583*K8590</f>
        <v>1.69700826823545</v>
      </c>
      <c r="L8593" s="48" t="n">
        <f aca="false">L8583*L8590</f>
        <v>1.70906641586672</v>
      </c>
      <c r="M8593" s="48" t="n">
        <f aca="false">M8583*M8590</f>
        <v>1.65846226163137</v>
      </c>
      <c r="N8593" s="48" t="n">
        <f aca="false">N8583*N8590</f>
        <v>1.6113697898092</v>
      </c>
      <c r="P8593" s="49" t="n">
        <f aca="false">SUM(C8593:F8593)</f>
        <v>1.42795740342141</v>
      </c>
      <c r="Q8593" s="49" t="n">
        <f aca="false">SUM(G8593:J8593)</f>
        <v>3.7679045458148</v>
      </c>
      <c r="R8593" s="49" t="n">
        <f aca="false">SUM(K8593:N8593)</f>
        <v>6.67590673554273</v>
      </c>
      <c r="S8593" s="50" t="n">
        <f aca="false">SUM(P8593:R8593)</f>
        <v>11.8717686847789</v>
      </c>
    </row>
    <row r="8594" customFormat="false" ht="15" hidden="false" customHeight="false" outlineLevel="0" collapsed="false">
      <c r="A8594" s="4" t="s">
        <v>529</v>
      </c>
      <c r="B8594" s="36" t="s">
        <v>527</v>
      </c>
      <c r="C8594" s="48" t="n">
        <f aca="false">C8584*C8590</f>
        <v>0</v>
      </c>
      <c r="D8594" s="48" t="n">
        <f aca="false">D8584*D8590</f>
        <v>0</v>
      </c>
      <c r="E8594" s="48" t="n">
        <f aca="false">E8584*E8590</f>
        <v>0.0509112006856529</v>
      </c>
      <c r="F8594" s="48" t="n">
        <f aca="false">F8584*F8590</f>
        <v>0.0872657834988111</v>
      </c>
      <c r="G8594" s="48" t="n">
        <f aca="false">G8584*G8590</f>
        <v>0.0962900956365819</v>
      </c>
      <c r="H8594" s="48" t="n">
        <f aca="false">H8584*H8590</f>
        <v>0.105499465472366</v>
      </c>
      <c r="I8594" s="48" t="n">
        <f aca="false">I8584*I8590</f>
        <v>0.124471409327562</v>
      </c>
      <c r="J8594" s="48" t="n">
        <f aca="false">J8584*J8590</f>
        <v>0.142487228818336</v>
      </c>
      <c r="K8594" s="48" t="n">
        <f aca="false">K8584*K8590</f>
        <v>0.189539761226571</v>
      </c>
      <c r="L8594" s="48" t="n">
        <f aca="false">L8584*L8590</f>
        <v>0.233751333445662</v>
      </c>
      <c r="M8594" s="48" t="n">
        <f aca="false">M8584*M8590</f>
        <v>0.235412261173859</v>
      </c>
      <c r="N8594" s="48" t="n">
        <f aca="false">N8584*N8590</f>
        <v>0.228441883508756</v>
      </c>
      <c r="P8594" s="49" t="n">
        <f aca="false">SUM(C8594:F8594)</f>
        <v>0.138176984184464</v>
      </c>
      <c r="Q8594" s="49" t="n">
        <f aca="false">SUM(G8594:J8594)</f>
        <v>0.468748199254846</v>
      </c>
      <c r="R8594" s="49" t="n">
        <f aca="false">SUM(K8594:N8594)</f>
        <v>0.887145239354848</v>
      </c>
      <c r="S8594" s="50" t="n">
        <f aca="false">SUM(P8594:R8594)</f>
        <v>1.49407042279416</v>
      </c>
    </row>
    <row r="8595" customFormat="false" ht="15" hidden="false" customHeight="false" outlineLevel="0" collapsed="false">
      <c r="A8595" s="9" t="s">
        <v>530</v>
      </c>
      <c r="B8595" s="36" t="s">
        <v>527</v>
      </c>
      <c r="C8595" s="49" t="n">
        <f aca="false">C8592+C8593+C8594</f>
        <v>0</v>
      </c>
      <c r="D8595" s="49" t="n">
        <f aca="false">D8592+D8593+D8594</f>
        <v>0.928901013893547</v>
      </c>
      <c r="E8595" s="49" t="n">
        <f aca="false">E8592+E8593+E8594</f>
        <v>1.64312025642501</v>
      </c>
      <c r="F8595" s="49" t="n">
        <f aca="false">F8592+F8593+F8594</f>
        <v>1.84412805074315</v>
      </c>
      <c r="G8595" s="49" t="n">
        <f aca="false">G8592+G8593+G8594</f>
        <v>2.02118204716592</v>
      </c>
      <c r="H8595" s="49" t="n">
        <f aca="false">H8592+H8593+H8594</f>
        <v>2.5661079973672</v>
      </c>
      <c r="I8595" s="49" t="n">
        <f aca="false">I8592+I8593+I8594</f>
        <v>3.08589228563108</v>
      </c>
      <c r="J8595" s="49" t="n">
        <f aca="false">J8592+J8593+J8594</f>
        <v>4.44013292080215</v>
      </c>
      <c r="K8595" s="49" t="n">
        <f aca="false">K8592+K8593+K8594</f>
        <v>5.70308991057101</v>
      </c>
      <c r="L8595" s="49" t="n">
        <f aca="false">L8592+L8593+L8594</f>
        <v>5.78647819330918</v>
      </c>
      <c r="M8595" s="49" t="n">
        <f aca="false">M8592+M8593+M8594</f>
        <v>5.62372710999168</v>
      </c>
      <c r="N8595" s="49" t="n">
        <f aca="false">N8592+N8593+N8594</f>
        <v>5.46375411595271</v>
      </c>
      <c r="P8595" s="49" t="n">
        <f aca="false">SUM(C8595:F8595)</f>
        <v>4.41614932106171</v>
      </c>
      <c r="Q8595" s="49" t="n">
        <f aca="false">SUM(G8595:J8595)</f>
        <v>12.1133152509664</v>
      </c>
      <c r="R8595" s="49" t="n">
        <f aca="false">SUM(K8595:N8595)</f>
        <v>22.5770493298246</v>
      </c>
      <c r="S8595" s="50" t="n">
        <f aca="false">SUM(P8595:R8595)</f>
        <v>39.1065139018526</v>
      </c>
    </row>
    <row r="8596" customFormat="false" ht="15" hidden="false" customHeight="false" outlineLevel="0" collapsed="false">
      <c r="A8596" s="35" t="s">
        <v>533</v>
      </c>
      <c r="B8596" s="35" t="s">
        <v>444</v>
      </c>
      <c r="C8596" s="6" t="s">
        <v>354</v>
      </c>
      <c r="D8596" s="6" t="s">
        <v>355</v>
      </c>
      <c r="E8596" s="6" t="s">
        <v>356</v>
      </c>
      <c r="F8596" s="6" t="s">
        <v>357</v>
      </c>
      <c r="G8596" s="6" t="s">
        <v>358</v>
      </c>
      <c r="H8596" s="6" t="s">
        <v>359</v>
      </c>
      <c r="I8596" s="6" t="s">
        <v>360</v>
      </c>
      <c r="J8596" s="6" t="s">
        <v>361</v>
      </c>
      <c r="K8596" s="6" t="s">
        <v>362</v>
      </c>
      <c r="L8596" s="6" t="s">
        <v>363</v>
      </c>
      <c r="M8596" s="6" t="s">
        <v>364</v>
      </c>
      <c r="N8596" s="6" t="s">
        <v>365</v>
      </c>
      <c r="P8596" s="6" t="s">
        <v>445</v>
      </c>
      <c r="Q8596" s="6" t="s">
        <v>446</v>
      </c>
      <c r="R8596" s="6" t="s">
        <v>447</v>
      </c>
      <c r="S8596" s="6" t="s">
        <v>448</v>
      </c>
    </row>
    <row r="8597" customFormat="false" ht="15" hidden="false" customHeight="false" outlineLevel="0" collapsed="false">
      <c r="A8597" s="4" t="s">
        <v>534</v>
      </c>
      <c r="B8597" s="36" t="s">
        <v>527</v>
      </c>
      <c r="C8597" s="48" t="n">
        <f aca="false">0*Assumptions!$E$59^(1/4)+C8592</f>
        <v>0</v>
      </c>
      <c r="D8597" s="48" t="n">
        <f aca="false">C8597*Assumptions!$E$59^(1/4)+D8592</f>
        <v>0.618840317988443</v>
      </c>
      <c r="E8597" s="48" t="n">
        <f aca="false">D8597*Assumptions!$E$59^(1/4)+E8592</f>
        <v>1.66011663920288</v>
      </c>
      <c r="F8597" s="48" t="n">
        <f aca="false">E8597*Assumptions!$E$59^(1/4)+F8592</f>
        <v>2.77833473646281</v>
      </c>
      <c r="G8597" s="48" t="n">
        <f aca="false">F8597*Assumptions!$E$59^(1/4)+G8592</f>
        <v>3.97332398421226</v>
      </c>
      <c r="H8597" s="48" t="n">
        <f aca="false">G8597*Assumptions!$E$59^(1/4)+H8592</f>
        <v>5.49849129770052</v>
      </c>
      <c r="I8597" s="48" t="n">
        <f aca="false">H8597*Assumptions!$E$59^(1/4)+I8592</f>
        <v>7.31919733072152</v>
      </c>
      <c r="J8597" s="48" t="n">
        <f aca="false">I8597*Assumptions!$E$59^(1/4)+J8592</f>
        <v>10.039481153483</v>
      </c>
      <c r="K8597" s="48" t="n">
        <f aca="false">J8597*Assumptions!$E$59^(1/4)+K8592</f>
        <v>13.5402505122025</v>
      </c>
      <c r="L8597" s="48" t="n">
        <f aca="false">K8597*Assumptions!$E$59^(1/4)+L8592</f>
        <v>16.9580284835238</v>
      </c>
      <c r="M8597" s="48" t="n">
        <f aca="false">L8597*Assumptions!$E$59^(1/4)+M8592</f>
        <v>20.1544989818224</v>
      </c>
      <c r="N8597" s="48" t="n">
        <f aca="false">M8597*Assumptions!$E$59^(1/4)+N8592</f>
        <v>23.144520519214</v>
      </c>
      <c r="P8597" s="49" t="n">
        <f aca="false">F8597</f>
        <v>2.77833473646281</v>
      </c>
      <c r="Q8597" s="49" t="n">
        <f aca="false">J8597</f>
        <v>10.039481153483</v>
      </c>
      <c r="R8597" s="49" t="n">
        <f aca="false">N8597</f>
        <v>23.144520519214</v>
      </c>
      <c r="S8597" s="50" t="n">
        <f aca="false">R8597</f>
        <v>23.144520519214</v>
      </c>
    </row>
    <row r="8598" customFormat="false" ht="15" hidden="false" customHeight="false" outlineLevel="0" collapsed="false">
      <c r="A8598" s="4" t="s">
        <v>535</v>
      </c>
      <c r="B8598" s="36" t="s">
        <v>527</v>
      </c>
      <c r="C8598" s="48" t="n">
        <f aca="false">0*Assumptions!$E$60^(1/4)+C8593</f>
        <v>0</v>
      </c>
      <c r="D8598" s="48" t="n">
        <f aca="false">C8598*Assumptions!$E$60^(1/4)+D8593</f>
        <v>0.310060695905104</v>
      </c>
      <c r="E8598" s="48" t="n">
        <f aca="false">D8598*Assumptions!$E$60^(1/4)+E8593</f>
        <v>0.833468584949881</v>
      </c>
      <c r="F8598" s="48" t="n">
        <f aca="false">E8598*Assumptions!$E$60^(1/4)+F8593</f>
        <v>1.3982299262662</v>
      </c>
      <c r="G8598" s="48" t="n">
        <f aca="false">F8598*Assumptions!$E$60^(1/4)+G8593</f>
        <v>2.00439672814587</v>
      </c>
      <c r="H8598" s="48" t="n">
        <f aca="false">G8598*Assumptions!$E$60^(1/4)+H8593</f>
        <v>2.76275789605299</v>
      </c>
      <c r="I8598" s="48" t="n">
        <f aca="false">H8598*Assumptions!$E$60^(1/4)+I8593</f>
        <v>3.65870694246903</v>
      </c>
      <c r="J8598" s="48" t="n">
        <f aca="false">I8598*Assumptions!$E$60^(1/4)+J8593</f>
        <v>4.9107448984896</v>
      </c>
      <c r="K8598" s="48" t="n">
        <f aca="false">J8598*Assumptions!$E$60^(1/4)+K8593</f>
        <v>6.48009219710324</v>
      </c>
      <c r="L8598" s="48" t="n">
        <f aca="false">K8598*Assumptions!$E$60^(1/4)+L8593</f>
        <v>8.0207004930266</v>
      </c>
      <c r="M8598" s="48" t="n">
        <f aca="false">L8598*Assumptions!$E$60^(1/4)+M8593</f>
        <v>9.4706545907945</v>
      </c>
      <c r="N8598" s="48" t="n">
        <f aca="false">M8598*Assumptions!$E$60^(1/4)+N8593</f>
        <v>10.835822842343</v>
      </c>
      <c r="P8598" s="49" t="n">
        <f aca="false">F8598</f>
        <v>1.3982299262662</v>
      </c>
      <c r="Q8598" s="49" t="n">
        <f aca="false">J8598</f>
        <v>4.9107448984896</v>
      </c>
      <c r="R8598" s="49" t="n">
        <f aca="false">N8598</f>
        <v>10.835822842343</v>
      </c>
      <c r="S8598" s="50" t="n">
        <f aca="false">R8598</f>
        <v>10.835822842343</v>
      </c>
    </row>
    <row r="8599" customFormat="false" ht="15" hidden="false" customHeight="false" outlineLevel="0" collapsed="false">
      <c r="A8599" s="4" t="s">
        <v>536</v>
      </c>
      <c r="B8599" s="36" t="s">
        <v>527</v>
      </c>
      <c r="C8599" s="48" t="n">
        <f aca="false">0*Assumptions!$E$61^(1/4)+C8594</f>
        <v>0</v>
      </c>
      <c r="D8599" s="48" t="n">
        <f aca="false">C8599*Assumptions!$E$61^(1/4)+D8594</f>
        <v>0</v>
      </c>
      <c r="E8599" s="48" t="n">
        <f aca="false">D8599*Assumptions!$E$61^(1/4)+E8594</f>
        <v>0.0509112006856529</v>
      </c>
      <c r="F8599" s="48" t="n">
        <f aca="false">E8599*Assumptions!$E$61^(1/4)+F8594</f>
        <v>0.137126704510346</v>
      </c>
      <c r="G8599" s="48" t="n">
        <f aca="false">F8599*Assumptions!$E$61^(1/4)+G8594</f>
        <v>0.230587925781634</v>
      </c>
      <c r="H8599" s="48" t="n">
        <f aca="false">G8599*Assumptions!$E$61^(1/4)+H8594</f>
        <v>0.331330445664742</v>
      </c>
      <c r="I8599" s="48" t="n">
        <f aca="false">H8599*Assumptions!$E$61^(1/4)+I8594</f>
        <v>0.448966627619713</v>
      </c>
      <c r="J8599" s="48" t="n">
        <f aca="false">I8599*Assumptions!$E$61^(1/4)+J8594</f>
        <v>0.582191837137861</v>
      </c>
      <c r="K8599" s="48" t="n">
        <f aca="false">J8599*Assumptions!$E$61^(1/4)+K8594</f>
        <v>0.759721191130891</v>
      </c>
      <c r="L8599" s="48" t="n">
        <f aca="false">K8599*Assumptions!$E$61^(1/4)+L8594</f>
        <v>0.977799750917804</v>
      </c>
      <c r="M8599" s="48" t="n">
        <f aca="false">L8599*Assumptions!$E$61^(1/4)+M8594</f>
        <v>1.19304035654405</v>
      </c>
      <c r="N8599" s="48" t="n">
        <f aca="false">M8599*Assumptions!$E$61^(1/4)+N8594</f>
        <v>1.39687024858521</v>
      </c>
      <c r="P8599" s="49" t="n">
        <f aca="false">F8599</f>
        <v>0.137126704510346</v>
      </c>
      <c r="Q8599" s="49" t="n">
        <f aca="false">J8599</f>
        <v>0.582191837137861</v>
      </c>
      <c r="R8599" s="49" t="n">
        <f aca="false">N8599</f>
        <v>1.39687024858521</v>
      </c>
      <c r="S8599" s="50" t="n">
        <f aca="false">R8599</f>
        <v>1.39687024858521</v>
      </c>
    </row>
    <row r="8600" customFormat="false" ht="15" hidden="false" customHeight="false" outlineLevel="0" collapsed="false">
      <c r="A8600" s="9" t="s">
        <v>537</v>
      </c>
      <c r="B8600" s="36" t="s">
        <v>527</v>
      </c>
      <c r="C8600" s="49" t="n">
        <f aca="false">C8597+C8598+C8599</f>
        <v>0</v>
      </c>
      <c r="D8600" s="49" t="n">
        <f aca="false">D8597+D8598+D8599</f>
        <v>0.928901013893547</v>
      </c>
      <c r="E8600" s="49" t="n">
        <f aca="false">E8597+E8598+E8599</f>
        <v>2.54449642483841</v>
      </c>
      <c r="F8600" s="49" t="n">
        <f aca="false">F8597+F8598+F8599</f>
        <v>4.31369136723936</v>
      </c>
      <c r="G8600" s="49" t="n">
        <f aca="false">G8597+G8598+G8599</f>
        <v>6.20830863813976</v>
      </c>
      <c r="H8600" s="49" t="n">
        <f aca="false">H8597+H8598+H8599</f>
        <v>8.59257963941825</v>
      </c>
      <c r="I8600" s="49" t="n">
        <f aca="false">I8597+I8598+I8599</f>
        <v>11.4268709008103</v>
      </c>
      <c r="J8600" s="49" t="n">
        <f aca="false">J8597+J8598+J8599</f>
        <v>15.5324178891105</v>
      </c>
      <c r="K8600" s="49" t="n">
        <f aca="false">K8597+K8598+K8599</f>
        <v>20.7800639004366</v>
      </c>
      <c r="L8600" s="49" t="n">
        <f aca="false">L8597+L8598+L8599</f>
        <v>25.9565287274682</v>
      </c>
      <c r="M8600" s="49" t="n">
        <f aca="false">M8597+M8598+M8599</f>
        <v>30.8181939291609</v>
      </c>
      <c r="N8600" s="49" t="n">
        <f aca="false">N8597+N8598+N8599</f>
        <v>35.3772136101422</v>
      </c>
      <c r="P8600" s="49" t="n">
        <f aca="false">F8600</f>
        <v>4.31369136723936</v>
      </c>
      <c r="Q8600" s="49" t="n">
        <f aca="false">J8600</f>
        <v>15.5324178891105</v>
      </c>
      <c r="R8600" s="49" t="n">
        <f aca="false">N8600</f>
        <v>35.3772136101422</v>
      </c>
      <c r="S8600" s="50" t="n">
        <f aca="false">R8600</f>
        <v>35.3772136101422</v>
      </c>
    </row>
    <row r="8601" customFormat="false" ht="15" hidden="false" customHeight="false" outlineLevel="0" collapsed="false">
      <c r="A8601" s="4" t="s">
        <v>538</v>
      </c>
      <c r="B8601" s="36" t="s">
        <v>125</v>
      </c>
      <c r="C8601" s="54" t="n">
        <f aca="false">0*Assumptions!$E$62^(1/4)+C8592*$C$8541</f>
        <v>0</v>
      </c>
      <c r="D8601" s="54" t="n">
        <f aca="false">C8601*Assumptions!$E$62^(1/4)+D8592*$C$8541</f>
        <v>3312.03338187415</v>
      </c>
      <c r="E8601" s="54" t="n">
        <f aca="false">D8601*Assumptions!$E$62^(1/4)+E8592*$C$8541</f>
        <v>8989.11787705312</v>
      </c>
      <c r="F8601" s="54" t="n">
        <f aca="false">E8601*Assumptions!$E$62^(1/4)+F8592*$C$8541</f>
        <v>15253.2799238556</v>
      </c>
      <c r="G8601" s="54" t="n">
        <f aca="false">F8601*Assumptions!$E$62^(1/4)+G8592*$C$8541</f>
        <v>22116.5584698049</v>
      </c>
      <c r="H8601" s="54" t="n">
        <f aca="false">G8601*Assumptions!$E$62^(1/4)+H8592*$C$8541</f>
        <v>30948.1107382467</v>
      </c>
      <c r="I8601" s="54" t="n">
        <f aca="false">H8601*Assumptions!$E$62^(1/4)+I8592*$C$8541</f>
        <v>41618.1280807474</v>
      </c>
      <c r="J8601" s="54" t="n">
        <f aca="false">I8601*Assumptions!$E$62^(1/4)+J8592*$C$8541</f>
        <v>57409.1776554148</v>
      </c>
      <c r="K8601" s="54" t="n">
        <f aca="false">J8601*Assumptions!$E$62^(1/4)+K8592*$C$8541</f>
        <v>77835.3098031101</v>
      </c>
      <c r="L8601" s="54" t="n">
        <f aca="false">K8601*Assumptions!$E$62^(1/4)+L8592*$C$8541</f>
        <v>98406.580499381</v>
      </c>
      <c r="M8601" s="54" t="n">
        <f aca="false">L8601*Assumptions!$E$62^(1/4)+M8592*$C$8541</f>
        <v>118368.751546003</v>
      </c>
      <c r="N8601" s="54" t="n">
        <f aca="false">M8601*Assumptions!$E$62^(1/4)+N8592*$C$8541</f>
        <v>137764.091498984</v>
      </c>
      <c r="P8601" s="55" t="n">
        <f aca="false">F8601</f>
        <v>15253.2799238556</v>
      </c>
      <c r="Q8601" s="55" t="n">
        <f aca="false">J8601</f>
        <v>57409.1776554148</v>
      </c>
      <c r="R8601" s="55" t="n">
        <f aca="false">N8601</f>
        <v>137764.091498984</v>
      </c>
      <c r="S8601" s="56" t="n">
        <f aca="false">R8601</f>
        <v>137764.091498984</v>
      </c>
    </row>
    <row r="8602" customFormat="false" ht="15" hidden="false" customHeight="false" outlineLevel="0" collapsed="false">
      <c r="A8602" s="4" t="s">
        <v>539</v>
      </c>
      <c r="B8602" s="36" t="s">
        <v>125</v>
      </c>
      <c r="C8602" s="54" t="n">
        <f aca="false">0*Assumptions!$E$63^(1/4)+C8593*$C$8542</f>
        <v>0</v>
      </c>
      <c r="D8602" s="54" t="n">
        <f aca="false">C8602*Assumptions!$E$63^(1/4)+D8593*$C$8542</f>
        <v>7570.69009957814</v>
      </c>
      <c r="E8602" s="54" t="n">
        <f aca="false">D8602*Assumptions!$E$63^(1/4)+E8593*$C$8542</f>
        <v>20658.5367347572</v>
      </c>
      <c r="F8602" s="54" t="n">
        <f aca="false">E8602*Assumptions!$E$63^(1/4)+F8593*$C$8542</f>
        <v>35280.3821195183</v>
      </c>
      <c r="G8602" s="54" t="n">
        <f aca="false">F8602*Assumptions!$E$63^(1/4)+G8593*$C$8542</f>
        <v>51486.2547024298</v>
      </c>
      <c r="H8602" s="54" t="n">
        <f aca="false">G8602*Assumptions!$E$63^(1/4)+H8593*$C$8542</f>
        <v>72030.7907603603</v>
      </c>
      <c r="I8602" s="54" t="n">
        <f aca="false">H8602*Assumptions!$E$63^(1/4)+I8593*$C$8542</f>
        <v>96717.616148067</v>
      </c>
      <c r="J8602" s="54" t="n">
        <f aca="false">I8602*Assumptions!$E$63^(1/4)+J8593*$C$8542</f>
        <v>131029.943492061</v>
      </c>
      <c r="K8602" s="54" t="n">
        <f aca="false">J8602*Assumptions!$E$63^(1/4)+K8593*$C$8542</f>
        <v>174388.168756436</v>
      </c>
      <c r="L8602" s="54" t="n">
        <f aca="false">K8602*Assumptions!$E$63^(1/4)+L8593*$C$8542</f>
        <v>218677.047331451</v>
      </c>
      <c r="M8602" s="54" t="n">
        <f aca="false">L8602*Assumptions!$E$63^(1/4)+M8593*$C$8542</f>
        <v>262380.222568237</v>
      </c>
      <c r="N8602" s="54" t="n">
        <f aca="false">M8602*Assumptions!$E$63^(1/4)+N8593*$C$8542</f>
        <v>305574.843994383</v>
      </c>
      <c r="P8602" s="55" t="n">
        <f aca="false">F8602</f>
        <v>35280.3821195183</v>
      </c>
      <c r="Q8602" s="55" t="n">
        <f aca="false">J8602</f>
        <v>131029.943492061</v>
      </c>
      <c r="R8602" s="55" t="n">
        <f aca="false">N8602</f>
        <v>305574.843994383</v>
      </c>
      <c r="S8602" s="56" t="n">
        <f aca="false">R8602</f>
        <v>305574.843994383</v>
      </c>
    </row>
    <row r="8603" customFormat="false" ht="15" hidden="false" customHeight="false" outlineLevel="0" collapsed="false">
      <c r="A8603" s="4" t="s">
        <v>540</v>
      </c>
      <c r="B8603" s="36" t="s">
        <v>125</v>
      </c>
      <c r="C8603" s="54" t="n">
        <f aca="false">0*Assumptions!$E$64^(1/4)+C8594*$C$8543</f>
        <v>0</v>
      </c>
      <c r="D8603" s="54" t="n">
        <f aca="false">C8603*Assumptions!$E$64^(1/4)+D8594*$C$8543</f>
        <v>0</v>
      </c>
      <c r="E8603" s="54" t="n">
        <f aca="false">D8603*Assumptions!$E$64^(1/4)+E8594*$C$8543</f>
        <v>7863.01300099379</v>
      </c>
      <c r="F8603" s="54" t="n">
        <f aca="false">E8603*Assumptions!$E$64^(1/4)+F8594*$C$8543</f>
        <v>21620.4264480073</v>
      </c>
      <c r="G8603" s="54" t="n">
        <f aca="false">F8603*Assumptions!$E$64^(1/4)+G8594*$C$8543</f>
        <v>37260.7927212615</v>
      </c>
      <c r="H8603" s="54" t="n">
        <f aca="false">G8603*Assumptions!$E$64^(1/4)+H8594*$C$8543</f>
        <v>54879.6473558076</v>
      </c>
      <c r="I8603" s="54" t="n">
        <f aca="false">H8603*Assumptions!$E$64^(1/4)+I8594*$C$8543</f>
        <v>76055.1285896686</v>
      </c>
      <c r="J8603" s="54" t="n">
        <f aca="false">I8603*Assumptions!$E$64^(1/4)+J8594*$C$8543</f>
        <v>100766.033983074</v>
      </c>
      <c r="K8603" s="54" t="n">
        <f aca="false">J8603*Assumptions!$E$64^(1/4)+K8594*$C$8543</f>
        <v>133622.670144153</v>
      </c>
      <c r="L8603" s="54" t="n">
        <f aca="false">K8603*Assumptions!$E$64^(1/4)+L8594*$C$8543</f>
        <v>174475.909673213</v>
      </c>
      <c r="M8603" s="54" t="n">
        <f aca="false">L8603*Assumptions!$E$64^(1/4)+M8594*$C$8543</f>
        <v>217038.334859138</v>
      </c>
      <c r="N8603" s="54" t="n">
        <f aca="false">M8603*Assumptions!$E$64^(1/4)+N8594*$C$8543</f>
        <v>260037.653565755</v>
      </c>
      <c r="P8603" s="55" t="n">
        <f aca="false">F8603</f>
        <v>21620.4264480073</v>
      </c>
      <c r="Q8603" s="55" t="n">
        <f aca="false">J8603</f>
        <v>100766.033983074</v>
      </c>
      <c r="R8603" s="55" t="n">
        <f aca="false">N8603</f>
        <v>260037.653565755</v>
      </c>
      <c r="S8603" s="56" t="n">
        <f aca="false">R8603</f>
        <v>260037.653565755</v>
      </c>
    </row>
    <row r="8604" customFormat="false" ht="15" hidden="false" customHeight="false" outlineLevel="0" collapsed="false">
      <c r="A8604" s="9" t="s">
        <v>541</v>
      </c>
      <c r="B8604" s="36" t="s">
        <v>125</v>
      </c>
      <c r="C8604" s="55" t="n">
        <f aca="false">C8601+C8602+C8603</f>
        <v>0</v>
      </c>
      <c r="D8604" s="55" t="n">
        <f aca="false">D8601+D8602+D8603</f>
        <v>10882.7234814523</v>
      </c>
      <c r="E8604" s="55" t="n">
        <f aca="false">E8601+E8602+E8603</f>
        <v>37510.6676128041</v>
      </c>
      <c r="F8604" s="55" t="n">
        <f aca="false">F8601+F8602+F8603</f>
        <v>72154.0884913812</v>
      </c>
      <c r="G8604" s="55" t="n">
        <f aca="false">G8601+G8602+G8603</f>
        <v>110863.605893496</v>
      </c>
      <c r="H8604" s="55" t="n">
        <f aca="false">H8601+H8602+H8603</f>
        <v>157858.548854415</v>
      </c>
      <c r="I8604" s="55" t="n">
        <f aca="false">I8601+I8602+I8603</f>
        <v>214390.872818483</v>
      </c>
      <c r="J8604" s="55" t="n">
        <f aca="false">J8601+J8602+J8603</f>
        <v>289205.15513055</v>
      </c>
      <c r="K8604" s="55" t="n">
        <f aca="false">K8601+K8602+K8603</f>
        <v>385846.148703699</v>
      </c>
      <c r="L8604" s="55" t="n">
        <f aca="false">L8601+L8602+L8603</f>
        <v>491559.537504046</v>
      </c>
      <c r="M8604" s="55" t="n">
        <f aca="false">M8601+M8602+M8603</f>
        <v>597787.308973377</v>
      </c>
      <c r="N8604" s="55" t="n">
        <f aca="false">N8601+N8602+N8603</f>
        <v>703376.589059122</v>
      </c>
      <c r="P8604" s="55" t="n">
        <f aca="false">F8604</f>
        <v>72154.0884913812</v>
      </c>
      <c r="Q8604" s="55" t="n">
        <f aca="false">J8604</f>
        <v>289205.15513055</v>
      </c>
      <c r="R8604" s="55" t="n">
        <f aca="false">N8604</f>
        <v>703376.589059122</v>
      </c>
      <c r="S8604" s="56" t="n">
        <f aca="false">R8604</f>
        <v>703376.589059122</v>
      </c>
    </row>
    <row r="8605" customFormat="false" ht="15" hidden="false" customHeight="false" outlineLevel="0" collapsed="false">
      <c r="A8605" s="4" t="s">
        <v>542</v>
      </c>
      <c r="B8605" s="36" t="s">
        <v>125</v>
      </c>
      <c r="C8605" s="54" t="n">
        <f aca="false">C8592*$C$8541+C8593*$C$8542+C8594*$C$8543</f>
        <v>0</v>
      </c>
      <c r="D8605" s="54" t="n">
        <f aca="false">D8592*$C$8541+D8593*$C$8542+D8594*$C$8543</f>
        <v>10882.7234814523</v>
      </c>
      <c r="E8605" s="54" t="n">
        <f aca="false">E8592*$C$8541+E8593*$C$8542+E8594*$C$8543</f>
        <v>26516.85298944</v>
      </c>
      <c r="F8605" s="54" t="n">
        <f aca="false">F8592*$C$8541+F8593*$C$8542+F8594*$C$8543</f>
        <v>34060.6870718972</v>
      </c>
      <c r="G8605" s="54" t="n">
        <f aca="false">G8592*$C$8541+G8593*$C$8542+G8594*$C$8543</f>
        <v>37423.037727945</v>
      </c>
      <c r="H8605" s="54" t="n">
        <f aca="false">H8592*$C$8541+H8593*$C$8542+H8594*$C$8543</f>
        <v>44914.5194674826</v>
      </c>
      <c r="I8605" s="54" t="n">
        <f aca="false">I8592*$C$8541+I8593*$C$8542+I8594*$C$8543</f>
        <v>53523.9405307648</v>
      </c>
      <c r="J8605" s="54" t="n">
        <f aca="false">J8592*$C$8541+J8593*$C$8542+J8594*$C$8543</f>
        <v>70690.6888223472</v>
      </c>
      <c r="K8605" s="54" t="n">
        <f aca="false">K8592*$C$8541+K8593*$C$8542+K8594*$C$8543</f>
        <v>91135.2340098458</v>
      </c>
      <c r="L8605" s="54" t="n">
        <f aca="false">L8592*$C$8541+L8593*$C$8542+L8594*$C$8543</f>
        <v>98403.0785324238</v>
      </c>
      <c r="M8605" s="54" t="n">
        <f aca="false">M8592*$C$8541+M8593*$C$8542+M8594*$C$8543</f>
        <v>96814.9104002389</v>
      </c>
      <c r="N8605" s="54" t="n">
        <f aca="false">N8592*$C$8541+N8593*$C$8542+N8594*$C$8543</f>
        <v>94021.6873821001</v>
      </c>
      <c r="P8605" s="55" t="n">
        <f aca="false">SUM(C8605:F8605)</f>
        <v>71460.2635427895</v>
      </c>
      <c r="Q8605" s="55" t="n">
        <f aca="false">SUM(G8605:J8605)</f>
        <v>206552.18654854</v>
      </c>
      <c r="R8605" s="55" t="n">
        <f aca="false">SUM(K8605:N8605)</f>
        <v>380374.910324609</v>
      </c>
      <c r="S8605" s="56" t="n">
        <f aca="false">SUM(P8605:R8605)</f>
        <v>658387.360415938</v>
      </c>
    </row>
    <row r="8606" customFormat="false" ht="15" hidden="false" customHeight="false" outlineLevel="0" collapsed="false">
      <c r="A8606" s="9" t="s">
        <v>543</v>
      </c>
      <c r="B8606" s="36" t="s">
        <v>125</v>
      </c>
      <c r="C8606" s="55" t="n">
        <f aca="false">(0+C8604)/8</f>
        <v>0</v>
      </c>
      <c r="D8606" s="55" t="n">
        <f aca="false">(C8604+D8604)/8</f>
        <v>1360.34043518154</v>
      </c>
      <c r="E8606" s="55" t="n">
        <f aca="false">(D8604+E8604)/8</f>
        <v>6049.17388678205</v>
      </c>
      <c r="F8606" s="55" t="n">
        <f aca="false">(E8604+F8604)/8</f>
        <v>13708.0945130232</v>
      </c>
      <c r="G8606" s="55" t="n">
        <f aca="false">(F8604+G8604)/8</f>
        <v>22877.2117981097</v>
      </c>
      <c r="H8606" s="55" t="n">
        <f aca="false">(G8604+H8604)/8</f>
        <v>33590.2693434889</v>
      </c>
      <c r="I8606" s="55" t="n">
        <f aca="false">(H8604+I8604)/8</f>
        <v>46531.1777091122</v>
      </c>
      <c r="J8606" s="55" t="n">
        <f aca="false">(I8604+J8604)/8</f>
        <v>62949.5034936291</v>
      </c>
      <c r="K8606" s="55" t="n">
        <f aca="false">(J8604+K8604)/8</f>
        <v>84381.4129792811</v>
      </c>
      <c r="L8606" s="55" t="n">
        <f aca="false">(K8604+L8604)/8</f>
        <v>109675.710775968</v>
      </c>
      <c r="M8606" s="55" t="n">
        <f aca="false">(L8604+M8604)/8</f>
        <v>136168.355809678</v>
      </c>
      <c r="N8606" s="55" t="n">
        <f aca="false">(M8604+N8604)/8</f>
        <v>162645.487254062</v>
      </c>
      <c r="P8606" s="55" t="n">
        <f aca="false">SUM(C8606:F8606)</f>
        <v>21117.6088349868</v>
      </c>
      <c r="Q8606" s="55" t="n">
        <f aca="false">SUM(G8606:J8606)</f>
        <v>165948.16234434</v>
      </c>
      <c r="R8606" s="55" t="n">
        <f aca="false">SUM(K8606:N8606)</f>
        <v>492870.966818989</v>
      </c>
      <c r="S8606" s="56" t="n">
        <f aca="false">SUM(P8606:R8606)</f>
        <v>679936.737998316</v>
      </c>
    </row>
    <row r="8607" customFormat="false" ht="15" hidden="false" customHeight="false" outlineLevel="0" collapsed="false">
      <c r="A8607" s="4" t="s">
        <v>544</v>
      </c>
      <c r="B8607" s="36" t="s">
        <v>125</v>
      </c>
      <c r="C8607" s="54" t="n">
        <f aca="false">C8606*Assumptions!$E$76</f>
        <v>0</v>
      </c>
      <c r="D8607" s="54" t="n">
        <f aca="false">D8606*Assumptions!$E$76</f>
        <v>884.221282867999</v>
      </c>
      <c r="E8607" s="54" t="n">
        <f aca="false">E8606*Assumptions!$E$76</f>
        <v>3931.96302640834</v>
      </c>
      <c r="F8607" s="54" t="n">
        <f aca="false">F8606*Assumptions!$E$76</f>
        <v>8910.26143346506</v>
      </c>
      <c r="G8607" s="54" t="n">
        <f aca="false">G8606*Assumptions!$E$76</f>
        <v>14870.1876687713</v>
      </c>
      <c r="H8607" s="54" t="n">
        <f aca="false">H8606*Assumptions!$E$76</f>
        <v>21833.6750732678</v>
      </c>
      <c r="I8607" s="54" t="n">
        <f aca="false">I8606*Assumptions!$E$76</f>
        <v>30245.2655109229</v>
      </c>
      <c r="J8607" s="54" t="n">
        <f aca="false">J8606*Assumptions!$E$76</f>
        <v>40917.1772708589</v>
      </c>
      <c r="K8607" s="54" t="n">
        <f aca="false">K8606*Assumptions!$E$76</f>
        <v>54847.9184365327</v>
      </c>
      <c r="L8607" s="54" t="n">
        <f aca="false">L8606*Assumptions!$E$76</f>
        <v>71289.2120043792</v>
      </c>
      <c r="M8607" s="54" t="n">
        <f aca="false">M8606*Assumptions!$E$76</f>
        <v>88509.4312762906</v>
      </c>
      <c r="N8607" s="54" t="n">
        <f aca="false">N8606*Assumptions!$E$76</f>
        <v>105719.566715141</v>
      </c>
      <c r="P8607" s="55" t="n">
        <f aca="false">SUM(C8607:F8607)</f>
        <v>13726.4457427414</v>
      </c>
      <c r="Q8607" s="55" t="n">
        <f aca="false">SUM(G8607:J8607)</f>
        <v>107866.305523821</v>
      </c>
      <c r="R8607" s="55" t="n">
        <f aca="false">SUM(K8607:N8607)</f>
        <v>320366.128432343</v>
      </c>
      <c r="S8607" s="56" t="n">
        <f aca="false">SUM(P8607:R8607)</f>
        <v>441958.879698905</v>
      </c>
    </row>
    <row r="8608" customFormat="false" ht="15" hidden="false" customHeight="false" outlineLevel="0" collapsed="false">
      <c r="A8608" s="35" t="s">
        <v>547</v>
      </c>
      <c r="B8608" s="35" t="s">
        <v>444</v>
      </c>
      <c r="C8608" s="6" t="s">
        <v>354</v>
      </c>
      <c r="D8608" s="6" t="s">
        <v>355</v>
      </c>
      <c r="E8608" s="6" t="s">
        <v>356</v>
      </c>
      <c r="F8608" s="6" t="s">
        <v>357</v>
      </c>
      <c r="G8608" s="6" t="s">
        <v>358</v>
      </c>
      <c r="H8608" s="6" t="s">
        <v>359</v>
      </c>
      <c r="I8608" s="6" t="s">
        <v>360</v>
      </c>
      <c r="J8608" s="6" t="s">
        <v>361</v>
      </c>
      <c r="K8608" s="6" t="s">
        <v>362</v>
      </c>
      <c r="L8608" s="6" t="s">
        <v>363</v>
      </c>
      <c r="M8608" s="6" t="s">
        <v>364</v>
      </c>
      <c r="N8608" s="6" t="s">
        <v>365</v>
      </c>
      <c r="P8608" s="6" t="s">
        <v>445</v>
      </c>
      <c r="Q8608" s="6" t="s">
        <v>446</v>
      </c>
      <c r="R8608" s="6" t="s">
        <v>447</v>
      </c>
      <c r="S8608" s="6" t="s">
        <v>448</v>
      </c>
    </row>
    <row r="8609" customFormat="false" ht="15" hidden="false" customHeight="false" outlineLevel="0" collapsed="false">
      <c r="A8609" s="4" t="s">
        <v>548</v>
      </c>
      <c r="B8609" s="36" t="s">
        <v>321</v>
      </c>
      <c r="C8609" s="48" t="n">
        <f aca="false">Assumptions!$D$97*C8551</f>
        <v>1</v>
      </c>
      <c r="D8609" s="48" t="n">
        <f aca="false">Assumptions!$D$97*D8551</f>
        <v>1</v>
      </c>
      <c r="E8609" s="48" t="n">
        <f aca="false">Assumptions!$D$97*E8551</f>
        <v>1</v>
      </c>
      <c r="F8609" s="48" t="n">
        <f aca="false">Assumptions!$D$97*F8551</f>
        <v>1</v>
      </c>
      <c r="G8609" s="48" t="n">
        <f aca="false">Assumptions!$D$97*G8551</f>
        <v>1</v>
      </c>
      <c r="H8609" s="48" t="n">
        <f aca="false">Assumptions!$D$97*H8551</f>
        <v>1</v>
      </c>
      <c r="I8609" s="48" t="n">
        <f aca="false">Assumptions!$D$97*I8551</f>
        <v>1</v>
      </c>
      <c r="J8609" s="48" t="n">
        <f aca="false">Assumptions!$D$97*J8551</f>
        <v>1</v>
      </c>
      <c r="K8609" s="48" t="n">
        <f aca="false">Assumptions!$D$97*K8551</f>
        <v>1</v>
      </c>
      <c r="L8609" s="48" t="n">
        <f aca="false">Assumptions!$D$97*L8551</f>
        <v>1</v>
      </c>
      <c r="M8609" s="48" t="n">
        <f aca="false">Assumptions!$D$97*M8551</f>
        <v>1</v>
      </c>
      <c r="N8609" s="48" t="n">
        <f aca="false">Assumptions!$D$97*N8551</f>
        <v>1</v>
      </c>
      <c r="P8609" s="49" t="n">
        <f aca="false">AVERAGE(C8609:F8609)</f>
        <v>1</v>
      </c>
      <c r="Q8609" s="49" t="n">
        <f aca="false">AVERAGE(G8609:J8609)</f>
        <v>1</v>
      </c>
      <c r="R8609" s="49" t="n">
        <f aca="false">AVERAGE(K8609:N8609)</f>
        <v>1</v>
      </c>
      <c r="S8609" s="50"/>
    </row>
    <row r="8610" customFormat="false" ht="15" hidden="false" customHeight="false" outlineLevel="0" collapsed="false">
      <c r="A8610" s="4" t="s">
        <v>549</v>
      </c>
      <c r="B8610" s="36" t="s">
        <v>321</v>
      </c>
      <c r="C8610" s="48" t="n">
        <f aca="false">C8564*C8551</f>
        <v>0</v>
      </c>
      <c r="D8610" s="48" t="n">
        <f aca="false">D8564*D8551</f>
        <v>0</v>
      </c>
      <c r="E8610" s="48" t="n">
        <f aca="false">E8564*E8551</f>
        <v>0</v>
      </c>
      <c r="F8610" s="48" t="n">
        <f aca="false">F8564*F8551</f>
        <v>0</v>
      </c>
      <c r="G8610" s="48" t="n">
        <f aca="false">G8564*G8551</f>
        <v>0</v>
      </c>
      <c r="H8610" s="48" t="n">
        <f aca="false">H8564*H8551</f>
        <v>0</v>
      </c>
      <c r="I8610" s="48" t="n">
        <f aca="false">I8564*I8551</f>
        <v>0</v>
      </c>
      <c r="J8610" s="48" t="n">
        <f aca="false">J8564*J8551</f>
        <v>0</v>
      </c>
      <c r="K8610" s="48" t="n">
        <f aca="false">K8564*K8551</f>
        <v>0</v>
      </c>
      <c r="L8610" s="48" t="n">
        <f aca="false">L8564*L8551</f>
        <v>0</v>
      </c>
      <c r="M8610" s="48" t="n">
        <f aca="false">M8564*M8551</f>
        <v>0</v>
      </c>
      <c r="N8610" s="48" t="n">
        <f aca="false">N8564*N8551</f>
        <v>0</v>
      </c>
      <c r="P8610" s="49" t="n">
        <f aca="false">AVERAGE(C8610:F8610)</f>
        <v>0</v>
      </c>
      <c r="Q8610" s="49" t="n">
        <f aca="false">AVERAGE(G8610:J8610)</f>
        <v>0</v>
      </c>
      <c r="R8610" s="49" t="n">
        <f aca="false">AVERAGE(K8610:N8610)</f>
        <v>0</v>
      </c>
      <c r="S8610" s="50"/>
    </row>
    <row r="8611" customFormat="false" ht="15" hidden="false" customHeight="false" outlineLevel="0" collapsed="false">
      <c r="A8611" s="4" t="s">
        <v>550</v>
      </c>
      <c r="B8611" s="36" t="s">
        <v>321</v>
      </c>
      <c r="C8611" s="48" t="n">
        <f aca="false">IF(C8550&lt;=4,Assumptions!$D$98,Assumptions!$D$99)*C8551</f>
        <v>0</v>
      </c>
      <c r="D8611" s="48" t="n">
        <f aca="false">IF(D8550&lt;=4,Assumptions!$D$98,Assumptions!$D$99)*D8551</f>
        <v>0</v>
      </c>
      <c r="E8611" s="48" t="n">
        <f aca="false">IF(E8550&lt;=4,Assumptions!$D$98,Assumptions!$D$99)*E8551</f>
        <v>0</v>
      </c>
      <c r="F8611" s="48" t="n">
        <f aca="false">IF(F8550&lt;=4,Assumptions!$D$98,Assumptions!$D$99)*F8551</f>
        <v>0</v>
      </c>
      <c r="G8611" s="48" t="n">
        <f aca="false">IF(G8550&lt;=4,Assumptions!$D$98,Assumptions!$D$99)*G8551</f>
        <v>0.5</v>
      </c>
      <c r="H8611" s="48" t="n">
        <f aca="false">IF(H8550&lt;=4,Assumptions!$D$98,Assumptions!$D$99)*H8551</f>
        <v>0.5</v>
      </c>
      <c r="I8611" s="48" t="n">
        <f aca="false">IF(I8550&lt;=4,Assumptions!$D$98,Assumptions!$D$99)*I8551</f>
        <v>0.5</v>
      </c>
      <c r="J8611" s="48" t="n">
        <f aca="false">IF(J8550&lt;=4,Assumptions!$D$98,Assumptions!$D$99)*J8551</f>
        <v>0.5</v>
      </c>
      <c r="K8611" s="48" t="n">
        <f aca="false">IF(K8550&lt;=4,Assumptions!$D$98,Assumptions!$D$99)*K8551</f>
        <v>0.5</v>
      </c>
      <c r="L8611" s="48" t="n">
        <f aca="false">IF(L8550&lt;=4,Assumptions!$D$98,Assumptions!$D$99)*L8551</f>
        <v>0.5</v>
      </c>
      <c r="M8611" s="48" t="n">
        <f aca="false">IF(M8550&lt;=4,Assumptions!$D$98,Assumptions!$D$99)*M8551</f>
        <v>0.5</v>
      </c>
      <c r="N8611" s="48" t="n">
        <f aca="false">IF(N8550&lt;=4,Assumptions!$D$98,Assumptions!$D$99)*N8551</f>
        <v>0.5</v>
      </c>
      <c r="P8611" s="49" t="n">
        <f aca="false">AVERAGE(C8611:F8611)</f>
        <v>0</v>
      </c>
      <c r="Q8611" s="49" t="n">
        <f aca="false">AVERAGE(G8611:J8611)</f>
        <v>0.5</v>
      </c>
      <c r="R8611" s="49" t="n">
        <f aca="false">AVERAGE(K8611:N8611)</f>
        <v>0.5</v>
      </c>
      <c r="S8611" s="50"/>
    </row>
    <row r="8612" customFormat="false" ht="15" hidden="false" customHeight="false" outlineLevel="0" collapsed="false">
      <c r="A8612" s="4" t="s">
        <v>551</v>
      </c>
      <c r="B8612" s="36" t="s">
        <v>321</v>
      </c>
      <c r="C8612" s="48" t="n">
        <f aca="false">IF(C8550&lt;=4,Assumptions!$D$100,Assumptions!$D$101)*C8551</f>
        <v>1</v>
      </c>
      <c r="D8612" s="48" t="n">
        <f aca="false">IF(D8550&lt;=4,Assumptions!$D$100,Assumptions!$D$101)*D8551</f>
        <v>1</v>
      </c>
      <c r="E8612" s="48" t="n">
        <f aca="false">IF(E8550&lt;=4,Assumptions!$D$100,Assumptions!$D$101)*E8551</f>
        <v>1</v>
      </c>
      <c r="F8612" s="48" t="n">
        <f aca="false">IF(F8550&lt;=4,Assumptions!$D$100,Assumptions!$D$101)*F8551</f>
        <v>1</v>
      </c>
      <c r="G8612" s="48" t="n">
        <f aca="false">IF(G8550&lt;=4,Assumptions!$D$100,Assumptions!$D$101)*G8551</f>
        <v>0.5</v>
      </c>
      <c r="H8612" s="48" t="n">
        <f aca="false">IF(H8550&lt;=4,Assumptions!$D$100,Assumptions!$D$101)*H8551</f>
        <v>0.5</v>
      </c>
      <c r="I8612" s="48" t="n">
        <f aca="false">IF(I8550&lt;=4,Assumptions!$D$100,Assumptions!$D$101)*I8551</f>
        <v>0.5</v>
      </c>
      <c r="J8612" s="48" t="n">
        <f aca="false">IF(J8550&lt;=4,Assumptions!$D$100,Assumptions!$D$101)*J8551</f>
        <v>0.5</v>
      </c>
      <c r="K8612" s="48" t="n">
        <f aca="false">IF(K8550&lt;=4,Assumptions!$D$100,Assumptions!$D$101)*K8551</f>
        <v>0.5</v>
      </c>
      <c r="L8612" s="48" t="n">
        <f aca="false">IF(L8550&lt;=4,Assumptions!$D$100,Assumptions!$D$101)*L8551</f>
        <v>0.5</v>
      </c>
      <c r="M8612" s="48" t="n">
        <f aca="false">IF(M8550&lt;=4,Assumptions!$D$100,Assumptions!$D$101)*M8551</f>
        <v>0.5</v>
      </c>
      <c r="N8612" s="48" t="n">
        <f aca="false">IF(N8550&lt;=4,Assumptions!$D$100,Assumptions!$D$101)*N8551</f>
        <v>0.5</v>
      </c>
      <c r="P8612" s="49" t="n">
        <f aca="false">AVERAGE(C8612:F8612)</f>
        <v>1</v>
      </c>
      <c r="Q8612" s="49" t="n">
        <f aca="false">AVERAGE(G8612:J8612)</f>
        <v>0.5</v>
      </c>
      <c r="R8612" s="49" t="n">
        <f aca="false">AVERAGE(K8612:N8612)</f>
        <v>0.5</v>
      </c>
      <c r="S8612" s="50"/>
    </row>
    <row r="8613" customFormat="false" ht="15" hidden="false" customHeight="false" outlineLevel="0" collapsed="false">
      <c r="A8613" s="4" t="s">
        <v>552</v>
      </c>
      <c r="B8613" s="36" t="s">
        <v>321</v>
      </c>
      <c r="C8613" s="48" t="n">
        <f aca="false">Assumptions!$D$102*C8551</f>
        <v>0.25</v>
      </c>
      <c r="D8613" s="48" t="n">
        <f aca="false">Assumptions!$D$102*D8551</f>
        <v>0.25</v>
      </c>
      <c r="E8613" s="48" t="n">
        <f aca="false">Assumptions!$D$102*E8551</f>
        <v>0.25</v>
      </c>
      <c r="F8613" s="48" t="n">
        <f aca="false">Assumptions!$D$102*F8551</f>
        <v>0.25</v>
      </c>
      <c r="G8613" s="48" t="n">
        <f aca="false">Assumptions!$D$102*G8551</f>
        <v>0.25</v>
      </c>
      <c r="H8613" s="48" t="n">
        <f aca="false">Assumptions!$D$102*H8551</f>
        <v>0.25</v>
      </c>
      <c r="I8613" s="48" t="n">
        <f aca="false">Assumptions!$D$102*I8551</f>
        <v>0.25</v>
      </c>
      <c r="J8613" s="48" t="n">
        <f aca="false">Assumptions!$D$102*J8551</f>
        <v>0.25</v>
      </c>
      <c r="K8613" s="48" t="n">
        <f aca="false">Assumptions!$D$102*K8551</f>
        <v>0.25</v>
      </c>
      <c r="L8613" s="48" t="n">
        <f aca="false">Assumptions!$D$102*L8551</f>
        <v>0.25</v>
      </c>
      <c r="M8613" s="48" t="n">
        <f aca="false">Assumptions!$D$102*M8551</f>
        <v>0.25</v>
      </c>
      <c r="N8613" s="48" t="n">
        <f aca="false">Assumptions!$D$102*N8551</f>
        <v>0.25</v>
      </c>
      <c r="P8613" s="49" t="n">
        <f aca="false">AVERAGE(C8613:F8613)</f>
        <v>0.25</v>
      </c>
      <c r="Q8613" s="49" t="n">
        <f aca="false">AVERAGE(G8613:J8613)</f>
        <v>0.25</v>
      </c>
      <c r="R8613" s="49" t="n">
        <f aca="false">AVERAGE(K8613:N8613)</f>
        <v>0.25</v>
      </c>
      <c r="S8613" s="50"/>
    </row>
    <row r="8614" customFormat="false" ht="15" hidden="false" customHeight="false" outlineLevel="0" collapsed="false">
      <c r="A8614" s="4" t="s">
        <v>553</v>
      </c>
      <c r="B8614" s="36" t="s">
        <v>321</v>
      </c>
      <c r="C8614" s="48" t="n">
        <f aca="false">(C8598+C8599)/Assumptions!$E$74+C8597/Assumptions!$E$75</f>
        <v>0</v>
      </c>
      <c r="D8614" s="48" t="n">
        <f aca="false">(D8598+D8599)/Assumptions!$E$74+D8597/Assumptions!$E$75</f>
        <v>0.0102268786695814</v>
      </c>
      <c r="E8614" s="48" t="n">
        <f aca="false">(E8598+E8599)/Assumptions!$E$74+E8597/Assumptions!$E$75</f>
        <v>0.0287499611976999</v>
      </c>
      <c r="F8614" s="48" t="n">
        <f aca="false">(F8598+F8599)/Assumptions!$E$74+F8597/Assumptions!$E$75</f>
        <v>0.049497254715265</v>
      </c>
      <c r="G8614" s="48" t="n">
        <f aca="false">(G8598+G8599)/Assumptions!$E$74+G8597/Assumptions!$E$75</f>
        <v>0.0717679122850366</v>
      </c>
      <c r="H8614" s="48" t="n">
        <f aca="false">(H8598+H8599)/Assumptions!$E$74+H8597/Assumptions!$E$75</f>
        <v>0.0993461737337454</v>
      </c>
      <c r="I8614" s="48" t="n">
        <f aca="false">(I8598+I8599)/Assumptions!$E$74+I8597/Assumptions!$E$75</f>
        <v>0.131968628575105</v>
      </c>
      <c r="J8614" s="48" t="n">
        <f aca="false">(J8598+J8599)/Assumptions!$E$74+J8597/Assumptions!$E$75</f>
        <v>0.177481343004619</v>
      </c>
      <c r="K8614" s="48" t="n">
        <f aca="false">(K8598+K8599)/Assumptions!$E$74+K8597/Assumptions!$E$75</f>
        <v>0.235156336754663</v>
      </c>
      <c r="L8614" s="48" t="n">
        <f aca="false">(L8598+L8599)/Assumptions!$E$74+L8597/Assumptions!$E$75</f>
        <v>0.292794620032706</v>
      </c>
      <c r="M8614" s="48" t="n">
        <f aca="false">(M8598+M8599)/Assumptions!$E$74+M8597/Assumptions!$E$75</f>
        <v>0.347210369610753</v>
      </c>
      <c r="N8614" s="48" t="n">
        <f aca="false">(N8598+N8599)/Assumptions!$E$74+N8597/Assumptions!$E$75</f>
        <v>0.398395409350061</v>
      </c>
      <c r="P8614" s="49" t="n">
        <f aca="false">AVERAGE(C8614:F8614)</f>
        <v>0.0221185236456365</v>
      </c>
      <c r="Q8614" s="49" t="n">
        <f aca="false">AVERAGE(G8614:J8614)</f>
        <v>0.120141014399626</v>
      </c>
      <c r="R8614" s="49" t="n">
        <f aca="false">AVERAGE(K8614:N8614)</f>
        <v>0.318389183937046</v>
      </c>
      <c r="S8614" s="50"/>
    </row>
    <row r="8615" customFormat="false" ht="15" hidden="false" customHeight="false" outlineLevel="0" collapsed="false">
      <c r="A8615" s="4" t="s">
        <v>554</v>
      </c>
      <c r="B8615" s="36" t="s">
        <v>125</v>
      </c>
      <c r="C8615" s="54" t="n">
        <f aca="false">(C8609+C8611)*Assumptions!$E$70/Assumptions!$E$69/4</f>
        <v>66753.5714285714</v>
      </c>
      <c r="D8615" s="54" t="n">
        <f aca="false">(D8609+D8611)*Assumptions!$E$70/Assumptions!$E$69/4</f>
        <v>66753.5714285714</v>
      </c>
      <c r="E8615" s="54" t="n">
        <f aca="false">(E8609+E8611)*Assumptions!$E$70/Assumptions!$E$69/4</f>
        <v>66753.5714285714</v>
      </c>
      <c r="F8615" s="54" t="n">
        <f aca="false">(F8609+F8611)*Assumptions!$E$70/Assumptions!$E$69/4</f>
        <v>66753.5714285714</v>
      </c>
      <c r="G8615" s="54" t="n">
        <f aca="false">(G8609+G8611)*Assumptions!$E$70/Assumptions!$E$69/4</f>
        <v>100130.357142857</v>
      </c>
      <c r="H8615" s="54" t="n">
        <f aca="false">(H8609+H8611)*Assumptions!$E$70/Assumptions!$E$69/4</f>
        <v>100130.357142857</v>
      </c>
      <c r="I8615" s="54" t="n">
        <f aca="false">(I8609+I8611)*Assumptions!$E$70/Assumptions!$E$69/4</f>
        <v>100130.357142857</v>
      </c>
      <c r="J8615" s="54" t="n">
        <f aca="false">(J8609+J8611)*Assumptions!$E$70/Assumptions!$E$69/4</f>
        <v>100130.357142857</v>
      </c>
      <c r="K8615" s="54" t="n">
        <f aca="false">(K8609+K8611)*Assumptions!$E$70/Assumptions!$E$69/4</f>
        <v>100130.357142857</v>
      </c>
      <c r="L8615" s="54" t="n">
        <f aca="false">(L8609+L8611)*Assumptions!$E$70/Assumptions!$E$69/4</f>
        <v>100130.357142857</v>
      </c>
      <c r="M8615" s="54" t="n">
        <f aca="false">(M8609+M8611)*Assumptions!$E$70/Assumptions!$E$69/4</f>
        <v>100130.357142857</v>
      </c>
      <c r="N8615" s="54" t="n">
        <f aca="false">(N8609+N8611)*Assumptions!$E$70/Assumptions!$E$69/4</f>
        <v>100130.357142857</v>
      </c>
      <c r="P8615" s="55" t="n">
        <f aca="false">SUM(C8615:F8615)</f>
        <v>267014.285714286</v>
      </c>
      <c r="Q8615" s="55" t="n">
        <f aca="false">SUM(G8615:J8615)</f>
        <v>400521.428571429</v>
      </c>
      <c r="R8615" s="55" t="n">
        <f aca="false">SUM(K8615:N8615)</f>
        <v>400521.428571429</v>
      </c>
      <c r="S8615" s="56" t="n">
        <f aca="false">SUM(P8615:R8615)</f>
        <v>1068057.14285714</v>
      </c>
    </row>
    <row r="8616" customFormat="false" ht="15" hidden="false" customHeight="false" outlineLevel="0" collapsed="false">
      <c r="A8616" s="4" t="s">
        <v>555</v>
      </c>
      <c r="B8616" s="36" t="s">
        <v>125</v>
      </c>
      <c r="C8616" s="54" t="n">
        <f aca="false">C8610*$C$8545/4</f>
        <v>0</v>
      </c>
      <c r="D8616" s="54" t="n">
        <f aca="false">D8610*$C$8545/4</f>
        <v>0</v>
      </c>
      <c r="E8616" s="54" t="n">
        <f aca="false">E8610*$C$8545/4</f>
        <v>0</v>
      </c>
      <c r="F8616" s="54" t="n">
        <f aca="false">F8610*$C$8545/4</f>
        <v>0</v>
      </c>
      <c r="G8616" s="54" t="n">
        <f aca="false">G8610*$C$8545/4</f>
        <v>0</v>
      </c>
      <c r="H8616" s="54" t="n">
        <f aca="false">H8610*$C$8545/4</f>
        <v>0</v>
      </c>
      <c r="I8616" s="54" t="n">
        <f aca="false">I8610*$C$8545/4</f>
        <v>0</v>
      </c>
      <c r="J8616" s="54" t="n">
        <f aca="false">J8610*$C$8545/4</f>
        <v>0</v>
      </c>
      <c r="K8616" s="54" t="n">
        <f aca="false">K8610*$C$8545/4</f>
        <v>0</v>
      </c>
      <c r="L8616" s="54" t="n">
        <f aca="false">L8610*$C$8545/4</f>
        <v>0</v>
      </c>
      <c r="M8616" s="54" t="n">
        <f aca="false">M8610*$C$8545/4</f>
        <v>0</v>
      </c>
      <c r="N8616" s="54" t="n">
        <f aca="false">N8610*$C$8545/4</f>
        <v>0</v>
      </c>
      <c r="P8616" s="55" t="n">
        <f aca="false">SUM(C8616:F8616)</f>
        <v>0</v>
      </c>
      <c r="Q8616" s="55" t="n">
        <f aca="false">SUM(G8616:J8616)</f>
        <v>0</v>
      </c>
      <c r="R8616" s="55" t="n">
        <f aca="false">SUM(K8616:N8616)</f>
        <v>0</v>
      </c>
      <c r="S8616" s="56" t="n">
        <f aca="false">SUM(P8616:R8616)</f>
        <v>0</v>
      </c>
    </row>
    <row r="8617" customFormat="false" ht="15" hidden="false" customHeight="false" outlineLevel="0" collapsed="false">
      <c r="A8617" s="4" t="s">
        <v>556</v>
      </c>
      <c r="B8617" s="36" t="s">
        <v>125</v>
      </c>
      <c r="C8617" s="54" t="n">
        <f aca="false">MAX(0,(C8605-C8586*$C$8541)-C8565*$C$8546)*$C$8547*Assumptions!$D$105</f>
        <v>0</v>
      </c>
      <c r="D8617" s="54" t="n">
        <f aca="false">MAX(0,(D8605-D8586*$C$8541)-D8565*$C$8546)*$C$8547*Assumptions!$D$105</f>
        <v>4612.99753557553</v>
      </c>
      <c r="E8617" s="54" t="n">
        <f aca="false">MAX(0,(E8605-E8586*$C$8541)-E8565*$C$8546)*$C$8547*Assumptions!$D$105</f>
        <v>11574.9166837954</v>
      </c>
      <c r="F8617" s="54" t="n">
        <f aca="false">MAX(0,(F8605-F8586*$C$8541)-F8565*$C$8546)*$C$8547*Assumptions!$D$105</f>
        <v>15011.7497179505</v>
      </c>
      <c r="G8617" s="54" t="n">
        <f aca="false">MAX(0,(G8605-G8586*$C$8541)-G8565*$C$8546)*$C$8547*Assumptions!$D$105</f>
        <v>16496.3517966928</v>
      </c>
      <c r="H8617" s="54" t="n">
        <f aca="false">MAX(0,(H8605-H8586*$C$8541)-H8565*$C$8546)*$C$8547*Assumptions!$D$105</f>
        <v>19715.4769851662</v>
      </c>
      <c r="I8617" s="54" t="n">
        <f aca="false">MAX(0,(I8605-I8586*$C$8541)-I8565*$C$8546)*$C$8547*Assumptions!$D$105</f>
        <v>23474.2555465957</v>
      </c>
      <c r="J8617" s="54" t="n">
        <f aca="false">MAX(0,(J8605-J8586*$C$8541)-J8565*$C$8546)*$C$8547*Assumptions!$D$105</f>
        <v>30765.4222507041</v>
      </c>
      <c r="K8617" s="54" t="n">
        <f aca="false">MAX(0,(K8605-K8586*$C$8541)-K8565*$C$8546)*$C$8547*Assumptions!$D$105</f>
        <v>39653.5950393177</v>
      </c>
      <c r="L8617" s="54" t="n">
        <f aca="false">MAX(0,(L8605-L8586*$C$8541)-L8565*$C$8546)*$C$8547*Assumptions!$D$105</f>
        <v>43023.5322792035</v>
      </c>
      <c r="M8617" s="54" t="n">
        <f aca="false">MAX(0,(M8605-M8586*$C$8541)-M8565*$C$8546)*$C$8547*Assumptions!$D$105</f>
        <v>42367.9342676396</v>
      </c>
      <c r="N8617" s="54" t="n">
        <f aca="false">MAX(0,(N8605-N8586*$C$8541)-N8565*$C$8546)*$C$8547*Assumptions!$D$105</f>
        <v>41144.2963947315</v>
      </c>
      <c r="P8617" s="55" t="n">
        <f aca="false">SUM(C8617:F8617)</f>
        <v>31199.6639373214</v>
      </c>
      <c r="Q8617" s="55" t="n">
        <f aca="false">SUM(G8617:J8617)</f>
        <v>90451.5065791589</v>
      </c>
      <c r="R8617" s="55" t="n">
        <f aca="false">SUM(K8617:N8617)</f>
        <v>166189.357980892</v>
      </c>
      <c r="S8617" s="56" t="n">
        <f aca="false">SUM(P8617:R8617)</f>
        <v>287840.528497373</v>
      </c>
    </row>
    <row r="8618" customFormat="false" ht="15" hidden="false" customHeight="false" outlineLevel="0" collapsed="false">
      <c r="A8618" s="4" t="s">
        <v>557</v>
      </c>
      <c r="B8618" s="36" t="s">
        <v>125</v>
      </c>
      <c r="C8618" s="54" t="n">
        <f aca="false">C8613*Assumptions!$E$71/Assumptions!$E$69/4</f>
        <v>18475.8928571429</v>
      </c>
      <c r="D8618" s="54" t="n">
        <f aca="false">D8613*Assumptions!$E$71/Assumptions!$E$69/4</f>
        <v>18475.8928571429</v>
      </c>
      <c r="E8618" s="54" t="n">
        <f aca="false">E8613*Assumptions!$E$71/Assumptions!$E$69/4</f>
        <v>18475.8928571429</v>
      </c>
      <c r="F8618" s="54" t="n">
        <f aca="false">F8613*Assumptions!$E$71/Assumptions!$E$69/4</f>
        <v>18475.8928571429</v>
      </c>
      <c r="G8618" s="54" t="n">
        <f aca="false">G8613*Assumptions!$E$71/Assumptions!$E$69/4</f>
        <v>18475.8928571429</v>
      </c>
      <c r="H8618" s="54" t="n">
        <f aca="false">H8613*Assumptions!$E$71/Assumptions!$E$69/4</f>
        <v>18475.8928571429</v>
      </c>
      <c r="I8618" s="54" t="n">
        <f aca="false">I8613*Assumptions!$E$71/Assumptions!$E$69/4</f>
        <v>18475.8928571429</v>
      </c>
      <c r="J8618" s="54" t="n">
        <f aca="false">J8613*Assumptions!$E$71/Assumptions!$E$69/4</f>
        <v>18475.8928571429</v>
      </c>
      <c r="K8618" s="54" t="n">
        <f aca="false">K8613*Assumptions!$E$71/Assumptions!$E$69/4</f>
        <v>18475.8928571429</v>
      </c>
      <c r="L8618" s="54" t="n">
        <f aca="false">L8613*Assumptions!$E$71/Assumptions!$E$69/4</f>
        <v>18475.8928571429</v>
      </c>
      <c r="M8618" s="54" t="n">
        <f aca="false">M8613*Assumptions!$E$71/Assumptions!$E$69/4</f>
        <v>18475.8928571429</v>
      </c>
      <c r="N8618" s="54" t="n">
        <f aca="false">N8613*Assumptions!$E$71/Assumptions!$E$69/4</f>
        <v>18475.8928571429</v>
      </c>
      <c r="P8618" s="55" t="n">
        <f aca="false">SUM(C8618:F8618)</f>
        <v>73903.5714285714</v>
      </c>
      <c r="Q8618" s="55" t="n">
        <f aca="false">SUM(G8618:J8618)</f>
        <v>73903.5714285714</v>
      </c>
      <c r="R8618" s="55" t="n">
        <f aca="false">SUM(K8618:N8618)</f>
        <v>73903.5714285714</v>
      </c>
      <c r="S8618" s="56" t="n">
        <f aca="false">SUM(P8618:R8618)</f>
        <v>221710.714285714</v>
      </c>
    </row>
    <row r="8619" customFormat="false" ht="15" hidden="false" customHeight="false" outlineLevel="0" collapsed="false">
      <c r="A8619" s="4" t="s">
        <v>558</v>
      </c>
      <c r="B8619" s="36" t="s">
        <v>125</v>
      </c>
      <c r="C8619" s="54" t="n">
        <f aca="false">(Assumptions!$D$103+Assumptions!$E$77*((C8550=Assumptions!$E$13)+(C8550=Assumptions!$E$14)+(C8550=Assumptions!$E$15)))*C8551</f>
        <v>65000</v>
      </c>
      <c r="D8619" s="54" t="n">
        <f aca="false">(Assumptions!$D$103+Assumptions!$E$77*((D8550=Assumptions!$E$13)+(D8550=Assumptions!$E$14)+(D8550=Assumptions!$E$15)))*D8551</f>
        <v>25000</v>
      </c>
      <c r="E8619" s="54" t="n">
        <f aca="false">(Assumptions!$D$103+Assumptions!$E$77*((E8550=Assumptions!$E$13)+(E8550=Assumptions!$E$14)+(E8550=Assumptions!$E$15)))*E8551</f>
        <v>25000</v>
      </c>
      <c r="F8619" s="54" t="n">
        <f aca="false">(Assumptions!$D$103+Assumptions!$E$77*((F8550=Assumptions!$E$13)+(F8550=Assumptions!$E$14)+(F8550=Assumptions!$E$15)))*F8551</f>
        <v>25000</v>
      </c>
      <c r="G8619" s="54" t="n">
        <f aca="false">(Assumptions!$D$103+Assumptions!$E$77*((G8550=Assumptions!$E$13)+(G8550=Assumptions!$E$14)+(G8550=Assumptions!$E$15)))*G8551</f>
        <v>65000</v>
      </c>
      <c r="H8619" s="54" t="n">
        <f aca="false">(Assumptions!$D$103+Assumptions!$E$77*((H8550=Assumptions!$E$13)+(H8550=Assumptions!$E$14)+(H8550=Assumptions!$E$15)))*H8551</f>
        <v>25000</v>
      </c>
      <c r="I8619" s="54" t="n">
        <f aca="false">(Assumptions!$D$103+Assumptions!$E$77*((I8550=Assumptions!$E$13)+(I8550=Assumptions!$E$14)+(I8550=Assumptions!$E$15)))*I8551</f>
        <v>65000</v>
      </c>
      <c r="J8619" s="54" t="n">
        <f aca="false">(Assumptions!$D$103+Assumptions!$E$77*((J8550=Assumptions!$E$13)+(J8550=Assumptions!$E$14)+(J8550=Assumptions!$E$15)))*J8551</f>
        <v>25000</v>
      </c>
      <c r="K8619" s="54" t="n">
        <f aca="false">(Assumptions!$D$103+Assumptions!$E$77*((K8550=Assumptions!$E$13)+(K8550=Assumptions!$E$14)+(K8550=Assumptions!$E$15)))*K8551</f>
        <v>25000</v>
      </c>
      <c r="L8619" s="54" t="n">
        <f aca="false">(Assumptions!$D$103+Assumptions!$E$77*((L8550=Assumptions!$E$13)+(L8550=Assumptions!$E$14)+(L8550=Assumptions!$E$15)))*L8551</f>
        <v>25000</v>
      </c>
      <c r="M8619" s="54" t="n">
        <f aca="false">(Assumptions!$D$103+Assumptions!$E$77*((M8550=Assumptions!$E$13)+(M8550=Assumptions!$E$14)+(M8550=Assumptions!$E$15)))*M8551</f>
        <v>25000</v>
      </c>
      <c r="N8619" s="54" t="n">
        <f aca="false">(Assumptions!$D$103+Assumptions!$E$77*((N8550=Assumptions!$E$13)+(N8550=Assumptions!$E$14)+(N8550=Assumptions!$E$15)))*N8551</f>
        <v>25000</v>
      </c>
      <c r="P8619" s="55" t="n">
        <f aca="false">SUM(C8619:F8619)</f>
        <v>140000</v>
      </c>
      <c r="Q8619" s="55" t="n">
        <f aca="false">SUM(G8619:J8619)</f>
        <v>180000</v>
      </c>
      <c r="R8619" s="55" t="n">
        <f aca="false">SUM(K8619:N8619)</f>
        <v>100000</v>
      </c>
      <c r="S8619" s="56" t="n">
        <f aca="false">SUM(P8619:R8619)</f>
        <v>420000</v>
      </c>
    </row>
    <row r="8620" customFormat="false" ht="15" hidden="false" customHeight="false" outlineLevel="0" collapsed="false">
      <c r="A8620" s="4" t="s">
        <v>559</v>
      </c>
      <c r="B8620" s="36" t="s">
        <v>125</v>
      </c>
      <c r="C8620" s="54" t="n">
        <f aca="false">C8605*C8585*Assumptions!$E$79</f>
        <v>0</v>
      </c>
      <c r="D8620" s="54" t="n">
        <f aca="false">D8605*D8585*Assumptions!$E$79</f>
        <v>999.625335096836</v>
      </c>
      <c r="E8620" s="54" t="n">
        <f aca="false">E8605*E8585*Assumptions!$E$79</f>
        <v>2131.4848367709</v>
      </c>
      <c r="F8620" s="54" t="n">
        <f aca="false">F8605*F8585*Assumptions!$E$79</f>
        <v>3308.37539089896</v>
      </c>
      <c r="G8620" s="54" t="n">
        <f aca="false">G8605*G8585*Assumptions!$E$79</f>
        <v>4147.0740165075</v>
      </c>
      <c r="H8620" s="54" t="n">
        <f aca="false">H8605*H8585*Assumptions!$E$79</f>
        <v>4691.12001638367</v>
      </c>
      <c r="I8620" s="54" t="n">
        <f aca="false">I8605*I8585*Assumptions!$E$79</f>
        <v>5431.87513811045</v>
      </c>
      <c r="J8620" s="54" t="n">
        <f aca="false">J8605*J8585*Assumptions!$E$79</f>
        <v>5671.40543697333</v>
      </c>
      <c r="K8620" s="54" t="n">
        <f aca="false">K8605*K8585*Assumptions!$E$79</f>
        <v>6422.10433618479</v>
      </c>
      <c r="L8620" s="54" t="n">
        <f aca="false">L8605*L8585*Assumptions!$E$79</f>
        <v>7650.36645001276</v>
      </c>
      <c r="M8620" s="54" t="n">
        <f aca="false">M8605*M8585*Assumptions!$E$79</f>
        <v>7756.55983627784</v>
      </c>
      <c r="N8620" s="54" t="n">
        <f aca="false">N8605*N8585*Assumptions!$E$79</f>
        <v>7752.92025179812</v>
      </c>
      <c r="P8620" s="55" t="n">
        <f aca="false">SUM(C8620:F8620)</f>
        <v>6439.48556276669</v>
      </c>
      <c r="Q8620" s="55" t="n">
        <f aca="false">SUM(G8620:J8620)</f>
        <v>19941.4746079749</v>
      </c>
      <c r="R8620" s="55" t="n">
        <f aca="false">SUM(K8620:N8620)</f>
        <v>29581.9508742735</v>
      </c>
      <c r="S8620" s="56" t="n">
        <f aca="false">SUM(P8620:R8620)</f>
        <v>55962.9110450151</v>
      </c>
    </row>
    <row r="8621" customFormat="false" ht="15" hidden="false" customHeight="false" outlineLevel="0" collapsed="false">
      <c r="A8621" s="4" t="s">
        <v>560</v>
      </c>
      <c r="B8621" s="36" t="s">
        <v>125</v>
      </c>
      <c r="C8621" s="54" t="n">
        <f aca="false">C8570*Assumptions!$E$80</f>
        <v>4000</v>
      </c>
      <c r="D8621" s="54" t="n">
        <f aca="false">D8570*Assumptions!$E$80</f>
        <v>6000</v>
      </c>
      <c r="E8621" s="54" t="n">
        <f aca="false">E8570*Assumptions!$E$80</f>
        <v>8000</v>
      </c>
      <c r="F8621" s="54" t="n">
        <f aca="false">F8570*Assumptions!$E$80</f>
        <v>10000</v>
      </c>
      <c r="G8621" s="54" t="n">
        <f aca="false">G8570*Assumptions!$E$80</f>
        <v>12000</v>
      </c>
      <c r="H8621" s="54" t="n">
        <f aca="false">H8570*Assumptions!$E$80</f>
        <v>14000</v>
      </c>
      <c r="I8621" s="54" t="n">
        <f aca="false">I8570*Assumptions!$E$80</f>
        <v>16000</v>
      </c>
      <c r="J8621" s="54" t="n">
        <f aca="false">J8570*Assumptions!$E$80</f>
        <v>18000</v>
      </c>
      <c r="K8621" s="54" t="n">
        <f aca="false">K8570*Assumptions!$E$80</f>
        <v>20000</v>
      </c>
      <c r="L8621" s="54" t="n">
        <f aca="false">L8570*Assumptions!$E$80</f>
        <v>20000</v>
      </c>
      <c r="M8621" s="54" t="n">
        <f aca="false">M8570*Assumptions!$E$80</f>
        <v>20000</v>
      </c>
      <c r="N8621" s="54" t="n">
        <f aca="false">N8570*Assumptions!$E$80</f>
        <v>20000</v>
      </c>
      <c r="P8621" s="55" t="n">
        <f aca="false">SUM(C8621:F8621)</f>
        <v>28000</v>
      </c>
      <c r="Q8621" s="55" t="n">
        <f aca="false">SUM(G8621:J8621)</f>
        <v>60000</v>
      </c>
      <c r="R8621" s="55" t="n">
        <f aca="false">SUM(K8621:N8621)</f>
        <v>80000</v>
      </c>
      <c r="S8621" s="56" t="n">
        <f aca="false">SUM(P8621:R8621)</f>
        <v>168000</v>
      </c>
    </row>
    <row r="8622" customFormat="false" ht="15" hidden="false" customHeight="false" outlineLevel="0" collapsed="false">
      <c r="A8622" s="4" t="s">
        <v>561</v>
      </c>
      <c r="B8622" s="36" t="s">
        <v>125</v>
      </c>
      <c r="C8622" s="54" t="n">
        <f aca="false">(C8593*$C$8542+C8594*$C$8543)*Assumptions!$E$81</f>
        <v>0</v>
      </c>
      <c r="D8622" s="54" t="n">
        <f aca="false">(D8593*$C$8542+D8594*$C$8543)*Assumptions!$E$81</f>
        <v>1135.60351493672</v>
      </c>
      <c r="E8622" s="54" t="n">
        <f aca="false">(E8593*$C$8542+E8594*$C$8543)*Assumptions!$E$81</f>
        <v>3125.96527413916</v>
      </c>
      <c r="F8622" s="54" t="n">
        <f aca="false">(F8593*$C$8542+F8594*$C$8543)*Assumptions!$E$81</f>
        <v>4169.47875376419</v>
      </c>
      <c r="G8622" s="54" t="n">
        <f aca="false">(G8593*$C$8542+G8594*$C$8543)*Assumptions!$E$81</f>
        <v>4583.96387729936</v>
      </c>
      <c r="H8622" s="54" t="n">
        <f aca="false">(H8593*$C$8542+H8594*$C$8543)*Assumptions!$E$81</f>
        <v>5412.44507985611</v>
      </c>
      <c r="I8622" s="54" t="n">
        <f aca="false">(I8593*$C$8542+I8594*$C$8543)*Assumptions!$E$81</f>
        <v>6428.08847823962</v>
      </c>
      <c r="J8622" s="54" t="n">
        <f aca="false">(J8593*$C$8542+J8594*$C$8543)*Assumptions!$E$81</f>
        <v>8234.94588715197</v>
      </c>
      <c r="K8622" s="54" t="n">
        <f aca="false">(K8593*$C$8542+K8594*$C$8543)*Assumptions!$E$81</f>
        <v>10606.3652793226</v>
      </c>
      <c r="L8622" s="54" t="n">
        <f aca="false">(L8593*$C$8542+L8594*$C$8543)*Assumptions!$E$81</f>
        <v>11674.7711754229</v>
      </c>
      <c r="M8622" s="54" t="n">
        <f aca="false">(M8593*$C$8542+M8594*$C$8543)*Assumptions!$E$81</f>
        <v>11527.9109030425</v>
      </c>
      <c r="N8622" s="54" t="n">
        <f aca="false">(N8593*$C$8542+N8594*$C$8543)*Assumptions!$E$81</f>
        <v>11193.9521143678</v>
      </c>
      <c r="P8622" s="55" t="n">
        <f aca="false">SUM(C8622:F8622)</f>
        <v>8431.04754284008</v>
      </c>
      <c r="Q8622" s="55" t="n">
        <f aca="false">SUM(G8622:J8622)</f>
        <v>24659.4433225471</v>
      </c>
      <c r="R8622" s="55" t="n">
        <f aca="false">SUM(K8622:N8622)</f>
        <v>45002.9994721559</v>
      </c>
      <c r="S8622" s="56" t="n">
        <f aca="false">SUM(P8622:R8622)</f>
        <v>78093.490337543</v>
      </c>
    </row>
    <row r="8623" customFormat="false" ht="15" hidden="false" customHeight="false" outlineLevel="0" collapsed="false">
      <c r="A8623" s="9" t="s">
        <v>562</v>
      </c>
      <c r="B8623" s="36" t="s">
        <v>125</v>
      </c>
      <c r="C8623" s="55" t="n">
        <f aca="false">C8615+C8616+C8617+C8618+C8619+C8620+C8621+C8622</f>
        <v>154229.464285714</v>
      </c>
      <c r="D8623" s="55" t="n">
        <f aca="false">D8615+D8616+D8617+D8618+D8619+D8620+D8621+D8622</f>
        <v>122977.690671323</v>
      </c>
      <c r="E8623" s="55" t="n">
        <f aca="false">E8615+E8616+E8617+E8618+E8619+E8620+E8621+E8622</f>
        <v>135061.83108042</v>
      </c>
      <c r="F8623" s="55" t="n">
        <f aca="false">F8615+F8616+F8617+F8618+F8619+F8620+F8621+F8622</f>
        <v>142719.068148328</v>
      </c>
      <c r="G8623" s="55" t="n">
        <f aca="false">G8615+G8616+G8617+G8618+G8619+G8620+G8621+G8622</f>
        <v>220833.6396905</v>
      </c>
      <c r="H8623" s="55" t="n">
        <f aca="false">H8615+H8616+H8617+H8618+H8619+H8620+H8621+H8622</f>
        <v>187425.292081406</v>
      </c>
      <c r="I8623" s="55" t="n">
        <f aca="false">I8615+I8616+I8617+I8618+I8619+I8620+I8621+I8622</f>
        <v>234940.469162946</v>
      </c>
      <c r="J8623" s="55" t="n">
        <f aca="false">J8615+J8616+J8617+J8618+J8619+J8620+J8621+J8622</f>
        <v>206278.023574829</v>
      </c>
      <c r="K8623" s="55" t="n">
        <f aca="false">K8615+K8616+K8617+K8618+K8619+K8620+K8621+K8622</f>
        <v>220288.314654825</v>
      </c>
      <c r="L8623" s="55" t="n">
        <f aca="false">L8615+L8616+L8617+L8618+L8619+L8620+L8621+L8622</f>
        <v>225954.919904639</v>
      </c>
      <c r="M8623" s="55" t="n">
        <f aca="false">M8615+M8616+M8617+M8618+M8619+M8620+M8621+M8622</f>
        <v>225258.65500696</v>
      </c>
      <c r="N8623" s="55" t="n">
        <f aca="false">N8615+N8616+N8617+N8618+N8619+N8620+N8621+N8622</f>
        <v>223697.418760897</v>
      </c>
      <c r="P8623" s="55" t="n">
        <f aca="false">SUM(C8623:F8623)</f>
        <v>554988.054185785</v>
      </c>
      <c r="Q8623" s="55" t="n">
        <f aca="false">SUM(G8623:J8623)</f>
        <v>849477.424509681</v>
      </c>
      <c r="R8623" s="55" t="n">
        <f aca="false">SUM(K8623:N8623)</f>
        <v>895199.308327322</v>
      </c>
      <c r="S8623" s="56" t="n">
        <f aca="false">SUM(P8623:R8623)</f>
        <v>2299664.78702279</v>
      </c>
    </row>
    <row r="8624" customFormat="false" ht="15" hidden="false" customHeight="false" outlineLevel="0" collapsed="false">
      <c r="A8624" s="4" t="s">
        <v>563</v>
      </c>
      <c r="B8624" s="36" t="s">
        <v>125</v>
      </c>
      <c r="C8624" s="54" t="n">
        <f aca="false">C8612*Assumptions!$E$72/Assumptions!$E$69/4</f>
        <v>56535.7142857143</v>
      </c>
      <c r="D8624" s="54" t="n">
        <f aca="false">D8612*Assumptions!$E$72/Assumptions!$E$69/4</f>
        <v>56535.7142857143</v>
      </c>
      <c r="E8624" s="54" t="n">
        <f aca="false">E8612*Assumptions!$E$72/Assumptions!$E$69/4</f>
        <v>56535.7142857143</v>
      </c>
      <c r="F8624" s="54" t="n">
        <f aca="false">F8612*Assumptions!$E$72/Assumptions!$E$69/4</f>
        <v>56535.7142857143</v>
      </c>
      <c r="G8624" s="54" t="n">
        <f aca="false">G8612*Assumptions!$E$72/Assumptions!$E$69/4</f>
        <v>28267.8571428571</v>
      </c>
      <c r="H8624" s="54" t="n">
        <f aca="false">H8612*Assumptions!$E$72/Assumptions!$E$69/4</f>
        <v>28267.8571428571</v>
      </c>
      <c r="I8624" s="54" t="n">
        <f aca="false">I8612*Assumptions!$E$72/Assumptions!$E$69/4</f>
        <v>28267.8571428571</v>
      </c>
      <c r="J8624" s="54" t="n">
        <f aca="false">J8612*Assumptions!$E$72/Assumptions!$E$69/4</f>
        <v>28267.8571428571</v>
      </c>
      <c r="K8624" s="54" t="n">
        <f aca="false">K8612*Assumptions!$E$72/Assumptions!$E$69/4</f>
        <v>28267.8571428571</v>
      </c>
      <c r="L8624" s="54" t="n">
        <f aca="false">L8612*Assumptions!$E$72/Assumptions!$E$69/4</f>
        <v>28267.8571428571</v>
      </c>
      <c r="M8624" s="54" t="n">
        <f aca="false">M8612*Assumptions!$E$72/Assumptions!$E$69/4</f>
        <v>28267.8571428571</v>
      </c>
      <c r="N8624" s="54" t="n">
        <f aca="false">N8612*Assumptions!$E$72/Assumptions!$E$69/4</f>
        <v>28267.8571428571</v>
      </c>
      <c r="P8624" s="55" t="n">
        <f aca="false">SUM(C8624:F8624)</f>
        <v>226142.857142857</v>
      </c>
      <c r="Q8624" s="55" t="n">
        <f aca="false">SUM(G8624:J8624)</f>
        <v>113071.428571429</v>
      </c>
      <c r="R8624" s="55" t="n">
        <f aca="false">SUM(K8624:N8624)</f>
        <v>113071.428571429</v>
      </c>
      <c r="S8624" s="56" t="n">
        <f aca="false">SUM(P8624:R8624)</f>
        <v>452285.714285714</v>
      </c>
    </row>
    <row r="8625" customFormat="false" ht="15" hidden="false" customHeight="false" outlineLevel="0" collapsed="false">
      <c r="A8625" s="4" t="s">
        <v>564</v>
      </c>
      <c r="B8625" s="36" t="s">
        <v>125</v>
      </c>
      <c r="C8625" s="54" t="n">
        <f aca="false">IF(C8550&lt;=Assumptions!$E$83,Assumptions!$E$82*Assumptions!$D$108/Assumptions!$E$83,0)</f>
        <v>62500</v>
      </c>
      <c r="D8625" s="54" t="n">
        <f aca="false">IF(D8550&lt;=Assumptions!$E$83,Assumptions!$E$82*Assumptions!$D$108/Assumptions!$E$83,0)</f>
        <v>62500</v>
      </c>
      <c r="E8625" s="54" t="n">
        <f aca="false">IF(E8550&lt;=Assumptions!$E$83,Assumptions!$E$82*Assumptions!$D$108/Assumptions!$E$83,0)</f>
        <v>62500</v>
      </c>
      <c r="F8625" s="54" t="n">
        <f aca="false">IF(F8550&lt;=Assumptions!$E$83,Assumptions!$E$82*Assumptions!$D$108/Assumptions!$E$83,0)</f>
        <v>62500</v>
      </c>
      <c r="G8625" s="54" t="n">
        <f aca="false">IF(G8550&lt;=Assumptions!$E$83,Assumptions!$E$82*Assumptions!$D$108/Assumptions!$E$83,0)</f>
        <v>0</v>
      </c>
      <c r="H8625" s="54" t="n">
        <f aca="false">IF(H8550&lt;=Assumptions!$E$83,Assumptions!$E$82*Assumptions!$D$108/Assumptions!$E$83,0)</f>
        <v>0</v>
      </c>
      <c r="I8625" s="54" t="n">
        <f aca="false">IF(I8550&lt;=Assumptions!$E$83,Assumptions!$E$82*Assumptions!$D$108/Assumptions!$E$83,0)</f>
        <v>0</v>
      </c>
      <c r="J8625" s="54" t="n">
        <f aca="false">IF(J8550&lt;=Assumptions!$E$83,Assumptions!$E$82*Assumptions!$D$108/Assumptions!$E$83,0)</f>
        <v>0</v>
      </c>
      <c r="K8625" s="54" t="n">
        <f aca="false">IF(K8550&lt;=Assumptions!$E$83,Assumptions!$E$82*Assumptions!$D$108/Assumptions!$E$83,0)</f>
        <v>0</v>
      </c>
      <c r="L8625" s="54" t="n">
        <f aca="false">IF(L8550&lt;=Assumptions!$E$83,Assumptions!$E$82*Assumptions!$D$108/Assumptions!$E$83,0)</f>
        <v>0</v>
      </c>
      <c r="M8625" s="54" t="n">
        <f aca="false">IF(M8550&lt;=Assumptions!$E$83,Assumptions!$E$82*Assumptions!$D$108/Assumptions!$E$83,0)</f>
        <v>0</v>
      </c>
      <c r="N8625" s="54" t="n">
        <f aca="false">IF(N8550&lt;=Assumptions!$E$83,Assumptions!$E$82*Assumptions!$D$108/Assumptions!$E$83,0)</f>
        <v>0</v>
      </c>
      <c r="P8625" s="55" t="n">
        <f aca="false">SUM(C8625:F8625)</f>
        <v>250000</v>
      </c>
      <c r="Q8625" s="55" t="n">
        <f aca="false">SUM(G8625:J8625)</f>
        <v>0</v>
      </c>
      <c r="R8625" s="55" t="n">
        <f aca="false">SUM(K8625:N8625)</f>
        <v>0</v>
      </c>
      <c r="S8625" s="56" t="n">
        <f aca="false">SUM(P8625:R8625)</f>
        <v>250000</v>
      </c>
    </row>
    <row r="8626" customFormat="false" ht="15" hidden="false" customHeight="false" outlineLevel="0" collapsed="false">
      <c r="A8626" s="4" t="s">
        <v>565</v>
      </c>
      <c r="B8626" s="36" t="s">
        <v>125</v>
      </c>
      <c r="C8626" s="54" t="n">
        <f aca="false">C8614*Assumptions!$E$73/Assumptions!$E$69/4</f>
        <v>0</v>
      </c>
      <c r="D8626" s="54" t="n">
        <f aca="false">D8614*Assumptions!$E$73/Assumptions!$E$69/4</f>
        <v>410.937899683786</v>
      </c>
      <c r="E8626" s="54" t="n">
        <f aca="false">E8614*Assumptions!$E$73/Assumptions!$E$69/4</f>
        <v>1155.23504798329</v>
      </c>
      <c r="F8626" s="54" t="n">
        <f aca="false">F8614*Assumptions!$E$73/Assumptions!$E$69/4</f>
        <v>1988.90576000517</v>
      </c>
      <c r="G8626" s="54" t="n">
        <f aca="false">G8614*Assumptions!$E$73/Assumptions!$E$69/4</f>
        <v>2883.78850399624</v>
      </c>
      <c r="H8626" s="54" t="n">
        <f aca="false">H8614*Assumptions!$E$73/Assumptions!$E$69/4</f>
        <v>3991.94214527989</v>
      </c>
      <c r="I8626" s="54" t="n">
        <f aca="false">I8614*Assumptions!$E$73/Assumptions!$E$69/4</f>
        <v>5302.78228606608</v>
      </c>
      <c r="J8626" s="54" t="n">
        <f aca="false">J8614*Assumptions!$E$73/Assumptions!$E$69/4</f>
        <v>7131.58067908916</v>
      </c>
      <c r="K8626" s="54" t="n">
        <f aca="false">K8614*Assumptions!$E$73/Assumptions!$E$69/4</f>
        <v>9449.08551723827</v>
      </c>
      <c r="L8626" s="54" t="n">
        <f aca="false">L8614*Assumptions!$E$73/Assumptions!$E$69/4</f>
        <v>11765.115249957</v>
      </c>
      <c r="M8626" s="54" t="n">
        <f aca="false">M8614*Assumptions!$E$73/Assumptions!$E$69/4</f>
        <v>13951.6566731807</v>
      </c>
      <c r="N8626" s="54" t="n">
        <f aca="false">N8614*Assumptions!$E$73/Assumptions!$E$69/4</f>
        <v>16008.381252134</v>
      </c>
      <c r="P8626" s="55" t="n">
        <f aca="false">SUM(C8626:F8626)</f>
        <v>3555.07870767224</v>
      </c>
      <c r="Q8626" s="55" t="n">
        <f aca="false">SUM(G8626:J8626)</f>
        <v>19310.0936144314</v>
      </c>
      <c r="R8626" s="55" t="n">
        <f aca="false">SUM(K8626:N8626)</f>
        <v>51174.23869251</v>
      </c>
      <c r="S8626" s="56" t="n">
        <f aca="false">SUM(P8626:R8626)</f>
        <v>74039.4110146136</v>
      </c>
    </row>
    <row r="8627" customFormat="false" ht="15" hidden="false" customHeight="false" outlineLevel="0" collapsed="false">
      <c r="A8627" s="9" t="s">
        <v>566</v>
      </c>
      <c r="B8627" s="36" t="s">
        <v>125</v>
      </c>
      <c r="C8627" s="55" t="n">
        <f aca="false">C8623+C8624+C8625+C8626</f>
        <v>273265.178571429</v>
      </c>
      <c r="D8627" s="55" t="n">
        <f aca="false">D8623+D8624+D8625+D8626</f>
        <v>242424.342856721</v>
      </c>
      <c r="E8627" s="55" t="n">
        <f aca="false">E8623+E8624+E8625+E8626</f>
        <v>255252.780414117</v>
      </c>
      <c r="F8627" s="55" t="n">
        <f aca="false">F8623+F8624+F8625+F8626</f>
        <v>263743.688194047</v>
      </c>
      <c r="G8627" s="55" t="n">
        <f aca="false">G8623+G8624+G8625+G8626</f>
        <v>251985.285337353</v>
      </c>
      <c r="H8627" s="55" t="n">
        <f aca="false">H8623+H8624+H8625+H8626</f>
        <v>219685.091369543</v>
      </c>
      <c r="I8627" s="55" t="n">
        <f aca="false">I8623+I8624+I8625+I8626</f>
        <v>268511.108591869</v>
      </c>
      <c r="J8627" s="55" t="n">
        <f aca="false">J8623+J8624+J8625+J8626</f>
        <v>241677.461396776</v>
      </c>
      <c r="K8627" s="55" t="n">
        <f aca="false">K8623+K8624+K8625+K8626</f>
        <v>258005.25731492</v>
      </c>
      <c r="L8627" s="55" t="n">
        <f aca="false">L8623+L8624+L8625+L8626</f>
        <v>265987.892297453</v>
      </c>
      <c r="M8627" s="55" t="n">
        <f aca="false">M8623+M8624+M8625+M8626</f>
        <v>267478.168822998</v>
      </c>
      <c r="N8627" s="55" t="n">
        <f aca="false">N8623+N8624+N8625+N8626</f>
        <v>267973.657155889</v>
      </c>
      <c r="P8627" s="55" t="n">
        <f aca="false">SUM(C8627:F8627)</f>
        <v>1034685.99003631</v>
      </c>
      <c r="Q8627" s="55" t="n">
        <f aca="false">SUM(G8627:J8627)</f>
        <v>981858.946695541</v>
      </c>
      <c r="R8627" s="55" t="n">
        <f aca="false">SUM(K8627:N8627)</f>
        <v>1059444.97559126</v>
      </c>
      <c r="S8627" s="56" t="n">
        <f aca="false">SUM(P8627:R8627)</f>
        <v>3075989.91232312</v>
      </c>
    </row>
    <row r="8628" customFormat="false" ht="15" hidden="false" customHeight="false" outlineLevel="0" collapsed="false">
      <c r="A8628" s="35" t="s">
        <v>567</v>
      </c>
      <c r="B8628" s="35" t="s">
        <v>444</v>
      </c>
      <c r="C8628" s="6" t="s">
        <v>354</v>
      </c>
      <c r="D8628" s="6" t="s">
        <v>355</v>
      </c>
      <c r="E8628" s="6" t="s">
        <v>356</v>
      </c>
      <c r="F8628" s="6" t="s">
        <v>357</v>
      </c>
      <c r="G8628" s="6" t="s">
        <v>358</v>
      </c>
      <c r="H8628" s="6" t="s">
        <v>359</v>
      </c>
      <c r="I8628" s="6" t="s">
        <v>360</v>
      </c>
      <c r="J8628" s="6" t="s">
        <v>361</v>
      </c>
      <c r="K8628" s="6" t="s">
        <v>362</v>
      </c>
      <c r="L8628" s="6" t="s">
        <v>363</v>
      </c>
      <c r="M8628" s="6" t="s">
        <v>364</v>
      </c>
      <c r="N8628" s="6" t="s">
        <v>365</v>
      </c>
      <c r="P8628" s="6" t="s">
        <v>445</v>
      </c>
      <c r="Q8628" s="6" t="s">
        <v>446</v>
      </c>
      <c r="R8628" s="6" t="s">
        <v>447</v>
      </c>
      <c r="S8628" s="6" t="s">
        <v>448</v>
      </c>
    </row>
    <row r="8629" customFormat="false" ht="15" hidden="false" customHeight="false" outlineLevel="0" collapsed="false">
      <c r="A8629" s="9" t="s">
        <v>568</v>
      </c>
      <c r="B8629" s="36" t="s">
        <v>125</v>
      </c>
      <c r="C8629" s="55" t="n">
        <f aca="false">C8607-C8627</f>
        <v>-273265.178571429</v>
      </c>
      <c r="D8629" s="55" t="n">
        <f aca="false">D8607-D8627</f>
        <v>-241540.121573853</v>
      </c>
      <c r="E8629" s="55" t="n">
        <f aca="false">E8607-E8627</f>
        <v>-251320.817387709</v>
      </c>
      <c r="F8629" s="55" t="n">
        <f aca="false">F8607-F8627</f>
        <v>-254833.426760582</v>
      </c>
      <c r="G8629" s="55" t="n">
        <f aca="false">G8607-G8627</f>
        <v>-237115.097668582</v>
      </c>
      <c r="H8629" s="55" t="n">
        <f aca="false">H8607-H8627</f>
        <v>-197851.416296275</v>
      </c>
      <c r="I8629" s="55" t="n">
        <f aca="false">I8607-I8627</f>
        <v>-238265.843080946</v>
      </c>
      <c r="J8629" s="55" t="n">
        <f aca="false">J8607-J8627</f>
        <v>-200760.284125917</v>
      </c>
      <c r="K8629" s="55" t="n">
        <f aca="false">K8607-K8627</f>
        <v>-203157.338878388</v>
      </c>
      <c r="L8629" s="55" t="n">
        <f aca="false">L8607-L8627</f>
        <v>-194698.680293074</v>
      </c>
      <c r="M8629" s="55" t="n">
        <f aca="false">M8607-M8627</f>
        <v>-178968.737546707</v>
      </c>
      <c r="N8629" s="55" t="n">
        <f aca="false">N8607-N8627</f>
        <v>-162254.090440748</v>
      </c>
      <c r="P8629" s="55" t="n">
        <f aca="false">SUM(C8629:F8629)</f>
        <v>-1020959.54429357</v>
      </c>
      <c r="Q8629" s="55" t="n">
        <f aca="false">SUM(G8629:J8629)</f>
        <v>-873992.64117172</v>
      </c>
      <c r="R8629" s="55" t="n">
        <f aca="false">SUM(K8629:N8629)</f>
        <v>-739078.847158917</v>
      </c>
      <c r="S8629" s="56" t="n">
        <f aca="false">SUM(P8629:R8629)</f>
        <v>-2634031.03262421</v>
      </c>
    </row>
    <row r="8630" customFormat="false" ht="15" hidden="false" customHeight="false" outlineLevel="0" collapsed="false">
      <c r="A8630" s="9" t="s">
        <v>569</v>
      </c>
      <c r="B8630" s="36" t="s">
        <v>125</v>
      </c>
      <c r="C8630" s="55" t="n">
        <f aca="false">0+C8629</f>
        <v>-273265.178571429</v>
      </c>
      <c r="D8630" s="55" t="n">
        <f aca="false">C8630+D8629</f>
        <v>-514805.300145282</v>
      </c>
      <c r="E8630" s="55" t="n">
        <f aca="false">D8630+E8629</f>
        <v>-766126.117532991</v>
      </c>
      <c r="F8630" s="55" t="n">
        <f aca="false">E8630+F8629</f>
        <v>-1020959.54429357</v>
      </c>
      <c r="G8630" s="55" t="n">
        <f aca="false">F8630+G8629</f>
        <v>-1258074.64196216</v>
      </c>
      <c r="H8630" s="55" t="n">
        <f aca="false">G8630+H8629</f>
        <v>-1455926.05825843</v>
      </c>
      <c r="I8630" s="55" t="n">
        <f aca="false">H8630+I8629</f>
        <v>-1694191.90133938</v>
      </c>
      <c r="J8630" s="55" t="n">
        <f aca="false">I8630+J8629</f>
        <v>-1894952.18546529</v>
      </c>
      <c r="K8630" s="55" t="n">
        <f aca="false">J8630+K8629</f>
        <v>-2098109.52434368</v>
      </c>
      <c r="L8630" s="55" t="n">
        <f aca="false">K8630+L8629</f>
        <v>-2292808.20463676</v>
      </c>
      <c r="M8630" s="55" t="n">
        <f aca="false">L8630+M8629</f>
        <v>-2471776.94218346</v>
      </c>
      <c r="N8630" s="55" t="n">
        <f aca="false">M8630+N8629</f>
        <v>-2634031.03262421</v>
      </c>
      <c r="P8630" s="55" t="n">
        <f aca="false">F8630</f>
        <v>-1020959.54429357</v>
      </c>
      <c r="Q8630" s="55" t="n">
        <f aca="false">J8630</f>
        <v>-1894952.18546529</v>
      </c>
      <c r="R8630" s="55" t="n">
        <f aca="false">N8630</f>
        <v>-2634031.03262421</v>
      </c>
      <c r="S8630" s="56" t="n">
        <f aca="false">R8630</f>
        <v>-2634031.03262421</v>
      </c>
    </row>
    <row r="8631" customFormat="false" ht="15" hidden="false" customHeight="false" outlineLevel="0" collapsed="false">
      <c r="A8631" s="4" t="s">
        <v>570</v>
      </c>
      <c r="B8631" s="36" t="s">
        <v>107</v>
      </c>
      <c r="C8631" s="57" t="n">
        <f aca="false">1/(1+Assumptions!$E$87)^(C8550/4)</f>
        <v>0.972065420906982</v>
      </c>
      <c r="D8631" s="57" t="n">
        <f aca="false">1/(1+Assumptions!$E$87)^(D8550/4)</f>
        <v>0.944911182523068</v>
      </c>
      <c r="E8631" s="57" t="n">
        <f aca="false">1/(1+Assumptions!$E$87)^(E8550/4)</f>
        <v>0.918515486359</v>
      </c>
      <c r="F8631" s="57" t="n">
        <f aca="false">1/(1+Assumptions!$E$87)^(F8550/4)</f>
        <v>0.892857142857143</v>
      </c>
      <c r="G8631" s="57" t="n">
        <f aca="false">1/(1+Assumptions!$E$87)^(G8550/4)</f>
        <v>0.867915554381234</v>
      </c>
      <c r="H8631" s="57" t="n">
        <f aca="false">1/(1+Assumptions!$E$87)^(H8550/4)</f>
        <v>0.843670698681311</v>
      </c>
      <c r="I8631" s="57" t="n">
        <f aca="false">1/(1+Assumptions!$E$87)^(I8550/4)</f>
        <v>0.820103112820536</v>
      </c>
      <c r="J8631" s="57" t="n">
        <f aca="false">1/(1+Assumptions!$E$87)^(J8550/4)</f>
        <v>0.79719387755102</v>
      </c>
      <c r="K8631" s="57" t="n">
        <f aca="false">1/(1+Assumptions!$E$87)^(K8550/4)</f>
        <v>0.774924602126102</v>
      </c>
      <c r="L8631" s="57" t="n">
        <f aca="false">1/(1+Assumptions!$E$87)^(L8550/4)</f>
        <v>0.753277409536885</v>
      </c>
      <c r="M8631" s="57" t="n">
        <f aca="false">1/(1+Assumptions!$E$87)^(M8550/4)</f>
        <v>0.732234922161193</v>
      </c>
      <c r="N8631" s="57" t="n">
        <f aca="false">1/(1+Assumptions!$E$87)^(N8550/4)</f>
        <v>0.711780247813411</v>
      </c>
      <c r="P8631" s="58"/>
      <c r="Q8631" s="58"/>
      <c r="R8631" s="58"/>
      <c r="S8631" s="59"/>
    </row>
    <row r="8632" customFormat="false" ht="15" hidden="false" customHeight="false" outlineLevel="0" collapsed="false">
      <c r="A8632" s="4" t="s">
        <v>571</v>
      </c>
      <c r="B8632" s="36" t="s">
        <v>125</v>
      </c>
      <c r="C8632" s="54" t="n">
        <f aca="false">(C8607*(1-Assumptions!$E$88)-C8627)*C8631</f>
        <v>-265631.630827257</v>
      </c>
      <c r="D8632" s="54" t="n">
        <f aca="false">(D8607*(1-Assumptions!$E$88)-D8627)*D8631</f>
        <v>-228401.064018717</v>
      </c>
      <c r="E8632" s="54" t="n">
        <f aca="false">(E8607*(1-Assumptions!$E$88)-E8627)*E8631</f>
        <v>-231564.376601322</v>
      </c>
      <c r="F8632" s="54" t="n">
        <f aca="false">(F8607*(1-Assumptions!$E$88)-F8627)*F8631</f>
        <v>-229120.963435067</v>
      </c>
      <c r="G8632" s="54" t="n">
        <f aca="false">(G8607*(1-Assumptions!$E$88)-G8627)*G8631</f>
        <v>-208377.094880046</v>
      </c>
      <c r="H8632" s="54" t="n">
        <f aca="false">(H8607*(1-Assumptions!$E$88)-H8627)*H8631</f>
        <v>-170605.529002534</v>
      </c>
      <c r="I8632" s="54" t="n">
        <f aca="false">(I8607*(1-Assumptions!$E$88)-I8627)*I8631</f>
        <v>-200363.406868212</v>
      </c>
      <c r="J8632" s="54" t="n">
        <f aca="false">(J8607*(1-Assumptions!$E$88)-J8627)*J8631</f>
        <v>-166568.654001984</v>
      </c>
      <c r="K8632" s="54" t="n">
        <f aca="false">(K8607*(1-Assumptions!$E$88)-K8627)*K8631</f>
        <v>-165932.220273707</v>
      </c>
      <c r="L8632" s="54" t="n">
        <f aca="false">(L8607*(1-Assumptions!$E$88)-L8627)*L8631</f>
        <v>-157402.228120734</v>
      </c>
      <c r="M8632" s="54" t="n">
        <f aca="false">(M8607*(1-Assumptions!$E$88)-M8627)*M8631</f>
        <v>-144009.098911025</v>
      </c>
      <c r="N8632" s="54" t="n">
        <f aca="false">(N8607*(1-Assumptions!$E$88)-N8627)*N8631</f>
        <v>-130539.076581701</v>
      </c>
      <c r="P8632" s="55" t="n">
        <f aca="false">SUM(C8632:F8632)</f>
        <v>-954718.034882364</v>
      </c>
      <c r="Q8632" s="55" t="n">
        <f aca="false">SUM(G8632:J8632)</f>
        <v>-745914.684752776</v>
      </c>
      <c r="R8632" s="55" t="n">
        <f aca="false">SUM(K8632:N8632)</f>
        <v>-597882.623887168</v>
      </c>
      <c r="S8632" s="56" t="n">
        <f aca="false">SUM(P8632:R8632)</f>
        <v>-2298515.34352231</v>
      </c>
    </row>
    <row r="8633" customFormat="false" ht="15" hidden="false" customHeight="false" outlineLevel="0" collapsed="false">
      <c r="A8633" s="4" t="s">
        <v>572</v>
      </c>
      <c r="B8633" s="36" t="s">
        <v>125</v>
      </c>
      <c r="C8633" s="54" t="n">
        <f aca="false">(C8627-C8626)*12/(Assumptions!$E$89*Assumptions!$E$76)*Assumptions!$E$90</f>
        <v>189183.585164835</v>
      </c>
      <c r="D8633" s="54" t="n">
        <f aca="false">(D8627-D8626)*12/(Assumptions!$E$89*Assumptions!$E$76)*Assumptions!$E$90</f>
        <v>167547.741893334</v>
      </c>
      <c r="E8633" s="54" t="n">
        <f aca="false">(E8627-E8626)*12/(Assumptions!$E$89*Assumptions!$E$76)*Assumptions!$E$90</f>
        <v>175913.685253477</v>
      </c>
      <c r="F8633" s="54" t="n">
        <f aca="false">(F8627-F8626)*12/(Assumptions!$E$89*Assumptions!$E$76)*Assumptions!$E$90</f>
        <v>181214.849377414</v>
      </c>
      <c r="G8633" s="54" t="n">
        <f aca="false">(G8627-G8626)*12/(Assumptions!$E$89*Assumptions!$E$76)*Assumptions!$E$90</f>
        <v>172454.882423093</v>
      </c>
      <c r="H8633" s="54" t="n">
        <f aca="false">(H8627-H8626)*12/(Assumptions!$E$89*Assumptions!$E$76)*Assumptions!$E$90</f>
        <v>149326.026386028</v>
      </c>
      <c r="I8633" s="54" t="n">
        <f aca="false">(I8627-I8626)*12/(Assumptions!$E$89*Assumptions!$E$76)*Assumptions!$E$90</f>
        <v>182221.148980941</v>
      </c>
      <c r="J8633" s="54" t="n">
        <f aca="false">(J8627-J8626)*12/(Assumptions!$E$89*Assumptions!$E$76)*Assumptions!$E$90</f>
        <v>162377.917419937</v>
      </c>
      <c r="K8633" s="54" t="n">
        <f aca="false">(K8627-K8626)*12/(Assumptions!$E$89*Assumptions!$E$76)*Assumptions!$E$90</f>
        <v>172077.349706088</v>
      </c>
      <c r="L8633" s="54" t="n">
        <f aca="false">(L8627-L8626)*12/(Assumptions!$E$89*Assumptions!$E$76)*Assumptions!$E$90</f>
        <v>176000.384109805</v>
      </c>
      <c r="M8633" s="54" t="n">
        <f aca="false">(M8627-M8626)*12/(Assumptions!$E$89*Assumptions!$E$76)*Assumptions!$E$90</f>
        <v>175518.354565258</v>
      </c>
      <c r="N8633" s="54" t="n">
        <f aca="false">(N8627-N8626)*12/(Assumptions!$E$89*Assumptions!$E$76)*Assumptions!$E$90</f>
        <v>174437.498702599</v>
      </c>
      <c r="P8633" s="55" t="n">
        <f aca="false">SUM(C8633:F8633)</f>
        <v>713859.86168906</v>
      </c>
      <c r="Q8633" s="55" t="n">
        <f aca="false">SUM(G8633:J8633)</f>
        <v>666379.975209999</v>
      </c>
      <c r="R8633" s="55" t="n">
        <f aca="false">SUM(K8633:N8633)</f>
        <v>698033.58708375</v>
      </c>
      <c r="S8633" s="56" t="n">
        <f aca="false">SUM(P8633:R8633)</f>
        <v>2078273.42398281</v>
      </c>
    </row>
    <row r="8634" customFormat="false" ht="15" hidden="false" customHeight="false" outlineLevel="0" collapsed="false">
      <c r="A8634" s="4" t="s">
        <v>573</v>
      </c>
      <c r="B8634" s="36" t="s">
        <v>125</v>
      </c>
      <c r="C8634" s="54" t="n">
        <f aca="false">0*Assumptions!$E$92^(1/4)+C8633</f>
        <v>189183.585164835</v>
      </c>
      <c r="D8634" s="54" t="n">
        <f aca="false">C8634*Assumptions!$E$92^(1/4)+D8633</f>
        <v>357202.522700348</v>
      </c>
      <c r="E8634" s="54" t="n">
        <f aca="false">D8634*Assumptions!$E$92^(1/4)+E8633</f>
        <v>534005.884888139</v>
      </c>
      <c r="F8634" s="54" t="n">
        <f aca="false">E8634*Assumptions!$E$92^(1/4)+F8633</f>
        <v>716550.771676769</v>
      </c>
      <c r="G8634" s="54" t="n">
        <f aca="false">F8634*Assumptions!$E$92^(1/4)+G8633</f>
        <v>890790.352284538</v>
      </c>
      <c r="H8634" s="54" t="n">
        <f aca="false">G8634*Assumptions!$E$92^(1/4)+H8633</f>
        <v>1042335.0517744</v>
      </c>
      <c r="I8634" s="54" t="n">
        <f aca="false">H8634*Assumptions!$E$92^(1/4)+I8633</f>
        <v>1227152.32310739</v>
      </c>
      <c r="J8634" s="54" t="n">
        <f aca="false">I8634*Assumptions!$E$92^(1/4)+J8633</f>
        <v>1392586.68343401</v>
      </c>
      <c r="K8634" s="54" t="n">
        <f aca="false">J8634*Assumptions!$E$92^(1/4)+K8633</f>
        <v>1568132.51998592</v>
      </c>
      <c r="L8634" s="54" t="n">
        <f aca="false">K8634*Assumptions!$E$92^(1/4)+L8633</f>
        <v>1748038.61932537</v>
      </c>
      <c r="M8634" s="54" t="n">
        <f aca="false">L8634*Assumptions!$E$92^(1/4)+M8633</f>
        <v>1927910.77752042</v>
      </c>
      <c r="N8634" s="54" t="n">
        <f aca="false">M8634*Assumptions!$E$92^(1/4)+N8633</f>
        <v>2107150.08371644</v>
      </c>
      <c r="P8634" s="55" t="n">
        <f aca="false">F8634</f>
        <v>716550.771676769</v>
      </c>
      <c r="Q8634" s="55" t="n">
        <f aca="false">J8634</f>
        <v>1392586.68343401</v>
      </c>
      <c r="R8634" s="55" t="n">
        <f aca="false">N8634</f>
        <v>2107150.08371644</v>
      </c>
      <c r="S8634" s="56" t="n">
        <f aca="false">R8634</f>
        <v>2107150.08371644</v>
      </c>
    </row>
    <row r="8635" customFormat="false" ht="15" hidden="false" customHeight="false" outlineLevel="0" collapsed="false">
      <c r="A8635" s="4" t="s">
        <v>574</v>
      </c>
      <c r="B8635" s="36" t="s">
        <v>125</v>
      </c>
      <c r="C8635" s="54" t="n">
        <f aca="false">(0+C8634)/8*Assumptions!$E$76-(C8627-C8626)-C8634*Assumptions!$E$93/4</f>
        <v>-260258.807091346</v>
      </c>
      <c r="D8635" s="54" t="n">
        <f aca="false">(C8634+D8634)/8*Assumptions!$E$76-(D8627-D8626)-D8634*Assumptions!$E$93/4</f>
        <v>-202084.565226746</v>
      </c>
      <c r="E8635" s="54" t="n">
        <f aca="false">(D8634+E8634)/8*Assumptions!$E$76-(E8627-E8626)-E8634*Assumptions!$E$93/4</f>
        <v>-188361.935810671</v>
      </c>
      <c r="F8635" s="54" t="n">
        <f aca="false">(E8634+F8634)/8*Assumptions!$E$76-(F8627-F8626)-F8634*Assumptions!$E$93/4</f>
        <v>-169103.938734103</v>
      </c>
      <c r="G8635" s="54" t="n">
        <f aca="false">(F8634+G8634)/8*Assumptions!$E$76-(G8627-G8626)-G8634*Assumptions!$E$93/4</f>
        <v>-129639.909915057</v>
      </c>
      <c r="H8635" s="54" t="n">
        <f aca="false">(G8634+H8634)/8*Assumptions!$E$76-(H8627-H8626)-H8634*Assumptions!$E$93/4</f>
        <v>-71655.8982916545</v>
      </c>
      <c r="I8635" s="54" t="n">
        <f aca="false">(H8634+I8634)/8*Assumptions!$E$76-(I8627-I8626)-I8634*Assumptions!$E$93/4</f>
        <v>-94151.8811355003</v>
      </c>
      <c r="J8635" s="54" t="n">
        <f aca="false">(I8634+J8634)/8*Assumptions!$E$76-(J8627-J8626)-J8634*Assumptions!$E$93/4</f>
        <v>-39099.4199791235</v>
      </c>
      <c r="K8635" s="54" t="n">
        <f aca="false">(J8634+K8634)/8*Assumptions!$E$76-(K8627-K8626)-K8634*Assumptions!$E$93/4</f>
        <v>-27599.3930196369</v>
      </c>
      <c r="L8635" s="54" t="n">
        <f aca="false">(K8634+L8634)/8*Assumptions!$E$76-(L8627-L8626)-L8634*Assumptions!$E$93/4</f>
        <v>-6634.35472002082</v>
      </c>
      <c r="M8635" s="54" t="n">
        <f aca="false">(L8634+M8634)/8*Assumptions!$E$76-(M8627-M8626)-M8634*Assumptions!$E$93/4</f>
        <v>21045.491624898</v>
      </c>
      <c r="N8635" s="54" t="n">
        <f aca="false">(M8634+N8634)/8*Assumptions!$E$76-(N8627-N8626)-N8634*Assumptions!$E$93/4</f>
        <v>49544.0430252848</v>
      </c>
      <c r="P8635" s="55" t="n">
        <f aca="false">SUM(C8635:F8635)</f>
        <v>-819809.246862867</v>
      </c>
      <c r="Q8635" s="55" t="n">
        <f aca="false">SUM(G8635:J8635)</f>
        <v>-334547.109321336</v>
      </c>
      <c r="R8635" s="55" t="n">
        <f aca="false">SUM(K8635:N8635)</f>
        <v>36355.786910525</v>
      </c>
      <c r="S8635" s="56" t="n">
        <f aca="false">SUM(P8635:R8635)</f>
        <v>-1118000.56927368</v>
      </c>
    </row>
    <row r="8636" customFormat="false" ht="15" hidden="false" customHeight="false" outlineLevel="0" collapsed="false">
      <c r="A8636" s="4" t="s">
        <v>575</v>
      </c>
      <c r="B8636" s="36" t="s">
        <v>125</v>
      </c>
      <c r="C8636" s="54" t="n">
        <f aca="false">C8635*C8631</f>
        <v>-252988.586859998</v>
      </c>
      <c r="D8636" s="54" t="n">
        <f aca="false">D8635*D8631</f>
        <v>-190951.965498065</v>
      </c>
      <c r="E8636" s="54" t="n">
        <f aca="false">E8635*E8631</f>
        <v>-173013.355082662</v>
      </c>
      <c r="F8636" s="54" t="n">
        <f aca="false">F8635*F8631</f>
        <v>-150985.659584021</v>
      </c>
      <c r="G8636" s="54" t="n">
        <f aca="false">G8635*G8631</f>
        <v>-112516.49428386</v>
      </c>
      <c r="H8636" s="54" t="n">
        <f aca="false">H8635*H8631</f>
        <v>-60453.9817763571</v>
      </c>
      <c r="I8636" s="54" t="n">
        <f aca="false">I8635*I8631</f>
        <v>-77214.2507971329</v>
      </c>
      <c r="J8636" s="54" t="n">
        <f aca="false">J8635*J8631</f>
        <v>-31169.8182231533</v>
      </c>
      <c r="K8636" s="54" t="n">
        <f aca="false">K8635*K8631</f>
        <v>-21387.448654664</v>
      </c>
      <c r="L8636" s="54" t="n">
        <f aca="false">L8635*L8631</f>
        <v>-4997.50953744609</v>
      </c>
      <c r="M8636" s="54" t="n">
        <f aca="false">M8635*M8631</f>
        <v>15410.2439218012</v>
      </c>
      <c r="N8636" s="54" t="n">
        <f aca="false">N8635*N8631</f>
        <v>35264.4712222155</v>
      </c>
      <c r="P8636" s="55" t="n">
        <f aca="false">SUM(C8636:F8636)</f>
        <v>-767939.567024745</v>
      </c>
      <c r="Q8636" s="55" t="n">
        <f aca="false">SUM(G8636:J8636)</f>
        <v>-281354.545080503</v>
      </c>
      <c r="R8636" s="55" t="n">
        <f aca="false">SUM(K8636:N8636)</f>
        <v>24289.7569519066</v>
      </c>
      <c r="S8636" s="56" t="n">
        <f aca="false">SUM(P8636:R8636)</f>
        <v>-1025004.35515334</v>
      </c>
    </row>
    <row r="8637" customFormat="false" ht="15" hidden="false" customHeight="false" outlineLevel="0" collapsed="false">
      <c r="A8637" s="4" t="s">
        <v>576</v>
      </c>
      <c r="B8637" s="36"/>
      <c r="C8637" s="37" t="n">
        <f aca="false">IFERROR((S8592*$C$8541*Assumptions!$E$59+S8593*$C$8542*Assumptions!$E$60+S8594*$C$8543*Assumptions!$E$61)/(S8592*$C$8541+S8593*$C$8542+S8594*$C$8543),0.9)</f>
        <v>0.902824737458977</v>
      </c>
    </row>
    <row r="8638" customFormat="false" ht="15" hidden="false" customHeight="false" outlineLevel="0" collapsed="false">
      <c r="A8638" s="4" t="s">
        <v>577</v>
      </c>
      <c r="B8638" s="36"/>
      <c r="C8638" s="37" t="n">
        <f aca="false">IFERROR(N8626*4/N8604,0)</f>
        <v>0.091037327662826</v>
      </c>
    </row>
    <row r="8639" customFormat="false" ht="15" hidden="false" customHeight="false" outlineLevel="0" collapsed="false">
      <c r="A8639" s="4" t="s">
        <v>578</v>
      </c>
      <c r="B8639" s="36"/>
      <c r="C8639" s="60" t="n">
        <f aca="false">$C$8637/(1+Assumptions!$E$87)</f>
        <v>0.806093515588372</v>
      </c>
    </row>
    <row r="8640" customFormat="false" ht="15" hidden="false" customHeight="false" outlineLevel="0" collapsed="false">
      <c r="A8640" s="4" t="s">
        <v>579</v>
      </c>
      <c r="B8640" s="36"/>
      <c r="C8640" s="60" t="n">
        <f aca="false">Assumptions!$E$91/(1+Assumptions!$E$87)</f>
        <v>0.803571428571429</v>
      </c>
    </row>
    <row r="8641" customFormat="false" ht="15" hidden="false" customHeight="false" outlineLevel="0" collapsed="false">
      <c r="A8641" s="35" t="s">
        <v>580</v>
      </c>
      <c r="B8641" s="35" t="s">
        <v>444</v>
      </c>
      <c r="C8641" s="6" t="s">
        <v>354</v>
      </c>
      <c r="D8641" s="6" t="s">
        <v>355</v>
      </c>
      <c r="E8641" s="6" t="s">
        <v>356</v>
      </c>
      <c r="F8641" s="6" t="s">
        <v>357</v>
      </c>
      <c r="G8641" s="6" t="s">
        <v>358</v>
      </c>
      <c r="H8641" s="6" t="s">
        <v>359</v>
      </c>
      <c r="I8641" s="6" t="s">
        <v>360</v>
      </c>
      <c r="J8641" s="6" t="s">
        <v>361</v>
      </c>
      <c r="K8641" s="6" t="s">
        <v>362</v>
      </c>
      <c r="L8641" s="6" t="s">
        <v>363</v>
      </c>
      <c r="M8641" s="6" t="s">
        <v>364</v>
      </c>
      <c r="N8641" s="6" t="s">
        <v>365</v>
      </c>
      <c r="P8641" s="6" t="s">
        <v>445</v>
      </c>
      <c r="Q8641" s="6" t="s">
        <v>446</v>
      </c>
      <c r="R8641" s="6" t="s">
        <v>447</v>
      </c>
      <c r="S8641" s="6" t="s">
        <v>448</v>
      </c>
    </row>
    <row r="8642" customFormat="false" ht="15" hidden="false" customHeight="false" outlineLevel="0" collapsed="false">
      <c r="A8642" s="9" t="s">
        <v>581</v>
      </c>
      <c r="C8642" s="61" t="n">
        <f aca="false">N8604</f>
        <v>703376.589059122</v>
      </c>
      <c r="D8642" s="61"/>
    </row>
    <row r="8643" customFormat="false" ht="15" hidden="false" customHeight="false" outlineLevel="0" collapsed="false">
      <c r="A8643" s="9" t="s">
        <v>582</v>
      </c>
      <c r="C8643" s="62" t="n">
        <f aca="false">N8600</f>
        <v>35.3772136101422</v>
      </c>
      <c r="D8643" s="62"/>
    </row>
    <row r="8644" customFormat="false" ht="15" hidden="false" customHeight="false" outlineLevel="0" collapsed="false">
      <c r="A8644" s="9" t="s">
        <v>583</v>
      </c>
      <c r="C8644" s="63" t="n">
        <f aca="false">S8595</f>
        <v>39.1065139018526</v>
      </c>
      <c r="D8644" s="63"/>
    </row>
    <row r="8645" customFormat="false" ht="15" hidden="false" customHeight="false" outlineLevel="0" collapsed="false">
      <c r="A8645" s="9" t="s">
        <v>584</v>
      </c>
      <c r="C8645" s="61" t="n">
        <f aca="false">S8606</f>
        <v>679936.737998316</v>
      </c>
      <c r="D8645" s="61"/>
    </row>
    <row r="8646" customFormat="false" ht="15" hidden="false" customHeight="false" outlineLevel="0" collapsed="false">
      <c r="A8646" s="9" t="s">
        <v>22</v>
      </c>
      <c r="C8646" s="61" t="n">
        <f aca="false">IFERROR(S8605/S8595,0)</f>
        <v>16835.7466499909</v>
      </c>
      <c r="D8646" s="61"/>
    </row>
    <row r="8647" customFormat="false" ht="15" hidden="false" customHeight="false" outlineLevel="0" collapsed="false">
      <c r="A8647" s="9" t="s">
        <v>585</v>
      </c>
      <c r="C8647" s="61" t="n">
        <f aca="false">IFERROR(S8623/S8595,0)</f>
        <v>58805.159488119</v>
      </c>
      <c r="D8647" s="61"/>
    </row>
    <row r="8648" customFormat="false" ht="23.85" hidden="false" customHeight="false" outlineLevel="0" collapsed="false">
      <c r="A8648" s="9" t="s">
        <v>586</v>
      </c>
      <c r="C8648" s="61" t="n">
        <f aca="false">IFERROR((S8617+S8619+S8620+S8621+S8622)/S8595,0)</f>
        <v>25824.263763692</v>
      </c>
      <c r="D8648" s="61"/>
    </row>
    <row r="8649" customFormat="false" ht="15" hidden="false" customHeight="false" outlineLevel="0" collapsed="false">
      <c r="A8649" s="9" t="s">
        <v>587</v>
      </c>
      <c r="C8649" s="64" t="n">
        <f aca="false">IFERROR('Engine Runs'!$C$8647/('Engine Runs'!$C$8646*Assumptions!$E$76/12),0)</f>
        <v>64.483847149565</v>
      </c>
      <c r="D8649" s="64"/>
    </row>
    <row r="8650" customFormat="false" ht="15" hidden="false" customHeight="false" outlineLevel="0" collapsed="false">
      <c r="A8650" s="9" t="s">
        <v>588</v>
      </c>
      <c r="C8650" s="64" t="n">
        <f aca="false">IFERROR((R8623/R8595)/((R8605/R8595)*Assumptions!$E$76/12),0)</f>
        <v>43.4485977198751</v>
      </c>
      <c r="D8650" s="64"/>
    </row>
    <row r="8651" customFormat="false" ht="15" hidden="false" customHeight="false" outlineLevel="0" collapsed="false">
      <c r="A8651" s="9" t="s">
        <v>589</v>
      </c>
      <c r="C8651" s="61" t="n">
        <f aca="false">S8627</f>
        <v>3075989.91232312</v>
      </c>
      <c r="D8651" s="61"/>
    </row>
    <row r="8652" customFormat="false" ht="15" hidden="false" customHeight="false" outlineLevel="0" collapsed="false">
      <c r="A8652" s="9" t="s">
        <v>590</v>
      </c>
      <c r="C8652" s="61" t="n">
        <f aca="false">N8630</f>
        <v>-2634031.03262421</v>
      </c>
      <c r="D8652" s="61"/>
    </row>
    <row r="8653" customFormat="false" ht="15" hidden="false" customHeight="false" outlineLevel="0" collapsed="false">
      <c r="A8653" s="9" t="s">
        <v>591</v>
      </c>
      <c r="C8653" s="61" t="n">
        <f aca="false">MIN($C$8630:$N$8630)</f>
        <v>-2634031.03262421</v>
      </c>
      <c r="D8653" s="61"/>
    </row>
    <row r="8654" customFormat="false" ht="15" hidden="false" customHeight="false" outlineLevel="0" collapsed="false">
      <c r="A8654" s="9" t="s">
        <v>592</v>
      </c>
      <c r="C8654" s="61" t="n">
        <f aca="false">N8604*(Assumptions!$E$76-$C$8638)*$C$8637*(1-$C$8637^Assumptions!$E$85)/(1-$C$8637)</f>
        <v>1461771.04786503</v>
      </c>
      <c r="D8654" s="61"/>
    </row>
    <row r="8655" customFormat="false" ht="15" hidden="false" customHeight="false" outlineLevel="0" collapsed="false">
      <c r="A8655" s="9" t="s">
        <v>593</v>
      </c>
      <c r="C8655" s="61" t="n">
        <f aca="false">N8604*(Assumptions!$E$76-$C$8638)*(1-Assumptions!$E$88)/(1+Assumptions!$E$87)^2.5*$C$8639*(1-$C$8639^Assumptions!$E$85)/(1-$C$8639)</f>
        <v>649713.056651388</v>
      </c>
      <c r="D8655" s="61"/>
    </row>
    <row r="8656" customFormat="false" ht="15" hidden="false" customHeight="false" outlineLevel="0" collapsed="false">
      <c r="A8656" s="9" t="s">
        <v>594</v>
      </c>
      <c r="C8656" s="61" t="n">
        <f aca="false">SUM($C$8632:$N$8632)+'Engine Runs'!$C$8655</f>
        <v>-1648802.28687092</v>
      </c>
      <c r="D8656" s="61"/>
    </row>
    <row r="8657" customFormat="false" ht="15" hidden="false" customHeight="false" outlineLevel="0" collapsed="false">
      <c r="A8657" s="9" t="s">
        <v>595</v>
      </c>
      <c r="C8657" s="61" t="n">
        <f aca="false">SUM($C$8636:$N$8636)+N8634*(Assumptions!$E$76-Assumptions!$E$93)/(1+Assumptions!$E$87)^2.5*$C$8640*(1-$C$8640^Assumptions!$E$85)/(1-$C$8640)</f>
        <v>1565617.51102886</v>
      </c>
      <c r="D8657" s="61"/>
    </row>
    <row r="8658" customFormat="false" ht="15" hidden="false" customHeight="false" outlineLevel="0" collapsed="false">
      <c r="A8658" s="9" t="s">
        <v>596</v>
      </c>
      <c r="C8658" s="61" t="n">
        <f aca="false">'Engine Runs'!$C$8656-'Engine Runs'!$C$8657</f>
        <v>-3214419.79789978</v>
      </c>
      <c r="D8658" s="61"/>
    </row>
    <row r="8659" customFormat="false" ht="15" hidden="false" customHeight="false" outlineLevel="0" collapsed="false">
      <c r="A8659" s="9" t="s">
        <v>597</v>
      </c>
      <c r="C8659" s="61" t="n">
        <f aca="false">S8591</f>
        <v>0</v>
      </c>
      <c r="D8659" s="61"/>
    </row>
    <row r="8660" customFormat="false" ht="15" hidden="false" customHeight="false" outlineLevel="0" collapsed="false">
      <c r="A8660" s="9" t="s">
        <v>598</v>
      </c>
      <c r="C8660" s="63" t="n">
        <f aca="false">P8575</f>
        <v>43.6188722246667</v>
      </c>
      <c r="D8660" s="63"/>
    </row>
    <row r="8661" customFormat="false" ht="15" hidden="false" customHeight="false" outlineLevel="0" collapsed="false">
      <c r="A8661" s="9" t="s">
        <v>599</v>
      </c>
      <c r="C8661" s="63" t="n">
        <f aca="false">P8595</f>
        <v>4.41614932106171</v>
      </c>
      <c r="D8661" s="63"/>
    </row>
    <row r="8662" customFormat="false" ht="15" hidden="false" customHeight="false" outlineLevel="0" collapsed="false">
      <c r="A8662" s="9" t="s">
        <v>600</v>
      </c>
      <c r="C8662" s="63" t="n">
        <f aca="false">P8571</f>
        <v>42</v>
      </c>
      <c r="D8662" s="63"/>
    </row>
    <row r="8663" customFormat="false" ht="15" hidden="false" customHeight="false" outlineLevel="0" collapsed="false">
      <c r="A8663" s="9" t="s">
        <v>601</v>
      </c>
      <c r="C8663" s="61" t="n">
        <f aca="false">IFERROR(P8605/P8595,0)</f>
        <v>16181.5777383201</v>
      </c>
      <c r="D8663" s="61"/>
    </row>
    <row r="8666" customFormat="false" ht="15" hidden="false" customHeight="true" outlineLevel="0" collapsed="false">
      <c r="A8666" s="78" t="s">
        <v>927</v>
      </c>
      <c r="B8666" s="78"/>
      <c r="C8666" s="78"/>
      <c r="D8666" s="78"/>
      <c r="E8666" s="78"/>
      <c r="F8666" s="78"/>
      <c r="G8666" s="78"/>
      <c r="H8666" s="78"/>
      <c r="I8666" s="78"/>
      <c r="J8666" s="78"/>
      <c r="K8666" s="78"/>
      <c r="L8666" s="78"/>
      <c r="M8666" s="78"/>
      <c r="N8666" s="78"/>
    </row>
    <row r="8667" customFormat="false" ht="15" hidden="false" customHeight="true" outlineLevel="0" collapsed="false">
      <c r="A8667" s="79" t="s">
        <v>928</v>
      </c>
      <c r="B8667" s="79"/>
      <c r="C8667" s="79"/>
      <c r="D8667" s="79"/>
      <c r="E8667" s="79"/>
      <c r="F8667" s="79"/>
      <c r="G8667" s="79"/>
      <c r="H8667" s="79"/>
      <c r="I8667" s="79"/>
      <c r="J8667" s="79"/>
      <c r="K8667" s="79"/>
      <c r="L8667" s="79"/>
      <c r="M8667" s="79"/>
      <c r="N8667" s="79"/>
    </row>
    <row r="8668" customFormat="false" ht="15" hidden="false" customHeight="false" outlineLevel="0" collapsed="false">
      <c r="A8668" s="35" t="s">
        <v>929</v>
      </c>
      <c r="B8668" s="35" t="s">
        <v>444</v>
      </c>
      <c r="C8668" s="6" t="s">
        <v>354</v>
      </c>
      <c r="D8668" s="6" t="s">
        <v>355</v>
      </c>
      <c r="E8668" s="6" t="s">
        <v>356</v>
      </c>
      <c r="F8668" s="6" t="s">
        <v>357</v>
      </c>
      <c r="G8668" s="6" t="s">
        <v>358</v>
      </c>
      <c r="H8668" s="6" t="s">
        <v>359</v>
      </c>
      <c r="I8668" s="6" t="s">
        <v>360</v>
      </c>
      <c r="J8668" s="6" t="s">
        <v>361</v>
      </c>
      <c r="K8668" s="6" t="s">
        <v>362</v>
      </c>
      <c r="L8668" s="6" t="s">
        <v>363</v>
      </c>
      <c r="M8668" s="6" t="s">
        <v>364</v>
      </c>
      <c r="N8668" s="6" t="s">
        <v>365</v>
      </c>
      <c r="P8668" s="6" t="s">
        <v>445</v>
      </c>
      <c r="Q8668" s="6" t="s">
        <v>446</v>
      </c>
      <c r="R8668" s="6" t="s">
        <v>447</v>
      </c>
      <c r="S8668" s="6" t="s">
        <v>448</v>
      </c>
    </row>
    <row r="8669" customFormat="false" ht="15" hidden="false" customHeight="false" outlineLevel="0" collapsed="false">
      <c r="A8669" s="4" t="s">
        <v>449</v>
      </c>
      <c r="B8669" s="36" t="s">
        <v>450</v>
      </c>
      <c r="C8669" s="34" t="n">
        <f aca="false">'Market Sizing'!$C$17*Assumptions!$E$10*Assumptions!$E$11*(1-Assumptions!$E$12)</f>
        <v>843.03944704</v>
      </c>
    </row>
    <row r="8670" customFormat="false" ht="15" hidden="false" customHeight="false" outlineLevel="0" collapsed="false">
      <c r="A8670" s="4" t="s">
        <v>451</v>
      </c>
      <c r="B8670" s="36" t="s">
        <v>450</v>
      </c>
      <c r="C8670" s="34" t="n">
        <f aca="false">'Market Sizing'!$D$17*Assumptions!$E$10*Assumptions!$E$11*(1-Assumptions!$E$12)</f>
        <v>211.19616</v>
      </c>
    </row>
    <row r="8671" customFormat="false" ht="15" hidden="false" customHeight="false" outlineLevel="0" collapsed="false">
      <c r="A8671" s="4" t="s">
        <v>452</v>
      </c>
      <c r="B8671" s="36" t="s">
        <v>450</v>
      </c>
      <c r="C8671" s="34" t="n">
        <f aca="false">'Market Sizing'!$E$17*Assumptions!$E$10*Assumptions!$E$11*(1-Assumptions!$E$12)</f>
        <v>49.53984</v>
      </c>
    </row>
    <row r="8672" customFormat="false" ht="15" hidden="false" customHeight="false" outlineLevel="0" collapsed="false">
      <c r="A8672" s="4" t="s">
        <v>453</v>
      </c>
      <c r="B8672" s="36"/>
      <c r="C8672" s="34" t="n">
        <f aca="false">$C$8669+$C$8670+$C$8671</f>
        <v>1103.77544704</v>
      </c>
    </row>
    <row r="8673" customFormat="false" ht="15" hidden="false" customHeight="false" outlineLevel="0" collapsed="false">
      <c r="A8673" s="4" t="s">
        <v>454</v>
      </c>
      <c r="B8673" s="36" t="s">
        <v>450</v>
      </c>
      <c r="C8673" s="34" t="n">
        <f aca="false">'Market Sizing'!$C$18*Assumptions!$E$10*Assumptions!$E$11*(1-Assumptions!$E$12)</f>
        <v>612.57706944</v>
      </c>
    </row>
    <row r="8674" customFormat="false" ht="15" hidden="false" customHeight="false" outlineLevel="0" collapsed="false">
      <c r="A8674" s="4" t="s">
        <v>455</v>
      </c>
      <c r="B8674" s="36" t="s">
        <v>450</v>
      </c>
      <c r="C8674" s="34" t="n">
        <f aca="false">'Market Sizing'!$D$18*Assumptions!$E$10*Assumptions!$E$11*(1-Assumptions!$E$12)</f>
        <v>142.10112</v>
      </c>
    </row>
    <row r="8675" customFormat="false" ht="15" hidden="false" customHeight="false" outlineLevel="0" collapsed="false">
      <c r="A8675" s="4" t="s">
        <v>456</v>
      </c>
      <c r="B8675" s="36" t="s">
        <v>450</v>
      </c>
      <c r="C8675" s="34" t="n">
        <f aca="false">'Market Sizing'!$E$18*Assumptions!$E$10*Assumptions!$E$11*(1-Assumptions!$E$12)</f>
        <v>24.76992</v>
      </c>
    </row>
    <row r="8676" customFormat="false" ht="15" hidden="false" customHeight="false" outlineLevel="0" collapsed="false">
      <c r="A8676" s="4" t="s">
        <v>457</v>
      </c>
      <c r="B8676" s="36"/>
      <c r="C8676" s="34" t="n">
        <f aca="false">$C$8673+$C$8674+$C$8675</f>
        <v>779.44810944</v>
      </c>
    </row>
    <row r="8677" customFormat="false" ht="15" hidden="false" customHeight="false" outlineLevel="0" collapsed="false">
      <c r="A8677" s="4" t="s">
        <v>458</v>
      </c>
      <c r="B8677" s="36" t="s">
        <v>450</v>
      </c>
      <c r="C8677" s="34" t="n">
        <f aca="false">'Market Sizing'!$C$19*Assumptions!$E$10*Assumptions!$E$11*(1-Assumptions!$E$12)</f>
        <v>2060.77303936</v>
      </c>
    </row>
    <row r="8678" customFormat="false" ht="15" hidden="false" customHeight="false" outlineLevel="0" collapsed="false">
      <c r="A8678" s="4" t="s">
        <v>459</v>
      </c>
      <c r="B8678" s="36" t="s">
        <v>450</v>
      </c>
      <c r="C8678" s="34" t="n">
        <f aca="false">'Market Sizing'!$D$19*Assumptions!$E$10*Assumptions!$E$11*(1-Assumptions!$E$12)</f>
        <v>428.47616</v>
      </c>
    </row>
    <row r="8679" customFormat="false" ht="15" hidden="false" customHeight="false" outlineLevel="0" collapsed="false">
      <c r="A8679" s="4" t="s">
        <v>460</v>
      </c>
      <c r="B8679" s="36" t="s">
        <v>450</v>
      </c>
      <c r="C8679" s="34" t="n">
        <f aca="false">'Market Sizing'!$E$19*Assumptions!$E$10*Assumptions!$E$11*(1-Assumptions!$E$12)</f>
        <v>79.52448</v>
      </c>
    </row>
    <row r="8680" customFormat="false" ht="15" hidden="false" customHeight="false" outlineLevel="0" collapsed="false">
      <c r="A8680" s="4" t="s">
        <v>461</v>
      </c>
      <c r="B8680" s="36"/>
      <c r="C8680" s="34" t="n">
        <f aca="false">$C$8677+$C$8678+$C$8679</f>
        <v>2568.77367936</v>
      </c>
    </row>
    <row r="8681" customFormat="false" ht="15" hidden="false" customHeight="false" outlineLevel="0" collapsed="false">
      <c r="A8681" s="4" t="s">
        <v>462</v>
      </c>
      <c r="B8681" s="36" t="s">
        <v>463</v>
      </c>
      <c r="C8681" s="33" t="n">
        <f aca="false">MAX((Assumptions!$E$51+Assumptions!$E$53)*12,(((('Market Sizing'!$E$25*Assumptions!$E$41*Assumptions!$E$42*0.75)*Assumptions!$E$44)*Assumptions!$E$45*Assumptions!$E$46+('Market Sizing'!$E$25*Assumptions!$E$41*Assumptions!$E$42*0.75)*Assumptions!$E$47+('Market Sizing'!$E$25*Assumptions!$E$41*Assumptions!$E$42*0.75)*Assumptions!$E$48*Assumptions!$E$49)*(Assumptions!$E$51*12/Assumptions!$E$52)+((('Market Sizing'!$E$25*Assumptions!$E$41*Assumptions!$E$42*0.75)*Assumptions!$E$44)*Assumptions!$E$45+('Market Sizing'!$E$25*Assumptions!$E$41*Assumptions!$E$42*0.75)+('Market Sizing'!$E$25*Assumptions!$E$41*Assumptions!$E$42*0.75)*Assumptions!$E$48)*Assumptions!$E$50*(Assumptions!$E$53*12/Assumptions!$E$54)))</f>
        <v>5352</v>
      </c>
    </row>
    <row r="8682" customFormat="false" ht="15" hidden="false" customHeight="false" outlineLevel="0" collapsed="false">
      <c r="A8682" s="4" t="s">
        <v>464</v>
      </c>
      <c r="B8682" s="36" t="s">
        <v>463</v>
      </c>
      <c r="C8682" s="33" t="n">
        <f aca="false">MAX((Assumptions!$E$51+Assumptions!$E$53)*12,(((('Market Sizing'!$E$26*Assumptions!$E$41*Assumptions!$E$42*0.75)*Assumptions!$E$44)*Assumptions!$E$45*Assumptions!$E$46+('Market Sizing'!$E$26*Assumptions!$E$41*Assumptions!$E$42*0.75)*Assumptions!$E$47+('Market Sizing'!$E$26*Assumptions!$E$41*Assumptions!$E$42*0.75)*Assumptions!$E$48*Assumptions!$E$49)*(Assumptions!$E$51*12/Assumptions!$E$52)+((('Market Sizing'!$E$26*Assumptions!$E$41*Assumptions!$E$42*0.75)*Assumptions!$E$44)*Assumptions!$E$45+('Market Sizing'!$E$26*Assumptions!$E$41*Assumptions!$E$42*0.75)+('Market Sizing'!$E$26*Assumptions!$E$41*Assumptions!$E$42*0.75)*Assumptions!$E$48)*Assumptions!$E$50*(Assumptions!$E$53*12/Assumptions!$E$54)))</f>
        <v>7325.04009656406</v>
      </c>
    </row>
    <row r="8683" customFormat="false" ht="15" hidden="false" customHeight="false" outlineLevel="0" collapsed="false">
      <c r="A8683" s="4" t="s">
        <v>465</v>
      </c>
      <c r="B8683" s="36" t="s">
        <v>463</v>
      </c>
      <c r="C8683" s="33" t="n">
        <f aca="false">MAX(Assumptions!$E$55*(Assumptions!$E$51*12/Assumptions!$E$52)+Assumptions!$E$56*(Assumptions!$E$53*12/Assumptions!$E$54),(((('Market Sizing'!$E$27*Assumptions!$E$41*Assumptions!$E$42*0.75)*Assumptions!$E$44)*Assumptions!$E$45*Assumptions!$E$46+('Market Sizing'!$E$27*Assumptions!$E$41*Assumptions!$E$42*0.75)*Assumptions!$E$47+('Market Sizing'!$E$27*Assumptions!$E$41*Assumptions!$E$42*0.75)*Assumptions!$E$48*Assumptions!$E$49)*(Assumptions!$E$51*12/Assumptions!$E$52)+((('Market Sizing'!$E$27*Assumptions!$E$41*Assumptions!$E$42*0.75)*Assumptions!$E$44)*Assumptions!$E$45+('Market Sizing'!$E$27*Assumptions!$E$41*Assumptions!$E$42*0.75)+('Market Sizing'!$E$27*Assumptions!$E$41*Assumptions!$E$42*0.75)*Assumptions!$E$48)*Assumptions!$E$50*(Assumptions!$E$53*12/Assumptions!$E$54)))*(1-Assumptions!$E$57)</f>
        <v>46333.6921645789</v>
      </c>
    </row>
    <row r="8684" customFormat="false" ht="23.85" hidden="false" customHeight="false" outlineLevel="0" collapsed="false">
      <c r="A8684" s="4" t="s">
        <v>466</v>
      </c>
      <c r="B8684" s="36" t="s">
        <v>467</v>
      </c>
      <c r="C8684" s="37" t="n">
        <f aca="false">Assumptions!$E$17*Assumptions!$D$106</f>
        <v>0.4</v>
      </c>
    </row>
    <row r="8685" customFormat="false" ht="23.85" hidden="false" customHeight="false" outlineLevel="0" collapsed="false">
      <c r="A8685" s="4" t="s">
        <v>468</v>
      </c>
      <c r="B8685" s="36" t="s">
        <v>469</v>
      </c>
      <c r="C8685" s="33" t="n">
        <f aca="false">Assumptions!$E$68/Assumptions!$E$69</f>
        <v>285714.285714286</v>
      </c>
    </row>
    <row r="8686" customFormat="false" ht="23.85" hidden="false" customHeight="false" outlineLevel="0" collapsed="false">
      <c r="A8686" s="4" t="s">
        <v>470</v>
      </c>
      <c r="B8686" s="36" t="s">
        <v>471</v>
      </c>
      <c r="C8686" s="33" t="n">
        <f aca="false">Assumptions!$E$66*Assumptions!$E$67/4</f>
        <v>153125</v>
      </c>
    </row>
    <row r="8687" customFormat="false" ht="15" hidden="false" customHeight="false" outlineLevel="0" collapsed="false">
      <c r="A8687" s="4" t="s">
        <v>472</v>
      </c>
      <c r="B8687" s="36"/>
      <c r="C8687" s="38" t="n">
        <f aca="false">$C$8685/Assumptions!$E$66/Assumptions!$E$67</f>
        <v>0.466472303206997</v>
      </c>
    </row>
    <row r="8688" customFormat="false" ht="15" hidden="false" customHeight="false" outlineLevel="0" collapsed="false">
      <c r="A8688" s="4" t="s">
        <v>473</v>
      </c>
      <c r="B8688" s="36"/>
      <c r="C8688" s="33" t="n">
        <f aca="false">MAX(0,Assumptions!$D$103-Assumptions!$E$78)</f>
        <v>0</v>
      </c>
    </row>
    <row r="8689" customFormat="false" ht="15" hidden="false" customHeight="false" outlineLevel="0" collapsed="false">
      <c r="A8689" s="35" t="s">
        <v>474</v>
      </c>
      <c r="B8689" s="35" t="s">
        <v>444</v>
      </c>
      <c r="C8689" s="6" t="s">
        <v>354</v>
      </c>
      <c r="D8689" s="6" t="s">
        <v>355</v>
      </c>
      <c r="E8689" s="6" t="s">
        <v>356</v>
      </c>
      <c r="F8689" s="6" t="s">
        <v>357</v>
      </c>
      <c r="G8689" s="6" t="s">
        <v>358</v>
      </c>
      <c r="H8689" s="6" t="s">
        <v>359</v>
      </c>
      <c r="I8689" s="6" t="s">
        <v>360</v>
      </c>
      <c r="J8689" s="6" t="s">
        <v>361</v>
      </c>
      <c r="K8689" s="6" t="s">
        <v>362</v>
      </c>
      <c r="L8689" s="6" t="s">
        <v>363</v>
      </c>
      <c r="M8689" s="6" t="s">
        <v>364</v>
      </c>
      <c r="N8689" s="6" t="s">
        <v>365</v>
      </c>
      <c r="P8689" s="6" t="s">
        <v>445</v>
      </c>
      <c r="Q8689" s="6" t="s">
        <v>446</v>
      </c>
      <c r="R8689" s="6" t="s">
        <v>447</v>
      </c>
      <c r="S8689" s="6" t="s">
        <v>448</v>
      </c>
    </row>
    <row r="8690" customFormat="false" ht="15" hidden="false" customHeight="false" outlineLevel="0" collapsed="false">
      <c r="A8690" s="4" t="s">
        <v>475</v>
      </c>
      <c r="B8690" s="36" t="s">
        <v>133</v>
      </c>
      <c r="C8690" s="39" t="n">
        <v>1</v>
      </c>
      <c r="D8690" s="39" t="n">
        <v>2</v>
      </c>
      <c r="E8690" s="39" t="n">
        <v>3</v>
      </c>
      <c r="F8690" s="39" t="n">
        <v>4</v>
      </c>
      <c r="G8690" s="39" t="n">
        <v>5</v>
      </c>
      <c r="H8690" s="39" t="n">
        <v>6</v>
      </c>
      <c r="I8690" s="39" t="n">
        <v>7</v>
      </c>
      <c r="J8690" s="39" t="n">
        <v>8</v>
      </c>
      <c r="K8690" s="39" t="n">
        <v>9</v>
      </c>
      <c r="L8690" s="39" t="n">
        <v>10</v>
      </c>
      <c r="M8690" s="39" t="n">
        <v>11</v>
      </c>
      <c r="N8690" s="39" t="n">
        <v>12</v>
      </c>
      <c r="P8690" s="40"/>
      <c r="Q8690" s="40"/>
      <c r="R8690" s="40"/>
      <c r="S8690" s="41"/>
    </row>
    <row r="8691" customFormat="false" ht="15" hidden="false" customHeight="false" outlineLevel="0" collapsed="false">
      <c r="A8691" s="4" t="s">
        <v>476</v>
      </c>
      <c r="B8691" s="36" t="s">
        <v>343</v>
      </c>
      <c r="C8691" s="39" t="n">
        <f aca="false">IF(C8690&lt;=Assumptions!$E$84,1,0)</f>
        <v>1</v>
      </c>
      <c r="D8691" s="39" t="n">
        <f aca="false">IF(D8690&lt;=Assumptions!$E$84,1,0)</f>
        <v>1</v>
      </c>
      <c r="E8691" s="39" t="n">
        <f aca="false">IF(E8690&lt;=Assumptions!$E$84,1,0)</f>
        <v>1</v>
      </c>
      <c r="F8691" s="39" t="n">
        <f aca="false">IF(F8690&lt;=Assumptions!$E$84,1,0)</f>
        <v>1</v>
      </c>
      <c r="G8691" s="39" t="n">
        <f aca="false">IF(G8690&lt;=Assumptions!$E$84,1,0)</f>
        <v>1</v>
      </c>
      <c r="H8691" s="39" t="n">
        <f aca="false">IF(H8690&lt;=Assumptions!$E$84,1,0)</f>
        <v>1</v>
      </c>
      <c r="I8691" s="39" t="n">
        <f aca="false">IF(I8690&lt;=Assumptions!$E$84,1,0)</f>
        <v>1</v>
      </c>
      <c r="J8691" s="39" t="n">
        <f aca="false">IF(J8690&lt;=Assumptions!$E$84,1,0)</f>
        <v>1</v>
      </c>
      <c r="K8691" s="39" t="n">
        <f aca="false">IF(K8690&lt;=Assumptions!$E$84,1,0)</f>
        <v>1</v>
      </c>
      <c r="L8691" s="39" t="n">
        <f aca="false">IF(L8690&lt;=Assumptions!$E$84,1,0)</f>
        <v>1</v>
      </c>
      <c r="M8691" s="39" t="n">
        <f aca="false">IF(M8690&lt;=Assumptions!$E$84,1,0)</f>
        <v>1</v>
      </c>
      <c r="N8691" s="39" t="n">
        <f aca="false">IF(N8690&lt;=Assumptions!$E$84,1,0)</f>
        <v>1</v>
      </c>
      <c r="P8691" s="40"/>
      <c r="Q8691" s="40"/>
      <c r="R8691" s="40"/>
      <c r="S8691" s="41"/>
    </row>
    <row r="8692" customFormat="false" ht="15" hidden="false" customHeight="false" outlineLevel="0" collapsed="false">
      <c r="A8692" s="4" t="s">
        <v>477</v>
      </c>
      <c r="B8692" s="36" t="s">
        <v>478</v>
      </c>
      <c r="C8692" s="42" t="n">
        <f aca="false">IF(C8690=Assumptions!$E$13,0.5,IF(C8690&gt;Assumptions!$E$13,1,0))</f>
        <v>0.5</v>
      </c>
      <c r="D8692" s="42" t="n">
        <f aca="false">IF(D8690=Assumptions!$E$13,0.5,IF(D8690&gt;Assumptions!$E$13,1,0))</f>
        <v>1</v>
      </c>
      <c r="E8692" s="42" t="n">
        <f aca="false">IF(E8690=Assumptions!$E$13,0.5,IF(E8690&gt;Assumptions!$E$13,1,0))</f>
        <v>1</v>
      </c>
      <c r="F8692" s="42" t="n">
        <f aca="false">IF(F8690=Assumptions!$E$13,0.5,IF(F8690&gt;Assumptions!$E$13,1,0))</f>
        <v>1</v>
      </c>
      <c r="G8692" s="42" t="n">
        <f aca="false">IF(G8690=Assumptions!$E$13,0.5,IF(G8690&gt;Assumptions!$E$13,1,0))</f>
        <v>1</v>
      </c>
      <c r="H8692" s="42" t="n">
        <f aca="false">IF(H8690=Assumptions!$E$13,0.5,IF(H8690&gt;Assumptions!$E$13,1,0))</f>
        <v>1</v>
      </c>
      <c r="I8692" s="42" t="n">
        <f aca="false">IF(I8690=Assumptions!$E$13,0.5,IF(I8690&gt;Assumptions!$E$13,1,0))</f>
        <v>1</v>
      </c>
      <c r="J8692" s="42" t="n">
        <f aca="false">IF(J8690=Assumptions!$E$13,0.5,IF(J8690&gt;Assumptions!$E$13,1,0))</f>
        <v>1</v>
      </c>
      <c r="K8692" s="42" t="n">
        <f aca="false">IF(K8690=Assumptions!$E$13,0.5,IF(K8690&gt;Assumptions!$E$13,1,0))</f>
        <v>1</v>
      </c>
      <c r="L8692" s="42" t="n">
        <f aca="false">IF(L8690=Assumptions!$E$13,0.5,IF(L8690&gt;Assumptions!$E$13,1,0))</f>
        <v>1</v>
      </c>
      <c r="M8692" s="42" t="n">
        <f aca="false">IF(M8690=Assumptions!$E$13,0.5,IF(M8690&gt;Assumptions!$E$13,1,0))</f>
        <v>1</v>
      </c>
      <c r="N8692" s="42" t="n">
        <f aca="false">IF(N8690=Assumptions!$E$13,0.5,IF(N8690&gt;Assumptions!$E$13,1,0))</f>
        <v>1</v>
      </c>
      <c r="P8692" s="43"/>
      <c r="Q8692" s="43"/>
      <c r="R8692" s="43"/>
      <c r="S8692" s="44"/>
    </row>
    <row r="8693" customFormat="false" ht="15" hidden="false" customHeight="false" outlineLevel="0" collapsed="false">
      <c r="A8693" s="4" t="s">
        <v>479</v>
      </c>
      <c r="B8693" s="36" t="s">
        <v>478</v>
      </c>
      <c r="C8693" s="42" t="n">
        <f aca="false">IF(C8690=Assumptions!$E$14,0.5,IF(C8690&gt;Assumptions!$E$14,1,0))</f>
        <v>0</v>
      </c>
      <c r="D8693" s="42" t="n">
        <f aca="false">IF(D8690=Assumptions!$E$14,0.5,IF(D8690&gt;Assumptions!$E$14,1,0))</f>
        <v>0</v>
      </c>
      <c r="E8693" s="42" t="n">
        <f aca="false">IF(E8690=Assumptions!$E$14,0.5,IF(E8690&gt;Assumptions!$E$14,1,0))</f>
        <v>0</v>
      </c>
      <c r="F8693" s="42" t="n">
        <f aca="false">IF(F8690=Assumptions!$E$14,0.5,IF(F8690&gt;Assumptions!$E$14,1,0))</f>
        <v>0</v>
      </c>
      <c r="G8693" s="42" t="n">
        <f aca="false">IF(G8690=Assumptions!$E$14,0.5,IF(G8690&gt;Assumptions!$E$14,1,0))</f>
        <v>0.5</v>
      </c>
      <c r="H8693" s="42" t="n">
        <f aca="false">IF(H8690=Assumptions!$E$14,0.5,IF(H8690&gt;Assumptions!$E$14,1,0))</f>
        <v>1</v>
      </c>
      <c r="I8693" s="42" t="n">
        <f aca="false">IF(I8690=Assumptions!$E$14,0.5,IF(I8690&gt;Assumptions!$E$14,1,0))</f>
        <v>1</v>
      </c>
      <c r="J8693" s="42" t="n">
        <f aca="false">IF(J8690=Assumptions!$E$14,0.5,IF(J8690&gt;Assumptions!$E$14,1,0))</f>
        <v>1</v>
      </c>
      <c r="K8693" s="42" t="n">
        <f aca="false">IF(K8690=Assumptions!$E$14,0.5,IF(K8690&gt;Assumptions!$E$14,1,0))</f>
        <v>1</v>
      </c>
      <c r="L8693" s="42" t="n">
        <f aca="false">IF(L8690=Assumptions!$E$14,0.5,IF(L8690&gt;Assumptions!$E$14,1,0))</f>
        <v>1</v>
      </c>
      <c r="M8693" s="42" t="n">
        <f aca="false">IF(M8690=Assumptions!$E$14,0.5,IF(M8690&gt;Assumptions!$E$14,1,0))</f>
        <v>1</v>
      </c>
      <c r="N8693" s="42" t="n">
        <f aca="false">IF(N8690=Assumptions!$E$14,0.5,IF(N8690&gt;Assumptions!$E$14,1,0))</f>
        <v>1</v>
      </c>
      <c r="P8693" s="43"/>
      <c r="Q8693" s="43"/>
      <c r="R8693" s="43"/>
      <c r="S8693" s="44"/>
    </row>
    <row r="8694" customFormat="false" ht="15" hidden="false" customHeight="false" outlineLevel="0" collapsed="false">
      <c r="A8694" s="4" t="s">
        <v>480</v>
      </c>
      <c r="B8694" s="36" t="s">
        <v>478</v>
      </c>
      <c r="C8694" s="42" t="n">
        <f aca="false">IF(C8690=Assumptions!$E$15,0.5,IF(C8690&gt;Assumptions!$E$15,1,0))</f>
        <v>0</v>
      </c>
      <c r="D8694" s="42" t="n">
        <f aca="false">IF(D8690=Assumptions!$E$15,0.5,IF(D8690&gt;Assumptions!$E$15,1,0))</f>
        <v>0</v>
      </c>
      <c r="E8694" s="42" t="n">
        <f aca="false">IF(E8690=Assumptions!$E$15,0.5,IF(E8690&gt;Assumptions!$E$15,1,0))</f>
        <v>0</v>
      </c>
      <c r="F8694" s="42" t="n">
        <f aca="false">IF(F8690=Assumptions!$E$15,0.5,IF(F8690&gt;Assumptions!$E$15,1,0))</f>
        <v>0</v>
      </c>
      <c r="G8694" s="42" t="n">
        <f aca="false">IF(G8690=Assumptions!$E$15,0.5,IF(G8690&gt;Assumptions!$E$15,1,0))</f>
        <v>0</v>
      </c>
      <c r="H8694" s="42" t="n">
        <f aca="false">IF(H8690=Assumptions!$E$15,0.5,IF(H8690&gt;Assumptions!$E$15,1,0))</f>
        <v>0</v>
      </c>
      <c r="I8694" s="42" t="n">
        <f aca="false">IF(I8690=Assumptions!$E$15,0.5,IF(I8690&gt;Assumptions!$E$15,1,0))</f>
        <v>0.5</v>
      </c>
      <c r="J8694" s="42" t="n">
        <f aca="false">IF(J8690=Assumptions!$E$15,0.5,IF(J8690&gt;Assumptions!$E$15,1,0))</f>
        <v>1</v>
      </c>
      <c r="K8694" s="42" t="n">
        <f aca="false">IF(K8690=Assumptions!$E$15,0.5,IF(K8690&gt;Assumptions!$E$15,1,0))</f>
        <v>1</v>
      </c>
      <c r="L8694" s="42" t="n">
        <f aca="false">IF(L8690=Assumptions!$E$15,0.5,IF(L8690&gt;Assumptions!$E$15,1,0))</f>
        <v>1</v>
      </c>
      <c r="M8694" s="42" t="n">
        <f aca="false">IF(M8690=Assumptions!$E$15,0.5,IF(M8690&gt;Assumptions!$E$15,1,0))</f>
        <v>1</v>
      </c>
      <c r="N8694" s="42" t="n">
        <f aca="false">IF(N8690=Assumptions!$E$15,0.5,IF(N8690&gt;Assumptions!$E$15,1,0))</f>
        <v>1</v>
      </c>
      <c r="P8694" s="43"/>
      <c r="Q8694" s="43"/>
      <c r="R8694" s="43"/>
      <c r="S8694" s="44"/>
    </row>
    <row r="8695" customFormat="false" ht="15" hidden="false" customHeight="false" outlineLevel="0" collapsed="false">
      <c r="A8695" s="4" t="s">
        <v>481</v>
      </c>
      <c r="B8695" s="36" t="s">
        <v>478</v>
      </c>
      <c r="C8695" s="45" t="n">
        <f aca="false">Assumptions!$E$21^(MAX(0,C8690-Assumptions!$E$13)/4)</f>
        <v>1</v>
      </c>
      <c r="D8695" s="45" t="n">
        <f aca="false">Assumptions!$E$21^(MAX(0,D8690-Assumptions!$E$13)/4)</f>
        <v>0.9306048591021</v>
      </c>
      <c r="E8695" s="45" t="n">
        <f aca="false">Assumptions!$E$21^(MAX(0,E8690-Assumptions!$E$13)/4)</f>
        <v>0.866025403784439</v>
      </c>
      <c r="F8695" s="45" t="n">
        <f aca="false">Assumptions!$E$21^(MAX(0,F8690-Assumptions!$E$13)/4)</f>
        <v>0.805927448867656</v>
      </c>
      <c r="G8695" s="45" t="n">
        <f aca="false">Assumptions!$E$21^(MAX(0,G8690-Assumptions!$E$13)/4)</f>
        <v>0.75</v>
      </c>
      <c r="H8695" s="45" t="n">
        <f aca="false">Assumptions!$E$21^(MAX(0,H8690-Assumptions!$E$13)/4)</f>
        <v>0.697953644326575</v>
      </c>
      <c r="I8695" s="45" t="n">
        <f aca="false">Assumptions!$E$21^(MAX(0,I8690-Assumptions!$E$13)/4)</f>
        <v>0.649519052838329</v>
      </c>
      <c r="J8695" s="45" t="n">
        <f aca="false">Assumptions!$E$21^(MAX(0,J8690-Assumptions!$E$13)/4)</f>
        <v>0.604445586650742</v>
      </c>
      <c r="K8695" s="45" t="n">
        <f aca="false">Assumptions!$E$21^(MAX(0,K8690-Assumptions!$E$13)/4)</f>
        <v>0.5625</v>
      </c>
      <c r="L8695" s="45" t="n">
        <f aca="false">Assumptions!$E$21^(MAX(0,L8690-Assumptions!$E$13)/4)</f>
        <v>0.523465233244931</v>
      </c>
      <c r="M8695" s="45" t="n">
        <f aca="false">Assumptions!$E$21^(MAX(0,M8690-Assumptions!$E$13)/4)</f>
        <v>0.487139289628747</v>
      </c>
      <c r="N8695" s="45" t="n">
        <f aca="false">Assumptions!$E$21^(MAX(0,N8690-Assumptions!$E$13)/4)</f>
        <v>0.453334189988057</v>
      </c>
      <c r="P8695" s="46"/>
      <c r="Q8695" s="46"/>
      <c r="R8695" s="46"/>
      <c r="S8695" s="47"/>
    </row>
    <row r="8696" customFormat="false" ht="15" hidden="false" customHeight="false" outlineLevel="0" collapsed="false">
      <c r="A8696" s="4" t="s">
        <v>482</v>
      </c>
      <c r="B8696" s="36" t="s">
        <v>478</v>
      </c>
      <c r="C8696" s="45" t="n">
        <f aca="false">Assumptions!$E$21^(MAX(0,C8690-Assumptions!$E$14)/4)</f>
        <v>1</v>
      </c>
      <c r="D8696" s="45" t="n">
        <f aca="false">Assumptions!$E$21^(MAX(0,D8690-Assumptions!$E$14)/4)</f>
        <v>1</v>
      </c>
      <c r="E8696" s="45" t="n">
        <f aca="false">Assumptions!$E$21^(MAX(0,E8690-Assumptions!$E$14)/4)</f>
        <v>1</v>
      </c>
      <c r="F8696" s="45" t="n">
        <f aca="false">Assumptions!$E$21^(MAX(0,F8690-Assumptions!$E$14)/4)</f>
        <v>1</v>
      </c>
      <c r="G8696" s="45" t="n">
        <f aca="false">Assumptions!$E$21^(MAX(0,G8690-Assumptions!$E$14)/4)</f>
        <v>1</v>
      </c>
      <c r="H8696" s="45" t="n">
        <f aca="false">Assumptions!$E$21^(MAX(0,H8690-Assumptions!$E$14)/4)</f>
        <v>0.9306048591021</v>
      </c>
      <c r="I8696" s="45" t="n">
        <f aca="false">Assumptions!$E$21^(MAX(0,I8690-Assumptions!$E$14)/4)</f>
        <v>0.866025403784439</v>
      </c>
      <c r="J8696" s="45" t="n">
        <f aca="false">Assumptions!$E$21^(MAX(0,J8690-Assumptions!$E$14)/4)</f>
        <v>0.805927448867656</v>
      </c>
      <c r="K8696" s="45" t="n">
        <f aca="false">Assumptions!$E$21^(MAX(0,K8690-Assumptions!$E$14)/4)</f>
        <v>0.75</v>
      </c>
      <c r="L8696" s="45" t="n">
        <f aca="false">Assumptions!$E$21^(MAX(0,L8690-Assumptions!$E$14)/4)</f>
        <v>0.697953644326575</v>
      </c>
      <c r="M8696" s="45" t="n">
        <f aca="false">Assumptions!$E$21^(MAX(0,M8690-Assumptions!$E$14)/4)</f>
        <v>0.649519052838329</v>
      </c>
      <c r="N8696" s="45" t="n">
        <f aca="false">Assumptions!$E$21^(MAX(0,N8690-Assumptions!$E$14)/4)</f>
        <v>0.604445586650742</v>
      </c>
      <c r="P8696" s="46"/>
      <c r="Q8696" s="46"/>
      <c r="R8696" s="46"/>
      <c r="S8696" s="47"/>
    </row>
    <row r="8697" customFormat="false" ht="15" hidden="false" customHeight="false" outlineLevel="0" collapsed="false">
      <c r="A8697" s="4" t="s">
        <v>483</v>
      </c>
      <c r="B8697" s="36" t="s">
        <v>478</v>
      </c>
      <c r="C8697" s="45" t="n">
        <f aca="false">Assumptions!$E$21^(MAX(0,C8690-Assumptions!$E$15)/4)</f>
        <v>1</v>
      </c>
      <c r="D8697" s="45" t="n">
        <f aca="false">Assumptions!$E$21^(MAX(0,D8690-Assumptions!$E$15)/4)</f>
        <v>1</v>
      </c>
      <c r="E8697" s="45" t="n">
        <f aca="false">Assumptions!$E$21^(MAX(0,E8690-Assumptions!$E$15)/4)</f>
        <v>1</v>
      </c>
      <c r="F8697" s="45" t="n">
        <f aca="false">Assumptions!$E$21^(MAX(0,F8690-Assumptions!$E$15)/4)</f>
        <v>1</v>
      </c>
      <c r="G8697" s="45" t="n">
        <f aca="false">Assumptions!$E$21^(MAX(0,G8690-Assumptions!$E$15)/4)</f>
        <v>1</v>
      </c>
      <c r="H8697" s="45" t="n">
        <f aca="false">Assumptions!$E$21^(MAX(0,H8690-Assumptions!$E$15)/4)</f>
        <v>1</v>
      </c>
      <c r="I8697" s="45" t="n">
        <f aca="false">Assumptions!$E$21^(MAX(0,I8690-Assumptions!$E$15)/4)</f>
        <v>1</v>
      </c>
      <c r="J8697" s="45" t="n">
        <f aca="false">Assumptions!$E$21^(MAX(0,J8690-Assumptions!$E$15)/4)</f>
        <v>0.9306048591021</v>
      </c>
      <c r="K8697" s="45" t="n">
        <f aca="false">Assumptions!$E$21^(MAX(0,K8690-Assumptions!$E$15)/4)</f>
        <v>0.866025403784439</v>
      </c>
      <c r="L8697" s="45" t="n">
        <f aca="false">Assumptions!$E$21^(MAX(0,L8690-Assumptions!$E$15)/4)</f>
        <v>0.805927448867656</v>
      </c>
      <c r="M8697" s="45" t="n">
        <f aca="false">Assumptions!$E$21^(MAX(0,M8690-Assumptions!$E$15)/4)</f>
        <v>0.75</v>
      </c>
      <c r="N8697" s="45" t="n">
        <f aca="false">Assumptions!$E$21^(MAX(0,N8690-Assumptions!$E$15)/4)</f>
        <v>0.697953644326575</v>
      </c>
      <c r="P8697" s="46"/>
      <c r="Q8697" s="46"/>
      <c r="R8697" s="46"/>
      <c r="S8697" s="47"/>
    </row>
    <row r="8698" customFormat="false" ht="15" hidden="false" customHeight="false" outlineLevel="0" collapsed="false">
      <c r="A8698" s="4" t="s">
        <v>484</v>
      </c>
      <c r="B8698" s="36" t="s">
        <v>485</v>
      </c>
      <c r="C8698" s="39" t="n">
        <f aca="false">$C$8669*C8692+$C$8673*C8693+$C$8677*C8694</f>
        <v>421.51972352</v>
      </c>
      <c r="D8698" s="39" t="n">
        <f aca="false">$C$8669*D8692+$C$8673*D8693+$C$8677*D8694</f>
        <v>843.03944704</v>
      </c>
      <c r="E8698" s="39" t="n">
        <f aca="false">$C$8669*E8692+$C$8673*E8693+$C$8677*E8694</f>
        <v>843.03944704</v>
      </c>
      <c r="F8698" s="39" t="n">
        <f aca="false">$C$8669*F8692+$C$8673*F8693+$C$8677*F8694</f>
        <v>843.03944704</v>
      </c>
      <c r="G8698" s="39" t="n">
        <f aca="false">$C$8669*G8692+$C$8673*G8693+$C$8677*G8694</f>
        <v>1149.32798176</v>
      </c>
      <c r="H8698" s="39" t="n">
        <f aca="false">$C$8669*H8692+$C$8673*H8693+$C$8677*H8694</f>
        <v>1455.61651648</v>
      </c>
      <c r="I8698" s="39" t="n">
        <f aca="false">$C$8669*I8692+$C$8673*I8693+$C$8677*I8694</f>
        <v>2486.00303616</v>
      </c>
      <c r="J8698" s="39" t="n">
        <f aca="false">$C$8669*J8692+$C$8673*J8693+$C$8677*J8694</f>
        <v>3516.38955584</v>
      </c>
      <c r="K8698" s="39" t="n">
        <f aca="false">$C$8669*K8692+$C$8673*K8693+$C$8677*K8694</f>
        <v>3516.38955584</v>
      </c>
      <c r="L8698" s="39" t="n">
        <f aca="false">$C$8669*L8692+$C$8673*L8693+$C$8677*L8694</f>
        <v>3516.38955584</v>
      </c>
      <c r="M8698" s="39" t="n">
        <f aca="false">$C$8669*M8692+$C$8673*M8693+$C$8677*M8694</f>
        <v>3516.38955584</v>
      </c>
      <c r="N8698" s="39" t="n">
        <f aca="false">$C$8669*N8692+$C$8673*N8693+$C$8677*N8694</f>
        <v>3516.38955584</v>
      </c>
      <c r="P8698" s="40" t="n">
        <f aca="false">F8698</f>
        <v>843.03944704</v>
      </c>
      <c r="Q8698" s="40" t="n">
        <f aca="false">J8698</f>
        <v>3516.38955584</v>
      </c>
      <c r="R8698" s="40" t="n">
        <f aca="false">N8698</f>
        <v>3516.38955584</v>
      </c>
      <c r="S8698" s="41" t="n">
        <f aca="false">R8698</f>
        <v>3516.38955584</v>
      </c>
    </row>
    <row r="8699" customFormat="false" ht="15" hidden="false" customHeight="false" outlineLevel="0" collapsed="false">
      <c r="A8699" s="4" t="s">
        <v>486</v>
      </c>
      <c r="B8699" s="36" t="s">
        <v>485</v>
      </c>
      <c r="C8699" s="39" t="n">
        <f aca="false">$C$8670*C8692+$C$8674*C8693+$C$8678*C8694</f>
        <v>105.59808</v>
      </c>
      <c r="D8699" s="39" t="n">
        <f aca="false">$C$8670*D8692+$C$8674*D8693+$C$8678*D8694</f>
        <v>211.19616</v>
      </c>
      <c r="E8699" s="39" t="n">
        <f aca="false">$C$8670*E8692+$C$8674*E8693+$C$8678*E8694</f>
        <v>211.19616</v>
      </c>
      <c r="F8699" s="39" t="n">
        <f aca="false">$C$8670*F8692+$C$8674*F8693+$C$8678*F8694</f>
        <v>211.19616</v>
      </c>
      <c r="G8699" s="39" t="n">
        <f aca="false">$C$8670*G8692+$C$8674*G8693+$C$8678*G8694</f>
        <v>282.24672</v>
      </c>
      <c r="H8699" s="39" t="n">
        <f aca="false">$C$8670*H8692+$C$8674*H8693+$C$8678*H8694</f>
        <v>353.29728</v>
      </c>
      <c r="I8699" s="39" t="n">
        <f aca="false">$C$8670*I8692+$C$8674*I8693+$C$8678*I8694</f>
        <v>567.53536</v>
      </c>
      <c r="J8699" s="39" t="n">
        <f aca="false">$C$8670*J8692+$C$8674*J8693+$C$8678*J8694</f>
        <v>781.77344</v>
      </c>
      <c r="K8699" s="39" t="n">
        <f aca="false">$C$8670*K8692+$C$8674*K8693+$C$8678*K8694</f>
        <v>781.77344</v>
      </c>
      <c r="L8699" s="39" t="n">
        <f aca="false">$C$8670*L8692+$C$8674*L8693+$C$8678*L8694</f>
        <v>781.77344</v>
      </c>
      <c r="M8699" s="39" t="n">
        <f aca="false">$C$8670*M8692+$C$8674*M8693+$C$8678*M8694</f>
        <v>781.77344</v>
      </c>
      <c r="N8699" s="39" t="n">
        <f aca="false">$C$8670*N8692+$C$8674*N8693+$C$8678*N8694</f>
        <v>781.77344</v>
      </c>
      <c r="P8699" s="40" t="n">
        <f aca="false">F8699</f>
        <v>211.19616</v>
      </c>
      <c r="Q8699" s="40" t="n">
        <f aca="false">J8699</f>
        <v>781.77344</v>
      </c>
      <c r="R8699" s="40" t="n">
        <f aca="false">N8699</f>
        <v>781.77344</v>
      </c>
      <c r="S8699" s="41" t="n">
        <f aca="false">R8699</f>
        <v>781.77344</v>
      </c>
    </row>
    <row r="8700" customFormat="false" ht="15" hidden="false" customHeight="false" outlineLevel="0" collapsed="false">
      <c r="A8700" s="4" t="s">
        <v>487</v>
      </c>
      <c r="B8700" s="36" t="s">
        <v>485</v>
      </c>
      <c r="C8700" s="39" t="n">
        <f aca="false">$C$8671*C8692+$C$8675*C8693+$C$8679*C8694</f>
        <v>24.76992</v>
      </c>
      <c r="D8700" s="39" t="n">
        <f aca="false">$C$8671*D8692+$C$8675*D8693+$C$8679*D8694</f>
        <v>49.53984</v>
      </c>
      <c r="E8700" s="39" t="n">
        <f aca="false">$C$8671*E8692+$C$8675*E8693+$C$8679*E8694</f>
        <v>49.53984</v>
      </c>
      <c r="F8700" s="39" t="n">
        <f aca="false">$C$8671*F8692+$C$8675*F8693+$C$8679*F8694</f>
        <v>49.53984</v>
      </c>
      <c r="G8700" s="39" t="n">
        <f aca="false">$C$8671*G8692+$C$8675*G8693+$C$8679*G8694</f>
        <v>61.9248</v>
      </c>
      <c r="H8700" s="39" t="n">
        <f aca="false">$C$8671*H8692+$C$8675*H8693+$C$8679*H8694</f>
        <v>74.30976</v>
      </c>
      <c r="I8700" s="39" t="n">
        <f aca="false">$C$8671*I8692+$C$8675*I8693+$C$8679*I8694</f>
        <v>114.072</v>
      </c>
      <c r="J8700" s="39" t="n">
        <f aca="false">$C$8671*J8692+$C$8675*J8693+$C$8679*J8694</f>
        <v>153.83424</v>
      </c>
      <c r="K8700" s="39" t="n">
        <f aca="false">$C$8671*K8692+$C$8675*K8693+$C$8679*K8694</f>
        <v>153.83424</v>
      </c>
      <c r="L8700" s="39" t="n">
        <f aca="false">$C$8671*L8692+$C$8675*L8693+$C$8679*L8694</f>
        <v>153.83424</v>
      </c>
      <c r="M8700" s="39" t="n">
        <f aca="false">$C$8671*M8692+$C$8675*M8693+$C$8679*M8694</f>
        <v>153.83424</v>
      </c>
      <c r="N8700" s="39" t="n">
        <f aca="false">$C$8671*N8692+$C$8675*N8693+$C$8679*N8694</f>
        <v>153.83424</v>
      </c>
      <c r="P8700" s="40" t="n">
        <f aca="false">F8700</f>
        <v>49.53984</v>
      </c>
      <c r="Q8700" s="40" t="n">
        <f aca="false">J8700</f>
        <v>153.83424</v>
      </c>
      <c r="R8700" s="40" t="n">
        <f aca="false">N8700</f>
        <v>153.83424</v>
      </c>
      <c r="S8700" s="41" t="n">
        <f aca="false">R8700</f>
        <v>153.83424</v>
      </c>
    </row>
    <row r="8701" customFormat="false" ht="15" hidden="false" customHeight="false" outlineLevel="0" collapsed="false">
      <c r="A8701" s="4" t="s">
        <v>488</v>
      </c>
      <c r="B8701" s="36" t="s">
        <v>485</v>
      </c>
      <c r="C8701" s="39" t="n">
        <f aca="false">C8698+C8699+C8700</f>
        <v>551.88772352</v>
      </c>
      <c r="D8701" s="39" t="n">
        <f aca="false">D8698+D8699+D8700</f>
        <v>1103.77544704</v>
      </c>
      <c r="E8701" s="39" t="n">
        <f aca="false">E8698+E8699+E8700</f>
        <v>1103.77544704</v>
      </c>
      <c r="F8701" s="39" t="n">
        <f aca="false">F8698+F8699+F8700</f>
        <v>1103.77544704</v>
      </c>
      <c r="G8701" s="39" t="n">
        <f aca="false">G8698+G8699+G8700</f>
        <v>1493.49950176</v>
      </c>
      <c r="H8701" s="39" t="n">
        <f aca="false">H8698+H8699+H8700</f>
        <v>1883.22355648</v>
      </c>
      <c r="I8701" s="39" t="n">
        <f aca="false">I8698+I8699+I8700</f>
        <v>3167.61039616</v>
      </c>
      <c r="J8701" s="39" t="n">
        <f aca="false">J8698+J8699+J8700</f>
        <v>4451.99723584</v>
      </c>
      <c r="K8701" s="39" t="n">
        <f aca="false">K8698+K8699+K8700</f>
        <v>4451.99723584</v>
      </c>
      <c r="L8701" s="39" t="n">
        <f aca="false">L8698+L8699+L8700</f>
        <v>4451.99723584</v>
      </c>
      <c r="M8701" s="39" t="n">
        <f aca="false">M8698+M8699+M8700</f>
        <v>4451.99723584</v>
      </c>
      <c r="N8701" s="39" t="n">
        <f aca="false">N8698+N8699+N8700</f>
        <v>4451.99723584</v>
      </c>
      <c r="P8701" s="40" t="n">
        <f aca="false">F8701</f>
        <v>1103.77544704</v>
      </c>
      <c r="Q8701" s="40" t="n">
        <f aca="false">J8701</f>
        <v>4451.99723584</v>
      </c>
      <c r="R8701" s="40" t="n">
        <f aca="false">N8701</f>
        <v>4451.99723584</v>
      </c>
      <c r="S8701" s="41" t="n">
        <f aca="false">R8701</f>
        <v>4451.99723584</v>
      </c>
    </row>
    <row r="8702" customFormat="false" ht="15" hidden="false" customHeight="false" outlineLevel="0" collapsed="false">
      <c r="A8702" s="4" t="s">
        <v>489</v>
      </c>
      <c r="B8702" s="36" t="s">
        <v>485</v>
      </c>
      <c r="C8702" s="39" t="n">
        <f aca="false">$C$8672*C8692*C8695+$C$8676*C8693*C8696+$C$8680*C8694*C8697</f>
        <v>551.88772352</v>
      </c>
      <c r="D8702" s="39" t="n">
        <f aca="false">$C$8672*D8692*D8695+$C$8676*D8693*D8696+$C$8680*D8694*D8697</f>
        <v>1027.17879437302</v>
      </c>
      <c r="E8702" s="39" t="n">
        <f aca="false">$C$8672*E8692*E8695+$C$8676*E8693*E8696+$C$8680*E8694*E8697</f>
        <v>955.897577210165</v>
      </c>
      <c r="F8702" s="39" t="n">
        <f aca="false">$C$8672*F8692*F8695+$C$8676*F8693*F8696+$C$8680*F8694*F8697</f>
        <v>889.562930155704</v>
      </c>
      <c r="G8702" s="39" t="n">
        <f aca="false">$C$8672*G8692*G8695+$C$8676*G8693*G8696+$C$8680*G8694*G8697</f>
        <v>1217.55564</v>
      </c>
      <c r="H8702" s="39" t="n">
        <f aca="false">$C$8672*H8692*H8695+$C$8676*H8693*H8696+$C$8680*H8694*H8697</f>
        <v>1495.74229384257</v>
      </c>
      <c r="I8702" s="39" t="n">
        <f aca="false">$C$8672*I8692*I8695+$C$8676*I8693*I8696+$C$8680*I8694*I8697</f>
        <v>2676.33188629442</v>
      </c>
      <c r="J8702" s="39" t="n">
        <f aca="false">$C$8672*J8692*J8695+$C$8676*J8693*J8696+$C$8680*J8694*J8697</f>
        <v>3685.86409192847</v>
      </c>
      <c r="K8702" s="39" t="n">
        <f aca="false">$C$8672*K8692*K8695+$C$8676*K8693*K8696+$C$8680*K8694*K8697</f>
        <v>3430.08303393858</v>
      </c>
      <c r="L8702" s="39" t="n">
        <f aca="false">$C$8672*L8692*L8695+$C$8676*L8693*L8696+$C$8680*L8694*L8697</f>
        <v>3192.05193850692</v>
      </c>
      <c r="M8702" s="39" t="n">
        <f aca="false">$C$8672*M8692*M8695+$C$8676*M8693*M8696+$C$8680*M8694*M8697</f>
        <v>2970.53904448081</v>
      </c>
      <c r="N8702" s="39" t="n">
        <f aca="false">$C$8672*N8692*N8695+$C$8676*N8693*N8696+$C$8680*N8694*N8697</f>
        <v>2764.39806894635</v>
      </c>
      <c r="P8702" s="40"/>
      <c r="Q8702" s="40"/>
      <c r="R8702" s="40"/>
      <c r="S8702" s="41"/>
    </row>
    <row r="8703" customFormat="false" ht="15" hidden="false" customHeight="false" outlineLevel="0" collapsed="false">
      <c r="A8703" s="4" t="s">
        <v>490</v>
      </c>
      <c r="B8703" s="36" t="s">
        <v>491</v>
      </c>
      <c r="C8703" s="48" t="n">
        <f aca="false">$C$8684*Assumptions!$E$20*C8691*C8702</f>
        <v>6.62265268224</v>
      </c>
      <c r="D8703" s="48" t="n">
        <f aca="false">$C$8684*Assumptions!$E$20*D8691*D8702</f>
        <v>12.3261455324762</v>
      </c>
      <c r="E8703" s="48" t="n">
        <f aca="false">$C$8684*Assumptions!$E$20*E8691*E8702</f>
        <v>11.470770926522</v>
      </c>
      <c r="F8703" s="48" t="n">
        <f aca="false">$C$8684*Assumptions!$E$20*F8691*F8702</f>
        <v>10.6747551618685</v>
      </c>
      <c r="G8703" s="48" t="n">
        <f aca="false">$C$8684*Assumptions!$E$20*G8691*G8702</f>
        <v>14.61066768</v>
      </c>
      <c r="H8703" s="48" t="n">
        <f aca="false">$C$8684*Assumptions!$E$20*H8691*H8702</f>
        <v>17.9489075261109</v>
      </c>
      <c r="I8703" s="48" t="n">
        <f aca="false">$C$8684*Assumptions!$E$20*I8691*I8702</f>
        <v>32.115982635533</v>
      </c>
      <c r="J8703" s="48" t="n">
        <f aca="false">$C$8684*Assumptions!$E$20*J8691*J8702</f>
        <v>44.2303691031417</v>
      </c>
      <c r="K8703" s="48" t="n">
        <f aca="false">$C$8684*Assumptions!$E$20*K8691*K8702</f>
        <v>41.160996407263</v>
      </c>
      <c r="L8703" s="48" t="n">
        <f aca="false">$C$8684*Assumptions!$E$20*L8691*L8702</f>
        <v>38.304623262083</v>
      </c>
      <c r="M8703" s="48" t="n">
        <f aca="false">$C$8684*Assumptions!$E$20*M8691*M8702</f>
        <v>35.6464685337698</v>
      </c>
      <c r="N8703" s="48" t="n">
        <f aca="false">$C$8684*Assumptions!$E$20*N8691*N8702</f>
        <v>33.1727768273562</v>
      </c>
      <c r="P8703" s="49" t="n">
        <f aca="false">SUM(C8703:F8703)</f>
        <v>41.0943243031066</v>
      </c>
      <c r="Q8703" s="49" t="n">
        <f aca="false">SUM(G8703:J8703)</f>
        <v>108.905926944786</v>
      </c>
      <c r="R8703" s="49" t="n">
        <f aca="false">SUM(K8703:N8703)</f>
        <v>148.284865030472</v>
      </c>
      <c r="S8703" s="50" t="n">
        <f aca="false">SUM(P8703:R8703)</f>
        <v>298.285116278364</v>
      </c>
    </row>
    <row r="8704" customFormat="false" ht="15" hidden="false" customHeight="false" outlineLevel="0" collapsed="false">
      <c r="A8704" s="4" t="s">
        <v>492</v>
      </c>
      <c r="B8704" s="36" t="s">
        <v>321</v>
      </c>
      <c r="C8704" s="48" t="n">
        <f aca="false">Assumptions!$D$111</f>
        <v>0</v>
      </c>
      <c r="D8704" s="48" t="n">
        <f aca="false">Assumptions!$E$111</f>
        <v>0</v>
      </c>
      <c r="E8704" s="48" t="n">
        <f aca="false">Assumptions!$F$111</f>
        <v>0</v>
      </c>
      <c r="F8704" s="48" t="n">
        <f aca="false">Assumptions!$G$111</f>
        <v>0</v>
      </c>
      <c r="G8704" s="48" t="n">
        <f aca="false">Assumptions!$H$111</f>
        <v>0</v>
      </c>
      <c r="H8704" s="48" t="n">
        <f aca="false">Assumptions!$I$111</f>
        <v>0</v>
      </c>
      <c r="I8704" s="48" t="n">
        <f aca="false">Assumptions!$J$111</f>
        <v>0</v>
      </c>
      <c r="J8704" s="48" t="n">
        <f aca="false">Assumptions!$K$111</f>
        <v>0</v>
      </c>
      <c r="K8704" s="48" t="n">
        <f aca="false">Assumptions!$L$111</f>
        <v>0</v>
      </c>
      <c r="L8704" s="48" t="n">
        <f aca="false">Assumptions!$M$111</f>
        <v>0</v>
      </c>
      <c r="M8704" s="48" t="n">
        <f aca="false">Assumptions!$N$111</f>
        <v>0</v>
      </c>
      <c r="N8704" s="48" t="n">
        <f aca="false">Assumptions!$O$111</f>
        <v>0</v>
      </c>
      <c r="P8704" s="49" t="n">
        <f aca="false">F8704</f>
        <v>0</v>
      </c>
      <c r="Q8704" s="49" t="n">
        <f aca="false">J8704</f>
        <v>0</v>
      </c>
      <c r="R8704" s="49" t="n">
        <f aca="false">N8704</f>
        <v>0</v>
      </c>
      <c r="S8704" s="50" t="n">
        <f aca="false">R8704</f>
        <v>0</v>
      </c>
    </row>
    <row r="8705" customFormat="false" ht="15" hidden="false" customHeight="false" outlineLevel="0" collapsed="false">
      <c r="A8705" s="4" t="s">
        <v>493</v>
      </c>
      <c r="B8705" s="36" t="s">
        <v>321</v>
      </c>
      <c r="C8705" s="48" t="n">
        <f aca="false">0</f>
        <v>0</v>
      </c>
      <c r="D8705" s="48" t="n">
        <f aca="false">0.5*C8704</f>
        <v>0</v>
      </c>
      <c r="E8705" s="48" t="n">
        <f aca="false">C8704+0.5*(D8704-C8704)</f>
        <v>0</v>
      </c>
      <c r="F8705" s="48" t="n">
        <f aca="false">D8704+0.5*(E8704-D8704)</f>
        <v>0</v>
      </c>
      <c r="G8705" s="48" t="n">
        <f aca="false">E8704+0.5*(F8704-E8704)</f>
        <v>0</v>
      </c>
      <c r="H8705" s="48" t="n">
        <f aca="false">F8704+0.5*(G8704-F8704)</f>
        <v>0</v>
      </c>
      <c r="I8705" s="48" t="n">
        <f aca="false">G8704+0.5*(H8704-G8704)</f>
        <v>0</v>
      </c>
      <c r="J8705" s="48" t="n">
        <f aca="false">H8704+0.5*(I8704-H8704)</f>
        <v>0</v>
      </c>
      <c r="K8705" s="48" t="n">
        <f aca="false">I8704+0.5*(J8704-I8704)</f>
        <v>0</v>
      </c>
      <c r="L8705" s="48" t="n">
        <f aca="false">J8704+0.5*(K8704-J8704)</f>
        <v>0</v>
      </c>
      <c r="M8705" s="48" t="n">
        <f aca="false">K8704+0.5*(L8704-K8704)</f>
        <v>0</v>
      </c>
      <c r="N8705" s="48" t="n">
        <f aca="false">L8704+0.5*(M8704-L8704)</f>
        <v>0</v>
      </c>
      <c r="P8705" s="49" t="n">
        <f aca="false">F8705</f>
        <v>0</v>
      </c>
      <c r="Q8705" s="49" t="n">
        <f aca="false">J8705</f>
        <v>0</v>
      </c>
      <c r="R8705" s="49" t="n">
        <f aca="false">N8705</f>
        <v>0</v>
      </c>
      <c r="S8705" s="50" t="n">
        <f aca="false">R8705</f>
        <v>0</v>
      </c>
    </row>
    <row r="8706" customFormat="false" ht="15" hidden="false" customHeight="false" outlineLevel="0" collapsed="false">
      <c r="A8706" s="4" t="s">
        <v>494</v>
      </c>
      <c r="B8706" s="36" t="s">
        <v>485</v>
      </c>
      <c r="C8706" s="39" t="n">
        <f aca="false">MIN(C8705*Assumptions!$E$38,C8701*(1-$C$8684))</f>
        <v>0</v>
      </c>
      <c r="D8706" s="39" t="n">
        <f aca="false">MIN(D8705*Assumptions!$E$38,D8701*(1-$C$8684))</f>
        <v>0</v>
      </c>
      <c r="E8706" s="39" t="n">
        <f aca="false">MIN(E8705*Assumptions!$E$38,E8701*(1-$C$8684))</f>
        <v>0</v>
      </c>
      <c r="F8706" s="39" t="n">
        <f aca="false">MIN(F8705*Assumptions!$E$38,F8701*(1-$C$8684))</f>
        <v>0</v>
      </c>
      <c r="G8706" s="39" t="n">
        <f aca="false">MIN(G8705*Assumptions!$E$38,G8701*(1-$C$8684))</f>
        <v>0</v>
      </c>
      <c r="H8706" s="39" t="n">
        <f aca="false">MIN(H8705*Assumptions!$E$38,H8701*(1-$C$8684))</f>
        <v>0</v>
      </c>
      <c r="I8706" s="39" t="n">
        <f aca="false">MIN(I8705*Assumptions!$E$38,I8701*(1-$C$8684))</f>
        <v>0</v>
      </c>
      <c r="J8706" s="39" t="n">
        <f aca="false">MIN(J8705*Assumptions!$E$38,J8701*(1-$C$8684))</f>
        <v>0</v>
      </c>
      <c r="K8706" s="39" t="n">
        <f aca="false">MIN(K8705*Assumptions!$E$38,K8701*(1-$C$8684))</f>
        <v>0</v>
      </c>
      <c r="L8706" s="39" t="n">
        <f aca="false">MIN(L8705*Assumptions!$E$38,L8701*(1-$C$8684))</f>
        <v>0</v>
      </c>
      <c r="M8706" s="39" t="n">
        <f aca="false">MIN(M8705*Assumptions!$E$38,M8701*(1-$C$8684))</f>
        <v>0</v>
      </c>
      <c r="N8706" s="39" t="n">
        <f aca="false">MIN(N8705*Assumptions!$E$38,N8701*(1-$C$8684))</f>
        <v>0</v>
      </c>
      <c r="P8706" s="40" t="n">
        <f aca="false">SUM(C8706:F8706)</f>
        <v>0</v>
      </c>
      <c r="Q8706" s="40" t="n">
        <f aca="false">SUM(G8706:J8706)</f>
        <v>0</v>
      </c>
      <c r="R8706" s="40" t="n">
        <f aca="false">SUM(K8706:N8706)</f>
        <v>0</v>
      </c>
      <c r="S8706" s="41" t="n">
        <f aca="false">SUM(P8706:R8706)</f>
        <v>0</v>
      </c>
    </row>
    <row r="8707" customFormat="false" ht="15" hidden="false" customHeight="false" outlineLevel="0" collapsed="false">
      <c r="A8707" s="4" t="s">
        <v>495</v>
      </c>
      <c r="B8707" s="36" t="s">
        <v>491</v>
      </c>
      <c r="C8707" s="48" t="n">
        <f aca="false">C8706*Assumptions!$E$20*Assumptions!$E$39*IF(C8701&gt;0,C8702/C8701,0)*C8691</f>
        <v>0</v>
      </c>
      <c r="D8707" s="48" t="n">
        <f aca="false">D8706*Assumptions!$E$20*Assumptions!$E$39*IF(D8701&gt;0,D8702/D8701,0)*D8691</f>
        <v>0</v>
      </c>
      <c r="E8707" s="48" t="n">
        <f aca="false">E8706*Assumptions!$E$20*Assumptions!$E$39*IF(E8701&gt;0,E8702/E8701,0)*E8691</f>
        <v>0</v>
      </c>
      <c r="F8707" s="48" t="n">
        <f aca="false">F8706*Assumptions!$E$20*Assumptions!$E$39*IF(F8701&gt;0,F8702/F8701,0)*F8691</f>
        <v>0</v>
      </c>
      <c r="G8707" s="48" t="n">
        <f aca="false">G8706*Assumptions!$E$20*Assumptions!$E$39*IF(G8701&gt;0,G8702/G8701,0)*G8691</f>
        <v>0</v>
      </c>
      <c r="H8707" s="48" t="n">
        <f aca="false">H8706*Assumptions!$E$20*Assumptions!$E$39*IF(H8701&gt;0,H8702/H8701,0)*H8691</f>
        <v>0</v>
      </c>
      <c r="I8707" s="48" t="n">
        <f aca="false">I8706*Assumptions!$E$20*Assumptions!$E$39*IF(I8701&gt;0,I8702/I8701,0)*I8691</f>
        <v>0</v>
      </c>
      <c r="J8707" s="48" t="n">
        <f aca="false">J8706*Assumptions!$E$20*Assumptions!$E$39*IF(J8701&gt;0,J8702/J8701,0)*J8691</f>
        <v>0</v>
      </c>
      <c r="K8707" s="48" t="n">
        <f aca="false">K8706*Assumptions!$E$20*Assumptions!$E$39*IF(K8701&gt;0,K8702/K8701,0)*K8691</f>
        <v>0</v>
      </c>
      <c r="L8707" s="48" t="n">
        <f aca="false">L8706*Assumptions!$E$20*Assumptions!$E$39*IF(L8701&gt;0,L8702/L8701,0)*L8691</f>
        <v>0</v>
      </c>
      <c r="M8707" s="48" t="n">
        <f aca="false">M8706*Assumptions!$E$20*Assumptions!$E$39*IF(M8701&gt;0,M8702/M8701,0)*M8691</f>
        <v>0</v>
      </c>
      <c r="N8707" s="48" t="n">
        <f aca="false">N8706*Assumptions!$E$20*Assumptions!$E$39*IF(N8701&gt;0,N8702/N8701,0)*N8691</f>
        <v>0</v>
      </c>
      <c r="P8707" s="49" t="n">
        <f aca="false">SUM(C8707:F8707)</f>
        <v>0</v>
      </c>
      <c r="Q8707" s="49" t="n">
        <f aca="false">SUM(G8707:J8707)</f>
        <v>0</v>
      </c>
      <c r="R8707" s="49" t="n">
        <f aca="false">SUM(K8707:N8707)</f>
        <v>0</v>
      </c>
      <c r="S8707" s="50" t="n">
        <f aca="false">SUM(P8707:R8707)</f>
        <v>0</v>
      </c>
    </row>
    <row r="8708" customFormat="false" ht="15" hidden="false" customHeight="false" outlineLevel="0" collapsed="false">
      <c r="A8708" s="4" t="s">
        <v>496</v>
      </c>
      <c r="B8708" s="36" t="s">
        <v>497</v>
      </c>
      <c r="C8708" s="48" t="n">
        <f aca="false">IF(AND(C8701&gt;0,$C$8688&gt;0),C8701*Assumptions!$E$24*(1-EXP(-$C$8688/(Assumptions!$E$23*C8701*Assumptions!$E$24))),0)</f>
        <v>0</v>
      </c>
      <c r="D8708" s="48" t="n">
        <f aca="false">IF(AND(D8701&gt;0,$C$8688&gt;0),D8701*Assumptions!$E$24*(1-EXP(-$C$8688/(Assumptions!$E$23*D8701*Assumptions!$E$24))),0)</f>
        <v>0</v>
      </c>
      <c r="E8708" s="48" t="n">
        <f aca="false">IF(AND(E8701&gt;0,$C$8688&gt;0),E8701*Assumptions!$E$24*(1-EXP(-$C$8688/(Assumptions!$E$23*E8701*Assumptions!$E$24))),0)</f>
        <v>0</v>
      </c>
      <c r="F8708" s="48" t="n">
        <f aca="false">IF(AND(F8701&gt;0,$C$8688&gt;0),F8701*Assumptions!$E$24*(1-EXP(-$C$8688/(Assumptions!$E$23*F8701*Assumptions!$E$24))),0)</f>
        <v>0</v>
      </c>
      <c r="G8708" s="48" t="n">
        <f aca="false">IF(AND(G8701&gt;0,$C$8688&gt;0),G8701*Assumptions!$E$24*(1-EXP(-$C$8688/(Assumptions!$E$23*G8701*Assumptions!$E$24))),0)</f>
        <v>0</v>
      </c>
      <c r="H8708" s="48" t="n">
        <f aca="false">IF(AND(H8701&gt;0,$C$8688&gt;0),H8701*Assumptions!$E$24*(1-EXP(-$C$8688/(Assumptions!$E$23*H8701*Assumptions!$E$24))),0)</f>
        <v>0</v>
      </c>
      <c r="I8708" s="48" t="n">
        <f aca="false">IF(AND(I8701&gt;0,$C$8688&gt;0),I8701*Assumptions!$E$24*(1-EXP(-$C$8688/(Assumptions!$E$23*I8701*Assumptions!$E$24))),0)</f>
        <v>0</v>
      </c>
      <c r="J8708" s="48" t="n">
        <f aca="false">IF(AND(J8701&gt;0,$C$8688&gt;0),J8701*Assumptions!$E$24*(1-EXP(-$C$8688/(Assumptions!$E$23*J8701*Assumptions!$E$24))),0)</f>
        <v>0</v>
      </c>
      <c r="K8708" s="48" t="n">
        <f aca="false">IF(AND(K8701&gt;0,$C$8688&gt;0),K8701*Assumptions!$E$24*(1-EXP(-$C$8688/(Assumptions!$E$23*K8701*Assumptions!$E$24))),0)</f>
        <v>0</v>
      </c>
      <c r="L8708" s="48" t="n">
        <f aca="false">IF(AND(L8701&gt;0,$C$8688&gt;0),L8701*Assumptions!$E$24*(1-EXP(-$C$8688/(Assumptions!$E$23*L8701*Assumptions!$E$24))),0)</f>
        <v>0</v>
      </c>
      <c r="M8708" s="48" t="n">
        <f aca="false">IF(AND(M8701&gt;0,$C$8688&gt;0),M8701*Assumptions!$E$24*(1-EXP(-$C$8688/(Assumptions!$E$23*M8701*Assumptions!$E$24))),0)</f>
        <v>0</v>
      </c>
      <c r="N8708" s="48" t="n">
        <f aca="false">IF(AND(N8701&gt;0,$C$8688&gt;0),N8701*Assumptions!$E$24*(1-EXP(-$C$8688/(Assumptions!$E$23*N8701*Assumptions!$E$24))),0)</f>
        <v>0</v>
      </c>
      <c r="P8708" s="49" t="n">
        <f aca="false">SUM(C8708:F8708)</f>
        <v>0</v>
      </c>
      <c r="Q8708" s="49" t="n">
        <f aca="false">SUM(G8708:J8708)</f>
        <v>0</v>
      </c>
      <c r="R8708" s="49" t="n">
        <f aca="false">SUM(K8708:N8708)</f>
        <v>0</v>
      </c>
      <c r="S8708" s="50" t="n">
        <f aca="false">SUM(P8708:R8708)</f>
        <v>0</v>
      </c>
    </row>
    <row r="8709" customFormat="false" ht="15" hidden="false" customHeight="false" outlineLevel="0" collapsed="false">
      <c r="A8709" s="4" t="s">
        <v>498</v>
      </c>
      <c r="B8709" s="36" t="s">
        <v>497</v>
      </c>
      <c r="C8709" s="48" t="n">
        <f aca="false">(C8701*Assumptions!$E$22*MIN(1,Assumptions!$D$103/Assumptions!$E$78)+C8708)*C8691</f>
        <v>5.5188772352</v>
      </c>
      <c r="D8709" s="48" t="n">
        <f aca="false">(D8701*Assumptions!$E$22*MIN(1,Assumptions!$D$103/Assumptions!$E$78)+D8708)*D8691</f>
        <v>11.0377544704</v>
      </c>
      <c r="E8709" s="48" t="n">
        <f aca="false">(E8701*Assumptions!$E$22*MIN(1,Assumptions!$D$103/Assumptions!$E$78)+E8708)*E8691</f>
        <v>11.0377544704</v>
      </c>
      <c r="F8709" s="48" t="n">
        <f aca="false">(F8701*Assumptions!$E$22*MIN(1,Assumptions!$D$103/Assumptions!$E$78)+F8708)*F8691</f>
        <v>11.0377544704</v>
      </c>
      <c r="G8709" s="48" t="n">
        <f aca="false">(G8701*Assumptions!$E$22*MIN(1,Assumptions!$D$103/Assumptions!$E$78)+G8708)*G8691</f>
        <v>14.9349950176</v>
      </c>
      <c r="H8709" s="48" t="n">
        <f aca="false">(H8701*Assumptions!$E$22*MIN(1,Assumptions!$D$103/Assumptions!$E$78)+H8708)*H8691</f>
        <v>18.8322355648</v>
      </c>
      <c r="I8709" s="48" t="n">
        <f aca="false">(I8701*Assumptions!$E$22*MIN(1,Assumptions!$D$103/Assumptions!$E$78)+I8708)*I8691</f>
        <v>31.6761039616</v>
      </c>
      <c r="J8709" s="48" t="n">
        <f aca="false">(J8701*Assumptions!$E$22*MIN(1,Assumptions!$D$103/Assumptions!$E$78)+J8708)*J8691</f>
        <v>44.5199723584</v>
      </c>
      <c r="K8709" s="48" t="n">
        <f aca="false">(K8701*Assumptions!$E$22*MIN(1,Assumptions!$D$103/Assumptions!$E$78)+K8708)*K8691</f>
        <v>44.5199723584</v>
      </c>
      <c r="L8709" s="48" t="n">
        <f aca="false">(L8701*Assumptions!$E$22*MIN(1,Assumptions!$D$103/Assumptions!$E$78)+L8708)*L8691</f>
        <v>44.5199723584</v>
      </c>
      <c r="M8709" s="48" t="n">
        <f aca="false">(M8701*Assumptions!$E$22*MIN(1,Assumptions!$D$103/Assumptions!$E$78)+M8708)*M8691</f>
        <v>44.5199723584</v>
      </c>
      <c r="N8709" s="48" t="n">
        <f aca="false">(N8701*Assumptions!$E$22*MIN(1,Assumptions!$D$103/Assumptions!$E$78)+N8708)*N8691</f>
        <v>44.5199723584</v>
      </c>
      <c r="P8709" s="49" t="n">
        <f aca="false">SUM(C8709:F8709)</f>
        <v>38.6321406464</v>
      </c>
      <c r="Q8709" s="49" t="n">
        <f aca="false">SUM(G8709:J8709)</f>
        <v>109.9633069024</v>
      </c>
      <c r="R8709" s="49" t="n">
        <f aca="false">SUM(K8709:N8709)</f>
        <v>178.0798894336</v>
      </c>
      <c r="S8709" s="50" t="n">
        <f aca="false">SUM(P8709:R8709)</f>
        <v>326.6753369824</v>
      </c>
    </row>
    <row r="8710" customFormat="false" ht="15" hidden="false" customHeight="false" outlineLevel="0" collapsed="false">
      <c r="A8710" s="4" t="s">
        <v>499</v>
      </c>
      <c r="B8710" s="36" t="s">
        <v>500</v>
      </c>
      <c r="C8710" s="48" t="n">
        <f aca="false">C8691*MIN(Assumptions!$E$27,Assumptions!$E$25+Assumptions!$E$26*(C8690-1))*Assumptions!$D$107</f>
        <v>2</v>
      </c>
      <c r="D8710" s="48" t="n">
        <f aca="false">D8691*MIN(Assumptions!$E$27,Assumptions!$E$25+Assumptions!$E$26*(D8690-1))*Assumptions!$D$107</f>
        <v>3</v>
      </c>
      <c r="E8710" s="48" t="n">
        <f aca="false">E8691*MIN(Assumptions!$E$27,Assumptions!$E$25+Assumptions!$E$26*(E8690-1))*Assumptions!$D$107</f>
        <v>4</v>
      </c>
      <c r="F8710" s="48" t="n">
        <f aca="false">F8691*MIN(Assumptions!$E$27,Assumptions!$E$25+Assumptions!$E$26*(F8690-1))*Assumptions!$D$107</f>
        <v>5</v>
      </c>
      <c r="G8710" s="48" t="n">
        <f aca="false">G8691*MIN(Assumptions!$E$27,Assumptions!$E$25+Assumptions!$E$26*(G8690-1))*Assumptions!$D$107</f>
        <v>6</v>
      </c>
      <c r="H8710" s="48" t="n">
        <f aca="false">H8691*MIN(Assumptions!$E$27,Assumptions!$E$25+Assumptions!$E$26*(H8690-1))*Assumptions!$D$107</f>
        <v>7</v>
      </c>
      <c r="I8710" s="48" t="n">
        <f aca="false">I8691*MIN(Assumptions!$E$27,Assumptions!$E$25+Assumptions!$E$26*(I8690-1))*Assumptions!$D$107</f>
        <v>8</v>
      </c>
      <c r="J8710" s="48" t="n">
        <f aca="false">J8691*MIN(Assumptions!$E$27,Assumptions!$E$25+Assumptions!$E$26*(J8690-1))*Assumptions!$D$107</f>
        <v>9</v>
      </c>
      <c r="K8710" s="48" t="n">
        <f aca="false">K8691*MIN(Assumptions!$E$27,Assumptions!$E$25+Assumptions!$E$26*(K8690-1))*Assumptions!$D$107</f>
        <v>10</v>
      </c>
      <c r="L8710" s="48" t="n">
        <f aca="false">L8691*MIN(Assumptions!$E$27,Assumptions!$E$25+Assumptions!$E$26*(L8690-1))*Assumptions!$D$107</f>
        <v>10</v>
      </c>
      <c r="M8710" s="48" t="n">
        <f aca="false">M8691*MIN(Assumptions!$E$27,Assumptions!$E$25+Assumptions!$E$26*(M8690-1))*Assumptions!$D$107</f>
        <v>10</v>
      </c>
      <c r="N8710" s="48" t="n">
        <f aca="false">N8691*MIN(Assumptions!$E$27,Assumptions!$E$25+Assumptions!$E$26*(N8690-1))*Assumptions!$D$107</f>
        <v>10</v>
      </c>
      <c r="P8710" s="49" t="n">
        <f aca="false">F8710</f>
        <v>5</v>
      </c>
      <c r="Q8710" s="49" t="n">
        <f aca="false">J8710</f>
        <v>9</v>
      </c>
      <c r="R8710" s="49" t="n">
        <f aca="false">N8710</f>
        <v>10</v>
      </c>
      <c r="S8710" s="50" t="n">
        <f aca="false">R8710</f>
        <v>10</v>
      </c>
    </row>
    <row r="8711" customFormat="false" ht="15" hidden="false" customHeight="false" outlineLevel="0" collapsed="false">
      <c r="A8711" s="4" t="s">
        <v>501</v>
      </c>
      <c r="B8711" s="36" t="s">
        <v>502</v>
      </c>
      <c r="C8711" s="48" t="n">
        <f aca="false">C8710*Assumptions!$E$28</f>
        <v>6</v>
      </c>
      <c r="D8711" s="48" t="n">
        <f aca="false">D8710*Assumptions!$E$28</f>
        <v>9</v>
      </c>
      <c r="E8711" s="48" t="n">
        <f aca="false">E8710*Assumptions!$E$28</f>
        <v>12</v>
      </c>
      <c r="F8711" s="48" t="n">
        <f aca="false">F8710*Assumptions!$E$28</f>
        <v>15</v>
      </c>
      <c r="G8711" s="48" t="n">
        <f aca="false">G8710*Assumptions!$E$28</f>
        <v>18</v>
      </c>
      <c r="H8711" s="48" t="n">
        <f aca="false">H8710*Assumptions!$E$28</f>
        <v>21</v>
      </c>
      <c r="I8711" s="48" t="n">
        <f aca="false">I8710*Assumptions!$E$28</f>
        <v>24</v>
      </c>
      <c r="J8711" s="48" t="n">
        <f aca="false">J8710*Assumptions!$E$28</f>
        <v>27</v>
      </c>
      <c r="K8711" s="48" t="n">
        <f aca="false">K8710*Assumptions!$E$28</f>
        <v>30</v>
      </c>
      <c r="L8711" s="48" t="n">
        <f aca="false">L8710*Assumptions!$E$28</f>
        <v>30</v>
      </c>
      <c r="M8711" s="48" t="n">
        <f aca="false">M8710*Assumptions!$E$28</f>
        <v>30</v>
      </c>
      <c r="N8711" s="48" t="n">
        <f aca="false">N8710*Assumptions!$E$28</f>
        <v>30</v>
      </c>
      <c r="P8711" s="49" t="n">
        <f aca="false">SUM(C8711:F8711)</f>
        <v>42</v>
      </c>
      <c r="Q8711" s="49" t="n">
        <f aca="false">SUM(G8711:J8711)</f>
        <v>90</v>
      </c>
      <c r="R8711" s="49" t="n">
        <f aca="false">SUM(K8711:N8711)</f>
        <v>120</v>
      </c>
      <c r="S8711" s="50" t="n">
        <f aca="false">SUM(P8711:R8711)</f>
        <v>252</v>
      </c>
    </row>
    <row r="8712" customFormat="false" ht="15" hidden="false" customHeight="false" outlineLevel="0" collapsed="false">
      <c r="A8712" s="4" t="s">
        <v>503</v>
      </c>
      <c r="B8712" s="36" t="s">
        <v>504</v>
      </c>
      <c r="C8712" s="48" t="n">
        <f aca="false">(C8703+C8707)*Assumptions!$E$29</f>
        <v>2.649061072896</v>
      </c>
      <c r="D8712" s="48" t="n">
        <f aca="false">(D8703+D8707)*Assumptions!$E$29</f>
        <v>4.93045821299048</v>
      </c>
      <c r="E8712" s="48" t="n">
        <f aca="false">(E8703+E8707)*Assumptions!$E$29</f>
        <v>4.58830837060879</v>
      </c>
      <c r="F8712" s="48" t="n">
        <f aca="false">(F8703+F8707)*Assumptions!$E$29</f>
        <v>4.26990206474738</v>
      </c>
      <c r="G8712" s="48" t="n">
        <f aca="false">(G8703+G8707)*Assumptions!$E$29</f>
        <v>5.844267072</v>
      </c>
      <c r="H8712" s="48" t="n">
        <f aca="false">(H8703+H8707)*Assumptions!$E$29</f>
        <v>7.17956301044434</v>
      </c>
      <c r="I8712" s="48" t="n">
        <f aca="false">(I8703+I8707)*Assumptions!$E$29</f>
        <v>12.8463930542132</v>
      </c>
      <c r="J8712" s="48" t="n">
        <f aca="false">(J8703+J8707)*Assumptions!$E$29</f>
        <v>17.6921476412567</v>
      </c>
      <c r="K8712" s="48" t="n">
        <f aca="false">(K8703+K8707)*Assumptions!$E$29</f>
        <v>16.4643985629052</v>
      </c>
      <c r="L8712" s="48" t="n">
        <f aca="false">(L8703+L8707)*Assumptions!$E$29</f>
        <v>15.3218493048332</v>
      </c>
      <c r="M8712" s="48" t="n">
        <f aca="false">(M8703+M8707)*Assumptions!$E$29</f>
        <v>14.2585874135079</v>
      </c>
      <c r="N8712" s="48" t="n">
        <f aca="false">(N8703+N8707)*Assumptions!$E$29</f>
        <v>13.2691107309425</v>
      </c>
      <c r="P8712" s="49" t="n">
        <f aca="false">SUM(C8712:F8712)</f>
        <v>16.4377297212427</v>
      </c>
      <c r="Q8712" s="49" t="n">
        <f aca="false">SUM(G8712:J8712)</f>
        <v>43.5623707779142</v>
      </c>
      <c r="R8712" s="49" t="n">
        <f aca="false">SUM(K8712:N8712)</f>
        <v>59.3139460121888</v>
      </c>
      <c r="S8712" s="50" t="n">
        <f aca="false">SUM(P8712:R8712)</f>
        <v>119.314046511346</v>
      </c>
    </row>
    <row r="8713" customFormat="false" ht="15" hidden="false" customHeight="false" outlineLevel="0" collapsed="false">
      <c r="A8713" s="4" t="s">
        <v>505</v>
      </c>
      <c r="B8713" s="36" t="s">
        <v>504</v>
      </c>
      <c r="C8713" s="48" t="n">
        <f aca="false">C8709*Assumptions!$E$31</f>
        <v>0.883020357632</v>
      </c>
      <c r="D8713" s="48" t="n">
        <f aca="false">D8709*Assumptions!$E$31</f>
        <v>1.766040715264</v>
      </c>
      <c r="E8713" s="48" t="n">
        <f aca="false">E8709*Assumptions!$E$31</f>
        <v>1.766040715264</v>
      </c>
      <c r="F8713" s="48" t="n">
        <f aca="false">F8709*Assumptions!$E$31</f>
        <v>1.766040715264</v>
      </c>
      <c r="G8713" s="48" t="n">
        <f aca="false">G8709*Assumptions!$E$31</f>
        <v>2.389599202816</v>
      </c>
      <c r="H8713" s="48" t="n">
        <f aca="false">H8709*Assumptions!$E$31</f>
        <v>3.013157690368</v>
      </c>
      <c r="I8713" s="48" t="n">
        <f aca="false">I8709*Assumptions!$E$31</f>
        <v>5.068176633856</v>
      </c>
      <c r="J8713" s="48" t="n">
        <f aca="false">J8709*Assumptions!$E$31</f>
        <v>7.123195577344</v>
      </c>
      <c r="K8713" s="48" t="n">
        <f aca="false">K8709*Assumptions!$E$31</f>
        <v>7.123195577344</v>
      </c>
      <c r="L8713" s="48" t="n">
        <f aca="false">L8709*Assumptions!$E$31</f>
        <v>7.123195577344</v>
      </c>
      <c r="M8713" s="48" t="n">
        <f aca="false">M8709*Assumptions!$E$31</f>
        <v>7.123195577344</v>
      </c>
      <c r="N8713" s="48" t="n">
        <f aca="false">N8709*Assumptions!$E$31</f>
        <v>7.123195577344</v>
      </c>
      <c r="P8713" s="49" t="n">
        <f aca="false">SUM(C8713:F8713)</f>
        <v>6.181142503424</v>
      </c>
      <c r="Q8713" s="49" t="n">
        <f aca="false">SUM(G8713:J8713)</f>
        <v>17.594129104384</v>
      </c>
      <c r="R8713" s="49" t="n">
        <f aca="false">SUM(K8713:N8713)</f>
        <v>28.492782309376</v>
      </c>
      <c r="S8713" s="50" t="n">
        <f aca="false">SUM(P8713:R8713)</f>
        <v>52.268053917184</v>
      </c>
    </row>
    <row r="8714" customFormat="false" ht="15" hidden="false" customHeight="false" outlineLevel="0" collapsed="false">
      <c r="A8714" s="4" t="s">
        <v>506</v>
      </c>
      <c r="B8714" s="36" t="s">
        <v>504</v>
      </c>
      <c r="C8714" s="48" t="n">
        <f aca="false">C8711*Assumptions!$E$30</f>
        <v>3</v>
      </c>
      <c r="D8714" s="48" t="n">
        <f aca="false">D8711*Assumptions!$E$30</f>
        <v>4.5</v>
      </c>
      <c r="E8714" s="48" t="n">
        <f aca="false">E8711*Assumptions!$E$30</f>
        <v>6</v>
      </c>
      <c r="F8714" s="48" t="n">
        <f aca="false">F8711*Assumptions!$E$30</f>
        <v>7.5</v>
      </c>
      <c r="G8714" s="48" t="n">
        <f aca="false">G8711*Assumptions!$E$30</f>
        <v>9</v>
      </c>
      <c r="H8714" s="48" t="n">
        <f aca="false">H8711*Assumptions!$E$30</f>
        <v>10.5</v>
      </c>
      <c r="I8714" s="48" t="n">
        <f aca="false">I8711*Assumptions!$E$30</f>
        <v>12</v>
      </c>
      <c r="J8714" s="48" t="n">
        <f aca="false">J8711*Assumptions!$E$30</f>
        <v>13.5</v>
      </c>
      <c r="K8714" s="48" t="n">
        <f aca="false">K8711*Assumptions!$E$30</f>
        <v>15</v>
      </c>
      <c r="L8714" s="48" t="n">
        <f aca="false">L8711*Assumptions!$E$30</f>
        <v>15</v>
      </c>
      <c r="M8714" s="48" t="n">
        <f aca="false">M8711*Assumptions!$E$30</f>
        <v>15</v>
      </c>
      <c r="N8714" s="48" t="n">
        <f aca="false">N8711*Assumptions!$E$30</f>
        <v>15</v>
      </c>
      <c r="P8714" s="49" t="n">
        <f aca="false">SUM(C8714:F8714)</f>
        <v>21</v>
      </c>
      <c r="Q8714" s="49" t="n">
        <f aca="false">SUM(G8714:J8714)</f>
        <v>45</v>
      </c>
      <c r="R8714" s="49" t="n">
        <f aca="false">SUM(K8714:N8714)</f>
        <v>60</v>
      </c>
      <c r="S8714" s="50" t="n">
        <f aca="false">SUM(P8714:R8714)</f>
        <v>126</v>
      </c>
    </row>
    <row r="8715" customFormat="false" ht="15" hidden="false" customHeight="false" outlineLevel="0" collapsed="false">
      <c r="A8715" s="9" t="s">
        <v>507</v>
      </c>
      <c r="B8715" s="36" t="s">
        <v>504</v>
      </c>
      <c r="C8715" s="49" t="n">
        <f aca="false">C8712+C8713+C8714</f>
        <v>6.532081430528</v>
      </c>
      <c r="D8715" s="49" t="n">
        <f aca="false">D8712+D8713+D8714</f>
        <v>11.1964989282545</v>
      </c>
      <c r="E8715" s="49" t="n">
        <f aca="false">E8712+E8713+E8714</f>
        <v>12.3543490858728</v>
      </c>
      <c r="F8715" s="49" t="n">
        <f aca="false">F8712+F8713+F8714</f>
        <v>13.5359427800114</v>
      </c>
      <c r="G8715" s="49" t="n">
        <f aca="false">G8712+G8713+G8714</f>
        <v>17.233866274816</v>
      </c>
      <c r="H8715" s="49" t="n">
        <f aca="false">H8712+H8713+H8714</f>
        <v>20.6927207008123</v>
      </c>
      <c r="I8715" s="49" t="n">
        <f aca="false">I8712+I8713+I8714</f>
        <v>29.9145696880692</v>
      </c>
      <c r="J8715" s="49" t="n">
        <f aca="false">J8712+J8713+J8714</f>
        <v>38.3153432186007</v>
      </c>
      <c r="K8715" s="49" t="n">
        <f aca="false">K8712+K8713+K8714</f>
        <v>38.5875941402492</v>
      </c>
      <c r="L8715" s="49" t="n">
        <f aca="false">L8712+L8713+L8714</f>
        <v>37.4450448821772</v>
      </c>
      <c r="M8715" s="49" t="n">
        <f aca="false">M8712+M8713+M8714</f>
        <v>36.3817829908519</v>
      </c>
      <c r="N8715" s="49" t="n">
        <f aca="false">N8712+N8713+N8714</f>
        <v>35.3923063082865</v>
      </c>
      <c r="P8715" s="49" t="n">
        <f aca="false">SUM(C8715:F8715)</f>
        <v>43.6188722246667</v>
      </c>
      <c r="Q8715" s="49" t="n">
        <f aca="false">SUM(G8715:J8715)</f>
        <v>106.156499882298</v>
      </c>
      <c r="R8715" s="49" t="n">
        <f aca="false">SUM(K8715:N8715)</f>
        <v>147.806728321565</v>
      </c>
      <c r="S8715" s="50" t="n">
        <f aca="false">SUM(P8715:R8715)</f>
        <v>297.58210042853</v>
      </c>
    </row>
    <row r="8716" customFormat="false" ht="15" hidden="false" customHeight="false" outlineLevel="0" collapsed="false">
      <c r="A8716" s="4" t="s">
        <v>508</v>
      </c>
      <c r="B8716" s="36" t="s">
        <v>509</v>
      </c>
      <c r="C8716" s="48" t="n">
        <f aca="false">C8698</f>
        <v>421.51972352</v>
      </c>
      <c r="D8716" s="48" t="n">
        <f aca="false">D8698</f>
        <v>843.03944704</v>
      </c>
      <c r="E8716" s="48" t="n">
        <f aca="false">E8698</f>
        <v>843.03944704</v>
      </c>
      <c r="F8716" s="48" t="n">
        <f aca="false">F8698</f>
        <v>843.03944704</v>
      </c>
      <c r="G8716" s="48" t="n">
        <f aca="false">G8698</f>
        <v>1149.32798176</v>
      </c>
      <c r="H8716" s="48" t="n">
        <f aca="false">H8698</f>
        <v>1455.61651648</v>
      </c>
      <c r="I8716" s="48" t="n">
        <f aca="false">I8698</f>
        <v>2486.00303616</v>
      </c>
      <c r="J8716" s="48" t="n">
        <f aca="false">J8698</f>
        <v>3516.38955584</v>
      </c>
      <c r="K8716" s="48" t="n">
        <f aca="false">K8698</f>
        <v>3516.38955584</v>
      </c>
      <c r="L8716" s="48" t="n">
        <f aca="false">L8698</f>
        <v>3516.38955584</v>
      </c>
      <c r="M8716" s="48" t="n">
        <f aca="false">M8698</f>
        <v>3516.38955584</v>
      </c>
      <c r="N8716" s="48" t="n">
        <f aca="false">N8698</f>
        <v>3516.38955584</v>
      </c>
      <c r="P8716" s="49"/>
      <c r="Q8716" s="49"/>
      <c r="R8716" s="49"/>
      <c r="S8716" s="50"/>
    </row>
    <row r="8717" customFormat="false" ht="15" hidden="false" customHeight="false" outlineLevel="0" collapsed="false">
      <c r="A8717" s="4" t="s">
        <v>510</v>
      </c>
      <c r="B8717" s="36" t="s">
        <v>509</v>
      </c>
      <c r="C8717" s="48" t="n">
        <f aca="false">C8699*Assumptions!$E$18*Assumptions!$E$33</f>
        <v>211.19616</v>
      </c>
      <c r="D8717" s="48" t="n">
        <f aca="false">D8699*Assumptions!$E$18*Assumptions!$E$33</f>
        <v>422.39232</v>
      </c>
      <c r="E8717" s="48" t="n">
        <f aca="false">E8699*Assumptions!$E$18*Assumptions!$E$33</f>
        <v>422.39232</v>
      </c>
      <c r="F8717" s="48" t="n">
        <f aca="false">F8699*Assumptions!$E$18*Assumptions!$E$33</f>
        <v>422.39232</v>
      </c>
      <c r="G8717" s="48" t="n">
        <f aca="false">G8699*Assumptions!$E$18*Assumptions!$E$33</f>
        <v>564.49344</v>
      </c>
      <c r="H8717" s="48" t="n">
        <f aca="false">H8699*Assumptions!$E$18*Assumptions!$E$33</f>
        <v>706.59456</v>
      </c>
      <c r="I8717" s="48" t="n">
        <f aca="false">I8699*Assumptions!$E$18*Assumptions!$E$33</f>
        <v>1135.07072</v>
      </c>
      <c r="J8717" s="48" t="n">
        <f aca="false">J8699*Assumptions!$E$18*Assumptions!$E$33</f>
        <v>1563.54688</v>
      </c>
      <c r="K8717" s="48" t="n">
        <f aca="false">K8699*Assumptions!$E$18*Assumptions!$E$33</f>
        <v>1563.54688</v>
      </c>
      <c r="L8717" s="48" t="n">
        <f aca="false">L8699*Assumptions!$E$18*Assumptions!$E$33</f>
        <v>1563.54688</v>
      </c>
      <c r="M8717" s="48" t="n">
        <f aca="false">M8699*Assumptions!$E$18*Assumptions!$E$33</f>
        <v>1563.54688</v>
      </c>
      <c r="N8717" s="48" t="n">
        <f aca="false">N8699*Assumptions!$E$18*Assumptions!$E$33</f>
        <v>1563.54688</v>
      </c>
      <c r="P8717" s="49"/>
      <c r="Q8717" s="49"/>
      <c r="R8717" s="49"/>
      <c r="S8717" s="50"/>
    </row>
    <row r="8718" customFormat="false" ht="15" hidden="false" customHeight="false" outlineLevel="0" collapsed="false">
      <c r="A8718" s="4" t="s">
        <v>511</v>
      </c>
      <c r="B8718" s="36" t="s">
        <v>509</v>
      </c>
      <c r="C8718" s="48" t="n">
        <f aca="false">C8700*Assumptions!$E$19*Assumptions!$E$34</f>
        <v>34.677888</v>
      </c>
      <c r="D8718" s="48" t="n">
        <f aca="false">D8700*Assumptions!$E$19*Assumptions!$E$34</f>
        <v>69.355776</v>
      </c>
      <c r="E8718" s="48" t="n">
        <f aca="false">E8700*Assumptions!$E$19*Assumptions!$E$34</f>
        <v>69.355776</v>
      </c>
      <c r="F8718" s="48" t="n">
        <f aca="false">F8700*Assumptions!$E$19*Assumptions!$E$34</f>
        <v>69.355776</v>
      </c>
      <c r="G8718" s="48" t="n">
        <f aca="false">G8700*Assumptions!$E$19*Assumptions!$E$34</f>
        <v>86.69472</v>
      </c>
      <c r="H8718" s="48" t="n">
        <f aca="false">H8700*Assumptions!$E$19*Assumptions!$E$34</f>
        <v>104.033664</v>
      </c>
      <c r="I8718" s="48" t="n">
        <f aca="false">I8700*Assumptions!$E$19*Assumptions!$E$34</f>
        <v>159.7008</v>
      </c>
      <c r="J8718" s="48" t="n">
        <f aca="false">J8700*Assumptions!$E$19*Assumptions!$E$34</f>
        <v>215.367936</v>
      </c>
      <c r="K8718" s="48" t="n">
        <f aca="false">K8700*Assumptions!$E$19*Assumptions!$E$34</f>
        <v>215.367936</v>
      </c>
      <c r="L8718" s="48" t="n">
        <f aca="false">L8700*Assumptions!$E$19*Assumptions!$E$34</f>
        <v>215.367936</v>
      </c>
      <c r="M8718" s="48" t="n">
        <f aca="false">M8700*Assumptions!$E$19*Assumptions!$E$34</f>
        <v>215.367936</v>
      </c>
      <c r="N8718" s="48" t="n">
        <f aca="false">N8700*Assumptions!$E$19*Assumptions!$E$34</f>
        <v>215.367936</v>
      </c>
      <c r="P8718" s="49"/>
      <c r="Q8718" s="49"/>
      <c r="R8718" s="49"/>
      <c r="S8718" s="50"/>
    </row>
    <row r="8719" customFormat="false" ht="15" hidden="false" customHeight="false" outlineLevel="0" collapsed="false">
      <c r="A8719" s="4" t="s">
        <v>512</v>
      </c>
      <c r="B8719" s="36" t="s">
        <v>77</v>
      </c>
      <c r="C8719" s="51" t="n">
        <f aca="false">IFERROR(C8716/(C8716+C8717+C8718),0)</f>
        <v>0.631590736245533</v>
      </c>
      <c r="D8719" s="51" t="n">
        <f aca="false">IFERROR(D8716/(D8716+D8717+D8718),0)</f>
        <v>0.631590736245533</v>
      </c>
      <c r="E8719" s="51" t="n">
        <f aca="false">IFERROR(E8716/(E8716+E8717+E8718),0)</f>
        <v>0.631590736245533</v>
      </c>
      <c r="F8719" s="51" t="n">
        <f aca="false">IFERROR(F8716/(F8716+F8717+F8718),0)</f>
        <v>0.631590736245533</v>
      </c>
      <c r="G8719" s="51" t="n">
        <f aca="false">IFERROR(G8716/(G8716+G8717+G8718),0)</f>
        <v>0.638332506498128</v>
      </c>
      <c r="H8719" s="51" t="n">
        <f aca="false">IFERROR(H8716/(H8716+H8717+H8718),0)</f>
        <v>0.642303318118984</v>
      </c>
      <c r="I8719" s="51" t="n">
        <f aca="false">IFERROR(I8716/(I8716+I8717+I8718),0)</f>
        <v>0.657538025405288</v>
      </c>
      <c r="J8719" s="51" t="n">
        <f aca="false">IFERROR(J8716/(J8716+J8717+J8718),0)</f>
        <v>0.664058061428891</v>
      </c>
      <c r="K8719" s="51" t="n">
        <f aca="false">IFERROR(K8716/(K8716+K8717+K8718),0)</f>
        <v>0.664058061428891</v>
      </c>
      <c r="L8719" s="51" t="n">
        <f aca="false">IFERROR(L8716/(L8716+L8717+L8718),0)</f>
        <v>0.664058061428891</v>
      </c>
      <c r="M8719" s="51" t="n">
        <f aca="false">IFERROR(M8716/(M8716+M8717+M8718),0)</f>
        <v>0.664058061428891</v>
      </c>
      <c r="N8719" s="51" t="n">
        <f aca="false">IFERROR(N8716/(N8716+N8717+N8718),0)</f>
        <v>0.664058061428891</v>
      </c>
      <c r="P8719" s="52"/>
      <c r="Q8719" s="52"/>
      <c r="R8719" s="52"/>
      <c r="S8719" s="53"/>
    </row>
    <row r="8720" customFormat="false" ht="15" hidden="false" customHeight="false" outlineLevel="0" collapsed="false">
      <c r="A8720" s="4" t="s">
        <v>513</v>
      </c>
      <c r="B8720" s="36" t="s">
        <v>77</v>
      </c>
      <c r="C8720" s="51" t="n">
        <f aca="false">IFERROR(C8717/(C8716+C8717+C8718),0)</f>
        <v>0.316449102482628</v>
      </c>
      <c r="D8720" s="51" t="n">
        <f aca="false">IFERROR(D8717/(D8716+D8717+D8718),0)</f>
        <v>0.316449102482628</v>
      </c>
      <c r="E8720" s="51" t="n">
        <f aca="false">IFERROR(E8717/(E8716+E8717+E8718),0)</f>
        <v>0.316449102482628</v>
      </c>
      <c r="F8720" s="51" t="n">
        <f aca="false">IFERROR(F8717/(F8716+F8717+F8718),0)</f>
        <v>0.316449102482628</v>
      </c>
      <c r="G8720" s="51" t="n">
        <f aca="false">IFERROR(G8717/(G8716+G8717+G8718),0)</f>
        <v>0.313517566939561</v>
      </c>
      <c r="H8720" s="51" t="n">
        <f aca="false">IFERROR(H8717/(H8716+H8717+H8718),0)</f>
        <v>0.311790932099567</v>
      </c>
      <c r="I8720" s="51" t="n">
        <f aca="false">IFERROR(I8717/(I8716+I8717+I8718),0)</f>
        <v>0.300221741111391</v>
      </c>
      <c r="J8720" s="51" t="n">
        <f aca="false">IFERROR(J8717/(J8716+J8717+J8718),0)</f>
        <v>0.295270445324128</v>
      </c>
      <c r="K8720" s="51" t="n">
        <f aca="false">IFERROR(K8717/(K8716+K8717+K8718),0)</f>
        <v>0.295270445324128</v>
      </c>
      <c r="L8720" s="51" t="n">
        <f aca="false">IFERROR(L8717/(L8716+L8717+L8718),0)</f>
        <v>0.295270445324128</v>
      </c>
      <c r="M8720" s="51" t="n">
        <f aca="false">IFERROR(M8717/(M8716+M8717+M8718),0)</f>
        <v>0.295270445324128</v>
      </c>
      <c r="N8720" s="51" t="n">
        <f aca="false">IFERROR(N8717/(N8716+N8717+N8718),0)</f>
        <v>0.295270445324128</v>
      </c>
      <c r="P8720" s="52"/>
      <c r="Q8720" s="52"/>
      <c r="R8720" s="52"/>
      <c r="S8720" s="53"/>
    </row>
    <row r="8721" customFormat="false" ht="15" hidden="false" customHeight="false" outlineLevel="0" collapsed="false">
      <c r="A8721" s="4" t="s">
        <v>514</v>
      </c>
      <c r="B8721" s="36" t="s">
        <v>77</v>
      </c>
      <c r="C8721" s="51" t="n">
        <f aca="false">IFERROR(C8718/(C8716+C8717+C8718),0)</f>
        <v>0.0519601612718389</v>
      </c>
      <c r="D8721" s="51" t="n">
        <f aca="false">IFERROR(D8718/(D8716+D8717+D8718),0)</f>
        <v>0.0519601612718389</v>
      </c>
      <c r="E8721" s="51" t="n">
        <f aca="false">IFERROR(E8718/(E8716+E8717+E8718),0)</f>
        <v>0.0519601612718389</v>
      </c>
      <c r="F8721" s="51" t="n">
        <f aca="false">IFERROR(F8718/(F8716+F8717+F8718),0)</f>
        <v>0.0519601612718389</v>
      </c>
      <c r="G8721" s="51" t="n">
        <f aca="false">IFERROR(G8718/(G8716+G8717+G8718),0)</f>
        <v>0.0481499265623113</v>
      </c>
      <c r="H8721" s="51" t="n">
        <f aca="false">IFERROR(H8718/(H8716+H8717+H8718),0)</f>
        <v>0.0459057497814491</v>
      </c>
      <c r="I8721" s="51" t="n">
        <f aca="false">IFERROR(I8718/(I8716+I8717+I8718),0)</f>
        <v>0.0422402334833216</v>
      </c>
      <c r="J8721" s="51" t="n">
        <f aca="false">IFERROR(J8718/(J8716+J8717+J8718),0)</f>
        <v>0.0406714932469811</v>
      </c>
      <c r="K8721" s="51" t="n">
        <f aca="false">IFERROR(K8718/(K8716+K8717+K8718),0)</f>
        <v>0.0406714932469811</v>
      </c>
      <c r="L8721" s="51" t="n">
        <f aca="false">IFERROR(L8718/(L8716+L8717+L8718),0)</f>
        <v>0.0406714932469811</v>
      </c>
      <c r="M8721" s="51" t="n">
        <f aca="false">IFERROR(M8718/(M8716+M8717+M8718),0)</f>
        <v>0.0406714932469811</v>
      </c>
      <c r="N8721" s="51" t="n">
        <f aca="false">IFERROR(N8718/(N8716+N8717+N8718),0)</f>
        <v>0.0406714932469811</v>
      </c>
      <c r="P8721" s="52"/>
      <c r="Q8721" s="52"/>
      <c r="R8721" s="52"/>
      <c r="S8721" s="53"/>
    </row>
    <row r="8722" customFormat="false" ht="15" hidden="false" customHeight="false" outlineLevel="0" collapsed="false">
      <c r="A8722" s="4" t="s">
        <v>515</v>
      </c>
      <c r="B8722" s="36" t="s">
        <v>516</v>
      </c>
      <c r="C8722" s="48" t="n">
        <f aca="false">IF(C8690-Assumptions!$E$35&lt;1,0,INDEX($C$8715:$N$8715,1,C8690-Assumptions!$E$35)*INDEX($C$8719:$N$8719,1,C8690-Assumptions!$E$35)*0.21)</f>
        <v>0</v>
      </c>
      <c r="D8722" s="48" t="n">
        <f aca="false">IF(D8690-Assumptions!$E$35&lt;1,0,INDEX($C$8715:$N$8715,1,D8690-Assumptions!$E$35)*INDEX($C$8719:$N$8719,1,D8690-Assumptions!$E$35)*0.21)</f>
        <v>0.866376445183821</v>
      </c>
      <c r="E8722" s="48" t="n">
        <f aca="false">IF(E8690-Assumptions!$E$35&lt;1,0,INDEX($C$8715:$N$8715,1,E8690-Assumptions!$E$35)*INDEX($C$8719:$N$8719,1,E8690-Assumptions!$E$35)*0.21)</f>
        <v>1.4850370503084</v>
      </c>
      <c r="F8722" s="48" t="n">
        <f aca="false">IF(F8690-Assumptions!$E$35&lt;1,0,INDEX($C$8715:$N$8715,1,F8690-Assumptions!$E$35)*INDEX($C$8719:$N$8719,1,F8690-Assumptions!$E$35)*0.21)</f>
        <v>1.63860741134595</v>
      </c>
      <c r="G8722" s="48" t="n">
        <f aca="false">IF(G8690-Assumptions!$E$35&lt;1,0,INDEX($C$8715:$N$8715,1,G8690-Assumptions!$E$35)*INDEX($C$8719:$N$8719,1,G8690-Assumptions!$E$35)*0.21)</f>
        <v>1.79532697390301</v>
      </c>
      <c r="H8722" s="48" t="n">
        <f aca="false">IF(H8690-Assumptions!$E$35&lt;1,0,INDEX($C$8715:$N$8715,1,H8690-Assumptions!$E$35)*INDEX($C$8719:$N$8719,1,H8690-Assumptions!$E$35)*0.21)</f>
        <v>2.31019678172994</v>
      </c>
      <c r="I8722" s="48" t="n">
        <f aca="false">IF(I8690-Assumptions!$E$35&lt;1,0,INDEX($C$8715:$N$8715,1,I8690-Assumptions!$E$35)*INDEX($C$8719:$N$8719,1,I8690-Assumptions!$E$35)*0.21)</f>
        <v>2.79111066507864</v>
      </c>
      <c r="J8722" s="48" t="n">
        <f aca="false">IF(J8690-Assumptions!$E$35&lt;1,0,INDEX($C$8715:$N$8715,1,J8690-Assumptions!$E$35)*INDEX($C$8719:$N$8719,1,J8690-Assumptions!$E$35)*0.21)</f>
        <v>4.1306930875438</v>
      </c>
      <c r="K8722" s="48" t="n">
        <f aca="false">IF(K8690-Assumptions!$E$35&lt;1,0,INDEX($C$8715:$N$8715,1,K8690-Assumptions!$E$35)*INDEX($C$8719:$N$8719,1,K8690-Assumptions!$E$35)*0.21)</f>
        <v>5.34315863355258</v>
      </c>
      <c r="L8722" s="48" t="n">
        <f aca="false">IF(L8690-Assumptions!$E$35&lt;1,0,INDEX($C$8715:$N$8715,1,L8690-Assumptions!$E$35)*INDEX($C$8719:$N$8719,1,L8690-Assumptions!$E$35)*0.21)</f>
        <v>5.38112462159553</v>
      </c>
      <c r="M8722" s="48" t="n">
        <f aca="false">IF(M8690-Assumptions!$E$35&lt;1,0,INDEX($C$8715:$N$8715,1,M8690-Assumptions!$E$35)*INDEX($C$8719:$N$8719,1,M8690-Assumptions!$E$35)*0.21)</f>
        <v>5.22179362206104</v>
      </c>
      <c r="N8722" s="48" t="n">
        <f aca="false">IF(N8690-Assumptions!$E$35&lt;1,0,INDEX($C$8715:$N$8715,1,N8690-Assumptions!$E$35)*INDEX($C$8719:$N$8719,1,N8690-Assumptions!$E$35)*0.21)</f>
        <v>5.07351941968866</v>
      </c>
      <c r="P8722" s="49" t="n">
        <f aca="false">SUM(C8722:F8722)</f>
        <v>3.99002090683817</v>
      </c>
      <c r="Q8722" s="49" t="n">
        <f aca="false">SUM(G8722:J8722)</f>
        <v>11.0273275082554</v>
      </c>
      <c r="R8722" s="49" t="n">
        <f aca="false">SUM(K8722:N8722)</f>
        <v>21.0195962968978</v>
      </c>
      <c r="S8722" s="50" t="n">
        <f aca="false">SUM(P8722:R8722)</f>
        <v>36.0369447119914</v>
      </c>
    </row>
    <row r="8723" customFormat="false" ht="15" hidden="false" customHeight="false" outlineLevel="0" collapsed="false">
      <c r="A8723" s="4" t="s">
        <v>517</v>
      </c>
      <c r="B8723" s="36" t="s">
        <v>516</v>
      </c>
      <c r="C8723" s="48" t="n">
        <f aca="false">IF(C8690-Assumptions!$E$35&lt;1,0,INDEX($C$8715:$N$8715,1,C8690-Assumptions!$E$35)*INDEX($C$8720:$N$8720,1,C8690-Assumptions!$E$35)*0.21)</f>
        <v>0</v>
      </c>
      <c r="D8723" s="48" t="n">
        <f aca="false">IF(D8690-Assumptions!$E$35&lt;1,0,INDEX($C$8715:$N$8715,1,D8690-Assumptions!$E$35)*INDEX($C$8720:$N$8720,1,D8690-Assumptions!$E$35)*0.21)</f>
        <v>0.434084974267145</v>
      </c>
      <c r="E8723" s="48" t="n">
        <f aca="false">IF(E8690-Assumptions!$E$35&lt;1,0,INDEX($C$8715:$N$8715,1,E8690-Assumptions!$E$35)*INDEX($C$8720:$N$8720,1,E8690-Assumptions!$E$35)*0.21)</f>
        <v>0.744055627726705</v>
      </c>
      <c r="F8723" s="48" t="n">
        <f aca="false">IF(F8690-Assumptions!$E$35&lt;1,0,INDEX($C$8715:$N$8715,1,F8690-Assumptions!$E$35)*INDEX($C$8720:$N$8720,1,F8690-Assumptions!$E$35)*0.21)</f>
        <v>0.820999762796119</v>
      </c>
      <c r="G8723" s="48" t="n">
        <f aca="false">IF(G8690-Assumptions!$E$35&lt;1,0,INDEX($C$8715:$N$8715,1,G8690-Assumptions!$E$35)*INDEX($C$8720:$N$8720,1,G8690-Assumptions!$E$35)*0.21)</f>
        <v>0.89952175823807</v>
      </c>
      <c r="H8723" s="48" t="n">
        <f aca="false">IF(H8690-Assumptions!$E$35&lt;1,0,INDEX($C$8715:$N$8715,1,H8690-Assumptions!$E$35)*INDEX($C$8720:$N$8720,1,H8690-Assumptions!$E$35)*0.21)</f>
        <v>1.13465516292283</v>
      </c>
      <c r="I8723" s="48" t="n">
        <f aca="false">IF(I8690-Assumptions!$E$35&lt;1,0,INDEX($C$8715:$N$8715,1,I8690-Assumptions!$E$35)*INDEX($C$8720:$N$8720,1,I8690-Assumptions!$E$35)*0.21)</f>
        <v>1.35487856174628</v>
      </c>
      <c r="J8723" s="48" t="n">
        <f aca="false">IF(J8690-Assumptions!$E$35&lt;1,0,INDEX($C$8715:$N$8715,1,J8690-Assumptions!$E$35)*INDEX($C$8720:$N$8720,1,J8690-Assumptions!$E$35)*0.21)</f>
        <v>1.88601088123353</v>
      </c>
      <c r="K8723" s="48" t="n">
        <f aca="false">IF(K8690-Assumptions!$E$35&lt;1,0,INDEX($C$8715:$N$8715,1,K8690-Assumptions!$E$35)*INDEX($C$8720:$N$8720,1,K8690-Assumptions!$E$35)*0.21)</f>
        <v>2.37581157552964</v>
      </c>
      <c r="L8723" s="48" t="n">
        <f aca="false">IF(L8690-Assumptions!$E$35&lt;1,0,INDEX($C$8715:$N$8715,1,L8690-Assumptions!$E$35)*INDEX($C$8720:$N$8720,1,L8690-Assumptions!$E$35)*0.21)</f>
        <v>2.3926929822134</v>
      </c>
      <c r="M8723" s="48" t="n">
        <f aca="false">IF(M8690-Assumptions!$E$35&lt;1,0,INDEX($C$8715:$N$8715,1,M8690-Assumptions!$E$35)*INDEX($C$8720:$N$8720,1,M8690-Assumptions!$E$35)*0.21)</f>
        <v>2.32184716628391</v>
      </c>
      <c r="N8723" s="48" t="n">
        <f aca="false">IF(N8690-Assumptions!$E$35&lt;1,0,INDEX($C$8715:$N$8715,1,N8690-Assumptions!$E$35)*INDEX($C$8720:$N$8720,1,N8690-Assumptions!$E$35)*0.21)</f>
        <v>2.25591770573287</v>
      </c>
      <c r="P8723" s="49" t="n">
        <f aca="false">SUM(C8723:F8723)</f>
        <v>1.99914036478997</v>
      </c>
      <c r="Q8723" s="49" t="n">
        <f aca="false">SUM(G8723:J8723)</f>
        <v>5.27506636414072</v>
      </c>
      <c r="R8723" s="49" t="n">
        <f aca="false">SUM(K8723:N8723)</f>
        <v>9.34626942975982</v>
      </c>
      <c r="S8723" s="50" t="n">
        <f aca="false">SUM(P8723:R8723)</f>
        <v>16.6204761586905</v>
      </c>
    </row>
    <row r="8724" customFormat="false" ht="15" hidden="false" customHeight="false" outlineLevel="0" collapsed="false">
      <c r="A8724" s="4" t="s">
        <v>518</v>
      </c>
      <c r="B8724" s="36" t="s">
        <v>516</v>
      </c>
      <c r="C8724" s="48" t="n">
        <f aca="false">IF(C8690-Assumptions!$E$36&lt;1,0,INDEX($C$8715:$N$8715,1,C8690-Assumptions!$E$36)*INDEX($C$8721:$N$8721,1,C8690-Assumptions!$E$36)*0.21)</f>
        <v>0</v>
      </c>
      <c r="D8724" s="48" t="n">
        <f aca="false">IF(D8690-Assumptions!$E$36&lt;1,0,INDEX($C$8715:$N$8715,1,D8690-Assumptions!$E$36)*INDEX($C$8721:$N$8721,1,D8690-Assumptions!$E$36)*0.21)</f>
        <v>0</v>
      </c>
      <c r="E8724" s="48" t="n">
        <f aca="false">IF(E8690-Assumptions!$E$36&lt;1,0,INDEX($C$8715:$N$8715,1,E8690-Assumptions!$E$36)*INDEX($C$8721:$N$8721,1,E8690-Assumptions!$E$36)*0.21)</f>
        <v>0.071275680959914</v>
      </c>
      <c r="F8724" s="48" t="n">
        <f aca="false">IF(F8690-Assumptions!$E$36&lt;1,0,INDEX($C$8715:$N$8715,1,F8690-Assumptions!$E$36)*INDEX($C$8721:$N$8721,1,F8690-Assumptions!$E$36)*0.21)</f>
        <v>0.122172096898336</v>
      </c>
      <c r="G8724" s="48" t="n">
        <f aca="false">IF(G8690-Assumptions!$E$36&lt;1,0,INDEX($C$8715:$N$8715,1,G8690-Assumptions!$E$36)*INDEX($C$8721:$N$8721,1,G8690-Assumptions!$E$36)*0.21)</f>
        <v>0.134806133891215</v>
      </c>
      <c r="H8724" s="48" t="n">
        <f aca="false">IF(H8690-Assumptions!$E$36&lt;1,0,INDEX($C$8715:$N$8715,1,H8690-Assumptions!$E$36)*INDEX($C$8721:$N$8721,1,H8690-Assumptions!$E$36)*0.21)</f>
        <v>0.147699251661313</v>
      </c>
      <c r="I8724" s="48" t="n">
        <f aca="false">IF(I8690-Assumptions!$E$36&lt;1,0,INDEX($C$8715:$N$8715,1,I8690-Assumptions!$E$36)*INDEX($C$8721:$N$8721,1,I8690-Assumptions!$E$36)*0.21)</f>
        <v>0.174259973058587</v>
      </c>
      <c r="J8724" s="48" t="n">
        <f aca="false">IF(J8690-Assumptions!$E$36&lt;1,0,INDEX($C$8715:$N$8715,1,J8690-Assumptions!$E$36)*INDEX($C$8721:$N$8721,1,J8690-Assumptions!$E$36)*0.21)</f>
        <v>0.19948212034567</v>
      </c>
      <c r="K8724" s="48" t="n">
        <f aca="false">IF(K8690-Assumptions!$E$36&lt;1,0,INDEX($C$8715:$N$8715,1,K8690-Assumptions!$E$36)*INDEX($C$8721:$N$8721,1,K8690-Assumptions!$E$36)*0.21)</f>
        <v>0.265355665717199</v>
      </c>
      <c r="L8724" s="48" t="n">
        <f aca="false">IF(L8690-Assumptions!$E$36&lt;1,0,INDEX($C$8715:$N$8715,1,L8690-Assumptions!$E$36)*INDEX($C$8721:$N$8721,1,L8690-Assumptions!$E$36)*0.21)</f>
        <v>0.327251866823927</v>
      </c>
      <c r="M8724" s="48" t="n">
        <f aca="false">IF(M8690-Assumptions!$E$36&lt;1,0,INDEX($C$8715:$N$8715,1,M8690-Assumptions!$E$36)*INDEX($C$8721:$N$8721,1,M8690-Assumptions!$E$36)*0.21)</f>
        <v>0.329577165643402</v>
      </c>
      <c r="N8724" s="48" t="n">
        <f aca="false">IF(N8690-Assumptions!$E$36&lt;1,0,INDEX($C$8715:$N$8715,1,N8690-Assumptions!$E$36)*INDEX($C$8721:$N$8721,1,N8690-Assumptions!$E$36)*0.21)</f>
        <v>0.319818636912259</v>
      </c>
      <c r="P8724" s="49" t="n">
        <f aca="false">SUM(C8724:F8724)</f>
        <v>0.19344777785825</v>
      </c>
      <c r="Q8724" s="49" t="n">
        <f aca="false">SUM(G8724:J8724)</f>
        <v>0.656247478956785</v>
      </c>
      <c r="R8724" s="49" t="n">
        <f aca="false">SUM(K8724:N8724)</f>
        <v>1.24200333509679</v>
      </c>
      <c r="S8724" s="50" t="n">
        <f aca="false">SUM(P8724:R8724)</f>
        <v>2.09169859191182</v>
      </c>
    </row>
    <row r="8725" customFormat="false" ht="15" hidden="false" customHeight="false" outlineLevel="0" collapsed="false">
      <c r="A8725" s="4" t="s">
        <v>519</v>
      </c>
      <c r="B8725" s="36" t="s">
        <v>77</v>
      </c>
      <c r="C8725" s="51" t="n">
        <f aca="false">IF(C8690-Assumptions!$E$35&lt;1,0,IFERROR(INDEX($C$8714:$N$8714,1,C8690-Assumptions!$E$35)/INDEX($C$8715:$N$8715,1,C8690-Assumptions!$E$35),0))</f>
        <v>0</v>
      </c>
      <c r="D8725" s="51" t="n">
        <f aca="false">IF(D8690-Assumptions!$E$35&lt;1,0,IFERROR(INDEX($C$8714:$N$8714,1,D8690-Assumptions!$E$35)/INDEX($C$8715:$N$8715,1,D8690-Assumptions!$E$35),0))</f>
        <v>0.459271678087073</v>
      </c>
      <c r="E8725" s="51" t="n">
        <f aca="false">IF(E8690-Assumptions!$E$35&lt;1,0,IFERROR(INDEX($C$8714:$N$8714,1,E8690-Assumptions!$E$35)/INDEX($C$8715:$N$8715,1,E8690-Assumptions!$E$35),0))</f>
        <v>0.401911350042128</v>
      </c>
      <c r="F8725" s="51" t="n">
        <f aca="false">IF(F8690-Assumptions!$E$35&lt;1,0,IFERROR(INDEX($C$8714:$N$8714,1,F8690-Assumptions!$E$35)/INDEX($C$8715:$N$8715,1,F8690-Assumptions!$E$35),0))</f>
        <v>0.485658933408398</v>
      </c>
      <c r="G8725" s="51" t="n">
        <f aca="false">IF(G8690-Assumptions!$E$35&lt;1,0,IFERROR(INDEX($C$8714:$N$8714,1,G8690-Assumptions!$E$35)/INDEX($C$8715:$N$8715,1,G8690-Assumptions!$E$35),0))</f>
        <v>0.554080356417826</v>
      </c>
      <c r="H8725" s="51" t="n">
        <f aca="false">IF(H8690-Assumptions!$E$35&lt;1,0,IFERROR(INDEX($C$8714:$N$8714,1,H8690-Assumptions!$E$35)/INDEX($C$8715:$N$8715,1,H8690-Assumptions!$E$35),0))</f>
        <v>0.522227563825987</v>
      </c>
      <c r="I8725" s="51" t="n">
        <f aca="false">IF(I8690-Assumptions!$E$35&lt;1,0,IFERROR(INDEX($C$8714:$N$8714,1,I8690-Assumptions!$E$35)/INDEX($C$8715:$N$8715,1,I8690-Assumptions!$E$35),0))</f>
        <v>0.507424816282752</v>
      </c>
      <c r="J8725" s="51" t="n">
        <f aca="false">IF(J8690-Assumptions!$E$35&lt;1,0,IFERROR(INDEX($C$8714:$N$8714,1,J8690-Assumptions!$E$35)/INDEX($C$8715:$N$8715,1,J8690-Assumptions!$E$35),0))</f>
        <v>0.401142323795015</v>
      </c>
      <c r="K8725" s="51" t="n">
        <f aca="false">IF(K8690-Assumptions!$E$35&lt;1,0,IFERROR(INDEX($C$8714:$N$8714,1,K8690-Assumptions!$E$35)/INDEX($C$8715:$N$8715,1,K8690-Assumptions!$E$35),0))</f>
        <v>0.352339268448632</v>
      </c>
      <c r="L8725" s="51" t="n">
        <f aca="false">IF(L8690-Assumptions!$E$35&lt;1,0,IFERROR(INDEX($C$8714:$N$8714,1,L8690-Assumptions!$E$35)/INDEX($C$8715:$N$8715,1,L8690-Assumptions!$E$35),0))</f>
        <v>0.388725970981282</v>
      </c>
      <c r="M8725" s="51" t="n">
        <f aca="false">IF(M8690-Assumptions!$E$35&lt;1,0,IFERROR(INDEX($C$8714:$N$8714,1,M8690-Assumptions!$E$35)/INDEX($C$8715:$N$8715,1,M8690-Assumptions!$E$35),0))</f>
        <v>0.400587048224893</v>
      </c>
      <c r="N8725" s="51" t="n">
        <f aca="false">IF(N8690-Assumptions!$E$35&lt;1,0,IFERROR(INDEX($C$8714:$N$8714,1,N8690-Assumptions!$E$35)/INDEX($C$8715:$N$8715,1,N8690-Assumptions!$E$35),0))</f>
        <v>0.412294251872474</v>
      </c>
      <c r="P8725" s="52"/>
      <c r="Q8725" s="52"/>
      <c r="R8725" s="52"/>
      <c r="S8725" s="53"/>
    </row>
    <row r="8726" customFormat="false" ht="15" hidden="false" customHeight="false" outlineLevel="0" collapsed="false">
      <c r="A8726" s="4" t="s">
        <v>520</v>
      </c>
      <c r="B8726" s="36" t="s">
        <v>516</v>
      </c>
      <c r="C8726" s="48" t="n">
        <f aca="false">C8722*Assumptions!$E$37</f>
        <v>0</v>
      </c>
      <c r="D8726" s="48" t="n">
        <f aca="false">D8722*Assumptions!$E$37</f>
        <v>0.259912933555146</v>
      </c>
      <c r="E8726" s="48" t="n">
        <f aca="false">E8722*Assumptions!$E$37</f>
        <v>0.44551111509252</v>
      </c>
      <c r="F8726" s="48" t="n">
        <f aca="false">F8722*Assumptions!$E$37</f>
        <v>0.491582223403786</v>
      </c>
      <c r="G8726" s="48" t="n">
        <f aca="false">G8722*Assumptions!$E$37</f>
        <v>0.538598092170902</v>
      </c>
      <c r="H8726" s="48" t="n">
        <f aca="false">H8722*Assumptions!$E$37</f>
        <v>0.693059034518982</v>
      </c>
      <c r="I8726" s="48" t="n">
        <f aca="false">I8722*Assumptions!$E$37</f>
        <v>0.837333199523593</v>
      </c>
      <c r="J8726" s="48" t="n">
        <f aca="false">J8722*Assumptions!$E$37</f>
        <v>1.23920792626314</v>
      </c>
      <c r="K8726" s="48" t="n">
        <f aca="false">K8722*Assumptions!$E$37</f>
        <v>1.60294759006577</v>
      </c>
      <c r="L8726" s="48" t="n">
        <f aca="false">L8722*Assumptions!$E$37</f>
        <v>1.61433738647866</v>
      </c>
      <c r="M8726" s="48" t="n">
        <f aca="false">M8722*Assumptions!$E$37</f>
        <v>1.56653808661831</v>
      </c>
      <c r="N8726" s="48" t="n">
        <f aca="false">N8722*Assumptions!$E$37</f>
        <v>1.5220558259066</v>
      </c>
      <c r="P8726" s="49" t="n">
        <f aca="false">SUM(C8726:F8726)</f>
        <v>1.19700627205145</v>
      </c>
      <c r="Q8726" s="49" t="n">
        <f aca="false">SUM(G8726:J8726)</f>
        <v>3.30819825247662</v>
      </c>
      <c r="R8726" s="49" t="n">
        <f aca="false">SUM(K8726:N8726)</f>
        <v>6.30587888906934</v>
      </c>
      <c r="S8726" s="50" t="n">
        <f aca="false">SUM(P8726:R8726)</f>
        <v>10.8110834135974</v>
      </c>
    </row>
    <row r="8727" customFormat="false" ht="15" hidden="false" customHeight="false" outlineLevel="0" collapsed="false">
      <c r="A8727" s="4" t="s">
        <v>521</v>
      </c>
      <c r="B8727" s="36" t="s">
        <v>516</v>
      </c>
      <c r="C8727" s="48" t="n">
        <f aca="false">C8722*(1-Assumptions!$E$37)</f>
        <v>0</v>
      </c>
      <c r="D8727" s="48" t="n">
        <f aca="false">D8722*(1-Assumptions!$E$37)</f>
        <v>0.606463511628675</v>
      </c>
      <c r="E8727" s="48" t="n">
        <f aca="false">E8722*(1-Assumptions!$E$37)</f>
        <v>1.03952593521588</v>
      </c>
      <c r="F8727" s="48" t="n">
        <f aca="false">F8722*(1-Assumptions!$E$37)</f>
        <v>1.14702518794217</v>
      </c>
      <c r="G8727" s="48" t="n">
        <f aca="false">G8722*(1-Assumptions!$E$37)</f>
        <v>1.25672888173211</v>
      </c>
      <c r="H8727" s="48" t="n">
        <f aca="false">H8722*(1-Assumptions!$E$37)</f>
        <v>1.61713774721096</v>
      </c>
      <c r="I8727" s="48" t="n">
        <f aca="false">I8722*(1-Assumptions!$E$37)</f>
        <v>1.95377746555505</v>
      </c>
      <c r="J8727" s="48" t="n">
        <f aca="false">J8722*(1-Assumptions!$E$37)</f>
        <v>2.89148516128066</v>
      </c>
      <c r="K8727" s="48" t="n">
        <f aca="false">K8722*(1-Assumptions!$E$37)</f>
        <v>3.7402110434868</v>
      </c>
      <c r="L8727" s="48" t="n">
        <f aca="false">L8722*(1-Assumptions!$E$37)</f>
        <v>3.76678723511687</v>
      </c>
      <c r="M8727" s="48" t="n">
        <f aca="false">M8722*(1-Assumptions!$E$37)</f>
        <v>3.65525553544273</v>
      </c>
      <c r="N8727" s="48" t="n">
        <f aca="false">N8722*(1-Assumptions!$E$37)</f>
        <v>3.55146359378206</v>
      </c>
      <c r="P8727" s="49" t="n">
        <f aca="false">SUM(C8727:F8727)</f>
        <v>2.79301463478672</v>
      </c>
      <c r="Q8727" s="49" t="n">
        <f aca="false">SUM(G8727:J8727)</f>
        <v>7.71912925577877</v>
      </c>
      <c r="R8727" s="49" t="n">
        <f aca="false">SUM(K8727:N8727)</f>
        <v>14.7137174078285</v>
      </c>
      <c r="S8727" s="50" t="n">
        <f aca="false">SUM(P8727:R8727)</f>
        <v>25.225861298394</v>
      </c>
    </row>
    <row r="8728" customFormat="false" ht="15" hidden="false" customHeight="false" outlineLevel="0" collapsed="false">
      <c r="A8728" s="4" t="s">
        <v>522</v>
      </c>
      <c r="B8728" s="36" t="s">
        <v>125</v>
      </c>
      <c r="C8728" s="54" t="n">
        <f aca="false">C8727*$C$8681+C8723*$C$8682+C8724*$C$8683</f>
        <v>0</v>
      </c>
      <c r="D8728" s="54" t="n">
        <f aca="false">D8727*$C$8681+D8723*$C$8682+D8724*$C$8683</f>
        <v>6425.48255605948</v>
      </c>
      <c r="E8728" s="54" t="n">
        <f aca="false">E8727*$C$8681+E8723*$C$8682+E8724*$C$8683</f>
        <v>14316.245572865</v>
      </c>
      <c r="F8728" s="54" t="n">
        <f aca="false">F8727*$C$8681+F8723*$C$8682+F8724*$C$8683</f>
        <v>17813.4193164062</v>
      </c>
      <c r="G8728" s="54" t="n">
        <f aca="false">G8727*$C$8681+G8723*$C$8682+G8724*$C$8683</f>
        <v>19561.1118314684</v>
      </c>
      <c r="H8728" s="54" t="n">
        <f aca="false">H8727*$C$8681+H8723*$C$8682+H8724*$C$8683</f>
        <v>23809.7674466702</v>
      </c>
      <c r="I8728" s="54" t="n">
        <f aca="false">I8727*$C$8681+I8723*$C$8682+I8724*$C$8683</f>
        <v>28455.2647347216</v>
      </c>
      <c r="J8728" s="54" t="n">
        <f aca="false">J8727*$C$8681+J8723*$C$8682+J8724*$C$8683</f>
        <v>38533.0770671996</v>
      </c>
      <c r="K8728" s="54" t="n">
        <f aca="false">K8727*$C$8681+K8723*$C$8682+K8724*$C$8683</f>
        <v>49715.4322868446</v>
      </c>
      <c r="L8728" s="54" t="n">
        <f aca="false">L8727*$C$8681+L8723*$C$8682+L8724*$C$8683</f>
        <v>52849.2045735297</v>
      </c>
      <c r="M8728" s="54" t="n">
        <f aca="false">M8727*$C$8681+M8723*$C$8682+M8724*$C$8683</f>
        <v>51841.0781542086</v>
      </c>
      <c r="N8728" s="54" t="n">
        <f aca="false">N8727*$C$8681+N8723*$C$8682+N8724*$C$8683</f>
        <v>50350.4990741515</v>
      </c>
      <c r="P8728" s="55" t="n">
        <f aca="false">SUM(C8728:F8728)</f>
        <v>38555.1474453307</v>
      </c>
      <c r="Q8728" s="55" t="n">
        <f aca="false">SUM(G8728:J8728)</f>
        <v>110359.22108006</v>
      </c>
      <c r="R8728" s="55" t="n">
        <f aca="false">SUM(K8728:N8728)</f>
        <v>204756.214088734</v>
      </c>
      <c r="S8728" s="56" t="n">
        <f aca="false">SUM(P8728:R8728)</f>
        <v>353670.582614125</v>
      </c>
    </row>
    <row r="8729" customFormat="false" ht="15" hidden="false" customHeight="false" outlineLevel="0" collapsed="false">
      <c r="A8729" s="4" t="s">
        <v>523</v>
      </c>
      <c r="B8729" s="36" t="s">
        <v>125</v>
      </c>
      <c r="C8729" s="54" t="n">
        <f aca="false">(C8705+Assumptions!$D$104*C8691)*$C$8686</f>
        <v>306250</v>
      </c>
      <c r="D8729" s="54" t="n">
        <f aca="false">(D8705+Assumptions!$D$104*D8691)*$C$8686</f>
        <v>306250</v>
      </c>
      <c r="E8729" s="54" t="n">
        <f aca="false">(E8705+Assumptions!$D$104*E8691)*$C$8686</f>
        <v>306250</v>
      </c>
      <c r="F8729" s="54" t="n">
        <f aca="false">(F8705+Assumptions!$D$104*F8691)*$C$8686</f>
        <v>306250</v>
      </c>
      <c r="G8729" s="54" t="n">
        <f aca="false">(G8705+Assumptions!$D$104*G8691)*$C$8686</f>
        <v>306250</v>
      </c>
      <c r="H8729" s="54" t="n">
        <f aca="false">(H8705+Assumptions!$D$104*H8691)*$C$8686</f>
        <v>306250</v>
      </c>
      <c r="I8729" s="54" t="n">
        <f aca="false">(I8705+Assumptions!$D$104*I8691)*$C$8686</f>
        <v>306250</v>
      </c>
      <c r="J8729" s="54" t="n">
        <f aca="false">(J8705+Assumptions!$D$104*J8691)*$C$8686</f>
        <v>306250</v>
      </c>
      <c r="K8729" s="54" t="n">
        <f aca="false">(K8705+Assumptions!$D$104*K8691)*$C$8686</f>
        <v>306250</v>
      </c>
      <c r="L8729" s="54" t="n">
        <f aca="false">(L8705+Assumptions!$D$104*L8691)*$C$8686</f>
        <v>306250</v>
      </c>
      <c r="M8729" s="54" t="n">
        <f aca="false">(M8705+Assumptions!$D$104*M8691)*$C$8686</f>
        <v>306250</v>
      </c>
      <c r="N8729" s="54" t="n">
        <f aca="false">(N8705+Assumptions!$D$104*N8691)*$C$8686</f>
        <v>306250</v>
      </c>
      <c r="P8729" s="55" t="n">
        <f aca="false">SUM(C8729:F8729)</f>
        <v>1225000</v>
      </c>
      <c r="Q8729" s="55" t="n">
        <f aca="false">SUM(G8729:J8729)</f>
        <v>1225000</v>
      </c>
      <c r="R8729" s="55" t="n">
        <f aca="false">SUM(K8729:N8729)</f>
        <v>1225000</v>
      </c>
      <c r="S8729" s="56" t="n">
        <f aca="false">SUM(P8729:R8729)</f>
        <v>3675000</v>
      </c>
    </row>
    <row r="8730" customFormat="false" ht="15" hidden="false" customHeight="false" outlineLevel="0" collapsed="false">
      <c r="A8730" s="4" t="s">
        <v>524</v>
      </c>
      <c r="B8730" s="36" t="s">
        <v>77</v>
      </c>
      <c r="C8730" s="51" t="n">
        <f aca="false">IF(C8728&gt;0,MIN(1,C8729/C8728),1)</f>
        <v>1</v>
      </c>
      <c r="D8730" s="51" t="n">
        <f aca="false">IF(D8728&gt;0,MIN(1,D8729/D8728),1)</f>
        <v>1</v>
      </c>
      <c r="E8730" s="51" t="n">
        <f aca="false">IF(E8728&gt;0,MIN(1,E8729/E8728),1)</f>
        <v>1</v>
      </c>
      <c r="F8730" s="51" t="n">
        <f aca="false">IF(F8728&gt;0,MIN(1,F8729/F8728),1)</f>
        <v>1</v>
      </c>
      <c r="G8730" s="51" t="n">
        <f aca="false">IF(G8728&gt;0,MIN(1,G8729/G8728),1)</f>
        <v>1</v>
      </c>
      <c r="H8730" s="51" t="n">
        <f aca="false">IF(H8728&gt;0,MIN(1,H8729/H8728),1)</f>
        <v>1</v>
      </c>
      <c r="I8730" s="51" t="n">
        <f aca="false">IF(I8728&gt;0,MIN(1,I8729/I8728),1)</f>
        <v>1</v>
      </c>
      <c r="J8730" s="51" t="n">
        <f aca="false">IF(J8728&gt;0,MIN(1,J8729/J8728),1)</f>
        <v>1</v>
      </c>
      <c r="K8730" s="51" t="n">
        <f aca="false">IF(K8728&gt;0,MIN(1,K8729/K8728),1)</f>
        <v>1</v>
      </c>
      <c r="L8730" s="51" t="n">
        <f aca="false">IF(L8728&gt;0,MIN(1,L8729/L8728),1)</f>
        <v>1</v>
      </c>
      <c r="M8730" s="51" t="n">
        <f aca="false">IF(M8728&gt;0,MIN(1,M8729/M8728),1)</f>
        <v>1</v>
      </c>
      <c r="N8730" s="51" t="n">
        <f aca="false">IF(N8728&gt;0,MIN(1,N8729/N8728),1)</f>
        <v>1</v>
      </c>
      <c r="P8730" s="52"/>
      <c r="Q8730" s="52"/>
      <c r="R8730" s="52"/>
      <c r="S8730" s="53"/>
    </row>
    <row r="8731" customFormat="false" ht="15" hidden="false" customHeight="false" outlineLevel="0" collapsed="false">
      <c r="A8731" s="4" t="s">
        <v>525</v>
      </c>
      <c r="B8731" s="36" t="s">
        <v>125</v>
      </c>
      <c r="C8731" s="54" t="n">
        <f aca="false">C8728*(1-C8730)</f>
        <v>0</v>
      </c>
      <c r="D8731" s="54" t="n">
        <f aca="false">D8728*(1-D8730)</f>
        <v>0</v>
      </c>
      <c r="E8731" s="54" t="n">
        <f aca="false">E8728*(1-E8730)</f>
        <v>0</v>
      </c>
      <c r="F8731" s="54" t="n">
        <f aca="false">F8728*(1-F8730)</f>
        <v>0</v>
      </c>
      <c r="G8731" s="54" t="n">
        <f aca="false">G8728*(1-G8730)</f>
        <v>0</v>
      </c>
      <c r="H8731" s="54" t="n">
        <f aca="false">H8728*(1-H8730)</f>
        <v>0</v>
      </c>
      <c r="I8731" s="54" t="n">
        <f aca="false">I8728*(1-I8730)</f>
        <v>0</v>
      </c>
      <c r="J8731" s="54" t="n">
        <f aca="false">J8728*(1-J8730)</f>
        <v>0</v>
      </c>
      <c r="K8731" s="54" t="n">
        <f aca="false">K8728*(1-K8730)</f>
        <v>0</v>
      </c>
      <c r="L8731" s="54" t="n">
        <f aca="false">L8728*(1-L8730)</f>
        <v>0</v>
      </c>
      <c r="M8731" s="54" t="n">
        <f aca="false">M8728*(1-M8730)</f>
        <v>0</v>
      </c>
      <c r="N8731" s="54" t="n">
        <f aca="false">N8728*(1-N8730)</f>
        <v>0</v>
      </c>
      <c r="P8731" s="55" t="n">
        <f aca="false">SUM(C8731:F8731)</f>
        <v>0</v>
      </c>
      <c r="Q8731" s="55" t="n">
        <f aca="false">SUM(G8731:J8731)</f>
        <v>0</v>
      </c>
      <c r="R8731" s="55" t="n">
        <f aca="false">SUM(K8731:N8731)</f>
        <v>0</v>
      </c>
      <c r="S8731" s="56" t="n">
        <f aca="false">SUM(P8731:R8731)</f>
        <v>0</v>
      </c>
    </row>
    <row r="8732" customFormat="false" ht="15" hidden="false" customHeight="false" outlineLevel="0" collapsed="false">
      <c r="A8732" s="4" t="s">
        <v>526</v>
      </c>
      <c r="B8732" s="36" t="s">
        <v>527</v>
      </c>
      <c r="C8732" s="48" t="n">
        <f aca="false">C8726+C8727*C8730</f>
        <v>0</v>
      </c>
      <c r="D8732" s="48" t="n">
        <f aca="false">D8726+D8727*D8730</f>
        <v>0.866376445183821</v>
      </c>
      <c r="E8732" s="48" t="n">
        <f aca="false">E8726+E8727*E8730</f>
        <v>1.4850370503084</v>
      </c>
      <c r="F8732" s="48" t="n">
        <f aca="false">F8726+F8727*F8730</f>
        <v>1.63860741134595</v>
      </c>
      <c r="G8732" s="48" t="n">
        <f aca="false">G8726+G8727*G8730</f>
        <v>1.79532697390301</v>
      </c>
      <c r="H8732" s="48" t="n">
        <f aca="false">H8726+H8727*H8730</f>
        <v>2.31019678172994</v>
      </c>
      <c r="I8732" s="48" t="n">
        <f aca="false">I8726+I8727*I8730</f>
        <v>2.79111066507864</v>
      </c>
      <c r="J8732" s="48" t="n">
        <f aca="false">J8726+J8727*J8730</f>
        <v>4.1306930875438</v>
      </c>
      <c r="K8732" s="48" t="n">
        <f aca="false">K8726+K8727*K8730</f>
        <v>5.34315863355258</v>
      </c>
      <c r="L8732" s="48" t="n">
        <f aca="false">L8726+L8727*L8730</f>
        <v>5.38112462159553</v>
      </c>
      <c r="M8732" s="48" t="n">
        <f aca="false">M8726+M8727*M8730</f>
        <v>5.22179362206104</v>
      </c>
      <c r="N8732" s="48" t="n">
        <f aca="false">N8726+N8727*N8730</f>
        <v>5.07351941968866</v>
      </c>
      <c r="P8732" s="49" t="n">
        <f aca="false">SUM(C8732:F8732)</f>
        <v>3.99002090683817</v>
      </c>
      <c r="Q8732" s="49" t="n">
        <f aca="false">SUM(G8732:J8732)</f>
        <v>11.0273275082554</v>
      </c>
      <c r="R8732" s="49" t="n">
        <f aca="false">SUM(K8732:N8732)</f>
        <v>21.0195962968978</v>
      </c>
      <c r="S8732" s="50" t="n">
        <f aca="false">SUM(P8732:R8732)</f>
        <v>36.0369447119914</v>
      </c>
    </row>
    <row r="8733" customFormat="false" ht="15" hidden="false" customHeight="false" outlineLevel="0" collapsed="false">
      <c r="A8733" s="4" t="s">
        <v>528</v>
      </c>
      <c r="B8733" s="36" t="s">
        <v>527</v>
      </c>
      <c r="C8733" s="48" t="n">
        <f aca="false">C8723*C8730</f>
        <v>0</v>
      </c>
      <c r="D8733" s="48" t="n">
        <f aca="false">D8723*D8730</f>
        <v>0.434084974267145</v>
      </c>
      <c r="E8733" s="48" t="n">
        <f aca="false">E8723*E8730</f>
        <v>0.744055627726705</v>
      </c>
      <c r="F8733" s="48" t="n">
        <f aca="false">F8723*F8730</f>
        <v>0.820999762796119</v>
      </c>
      <c r="G8733" s="48" t="n">
        <f aca="false">G8723*G8730</f>
        <v>0.89952175823807</v>
      </c>
      <c r="H8733" s="48" t="n">
        <f aca="false">H8723*H8730</f>
        <v>1.13465516292283</v>
      </c>
      <c r="I8733" s="48" t="n">
        <f aca="false">I8723*I8730</f>
        <v>1.35487856174628</v>
      </c>
      <c r="J8733" s="48" t="n">
        <f aca="false">J8723*J8730</f>
        <v>1.88601088123353</v>
      </c>
      <c r="K8733" s="48" t="n">
        <f aca="false">K8723*K8730</f>
        <v>2.37581157552964</v>
      </c>
      <c r="L8733" s="48" t="n">
        <f aca="false">L8723*L8730</f>
        <v>2.3926929822134</v>
      </c>
      <c r="M8733" s="48" t="n">
        <f aca="false">M8723*M8730</f>
        <v>2.32184716628391</v>
      </c>
      <c r="N8733" s="48" t="n">
        <f aca="false">N8723*N8730</f>
        <v>2.25591770573287</v>
      </c>
      <c r="P8733" s="49" t="n">
        <f aca="false">SUM(C8733:F8733)</f>
        <v>1.99914036478997</v>
      </c>
      <c r="Q8733" s="49" t="n">
        <f aca="false">SUM(G8733:J8733)</f>
        <v>5.27506636414072</v>
      </c>
      <c r="R8733" s="49" t="n">
        <f aca="false">SUM(K8733:N8733)</f>
        <v>9.34626942975982</v>
      </c>
      <c r="S8733" s="50" t="n">
        <f aca="false">SUM(P8733:R8733)</f>
        <v>16.6204761586905</v>
      </c>
    </row>
    <row r="8734" customFormat="false" ht="15" hidden="false" customHeight="false" outlineLevel="0" collapsed="false">
      <c r="A8734" s="4" t="s">
        <v>529</v>
      </c>
      <c r="B8734" s="36" t="s">
        <v>527</v>
      </c>
      <c r="C8734" s="48" t="n">
        <f aca="false">C8724*C8730</f>
        <v>0</v>
      </c>
      <c r="D8734" s="48" t="n">
        <f aca="false">D8724*D8730</f>
        <v>0</v>
      </c>
      <c r="E8734" s="48" t="n">
        <f aca="false">E8724*E8730</f>
        <v>0.071275680959914</v>
      </c>
      <c r="F8734" s="48" t="n">
        <f aca="false">F8724*F8730</f>
        <v>0.122172096898336</v>
      </c>
      <c r="G8734" s="48" t="n">
        <f aca="false">G8724*G8730</f>
        <v>0.134806133891215</v>
      </c>
      <c r="H8734" s="48" t="n">
        <f aca="false">H8724*H8730</f>
        <v>0.147699251661313</v>
      </c>
      <c r="I8734" s="48" t="n">
        <f aca="false">I8724*I8730</f>
        <v>0.174259973058587</v>
      </c>
      <c r="J8734" s="48" t="n">
        <f aca="false">J8724*J8730</f>
        <v>0.19948212034567</v>
      </c>
      <c r="K8734" s="48" t="n">
        <f aca="false">K8724*K8730</f>
        <v>0.265355665717199</v>
      </c>
      <c r="L8734" s="48" t="n">
        <f aca="false">L8724*L8730</f>
        <v>0.327251866823927</v>
      </c>
      <c r="M8734" s="48" t="n">
        <f aca="false">M8724*M8730</f>
        <v>0.329577165643402</v>
      </c>
      <c r="N8734" s="48" t="n">
        <f aca="false">N8724*N8730</f>
        <v>0.319818636912259</v>
      </c>
      <c r="P8734" s="49" t="n">
        <f aca="false">SUM(C8734:F8734)</f>
        <v>0.19344777785825</v>
      </c>
      <c r="Q8734" s="49" t="n">
        <f aca="false">SUM(G8734:J8734)</f>
        <v>0.656247478956785</v>
      </c>
      <c r="R8734" s="49" t="n">
        <f aca="false">SUM(K8734:N8734)</f>
        <v>1.24200333509679</v>
      </c>
      <c r="S8734" s="50" t="n">
        <f aca="false">SUM(P8734:R8734)</f>
        <v>2.09169859191182</v>
      </c>
    </row>
    <row r="8735" customFormat="false" ht="15" hidden="false" customHeight="false" outlineLevel="0" collapsed="false">
      <c r="A8735" s="9" t="s">
        <v>530</v>
      </c>
      <c r="B8735" s="36" t="s">
        <v>527</v>
      </c>
      <c r="C8735" s="49" t="n">
        <f aca="false">C8732+C8733+C8734</f>
        <v>0</v>
      </c>
      <c r="D8735" s="49" t="n">
        <f aca="false">D8732+D8733+D8734</f>
        <v>1.30046141945097</v>
      </c>
      <c r="E8735" s="49" t="n">
        <f aca="false">E8732+E8733+E8734</f>
        <v>2.30036835899502</v>
      </c>
      <c r="F8735" s="49" t="n">
        <f aca="false">F8732+F8733+F8734</f>
        <v>2.58177927104041</v>
      </c>
      <c r="G8735" s="49" t="n">
        <f aca="false">G8732+G8733+G8734</f>
        <v>2.82965486603229</v>
      </c>
      <c r="H8735" s="49" t="n">
        <f aca="false">H8732+H8733+H8734</f>
        <v>3.59255119631409</v>
      </c>
      <c r="I8735" s="49" t="n">
        <f aca="false">I8732+I8733+I8734</f>
        <v>4.32024919988351</v>
      </c>
      <c r="J8735" s="49" t="n">
        <f aca="false">J8732+J8733+J8734</f>
        <v>6.216186089123</v>
      </c>
      <c r="K8735" s="49" t="n">
        <f aca="false">K8732+K8733+K8734</f>
        <v>7.98432587479941</v>
      </c>
      <c r="L8735" s="49" t="n">
        <f aca="false">L8732+L8733+L8734</f>
        <v>8.10106947063285</v>
      </c>
      <c r="M8735" s="49" t="n">
        <f aca="false">M8732+M8733+M8734</f>
        <v>7.87321795398836</v>
      </c>
      <c r="N8735" s="49" t="n">
        <f aca="false">N8732+N8733+N8734</f>
        <v>7.64925576233379</v>
      </c>
      <c r="P8735" s="49" t="n">
        <f aca="false">SUM(C8735:F8735)</f>
        <v>6.18260904948639</v>
      </c>
      <c r="Q8735" s="49" t="n">
        <f aca="false">SUM(G8735:J8735)</f>
        <v>16.9586413513529</v>
      </c>
      <c r="R8735" s="49" t="n">
        <f aca="false">SUM(K8735:N8735)</f>
        <v>31.6078690617544</v>
      </c>
      <c r="S8735" s="50" t="n">
        <f aca="false">SUM(P8735:R8735)</f>
        <v>54.7491194625937</v>
      </c>
    </row>
    <row r="8736" customFormat="false" ht="15" hidden="false" customHeight="false" outlineLevel="0" collapsed="false">
      <c r="A8736" s="35" t="s">
        <v>533</v>
      </c>
      <c r="B8736" s="35" t="s">
        <v>444</v>
      </c>
      <c r="C8736" s="6" t="s">
        <v>354</v>
      </c>
      <c r="D8736" s="6" t="s">
        <v>355</v>
      </c>
      <c r="E8736" s="6" t="s">
        <v>356</v>
      </c>
      <c r="F8736" s="6" t="s">
        <v>357</v>
      </c>
      <c r="G8736" s="6" t="s">
        <v>358</v>
      </c>
      <c r="H8736" s="6" t="s">
        <v>359</v>
      </c>
      <c r="I8736" s="6" t="s">
        <v>360</v>
      </c>
      <c r="J8736" s="6" t="s">
        <v>361</v>
      </c>
      <c r="K8736" s="6" t="s">
        <v>362</v>
      </c>
      <c r="L8736" s="6" t="s">
        <v>363</v>
      </c>
      <c r="M8736" s="6" t="s">
        <v>364</v>
      </c>
      <c r="N8736" s="6" t="s">
        <v>365</v>
      </c>
      <c r="P8736" s="6" t="s">
        <v>445</v>
      </c>
      <c r="Q8736" s="6" t="s">
        <v>446</v>
      </c>
      <c r="R8736" s="6" t="s">
        <v>447</v>
      </c>
      <c r="S8736" s="6" t="s">
        <v>448</v>
      </c>
    </row>
    <row r="8737" customFormat="false" ht="15" hidden="false" customHeight="false" outlineLevel="0" collapsed="false">
      <c r="A8737" s="4" t="s">
        <v>534</v>
      </c>
      <c r="B8737" s="36" t="s">
        <v>527</v>
      </c>
      <c r="C8737" s="48" t="n">
        <f aca="false">0*Assumptions!$E$59^(1/4)+C8732</f>
        <v>0</v>
      </c>
      <c r="D8737" s="48" t="n">
        <f aca="false">C8737*Assumptions!$E$59^(1/4)+D8732</f>
        <v>0.866376445183821</v>
      </c>
      <c r="E8737" s="48" t="n">
        <f aca="false">D8737*Assumptions!$E$59^(1/4)+E8732</f>
        <v>2.32416329488403</v>
      </c>
      <c r="F8737" s="48" t="n">
        <f aca="false">E8737*Assumptions!$E$59^(1/4)+F8732</f>
        <v>3.88966863104794</v>
      </c>
      <c r="G8737" s="48" t="n">
        <f aca="false">F8737*Assumptions!$E$59^(1/4)+G8732</f>
        <v>5.56265357789716</v>
      </c>
      <c r="H8737" s="48" t="n">
        <f aca="false">G8737*Assumptions!$E$59^(1/4)+H8732</f>
        <v>7.69788781678072</v>
      </c>
      <c r="I8737" s="48" t="n">
        <f aca="false">H8737*Assumptions!$E$59^(1/4)+I8732</f>
        <v>10.2468762630101</v>
      </c>
      <c r="J8737" s="48" t="n">
        <f aca="false">I8737*Assumptions!$E$59^(1/4)+J8732</f>
        <v>14.0552736148763</v>
      </c>
      <c r="K8737" s="48" t="n">
        <f aca="false">J8737*Assumptions!$E$59^(1/4)+K8732</f>
        <v>18.9563507170835</v>
      </c>
      <c r="L8737" s="48" t="n">
        <f aca="false">K8737*Assumptions!$E$59^(1/4)+L8732</f>
        <v>23.7412398769334</v>
      </c>
      <c r="M8737" s="48" t="n">
        <f aca="false">L8737*Assumptions!$E$59^(1/4)+M8732</f>
        <v>28.2162985745513</v>
      </c>
      <c r="N8737" s="48" t="n">
        <f aca="false">M8737*Assumptions!$E$59^(1/4)+N8732</f>
        <v>32.4023287268997</v>
      </c>
      <c r="P8737" s="49" t="n">
        <f aca="false">F8737</f>
        <v>3.88966863104794</v>
      </c>
      <c r="Q8737" s="49" t="n">
        <f aca="false">J8737</f>
        <v>14.0552736148763</v>
      </c>
      <c r="R8737" s="49" t="n">
        <f aca="false">N8737</f>
        <v>32.4023287268997</v>
      </c>
      <c r="S8737" s="50" t="n">
        <f aca="false">R8737</f>
        <v>32.4023287268997</v>
      </c>
    </row>
    <row r="8738" customFormat="false" ht="15" hidden="false" customHeight="false" outlineLevel="0" collapsed="false">
      <c r="A8738" s="4" t="s">
        <v>535</v>
      </c>
      <c r="B8738" s="36" t="s">
        <v>527</v>
      </c>
      <c r="C8738" s="48" t="n">
        <f aca="false">0*Assumptions!$E$60^(1/4)+C8733</f>
        <v>0</v>
      </c>
      <c r="D8738" s="48" t="n">
        <f aca="false">C8738*Assumptions!$E$60^(1/4)+D8733</f>
        <v>0.434084974267145</v>
      </c>
      <c r="E8738" s="48" t="n">
        <f aca="false">D8738*Assumptions!$E$60^(1/4)+E8733</f>
        <v>1.16685601892983</v>
      </c>
      <c r="F8738" s="48" t="n">
        <f aca="false">E8738*Assumptions!$E$60^(1/4)+F8733</f>
        <v>1.95752189677268</v>
      </c>
      <c r="G8738" s="48" t="n">
        <f aca="false">F8738*Assumptions!$E$60^(1/4)+G8733</f>
        <v>2.80615541940422</v>
      </c>
      <c r="H8738" s="48" t="n">
        <f aca="false">G8738*Assumptions!$E$60^(1/4)+H8733</f>
        <v>3.86786105447419</v>
      </c>
      <c r="I8738" s="48" t="n">
        <f aca="false">H8738*Assumptions!$E$60^(1/4)+I8733</f>
        <v>5.12218971945664</v>
      </c>
      <c r="J8738" s="48" t="n">
        <f aca="false">I8738*Assumptions!$E$60^(1/4)+J8733</f>
        <v>6.87504285788544</v>
      </c>
      <c r="K8738" s="48" t="n">
        <f aca="false">J8738*Assumptions!$E$60^(1/4)+K8733</f>
        <v>9.07212907594454</v>
      </c>
      <c r="L8738" s="48" t="n">
        <f aca="false">K8738*Assumptions!$E$60^(1/4)+L8733</f>
        <v>11.2289806902372</v>
      </c>
      <c r="M8738" s="48" t="n">
        <f aca="false">L8738*Assumptions!$E$60^(1/4)+M8733</f>
        <v>13.2589164271123</v>
      </c>
      <c r="N8738" s="48" t="n">
        <f aca="false">M8738*Assumptions!$E$60^(1/4)+N8733</f>
        <v>15.1701519792802</v>
      </c>
      <c r="P8738" s="49" t="n">
        <f aca="false">F8738</f>
        <v>1.95752189677268</v>
      </c>
      <c r="Q8738" s="49" t="n">
        <f aca="false">J8738</f>
        <v>6.87504285788544</v>
      </c>
      <c r="R8738" s="49" t="n">
        <f aca="false">N8738</f>
        <v>15.1701519792802</v>
      </c>
      <c r="S8738" s="50" t="n">
        <f aca="false">R8738</f>
        <v>15.1701519792802</v>
      </c>
    </row>
    <row r="8739" customFormat="false" ht="15" hidden="false" customHeight="false" outlineLevel="0" collapsed="false">
      <c r="A8739" s="4" t="s">
        <v>536</v>
      </c>
      <c r="B8739" s="36" t="s">
        <v>527</v>
      </c>
      <c r="C8739" s="48" t="n">
        <f aca="false">0*Assumptions!$E$61^(1/4)+C8734</f>
        <v>0</v>
      </c>
      <c r="D8739" s="48" t="n">
        <f aca="false">C8739*Assumptions!$E$61^(1/4)+D8734</f>
        <v>0</v>
      </c>
      <c r="E8739" s="48" t="n">
        <f aca="false">D8739*Assumptions!$E$61^(1/4)+E8734</f>
        <v>0.071275680959914</v>
      </c>
      <c r="F8739" s="48" t="n">
        <f aca="false">E8739*Assumptions!$E$61^(1/4)+F8734</f>
        <v>0.191977386314485</v>
      </c>
      <c r="G8739" s="48" t="n">
        <f aca="false">F8739*Assumptions!$E$61^(1/4)+G8734</f>
        <v>0.322823096094288</v>
      </c>
      <c r="H8739" s="48" t="n">
        <f aca="false">G8739*Assumptions!$E$61^(1/4)+H8734</f>
        <v>0.463862623930639</v>
      </c>
      <c r="I8739" s="48" t="n">
        <f aca="false">H8739*Assumptions!$E$61^(1/4)+I8734</f>
        <v>0.628553278667598</v>
      </c>
      <c r="J8739" s="48" t="n">
        <f aca="false">I8739*Assumptions!$E$61^(1/4)+J8734</f>
        <v>0.815068571993006</v>
      </c>
      <c r="K8739" s="48" t="n">
        <f aca="false">J8739*Assumptions!$E$61^(1/4)+K8734</f>
        <v>1.06360966758325</v>
      </c>
      <c r="L8739" s="48" t="n">
        <f aca="false">K8739*Assumptions!$E$61^(1/4)+L8734</f>
        <v>1.36891965128493</v>
      </c>
      <c r="M8739" s="48" t="n">
        <f aca="false">L8739*Assumptions!$E$61^(1/4)+M8734</f>
        <v>1.67025649916167</v>
      </c>
      <c r="N8739" s="48" t="n">
        <f aca="false">M8739*Assumptions!$E$61^(1/4)+N8734</f>
        <v>1.95561834801929</v>
      </c>
      <c r="P8739" s="49" t="n">
        <f aca="false">F8739</f>
        <v>0.191977386314485</v>
      </c>
      <c r="Q8739" s="49" t="n">
        <f aca="false">J8739</f>
        <v>0.815068571993006</v>
      </c>
      <c r="R8739" s="49" t="n">
        <f aca="false">N8739</f>
        <v>1.95561834801929</v>
      </c>
      <c r="S8739" s="50" t="n">
        <f aca="false">R8739</f>
        <v>1.95561834801929</v>
      </c>
    </row>
    <row r="8740" customFormat="false" ht="15" hidden="false" customHeight="false" outlineLevel="0" collapsed="false">
      <c r="A8740" s="9" t="s">
        <v>537</v>
      </c>
      <c r="B8740" s="36" t="s">
        <v>527</v>
      </c>
      <c r="C8740" s="49" t="n">
        <f aca="false">C8737+C8738+C8739</f>
        <v>0</v>
      </c>
      <c r="D8740" s="49" t="n">
        <f aca="false">D8737+D8738+D8739</f>
        <v>1.30046141945097</v>
      </c>
      <c r="E8740" s="49" t="n">
        <f aca="false">E8737+E8738+E8739</f>
        <v>3.56229499477378</v>
      </c>
      <c r="F8740" s="49" t="n">
        <f aca="false">F8737+F8738+F8739</f>
        <v>6.0391679141351</v>
      </c>
      <c r="G8740" s="49" t="n">
        <f aca="false">G8737+G8738+G8739</f>
        <v>8.69163209339566</v>
      </c>
      <c r="H8740" s="49" t="n">
        <f aca="false">H8737+H8738+H8739</f>
        <v>12.0296114951856</v>
      </c>
      <c r="I8740" s="49" t="n">
        <f aca="false">I8737+I8738+I8739</f>
        <v>15.9976192611344</v>
      </c>
      <c r="J8740" s="49" t="n">
        <f aca="false">J8737+J8738+J8739</f>
        <v>21.7453850447547</v>
      </c>
      <c r="K8740" s="49" t="n">
        <f aca="false">K8737+K8738+K8739</f>
        <v>29.0920894606113</v>
      </c>
      <c r="L8740" s="49" t="n">
        <f aca="false">L8737+L8738+L8739</f>
        <v>36.3391402184556</v>
      </c>
      <c r="M8740" s="49" t="n">
        <f aca="false">M8737+M8738+M8739</f>
        <v>43.1454715008253</v>
      </c>
      <c r="N8740" s="49" t="n">
        <f aca="false">N8737+N8738+N8739</f>
        <v>49.5280990541991</v>
      </c>
      <c r="P8740" s="49" t="n">
        <f aca="false">F8740</f>
        <v>6.0391679141351</v>
      </c>
      <c r="Q8740" s="49" t="n">
        <f aca="false">J8740</f>
        <v>21.7453850447547</v>
      </c>
      <c r="R8740" s="49" t="n">
        <f aca="false">N8740</f>
        <v>49.5280990541991</v>
      </c>
      <c r="S8740" s="50" t="n">
        <f aca="false">R8740</f>
        <v>49.5280990541991</v>
      </c>
    </row>
    <row r="8741" customFormat="false" ht="15" hidden="false" customHeight="false" outlineLevel="0" collapsed="false">
      <c r="A8741" s="4" t="s">
        <v>538</v>
      </c>
      <c r="B8741" s="36" t="s">
        <v>125</v>
      </c>
      <c r="C8741" s="54" t="n">
        <f aca="false">0*Assumptions!$E$62^(1/4)+C8732*$C$8681</f>
        <v>0</v>
      </c>
      <c r="D8741" s="54" t="n">
        <f aca="false">C8741*Assumptions!$E$62^(1/4)+D8732*$C$8681</f>
        <v>4636.84673462381</v>
      </c>
      <c r="E8741" s="54" t="n">
        <f aca="false">D8741*Assumptions!$E$62^(1/4)+E8732*$C$8681</f>
        <v>12584.7650278744</v>
      </c>
      <c r="F8741" s="54" t="n">
        <f aca="false">E8741*Assumptions!$E$62^(1/4)+F8732*$C$8681</f>
        <v>21354.5918933979</v>
      </c>
      <c r="G8741" s="54" t="n">
        <f aca="false">F8741*Assumptions!$E$62^(1/4)+G8732*$C$8681</f>
        <v>30963.1818577268</v>
      </c>
      <c r="H8741" s="54" t="n">
        <f aca="false">G8741*Assumptions!$E$62^(1/4)+H8732*$C$8681</f>
        <v>43327.3550335454</v>
      </c>
      <c r="I8741" s="54" t="n">
        <f aca="false">H8741*Assumptions!$E$62^(1/4)+I8732*$C$8681</f>
        <v>58265.3793130463</v>
      </c>
      <c r="J8741" s="54" t="n">
        <f aca="false">I8741*Assumptions!$E$62^(1/4)+J8732*$C$8681</f>
        <v>80372.8487175808</v>
      </c>
      <c r="K8741" s="54" t="n">
        <f aca="false">J8741*Assumptions!$E$62^(1/4)+K8732*$C$8681</f>
        <v>108969.433724354</v>
      </c>
      <c r="L8741" s="54" t="n">
        <f aca="false">K8741*Assumptions!$E$62^(1/4)+L8732*$C$8681</f>
        <v>137769.212699133</v>
      </c>
      <c r="M8741" s="54" t="n">
        <f aca="false">L8741*Assumptions!$E$62^(1/4)+M8732*$C$8681</f>
        <v>165716.252164404</v>
      </c>
      <c r="N8741" s="54" t="n">
        <f aca="false">M8741*Assumptions!$E$62^(1/4)+N8732*$C$8681</f>
        <v>192869.728098578</v>
      </c>
      <c r="P8741" s="55" t="n">
        <f aca="false">F8741</f>
        <v>21354.5918933979</v>
      </c>
      <c r="Q8741" s="55" t="n">
        <f aca="false">J8741</f>
        <v>80372.8487175808</v>
      </c>
      <c r="R8741" s="55" t="n">
        <f aca="false">N8741</f>
        <v>192869.728098578</v>
      </c>
      <c r="S8741" s="56" t="n">
        <f aca="false">R8741</f>
        <v>192869.728098578</v>
      </c>
    </row>
    <row r="8742" customFormat="false" ht="15" hidden="false" customHeight="false" outlineLevel="0" collapsed="false">
      <c r="A8742" s="4" t="s">
        <v>539</v>
      </c>
      <c r="B8742" s="36" t="s">
        <v>125</v>
      </c>
      <c r="C8742" s="54" t="n">
        <f aca="false">0*Assumptions!$E$63^(1/4)+C8733*$C$8682</f>
        <v>0</v>
      </c>
      <c r="D8742" s="54" t="n">
        <f aca="false">C8742*Assumptions!$E$63^(1/4)+D8733*$C$8682</f>
        <v>3179.68984182282</v>
      </c>
      <c r="E8742" s="54" t="n">
        <f aca="false">D8742*Assumptions!$E$63^(1/4)+E8733*$C$8682</f>
        <v>8676.58542859803</v>
      </c>
      <c r="F8742" s="54" t="n">
        <f aca="false">E8742*Assumptions!$E$63^(1/4)+F8733*$C$8682</f>
        <v>14817.7604901977</v>
      </c>
      <c r="G8742" s="54" t="n">
        <f aca="false">F8742*Assumptions!$E$63^(1/4)+G8733*$C$8682</f>
        <v>21624.2269750205</v>
      </c>
      <c r="H8742" s="54" t="n">
        <f aca="false">G8742*Assumptions!$E$63^(1/4)+H8733*$C$8682</f>
        <v>30252.9321193513</v>
      </c>
      <c r="I8742" s="54" t="n">
        <f aca="false">H8742*Assumptions!$E$63^(1/4)+I8733*$C$8682</f>
        <v>40621.3987821881</v>
      </c>
      <c r="J8742" s="54" t="n">
        <f aca="false">I8742*Assumptions!$E$63^(1/4)+J8733*$C$8682</f>
        <v>55032.5762666655</v>
      </c>
      <c r="K8742" s="54" t="n">
        <f aca="false">J8742*Assumptions!$E$63^(1/4)+K8733*$C$8682</f>
        <v>73243.0308777032</v>
      </c>
      <c r="L8742" s="54" t="n">
        <f aca="false">K8742*Assumptions!$E$63^(1/4)+L8733*$C$8682</f>
        <v>91844.3598792095</v>
      </c>
      <c r="M8742" s="54" t="n">
        <f aca="false">L8742*Assumptions!$E$63^(1/4)+M8733*$C$8682</f>
        <v>110199.693478659</v>
      </c>
      <c r="N8742" s="54" t="n">
        <f aca="false">M8742*Assumptions!$E$63^(1/4)+N8733*$C$8682</f>
        <v>128341.434477641</v>
      </c>
      <c r="P8742" s="55" t="n">
        <f aca="false">F8742</f>
        <v>14817.7604901977</v>
      </c>
      <c r="Q8742" s="55" t="n">
        <f aca="false">J8742</f>
        <v>55032.5762666655</v>
      </c>
      <c r="R8742" s="55" t="n">
        <f aca="false">N8742</f>
        <v>128341.434477641</v>
      </c>
      <c r="S8742" s="56" t="n">
        <f aca="false">R8742</f>
        <v>128341.434477641</v>
      </c>
    </row>
    <row r="8743" customFormat="false" ht="15" hidden="false" customHeight="false" outlineLevel="0" collapsed="false">
      <c r="A8743" s="4" t="s">
        <v>540</v>
      </c>
      <c r="B8743" s="36" t="s">
        <v>125</v>
      </c>
      <c r="C8743" s="54" t="n">
        <f aca="false">0*Assumptions!$E$64^(1/4)+C8734*$C$8683</f>
        <v>0</v>
      </c>
      <c r="D8743" s="54" t="n">
        <f aca="false">C8743*Assumptions!$E$64^(1/4)+D8734*$C$8683</f>
        <v>0</v>
      </c>
      <c r="E8743" s="54" t="n">
        <f aca="false">D8743*Assumptions!$E$64^(1/4)+E8734*$C$8683</f>
        <v>3302.46546041739</v>
      </c>
      <c r="F8743" s="54" t="n">
        <f aca="false">E8743*Assumptions!$E$64^(1/4)+F8734*$C$8683</f>
        <v>9080.57910816307</v>
      </c>
      <c r="G8743" s="54" t="n">
        <f aca="false">F8743*Assumptions!$E$64^(1/4)+G8734*$C$8683</f>
        <v>15649.5329429298</v>
      </c>
      <c r="H8743" s="54" t="n">
        <f aca="false">G8743*Assumptions!$E$64^(1/4)+H8734*$C$8683</f>
        <v>23049.4518894392</v>
      </c>
      <c r="I8743" s="54" t="n">
        <f aca="false">H8743*Assumptions!$E$64^(1/4)+I8734*$C$8683</f>
        <v>31943.1540076608</v>
      </c>
      <c r="J8743" s="54" t="n">
        <f aca="false">I8743*Assumptions!$E$64^(1/4)+J8734*$C$8683</f>
        <v>42321.7342728912</v>
      </c>
      <c r="K8743" s="54" t="n">
        <f aca="false">J8743*Assumptions!$E$64^(1/4)+K8734*$C$8683</f>
        <v>56121.5214605441</v>
      </c>
      <c r="L8743" s="54" t="n">
        <f aca="false">K8743*Assumptions!$E$64^(1/4)+L8734*$C$8683</f>
        <v>73279.8820627497</v>
      </c>
      <c r="M8743" s="54" t="n">
        <f aca="false">L8743*Assumptions!$E$64^(1/4)+M8734*$C$8683</f>
        <v>91156.1006408378</v>
      </c>
      <c r="N8743" s="54" t="n">
        <f aca="false">M8743*Assumptions!$E$64^(1/4)+N8734*$C$8683</f>
        <v>109215.814497617</v>
      </c>
      <c r="P8743" s="55" t="n">
        <f aca="false">F8743</f>
        <v>9080.57910816307</v>
      </c>
      <c r="Q8743" s="55" t="n">
        <f aca="false">J8743</f>
        <v>42321.7342728912</v>
      </c>
      <c r="R8743" s="55" t="n">
        <f aca="false">N8743</f>
        <v>109215.814497617</v>
      </c>
      <c r="S8743" s="56" t="n">
        <f aca="false">R8743</f>
        <v>109215.814497617</v>
      </c>
    </row>
    <row r="8744" customFormat="false" ht="15" hidden="false" customHeight="false" outlineLevel="0" collapsed="false">
      <c r="A8744" s="9" t="s">
        <v>541</v>
      </c>
      <c r="B8744" s="36" t="s">
        <v>125</v>
      </c>
      <c r="C8744" s="55" t="n">
        <f aca="false">C8741+C8742+C8743</f>
        <v>0</v>
      </c>
      <c r="D8744" s="55" t="n">
        <f aca="false">D8741+D8742+D8743</f>
        <v>7816.53657644663</v>
      </c>
      <c r="E8744" s="55" t="n">
        <f aca="false">E8741+E8742+E8743</f>
        <v>24563.8159168898</v>
      </c>
      <c r="F8744" s="55" t="n">
        <f aca="false">F8741+F8742+F8743</f>
        <v>45252.9314917586</v>
      </c>
      <c r="G8744" s="55" t="n">
        <f aca="false">G8741+G8742+G8743</f>
        <v>68236.9417756771</v>
      </c>
      <c r="H8744" s="55" t="n">
        <f aca="false">H8741+H8742+H8743</f>
        <v>96629.739042336</v>
      </c>
      <c r="I8744" s="55" t="n">
        <f aca="false">I8741+I8742+I8743</f>
        <v>130829.932102895</v>
      </c>
      <c r="J8744" s="55" t="n">
        <f aca="false">J8741+J8742+J8743</f>
        <v>177727.159257137</v>
      </c>
      <c r="K8744" s="55" t="n">
        <f aca="false">K8741+K8742+K8743</f>
        <v>238333.986062601</v>
      </c>
      <c r="L8744" s="55" t="n">
        <f aca="false">L8741+L8742+L8743</f>
        <v>302893.454641093</v>
      </c>
      <c r="M8744" s="55" t="n">
        <f aca="false">M8741+M8742+M8743</f>
        <v>367072.046283901</v>
      </c>
      <c r="N8744" s="55" t="n">
        <f aca="false">N8741+N8742+N8743</f>
        <v>430426.977073836</v>
      </c>
      <c r="P8744" s="55" t="n">
        <f aca="false">F8744</f>
        <v>45252.9314917586</v>
      </c>
      <c r="Q8744" s="55" t="n">
        <f aca="false">J8744</f>
        <v>177727.159257137</v>
      </c>
      <c r="R8744" s="55" t="n">
        <f aca="false">N8744</f>
        <v>430426.977073836</v>
      </c>
      <c r="S8744" s="56" t="n">
        <f aca="false">R8744</f>
        <v>430426.977073836</v>
      </c>
    </row>
    <row r="8745" customFormat="false" ht="15" hidden="false" customHeight="false" outlineLevel="0" collapsed="false">
      <c r="A8745" s="4" t="s">
        <v>542</v>
      </c>
      <c r="B8745" s="36" t="s">
        <v>125</v>
      </c>
      <c r="C8745" s="54" t="n">
        <f aca="false">C8732*$C$8681+C8733*$C$8682+C8734*$C$8683</f>
        <v>0</v>
      </c>
      <c r="D8745" s="54" t="n">
        <f aca="false">D8732*$C$8681+D8733*$C$8682+D8734*$C$8683</f>
        <v>7816.53657644663</v>
      </c>
      <c r="E8745" s="54" t="n">
        <f aca="false">E8732*$C$8681+E8733*$C$8682+E8734*$C$8683</f>
        <v>16700.6210608402</v>
      </c>
      <c r="F8745" s="54" t="n">
        <f aca="false">F8732*$C$8681+F8733*$C$8682+F8734*$C$8683</f>
        <v>20444.3673760633</v>
      </c>
      <c r="G8745" s="54" t="n">
        <f aca="false">G8732*$C$8681+G8733*$C$8682+G8734*$C$8683</f>
        <v>22443.6888207671</v>
      </c>
      <c r="H8745" s="54" t="n">
        <f aca="false">H8732*$C$8681+H8733*$C$8682+H8734*$C$8683</f>
        <v>27519.0193994158</v>
      </c>
      <c r="I8745" s="54" t="n">
        <f aca="false">I8732*$C$8681+I8733*$C$8682+I8734*$C$8683</f>
        <v>32936.6720185718</v>
      </c>
      <c r="J8745" s="54" t="n">
        <f aca="false">J8732*$C$8681+J8733*$C$8682+J8734*$C$8683</f>
        <v>45165.3178885599</v>
      </c>
      <c r="K8745" s="54" t="n">
        <f aca="false">K8732*$C$8681+K8733*$C$8682+K8734*$C$8683</f>
        <v>58294.4077888766</v>
      </c>
      <c r="L8745" s="54" t="n">
        <f aca="false">L8732*$C$8681+L8733*$C$8682+L8734*$C$8683</f>
        <v>61489.1382659635</v>
      </c>
      <c r="M8745" s="54" t="n">
        <f aca="false">M8732*$C$8681+M8733*$C$8682+M8734*$C$8683</f>
        <v>60225.1899937898</v>
      </c>
      <c r="N8745" s="54" t="n">
        <f aca="false">N8732*$C$8681+N8733*$C$8682+N8734*$C$8683</f>
        <v>58496.5418544036</v>
      </c>
      <c r="P8745" s="55" t="n">
        <f aca="false">SUM(C8745:F8745)</f>
        <v>44961.5250133501</v>
      </c>
      <c r="Q8745" s="55" t="n">
        <f aca="false">SUM(G8745:J8745)</f>
        <v>128064.698127315</v>
      </c>
      <c r="R8745" s="55" t="n">
        <f aca="false">SUM(K8745:N8745)</f>
        <v>238505.277903033</v>
      </c>
      <c r="S8745" s="56" t="n">
        <f aca="false">SUM(P8745:R8745)</f>
        <v>411531.501043698</v>
      </c>
    </row>
    <row r="8746" customFormat="false" ht="15" hidden="false" customHeight="false" outlineLevel="0" collapsed="false">
      <c r="A8746" s="9" t="s">
        <v>543</v>
      </c>
      <c r="B8746" s="36" t="s">
        <v>125</v>
      </c>
      <c r="C8746" s="55" t="n">
        <f aca="false">(0+C8744)/8</f>
        <v>0</v>
      </c>
      <c r="D8746" s="55" t="n">
        <f aca="false">(C8744+D8744)/8</f>
        <v>977.067072055828</v>
      </c>
      <c r="E8746" s="55" t="n">
        <f aca="false">(D8744+E8744)/8</f>
        <v>4047.54406166705</v>
      </c>
      <c r="F8746" s="55" t="n">
        <f aca="false">(E8744+F8744)/8</f>
        <v>8727.09342608105</v>
      </c>
      <c r="G8746" s="55" t="n">
        <f aca="false">(F8744+G8744)/8</f>
        <v>14186.2341584295</v>
      </c>
      <c r="H8746" s="55" t="n">
        <f aca="false">(G8744+H8744)/8</f>
        <v>20608.3351022516</v>
      </c>
      <c r="I8746" s="55" t="n">
        <f aca="false">(H8744+I8744)/8</f>
        <v>28432.4588931539</v>
      </c>
      <c r="J8746" s="55" t="n">
        <f aca="false">(I8744+J8744)/8</f>
        <v>38569.6364200041</v>
      </c>
      <c r="K8746" s="55" t="n">
        <f aca="false">(J8744+K8744)/8</f>
        <v>52007.6431649673</v>
      </c>
      <c r="L8746" s="55" t="n">
        <f aca="false">(K8744+L8744)/8</f>
        <v>67653.4300879617</v>
      </c>
      <c r="M8746" s="55" t="n">
        <f aca="false">(L8744+M8744)/8</f>
        <v>83745.6876156242</v>
      </c>
      <c r="N8746" s="55" t="n">
        <f aca="false">(M8744+N8744)/8</f>
        <v>99687.3779197171</v>
      </c>
      <c r="P8746" s="55" t="n">
        <f aca="false">SUM(C8746:F8746)</f>
        <v>13751.7045598039</v>
      </c>
      <c r="Q8746" s="55" t="n">
        <f aca="false">SUM(G8746:J8746)</f>
        <v>101796.664573839</v>
      </c>
      <c r="R8746" s="55" t="n">
        <f aca="false">SUM(K8746:N8746)</f>
        <v>303094.13878827</v>
      </c>
      <c r="S8746" s="56" t="n">
        <f aca="false">SUM(P8746:R8746)</f>
        <v>418642.507921913</v>
      </c>
    </row>
    <row r="8747" customFormat="false" ht="15" hidden="false" customHeight="false" outlineLevel="0" collapsed="false">
      <c r="A8747" s="4" t="s">
        <v>544</v>
      </c>
      <c r="B8747" s="36" t="s">
        <v>125</v>
      </c>
      <c r="C8747" s="54" t="n">
        <f aca="false">C8746*Assumptions!$E$76</f>
        <v>0</v>
      </c>
      <c r="D8747" s="54" t="n">
        <f aca="false">D8746*Assumptions!$E$76</f>
        <v>635.093596836288</v>
      </c>
      <c r="E8747" s="54" t="n">
        <f aca="false">E8746*Assumptions!$E$76</f>
        <v>2630.90364008358</v>
      </c>
      <c r="F8747" s="54" t="n">
        <f aca="false">F8746*Assumptions!$E$76</f>
        <v>5672.61072695269</v>
      </c>
      <c r="G8747" s="54" t="n">
        <f aca="false">G8746*Assumptions!$E$76</f>
        <v>9221.05220297916</v>
      </c>
      <c r="H8747" s="54" t="n">
        <f aca="false">H8746*Assumptions!$E$76</f>
        <v>13395.4178164636</v>
      </c>
      <c r="I8747" s="54" t="n">
        <f aca="false">I8746*Assumptions!$E$76</f>
        <v>18481.09828055</v>
      </c>
      <c r="J8747" s="54" t="n">
        <f aca="false">J8746*Assumptions!$E$76</f>
        <v>25070.2636730027</v>
      </c>
      <c r="K8747" s="54" t="n">
        <f aca="false">K8746*Assumptions!$E$76</f>
        <v>33804.9680572288</v>
      </c>
      <c r="L8747" s="54" t="n">
        <f aca="false">L8746*Assumptions!$E$76</f>
        <v>43974.7295571751</v>
      </c>
      <c r="M8747" s="54" t="n">
        <f aca="false">M8746*Assumptions!$E$76</f>
        <v>54434.6969501558</v>
      </c>
      <c r="N8747" s="54" t="n">
        <f aca="false">N8746*Assumptions!$E$76</f>
        <v>64796.7956478161</v>
      </c>
      <c r="P8747" s="55" t="n">
        <f aca="false">SUM(C8747:F8747)</f>
        <v>8938.60796387256</v>
      </c>
      <c r="Q8747" s="55" t="n">
        <f aca="false">SUM(G8747:J8747)</f>
        <v>66167.8319729954</v>
      </c>
      <c r="R8747" s="55" t="n">
        <f aca="false">SUM(K8747:N8747)</f>
        <v>197011.190212376</v>
      </c>
      <c r="S8747" s="56" t="n">
        <f aca="false">SUM(P8747:R8747)</f>
        <v>272117.630149244</v>
      </c>
    </row>
    <row r="8748" customFormat="false" ht="15" hidden="false" customHeight="false" outlineLevel="0" collapsed="false">
      <c r="A8748" s="35" t="s">
        <v>547</v>
      </c>
      <c r="B8748" s="35" t="s">
        <v>444</v>
      </c>
      <c r="C8748" s="6" t="s">
        <v>354</v>
      </c>
      <c r="D8748" s="6" t="s">
        <v>355</v>
      </c>
      <c r="E8748" s="6" t="s">
        <v>356</v>
      </c>
      <c r="F8748" s="6" t="s">
        <v>357</v>
      </c>
      <c r="G8748" s="6" t="s">
        <v>358</v>
      </c>
      <c r="H8748" s="6" t="s">
        <v>359</v>
      </c>
      <c r="I8748" s="6" t="s">
        <v>360</v>
      </c>
      <c r="J8748" s="6" t="s">
        <v>361</v>
      </c>
      <c r="K8748" s="6" t="s">
        <v>362</v>
      </c>
      <c r="L8748" s="6" t="s">
        <v>363</v>
      </c>
      <c r="M8748" s="6" t="s">
        <v>364</v>
      </c>
      <c r="N8748" s="6" t="s">
        <v>365</v>
      </c>
      <c r="P8748" s="6" t="s">
        <v>445</v>
      </c>
      <c r="Q8748" s="6" t="s">
        <v>446</v>
      </c>
      <c r="R8748" s="6" t="s">
        <v>447</v>
      </c>
      <c r="S8748" s="6" t="s">
        <v>448</v>
      </c>
    </row>
    <row r="8749" customFormat="false" ht="15" hidden="false" customHeight="false" outlineLevel="0" collapsed="false">
      <c r="A8749" s="4" t="s">
        <v>548</v>
      </c>
      <c r="B8749" s="36" t="s">
        <v>321</v>
      </c>
      <c r="C8749" s="48" t="n">
        <f aca="false">Assumptions!$D$97*C8691</f>
        <v>1</v>
      </c>
      <c r="D8749" s="48" t="n">
        <f aca="false">Assumptions!$D$97*D8691</f>
        <v>1</v>
      </c>
      <c r="E8749" s="48" t="n">
        <f aca="false">Assumptions!$D$97*E8691</f>
        <v>1</v>
      </c>
      <c r="F8749" s="48" t="n">
        <f aca="false">Assumptions!$D$97*F8691</f>
        <v>1</v>
      </c>
      <c r="G8749" s="48" t="n">
        <f aca="false">Assumptions!$D$97*G8691</f>
        <v>1</v>
      </c>
      <c r="H8749" s="48" t="n">
        <f aca="false">Assumptions!$D$97*H8691</f>
        <v>1</v>
      </c>
      <c r="I8749" s="48" t="n">
        <f aca="false">Assumptions!$D$97*I8691</f>
        <v>1</v>
      </c>
      <c r="J8749" s="48" t="n">
        <f aca="false">Assumptions!$D$97*J8691</f>
        <v>1</v>
      </c>
      <c r="K8749" s="48" t="n">
        <f aca="false">Assumptions!$D$97*K8691</f>
        <v>1</v>
      </c>
      <c r="L8749" s="48" t="n">
        <f aca="false">Assumptions!$D$97*L8691</f>
        <v>1</v>
      </c>
      <c r="M8749" s="48" t="n">
        <f aca="false">Assumptions!$D$97*M8691</f>
        <v>1</v>
      </c>
      <c r="N8749" s="48" t="n">
        <f aca="false">Assumptions!$D$97*N8691</f>
        <v>1</v>
      </c>
      <c r="P8749" s="49" t="n">
        <f aca="false">AVERAGE(C8749:F8749)</f>
        <v>1</v>
      </c>
      <c r="Q8749" s="49" t="n">
        <f aca="false">AVERAGE(G8749:J8749)</f>
        <v>1</v>
      </c>
      <c r="R8749" s="49" t="n">
        <f aca="false">AVERAGE(K8749:N8749)</f>
        <v>1</v>
      </c>
      <c r="S8749" s="50"/>
    </row>
    <row r="8750" customFormat="false" ht="15" hidden="false" customHeight="false" outlineLevel="0" collapsed="false">
      <c r="A8750" s="4" t="s">
        <v>549</v>
      </c>
      <c r="B8750" s="36" t="s">
        <v>321</v>
      </c>
      <c r="C8750" s="48" t="n">
        <f aca="false">C8704*C8691</f>
        <v>0</v>
      </c>
      <c r="D8750" s="48" t="n">
        <f aca="false">D8704*D8691</f>
        <v>0</v>
      </c>
      <c r="E8750" s="48" t="n">
        <f aca="false">E8704*E8691</f>
        <v>0</v>
      </c>
      <c r="F8750" s="48" t="n">
        <f aca="false">F8704*F8691</f>
        <v>0</v>
      </c>
      <c r="G8750" s="48" t="n">
        <f aca="false">G8704*G8691</f>
        <v>0</v>
      </c>
      <c r="H8750" s="48" t="n">
        <f aca="false">H8704*H8691</f>
        <v>0</v>
      </c>
      <c r="I8750" s="48" t="n">
        <f aca="false">I8704*I8691</f>
        <v>0</v>
      </c>
      <c r="J8750" s="48" t="n">
        <f aca="false">J8704*J8691</f>
        <v>0</v>
      </c>
      <c r="K8750" s="48" t="n">
        <f aca="false">K8704*K8691</f>
        <v>0</v>
      </c>
      <c r="L8750" s="48" t="n">
        <f aca="false">L8704*L8691</f>
        <v>0</v>
      </c>
      <c r="M8750" s="48" t="n">
        <f aca="false">M8704*M8691</f>
        <v>0</v>
      </c>
      <c r="N8750" s="48" t="n">
        <f aca="false">N8704*N8691</f>
        <v>0</v>
      </c>
      <c r="P8750" s="49" t="n">
        <f aca="false">AVERAGE(C8750:F8750)</f>
        <v>0</v>
      </c>
      <c r="Q8750" s="49" t="n">
        <f aca="false">AVERAGE(G8750:J8750)</f>
        <v>0</v>
      </c>
      <c r="R8750" s="49" t="n">
        <f aca="false">AVERAGE(K8750:N8750)</f>
        <v>0</v>
      </c>
      <c r="S8750" s="50"/>
    </row>
    <row r="8751" customFormat="false" ht="15" hidden="false" customHeight="false" outlineLevel="0" collapsed="false">
      <c r="A8751" s="4" t="s">
        <v>550</v>
      </c>
      <c r="B8751" s="36" t="s">
        <v>321</v>
      </c>
      <c r="C8751" s="48" t="n">
        <f aca="false">IF(C8690&lt;=4,Assumptions!$D$98,Assumptions!$D$99)*C8691</f>
        <v>0</v>
      </c>
      <c r="D8751" s="48" t="n">
        <f aca="false">IF(D8690&lt;=4,Assumptions!$D$98,Assumptions!$D$99)*D8691</f>
        <v>0</v>
      </c>
      <c r="E8751" s="48" t="n">
        <f aca="false">IF(E8690&lt;=4,Assumptions!$D$98,Assumptions!$D$99)*E8691</f>
        <v>0</v>
      </c>
      <c r="F8751" s="48" t="n">
        <f aca="false">IF(F8690&lt;=4,Assumptions!$D$98,Assumptions!$D$99)*F8691</f>
        <v>0</v>
      </c>
      <c r="G8751" s="48" t="n">
        <f aca="false">IF(G8690&lt;=4,Assumptions!$D$98,Assumptions!$D$99)*G8691</f>
        <v>0.5</v>
      </c>
      <c r="H8751" s="48" t="n">
        <f aca="false">IF(H8690&lt;=4,Assumptions!$D$98,Assumptions!$D$99)*H8691</f>
        <v>0.5</v>
      </c>
      <c r="I8751" s="48" t="n">
        <f aca="false">IF(I8690&lt;=4,Assumptions!$D$98,Assumptions!$D$99)*I8691</f>
        <v>0.5</v>
      </c>
      <c r="J8751" s="48" t="n">
        <f aca="false">IF(J8690&lt;=4,Assumptions!$D$98,Assumptions!$D$99)*J8691</f>
        <v>0.5</v>
      </c>
      <c r="K8751" s="48" t="n">
        <f aca="false">IF(K8690&lt;=4,Assumptions!$D$98,Assumptions!$D$99)*K8691</f>
        <v>0.5</v>
      </c>
      <c r="L8751" s="48" t="n">
        <f aca="false">IF(L8690&lt;=4,Assumptions!$D$98,Assumptions!$D$99)*L8691</f>
        <v>0.5</v>
      </c>
      <c r="M8751" s="48" t="n">
        <f aca="false">IF(M8690&lt;=4,Assumptions!$D$98,Assumptions!$D$99)*M8691</f>
        <v>0.5</v>
      </c>
      <c r="N8751" s="48" t="n">
        <f aca="false">IF(N8690&lt;=4,Assumptions!$D$98,Assumptions!$D$99)*N8691</f>
        <v>0.5</v>
      </c>
      <c r="P8751" s="49" t="n">
        <f aca="false">AVERAGE(C8751:F8751)</f>
        <v>0</v>
      </c>
      <c r="Q8751" s="49" t="n">
        <f aca="false">AVERAGE(G8751:J8751)</f>
        <v>0.5</v>
      </c>
      <c r="R8751" s="49" t="n">
        <f aca="false">AVERAGE(K8751:N8751)</f>
        <v>0.5</v>
      </c>
      <c r="S8751" s="50"/>
    </row>
    <row r="8752" customFormat="false" ht="15" hidden="false" customHeight="false" outlineLevel="0" collapsed="false">
      <c r="A8752" s="4" t="s">
        <v>551</v>
      </c>
      <c r="B8752" s="36" t="s">
        <v>321</v>
      </c>
      <c r="C8752" s="48" t="n">
        <f aca="false">IF(C8690&lt;=4,Assumptions!$D$100,Assumptions!$D$101)*C8691</f>
        <v>1</v>
      </c>
      <c r="D8752" s="48" t="n">
        <f aca="false">IF(D8690&lt;=4,Assumptions!$D$100,Assumptions!$D$101)*D8691</f>
        <v>1</v>
      </c>
      <c r="E8752" s="48" t="n">
        <f aca="false">IF(E8690&lt;=4,Assumptions!$D$100,Assumptions!$D$101)*E8691</f>
        <v>1</v>
      </c>
      <c r="F8752" s="48" t="n">
        <f aca="false">IF(F8690&lt;=4,Assumptions!$D$100,Assumptions!$D$101)*F8691</f>
        <v>1</v>
      </c>
      <c r="G8752" s="48" t="n">
        <f aca="false">IF(G8690&lt;=4,Assumptions!$D$100,Assumptions!$D$101)*G8691</f>
        <v>0.5</v>
      </c>
      <c r="H8752" s="48" t="n">
        <f aca="false">IF(H8690&lt;=4,Assumptions!$D$100,Assumptions!$D$101)*H8691</f>
        <v>0.5</v>
      </c>
      <c r="I8752" s="48" t="n">
        <f aca="false">IF(I8690&lt;=4,Assumptions!$D$100,Assumptions!$D$101)*I8691</f>
        <v>0.5</v>
      </c>
      <c r="J8752" s="48" t="n">
        <f aca="false">IF(J8690&lt;=4,Assumptions!$D$100,Assumptions!$D$101)*J8691</f>
        <v>0.5</v>
      </c>
      <c r="K8752" s="48" t="n">
        <f aca="false">IF(K8690&lt;=4,Assumptions!$D$100,Assumptions!$D$101)*K8691</f>
        <v>0.5</v>
      </c>
      <c r="L8752" s="48" t="n">
        <f aca="false">IF(L8690&lt;=4,Assumptions!$D$100,Assumptions!$D$101)*L8691</f>
        <v>0.5</v>
      </c>
      <c r="M8752" s="48" t="n">
        <f aca="false">IF(M8690&lt;=4,Assumptions!$D$100,Assumptions!$D$101)*M8691</f>
        <v>0.5</v>
      </c>
      <c r="N8752" s="48" t="n">
        <f aca="false">IF(N8690&lt;=4,Assumptions!$D$100,Assumptions!$D$101)*N8691</f>
        <v>0.5</v>
      </c>
      <c r="P8752" s="49" t="n">
        <f aca="false">AVERAGE(C8752:F8752)</f>
        <v>1</v>
      </c>
      <c r="Q8752" s="49" t="n">
        <f aca="false">AVERAGE(G8752:J8752)</f>
        <v>0.5</v>
      </c>
      <c r="R8752" s="49" t="n">
        <f aca="false">AVERAGE(K8752:N8752)</f>
        <v>0.5</v>
      </c>
      <c r="S8752" s="50"/>
    </row>
    <row r="8753" customFormat="false" ht="15" hidden="false" customHeight="false" outlineLevel="0" collapsed="false">
      <c r="A8753" s="4" t="s">
        <v>552</v>
      </c>
      <c r="B8753" s="36" t="s">
        <v>321</v>
      </c>
      <c r="C8753" s="48" t="n">
        <f aca="false">Assumptions!$D$102*C8691</f>
        <v>0.25</v>
      </c>
      <c r="D8753" s="48" t="n">
        <f aca="false">Assumptions!$D$102*D8691</f>
        <v>0.25</v>
      </c>
      <c r="E8753" s="48" t="n">
        <f aca="false">Assumptions!$D$102*E8691</f>
        <v>0.25</v>
      </c>
      <c r="F8753" s="48" t="n">
        <f aca="false">Assumptions!$D$102*F8691</f>
        <v>0.25</v>
      </c>
      <c r="G8753" s="48" t="n">
        <f aca="false">Assumptions!$D$102*G8691</f>
        <v>0.25</v>
      </c>
      <c r="H8753" s="48" t="n">
        <f aca="false">Assumptions!$D$102*H8691</f>
        <v>0.25</v>
      </c>
      <c r="I8753" s="48" t="n">
        <f aca="false">Assumptions!$D$102*I8691</f>
        <v>0.25</v>
      </c>
      <c r="J8753" s="48" t="n">
        <f aca="false">Assumptions!$D$102*J8691</f>
        <v>0.25</v>
      </c>
      <c r="K8753" s="48" t="n">
        <f aca="false">Assumptions!$D$102*K8691</f>
        <v>0.25</v>
      </c>
      <c r="L8753" s="48" t="n">
        <f aca="false">Assumptions!$D$102*L8691</f>
        <v>0.25</v>
      </c>
      <c r="M8753" s="48" t="n">
        <f aca="false">Assumptions!$D$102*M8691</f>
        <v>0.25</v>
      </c>
      <c r="N8753" s="48" t="n">
        <f aca="false">Assumptions!$D$102*N8691</f>
        <v>0.25</v>
      </c>
      <c r="P8753" s="49" t="n">
        <f aca="false">AVERAGE(C8753:F8753)</f>
        <v>0.25</v>
      </c>
      <c r="Q8753" s="49" t="n">
        <f aca="false">AVERAGE(G8753:J8753)</f>
        <v>0.25</v>
      </c>
      <c r="R8753" s="49" t="n">
        <f aca="false">AVERAGE(K8753:N8753)</f>
        <v>0.25</v>
      </c>
      <c r="S8753" s="50"/>
    </row>
    <row r="8754" customFormat="false" ht="15" hidden="false" customHeight="false" outlineLevel="0" collapsed="false">
      <c r="A8754" s="4" t="s">
        <v>553</v>
      </c>
      <c r="B8754" s="36" t="s">
        <v>321</v>
      </c>
      <c r="C8754" s="48" t="n">
        <f aca="false">(C8738+C8739)/Assumptions!$E$74+C8737/Assumptions!$E$75</f>
        <v>0</v>
      </c>
      <c r="D8754" s="48" t="n">
        <f aca="false">(D8738+D8739)/Assumptions!$E$74+D8737/Assumptions!$E$75</f>
        <v>0.0143176301374139</v>
      </c>
      <c r="E8754" s="48" t="n">
        <f aca="false">(E8738+E8739)/Assumptions!$E$74+E8737/Assumptions!$E$75</f>
        <v>0.0402499456767798</v>
      </c>
      <c r="F8754" s="48" t="n">
        <f aca="false">(F8738+F8739)/Assumptions!$E$74+F8737/Assumptions!$E$75</f>
        <v>0.069296156601371</v>
      </c>
      <c r="G8754" s="48" t="n">
        <f aca="false">(G8738+G8739)/Assumptions!$E$74+G8737/Assumptions!$E$75</f>
        <v>0.100475077199051</v>
      </c>
      <c r="H8754" s="48" t="n">
        <f aca="false">(H8738+H8739)/Assumptions!$E$74+H8737/Assumptions!$E$75</f>
        <v>0.139084643227244</v>
      </c>
      <c r="I8754" s="48" t="n">
        <f aca="false">(I8738+I8739)/Assumptions!$E$74+I8737/Assumptions!$E$75</f>
        <v>0.184756080005146</v>
      </c>
      <c r="J8754" s="48" t="n">
        <f aca="false">(J8738+J8739)/Assumptions!$E$74+J8737/Assumptions!$E$75</f>
        <v>0.248473880206466</v>
      </c>
      <c r="K8754" s="48" t="n">
        <f aca="false">(K8738+K8739)/Assumptions!$E$74+K8737/Assumptions!$E$75</f>
        <v>0.329218871456529</v>
      </c>
      <c r="L8754" s="48" t="n">
        <f aca="false">(L8738+L8739)/Assumptions!$E$74+L8737/Assumptions!$E$75</f>
        <v>0.409912468045788</v>
      </c>
      <c r="M8754" s="48" t="n">
        <f aca="false">(M8738+M8739)/Assumptions!$E$74+M8737/Assumptions!$E$75</f>
        <v>0.486094517455055</v>
      </c>
      <c r="N8754" s="48" t="n">
        <f aca="false">(N8738+N8739)/Assumptions!$E$74+N8737/Assumptions!$E$75</f>
        <v>0.557753573090085</v>
      </c>
      <c r="P8754" s="49" t="n">
        <f aca="false">AVERAGE(C8754:F8754)</f>
        <v>0.0309659331038912</v>
      </c>
      <c r="Q8754" s="49" t="n">
        <f aca="false">AVERAGE(G8754:J8754)</f>
        <v>0.168197420159477</v>
      </c>
      <c r="R8754" s="49" t="n">
        <f aca="false">AVERAGE(K8754:N8754)</f>
        <v>0.445744857511864</v>
      </c>
      <c r="S8754" s="50"/>
    </row>
    <row r="8755" customFormat="false" ht="15" hidden="false" customHeight="false" outlineLevel="0" collapsed="false">
      <c r="A8755" s="4" t="s">
        <v>554</v>
      </c>
      <c r="B8755" s="36" t="s">
        <v>125</v>
      </c>
      <c r="C8755" s="54" t="n">
        <f aca="false">(C8749+C8751)*Assumptions!$E$70/Assumptions!$E$69/4</f>
        <v>66753.5714285714</v>
      </c>
      <c r="D8755" s="54" t="n">
        <f aca="false">(D8749+D8751)*Assumptions!$E$70/Assumptions!$E$69/4</f>
        <v>66753.5714285714</v>
      </c>
      <c r="E8755" s="54" t="n">
        <f aca="false">(E8749+E8751)*Assumptions!$E$70/Assumptions!$E$69/4</f>
        <v>66753.5714285714</v>
      </c>
      <c r="F8755" s="54" t="n">
        <f aca="false">(F8749+F8751)*Assumptions!$E$70/Assumptions!$E$69/4</f>
        <v>66753.5714285714</v>
      </c>
      <c r="G8755" s="54" t="n">
        <f aca="false">(G8749+G8751)*Assumptions!$E$70/Assumptions!$E$69/4</f>
        <v>100130.357142857</v>
      </c>
      <c r="H8755" s="54" t="n">
        <f aca="false">(H8749+H8751)*Assumptions!$E$70/Assumptions!$E$69/4</f>
        <v>100130.357142857</v>
      </c>
      <c r="I8755" s="54" t="n">
        <f aca="false">(I8749+I8751)*Assumptions!$E$70/Assumptions!$E$69/4</f>
        <v>100130.357142857</v>
      </c>
      <c r="J8755" s="54" t="n">
        <f aca="false">(J8749+J8751)*Assumptions!$E$70/Assumptions!$E$69/4</f>
        <v>100130.357142857</v>
      </c>
      <c r="K8755" s="54" t="n">
        <f aca="false">(K8749+K8751)*Assumptions!$E$70/Assumptions!$E$69/4</f>
        <v>100130.357142857</v>
      </c>
      <c r="L8755" s="54" t="n">
        <f aca="false">(L8749+L8751)*Assumptions!$E$70/Assumptions!$E$69/4</f>
        <v>100130.357142857</v>
      </c>
      <c r="M8755" s="54" t="n">
        <f aca="false">(M8749+M8751)*Assumptions!$E$70/Assumptions!$E$69/4</f>
        <v>100130.357142857</v>
      </c>
      <c r="N8755" s="54" t="n">
        <f aca="false">(N8749+N8751)*Assumptions!$E$70/Assumptions!$E$69/4</f>
        <v>100130.357142857</v>
      </c>
      <c r="P8755" s="55" t="n">
        <f aca="false">SUM(C8755:F8755)</f>
        <v>267014.285714286</v>
      </c>
      <c r="Q8755" s="55" t="n">
        <f aca="false">SUM(G8755:J8755)</f>
        <v>400521.428571429</v>
      </c>
      <c r="R8755" s="55" t="n">
        <f aca="false">SUM(K8755:N8755)</f>
        <v>400521.428571429</v>
      </c>
      <c r="S8755" s="56" t="n">
        <f aca="false">SUM(P8755:R8755)</f>
        <v>1068057.14285714</v>
      </c>
    </row>
    <row r="8756" customFormat="false" ht="15" hidden="false" customHeight="false" outlineLevel="0" collapsed="false">
      <c r="A8756" s="4" t="s">
        <v>555</v>
      </c>
      <c r="B8756" s="36" t="s">
        <v>125</v>
      </c>
      <c r="C8756" s="54" t="n">
        <f aca="false">C8750*$C$8685/4</f>
        <v>0</v>
      </c>
      <c r="D8756" s="54" t="n">
        <f aca="false">D8750*$C$8685/4</f>
        <v>0</v>
      </c>
      <c r="E8756" s="54" t="n">
        <f aca="false">E8750*$C$8685/4</f>
        <v>0</v>
      </c>
      <c r="F8756" s="54" t="n">
        <f aca="false">F8750*$C$8685/4</f>
        <v>0</v>
      </c>
      <c r="G8756" s="54" t="n">
        <f aca="false">G8750*$C$8685/4</f>
        <v>0</v>
      </c>
      <c r="H8756" s="54" t="n">
        <f aca="false">H8750*$C$8685/4</f>
        <v>0</v>
      </c>
      <c r="I8756" s="54" t="n">
        <f aca="false">I8750*$C$8685/4</f>
        <v>0</v>
      </c>
      <c r="J8756" s="54" t="n">
        <f aca="false">J8750*$C$8685/4</f>
        <v>0</v>
      </c>
      <c r="K8756" s="54" t="n">
        <f aca="false">K8750*$C$8685/4</f>
        <v>0</v>
      </c>
      <c r="L8756" s="54" t="n">
        <f aca="false">L8750*$C$8685/4</f>
        <v>0</v>
      </c>
      <c r="M8756" s="54" t="n">
        <f aca="false">M8750*$C$8685/4</f>
        <v>0</v>
      </c>
      <c r="N8756" s="54" t="n">
        <f aca="false">N8750*$C$8685/4</f>
        <v>0</v>
      </c>
      <c r="P8756" s="55" t="n">
        <f aca="false">SUM(C8756:F8756)</f>
        <v>0</v>
      </c>
      <c r="Q8756" s="55" t="n">
        <f aca="false">SUM(G8756:J8756)</f>
        <v>0</v>
      </c>
      <c r="R8756" s="55" t="n">
        <f aca="false">SUM(K8756:N8756)</f>
        <v>0</v>
      </c>
      <c r="S8756" s="56" t="n">
        <f aca="false">SUM(P8756:R8756)</f>
        <v>0</v>
      </c>
    </row>
    <row r="8757" customFormat="false" ht="15" hidden="false" customHeight="false" outlineLevel="0" collapsed="false">
      <c r="A8757" s="4" t="s">
        <v>556</v>
      </c>
      <c r="B8757" s="36" t="s">
        <v>125</v>
      </c>
      <c r="C8757" s="54" t="n">
        <f aca="false">MAX(0,(C8745-C8726*$C$8681)-C8705*$C$8686)*$C$8687*Assumptions!$D$105</f>
        <v>0</v>
      </c>
      <c r="D8757" s="54" t="n">
        <f aca="false">MAX(0,(D8745-D8726*$C$8681)-D8705*$C$8686)*$C$8687*Assumptions!$D$105</f>
        <v>2997.30964714145</v>
      </c>
      <c r="E8757" s="54" t="n">
        <f aca="false">MAX(0,(E8745-E8726*$C$8681)-E8705*$C$8686)*$C$8687*Assumptions!$D$105</f>
        <v>6678.13204565133</v>
      </c>
      <c r="F8757" s="54" t="n">
        <f aca="false">MAX(0,(F8745-F8726*$C$8681)-F8705*$C$8686)*$C$8687*Assumptions!$D$105</f>
        <v>8309.46673651602</v>
      </c>
      <c r="G8757" s="54" t="n">
        <f aca="false">MAX(0,(G8745-G8726*$C$8681)-G8705*$C$8686)*$C$8687*Assumptions!$D$105</f>
        <v>9124.71688931473</v>
      </c>
      <c r="H8757" s="54" t="n">
        <f aca="false">MAX(0,(H8745-H8726*$C$8681)-H8705*$C$8686)*$C$8687*Assumptions!$D$105</f>
        <v>11106.5970596712</v>
      </c>
      <c r="I8757" s="54" t="n">
        <f aca="false">MAX(0,(I8745-I8726*$C$8681)-I8705*$C$8686)*$C$8687*Assumptions!$D$105</f>
        <v>13273.5928791704</v>
      </c>
      <c r="J8757" s="54" t="n">
        <f aca="false">MAX(0,(J8745-J8726*$C$8681)-J8705*$C$8686)*$C$8687*Assumptions!$D$105</f>
        <v>17974.6132091893</v>
      </c>
      <c r="K8757" s="54" t="n">
        <f aca="false">MAX(0,(K8745-K8726*$C$8681)-K8705*$C$8686)*$C$8687*Assumptions!$D$105</f>
        <v>23190.8722037759</v>
      </c>
      <c r="L8757" s="54" t="n">
        <f aca="false">MAX(0,(L8745-L8726*$C$8681)-L8705*$C$8686)*$C$8687*Assumptions!$D$105</f>
        <v>24652.6901800722</v>
      </c>
      <c r="M8757" s="54" t="n">
        <f aca="false">MAX(0,(M8745-M8726*$C$8681)-M8705*$C$8686)*$C$8687*Assumptions!$D$105</f>
        <v>24182.4271273276</v>
      </c>
      <c r="N8757" s="54" t="n">
        <f aca="false">MAX(0,(N8745-N8726*$C$8681)-N8705*$C$8686)*$C$8687*Assumptions!$D$105</f>
        <v>23487.1132707412</v>
      </c>
      <c r="P8757" s="55" t="n">
        <f aca="false">SUM(C8757:F8757)</f>
        <v>17984.9084293088</v>
      </c>
      <c r="Q8757" s="55" t="n">
        <f aca="false">SUM(G8757:J8757)</f>
        <v>51479.5200373457</v>
      </c>
      <c r="R8757" s="55" t="n">
        <f aca="false">SUM(K8757:N8757)</f>
        <v>95513.1027819169</v>
      </c>
      <c r="S8757" s="56" t="n">
        <f aca="false">SUM(P8757:R8757)</f>
        <v>164977.531248571</v>
      </c>
    </row>
    <row r="8758" customFormat="false" ht="15" hidden="false" customHeight="false" outlineLevel="0" collapsed="false">
      <c r="A8758" s="4" t="s">
        <v>557</v>
      </c>
      <c r="B8758" s="36" t="s">
        <v>125</v>
      </c>
      <c r="C8758" s="54" t="n">
        <f aca="false">C8753*Assumptions!$E$71/Assumptions!$E$69/4</f>
        <v>18475.8928571429</v>
      </c>
      <c r="D8758" s="54" t="n">
        <f aca="false">D8753*Assumptions!$E$71/Assumptions!$E$69/4</f>
        <v>18475.8928571429</v>
      </c>
      <c r="E8758" s="54" t="n">
        <f aca="false">E8753*Assumptions!$E$71/Assumptions!$E$69/4</f>
        <v>18475.8928571429</v>
      </c>
      <c r="F8758" s="54" t="n">
        <f aca="false">F8753*Assumptions!$E$71/Assumptions!$E$69/4</f>
        <v>18475.8928571429</v>
      </c>
      <c r="G8758" s="54" t="n">
        <f aca="false">G8753*Assumptions!$E$71/Assumptions!$E$69/4</f>
        <v>18475.8928571429</v>
      </c>
      <c r="H8758" s="54" t="n">
        <f aca="false">H8753*Assumptions!$E$71/Assumptions!$E$69/4</f>
        <v>18475.8928571429</v>
      </c>
      <c r="I8758" s="54" t="n">
        <f aca="false">I8753*Assumptions!$E$71/Assumptions!$E$69/4</f>
        <v>18475.8928571429</v>
      </c>
      <c r="J8758" s="54" t="n">
        <f aca="false">J8753*Assumptions!$E$71/Assumptions!$E$69/4</f>
        <v>18475.8928571429</v>
      </c>
      <c r="K8758" s="54" t="n">
        <f aca="false">K8753*Assumptions!$E$71/Assumptions!$E$69/4</f>
        <v>18475.8928571429</v>
      </c>
      <c r="L8758" s="54" t="n">
        <f aca="false">L8753*Assumptions!$E$71/Assumptions!$E$69/4</f>
        <v>18475.8928571429</v>
      </c>
      <c r="M8758" s="54" t="n">
        <f aca="false">M8753*Assumptions!$E$71/Assumptions!$E$69/4</f>
        <v>18475.8928571429</v>
      </c>
      <c r="N8758" s="54" t="n">
        <f aca="false">N8753*Assumptions!$E$71/Assumptions!$E$69/4</f>
        <v>18475.8928571429</v>
      </c>
      <c r="P8758" s="55" t="n">
        <f aca="false">SUM(C8758:F8758)</f>
        <v>73903.5714285714</v>
      </c>
      <c r="Q8758" s="55" t="n">
        <f aca="false">SUM(G8758:J8758)</f>
        <v>73903.5714285714</v>
      </c>
      <c r="R8758" s="55" t="n">
        <f aca="false">SUM(K8758:N8758)</f>
        <v>73903.5714285714</v>
      </c>
      <c r="S8758" s="56" t="n">
        <f aca="false">SUM(P8758:R8758)</f>
        <v>221710.714285714</v>
      </c>
    </row>
    <row r="8759" customFormat="false" ht="15" hidden="false" customHeight="false" outlineLevel="0" collapsed="false">
      <c r="A8759" s="4" t="s">
        <v>558</v>
      </c>
      <c r="B8759" s="36" t="s">
        <v>125</v>
      </c>
      <c r="C8759" s="54" t="n">
        <f aca="false">(Assumptions!$D$103+Assumptions!$E$77*((C8690=Assumptions!$E$13)+(C8690=Assumptions!$E$14)+(C8690=Assumptions!$E$15)))*C8691</f>
        <v>65000</v>
      </c>
      <c r="D8759" s="54" t="n">
        <f aca="false">(Assumptions!$D$103+Assumptions!$E$77*((D8690=Assumptions!$E$13)+(D8690=Assumptions!$E$14)+(D8690=Assumptions!$E$15)))*D8691</f>
        <v>25000</v>
      </c>
      <c r="E8759" s="54" t="n">
        <f aca="false">(Assumptions!$D$103+Assumptions!$E$77*((E8690=Assumptions!$E$13)+(E8690=Assumptions!$E$14)+(E8690=Assumptions!$E$15)))*E8691</f>
        <v>25000</v>
      </c>
      <c r="F8759" s="54" t="n">
        <f aca="false">(Assumptions!$D$103+Assumptions!$E$77*((F8690=Assumptions!$E$13)+(F8690=Assumptions!$E$14)+(F8690=Assumptions!$E$15)))*F8691</f>
        <v>25000</v>
      </c>
      <c r="G8759" s="54" t="n">
        <f aca="false">(Assumptions!$D$103+Assumptions!$E$77*((G8690=Assumptions!$E$13)+(G8690=Assumptions!$E$14)+(G8690=Assumptions!$E$15)))*G8691</f>
        <v>65000</v>
      </c>
      <c r="H8759" s="54" t="n">
        <f aca="false">(Assumptions!$D$103+Assumptions!$E$77*((H8690=Assumptions!$E$13)+(H8690=Assumptions!$E$14)+(H8690=Assumptions!$E$15)))*H8691</f>
        <v>25000</v>
      </c>
      <c r="I8759" s="54" t="n">
        <f aca="false">(Assumptions!$D$103+Assumptions!$E$77*((I8690=Assumptions!$E$13)+(I8690=Assumptions!$E$14)+(I8690=Assumptions!$E$15)))*I8691</f>
        <v>65000</v>
      </c>
      <c r="J8759" s="54" t="n">
        <f aca="false">(Assumptions!$D$103+Assumptions!$E$77*((J8690=Assumptions!$E$13)+(J8690=Assumptions!$E$14)+(J8690=Assumptions!$E$15)))*J8691</f>
        <v>25000</v>
      </c>
      <c r="K8759" s="54" t="n">
        <f aca="false">(Assumptions!$D$103+Assumptions!$E$77*((K8690=Assumptions!$E$13)+(K8690=Assumptions!$E$14)+(K8690=Assumptions!$E$15)))*K8691</f>
        <v>25000</v>
      </c>
      <c r="L8759" s="54" t="n">
        <f aca="false">(Assumptions!$D$103+Assumptions!$E$77*((L8690=Assumptions!$E$13)+(L8690=Assumptions!$E$14)+(L8690=Assumptions!$E$15)))*L8691</f>
        <v>25000</v>
      </c>
      <c r="M8759" s="54" t="n">
        <f aca="false">(Assumptions!$D$103+Assumptions!$E$77*((M8690=Assumptions!$E$13)+(M8690=Assumptions!$E$14)+(M8690=Assumptions!$E$15)))*M8691</f>
        <v>25000</v>
      </c>
      <c r="N8759" s="54" t="n">
        <f aca="false">(Assumptions!$D$103+Assumptions!$E$77*((N8690=Assumptions!$E$13)+(N8690=Assumptions!$E$14)+(N8690=Assumptions!$E$15)))*N8691</f>
        <v>25000</v>
      </c>
      <c r="P8759" s="55" t="n">
        <f aca="false">SUM(C8759:F8759)</f>
        <v>140000</v>
      </c>
      <c r="Q8759" s="55" t="n">
        <f aca="false">SUM(G8759:J8759)</f>
        <v>180000</v>
      </c>
      <c r="R8759" s="55" t="n">
        <f aca="false">SUM(K8759:N8759)</f>
        <v>100000</v>
      </c>
      <c r="S8759" s="56" t="n">
        <f aca="false">SUM(P8759:R8759)</f>
        <v>420000</v>
      </c>
    </row>
    <row r="8760" customFormat="false" ht="15" hidden="false" customHeight="false" outlineLevel="0" collapsed="false">
      <c r="A8760" s="4" t="s">
        <v>559</v>
      </c>
      <c r="B8760" s="36" t="s">
        <v>125</v>
      </c>
      <c r="C8760" s="54" t="n">
        <f aca="false">C8745*C8725*Assumptions!$E$79</f>
        <v>0</v>
      </c>
      <c r="D8760" s="54" t="n">
        <f aca="false">D8745*D8725*Assumptions!$E$79</f>
        <v>717.982774058725</v>
      </c>
      <c r="E8760" s="54" t="n">
        <f aca="false">E8745*E8725*Assumptions!$E$79</f>
        <v>1342.43383142086</v>
      </c>
      <c r="F8760" s="54" t="n">
        <f aca="false">F8745*F8725*Assumptions!$E$79</f>
        <v>1985.79793081367</v>
      </c>
      <c r="G8760" s="54" t="n">
        <f aca="false">G8745*G8725*Assumptions!$E$79</f>
        <v>2487.12142022828</v>
      </c>
      <c r="H8760" s="54" t="n">
        <f aca="false">H8745*H8725*Assumptions!$E$79</f>
        <v>2874.23809196739</v>
      </c>
      <c r="I8760" s="54" t="n">
        <f aca="false">I8745*I8725*Assumptions!$E$79</f>
        <v>3342.57694959781</v>
      </c>
      <c r="J8760" s="54" t="n">
        <f aca="false">J8745*J8725*Assumptions!$E$79</f>
        <v>3623.5441145515</v>
      </c>
      <c r="K8760" s="54" t="n">
        <f aca="false">K8745*K8725*Assumptions!$E$79</f>
        <v>4107.8817989958</v>
      </c>
      <c r="L8760" s="54" t="n">
        <f aca="false">L8745*L8725*Assumptions!$E$79</f>
        <v>4780.48499544779</v>
      </c>
      <c r="M8760" s="54" t="n">
        <f aca="false">M8745*M8725*Assumptions!$E$79</f>
        <v>4825.08621767913</v>
      </c>
      <c r="N8760" s="54" t="n">
        <f aca="false">N8745*N8725*Assumptions!$E$79</f>
        <v>4823.55759219764</v>
      </c>
      <c r="P8760" s="55" t="n">
        <f aca="false">SUM(C8760:F8760)</f>
        <v>4046.21453629325</v>
      </c>
      <c r="Q8760" s="55" t="n">
        <f aca="false">SUM(G8760:J8760)</f>
        <v>12327.480576345</v>
      </c>
      <c r="R8760" s="55" t="n">
        <f aca="false">SUM(K8760:N8760)</f>
        <v>18537.0106043204</v>
      </c>
      <c r="S8760" s="56" t="n">
        <f aca="false">SUM(P8760:R8760)</f>
        <v>34910.7057169586</v>
      </c>
    </row>
    <row r="8761" customFormat="false" ht="15" hidden="false" customHeight="false" outlineLevel="0" collapsed="false">
      <c r="A8761" s="4" t="s">
        <v>560</v>
      </c>
      <c r="B8761" s="36" t="s">
        <v>125</v>
      </c>
      <c r="C8761" s="54" t="n">
        <f aca="false">C8710*Assumptions!$E$80</f>
        <v>4000</v>
      </c>
      <c r="D8761" s="54" t="n">
        <f aca="false">D8710*Assumptions!$E$80</f>
        <v>6000</v>
      </c>
      <c r="E8761" s="54" t="n">
        <f aca="false">E8710*Assumptions!$E$80</f>
        <v>8000</v>
      </c>
      <c r="F8761" s="54" t="n">
        <f aca="false">F8710*Assumptions!$E$80</f>
        <v>10000</v>
      </c>
      <c r="G8761" s="54" t="n">
        <f aca="false">G8710*Assumptions!$E$80</f>
        <v>12000</v>
      </c>
      <c r="H8761" s="54" t="n">
        <f aca="false">H8710*Assumptions!$E$80</f>
        <v>14000</v>
      </c>
      <c r="I8761" s="54" t="n">
        <f aca="false">I8710*Assumptions!$E$80</f>
        <v>16000</v>
      </c>
      <c r="J8761" s="54" t="n">
        <f aca="false">J8710*Assumptions!$E$80</f>
        <v>18000</v>
      </c>
      <c r="K8761" s="54" t="n">
        <f aca="false">K8710*Assumptions!$E$80</f>
        <v>20000</v>
      </c>
      <c r="L8761" s="54" t="n">
        <f aca="false">L8710*Assumptions!$E$80</f>
        <v>20000</v>
      </c>
      <c r="M8761" s="54" t="n">
        <f aca="false">M8710*Assumptions!$E$80</f>
        <v>20000</v>
      </c>
      <c r="N8761" s="54" t="n">
        <f aca="false">N8710*Assumptions!$E$80</f>
        <v>20000</v>
      </c>
      <c r="P8761" s="55" t="n">
        <f aca="false">SUM(C8761:F8761)</f>
        <v>28000</v>
      </c>
      <c r="Q8761" s="55" t="n">
        <f aca="false">SUM(G8761:J8761)</f>
        <v>60000</v>
      </c>
      <c r="R8761" s="55" t="n">
        <f aca="false">SUM(K8761:N8761)</f>
        <v>80000</v>
      </c>
      <c r="S8761" s="56" t="n">
        <f aca="false">SUM(P8761:R8761)</f>
        <v>168000</v>
      </c>
    </row>
    <row r="8762" customFormat="false" ht="15" hidden="false" customHeight="false" outlineLevel="0" collapsed="false">
      <c r="A8762" s="4" t="s">
        <v>561</v>
      </c>
      <c r="B8762" s="36" t="s">
        <v>125</v>
      </c>
      <c r="C8762" s="54" t="n">
        <f aca="false">(C8733*$C$8682+C8734*$C$8683)*Assumptions!$E$81</f>
        <v>0</v>
      </c>
      <c r="D8762" s="54" t="n">
        <f aca="false">(D8733*$C$8682+D8734*$C$8683)*Assumptions!$E$81</f>
        <v>476.953476273423</v>
      </c>
      <c r="E8762" s="54" t="n">
        <f aca="false">(E8733*$C$8682+E8734*$C$8683)*Assumptions!$E$81</f>
        <v>1312.90541513845</v>
      </c>
      <c r="F8762" s="54" t="n">
        <f aca="false">(F8733*$C$8682+F8734*$C$8683)*Assumptions!$E$81</f>
        <v>1751.18107658096</v>
      </c>
      <c r="G8762" s="54" t="n">
        <f aca="false">(G8733*$C$8682+G8734*$C$8683)*Assumptions!$E$81</f>
        <v>1925.26482846573</v>
      </c>
      <c r="H8762" s="54" t="n">
        <f aca="false">(H8733*$C$8682+H8734*$C$8683)*Assumptions!$E$81</f>
        <v>2273.22693353957</v>
      </c>
      <c r="I8762" s="54" t="n">
        <f aca="false">(I8733*$C$8682+I8734*$C$8683)*Assumptions!$E$81</f>
        <v>2699.79716086064</v>
      </c>
      <c r="J8762" s="54" t="n">
        <f aca="false">(J8733*$C$8682+J8734*$C$8683)*Assumptions!$E$81</f>
        <v>3458.67727260383</v>
      </c>
      <c r="K8762" s="54" t="n">
        <f aca="false">(K8733*$C$8682+K8734*$C$8683)*Assumptions!$E$81</f>
        <v>4454.67341731548</v>
      </c>
      <c r="L8762" s="54" t="n">
        <f aca="false">(L8733*$C$8682+L8734*$C$8683)*Assumptions!$E$81</f>
        <v>4903.40389367763</v>
      </c>
      <c r="M8762" s="54" t="n">
        <f aca="false">(M8733*$C$8682+M8734*$C$8683)*Assumptions!$E$81</f>
        <v>4841.72257927787</v>
      </c>
      <c r="N8762" s="54" t="n">
        <f aca="false">(N8733*$C$8682+N8734*$C$8683)*Assumptions!$E$81</f>
        <v>4701.45988803449</v>
      </c>
      <c r="P8762" s="55" t="n">
        <f aca="false">SUM(C8762:F8762)</f>
        <v>3541.03996799283</v>
      </c>
      <c r="Q8762" s="55" t="n">
        <f aca="false">SUM(G8762:J8762)</f>
        <v>10356.9661954698</v>
      </c>
      <c r="R8762" s="55" t="n">
        <f aca="false">SUM(K8762:N8762)</f>
        <v>18901.2597783055</v>
      </c>
      <c r="S8762" s="56" t="n">
        <f aca="false">SUM(P8762:R8762)</f>
        <v>32799.2659417681</v>
      </c>
    </row>
    <row r="8763" customFormat="false" ht="15" hidden="false" customHeight="false" outlineLevel="0" collapsed="false">
      <c r="A8763" s="9" t="s">
        <v>562</v>
      </c>
      <c r="B8763" s="36" t="s">
        <v>125</v>
      </c>
      <c r="C8763" s="55" t="n">
        <f aca="false">C8755+C8756+C8757+C8758+C8759+C8760+C8761+C8762</f>
        <v>154229.464285714</v>
      </c>
      <c r="D8763" s="55" t="n">
        <f aca="false">D8755+D8756+D8757+D8758+D8759+D8760+D8761+D8762</f>
        <v>120421.710183188</v>
      </c>
      <c r="E8763" s="55" t="n">
        <f aca="false">E8755+E8756+E8757+E8758+E8759+E8760+E8761+E8762</f>
        <v>127562.935577925</v>
      </c>
      <c r="F8763" s="55" t="n">
        <f aca="false">F8755+F8756+F8757+F8758+F8759+F8760+F8761+F8762</f>
        <v>132275.910029625</v>
      </c>
      <c r="G8763" s="55" t="n">
        <f aca="false">G8755+G8756+G8757+G8758+G8759+G8760+G8761+G8762</f>
        <v>209143.353138009</v>
      </c>
      <c r="H8763" s="55" t="n">
        <f aca="false">H8755+H8756+H8757+H8758+H8759+H8760+H8761+H8762</f>
        <v>173860.312085178</v>
      </c>
      <c r="I8763" s="55" t="n">
        <f aca="false">I8755+I8756+I8757+I8758+I8759+I8760+I8761+I8762</f>
        <v>218922.216989629</v>
      </c>
      <c r="J8763" s="55" t="n">
        <f aca="false">J8755+J8756+J8757+J8758+J8759+J8760+J8761+J8762</f>
        <v>186663.084596345</v>
      </c>
      <c r="K8763" s="55" t="n">
        <f aca="false">K8755+K8756+K8757+K8758+K8759+K8760+K8761+K8762</f>
        <v>195359.677420087</v>
      </c>
      <c r="L8763" s="55" t="n">
        <f aca="false">L8755+L8756+L8757+L8758+L8759+L8760+L8761+L8762</f>
        <v>197942.829069198</v>
      </c>
      <c r="M8763" s="55" t="n">
        <f aca="false">M8755+M8756+M8757+M8758+M8759+M8760+M8761+M8762</f>
        <v>197455.485924285</v>
      </c>
      <c r="N8763" s="55" t="n">
        <f aca="false">N8755+N8756+N8757+N8758+N8759+N8760+N8761+N8762</f>
        <v>196618.380750973</v>
      </c>
      <c r="P8763" s="55" t="n">
        <f aca="false">SUM(C8763:F8763)</f>
        <v>534490.020076452</v>
      </c>
      <c r="Q8763" s="55" t="n">
        <f aca="false">SUM(G8763:J8763)</f>
        <v>788588.96680916</v>
      </c>
      <c r="R8763" s="55" t="n">
        <f aca="false">SUM(K8763:N8763)</f>
        <v>787376.373164543</v>
      </c>
      <c r="S8763" s="56" t="n">
        <f aca="false">SUM(P8763:R8763)</f>
        <v>2110455.36005016</v>
      </c>
    </row>
    <row r="8764" customFormat="false" ht="15" hidden="false" customHeight="false" outlineLevel="0" collapsed="false">
      <c r="A8764" s="4" t="s">
        <v>563</v>
      </c>
      <c r="B8764" s="36" t="s">
        <v>125</v>
      </c>
      <c r="C8764" s="54" t="n">
        <f aca="false">C8752*Assumptions!$E$72/Assumptions!$E$69/4</f>
        <v>56535.7142857143</v>
      </c>
      <c r="D8764" s="54" t="n">
        <f aca="false">D8752*Assumptions!$E$72/Assumptions!$E$69/4</f>
        <v>56535.7142857143</v>
      </c>
      <c r="E8764" s="54" t="n">
        <f aca="false">E8752*Assumptions!$E$72/Assumptions!$E$69/4</f>
        <v>56535.7142857143</v>
      </c>
      <c r="F8764" s="54" t="n">
        <f aca="false">F8752*Assumptions!$E$72/Assumptions!$E$69/4</f>
        <v>56535.7142857143</v>
      </c>
      <c r="G8764" s="54" t="n">
        <f aca="false">G8752*Assumptions!$E$72/Assumptions!$E$69/4</f>
        <v>28267.8571428571</v>
      </c>
      <c r="H8764" s="54" t="n">
        <f aca="false">H8752*Assumptions!$E$72/Assumptions!$E$69/4</f>
        <v>28267.8571428571</v>
      </c>
      <c r="I8764" s="54" t="n">
        <f aca="false">I8752*Assumptions!$E$72/Assumptions!$E$69/4</f>
        <v>28267.8571428571</v>
      </c>
      <c r="J8764" s="54" t="n">
        <f aca="false">J8752*Assumptions!$E$72/Assumptions!$E$69/4</f>
        <v>28267.8571428571</v>
      </c>
      <c r="K8764" s="54" t="n">
        <f aca="false">K8752*Assumptions!$E$72/Assumptions!$E$69/4</f>
        <v>28267.8571428571</v>
      </c>
      <c r="L8764" s="54" t="n">
        <f aca="false">L8752*Assumptions!$E$72/Assumptions!$E$69/4</f>
        <v>28267.8571428571</v>
      </c>
      <c r="M8764" s="54" t="n">
        <f aca="false">M8752*Assumptions!$E$72/Assumptions!$E$69/4</f>
        <v>28267.8571428571</v>
      </c>
      <c r="N8764" s="54" t="n">
        <f aca="false">N8752*Assumptions!$E$72/Assumptions!$E$69/4</f>
        <v>28267.8571428571</v>
      </c>
      <c r="P8764" s="55" t="n">
        <f aca="false">SUM(C8764:F8764)</f>
        <v>226142.857142857</v>
      </c>
      <c r="Q8764" s="55" t="n">
        <f aca="false">SUM(G8764:J8764)</f>
        <v>113071.428571429</v>
      </c>
      <c r="R8764" s="55" t="n">
        <f aca="false">SUM(K8764:N8764)</f>
        <v>113071.428571429</v>
      </c>
      <c r="S8764" s="56" t="n">
        <f aca="false">SUM(P8764:R8764)</f>
        <v>452285.714285714</v>
      </c>
    </row>
    <row r="8765" customFormat="false" ht="15" hidden="false" customHeight="false" outlineLevel="0" collapsed="false">
      <c r="A8765" s="4" t="s">
        <v>564</v>
      </c>
      <c r="B8765" s="36" t="s">
        <v>125</v>
      </c>
      <c r="C8765" s="54" t="n">
        <f aca="false">IF(C8690&lt;=Assumptions!$E$83,Assumptions!$E$82*Assumptions!$D$108/Assumptions!$E$83,0)</f>
        <v>62500</v>
      </c>
      <c r="D8765" s="54" t="n">
        <f aca="false">IF(D8690&lt;=Assumptions!$E$83,Assumptions!$E$82*Assumptions!$D$108/Assumptions!$E$83,0)</f>
        <v>62500</v>
      </c>
      <c r="E8765" s="54" t="n">
        <f aca="false">IF(E8690&lt;=Assumptions!$E$83,Assumptions!$E$82*Assumptions!$D$108/Assumptions!$E$83,0)</f>
        <v>62500</v>
      </c>
      <c r="F8765" s="54" t="n">
        <f aca="false">IF(F8690&lt;=Assumptions!$E$83,Assumptions!$E$82*Assumptions!$D$108/Assumptions!$E$83,0)</f>
        <v>62500</v>
      </c>
      <c r="G8765" s="54" t="n">
        <f aca="false">IF(G8690&lt;=Assumptions!$E$83,Assumptions!$E$82*Assumptions!$D$108/Assumptions!$E$83,0)</f>
        <v>0</v>
      </c>
      <c r="H8765" s="54" t="n">
        <f aca="false">IF(H8690&lt;=Assumptions!$E$83,Assumptions!$E$82*Assumptions!$D$108/Assumptions!$E$83,0)</f>
        <v>0</v>
      </c>
      <c r="I8765" s="54" t="n">
        <f aca="false">IF(I8690&lt;=Assumptions!$E$83,Assumptions!$E$82*Assumptions!$D$108/Assumptions!$E$83,0)</f>
        <v>0</v>
      </c>
      <c r="J8765" s="54" t="n">
        <f aca="false">IF(J8690&lt;=Assumptions!$E$83,Assumptions!$E$82*Assumptions!$D$108/Assumptions!$E$83,0)</f>
        <v>0</v>
      </c>
      <c r="K8765" s="54" t="n">
        <f aca="false">IF(K8690&lt;=Assumptions!$E$83,Assumptions!$E$82*Assumptions!$D$108/Assumptions!$E$83,0)</f>
        <v>0</v>
      </c>
      <c r="L8765" s="54" t="n">
        <f aca="false">IF(L8690&lt;=Assumptions!$E$83,Assumptions!$E$82*Assumptions!$D$108/Assumptions!$E$83,0)</f>
        <v>0</v>
      </c>
      <c r="M8765" s="54" t="n">
        <f aca="false">IF(M8690&lt;=Assumptions!$E$83,Assumptions!$E$82*Assumptions!$D$108/Assumptions!$E$83,0)</f>
        <v>0</v>
      </c>
      <c r="N8765" s="54" t="n">
        <f aca="false">IF(N8690&lt;=Assumptions!$E$83,Assumptions!$E$82*Assumptions!$D$108/Assumptions!$E$83,0)</f>
        <v>0</v>
      </c>
      <c r="P8765" s="55" t="n">
        <f aca="false">SUM(C8765:F8765)</f>
        <v>250000</v>
      </c>
      <c r="Q8765" s="55" t="n">
        <f aca="false">SUM(G8765:J8765)</f>
        <v>0</v>
      </c>
      <c r="R8765" s="55" t="n">
        <f aca="false">SUM(K8765:N8765)</f>
        <v>0</v>
      </c>
      <c r="S8765" s="56" t="n">
        <f aca="false">SUM(P8765:R8765)</f>
        <v>250000</v>
      </c>
    </row>
    <row r="8766" customFormat="false" ht="15" hidden="false" customHeight="false" outlineLevel="0" collapsed="false">
      <c r="A8766" s="4" t="s">
        <v>565</v>
      </c>
      <c r="B8766" s="36" t="s">
        <v>125</v>
      </c>
      <c r="C8766" s="54" t="n">
        <f aca="false">C8754*Assumptions!$E$73/Assumptions!$E$69/4</f>
        <v>0</v>
      </c>
      <c r="D8766" s="54" t="n">
        <f aca="false">D8754*Assumptions!$E$73/Assumptions!$E$69/4</f>
        <v>575.3130595573</v>
      </c>
      <c r="E8766" s="54" t="n">
        <f aca="false">E8754*Assumptions!$E$73/Assumptions!$E$69/4</f>
        <v>1617.32906717661</v>
      </c>
      <c r="F8766" s="54" t="n">
        <f aca="false">F8754*Assumptions!$E$73/Assumptions!$E$69/4</f>
        <v>2784.46806400723</v>
      </c>
      <c r="G8766" s="54" t="n">
        <f aca="false">G8754*Assumptions!$E$73/Assumptions!$E$69/4</f>
        <v>4037.30390559473</v>
      </c>
      <c r="H8766" s="54" t="n">
        <f aca="false">H8754*Assumptions!$E$73/Assumptions!$E$69/4</f>
        <v>5588.71900339185</v>
      </c>
      <c r="I8766" s="54" t="n">
        <f aca="false">I8754*Assumptions!$E$73/Assumptions!$E$69/4</f>
        <v>7423.89520049251</v>
      </c>
      <c r="J8766" s="54" t="n">
        <f aca="false">J8754*Assumptions!$E$73/Assumptions!$E$69/4</f>
        <v>9984.21295072483</v>
      </c>
      <c r="K8766" s="54" t="n">
        <f aca="false">K8754*Assumptions!$E$73/Assumptions!$E$69/4</f>
        <v>13228.7197241336</v>
      </c>
      <c r="L8766" s="54" t="n">
        <f aca="false">L8754*Assumptions!$E$73/Assumptions!$E$69/4</f>
        <v>16471.1613499398</v>
      </c>
      <c r="M8766" s="54" t="n">
        <f aca="false">M8754*Assumptions!$E$73/Assumptions!$E$69/4</f>
        <v>19532.3193424529</v>
      </c>
      <c r="N8766" s="54" t="n">
        <f aca="false">N8754*Assumptions!$E$73/Assumptions!$E$69/4</f>
        <v>22411.7337529877</v>
      </c>
      <c r="P8766" s="55" t="n">
        <f aca="false">SUM(C8766:F8766)</f>
        <v>4977.11019074114</v>
      </c>
      <c r="Q8766" s="55" t="n">
        <f aca="false">SUM(G8766:J8766)</f>
        <v>27034.1310602039</v>
      </c>
      <c r="R8766" s="55" t="n">
        <f aca="false">SUM(K8766:N8766)</f>
        <v>71643.934169514</v>
      </c>
      <c r="S8766" s="56" t="n">
        <f aca="false">SUM(P8766:R8766)</f>
        <v>103655.175420459</v>
      </c>
    </row>
    <row r="8767" customFormat="false" ht="15" hidden="false" customHeight="false" outlineLevel="0" collapsed="false">
      <c r="A8767" s="9" t="s">
        <v>566</v>
      </c>
      <c r="B8767" s="36" t="s">
        <v>125</v>
      </c>
      <c r="C8767" s="55" t="n">
        <f aca="false">C8763+C8764+C8765+C8766</f>
        <v>273265.178571429</v>
      </c>
      <c r="D8767" s="55" t="n">
        <f aca="false">D8763+D8764+D8765+D8766</f>
        <v>240032.737528459</v>
      </c>
      <c r="E8767" s="55" t="n">
        <f aca="false">E8763+E8764+E8765+E8766</f>
        <v>248215.978930816</v>
      </c>
      <c r="F8767" s="55" t="n">
        <f aca="false">F8763+F8764+F8765+F8766</f>
        <v>254096.092379346</v>
      </c>
      <c r="G8767" s="55" t="n">
        <f aca="false">G8763+G8764+G8765+G8766</f>
        <v>241448.514186461</v>
      </c>
      <c r="H8767" s="55" t="n">
        <f aca="false">H8763+H8764+H8765+H8766</f>
        <v>207716.888231427</v>
      </c>
      <c r="I8767" s="55" t="n">
        <f aca="false">I8763+I8764+I8765+I8766</f>
        <v>254613.969332979</v>
      </c>
      <c r="J8767" s="55" t="n">
        <f aca="false">J8763+J8764+J8765+J8766</f>
        <v>224915.154689927</v>
      </c>
      <c r="K8767" s="55" t="n">
        <f aca="false">K8763+K8764+K8765+K8766</f>
        <v>236856.254287078</v>
      </c>
      <c r="L8767" s="55" t="n">
        <f aca="false">L8763+L8764+L8765+L8766</f>
        <v>242681.847561995</v>
      </c>
      <c r="M8767" s="55" t="n">
        <f aca="false">M8763+M8764+M8765+M8766</f>
        <v>245255.662409595</v>
      </c>
      <c r="N8767" s="55" t="n">
        <f aca="false">N8763+N8764+N8765+N8766</f>
        <v>247297.971646818</v>
      </c>
      <c r="P8767" s="55" t="n">
        <f aca="false">SUM(C8767:F8767)</f>
        <v>1015609.98741005</v>
      </c>
      <c r="Q8767" s="55" t="n">
        <f aca="false">SUM(G8767:J8767)</f>
        <v>928694.526440793</v>
      </c>
      <c r="R8767" s="55" t="n">
        <f aca="false">SUM(K8767:N8767)</f>
        <v>972091.735905486</v>
      </c>
      <c r="S8767" s="56" t="n">
        <f aca="false">SUM(P8767:R8767)</f>
        <v>2916396.24975633</v>
      </c>
    </row>
    <row r="8768" customFormat="false" ht="15" hidden="false" customHeight="false" outlineLevel="0" collapsed="false">
      <c r="A8768" s="35" t="s">
        <v>567</v>
      </c>
      <c r="B8768" s="35" t="s">
        <v>444</v>
      </c>
      <c r="C8768" s="6" t="s">
        <v>354</v>
      </c>
      <c r="D8768" s="6" t="s">
        <v>355</v>
      </c>
      <c r="E8768" s="6" t="s">
        <v>356</v>
      </c>
      <c r="F8768" s="6" t="s">
        <v>357</v>
      </c>
      <c r="G8768" s="6" t="s">
        <v>358</v>
      </c>
      <c r="H8768" s="6" t="s">
        <v>359</v>
      </c>
      <c r="I8768" s="6" t="s">
        <v>360</v>
      </c>
      <c r="J8768" s="6" t="s">
        <v>361</v>
      </c>
      <c r="K8768" s="6" t="s">
        <v>362</v>
      </c>
      <c r="L8768" s="6" t="s">
        <v>363</v>
      </c>
      <c r="M8768" s="6" t="s">
        <v>364</v>
      </c>
      <c r="N8768" s="6" t="s">
        <v>365</v>
      </c>
      <c r="P8768" s="6" t="s">
        <v>445</v>
      </c>
      <c r="Q8768" s="6" t="s">
        <v>446</v>
      </c>
      <c r="R8768" s="6" t="s">
        <v>447</v>
      </c>
      <c r="S8768" s="6" t="s">
        <v>448</v>
      </c>
    </row>
    <row r="8769" customFormat="false" ht="15" hidden="false" customHeight="false" outlineLevel="0" collapsed="false">
      <c r="A8769" s="9" t="s">
        <v>568</v>
      </c>
      <c r="B8769" s="36" t="s">
        <v>125</v>
      </c>
      <c r="C8769" s="55" t="n">
        <f aca="false">C8747-C8767</f>
        <v>-273265.178571429</v>
      </c>
      <c r="D8769" s="55" t="n">
        <f aca="false">D8747-D8767</f>
        <v>-239397.643931623</v>
      </c>
      <c r="E8769" s="55" t="n">
        <f aca="false">E8747-E8767</f>
        <v>-245585.075290732</v>
      </c>
      <c r="F8769" s="55" t="n">
        <f aca="false">F8747-F8767</f>
        <v>-248423.481652394</v>
      </c>
      <c r="G8769" s="55" t="n">
        <f aca="false">G8747-G8767</f>
        <v>-232227.461983481</v>
      </c>
      <c r="H8769" s="55" t="n">
        <f aca="false">H8747-H8767</f>
        <v>-194321.470414964</v>
      </c>
      <c r="I8769" s="55" t="n">
        <f aca="false">I8747-I8767</f>
        <v>-236132.871052429</v>
      </c>
      <c r="J8769" s="55" t="n">
        <f aca="false">J8747-J8767</f>
        <v>-199844.891016924</v>
      </c>
      <c r="K8769" s="55" t="n">
        <f aca="false">K8747-K8767</f>
        <v>-203051.286229849</v>
      </c>
      <c r="L8769" s="55" t="n">
        <f aca="false">L8747-L8767</f>
        <v>-198707.118004819</v>
      </c>
      <c r="M8769" s="55" t="n">
        <f aca="false">M8747-M8767</f>
        <v>-190820.965459439</v>
      </c>
      <c r="N8769" s="55" t="n">
        <f aca="false">N8747-N8767</f>
        <v>-182501.175999002</v>
      </c>
      <c r="P8769" s="55" t="n">
        <f aca="false">SUM(C8769:F8769)</f>
        <v>-1006671.37944618</v>
      </c>
      <c r="Q8769" s="55" t="n">
        <f aca="false">SUM(G8769:J8769)</f>
        <v>-862526.694467798</v>
      </c>
      <c r="R8769" s="55" t="n">
        <f aca="false">SUM(K8769:N8769)</f>
        <v>-775080.54569311</v>
      </c>
      <c r="S8769" s="56" t="n">
        <f aca="false">SUM(P8769:R8769)</f>
        <v>-2644278.61960709</v>
      </c>
    </row>
    <row r="8770" customFormat="false" ht="15" hidden="false" customHeight="false" outlineLevel="0" collapsed="false">
      <c r="A8770" s="9" t="s">
        <v>569</v>
      </c>
      <c r="B8770" s="36" t="s">
        <v>125</v>
      </c>
      <c r="C8770" s="55" t="n">
        <f aca="false">0+C8769</f>
        <v>-273265.178571429</v>
      </c>
      <c r="D8770" s="55" t="n">
        <f aca="false">C8770+D8769</f>
        <v>-512662.822503052</v>
      </c>
      <c r="E8770" s="55" t="n">
        <f aca="false">D8770+E8769</f>
        <v>-758247.897793784</v>
      </c>
      <c r="F8770" s="55" t="n">
        <f aca="false">E8770+F8769</f>
        <v>-1006671.37944618</v>
      </c>
      <c r="G8770" s="55" t="n">
        <f aca="false">F8770+G8769</f>
        <v>-1238898.84142966</v>
      </c>
      <c r="H8770" s="55" t="n">
        <f aca="false">G8770+H8769</f>
        <v>-1433220.31184462</v>
      </c>
      <c r="I8770" s="55" t="n">
        <f aca="false">H8770+I8769</f>
        <v>-1669353.18289705</v>
      </c>
      <c r="J8770" s="55" t="n">
        <f aca="false">I8770+J8769</f>
        <v>-1869198.07391398</v>
      </c>
      <c r="K8770" s="55" t="n">
        <f aca="false">J8770+K8769</f>
        <v>-2072249.36014382</v>
      </c>
      <c r="L8770" s="55" t="n">
        <f aca="false">K8770+L8769</f>
        <v>-2270956.47814864</v>
      </c>
      <c r="M8770" s="55" t="n">
        <f aca="false">L8770+M8769</f>
        <v>-2461777.44360808</v>
      </c>
      <c r="N8770" s="55" t="n">
        <f aca="false">M8770+N8769</f>
        <v>-2644278.61960709</v>
      </c>
      <c r="P8770" s="55" t="n">
        <f aca="false">F8770</f>
        <v>-1006671.37944618</v>
      </c>
      <c r="Q8770" s="55" t="n">
        <f aca="false">J8770</f>
        <v>-1869198.07391398</v>
      </c>
      <c r="R8770" s="55" t="n">
        <f aca="false">N8770</f>
        <v>-2644278.61960709</v>
      </c>
      <c r="S8770" s="56" t="n">
        <f aca="false">R8770</f>
        <v>-2644278.61960709</v>
      </c>
    </row>
    <row r="8771" customFormat="false" ht="15" hidden="false" customHeight="false" outlineLevel="0" collapsed="false">
      <c r="A8771" s="4" t="s">
        <v>570</v>
      </c>
      <c r="B8771" s="36" t="s">
        <v>107</v>
      </c>
      <c r="C8771" s="57" t="n">
        <f aca="false">1/(1+Assumptions!$E$87)^(C8690/4)</f>
        <v>0.972065420906982</v>
      </c>
      <c r="D8771" s="57" t="n">
        <f aca="false">1/(1+Assumptions!$E$87)^(D8690/4)</f>
        <v>0.944911182523068</v>
      </c>
      <c r="E8771" s="57" t="n">
        <f aca="false">1/(1+Assumptions!$E$87)^(E8690/4)</f>
        <v>0.918515486359</v>
      </c>
      <c r="F8771" s="57" t="n">
        <f aca="false">1/(1+Assumptions!$E$87)^(F8690/4)</f>
        <v>0.892857142857143</v>
      </c>
      <c r="G8771" s="57" t="n">
        <f aca="false">1/(1+Assumptions!$E$87)^(G8690/4)</f>
        <v>0.867915554381234</v>
      </c>
      <c r="H8771" s="57" t="n">
        <f aca="false">1/(1+Assumptions!$E$87)^(H8690/4)</f>
        <v>0.843670698681311</v>
      </c>
      <c r="I8771" s="57" t="n">
        <f aca="false">1/(1+Assumptions!$E$87)^(I8690/4)</f>
        <v>0.820103112820536</v>
      </c>
      <c r="J8771" s="57" t="n">
        <f aca="false">1/(1+Assumptions!$E$87)^(J8690/4)</f>
        <v>0.79719387755102</v>
      </c>
      <c r="K8771" s="57" t="n">
        <f aca="false">1/(1+Assumptions!$E$87)^(K8690/4)</f>
        <v>0.774924602126102</v>
      </c>
      <c r="L8771" s="57" t="n">
        <f aca="false">1/(1+Assumptions!$E$87)^(L8690/4)</f>
        <v>0.753277409536885</v>
      </c>
      <c r="M8771" s="57" t="n">
        <f aca="false">1/(1+Assumptions!$E$87)^(M8690/4)</f>
        <v>0.732234922161193</v>
      </c>
      <c r="N8771" s="57" t="n">
        <f aca="false">1/(1+Assumptions!$E$87)^(N8690/4)</f>
        <v>0.711780247813411</v>
      </c>
      <c r="P8771" s="58"/>
      <c r="Q8771" s="58"/>
      <c r="R8771" s="58"/>
      <c r="S8771" s="59"/>
    </row>
    <row r="8772" customFormat="false" ht="15" hidden="false" customHeight="false" outlineLevel="0" collapsed="false">
      <c r="A8772" s="4" t="s">
        <v>571</v>
      </c>
      <c r="B8772" s="36" t="s">
        <v>125</v>
      </c>
      <c r="C8772" s="54" t="n">
        <f aca="false">(C8747*(1-Assumptions!$E$88)-C8767)*C8771</f>
        <v>-265631.630827257</v>
      </c>
      <c r="D8772" s="54" t="n">
        <f aca="false">(D8747*(1-Assumptions!$E$88)-D8767)*D8771</f>
        <v>-226329.532228986</v>
      </c>
      <c r="E8772" s="54" t="n">
        <f aca="false">(E8747*(1-Assumptions!$E$88)-E8767)*E8771</f>
        <v>-226057.000020486</v>
      </c>
      <c r="F8772" s="54" t="n">
        <f aca="false">(F8747*(1-Assumptions!$E$88)-F8767)*F8771</f>
        <v>-222819.646248022</v>
      </c>
      <c r="G8772" s="54" t="n">
        <f aca="false">(G8747*(1-Assumptions!$E$88)-G8767)*G8771</f>
        <v>-203154.445336886</v>
      </c>
      <c r="H8772" s="54" t="n">
        <f aca="false">(H8747*(1-Assumptions!$E$88)-H8767)*H8771</f>
        <v>-166203.595015441</v>
      </c>
      <c r="I8772" s="54" t="n">
        <f aca="false">(I8747*(1-Assumptions!$E$88)-I8767)*I8771</f>
        <v>-196684.583834991</v>
      </c>
      <c r="J8772" s="54" t="n">
        <f aca="false">(J8747*(1-Assumptions!$E$88)-J8767)*J8771</f>
        <v>-163312.295720284</v>
      </c>
      <c r="K8772" s="54" t="n">
        <f aca="false">(K8747*(1-Assumptions!$E$88)-K8767)*K8771</f>
        <v>-162588.697477186</v>
      </c>
      <c r="L8772" s="54" t="n">
        <f aca="false">(L8747*(1-Assumptions!$E$88)-L8767)*L8771</f>
        <v>-156306.617180393</v>
      </c>
      <c r="M8772" s="54" t="n">
        <f aca="false">(M8747*(1-Assumptions!$E$88)-M8767)*M8771</f>
        <v>-147697.572006749</v>
      </c>
      <c r="N8772" s="54" t="n">
        <f aca="false">(N8747*(1-Assumptions!$E$88)-N8767)*N8771</f>
        <v>-139124.948131552</v>
      </c>
      <c r="P8772" s="55" t="n">
        <f aca="false">SUM(C8772:F8772)</f>
        <v>-940837.809324751</v>
      </c>
      <c r="Q8772" s="55" t="n">
        <f aca="false">SUM(G8772:J8772)</f>
        <v>-729354.919907602</v>
      </c>
      <c r="R8772" s="55" t="n">
        <f aca="false">SUM(K8772:N8772)</f>
        <v>-605717.83479588</v>
      </c>
      <c r="S8772" s="56" t="n">
        <f aca="false">SUM(P8772:R8772)</f>
        <v>-2275910.56402823</v>
      </c>
    </row>
    <row r="8773" customFormat="false" ht="15" hidden="false" customHeight="false" outlineLevel="0" collapsed="false">
      <c r="A8773" s="4" t="s">
        <v>572</v>
      </c>
      <c r="B8773" s="36" t="s">
        <v>125</v>
      </c>
      <c r="C8773" s="54" t="n">
        <f aca="false">(C8767-C8766)*12/(Assumptions!$E$89*Assumptions!$E$76)*Assumptions!$E$90</f>
        <v>189183.585164835</v>
      </c>
      <c r="D8773" s="54" t="n">
        <f aca="false">(D8767-D8766)*12/(Assumptions!$E$89*Assumptions!$E$76)*Assumptions!$E$90</f>
        <v>165778.216940009</v>
      </c>
      <c r="E8773" s="54" t="n">
        <f aca="false">(E8767-E8766)*12/(Assumptions!$E$89*Assumptions!$E$76)*Assumptions!$E$90</f>
        <v>170722.142213289</v>
      </c>
      <c r="F8773" s="54" t="n">
        <f aca="false">(F8767-F8766)*12/(Assumptions!$E$89*Assumptions!$E$76)*Assumptions!$E$90</f>
        <v>173984.97067985</v>
      </c>
      <c r="G8773" s="54" t="n">
        <f aca="false">(G8767-G8766)*12/(Assumptions!$E$89*Assumptions!$E$76)*Assumptions!$E$90</f>
        <v>164361.607117523</v>
      </c>
      <c r="H8773" s="54" t="n">
        <f aca="false">(H8767-H8766)*12/(Assumptions!$E$89*Assumptions!$E$76)*Assumptions!$E$90</f>
        <v>139934.88638864</v>
      </c>
      <c r="I8773" s="54" t="n">
        <f aca="false">(I8767-I8766)*12/(Assumptions!$E$89*Assumptions!$E$76)*Assumptions!$E$90</f>
        <v>171131.589784029</v>
      </c>
      <c r="J8773" s="54" t="n">
        <f aca="false">(J8767-J8766)*12/(Assumptions!$E$89*Assumptions!$E$76)*Assumptions!$E$90</f>
        <v>148798.344280986</v>
      </c>
      <c r="K8773" s="54" t="n">
        <f aca="false">(K8767-K8766)*12/(Assumptions!$E$89*Assumptions!$E$76)*Assumptions!$E$90</f>
        <v>154819.062389731</v>
      </c>
      <c r="L8773" s="54" t="n">
        <f aca="false">(L8767-L8766)*12/(Assumptions!$E$89*Assumptions!$E$76)*Assumptions!$E$90</f>
        <v>156607.398146807</v>
      </c>
      <c r="M8773" s="54" t="n">
        <f aca="false">(M8767-M8766)*12/(Assumptions!$E$89*Assumptions!$E$76)*Assumptions!$E$90</f>
        <v>156270.00673879</v>
      </c>
      <c r="N8773" s="54" t="n">
        <f aca="false">(N8767-N8766)*12/(Assumptions!$E$89*Assumptions!$E$76)*Assumptions!$E$90</f>
        <v>155690.472388037</v>
      </c>
      <c r="P8773" s="55" t="n">
        <f aca="false">SUM(C8773:F8773)</f>
        <v>699668.914997983</v>
      </c>
      <c r="Q8773" s="55" t="n">
        <f aca="false">SUM(G8773:J8773)</f>
        <v>624226.427571177</v>
      </c>
      <c r="R8773" s="55" t="n">
        <f aca="false">SUM(K8773:N8773)</f>
        <v>623386.939663365</v>
      </c>
      <c r="S8773" s="56" t="n">
        <f aca="false">SUM(P8773:R8773)</f>
        <v>1947282.28223253</v>
      </c>
    </row>
    <row r="8774" customFormat="false" ht="15" hidden="false" customHeight="false" outlineLevel="0" collapsed="false">
      <c r="A8774" s="4" t="s">
        <v>573</v>
      </c>
      <c r="B8774" s="36" t="s">
        <v>125</v>
      </c>
      <c r="C8774" s="54" t="n">
        <f aca="false">0*Assumptions!$E$92^(1/4)+C8773</f>
        <v>189183.585164835</v>
      </c>
      <c r="D8774" s="54" t="n">
        <f aca="false">C8774*Assumptions!$E$92^(1/4)+D8773</f>
        <v>355432.997747024</v>
      </c>
      <c r="E8774" s="54" t="n">
        <f aca="false">D8774*Assumptions!$E$92^(1/4)+E8773</f>
        <v>527040.409575428</v>
      </c>
      <c r="F8774" s="54" t="n">
        <f aca="false">E8774*Assumptions!$E$92^(1/4)+F8773</f>
        <v>702338.068901219</v>
      </c>
      <c r="G8774" s="54" t="n">
        <f aca="false">F8774*Assumptions!$E$92^(1/4)+G8773</f>
        <v>868448.974918614</v>
      </c>
      <c r="H8774" s="54" t="n">
        <f aca="false">G8774*Assumptions!$E$92^(1/4)+H8773</f>
        <v>1010546.88920463</v>
      </c>
      <c r="I8774" s="54" t="n">
        <f aca="false">H8774*Assumptions!$E$92^(1/4)+I8773</f>
        <v>1184195.42722175</v>
      </c>
      <c r="J8774" s="54" t="n">
        <f aca="false">I8774*Assumptions!$E$92^(1/4)+J8773</f>
        <v>1335943.22255743</v>
      </c>
      <c r="K8774" s="54" t="n">
        <f aca="false">J8774*Assumptions!$E$92^(1/4)+K8773</f>
        <v>1494089.69109669</v>
      </c>
      <c r="L8774" s="54" t="n">
        <f aca="false">K8774*Assumptions!$E$92^(1/4)+L8773</f>
        <v>1654418.38753085</v>
      </c>
      <c r="M8774" s="54" t="n">
        <f aca="false">L8774*Assumptions!$E$92^(1/4)+M8773</f>
        <v>1814809.0199247</v>
      </c>
      <c r="N8774" s="54" t="n">
        <f aca="false">M8774*Assumptions!$E$92^(1/4)+N8773</f>
        <v>1975019.59959811</v>
      </c>
      <c r="P8774" s="55" t="n">
        <f aca="false">F8774</f>
        <v>702338.068901219</v>
      </c>
      <c r="Q8774" s="55" t="n">
        <f aca="false">J8774</f>
        <v>1335943.22255743</v>
      </c>
      <c r="R8774" s="55" t="n">
        <f aca="false">N8774</f>
        <v>1975019.59959811</v>
      </c>
      <c r="S8774" s="56" t="n">
        <f aca="false">R8774</f>
        <v>1975019.59959811</v>
      </c>
    </row>
    <row r="8775" customFormat="false" ht="15" hidden="false" customHeight="false" outlineLevel="0" collapsed="false">
      <c r="A8775" s="4" t="s">
        <v>574</v>
      </c>
      <c r="B8775" s="36" t="s">
        <v>125</v>
      </c>
      <c r="C8775" s="54" t="n">
        <f aca="false">(0+C8774)/8*Assumptions!$E$76-(C8767-C8766)-C8774*Assumptions!$E$93/4</f>
        <v>-260258.807091346</v>
      </c>
      <c r="D8775" s="54" t="n">
        <f aca="false">(C8774+D8774)/8*Assumptions!$E$76-(D8767-D8766)-D8774*Assumptions!$E$93/4</f>
        <v>-199650.239579151</v>
      </c>
      <c r="E8775" s="54" t="n">
        <f aca="false">(D8774+E8774)/8*Assumptions!$E$76-(E8767-E8766)-E8774*Assumptions!$E$93/4</f>
        <v>-181485.690638383</v>
      </c>
      <c r="F8775" s="54" t="n">
        <f aca="false">(E8774+F8774)/8*Assumptions!$E$76-(F8767-F8766)-F8774*Assumptions!$E$93/4</f>
        <v>-160203.848800377</v>
      </c>
      <c r="G8775" s="54" t="n">
        <f aca="false">(F8774+G8774)/8*Assumptions!$E$76-(G8767-G8766)-G8774*Assumptions!$E$93/4</f>
        <v>-120640.375156987</v>
      </c>
      <c r="H8775" s="54" t="n">
        <f aca="false">(G8774+H8774)/8*Assumptions!$E$76-(H8767-H8766)-H8774*Assumptions!$E$93/4</f>
        <v>-62091.5913830798</v>
      </c>
      <c r="I8775" s="54" t="n">
        <f aca="false">(H8774+I8774)/8*Assumptions!$E$76-(I8767-I8766)-I8774*Assumptions!$E$93/4</f>
        <v>-83669.7037631148</v>
      </c>
      <c r="J8775" s="54" t="n">
        <f aca="false">(I8774+J8774)/8*Assumptions!$E$76-(J8767-J8766)-J8774*Assumptions!$E$93/4</f>
        <v>-26868.9667266113</v>
      </c>
      <c r="K8775" s="54" t="n">
        <f aca="false">(J8774+K8774)/8*Assumptions!$E$76-(K8767-K8766)-K8774*Assumptions!$E$93/4</f>
        <v>-12363.4814672556</v>
      </c>
      <c r="L8775" s="54" t="n">
        <f aca="false">(K8774+L8774)/8*Assumptions!$E$76-(L8767-L8766)-L8774*Assumptions!$E$93/4</f>
        <v>8925.36533229768</v>
      </c>
      <c r="M8775" s="54" t="n">
        <f aca="false">(L8774+M8774)/8*Assumptions!$E$76-(M8767-M8766)-M8774*Assumptions!$E$93/4</f>
        <v>33466.2710395633</v>
      </c>
      <c r="N8775" s="54" t="n">
        <f aca="false">(M8774+N8774)/8*Assumptions!$E$76-(N8767-N8766)-N8774*Assumptions!$E$93/4</f>
        <v>58349.5924474212</v>
      </c>
      <c r="P8775" s="55" t="n">
        <f aca="false">SUM(C8775:F8775)</f>
        <v>-801598.586109257</v>
      </c>
      <c r="Q8775" s="55" t="n">
        <f aca="false">SUM(G8775:J8775)</f>
        <v>-293270.637029793</v>
      </c>
      <c r="R8775" s="55" t="n">
        <f aca="false">SUM(K8775:N8775)</f>
        <v>88377.7473520265</v>
      </c>
      <c r="S8775" s="56" t="n">
        <f aca="false">SUM(P8775:R8775)</f>
        <v>-1006491.47578702</v>
      </c>
    </row>
    <row r="8776" customFormat="false" ht="15" hidden="false" customHeight="false" outlineLevel="0" collapsed="false">
      <c r="A8776" s="4" t="s">
        <v>575</v>
      </c>
      <c r="B8776" s="36" t="s">
        <v>125</v>
      </c>
      <c r="C8776" s="54" t="n">
        <f aca="false">C8775*C8771</f>
        <v>-252988.586859998</v>
      </c>
      <c r="D8776" s="54" t="n">
        <f aca="false">D8775*D8771</f>
        <v>-188651.74397175</v>
      </c>
      <c r="E8776" s="54" t="n">
        <f aca="false">E8775*E8771</f>
        <v>-166697.417403913</v>
      </c>
      <c r="F8776" s="54" t="n">
        <f aca="false">F8775*F8771</f>
        <v>-143039.150714622</v>
      </c>
      <c r="G8776" s="54" t="n">
        <f aca="false">G8775*G8771</f>
        <v>-104705.658085137</v>
      </c>
      <c r="H8776" s="54" t="n">
        <f aca="false">H8775*H8771</f>
        <v>-52384.8562843974</v>
      </c>
      <c r="I8776" s="54" t="n">
        <f aca="false">I8775*I8771</f>
        <v>-68617.7845049026</v>
      </c>
      <c r="J8776" s="54" t="n">
        <f aca="false">J8775*J8771</f>
        <v>-21419.7757705766</v>
      </c>
      <c r="K8776" s="54" t="n">
        <f aca="false">K8775*K8771</f>
        <v>-9580.7659569065</v>
      </c>
      <c r="L8776" s="54" t="n">
        <f aca="false">L8775*L8771</f>
        <v>6723.27607668351</v>
      </c>
      <c r="M8776" s="54" t="n">
        <f aca="false">M8775*M8771</f>
        <v>24505.17236968</v>
      </c>
      <c r="N8776" s="54" t="n">
        <f aca="false">N8775*N8771</f>
        <v>41532.087372037</v>
      </c>
      <c r="P8776" s="55" t="n">
        <f aca="false">SUM(C8776:F8776)</f>
        <v>-751376.898950284</v>
      </c>
      <c r="Q8776" s="55" t="n">
        <f aca="false">SUM(G8776:J8776)</f>
        <v>-247128.074645013</v>
      </c>
      <c r="R8776" s="55" t="n">
        <f aca="false">SUM(K8776:N8776)</f>
        <v>63179.769861494</v>
      </c>
      <c r="S8776" s="56" t="n">
        <f aca="false">SUM(P8776:R8776)</f>
        <v>-935325.203733803</v>
      </c>
    </row>
    <row r="8777" customFormat="false" ht="15" hidden="false" customHeight="false" outlineLevel="0" collapsed="false">
      <c r="A8777" s="4" t="s">
        <v>576</v>
      </c>
      <c r="B8777" s="36"/>
      <c r="C8777" s="37" t="n">
        <f aca="false">IFERROR((S8732*$C$8681*Assumptions!$E$59+S8733*$C$8682*Assumptions!$E$60+S8734*$C$8683*Assumptions!$E$61)/(S8732*$C$8681+S8733*$C$8682+S8734*$C$8683),0.9)</f>
        <v>0.895336755062662</v>
      </c>
    </row>
    <row r="8778" customFormat="false" ht="15" hidden="false" customHeight="false" outlineLevel="0" collapsed="false">
      <c r="A8778" s="4" t="s">
        <v>577</v>
      </c>
      <c r="B8778" s="36"/>
      <c r="C8778" s="37" t="n">
        <f aca="false">IFERROR(N8766*4/N8744,0)</f>
        <v>0.208274433961821</v>
      </c>
    </row>
    <row r="8779" customFormat="false" ht="15" hidden="false" customHeight="false" outlineLevel="0" collapsed="false">
      <c r="A8779" s="4" t="s">
        <v>578</v>
      </c>
      <c r="B8779" s="36"/>
      <c r="C8779" s="60" t="n">
        <f aca="false">$C$8777/(1+Assumptions!$E$87)</f>
        <v>0.799407817020234</v>
      </c>
    </row>
    <row r="8780" customFormat="false" ht="15" hidden="false" customHeight="false" outlineLevel="0" collapsed="false">
      <c r="A8780" s="4" t="s">
        <v>579</v>
      </c>
      <c r="B8780" s="36"/>
      <c r="C8780" s="60" t="n">
        <f aca="false">Assumptions!$E$91/(1+Assumptions!$E$87)</f>
        <v>0.803571428571429</v>
      </c>
    </row>
    <row r="8781" customFormat="false" ht="15" hidden="false" customHeight="false" outlineLevel="0" collapsed="false">
      <c r="A8781" s="35" t="s">
        <v>580</v>
      </c>
      <c r="B8781" s="35" t="s">
        <v>444</v>
      </c>
      <c r="C8781" s="6" t="s">
        <v>354</v>
      </c>
      <c r="D8781" s="6" t="s">
        <v>355</v>
      </c>
      <c r="E8781" s="6" t="s">
        <v>356</v>
      </c>
      <c r="F8781" s="6" t="s">
        <v>357</v>
      </c>
      <c r="G8781" s="6" t="s">
        <v>358</v>
      </c>
      <c r="H8781" s="6" t="s">
        <v>359</v>
      </c>
      <c r="I8781" s="6" t="s">
        <v>360</v>
      </c>
      <c r="J8781" s="6" t="s">
        <v>361</v>
      </c>
      <c r="K8781" s="6" t="s">
        <v>362</v>
      </c>
      <c r="L8781" s="6" t="s">
        <v>363</v>
      </c>
      <c r="M8781" s="6" t="s">
        <v>364</v>
      </c>
      <c r="N8781" s="6" t="s">
        <v>365</v>
      </c>
      <c r="P8781" s="6" t="s">
        <v>445</v>
      </c>
      <c r="Q8781" s="6" t="s">
        <v>446</v>
      </c>
      <c r="R8781" s="6" t="s">
        <v>447</v>
      </c>
      <c r="S8781" s="6" t="s">
        <v>448</v>
      </c>
    </row>
    <row r="8782" customFormat="false" ht="15" hidden="false" customHeight="false" outlineLevel="0" collapsed="false">
      <c r="A8782" s="9" t="s">
        <v>581</v>
      </c>
      <c r="C8782" s="61" t="n">
        <f aca="false">N8744</f>
        <v>430426.977073836</v>
      </c>
      <c r="D8782" s="61"/>
    </row>
    <row r="8783" customFormat="false" ht="15" hidden="false" customHeight="false" outlineLevel="0" collapsed="false">
      <c r="A8783" s="9" t="s">
        <v>582</v>
      </c>
      <c r="C8783" s="62" t="n">
        <f aca="false">N8740</f>
        <v>49.5280990541991</v>
      </c>
      <c r="D8783" s="62"/>
    </row>
    <row r="8784" customFormat="false" ht="15" hidden="false" customHeight="false" outlineLevel="0" collapsed="false">
      <c r="A8784" s="9" t="s">
        <v>583</v>
      </c>
      <c r="C8784" s="63" t="n">
        <f aca="false">S8735</f>
        <v>54.7491194625937</v>
      </c>
      <c r="D8784" s="63"/>
    </row>
    <row r="8785" customFormat="false" ht="15" hidden="false" customHeight="false" outlineLevel="0" collapsed="false">
      <c r="A8785" s="9" t="s">
        <v>584</v>
      </c>
      <c r="C8785" s="61" t="n">
        <f aca="false">S8746</f>
        <v>418642.507921913</v>
      </c>
      <c r="D8785" s="61"/>
    </row>
    <row r="8786" customFormat="false" ht="15" hidden="false" customHeight="false" outlineLevel="0" collapsed="false">
      <c r="A8786" s="9" t="s">
        <v>22</v>
      </c>
      <c r="C8786" s="61" t="n">
        <f aca="false">IFERROR(S8745/S8735,0)</f>
        <v>7516.67798648103</v>
      </c>
      <c r="D8786" s="61"/>
    </row>
    <row r="8787" customFormat="false" ht="15" hidden="false" customHeight="false" outlineLevel="0" collapsed="false">
      <c r="A8787" s="9" t="s">
        <v>585</v>
      </c>
      <c r="C8787" s="61" t="n">
        <f aca="false">IFERROR(S8763/S8735,0)</f>
        <v>38547.7498225717</v>
      </c>
      <c r="D8787" s="61"/>
    </row>
    <row r="8788" customFormat="false" ht="23.85" hidden="false" customHeight="false" outlineLevel="0" collapsed="false">
      <c r="A8788" s="9" t="s">
        <v>586</v>
      </c>
      <c r="C8788" s="61" t="n">
        <f aca="false">IFERROR((S8757+S8759+S8760+S8761+S8762)/S8735,0)</f>
        <v>14989.9671622667</v>
      </c>
      <c r="D8788" s="61"/>
    </row>
    <row r="8789" customFormat="false" ht="15" hidden="false" customHeight="false" outlineLevel="0" collapsed="false">
      <c r="A8789" s="9" t="s">
        <v>587</v>
      </c>
      <c r="C8789" s="64" t="n">
        <f aca="false">IFERROR('Engine Runs'!$C$8787/('Engine Runs'!$C$8786*Assumptions!$E$76/12),0)</f>
        <v>94.6762342666662</v>
      </c>
      <c r="D8789" s="64"/>
    </row>
    <row r="8790" customFormat="false" ht="15" hidden="false" customHeight="false" outlineLevel="0" collapsed="false">
      <c r="A8790" s="9" t="s">
        <v>588</v>
      </c>
      <c r="C8790" s="64" t="n">
        <f aca="false">IFERROR((R8763/R8735)/((R8745/R8735)*Assumptions!$E$76/12),0)</f>
        <v>60.9469917172805</v>
      </c>
      <c r="D8790" s="64"/>
    </row>
    <row r="8791" customFormat="false" ht="15" hidden="false" customHeight="false" outlineLevel="0" collapsed="false">
      <c r="A8791" s="9" t="s">
        <v>589</v>
      </c>
      <c r="C8791" s="61" t="n">
        <f aca="false">S8767</f>
        <v>2916396.24975633</v>
      </c>
      <c r="D8791" s="61"/>
    </row>
    <row r="8792" customFormat="false" ht="15" hidden="false" customHeight="false" outlineLevel="0" collapsed="false">
      <c r="A8792" s="9" t="s">
        <v>590</v>
      </c>
      <c r="C8792" s="61" t="n">
        <f aca="false">N8770</f>
        <v>-2644278.61960709</v>
      </c>
      <c r="D8792" s="61"/>
    </row>
    <row r="8793" customFormat="false" ht="15" hidden="false" customHeight="false" outlineLevel="0" collapsed="false">
      <c r="A8793" s="9" t="s">
        <v>591</v>
      </c>
      <c r="C8793" s="61" t="n">
        <f aca="false">MIN($C$8770:$N$8770)</f>
        <v>-2644278.61960709</v>
      </c>
      <c r="D8793" s="61"/>
    </row>
    <row r="8794" customFormat="false" ht="15" hidden="false" customHeight="false" outlineLevel="0" collapsed="false">
      <c r="A8794" s="9" t="s">
        <v>592</v>
      </c>
      <c r="C8794" s="61" t="n">
        <f aca="false">N8744*(Assumptions!$E$76-$C$8778)*$C$8777*(1-$C$8777^Assumptions!$E$85)/(1-$C$8777)</f>
        <v>690677.699713525</v>
      </c>
      <c r="D8794" s="61"/>
    </row>
    <row r="8795" customFormat="false" ht="15" hidden="false" customHeight="false" outlineLevel="0" collapsed="false">
      <c r="A8795" s="9" t="s">
        <v>593</v>
      </c>
      <c r="C8795" s="61" t="n">
        <f aca="false">N8744*(Assumptions!$E$76-$C$8778)*(1-Assumptions!$E$88)/(1+Assumptions!$E$87)^2.5*$C$8779*(1-$C$8779^Assumptions!$E$85)/(1-$C$8779)</f>
        <v>307545.178233936</v>
      </c>
      <c r="D8795" s="61"/>
    </row>
    <row r="8796" customFormat="false" ht="15" hidden="false" customHeight="false" outlineLevel="0" collapsed="false">
      <c r="A8796" s="9" t="s">
        <v>594</v>
      </c>
      <c r="C8796" s="61" t="n">
        <f aca="false">SUM($C$8772:$N$8772)+'Engine Runs'!$C$8795</f>
        <v>-1968365.3857943</v>
      </c>
      <c r="D8796" s="61"/>
    </row>
    <row r="8797" customFormat="false" ht="15" hidden="false" customHeight="false" outlineLevel="0" collapsed="false">
      <c r="A8797" s="9" t="s">
        <v>595</v>
      </c>
      <c r="C8797" s="61" t="n">
        <f aca="false">SUM($C$8776:$N$8776)+N8774*(Assumptions!$E$76-Assumptions!$E$93)/(1+Assumptions!$E$87)^2.5*$C$8780*(1-$C$8780^Assumptions!$E$85)/(1-$C$8780)</f>
        <v>1492849.7043549</v>
      </c>
      <c r="D8797" s="61"/>
    </row>
    <row r="8798" customFormat="false" ht="15" hidden="false" customHeight="false" outlineLevel="0" collapsed="false">
      <c r="A8798" s="9" t="s">
        <v>596</v>
      </c>
      <c r="C8798" s="61" t="n">
        <f aca="false">'Engine Runs'!$C$8796-'Engine Runs'!$C$8797</f>
        <v>-3461215.09014919</v>
      </c>
      <c r="D8798" s="61"/>
    </row>
    <row r="8799" customFormat="false" ht="15" hidden="false" customHeight="false" outlineLevel="0" collapsed="false">
      <c r="A8799" s="9" t="s">
        <v>597</v>
      </c>
      <c r="C8799" s="61" t="n">
        <f aca="false">S8731</f>
        <v>0</v>
      </c>
      <c r="D8799" s="61"/>
    </row>
    <row r="8800" customFormat="false" ht="15" hidden="false" customHeight="false" outlineLevel="0" collapsed="false">
      <c r="A8800" s="9" t="s">
        <v>598</v>
      </c>
      <c r="C8800" s="63" t="n">
        <f aca="false">P8715</f>
        <v>43.6188722246667</v>
      </c>
      <c r="D8800" s="63"/>
    </row>
    <row r="8801" customFormat="false" ht="15" hidden="false" customHeight="false" outlineLevel="0" collapsed="false">
      <c r="A8801" s="9" t="s">
        <v>599</v>
      </c>
      <c r="C8801" s="63" t="n">
        <f aca="false">P8735</f>
        <v>6.18260904948639</v>
      </c>
      <c r="D8801" s="63"/>
    </row>
    <row r="8802" customFormat="false" ht="15" hidden="false" customHeight="false" outlineLevel="0" collapsed="false">
      <c r="A8802" s="9" t="s">
        <v>600</v>
      </c>
      <c r="C8802" s="63" t="n">
        <f aca="false">P8711</f>
        <v>42</v>
      </c>
      <c r="D8802" s="63"/>
    </row>
    <row r="8803" customFormat="false" ht="15" hidden="false" customHeight="false" outlineLevel="0" collapsed="false">
      <c r="A8803" s="9" t="s">
        <v>601</v>
      </c>
      <c r="C8803" s="61" t="n">
        <f aca="false">IFERROR(P8745/P8735,0)</f>
        <v>7272.25749735627</v>
      </c>
      <c r="D8803" s="61"/>
    </row>
    <row r="8806" customFormat="false" ht="15" hidden="false" customHeight="true" outlineLevel="0" collapsed="false">
      <c r="A8806" s="78" t="s">
        <v>930</v>
      </c>
      <c r="B8806" s="78"/>
      <c r="C8806" s="78"/>
      <c r="D8806" s="78"/>
      <c r="E8806" s="78"/>
      <c r="F8806" s="78"/>
      <c r="G8806" s="78"/>
      <c r="H8806" s="78"/>
      <c r="I8806" s="78"/>
      <c r="J8806" s="78"/>
      <c r="K8806" s="78"/>
      <c r="L8806" s="78"/>
      <c r="M8806" s="78"/>
      <c r="N8806" s="78"/>
    </row>
    <row r="8807" customFormat="false" ht="15" hidden="false" customHeight="true" outlineLevel="0" collapsed="false">
      <c r="A8807" s="79" t="s">
        <v>931</v>
      </c>
      <c r="B8807" s="79"/>
      <c r="C8807" s="79"/>
      <c r="D8807" s="79"/>
      <c r="E8807" s="79"/>
      <c r="F8807" s="79"/>
      <c r="G8807" s="79"/>
      <c r="H8807" s="79"/>
      <c r="I8807" s="79"/>
      <c r="J8807" s="79"/>
      <c r="K8807" s="79"/>
      <c r="L8807" s="79"/>
      <c r="M8807" s="79"/>
      <c r="N8807" s="79"/>
    </row>
    <row r="8808" customFormat="false" ht="15" hidden="false" customHeight="false" outlineLevel="0" collapsed="false">
      <c r="A8808" s="35" t="s">
        <v>932</v>
      </c>
      <c r="B8808" s="35" t="s">
        <v>444</v>
      </c>
      <c r="C8808" s="6" t="s">
        <v>354</v>
      </c>
      <c r="D8808" s="6" t="s">
        <v>355</v>
      </c>
      <c r="E8808" s="6" t="s">
        <v>356</v>
      </c>
      <c r="F8808" s="6" t="s">
        <v>357</v>
      </c>
      <c r="G8808" s="6" t="s">
        <v>358</v>
      </c>
      <c r="H8808" s="6" t="s">
        <v>359</v>
      </c>
      <c r="I8808" s="6" t="s">
        <v>360</v>
      </c>
      <c r="J8808" s="6" t="s">
        <v>361</v>
      </c>
      <c r="K8808" s="6" t="s">
        <v>362</v>
      </c>
      <c r="L8808" s="6" t="s">
        <v>363</v>
      </c>
      <c r="M8808" s="6" t="s">
        <v>364</v>
      </c>
      <c r="N8808" s="6" t="s">
        <v>365</v>
      </c>
      <c r="P8808" s="6" t="s">
        <v>445</v>
      </c>
      <c r="Q8808" s="6" t="s">
        <v>446</v>
      </c>
      <c r="R8808" s="6" t="s">
        <v>447</v>
      </c>
      <c r="S8808" s="6" t="s">
        <v>448</v>
      </c>
    </row>
    <row r="8809" customFormat="false" ht="15" hidden="false" customHeight="false" outlineLevel="0" collapsed="false">
      <c r="A8809" s="4" t="s">
        <v>449</v>
      </c>
      <c r="B8809" s="36" t="s">
        <v>450</v>
      </c>
      <c r="C8809" s="34" t="n">
        <f aca="false">'Market Sizing'!$C$17*Assumptions!$E$10*Assumptions!$E$11*(1-Assumptions!$E$12)</f>
        <v>843.03944704</v>
      </c>
    </row>
    <row r="8810" customFormat="false" ht="15" hidden="false" customHeight="false" outlineLevel="0" collapsed="false">
      <c r="A8810" s="4" t="s">
        <v>451</v>
      </c>
      <c r="B8810" s="36" t="s">
        <v>450</v>
      </c>
      <c r="C8810" s="34" t="n">
        <f aca="false">'Market Sizing'!$D$17*Assumptions!$E$10*Assumptions!$E$11*(1-Assumptions!$E$12)</f>
        <v>211.19616</v>
      </c>
    </row>
    <row r="8811" customFormat="false" ht="15" hidden="false" customHeight="false" outlineLevel="0" collapsed="false">
      <c r="A8811" s="4" t="s">
        <v>452</v>
      </c>
      <c r="B8811" s="36" t="s">
        <v>450</v>
      </c>
      <c r="C8811" s="34" t="n">
        <f aca="false">'Market Sizing'!$E$17*Assumptions!$E$10*Assumptions!$E$11*(1-Assumptions!$E$12)</f>
        <v>49.53984</v>
      </c>
    </row>
    <row r="8812" customFormat="false" ht="15" hidden="false" customHeight="false" outlineLevel="0" collapsed="false">
      <c r="A8812" s="4" t="s">
        <v>453</v>
      </c>
      <c r="B8812" s="36"/>
      <c r="C8812" s="34" t="n">
        <f aca="false">$C$8809+$C$8810+$C$8811</f>
        <v>1103.77544704</v>
      </c>
    </row>
    <row r="8813" customFormat="false" ht="15" hidden="false" customHeight="false" outlineLevel="0" collapsed="false">
      <c r="A8813" s="4" t="s">
        <v>454</v>
      </c>
      <c r="B8813" s="36" t="s">
        <v>450</v>
      </c>
      <c r="C8813" s="34" t="n">
        <f aca="false">'Market Sizing'!$C$18*Assumptions!$E$10*Assumptions!$E$11*(1-Assumptions!$E$12)</f>
        <v>612.57706944</v>
      </c>
    </row>
    <row r="8814" customFormat="false" ht="15" hidden="false" customHeight="false" outlineLevel="0" collapsed="false">
      <c r="A8814" s="4" t="s">
        <v>455</v>
      </c>
      <c r="B8814" s="36" t="s">
        <v>450</v>
      </c>
      <c r="C8814" s="34" t="n">
        <f aca="false">'Market Sizing'!$D$18*Assumptions!$E$10*Assumptions!$E$11*(1-Assumptions!$E$12)</f>
        <v>142.10112</v>
      </c>
    </row>
    <row r="8815" customFormat="false" ht="15" hidden="false" customHeight="false" outlineLevel="0" collapsed="false">
      <c r="A8815" s="4" t="s">
        <v>456</v>
      </c>
      <c r="B8815" s="36" t="s">
        <v>450</v>
      </c>
      <c r="C8815" s="34" t="n">
        <f aca="false">'Market Sizing'!$E$18*Assumptions!$E$10*Assumptions!$E$11*(1-Assumptions!$E$12)</f>
        <v>24.76992</v>
      </c>
    </row>
    <row r="8816" customFormat="false" ht="15" hidden="false" customHeight="false" outlineLevel="0" collapsed="false">
      <c r="A8816" s="4" t="s">
        <v>457</v>
      </c>
      <c r="B8816" s="36"/>
      <c r="C8816" s="34" t="n">
        <f aca="false">$C$8813+$C$8814+$C$8815</f>
        <v>779.44810944</v>
      </c>
    </row>
    <row r="8817" customFormat="false" ht="15" hidden="false" customHeight="false" outlineLevel="0" collapsed="false">
      <c r="A8817" s="4" t="s">
        <v>458</v>
      </c>
      <c r="B8817" s="36" t="s">
        <v>450</v>
      </c>
      <c r="C8817" s="34" t="n">
        <f aca="false">'Market Sizing'!$C$19*Assumptions!$E$10*Assumptions!$E$11*(1-Assumptions!$E$12)</f>
        <v>2060.77303936</v>
      </c>
    </row>
    <row r="8818" customFormat="false" ht="15" hidden="false" customHeight="false" outlineLevel="0" collapsed="false">
      <c r="A8818" s="4" t="s">
        <v>459</v>
      </c>
      <c r="B8818" s="36" t="s">
        <v>450</v>
      </c>
      <c r="C8818" s="34" t="n">
        <f aca="false">'Market Sizing'!$D$19*Assumptions!$E$10*Assumptions!$E$11*(1-Assumptions!$E$12)</f>
        <v>428.47616</v>
      </c>
    </row>
    <row r="8819" customFormat="false" ht="15" hidden="false" customHeight="false" outlineLevel="0" collapsed="false">
      <c r="A8819" s="4" t="s">
        <v>460</v>
      </c>
      <c r="B8819" s="36" t="s">
        <v>450</v>
      </c>
      <c r="C8819" s="34" t="n">
        <f aca="false">'Market Sizing'!$E$19*Assumptions!$E$10*Assumptions!$E$11*(1-Assumptions!$E$12)</f>
        <v>79.52448</v>
      </c>
    </row>
    <row r="8820" customFormat="false" ht="15" hidden="false" customHeight="false" outlineLevel="0" collapsed="false">
      <c r="A8820" s="4" t="s">
        <v>461</v>
      </c>
      <c r="B8820" s="36"/>
      <c r="C8820" s="34" t="n">
        <f aca="false">$C$8817+$C$8818+$C$8819</f>
        <v>2568.77367936</v>
      </c>
    </row>
    <row r="8821" customFormat="false" ht="15" hidden="false" customHeight="false" outlineLevel="0" collapsed="false">
      <c r="A8821" s="4" t="s">
        <v>462</v>
      </c>
      <c r="B8821" s="36" t="s">
        <v>463</v>
      </c>
      <c r="C8821" s="33" t="n">
        <f aca="false">MAX((Assumptions!$E$51+Assumptions!$E$53)*12,(((('Market Sizing'!$E$25*Assumptions!$E$41*Assumptions!$E$42*1)*Assumptions!$E$44)*Assumptions!$E$45*Assumptions!$E$46+('Market Sizing'!$E$25*Assumptions!$E$41*Assumptions!$E$42*1)*Assumptions!$E$47+('Market Sizing'!$E$25*Assumptions!$E$41*Assumptions!$E$42*1)*Assumptions!$E$48*Assumptions!$E$49)*(Assumptions!$E$51*12/Assumptions!$E$52)+((('Market Sizing'!$E$25*Assumptions!$E$41*Assumptions!$E$42*1)*Assumptions!$E$44)*Assumptions!$E$45+('Market Sizing'!$E$25*Assumptions!$E$41*Assumptions!$E$42*1)+('Market Sizing'!$E$25*Assumptions!$E$41*Assumptions!$E$42*1)*Assumptions!$E$48)*Assumptions!$E$50*(Assumptions!$E$53*12/Assumptions!$E$54)))</f>
        <v>5352</v>
      </c>
    </row>
    <row r="8822" customFormat="false" ht="15" hidden="false" customHeight="false" outlineLevel="0" collapsed="false">
      <c r="A8822" s="4" t="s">
        <v>464</v>
      </c>
      <c r="B8822" s="36" t="s">
        <v>463</v>
      </c>
      <c r="C8822" s="33" t="n">
        <f aca="false">MAX((Assumptions!$E$51+Assumptions!$E$53)*12,(((('Market Sizing'!$E$26*Assumptions!$E$41*Assumptions!$E$42*1)*Assumptions!$E$44)*Assumptions!$E$45*Assumptions!$E$46+('Market Sizing'!$E$26*Assumptions!$E$41*Assumptions!$E$42*1)*Assumptions!$E$47+('Market Sizing'!$E$26*Assumptions!$E$41*Assumptions!$E$42*1)*Assumptions!$E$48*Assumptions!$E$49)*(Assumptions!$E$51*12/Assumptions!$E$52)+((('Market Sizing'!$E$26*Assumptions!$E$41*Assumptions!$E$42*1)*Assumptions!$E$44)*Assumptions!$E$45+('Market Sizing'!$E$26*Assumptions!$E$41*Assumptions!$E$42*1)+('Market Sizing'!$E$26*Assumptions!$E$41*Assumptions!$E$42*1)*Assumptions!$E$48)*Assumptions!$E$50*(Assumptions!$E$53*12/Assumptions!$E$54)))</f>
        <v>9766.72012875208</v>
      </c>
    </row>
    <row r="8823" customFormat="false" ht="15" hidden="false" customHeight="false" outlineLevel="0" collapsed="false">
      <c r="A8823" s="4" t="s">
        <v>465</v>
      </c>
      <c r="B8823" s="36" t="s">
        <v>463</v>
      </c>
      <c r="C8823" s="33" t="n">
        <f aca="false">MAX(Assumptions!$E$55*(Assumptions!$E$51*12/Assumptions!$E$52)+Assumptions!$E$56*(Assumptions!$E$53*12/Assumptions!$E$54),(((('Market Sizing'!$E$27*Assumptions!$E$41*Assumptions!$E$42*1)*Assumptions!$E$44)*Assumptions!$E$45*Assumptions!$E$46+('Market Sizing'!$E$27*Assumptions!$E$41*Assumptions!$E$42*1)*Assumptions!$E$47+('Market Sizing'!$E$27*Assumptions!$E$41*Assumptions!$E$42*1)*Assumptions!$E$48*Assumptions!$E$49)*(Assumptions!$E$51*12/Assumptions!$E$52)+((('Market Sizing'!$E$27*Assumptions!$E$41*Assumptions!$E$42*1)*Assumptions!$E$44)*Assumptions!$E$45+('Market Sizing'!$E$27*Assumptions!$E$41*Assumptions!$E$42*1)+('Market Sizing'!$E$27*Assumptions!$E$41*Assumptions!$E$42*1)*Assumptions!$E$48)*Assumptions!$E$50*(Assumptions!$E$53*12/Assumptions!$E$54)))*(1-Assumptions!$E$57)</f>
        <v>61778.2562194386</v>
      </c>
    </row>
    <row r="8824" customFormat="false" ht="23.85" hidden="false" customHeight="false" outlineLevel="0" collapsed="false">
      <c r="A8824" s="4" t="s">
        <v>466</v>
      </c>
      <c r="B8824" s="36" t="s">
        <v>467</v>
      </c>
      <c r="C8824" s="37" t="n">
        <f aca="false">Assumptions!$E$17*Assumptions!$D$106</f>
        <v>0.4</v>
      </c>
    </row>
    <row r="8825" customFormat="false" ht="23.85" hidden="false" customHeight="false" outlineLevel="0" collapsed="false">
      <c r="A8825" s="4" t="s">
        <v>468</v>
      </c>
      <c r="B8825" s="36" t="s">
        <v>469</v>
      </c>
      <c r="C8825" s="33" t="n">
        <f aca="false">Assumptions!$E$68/Assumptions!$E$69</f>
        <v>285714.285714286</v>
      </c>
    </row>
    <row r="8826" customFormat="false" ht="23.85" hidden="false" customHeight="false" outlineLevel="0" collapsed="false">
      <c r="A8826" s="4" t="s">
        <v>470</v>
      </c>
      <c r="B8826" s="36" t="s">
        <v>471</v>
      </c>
      <c r="C8826" s="33" t="n">
        <f aca="false">Assumptions!$E$66*Assumptions!$E$67/4</f>
        <v>153125</v>
      </c>
    </row>
    <row r="8827" customFormat="false" ht="15" hidden="false" customHeight="false" outlineLevel="0" collapsed="false">
      <c r="A8827" s="4" t="s">
        <v>472</v>
      </c>
      <c r="B8827" s="36"/>
      <c r="C8827" s="38" t="n">
        <f aca="false">$C$8825/Assumptions!$E$66/Assumptions!$E$67</f>
        <v>0.466472303206997</v>
      </c>
    </row>
    <row r="8828" customFormat="false" ht="15" hidden="false" customHeight="false" outlineLevel="0" collapsed="false">
      <c r="A8828" s="4" t="s">
        <v>473</v>
      </c>
      <c r="B8828" s="36"/>
      <c r="C8828" s="33" t="n">
        <f aca="false">MAX(0,Assumptions!$D$103-Assumptions!$E$78)</f>
        <v>0</v>
      </c>
    </row>
    <row r="8829" customFormat="false" ht="15" hidden="false" customHeight="false" outlineLevel="0" collapsed="false">
      <c r="A8829" s="35" t="s">
        <v>474</v>
      </c>
      <c r="B8829" s="35" t="s">
        <v>444</v>
      </c>
      <c r="C8829" s="6" t="s">
        <v>354</v>
      </c>
      <c r="D8829" s="6" t="s">
        <v>355</v>
      </c>
      <c r="E8829" s="6" t="s">
        <v>356</v>
      </c>
      <c r="F8829" s="6" t="s">
        <v>357</v>
      </c>
      <c r="G8829" s="6" t="s">
        <v>358</v>
      </c>
      <c r="H8829" s="6" t="s">
        <v>359</v>
      </c>
      <c r="I8829" s="6" t="s">
        <v>360</v>
      </c>
      <c r="J8829" s="6" t="s">
        <v>361</v>
      </c>
      <c r="K8829" s="6" t="s">
        <v>362</v>
      </c>
      <c r="L8829" s="6" t="s">
        <v>363</v>
      </c>
      <c r="M8829" s="6" t="s">
        <v>364</v>
      </c>
      <c r="N8829" s="6" t="s">
        <v>365</v>
      </c>
      <c r="P8829" s="6" t="s">
        <v>445</v>
      </c>
      <c r="Q8829" s="6" t="s">
        <v>446</v>
      </c>
      <c r="R8829" s="6" t="s">
        <v>447</v>
      </c>
      <c r="S8829" s="6" t="s">
        <v>448</v>
      </c>
    </row>
    <row r="8830" customFormat="false" ht="15" hidden="false" customHeight="false" outlineLevel="0" collapsed="false">
      <c r="A8830" s="4" t="s">
        <v>475</v>
      </c>
      <c r="B8830" s="36" t="s">
        <v>133</v>
      </c>
      <c r="C8830" s="39" t="n">
        <v>1</v>
      </c>
      <c r="D8830" s="39" t="n">
        <v>2</v>
      </c>
      <c r="E8830" s="39" t="n">
        <v>3</v>
      </c>
      <c r="F8830" s="39" t="n">
        <v>4</v>
      </c>
      <c r="G8830" s="39" t="n">
        <v>5</v>
      </c>
      <c r="H8830" s="39" t="n">
        <v>6</v>
      </c>
      <c r="I8830" s="39" t="n">
        <v>7</v>
      </c>
      <c r="J8830" s="39" t="n">
        <v>8</v>
      </c>
      <c r="K8830" s="39" t="n">
        <v>9</v>
      </c>
      <c r="L8830" s="39" t="n">
        <v>10</v>
      </c>
      <c r="M8830" s="39" t="n">
        <v>11</v>
      </c>
      <c r="N8830" s="39" t="n">
        <v>12</v>
      </c>
      <c r="P8830" s="40"/>
      <c r="Q8830" s="40"/>
      <c r="R8830" s="40"/>
      <c r="S8830" s="41"/>
    </row>
    <row r="8831" customFormat="false" ht="15" hidden="false" customHeight="false" outlineLevel="0" collapsed="false">
      <c r="A8831" s="4" t="s">
        <v>476</v>
      </c>
      <c r="B8831" s="36" t="s">
        <v>343</v>
      </c>
      <c r="C8831" s="39" t="n">
        <f aca="false">IF(C8830&lt;=Assumptions!$E$84,1,0)</f>
        <v>1</v>
      </c>
      <c r="D8831" s="39" t="n">
        <f aca="false">IF(D8830&lt;=Assumptions!$E$84,1,0)</f>
        <v>1</v>
      </c>
      <c r="E8831" s="39" t="n">
        <f aca="false">IF(E8830&lt;=Assumptions!$E$84,1,0)</f>
        <v>1</v>
      </c>
      <c r="F8831" s="39" t="n">
        <f aca="false">IF(F8830&lt;=Assumptions!$E$84,1,0)</f>
        <v>1</v>
      </c>
      <c r="G8831" s="39" t="n">
        <f aca="false">IF(G8830&lt;=Assumptions!$E$84,1,0)</f>
        <v>1</v>
      </c>
      <c r="H8831" s="39" t="n">
        <f aca="false">IF(H8830&lt;=Assumptions!$E$84,1,0)</f>
        <v>1</v>
      </c>
      <c r="I8831" s="39" t="n">
        <f aca="false">IF(I8830&lt;=Assumptions!$E$84,1,0)</f>
        <v>1</v>
      </c>
      <c r="J8831" s="39" t="n">
        <f aca="false">IF(J8830&lt;=Assumptions!$E$84,1,0)</f>
        <v>1</v>
      </c>
      <c r="K8831" s="39" t="n">
        <f aca="false">IF(K8830&lt;=Assumptions!$E$84,1,0)</f>
        <v>1</v>
      </c>
      <c r="L8831" s="39" t="n">
        <f aca="false">IF(L8830&lt;=Assumptions!$E$84,1,0)</f>
        <v>1</v>
      </c>
      <c r="M8831" s="39" t="n">
        <f aca="false">IF(M8830&lt;=Assumptions!$E$84,1,0)</f>
        <v>1</v>
      </c>
      <c r="N8831" s="39" t="n">
        <f aca="false">IF(N8830&lt;=Assumptions!$E$84,1,0)</f>
        <v>1</v>
      </c>
      <c r="P8831" s="40"/>
      <c r="Q8831" s="40"/>
      <c r="R8831" s="40"/>
      <c r="S8831" s="41"/>
    </row>
    <row r="8832" customFormat="false" ht="15" hidden="false" customHeight="false" outlineLevel="0" collapsed="false">
      <c r="A8832" s="4" t="s">
        <v>477</v>
      </c>
      <c r="B8832" s="36" t="s">
        <v>478</v>
      </c>
      <c r="C8832" s="42" t="n">
        <f aca="false">IF(C8830=Assumptions!$E$13,0.5,IF(C8830&gt;Assumptions!$E$13,1,0))</f>
        <v>0.5</v>
      </c>
      <c r="D8832" s="42" t="n">
        <f aca="false">IF(D8830=Assumptions!$E$13,0.5,IF(D8830&gt;Assumptions!$E$13,1,0))</f>
        <v>1</v>
      </c>
      <c r="E8832" s="42" t="n">
        <f aca="false">IF(E8830=Assumptions!$E$13,0.5,IF(E8830&gt;Assumptions!$E$13,1,0))</f>
        <v>1</v>
      </c>
      <c r="F8832" s="42" t="n">
        <f aca="false">IF(F8830=Assumptions!$E$13,0.5,IF(F8830&gt;Assumptions!$E$13,1,0))</f>
        <v>1</v>
      </c>
      <c r="G8832" s="42" t="n">
        <f aca="false">IF(G8830=Assumptions!$E$13,0.5,IF(G8830&gt;Assumptions!$E$13,1,0))</f>
        <v>1</v>
      </c>
      <c r="H8832" s="42" t="n">
        <f aca="false">IF(H8830=Assumptions!$E$13,0.5,IF(H8830&gt;Assumptions!$E$13,1,0))</f>
        <v>1</v>
      </c>
      <c r="I8832" s="42" t="n">
        <f aca="false">IF(I8830=Assumptions!$E$13,0.5,IF(I8830&gt;Assumptions!$E$13,1,0))</f>
        <v>1</v>
      </c>
      <c r="J8832" s="42" t="n">
        <f aca="false">IF(J8830=Assumptions!$E$13,0.5,IF(J8830&gt;Assumptions!$E$13,1,0))</f>
        <v>1</v>
      </c>
      <c r="K8832" s="42" t="n">
        <f aca="false">IF(K8830=Assumptions!$E$13,0.5,IF(K8830&gt;Assumptions!$E$13,1,0))</f>
        <v>1</v>
      </c>
      <c r="L8832" s="42" t="n">
        <f aca="false">IF(L8830=Assumptions!$E$13,0.5,IF(L8830&gt;Assumptions!$E$13,1,0))</f>
        <v>1</v>
      </c>
      <c r="M8832" s="42" t="n">
        <f aca="false">IF(M8830=Assumptions!$E$13,0.5,IF(M8830&gt;Assumptions!$E$13,1,0))</f>
        <v>1</v>
      </c>
      <c r="N8832" s="42" t="n">
        <f aca="false">IF(N8830=Assumptions!$E$13,0.5,IF(N8830&gt;Assumptions!$E$13,1,0))</f>
        <v>1</v>
      </c>
      <c r="P8832" s="43"/>
      <c r="Q8832" s="43"/>
      <c r="R8832" s="43"/>
      <c r="S8832" s="44"/>
    </row>
    <row r="8833" customFormat="false" ht="15" hidden="false" customHeight="false" outlineLevel="0" collapsed="false">
      <c r="A8833" s="4" t="s">
        <v>479</v>
      </c>
      <c r="B8833" s="36" t="s">
        <v>478</v>
      </c>
      <c r="C8833" s="42" t="n">
        <f aca="false">IF(C8830=Assumptions!$E$14,0.5,IF(C8830&gt;Assumptions!$E$14,1,0))</f>
        <v>0</v>
      </c>
      <c r="D8833" s="42" t="n">
        <f aca="false">IF(D8830=Assumptions!$E$14,0.5,IF(D8830&gt;Assumptions!$E$14,1,0))</f>
        <v>0</v>
      </c>
      <c r="E8833" s="42" t="n">
        <f aca="false">IF(E8830=Assumptions!$E$14,0.5,IF(E8830&gt;Assumptions!$E$14,1,0))</f>
        <v>0</v>
      </c>
      <c r="F8833" s="42" t="n">
        <f aca="false">IF(F8830=Assumptions!$E$14,0.5,IF(F8830&gt;Assumptions!$E$14,1,0))</f>
        <v>0</v>
      </c>
      <c r="G8833" s="42" t="n">
        <f aca="false">IF(G8830=Assumptions!$E$14,0.5,IF(G8830&gt;Assumptions!$E$14,1,0))</f>
        <v>0.5</v>
      </c>
      <c r="H8833" s="42" t="n">
        <f aca="false">IF(H8830=Assumptions!$E$14,0.5,IF(H8830&gt;Assumptions!$E$14,1,0))</f>
        <v>1</v>
      </c>
      <c r="I8833" s="42" t="n">
        <f aca="false">IF(I8830=Assumptions!$E$14,0.5,IF(I8830&gt;Assumptions!$E$14,1,0))</f>
        <v>1</v>
      </c>
      <c r="J8833" s="42" t="n">
        <f aca="false">IF(J8830=Assumptions!$E$14,0.5,IF(J8830&gt;Assumptions!$E$14,1,0))</f>
        <v>1</v>
      </c>
      <c r="K8833" s="42" t="n">
        <f aca="false">IF(K8830=Assumptions!$E$14,0.5,IF(K8830&gt;Assumptions!$E$14,1,0))</f>
        <v>1</v>
      </c>
      <c r="L8833" s="42" t="n">
        <f aca="false">IF(L8830=Assumptions!$E$14,0.5,IF(L8830&gt;Assumptions!$E$14,1,0))</f>
        <v>1</v>
      </c>
      <c r="M8833" s="42" t="n">
        <f aca="false">IF(M8830=Assumptions!$E$14,0.5,IF(M8830&gt;Assumptions!$E$14,1,0))</f>
        <v>1</v>
      </c>
      <c r="N8833" s="42" t="n">
        <f aca="false">IF(N8830=Assumptions!$E$14,0.5,IF(N8830&gt;Assumptions!$E$14,1,0))</f>
        <v>1</v>
      </c>
      <c r="P8833" s="43"/>
      <c r="Q8833" s="43"/>
      <c r="R8833" s="43"/>
      <c r="S8833" s="44"/>
    </row>
    <row r="8834" customFormat="false" ht="15" hidden="false" customHeight="false" outlineLevel="0" collapsed="false">
      <c r="A8834" s="4" t="s">
        <v>480</v>
      </c>
      <c r="B8834" s="36" t="s">
        <v>478</v>
      </c>
      <c r="C8834" s="42" t="n">
        <f aca="false">IF(C8830=Assumptions!$E$15,0.5,IF(C8830&gt;Assumptions!$E$15,1,0))</f>
        <v>0</v>
      </c>
      <c r="D8834" s="42" t="n">
        <f aca="false">IF(D8830=Assumptions!$E$15,0.5,IF(D8830&gt;Assumptions!$E$15,1,0))</f>
        <v>0</v>
      </c>
      <c r="E8834" s="42" t="n">
        <f aca="false">IF(E8830=Assumptions!$E$15,0.5,IF(E8830&gt;Assumptions!$E$15,1,0))</f>
        <v>0</v>
      </c>
      <c r="F8834" s="42" t="n">
        <f aca="false">IF(F8830=Assumptions!$E$15,0.5,IF(F8830&gt;Assumptions!$E$15,1,0))</f>
        <v>0</v>
      </c>
      <c r="G8834" s="42" t="n">
        <f aca="false">IF(G8830=Assumptions!$E$15,0.5,IF(G8830&gt;Assumptions!$E$15,1,0))</f>
        <v>0</v>
      </c>
      <c r="H8834" s="42" t="n">
        <f aca="false">IF(H8830=Assumptions!$E$15,0.5,IF(H8830&gt;Assumptions!$E$15,1,0))</f>
        <v>0</v>
      </c>
      <c r="I8834" s="42" t="n">
        <f aca="false">IF(I8830=Assumptions!$E$15,0.5,IF(I8830&gt;Assumptions!$E$15,1,0))</f>
        <v>0.5</v>
      </c>
      <c r="J8834" s="42" t="n">
        <f aca="false">IF(J8830=Assumptions!$E$15,0.5,IF(J8830&gt;Assumptions!$E$15,1,0))</f>
        <v>1</v>
      </c>
      <c r="K8834" s="42" t="n">
        <f aca="false">IF(K8830=Assumptions!$E$15,0.5,IF(K8830&gt;Assumptions!$E$15,1,0))</f>
        <v>1</v>
      </c>
      <c r="L8834" s="42" t="n">
        <f aca="false">IF(L8830=Assumptions!$E$15,0.5,IF(L8830&gt;Assumptions!$E$15,1,0))</f>
        <v>1</v>
      </c>
      <c r="M8834" s="42" t="n">
        <f aca="false">IF(M8830=Assumptions!$E$15,0.5,IF(M8830&gt;Assumptions!$E$15,1,0))</f>
        <v>1</v>
      </c>
      <c r="N8834" s="42" t="n">
        <f aca="false">IF(N8830=Assumptions!$E$15,0.5,IF(N8830&gt;Assumptions!$E$15,1,0))</f>
        <v>1</v>
      </c>
      <c r="P8834" s="43"/>
      <c r="Q8834" s="43"/>
      <c r="R8834" s="43"/>
      <c r="S8834" s="44"/>
    </row>
    <row r="8835" customFormat="false" ht="15" hidden="false" customHeight="false" outlineLevel="0" collapsed="false">
      <c r="A8835" s="4" t="s">
        <v>481</v>
      </c>
      <c r="B8835" s="36" t="s">
        <v>478</v>
      </c>
      <c r="C8835" s="45" t="n">
        <f aca="false">Assumptions!$E$21^(MAX(0,C8830-Assumptions!$E$13)/4)</f>
        <v>1</v>
      </c>
      <c r="D8835" s="45" t="n">
        <f aca="false">Assumptions!$E$21^(MAX(0,D8830-Assumptions!$E$13)/4)</f>
        <v>0.9306048591021</v>
      </c>
      <c r="E8835" s="45" t="n">
        <f aca="false">Assumptions!$E$21^(MAX(0,E8830-Assumptions!$E$13)/4)</f>
        <v>0.866025403784439</v>
      </c>
      <c r="F8835" s="45" t="n">
        <f aca="false">Assumptions!$E$21^(MAX(0,F8830-Assumptions!$E$13)/4)</f>
        <v>0.805927448867656</v>
      </c>
      <c r="G8835" s="45" t="n">
        <f aca="false">Assumptions!$E$21^(MAX(0,G8830-Assumptions!$E$13)/4)</f>
        <v>0.75</v>
      </c>
      <c r="H8835" s="45" t="n">
        <f aca="false">Assumptions!$E$21^(MAX(0,H8830-Assumptions!$E$13)/4)</f>
        <v>0.697953644326575</v>
      </c>
      <c r="I8835" s="45" t="n">
        <f aca="false">Assumptions!$E$21^(MAX(0,I8830-Assumptions!$E$13)/4)</f>
        <v>0.649519052838329</v>
      </c>
      <c r="J8835" s="45" t="n">
        <f aca="false">Assumptions!$E$21^(MAX(0,J8830-Assumptions!$E$13)/4)</f>
        <v>0.604445586650742</v>
      </c>
      <c r="K8835" s="45" t="n">
        <f aca="false">Assumptions!$E$21^(MAX(0,K8830-Assumptions!$E$13)/4)</f>
        <v>0.5625</v>
      </c>
      <c r="L8835" s="45" t="n">
        <f aca="false">Assumptions!$E$21^(MAX(0,L8830-Assumptions!$E$13)/4)</f>
        <v>0.523465233244931</v>
      </c>
      <c r="M8835" s="45" t="n">
        <f aca="false">Assumptions!$E$21^(MAX(0,M8830-Assumptions!$E$13)/4)</f>
        <v>0.487139289628747</v>
      </c>
      <c r="N8835" s="45" t="n">
        <f aca="false">Assumptions!$E$21^(MAX(0,N8830-Assumptions!$E$13)/4)</f>
        <v>0.453334189988057</v>
      </c>
      <c r="P8835" s="46"/>
      <c r="Q8835" s="46"/>
      <c r="R8835" s="46"/>
      <c r="S8835" s="47"/>
    </row>
    <row r="8836" customFormat="false" ht="15" hidden="false" customHeight="false" outlineLevel="0" collapsed="false">
      <c r="A8836" s="4" t="s">
        <v>482</v>
      </c>
      <c r="B8836" s="36" t="s">
        <v>478</v>
      </c>
      <c r="C8836" s="45" t="n">
        <f aca="false">Assumptions!$E$21^(MAX(0,C8830-Assumptions!$E$14)/4)</f>
        <v>1</v>
      </c>
      <c r="D8836" s="45" t="n">
        <f aca="false">Assumptions!$E$21^(MAX(0,D8830-Assumptions!$E$14)/4)</f>
        <v>1</v>
      </c>
      <c r="E8836" s="45" t="n">
        <f aca="false">Assumptions!$E$21^(MAX(0,E8830-Assumptions!$E$14)/4)</f>
        <v>1</v>
      </c>
      <c r="F8836" s="45" t="n">
        <f aca="false">Assumptions!$E$21^(MAX(0,F8830-Assumptions!$E$14)/4)</f>
        <v>1</v>
      </c>
      <c r="G8836" s="45" t="n">
        <f aca="false">Assumptions!$E$21^(MAX(0,G8830-Assumptions!$E$14)/4)</f>
        <v>1</v>
      </c>
      <c r="H8836" s="45" t="n">
        <f aca="false">Assumptions!$E$21^(MAX(0,H8830-Assumptions!$E$14)/4)</f>
        <v>0.9306048591021</v>
      </c>
      <c r="I8836" s="45" t="n">
        <f aca="false">Assumptions!$E$21^(MAX(0,I8830-Assumptions!$E$14)/4)</f>
        <v>0.866025403784439</v>
      </c>
      <c r="J8836" s="45" t="n">
        <f aca="false">Assumptions!$E$21^(MAX(0,J8830-Assumptions!$E$14)/4)</f>
        <v>0.805927448867656</v>
      </c>
      <c r="K8836" s="45" t="n">
        <f aca="false">Assumptions!$E$21^(MAX(0,K8830-Assumptions!$E$14)/4)</f>
        <v>0.75</v>
      </c>
      <c r="L8836" s="45" t="n">
        <f aca="false">Assumptions!$E$21^(MAX(0,L8830-Assumptions!$E$14)/4)</f>
        <v>0.697953644326575</v>
      </c>
      <c r="M8836" s="45" t="n">
        <f aca="false">Assumptions!$E$21^(MAX(0,M8830-Assumptions!$E$14)/4)</f>
        <v>0.649519052838329</v>
      </c>
      <c r="N8836" s="45" t="n">
        <f aca="false">Assumptions!$E$21^(MAX(0,N8830-Assumptions!$E$14)/4)</f>
        <v>0.604445586650742</v>
      </c>
      <c r="P8836" s="46"/>
      <c r="Q8836" s="46"/>
      <c r="R8836" s="46"/>
      <c r="S8836" s="47"/>
    </row>
    <row r="8837" customFormat="false" ht="15" hidden="false" customHeight="false" outlineLevel="0" collapsed="false">
      <c r="A8837" s="4" t="s">
        <v>483</v>
      </c>
      <c r="B8837" s="36" t="s">
        <v>478</v>
      </c>
      <c r="C8837" s="45" t="n">
        <f aca="false">Assumptions!$E$21^(MAX(0,C8830-Assumptions!$E$15)/4)</f>
        <v>1</v>
      </c>
      <c r="D8837" s="45" t="n">
        <f aca="false">Assumptions!$E$21^(MAX(0,D8830-Assumptions!$E$15)/4)</f>
        <v>1</v>
      </c>
      <c r="E8837" s="45" t="n">
        <f aca="false">Assumptions!$E$21^(MAX(0,E8830-Assumptions!$E$15)/4)</f>
        <v>1</v>
      </c>
      <c r="F8837" s="45" t="n">
        <f aca="false">Assumptions!$E$21^(MAX(0,F8830-Assumptions!$E$15)/4)</f>
        <v>1</v>
      </c>
      <c r="G8837" s="45" t="n">
        <f aca="false">Assumptions!$E$21^(MAX(0,G8830-Assumptions!$E$15)/4)</f>
        <v>1</v>
      </c>
      <c r="H8837" s="45" t="n">
        <f aca="false">Assumptions!$E$21^(MAX(0,H8830-Assumptions!$E$15)/4)</f>
        <v>1</v>
      </c>
      <c r="I8837" s="45" t="n">
        <f aca="false">Assumptions!$E$21^(MAX(0,I8830-Assumptions!$E$15)/4)</f>
        <v>1</v>
      </c>
      <c r="J8837" s="45" t="n">
        <f aca="false">Assumptions!$E$21^(MAX(0,J8830-Assumptions!$E$15)/4)</f>
        <v>0.9306048591021</v>
      </c>
      <c r="K8837" s="45" t="n">
        <f aca="false">Assumptions!$E$21^(MAX(0,K8830-Assumptions!$E$15)/4)</f>
        <v>0.866025403784439</v>
      </c>
      <c r="L8837" s="45" t="n">
        <f aca="false">Assumptions!$E$21^(MAX(0,L8830-Assumptions!$E$15)/4)</f>
        <v>0.805927448867656</v>
      </c>
      <c r="M8837" s="45" t="n">
        <f aca="false">Assumptions!$E$21^(MAX(0,M8830-Assumptions!$E$15)/4)</f>
        <v>0.75</v>
      </c>
      <c r="N8837" s="45" t="n">
        <f aca="false">Assumptions!$E$21^(MAX(0,N8830-Assumptions!$E$15)/4)</f>
        <v>0.697953644326575</v>
      </c>
      <c r="P8837" s="46"/>
      <c r="Q8837" s="46"/>
      <c r="R8837" s="46"/>
      <c r="S8837" s="47"/>
    </row>
    <row r="8838" customFormat="false" ht="15" hidden="false" customHeight="false" outlineLevel="0" collapsed="false">
      <c r="A8838" s="4" t="s">
        <v>484</v>
      </c>
      <c r="B8838" s="36" t="s">
        <v>485</v>
      </c>
      <c r="C8838" s="39" t="n">
        <f aca="false">$C$8809*C8832+$C$8813*C8833+$C$8817*C8834</f>
        <v>421.51972352</v>
      </c>
      <c r="D8838" s="39" t="n">
        <f aca="false">$C$8809*D8832+$C$8813*D8833+$C$8817*D8834</f>
        <v>843.03944704</v>
      </c>
      <c r="E8838" s="39" t="n">
        <f aca="false">$C$8809*E8832+$C$8813*E8833+$C$8817*E8834</f>
        <v>843.03944704</v>
      </c>
      <c r="F8838" s="39" t="n">
        <f aca="false">$C$8809*F8832+$C$8813*F8833+$C$8817*F8834</f>
        <v>843.03944704</v>
      </c>
      <c r="G8838" s="39" t="n">
        <f aca="false">$C$8809*G8832+$C$8813*G8833+$C$8817*G8834</f>
        <v>1149.32798176</v>
      </c>
      <c r="H8838" s="39" t="n">
        <f aca="false">$C$8809*H8832+$C$8813*H8833+$C$8817*H8834</f>
        <v>1455.61651648</v>
      </c>
      <c r="I8838" s="39" t="n">
        <f aca="false">$C$8809*I8832+$C$8813*I8833+$C$8817*I8834</f>
        <v>2486.00303616</v>
      </c>
      <c r="J8838" s="39" t="n">
        <f aca="false">$C$8809*J8832+$C$8813*J8833+$C$8817*J8834</f>
        <v>3516.38955584</v>
      </c>
      <c r="K8838" s="39" t="n">
        <f aca="false">$C$8809*K8832+$C$8813*K8833+$C$8817*K8834</f>
        <v>3516.38955584</v>
      </c>
      <c r="L8838" s="39" t="n">
        <f aca="false">$C$8809*L8832+$C$8813*L8833+$C$8817*L8834</f>
        <v>3516.38955584</v>
      </c>
      <c r="M8838" s="39" t="n">
        <f aca="false">$C$8809*M8832+$C$8813*M8833+$C$8817*M8834</f>
        <v>3516.38955584</v>
      </c>
      <c r="N8838" s="39" t="n">
        <f aca="false">$C$8809*N8832+$C$8813*N8833+$C$8817*N8834</f>
        <v>3516.38955584</v>
      </c>
      <c r="P8838" s="40" t="n">
        <f aca="false">F8838</f>
        <v>843.03944704</v>
      </c>
      <c r="Q8838" s="40" t="n">
        <f aca="false">J8838</f>
        <v>3516.38955584</v>
      </c>
      <c r="R8838" s="40" t="n">
        <f aca="false">N8838</f>
        <v>3516.38955584</v>
      </c>
      <c r="S8838" s="41" t="n">
        <f aca="false">R8838</f>
        <v>3516.38955584</v>
      </c>
    </row>
    <row r="8839" customFormat="false" ht="15" hidden="false" customHeight="false" outlineLevel="0" collapsed="false">
      <c r="A8839" s="4" t="s">
        <v>486</v>
      </c>
      <c r="B8839" s="36" t="s">
        <v>485</v>
      </c>
      <c r="C8839" s="39" t="n">
        <f aca="false">$C$8810*C8832+$C$8814*C8833+$C$8818*C8834</f>
        <v>105.59808</v>
      </c>
      <c r="D8839" s="39" t="n">
        <f aca="false">$C$8810*D8832+$C$8814*D8833+$C$8818*D8834</f>
        <v>211.19616</v>
      </c>
      <c r="E8839" s="39" t="n">
        <f aca="false">$C$8810*E8832+$C$8814*E8833+$C$8818*E8834</f>
        <v>211.19616</v>
      </c>
      <c r="F8839" s="39" t="n">
        <f aca="false">$C$8810*F8832+$C$8814*F8833+$C$8818*F8834</f>
        <v>211.19616</v>
      </c>
      <c r="G8839" s="39" t="n">
        <f aca="false">$C$8810*G8832+$C$8814*G8833+$C$8818*G8834</f>
        <v>282.24672</v>
      </c>
      <c r="H8839" s="39" t="n">
        <f aca="false">$C$8810*H8832+$C$8814*H8833+$C$8818*H8834</f>
        <v>353.29728</v>
      </c>
      <c r="I8839" s="39" t="n">
        <f aca="false">$C$8810*I8832+$C$8814*I8833+$C$8818*I8834</f>
        <v>567.53536</v>
      </c>
      <c r="J8839" s="39" t="n">
        <f aca="false">$C$8810*J8832+$C$8814*J8833+$C$8818*J8834</f>
        <v>781.77344</v>
      </c>
      <c r="K8839" s="39" t="n">
        <f aca="false">$C$8810*K8832+$C$8814*K8833+$C$8818*K8834</f>
        <v>781.77344</v>
      </c>
      <c r="L8839" s="39" t="n">
        <f aca="false">$C$8810*L8832+$C$8814*L8833+$C$8818*L8834</f>
        <v>781.77344</v>
      </c>
      <c r="M8839" s="39" t="n">
        <f aca="false">$C$8810*M8832+$C$8814*M8833+$C$8818*M8834</f>
        <v>781.77344</v>
      </c>
      <c r="N8839" s="39" t="n">
        <f aca="false">$C$8810*N8832+$C$8814*N8833+$C$8818*N8834</f>
        <v>781.77344</v>
      </c>
      <c r="P8839" s="40" t="n">
        <f aca="false">F8839</f>
        <v>211.19616</v>
      </c>
      <c r="Q8839" s="40" t="n">
        <f aca="false">J8839</f>
        <v>781.77344</v>
      </c>
      <c r="R8839" s="40" t="n">
        <f aca="false">N8839</f>
        <v>781.77344</v>
      </c>
      <c r="S8839" s="41" t="n">
        <f aca="false">R8839</f>
        <v>781.77344</v>
      </c>
    </row>
    <row r="8840" customFormat="false" ht="15" hidden="false" customHeight="false" outlineLevel="0" collapsed="false">
      <c r="A8840" s="4" t="s">
        <v>487</v>
      </c>
      <c r="B8840" s="36" t="s">
        <v>485</v>
      </c>
      <c r="C8840" s="39" t="n">
        <f aca="false">$C$8811*C8832+$C$8815*C8833+$C$8819*C8834</f>
        <v>24.76992</v>
      </c>
      <c r="D8840" s="39" t="n">
        <f aca="false">$C$8811*D8832+$C$8815*D8833+$C$8819*D8834</f>
        <v>49.53984</v>
      </c>
      <c r="E8840" s="39" t="n">
        <f aca="false">$C$8811*E8832+$C$8815*E8833+$C$8819*E8834</f>
        <v>49.53984</v>
      </c>
      <c r="F8840" s="39" t="n">
        <f aca="false">$C$8811*F8832+$C$8815*F8833+$C$8819*F8834</f>
        <v>49.53984</v>
      </c>
      <c r="G8840" s="39" t="n">
        <f aca="false">$C$8811*G8832+$C$8815*G8833+$C$8819*G8834</f>
        <v>61.9248</v>
      </c>
      <c r="H8840" s="39" t="n">
        <f aca="false">$C$8811*H8832+$C$8815*H8833+$C$8819*H8834</f>
        <v>74.30976</v>
      </c>
      <c r="I8840" s="39" t="n">
        <f aca="false">$C$8811*I8832+$C$8815*I8833+$C$8819*I8834</f>
        <v>114.072</v>
      </c>
      <c r="J8840" s="39" t="n">
        <f aca="false">$C$8811*J8832+$C$8815*J8833+$C$8819*J8834</f>
        <v>153.83424</v>
      </c>
      <c r="K8840" s="39" t="n">
        <f aca="false">$C$8811*K8832+$C$8815*K8833+$C$8819*K8834</f>
        <v>153.83424</v>
      </c>
      <c r="L8840" s="39" t="n">
        <f aca="false">$C$8811*L8832+$C$8815*L8833+$C$8819*L8834</f>
        <v>153.83424</v>
      </c>
      <c r="M8840" s="39" t="n">
        <f aca="false">$C$8811*M8832+$C$8815*M8833+$C$8819*M8834</f>
        <v>153.83424</v>
      </c>
      <c r="N8840" s="39" t="n">
        <f aca="false">$C$8811*N8832+$C$8815*N8833+$C$8819*N8834</f>
        <v>153.83424</v>
      </c>
      <c r="P8840" s="40" t="n">
        <f aca="false">F8840</f>
        <v>49.53984</v>
      </c>
      <c r="Q8840" s="40" t="n">
        <f aca="false">J8840</f>
        <v>153.83424</v>
      </c>
      <c r="R8840" s="40" t="n">
        <f aca="false">N8840</f>
        <v>153.83424</v>
      </c>
      <c r="S8840" s="41" t="n">
        <f aca="false">R8840</f>
        <v>153.83424</v>
      </c>
    </row>
    <row r="8841" customFormat="false" ht="15" hidden="false" customHeight="false" outlineLevel="0" collapsed="false">
      <c r="A8841" s="4" t="s">
        <v>488</v>
      </c>
      <c r="B8841" s="36" t="s">
        <v>485</v>
      </c>
      <c r="C8841" s="39" t="n">
        <f aca="false">C8838+C8839+C8840</f>
        <v>551.88772352</v>
      </c>
      <c r="D8841" s="39" t="n">
        <f aca="false">D8838+D8839+D8840</f>
        <v>1103.77544704</v>
      </c>
      <c r="E8841" s="39" t="n">
        <f aca="false">E8838+E8839+E8840</f>
        <v>1103.77544704</v>
      </c>
      <c r="F8841" s="39" t="n">
        <f aca="false">F8838+F8839+F8840</f>
        <v>1103.77544704</v>
      </c>
      <c r="G8841" s="39" t="n">
        <f aca="false">G8838+G8839+G8840</f>
        <v>1493.49950176</v>
      </c>
      <c r="H8841" s="39" t="n">
        <f aca="false">H8838+H8839+H8840</f>
        <v>1883.22355648</v>
      </c>
      <c r="I8841" s="39" t="n">
        <f aca="false">I8838+I8839+I8840</f>
        <v>3167.61039616</v>
      </c>
      <c r="J8841" s="39" t="n">
        <f aca="false">J8838+J8839+J8840</f>
        <v>4451.99723584</v>
      </c>
      <c r="K8841" s="39" t="n">
        <f aca="false">K8838+K8839+K8840</f>
        <v>4451.99723584</v>
      </c>
      <c r="L8841" s="39" t="n">
        <f aca="false">L8838+L8839+L8840</f>
        <v>4451.99723584</v>
      </c>
      <c r="M8841" s="39" t="n">
        <f aca="false">M8838+M8839+M8840</f>
        <v>4451.99723584</v>
      </c>
      <c r="N8841" s="39" t="n">
        <f aca="false">N8838+N8839+N8840</f>
        <v>4451.99723584</v>
      </c>
      <c r="P8841" s="40" t="n">
        <f aca="false">F8841</f>
        <v>1103.77544704</v>
      </c>
      <c r="Q8841" s="40" t="n">
        <f aca="false">J8841</f>
        <v>4451.99723584</v>
      </c>
      <c r="R8841" s="40" t="n">
        <f aca="false">N8841</f>
        <v>4451.99723584</v>
      </c>
      <c r="S8841" s="41" t="n">
        <f aca="false">R8841</f>
        <v>4451.99723584</v>
      </c>
    </row>
    <row r="8842" customFormat="false" ht="15" hidden="false" customHeight="false" outlineLevel="0" collapsed="false">
      <c r="A8842" s="4" t="s">
        <v>489</v>
      </c>
      <c r="B8842" s="36" t="s">
        <v>485</v>
      </c>
      <c r="C8842" s="39" t="n">
        <f aca="false">$C$8812*C8832*C8835+$C$8816*C8833*C8836+$C$8820*C8834*C8837</f>
        <v>551.88772352</v>
      </c>
      <c r="D8842" s="39" t="n">
        <f aca="false">$C$8812*D8832*D8835+$C$8816*D8833*D8836+$C$8820*D8834*D8837</f>
        <v>1027.17879437302</v>
      </c>
      <c r="E8842" s="39" t="n">
        <f aca="false">$C$8812*E8832*E8835+$C$8816*E8833*E8836+$C$8820*E8834*E8837</f>
        <v>955.897577210165</v>
      </c>
      <c r="F8842" s="39" t="n">
        <f aca="false">$C$8812*F8832*F8835+$C$8816*F8833*F8836+$C$8820*F8834*F8837</f>
        <v>889.562930155704</v>
      </c>
      <c r="G8842" s="39" t="n">
        <f aca="false">$C$8812*G8832*G8835+$C$8816*G8833*G8836+$C$8820*G8834*G8837</f>
        <v>1217.55564</v>
      </c>
      <c r="H8842" s="39" t="n">
        <f aca="false">$C$8812*H8832*H8835+$C$8816*H8833*H8836+$C$8820*H8834*H8837</f>
        <v>1495.74229384257</v>
      </c>
      <c r="I8842" s="39" t="n">
        <f aca="false">$C$8812*I8832*I8835+$C$8816*I8833*I8836+$C$8820*I8834*I8837</f>
        <v>2676.33188629442</v>
      </c>
      <c r="J8842" s="39" t="n">
        <f aca="false">$C$8812*J8832*J8835+$C$8816*J8833*J8836+$C$8820*J8834*J8837</f>
        <v>3685.86409192847</v>
      </c>
      <c r="K8842" s="39" t="n">
        <f aca="false">$C$8812*K8832*K8835+$C$8816*K8833*K8836+$C$8820*K8834*K8837</f>
        <v>3430.08303393858</v>
      </c>
      <c r="L8842" s="39" t="n">
        <f aca="false">$C$8812*L8832*L8835+$C$8816*L8833*L8836+$C$8820*L8834*L8837</f>
        <v>3192.05193850692</v>
      </c>
      <c r="M8842" s="39" t="n">
        <f aca="false">$C$8812*M8832*M8835+$C$8816*M8833*M8836+$C$8820*M8834*M8837</f>
        <v>2970.53904448081</v>
      </c>
      <c r="N8842" s="39" t="n">
        <f aca="false">$C$8812*N8832*N8835+$C$8816*N8833*N8836+$C$8820*N8834*N8837</f>
        <v>2764.39806894635</v>
      </c>
      <c r="P8842" s="40"/>
      <c r="Q8842" s="40"/>
      <c r="R8842" s="40"/>
      <c r="S8842" s="41"/>
    </row>
    <row r="8843" customFormat="false" ht="15" hidden="false" customHeight="false" outlineLevel="0" collapsed="false">
      <c r="A8843" s="4" t="s">
        <v>490</v>
      </c>
      <c r="B8843" s="36" t="s">
        <v>491</v>
      </c>
      <c r="C8843" s="48" t="n">
        <f aca="false">$C$8824*Assumptions!$E$20*C8831*C8842</f>
        <v>6.62265268224</v>
      </c>
      <c r="D8843" s="48" t="n">
        <f aca="false">$C$8824*Assumptions!$E$20*D8831*D8842</f>
        <v>12.3261455324762</v>
      </c>
      <c r="E8843" s="48" t="n">
        <f aca="false">$C$8824*Assumptions!$E$20*E8831*E8842</f>
        <v>11.470770926522</v>
      </c>
      <c r="F8843" s="48" t="n">
        <f aca="false">$C$8824*Assumptions!$E$20*F8831*F8842</f>
        <v>10.6747551618685</v>
      </c>
      <c r="G8843" s="48" t="n">
        <f aca="false">$C$8824*Assumptions!$E$20*G8831*G8842</f>
        <v>14.61066768</v>
      </c>
      <c r="H8843" s="48" t="n">
        <f aca="false">$C$8824*Assumptions!$E$20*H8831*H8842</f>
        <v>17.9489075261109</v>
      </c>
      <c r="I8843" s="48" t="n">
        <f aca="false">$C$8824*Assumptions!$E$20*I8831*I8842</f>
        <v>32.115982635533</v>
      </c>
      <c r="J8843" s="48" t="n">
        <f aca="false">$C$8824*Assumptions!$E$20*J8831*J8842</f>
        <v>44.2303691031417</v>
      </c>
      <c r="K8843" s="48" t="n">
        <f aca="false">$C$8824*Assumptions!$E$20*K8831*K8842</f>
        <v>41.160996407263</v>
      </c>
      <c r="L8843" s="48" t="n">
        <f aca="false">$C$8824*Assumptions!$E$20*L8831*L8842</f>
        <v>38.304623262083</v>
      </c>
      <c r="M8843" s="48" t="n">
        <f aca="false">$C$8824*Assumptions!$E$20*M8831*M8842</f>
        <v>35.6464685337698</v>
      </c>
      <c r="N8843" s="48" t="n">
        <f aca="false">$C$8824*Assumptions!$E$20*N8831*N8842</f>
        <v>33.1727768273562</v>
      </c>
      <c r="P8843" s="49" t="n">
        <f aca="false">SUM(C8843:F8843)</f>
        <v>41.0943243031066</v>
      </c>
      <c r="Q8843" s="49" t="n">
        <f aca="false">SUM(G8843:J8843)</f>
        <v>108.905926944786</v>
      </c>
      <c r="R8843" s="49" t="n">
        <f aca="false">SUM(K8843:N8843)</f>
        <v>148.284865030472</v>
      </c>
      <c r="S8843" s="50" t="n">
        <f aca="false">SUM(P8843:R8843)</f>
        <v>298.285116278364</v>
      </c>
    </row>
    <row r="8844" customFormat="false" ht="15" hidden="false" customHeight="false" outlineLevel="0" collapsed="false">
      <c r="A8844" s="4" t="s">
        <v>492</v>
      </c>
      <c r="B8844" s="36" t="s">
        <v>321</v>
      </c>
      <c r="C8844" s="48" t="n">
        <f aca="false">Assumptions!$D$111</f>
        <v>0</v>
      </c>
      <c r="D8844" s="48" t="n">
        <f aca="false">Assumptions!$E$111</f>
        <v>0</v>
      </c>
      <c r="E8844" s="48" t="n">
        <f aca="false">Assumptions!$F$111</f>
        <v>0</v>
      </c>
      <c r="F8844" s="48" t="n">
        <f aca="false">Assumptions!$G$111</f>
        <v>0</v>
      </c>
      <c r="G8844" s="48" t="n">
        <f aca="false">Assumptions!$H$111</f>
        <v>0</v>
      </c>
      <c r="H8844" s="48" t="n">
        <f aca="false">Assumptions!$I$111</f>
        <v>0</v>
      </c>
      <c r="I8844" s="48" t="n">
        <f aca="false">Assumptions!$J$111</f>
        <v>0</v>
      </c>
      <c r="J8844" s="48" t="n">
        <f aca="false">Assumptions!$K$111</f>
        <v>0</v>
      </c>
      <c r="K8844" s="48" t="n">
        <f aca="false">Assumptions!$L$111</f>
        <v>0</v>
      </c>
      <c r="L8844" s="48" t="n">
        <f aca="false">Assumptions!$M$111</f>
        <v>0</v>
      </c>
      <c r="M8844" s="48" t="n">
        <f aca="false">Assumptions!$N$111</f>
        <v>0</v>
      </c>
      <c r="N8844" s="48" t="n">
        <f aca="false">Assumptions!$O$111</f>
        <v>0</v>
      </c>
      <c r="P8844" s="49" t="n">
        <f aca="false">F8844</f>
        <v>0</v>
      </c>
      <c r="Q8844" s="49" t="n">
        <f aca="false">J8844</f>
        <v>0</v>
      </c>
      <c r="R8844" s="49" t="n">
        <f aca="false">N8844</f>
        <v>0</v>
      </c>
      <c r="S8844" s="50" t="n">
        <f aca="false">R8844</f>
        <v>0</v>
      </c>
    </row>
    <row r="8845" customFormat="false" ht="15" hidden="false" customHeight="false" outlineLevel="0" collapsed="false">
      <c r="A8845" s="4" t="s">
        <v>493</v>
      </c>
      <c r="B8845" s="36" t="s">
        <v>321</v>
      </c>
      <c r="C8845" s="48" t="n">
        <f aca="false">0</f>
        <v>0</v>
      </c>
      <c r="D8845" s="48" t="n">
        <f aca="false">0.5*C8844</f>
        <v>0</v>
      </c>
      <c r="E8845" s="48" t="n">
        <f aca="false">C8844+0.5*(D8844-C8844)</f>
        <v>0</v>
      </c>
      <c r="F8845" s="48" t="n">
        <f aca="false">D8844+0.5*(E8844-D8844)</f>
        <v>0</v>
      </c>
      <c r="G8845" s="48" t="n">
        <f aca="false">E8844+0.5*(F8844-E8844)</f>
        <v>0</v>
      </c>
      <c r="H8845" s="48" t="n">
        <f aca="false">F8844+0.5*(G8844-F8844)</f>
        <v>0</v>
      </c>
      <c r="I8845" s="48" t="n">
        <f aca="false">G8844+0.5*(H8844-G8844)</f>
        <v>0</v>
      </c>
      <c r="J8845" s="48" t="n">
        <f aca="false">H8844+0.5*(I8844-H8844)</f>
        <v>0</v>
      </c>
      <c r="K8845" s="48" t="n">
        <f aca="false">I8844+0.5*(J8844-I8844)</f>
        <v>0</v>
      </c>
      <c r="L8845" s="48" t="n">
        <f aca="false">J8844+0.5*(K8844-J8844)</f>
        <v>0</v>
      </c>
      <c r="M8845" s="48" t="n">
        <f aca="false">K8844+0.5*(L8844-K8844)</f>
        <v>0</v>
      </c>
      <c r="N8845" s="48" t="n">
        <f aca="false">L8844+0.5*(M8844-L8844)</f>
        <v>0</v>
      </c>
      <c r="P8845" s="49" t="n">
        <f aca="false">F8845</f>
        <v>0</v>
      </c>
      <c r="Q8845" s="49" t="n">
        <f aca="false">J8845</f>
        <v>0</v>
      </c>
      <c r="R8845" s="49" t="n">
        <f aca="false">N8845</f>
        <v>0</v>
      </c>
      <c r="S8845" s="50" t="n">
        <f aca="false">R8845</f>
        <v>0</v>
      </c>
    </row>
    <row r="8846" customFormat="false" ht="15" hidden="false" customHeight="false" outlineLevel="0" collapsed="false">
      <c r="A8846" s="4" t="s">
        <v>494</v>
      </c>
      <c r="B8846" s="36" t="s">
        <v>485</v>
      </c>
      <c r="C8846" s="39" t="n">
        <f aca="false">MIN(C8845*Assumptions!$E$38,C8841*(1-$C$8824))</f>
        <v>0</v>
      </c>
      <c r="D8846" s="39" t="n">
        <f aca="false">MIN(D8845*Assumptions!$E$38,D8841*(1-$C$8824))</f>
        <v>0</v>
      </c>
      <c r="E8846" s="39" t="n">
        <f aca="false">MIN(E8845*Assumptions!$E$38,E8841*(1-$C$8824))</f>
        <v>0</v>
      </c>
      <c r="F8846" s="39" t="n">
        <f aca="false">MIN(F8845*Assumptions!$E$38,F8841*(1-$C$8824))</f>
        <v>0</v>
      </c>
      <c r="G8846" s="39" t="n">
        <f aca="false">MIN(G8845*Assumptions!$E$38,G8841*(1-$C$8824))</f>
        <v>0</v>
      </c>
      <c r="H8846" s="39" t="n">
        <f aca="false">MIN(H8845*Assumptions!$E$38,H8841*(1-$C$8824))</f>
        <v>0</v>
      </c>
      <c r="I8846" s="39" t="n">
        <f aca="false">MIN(I8845*Assumptions!$E$38,I8841*(1-$C$8824))</f>
        <v>0</v>
      </c>
      <c r="J8846" s="39" t="n">
        <f aca="false">MIN(J8845*Assumptions!$E$38,J8841*(1-$C$8824))</f>
        <v>0</v>
      </c>
      <c r="K8846" s="39" t="n">
        <f aca="false">MIN(K8845*Assumptions!$E$38,K8841*(1-$C$8824))</f>
        <v>0</v>
      </c>
      <c r="L8846" s="39" t="n">
        <f aca="false">MIN(L8845*Assumptions!$E$38,L8841*(1-$C$8824))</f>
        <v>0</v>
      </c>
      <c r="M8846" s="39" t="n">
        <f aca="false">MIN(M8845*Assumptions!$E$38,M8841*(1-$C$8824))</f>
        <v>0</v>
      </c>
      <c r="N8846" s="39" t="n">
        <f aca="false">MIN(N8845*Assumptions!$E$38,N8841*(1-$C$8824))</f>
        <v>0</v>
      </c>
      <c r="P8846" s="40" t="n">
        <f aca="false">SUM(C8846:F8846)</f>
        <v>0</v>
      </c>
      <c r="Q8846" s="40" t="n">
        <f aca="false">SUM(G8846:J8846)</f>
        <v>0</v>
      </c>
      <c r="R8846" s="40" t="n">
        <f aca="false">SUM(K8846:N8846)</f>
        <v>0</v>
      </c>
      <c r="S8846" s="41" t="n">
        <f aca="false">SUM(P8846:R8846)</f>
        <v>0</v>
      </c>
    </row>
    <row r="8847" customFormat="false" ht="15" hidden="false" customHeight="false" outlineLevel="0" collapsed="false">
      <c r="A8847" s="4" t="s">
        <v>495</v>
      </c>
      <c r="B8847" s="36" t="s">
        <v>491</v>
      </c>
      <c r="C8847" s="48" t="n">
        <f aca="false">C8846*Assumptions!$E$20*Assumptions!$E$39*IF(C8841&gt;0,C8842/C8841,0)*C8831</f>
        <v>0</v>
      </c>
      <c r="D8847" s="48" t="n">
        <f aca="false">D8846*Assumptions!$E$20*Assumptions!$E$39*IF(D8841&gt;0,D8842/D8841,0)*D8831</f>
        <v>0</v>
      </c>
      <c r="E8847" s="48" t="n">
        <f aca="false">E8846*Assumptions!$E$20*Assumptions!$E$39*IF(E8841&gt;0,E8842/E8841,0)*E8831</f>
        <v>0</v>
      </c>
      <c r="F8847" s="48" t="n">
        <f aca="false">F8846*Assumptions!$E$20*Assumptions!$E$39*IF(F8841&gt;0,F8842/F8841,0)*F8831</f>
        <v>0</v>
      </c>
      <c r="G8847" s="48" t="n">
        <f aca="false">G8846*Assumptions!$E$20*Assumptions!$E$39*IF(G8841&gt;0,G8842/G8841,0)*G8831</f>
        <v>0</v>
      </c>
      <c r="H8847" s="48" t="n">
        <f aca="false">H8846*Assumptions!$E$20*Assumptions!$E$39*IF(H8841&gt;0,H8842/H8841,0)*H8831</f>
        <v>0</v>
      </c>
      <c r="I8847" s="48" t="n">
        <f aca="false">I8846*Assumptions!$E$20*Assumptions!$E$39*IF(I8841&gt;0,I8842/I8841,0)*I8831</f>
        <v>0</v>
      </c>
      <c r="J8847" s="48" t="n">
        <f aca="false">J8846*Assumptions!$E$20*Assumptions!$E$39*IF(J8841&gt;0,J8842/J8841,0)*J8831</f>
        <v>0</v>
      </c>
      <c r="K8847" s="48" t="n">
        <f aca="false">K8846*Assumptions!$E$20*Assumptions!$E$39*IF(K8841&gt;0,K8842/K8841,0)*K8831</f>
        <v>0</v>
      </c>
      <c r="L8847" s="48" t="n">
        <f aca="false">L8846*Assumptions!$E$20*Assumptions!$E$39*IF(L8841&gt;0,L8842/L8841,0)*L8831</f>
        <v>0</v>
      </c>
      <c r="M8847" s="48" t="n">
        <f aca="false">M8846*Assumptions!$E$20*Assumptions!$E$39*IF(M8841&gt;0,M8842/M8841,0)*M8831</f>
        <v>0</v>
      </c>
      <c r="N8847" s="48" t="n">
        <f aca="false">N8846*Assumptions!$E$20*Assumptions!$E$39*IF(N8841&gt;0,N8842/N8841,0)*N8831</f>
        <v>0</v>
      </c>
      <c r="P8847" s="49" t="n">
        <f aca="false">SUM(C8847:F8847)</f>
        <v>0</v>
      </c>
      <c r="Q8847" s="49" t="n">
        <f aca="false">SUM(G8847:J8847)</f>
        <v>0</v>
      </c>
      <c r="R8847" s="49" t="n">
        <f aca="false">SUM(K8847:N8847)</f>
        <v>0</v>
      </c>
      <c r="S8847" s="50" t="n">
        <f aca="false">SUM(P8847:R8847)</f>
        <v>0</v>
      </c>
    </row>
    <row r="8848" customFormat="false" ht="15" hidden="false" customHeight="false" outlineLevel="0" collapsed="false">
      <c r="A8848" s="4" t="s">
        <v>496</v>
      </c>
      <c r="B8848" s="36" t="s">
        <v>497</v>
      </c>
      <c r="C8848" s="48" t="n">
        <f aca="false">IF(AND(C8841&gt;0,$C$8828&gt;0),C8841*Assumptions!$E$24*(1-EXP(-$C$8828/(Assumptions!$E$23*C8841*Assumptions!$E$24))),0)</f>
        <v>0</v>
      </c>
      <c r="D8848" s="48" t="n">
        <f aca="false">IF(AND(D8841&gt;0,$C$8828&gt;0),D8841*Assumptions!$E$24*(1-EXP(-$C$8828/(Assumptions!$E$23*D8841*Assumptions!$E$24))),0)</f>
        <v>0</v>
      </c>
      <c r="E8848" s="48" t="n">
        <f aca="false">IF(AND(E8841&gt;0,$C$8828&gt;0),E8841*Assumptions!$E$24*(1-EXP(-$C$8828/(Assumptions!$E$23*E8841*Assumptions!$E$24))),0)</f>
        <v>0</v>
      </c>
      <c r="F8848" s="48" t="n">
        <f aca="false">IF(AND(F8841&gt;0,$C$8828&gt;0),F8841*Assumptions!$E$24*(1-EXP(-$C$8828/(Assumptions!$E$23*F8841*Assumptions!$E$24))),0)</f>
        <v>0</v>
      </c>
      <c r="G8848" s="48" t="n">
        <f aca="false">IF(AND(G8841&gt;0,$C$8828&gt;0),G8841*Assumptions!$E$24*(1-EXP(-$C$8828/(Assumptions!$E$23*G8841*Assumptions!$E$24))),0)</f>
        <v>0</v>
      </c>
      <c r="H8848" s="48" t="n">
        <f aca="false">IF(AND(H8841&gt;0,$C$8828&gt;0),H8841*Assumptions!$E$24*(1-EXP(-$C$8828/(Assumptions!$E$23*H8841*Assumptions!$E$24))),0)</f>
        <v>0</v>
      </c>
      <c r="I8848" s="48" t="n">
        <f aca="false">IF(AND(I8841&gt;0,$C$8828&gt;0),I8841*Assumptions!$E$24*(1-EXP(-$C$8828/(Assumptions!$E$23*I8841*Assumptions!$E$24))),0)</f>
        <v>0</v>
      </c>
      <c r="J8848" s="48" t="n">
        <f aca="false">IF(AND(J8841&gt;0,$C$8828&gt;0),J8841*Assumptions!$E$24*(1-EXP(-$C$8828/(Assumptions!$E$23*J8841*Assumptions!$E$24))),0)</f>
        <v>0</v>
      </c>
      <c r="K8848" s="48" t="n">
        <f aca="false">IF(AND(K8841&gt;0,$C$8828&gt;0),K8841*Assumptions!$E$24*(1-EXP(-$C$8828/(Assumptions!$E$23*K8841*Assumptions!$E$24))),0)</f>
        <v>0</v>
      </c>
      <c r="L8848" s="48" t="n">
        <f aca="false">IF(AND(L8841&gt;0,$C$8828&gt;0),L8841*Assumptions!$E$24*(1-EXP(-$C$8828/(Assumptions!$E$23*L8841*Assumptions!$E$24))),0)</f>
        <v>0</v>
      </c>
      <c r="M8848" s="48" t="n">
        <f aca="false">IF(AND(M8841&gt;0,$C$8828&gt;0),M8841*Assumptions!$E$24*(1-EXP(-$C$8828/(Assumptions!$E$23*M8841*Assumptions!$E$24))),0)</f>
        <v>0</v>
      </c>
      <c r="N8848" s="48" t="n">
        <f aca="false">IF(AND(N8841&gt;0,$C$8828&gt;0),N8841*Assumptions!$E$24*(1-EXP(-$C$8828/(Assumptions!$E$23*N8841*Assumptions!$E$24))),0)</f>
        <v>0</v>
      </c>
      <c r="P8848" s="49" t="n">
        <f aca="false">SUM(C8848:F8848)</f>
        <v>0</v>
      </c>
      <c r="Q8848" s="49" t="n">
        <f aca="false">SUM(G8848:J8848)</f>
        <v>0</v>
      </c>
      <c r="R8848" s="49" t="n">
        <f aca="false">SUM(K8848:N8848)</f>
        <v>0</v>
      </c>
      <c r="S8848" s="50" t="n">
        <f aca="false">SUM(P8848:R8848)</f>
        <v>0</v>
      </c>
    </row>
    <row r="8849" customFormat="false" ht="15" hidden="false" customHeight="false" outlineLevel="0" collapsed="false">
      <c r="A8849" s="4" t="s">
        <v>498</v>
      </c>
      <c r="B8849" s="36" t="s">
        <v>497</v>
      </c>
      <c r="C8849" s="48" t="n">
        <f aca="false">(C8841*Assumptions!$E$22*MIN(1,Assumptions!$D$103/Assumptions!$E$78)+C8848)*C8831</f>
        <v>5.5188772352</v>
      </c>
      <c r="D8849" s="48" t="n">
        <f aca="false">(D8841*Assumptions!$E$22*MIN(1,Assumptions!$D$103/Assumptions!$E$78)+D8848)*D8831</f>
        <v>11.0377544704</v>
      </c>
      <c r="E8849" s="48" t="n">
        <f aca="false">(E8841*Assumptions!$E$22*MIN(1,Assumptions!$D$103/Assumptions!$E$78)+E8848)*E8831</f>
        <v>11.0377544704</v>
      </c>
      <c r="F8849" s="48" t="n">
        <f aca="false">(F8841*Assumptions!$E$22*MIN(1,Assumptions!$D$103/Assumptions!$E$78)+F8848)*F8831</f>
        <v>11.0377544704</v>
      </c>
      <c r="G8849" s="48" t="n">
        <f aca="false">(G8841*Assumptions!$E$22*MIN(1,Assumptions!$D$103/Assumptions!$E$78)+G8848)*G8831</f>
        <v>14.9349950176</v>
      </c>
      <c r="H8849" s="48" t="n">
        <f aca="false">(H8841*Assumptions!$E$22*MIN(1,Assumptions!$D$103/Assumptions!$E$78)+H8848)*H8831</f>
        <v>18.8322355648</v>
      </c>
      <c r="I8849" s="48" t="n">
        <f aca="false">(I8841*Assumptions!$E$22*MIN(1,Assumptions!$D$103/Assumptions!$E$78)+I8848)*I8831</f>
        <v>31.6761039616</v>
      </c>
      <c r="J8849" s="48" t="n">
        <f aca="false">(J8841*Assumptions!$E$22*MIN(1,Assumptions!$D$103/Assumptions!$E$78)+J8848)*J8831</f>
        <v>44.5199723584</v>
      </c>
      <c r="K8849" s="48" t="n">
        <f aca="false">(K8841*Assumptions!$E$22*MIN(1,Assumptions!$D$103/Assumptions!$E$78)+K8848)*K8831</f>
        <v>44.5199723584</v>
      </c>
      <c r="L8849" s="48" t="n">
        <f aca="false">(L8841*Assumptions!$E$22*MIN(1,Assumptions!$D$103/Assumptions!$E$78)+L8848)*L8831</f>
        <v>44.5199723584</v>
      </c>
      <c r="M8849" s="48" t="n">
        <f aca="false">(M8841*Assumptions!$E$22*MIN(1,Assumptions!$D$103/Assumptions!$E$78)+M8848)*M8831</f>
        <v>44.5199723584</v>
      </c>
      <c r="N8849" s="48" t="n">
        <f aca="false">(N8841*Assumptions!$E$22*MIN(1,Assumptions!$D$103/Assumptions!$E$78)+N8848)*N8831</f>
        <v>44.5199723584</v>
      </c>
      <c r="P8849" s="49" t="n">
        <f aca="false">SUM(C8849:F8849)</f>
        <v>38.6321406464</v>
      </c>
      <c r="Q8849" s="49" t="n">
        <f aca="false">SUM(G8849:J8849)</f>
        <v>109.9633069024</v>
      </c>
      <c r="R8849" s="49" t="n">
        <f aca="false">SUM(K8849:N8849)</f>
        <v>178.0798894336</v>
      </c>
      <c r="S8849" s="50" t="n">
        <f aca="false">SUM(P8849:R8849)</f>
        <v>326.6753369824</v>
      </c>
    </row>
    <row r="8850" customFormat="false" ht="15" hidden="false" customHeight="false" outlineLevel="0" collapsed="false">
      <c r="A8850" s="4" t="s">
        <v>499</v>
      </c>
      <c r="B8850" s="36" t="s">
        <v>500</v>
      </c>
      <c r="C8850" s="48" t="n">
        <f aca="false">C8831*MIN(Assumptions!$E$27,Assumptions!$E$25+Assumptions!$E$26*(C8830-1))*Assumptions!$D$107</f>
        <v>2</v>
      </c>
      <c r="D8850" s="48" t="n">
        <f aca="false">D8831*MIN(Assumptions!$E$27,Assumptions!$E$25+Assumptions!$E$26*(D8830-1))*Assumptions!$D$107</f>
        <v>3</v>
      </c>
      <c r="E8850" s="48" t="n">
        <f aca="false">E8831*MIN(Assumptions!$E$27,Assumptions!$E$25+Assumptions!$E$26*(E8830-1))*Assumptions!$D$107</f>
        <v>4</v>
      </c>
      <c r="F8850" s="48" t="n">
        <f aca="false">F8831*MIN(Assumptions!$E$27,Assumptions!$E$25+Assumptions!$E$26*(F8830-1))*Assumptions!$D$107</f>
        <v>5</v>
      </c>
      <c r="G8850" s="48" t="n">
        <f aca="false">G8831*MIN(Assumptions!$E$27,Assumptions!$E$25+Assumptions!$E$26*(G8830-1))*Assumptions!$D$107</f>
        <v>6</v>
      </c>
      <c r="H8850" s="48" t="n">
        <f aca="false">H8831*MIN(Assumptions!$E$27,Assumptions!$E$25+Assumptions!$E$26*(H8830-1))*Assumptions!$D$107</f>
        <v>7</v>
      </c>
      <c r="I8850" s="48" t="n">
        <f aca="false">I8831*MIN(Assumptions!$E$27,Assumptions!$E$25+Assumptions!$E$26*(I8830-1))*Assumptions!$D$107</f>
        <v>8</v>
      </c>
      <c r="J8850" s="48" t="n">
        <f aca="false">J8831*MIN(Assumptions!$E$27,Assumptions!$E$25+Assumptions!$E$26*(J8830-1))*Assumptions!$D$107</f>
        <v>9</v>
      </c>
      <c r="K8850" s="48" t="n">
        <f aca="false">K8831*MIN(Assumptions!$E$27,Assumptions!$E$25+Assumptions!$E$26*(K8830-1))*Assumptions!$D$107</f>
        <v>10</v>
      </c>
      <c r="L8850" s="48" t="n">
        <f aca="false">L8831*MIN(Assumptions!$E$27,Assumptions!$E$25+Assumptions!$E$26*(L8830-1))*Assumptions!$D$107</f>
        <v>10</v>
      </c>
      <c r="M8850" s="48" t="n">
        <f aca="false">M8831*MIN(Assumptions!$E$27,Assumptions!$E$25+Assumptions!$E$26*(M8830-1))*Assumptions!$D$107</f>
        <v>10</v>
      </c>
      <c r="N8850" s="48" t="n">
        <f aca="false">N8831*MIN(Assumptions!$E$27,Assumptions!$E$25+Assumptions!$E$26*(N8830-1))*Assumptions!$D$107</f>
        <v>10</v>
      </c>
      <c r="P8850" s="49" t="n">
        <f aca="false">F8850</f>
        <v>5</v>
      </c>
      <c r="Q8850" s="49" t="n">
        <f aca="false">J8850</f>
        <v>9</v>
      </c>
      <c r="R8850" s="49" t="n">
        <f aca="false">N8850</f>
        <v>10</v>
      </c>
      <c r="S8850" s="50" t="n">
        <f aca="false">R8850</f>
        <v>10</v>
      </c>
    </row>
    <row r="8851" customFormat="false" ht="15" hidden="false" customHeight="false" outlineLevel="0" collapsed="false">
      <c r="A8851" s="4" t="s">
        <v>501</v>
      </c>
      <c r="B8851" s="36" t="s">
        <v>502</v>
      </c>
      <c r="C8851" s="48" t="n">
        <f aca="false">C8850*Assumptions!$E$28</f>
        <v>6</v>
      </c>
      <c r="D8851" s="48" t="n">
        <f aca="false">D8850*Assumptions!$E$28</f>
        <v>9</v>
      </c>
      <c r="E8851" s="48" t="n">
        <f aca="false">E8850*Assumptions!$E$28</f>
        <v>12</v>
      </c>
      <c r="F8851" s="48" t="n">
        <f aca="false">F8850*Assumptions!$E$28</f>
        <v>15</v>
      </c>
      <c r="G8851" s="48" t="n">
        <f aca="false">G8850*Assumptions!$E$28</f>
        <v>18</v>
      </c>
      <c r="H8851" s="48" t="n">
        <f aca="false">H8850*Assumptions!$E$28</f>
        <v>21</v>
      </c>
      <c r="I8851" s="48" t="n">
        <f aca="false">I8850*Assumptions!$E$28</f>
        <v>24</v>
      </c>
      <c r="J8851" s="48" t="n">
        <f aca="false">J8850*Assumptions!$E$28</f>
        <v>27</v>
      </c>
      <c r="K8851" s="48" t="n">
        <f aca="false">K8850*Assumptions!$E$28</f>
        <v>30</v>
      </c>
      <c r="L8851" s="48" t="n">
        <f aca="false">L8850*Assumptions!$E$28</f>
        <v>30</v>
      </c>
      <c r="M8851" s="48" t="n">
        <f aca="false">M8850*Assumptions!$E$28</f>
        <v>30</v>
      </c>
      <c r="N8851" s="48" t="n">
        <f aca="false">N8850*Assumptions!$E$28</f>
        <v>30</v>
      </c>
      <c r="P8851" s="49" t="n">
        <f aca="false">SUM(C8851:F8851)</f>
        <v>42</v>
      </c>
      <c r="Q8851" s="49" t="n">
        <f aca="false">SUM(G8851:J8851)</f>
        <v>90</v>
      </c>
      <c r="R8851" s="49" t="n">
        <f aca="false">SUM(K8851:N8851)</f>
        <v>120</v>
      </c>
      <c r="S8851" s="50" t="n">
        <f aca="false">SUM(P8851:R8851)</f>
        <v>252</v>
      </c>
    </row>
    <row r="8852" customFormat="false" ht="15" hidden="false" customHeight="false" outlineLevel="0" collapsed="false">
      <c r="A8852" s="4" t="s">
        <v>503</v>
      </c>
      <c r="B8852" s="36" t="s">
        <v>504</v>
      </c>
      <c r="C8852" s="48" t="n">
        <f aca="false">(C8843+C8847)*Assumptions!$E$29</f>
        <v>2.649061072896</v>
      </c>
      <c r="D8852" s="48" t="n">
        <f aca="false">(D8843+D8847)*Assumptions!$E$29</f>
        <v>4.93045821299048</v>
      </c>
      <c r="E8852" s="48" t="n">
        <f aca="false">(E8843+E8847)*Assumptions!$E$29</f>
        <v>4.58830837060879</v>
      </c>
      <c r="F8852" s="48" t="n">
        <f aca="false">(F8843+F8847)*Assumptions!$E$29</f>
        <v>4.26990206474738</v>
      </c>
      <c r="G8852" s="48" t="n">
        <f aca="false">(G8843+G8847)*Assumptions!$E$29</f>
        <v>5.844267072</v>
      </c>
      <c r="H8852" s="48" t="n">
        <f aca="false">(H8843+H8847)*Assumptions!$E$29</f>
        <v>7.17956301044434</v>
      </c>
      <c r="I8852" s="48" t="n">
        <f aca="false">(I8843+I8847)*Assumptions!$E$29</f>
        <v>12.8463930542132</v>
      </c>
      <c r="J8852" s="48" t="n">
        <f aca="false">(J8843+J8847)*Assumptions!$E$29</f>
        <v>17.6921476412567</v>
      </c>
      <c r="K8852" s="48" t="n">
        <f aca="false">(K8843+K8847)*Assumptions!$E$29</f>
        <v>16.4643985629052</v>
      </c>
      <c r="L8852" s="48" t="n">
        <f aca="false">(L8843+L8847)*Assumptions!$E$29</f>
        <v>15.3218493048332</v>
      </c>
      <c r="M8852" s="48" t="n">
        <f aca="false">(M8843+M8847)*Assumptions!$E$29</f>
        <v>14.2585874135079</v>
      </c>
      <c r="N8852" s="48" t="n">
        <f aca="false">(N8843+N8847)*Assumptions!$E$29</f>
        <v>13.2691107309425</v>
      </c>
      <c r="P8852" s="49" t="n">
        <f aca="false">SUM(C8852:F8852)</f>
        <v>16.4377297212427</v>
      </c>
      <c r="Q8852" s="49" t="n">
        <f aca="false">SUM(G8852:J8852)</f>
        <v>43.5623707779142</v>
      </c>
      <c r="R8852" s="49" t="n">
        <f aca="false">SUM(K8852:N8852)</f>
        <v>59.3139460121888</v>
      </c>
      <c r="S8852" s="50" t="n">
        <f aca="false">SUM(P8852:R8852)</f>
        <v>119.314046511346</v>
      </c>
    </row>
    <row r="8853" customFormat="false" ht="15" hidden="false" customHeight="false" outlineLevel="0" collapsed="false">
      <c r="A8853" s="4" t="s">
        <v>505</v>
      </c>
      <c r="B8853" s="36" t="s">
        <v>504</v>
      </c>
      <c r="C8853" s="48" t="n">
        <f aca="false">C8849*Assumptions!$E$31</f>
        <v>0.883020357632</v>
      </c>
      <c r="D8853" s="48" t="n">
        <f aca="false">D8849*Assumptions!$E$31</f>
        <v>1.766040715264</v>
      </c>
      <c r="E8853" s="48" t="n">
        <f aca="false">E8849*Assumptions!$E$31</f>
        <v>1.766040715264</v>
      </c>
      <c r="F8853" s="48" t="n">
        <f aca="false">F8849*Assumptions!$E$31</f>
        <v>1.766040715264</v>
      </c>
      <c r="G8853" s="48" t="n">
        <f aca="false">G8849*Assumptions!$E$31</f>
        <v>2.389599202816</v>
      </c>
      <c r="H8853" s="48" t="n">
        <f aca="false">H8849*Assumptions!$E$31</f>
        <v>3.013157690368</v>
      </c>
      <c r="I8853" s="48" t="n">
        <f aca="false">I8849*Assumptions!$E$31</f>
        <v>5.068176633856</v>
      </c>
      <c r="J8853" s="48" t="n">
        <f aca="false">J8849*Assumptions!$E$31</f>
        <v>7.123195577344</v>
      </c>
      <c r="K8853" s="48" t="n">
        <f aca="false">K8849*Assumptions!$E$31</f>
        <v>7.123195577344</v>
      </c>
      <c r="L8853" s="48" t="n">
        <f aca="false">L8849*Assumptions!$E$31</f>
        <v>7.123195577344</v>
      </c>
      <c r="M8853" s="48" t="n">
        <f aca="false">M8849*Assumptions!$E$31</f>
        <v>7.123195577344</v>
      </c>
      <c r="N8853" s="48" t="n">
        <f aca="false">N8849*Assumptions!$E$31</f>
        <v>7.123195577344</v>
      </c>
      <c r="P8853" s="49" t="n">
        <f aca="false">SUM(C8853:F8853)</f>
        <v>6.181142503424</v>
      </c>
      <c r="Q8853" s="49" t="n">
        <f aca="false">SUM(G8853:J8853)</f>
        <v>17.594129104384</v>
      </c>
      <c r="R8853" s="49" t="n">
        <f aca="false">SUM(K8853:N8853)</f>
        <v>28.492782309376</v>
      </c>
      <c r="S8853" s="50" t="n">
        <f aca="false">SUM(P8853:R8853)</f>
        <v>52.268053917184</v>
      </c>
    </row>
    <row r="8854" customFormat="false" ht="15" hidden="false" customHeight="false" outlineLevel="0" collapsed="false">
      <c r="A8854" s="4" t="s">
        <v>506</v>
      </c>
      <c r="B8854" s="36" t="s">
        <v>504</v>
      </c>
      <c r="C8854" s="48" t="n">
        <f aca="false">C8851*Assumptions!$E$30</f>
        <v>3</v>
      </c>
      <c r="D8854" s="48" t="n">
        <f aca="false">D8851*Assumptions!$E$30</f>
        <v>4.5</v>
      </c>
      <c r="E8854" s="48" t="n">
        <f aca="false">E8851*Assumptions!$E$30</f>
        <v>6</v>
      </c>
      <c r="F8854" s="48" t="n">
        <f aca="false">F8851*Assumptions!$E$30</f>
        <v>7.5</v>
      </c>
      <c r="G8854" s="48" t="n">
        <f aca="false">G8851*Assumptions!$E$30</f>
        <v>9</v>
      </c>
      <c r="H8854" s="48" t="n">
        <f aca="false">H8851*Assumptions!$E$30</f>
        <v>10.5</v>
      </c>
      <c r="I8854" s="48" t="n">
        <f aca="false">I8851*Assumptions!$E$30</f>
        <v>12</v>
      </c>
      <c r="J8854" s="48" t="n">
        <f aca="false">J8851*Assumptions!$E$30</f>
        <v>13.5</v>
      </c>
      <c r="K8854" s="48" t="n">
        <f aca="false">K8851*Assumptions!$E$30</f>
        <v>15</v>
      </c>
      <c r="L8854" s="48" t="n">
        <f aca="false">L8851*Assumptions!$E$30</f>
        <v>15</v>
      </c>
      <c r="M8854" s="48" t="n">
        <f aca="false">M8851*Assumptions!$E$30</f>
        <v>15</v>
      </c>
      <c r="N8854" s="48" t="n">
        <f aca="false">N8851*Assumptions!$E$30</f>
        <v>15</v>
      </c>
      <c r="P8854" s="49" t="n">
        <f aca="false">SUM(C8854:F8854)</f>
        <v>21</v>
      </c>
      <c r="Q8854" s="49" t="n">
        <f aca="false">SUM(G8854:J8854)</f>
        <v>45</v>
      </c>
      <c r="R8854" s="49" t="n">
        <f aca="false">SUM(K8854:N8854)</f>
        <v>60</v>
      </c>
      <c r="S8854" s="50" t="n">
        <f aca="false">SUM(P8854:R8854)</f>
        <v>126</v>
      </c>
    </row>
    <row r="8855" customFormat="false" ht="15" hidden="false" customHeight="false" outlineLevel="0" collapsed="false">
      <c r="A8855" s="9" t="s">
        <v>507</v>
      </c>
      <c r="B8855" s="36" t="s">
        <v>504</v>
      </c>
      <c r="C8855" s="49" t="n">
        <f aca="false">C8852+C8853+C8854</f>
        <v>6.532081430528</v>
      </c>
      <c r="D8855" s="49" t="n">
        <f aca="false">D8852+D8853+D8854</f>
        <v>11.1964989282545</v>
      </c>
      <c r="E8855" s="49" t="n">
        <f aca="false">E8852+E8853+E8854</f>
        <v>12.3543490858728</v>
      </c>
      <c r="F8855" s="49" t="n">
        <f aca="false">F8852+F8853+F8854</f>
        <v>13.5359427800114</v>
      </c>
      <c r="G8855" s="49" t="n">
        <f aca="false">G8852+G8853+G8854</f>
        <v>17.233866274816</v>
      </c>
      <c r="H8855" s="49" t="n">
        <f aca="false">H8852+H8853+H8854</f>
        <v>20.6927207008123</v>
      </c>
      <c r="I8855" s="49" t="n">
        <f aca="false">I8852+I8853+I8854</f>
        <v>29.9145696880692</v>
      </c>
      <c r="J8855" s="49" t="n">
        <f aca="false">J8852+J8853+J8854</f>
        <v>38.3153432186007</v>
      </c>
      <c r="K8855" s="49" t="n">
        <f aca="false">K8852+K8853+K8854</f>
        <v>38.5875941402492</v>
      </c>
      <c r="L8855" s="49" t="n">
        <f aca="false">L8852+L8853+L8854</f>
        <v>37.4450448821772</v>
      </c>
      <c r="M8855" s="49" t="n">
        <f aca="false">M8852+M8853+M8854</f>
        <v>36.3817829908519</v>
      </c>
      <c r="N8855" s="49" t="n">
        <f aca="false">N8852+N8853+N8854</f>
        <v>35.3923063082865</v>
      </c>
      <c r="P8855" s="49" t="n">
        <f aca="false">SUM(C8855:F8855)</f>
        <v>43.6188722246667</v>
      </c>
      <c r="Q8855" s="49" t="n">
        <f aca="false">SUM(G8855:J8855)</f>
        <v>106.156499882298</v>
      </c>
      <c r="R8855" s="49" t="n">
        <f aca="false">SUM(K8855:N8855)</f>
        <v>147.806728321565</v>
      </c>
      <c r="S8855" s="50" t="n">
        <f aca="false">SUM(P8855:R8855)</f>
        <v>297.58210042853</v>
      </c>
    </row>
    <row r="8856" customFormat="false" ht="15" hidden="false" customHeight="false" outlineLevel="0" collapsed="false">
      <c r="A8856" s="4" t="s">
        <v>508</v>
      </c>
      <c r="B8856" s="36" t="s">
        <v>509</v>
      </c>
      <c r="C8856" s="48" t="n">
        <f aca="false">C8838</f>
        <v>421.51972352</v>
      </c>
      <c r="D8856" s="48" t="n">
        <f aca="false">D8838</f>
        <v>843.03944704</v>
      </c>
      <c r="E8856" s="48" t="n">
        <f aca="false">E8838</f>
        <v>843.03944704</v>
      </c>
      <c r="F8856" s="48" t="n">
        <f aca="false">F8838</f>
        <v>843.03944704</v>
      </c>
      <c r="G8856" s="48" t="n">
        <f aca="false">G8838</f>
        <v>1149.32798176</v>
      </c>
      <c r="H8856" s="48" t="n">
        <f aca="false">H8838</f>
        <v>1455.61651648</v>
      </c>
      <c r="I8856" s="48" t="n">
        <f aca="false">I8838</f>
        <v>2486.00303616</v>
      </c>
      <c r="J8856" s="48" t="n">
        <f aca="false">J8838</f>
        <v>3516.38955584</v>
      </c>
      <c r="K8856" s="48" t="n">
        <f aca="false">K8838</f>
        <v>3516.38955584</v>
      </c>
      <c r="L8856" s="48" t="n">
        <f aca="false">L8838</f>
        <v>3516.38955584</v>
      </c>
      <c r="M8856" s="48" t="n">
        <f aca="false">M8838</f>
        <v>3516.38955584</v>
      </c>
      <c r="N8856" s="48" t="n">
        <f aca="false">N8838</f>
        <v>3516.38955584</v>
      </c>
      <c r="P8856" s="49"/>
      <c r="Q8856" s="49"/>
      <c r="R8856" s="49"/>
      <c r="S8856" s="50"/>
    </row>
    <row r="8857" customFormat="false" ht="15" hidden="false" customHeight="false" outlineLevel="0" collapsed="false">
      <c r="A8857" s="4" t="s">
        <v>510</v>
      </c>
      <c r="B8857" s="36" t="s">
        <v>509</v>
      </c>
      <c r="C8857" s="48" t="n">
        <f aca="false">C8839*Assumptions!$E$18*Assumptions!$E$33</f>
        <v>211.19616</v>
      </c>
      <c r="D8857" s="48" t="n">
        <f aca="false">D8839*Assumptions!$E$18*Assumptions!$E$33</f>
        <v>422.39232</v>
      </c>
      <c r="E8857" s="48" t="n">
        <f aca="false">E8839*Assumptions!$E$18*Assumptions!$E$33</f>
        <v>422.39232</v>
      </c>
      <c r="F8857" s="48" t="n">
        <f aca="false">F8839*Assumptions!$E$18*Assumptions!$E$33</f>
        <v>422.39232</v>
      </c>
      <c r="G8857" s="48" t="n">
        <f aca="false">G8839*Assumptions!$E$18*Assumptions!$E$33</f>
        <v>564.49344</v>
      </c>
      <c r="H8857" s="48" t="n">
        <f aca="false">H8839*Assumptions!$E$18*Assumptions!$E$33</f>
        <v>706.59456</v>
      </c>
      <c r="I8857" s="48" t="n">
        <f aca="false">I8839*Assumptions!$E$18*Assumptions!$E$33</f>
        <v>1135.07072</v>
      </c>
      <c r="J8857" s="48" t="n">
        <f aca="false">J8839*Assumptions!$E$18*Assumptions!$E$33</f>
        <v>1563.54688</v>
      </c>
      <c r="K8857" s="48" t="n">
        <f aca="false">K8839*Assumptions!$E$18*Assumptions!$E$33</f>
        <v>1563.54688</v>
      </c>
      <c r="L8857" s="48" t="n">
        <f aca="false">L8839*Assumptions!$E$18*Assumptions!$E$33</f>
        <v>1563.54688</v>
      </c>
      <c r="M8857" s="48" t="n">
        <f aca="false">M8839*Assumptions!$E$18*Assumptions!$E$33</f>
        <v>1563.54688</v>
      </c>
      <c r="N8857" s="48" t="n">
        <f aca="false">N8839*Assumptions!$E$18*Assumptions!$E$33</f>
        <v>1563.54688</v>
      </c>
      <c r="P8857" s="49"/>
      <c r="Q8857" s="49"/>
      <c r="R8857" s="49"/>
      <c r="S8857" s="50"/>
    </row>
    <row r="8858" customFormat="false" ht="15" hidden="false" customHeight="false" outlineLevel="0" collapsed="false">
      <c r="A8858" s="4" t="s">
        <v>511</v>
      </c>
      <c r="B8858" s="36" t="s">
        <v>509</v>
      </c>
      <c r="C8858" s="48" t="n">
        <f aca="false">C8840*Assumptions!$E$19*Assumptions!$E$34</f>
        <v>34.677888</v>
      </c>
      <c r="D8858" s="48" t="n">
        <f aca="false">D8840*Assumptions!$E$19*Assumptions!$E$34</f>
        <v>69.355776</v>
      </c>
      <c r="E8858" s="48" t="n">
        <f aca="false">E8840*Assumptions!$E$19*Assumptions!$E$34</f>
        <v>69.355776</v>
      </c>
      <c r="F8858" s="48" t="n">
        <f aca="false">F8840*Assumptions!$E$19*Assumptions!$E$34</f>
        <v>69.355776</v>
      </c>
      <c r="G8858" s="48" t="n">
        <f aca="false">G8840*Assumptions!$E$19*Assumptions!$E$34</f>
        <v>86.69472</v>
      </c>
      <c r="H8858" s="48" t="n">
        <f aca="false">H8840*Assumptions!$E$19*Assumptions!$E$34</f>
        <v>104.033664</v>
      </c>
      <c r="I8858" s="48" t="n">
        <f aca="false">I8840*Assumptions!$E$19*Assumptions!$E$34</f>
        <v>159.7008</v>
      </c>
      <c r="J8858" s="48" t="n">
        <f aca="false">J8840*Assumptions!$E$19*Assumptions!$E$34</f>
        <v>215.367936</v>
      </c>
      <c r="K8858" s="48" t="n">
        <f aca="false">K8840*Assumptions!$E$19*Assumptions!$E$34</f>
        <v>215.367936</v>
      </c>
      <c r="L8858" s="48" t="n">
        <f aca="false">L8840*Assumptions!$E$19*Assumptions!$E$34</f>
        <v>215.367936</v>
      </c>
      <c r="M8858" s="48" t="n">
        <f aca="false">M8840*Assumptions!$E$19*Assumptions!$E$34</f>
        <v>215.367936</v>
      </c>
      <c r="N8858" s="48" t="n">
        <f aca="false">N8840*Assumptions!$E$19*Assumptions!$E$34</f>
        <v>215.367936</v>
      </c>
      <c r="P8858" s="49"/>
      <c r="Q8858" s="49"/>
      <c r="R8858" s="49"/>
      <c r="S8858" s="50"/>
    </row>
    <row r="8859" customFormat="false" ht="15" hidden="false" customHeight="false" outlineLevel="0" collapsed="false">
      <c r="A8859" s="4" t="s">
        <v>512</v>
      </c>
      <c r="B8859" s="36" t="s">
        <v>77</v>
      </c>
      <c r="C8859" s="51" t="n">
        <f aca="false">IFERROR(C8856/(C8856+C8857+C8858),0)</f>
        <v>0.631590736245533</v>
      </c>
      <c r="D8859" s="51" t="n">
        <f aca="false">IFERROR(D8856/(D8856+D8857+D8858),0)</f>
        <v>0.631590736245533</v>
      </c>
      <c r="E8859" s="51" t="n">
        <f aca="false">IFERROR(E8856/(E8856+E8857+E8858),0)</f>
        <v>0.631590736245533</v>
      </c>
      <c r="F8859" s="51" t="n">
        <f aca="false">IFERROR(F8856/(F8856+F8857+F8858),0)</f>
        <v>0.631590736245533</v>
      </c>
      <c r="G8859" s="51" t="n">
        <f aca="false">IFERROR(G8856/(G8856+G8857+G8858),0)</f>
        <v>0.638332506498128</v>
      </c>
      <c r="H8859" s="51" t="n">
        <f aca="false">IFERROR(H8856/(H8856+H8857+H8858),0)</f>
        <v>0.642303318118984</v>
      </c>
      <c r="I8859" s="51" t="n">
        <f aca="false">IFERROR(I8856/(I8856+I8857+I8858),0)</f>
        <v>0.657538025405288</v>
      </c>
      <c r="J8859" s="51" t="n">
        <f aca="false">IFERROR(J8856/(J8856+J8857+J8858),0)</f>
        <v>0.664058061428891</v>
      </c>
      <c r="K8859" s="51" t="n">
        <f aca="false">IFERROR(K8856/(K8856+K8857+K8858),0)</f>
        <v>0.664058061428891</v>
      </c>
      <c r="L8859" s="51" t="n">
        <f aca="false">IFERROR(L8856/(L8856+L8857+L8858),0)</f>
        <v>0.664058061428891</v>
      </c>
      <c r="M8859" s="51" t="n">
        <f aca="false">IFERROR(M8856/(M8856+M8857+M8858),0)</f>
        <v>0.664058061428891</v>
      </c>
      <c r="N8859" s="51" t="n">
        <f aca="false">IFERROR(N8856/(N8856+N8857+N8858),0)</f>
        <v>0.664058061428891</v>
      </c>
      <c r="P8859" s="52"/>
      <c r="Q8859" s="52"/>
      <c r="R8859" s="52"/>
      <c r="S8859" s="53"/>
    </row>
    <row r="8860" customFormat="false" ht="15" hidden="false" customHeight="false" outlineLevel="0" collapsed="false">
      <c r="A8860" s="4" t="s">
        <v>513</v>
      </c>
      <c r="B8860" s="36" t="s">
        <v>77</v>
      </c>
      <c r="C8860" s="51" t="n">
        <f aca="false">IFERROR(C8857/(C8856+C8857+C8858),0)</f>
        <v>0.316449102482628</v>
      </c>
      <c r="D8860" s="51" t="n">
        <f aca="false">IFERROR(D8857/(D8856+D8857+D8858),0)</f>
        <v>0.316449102482628</v>
      </c>
      <c r="E8860" s="51" t="n">
        <f aca="false">IFERROR(E8857/(E8856+E8857+E8858),0)</f>
        <v>0.316449102482628</v>
      </c>
      <c r="F8860" s="51" t="n">
        <f aca="false">IFERROR(F8857/(F8856+F8857+F8858),0)</f>
        <v>0.316449102482628</v>
      </c>
      <c r="G8860" s="51" t="n">
        <f aca="false">IFERROR(G8857/(G8856+G8857+G8858),0)</f>
        <v>0.313517566939561</v>
      </c>
      <c r="H8860" s="51" t="n">
        <f aca="false">IFERROR(H8857/(H8856+H8857+H8858),0)</f>
        <v>0.311790932099567</v>
      </c>
      <c r="I8860" s="51" t="n">
        <f aca="false">IFERROR(I8857/(I8856+I8857+I8858),0)</f>
        <v>0.300221741111391</v>
      </c>
      <c r="J8860" s="51" t="n">
        <f aca="false">IFERROR(J8857/(J8856+J8857+J8858),0)</f>
        <v>0.295270445324128</v>
      </c>
      <c r="K8860" s="51" t="n">
        <f aca="false">IFERROR(K8857/(K8856+K8857+K8858),0)</f>
        <v>0.295270445324128</v>
      </c>
      <c r="L8860" s="51" t="n">
        <f aca="false">IFERROR(L8857/(L8856+L8857+L8858),0)</f>
        <v>0.295270445324128</v>
      </c>
      <c r="M8860" s="51" t="n">
        <f aca="false">IFERROR(M8857/(M8856+M8857+M8858),0)</f>
        <v>0.295270445324128</v>
      </c>
      <c r="N8860" s="51" t="n">
        <f aca="false">IFERROR(N8857/(N8856+N8857+N8858),0)</f>
        <v>0.295270445324128</v>
      </c>
      <c r="P8860" s="52"/>
      <c r="Q8860" s="52"/>
      <c r="R8860" s="52"/>
      <c r="S8860" s="53"/>
    </row>
    <row r="8861" customFormat="false" ht="15" hidden="false" customHeight="false" outlineLevel="0" collapsed="false">
      <c r="A8861" s="4" t="s">
        <v>514</v>
      </c>
      <c r="B8861" s="36" t="s">
        <v>77</v>
      </c>
      <c r="C8861" s="51" t="n">
        <f aca="false">IFERROR(C8858/(C8856+C8857+C8858),0)</f>
        <v>0.0519601612718389</v>
      </c>
      <c r="D8861" s="51" t="n">
        <f aca="false">IFERROR(D8858/(D8856+D8857+D8858),0)</f>
        <v>0.0519601612718389</v>
      </c>
      <c r="E8861" s="51" t="n">
        <f aca="false">IFERROR(E8858/(E8856+E8857+E8858),0)</f>
        <v>0.0519601612718389</v>
      </c>
      <c r="F8861" s="51" t="n">
        <f aca="false">IFERROR(F8858/(F8856+F8857+F8858),0)</f>
        <v>0.0519601612718389</v>
      </c>
      <c r="G8861" s="51" t="n">
        <f aca="false">IFERROR(G8858/(G8856+G8857+G8858),0)</f>
        <v>0.0481499265623113</v>
      </c>
      <c r="H8861" s="51" t="n">
        <f aca="false">IFERROR(H8858/(H8856+H8857+H8858),0)</f>
        <v>0.0459057497814491</v>
      </c>
      <c r="I8861" s="51" t="n">
        <f aca="false">IFERROR(I8858/(I8856+I8857+I8858),0)</f>
        <v>0.0422402334833216</v>
      </c>
      <c r="J8861" s="51" t="n">
        <f aca="false">IFERROR(J8858/(J8856+J8857+J8858),0)</f>
        <v>0.0406714932469811</v>
      </c>
      <c r="K8861" s="51" t="n">
        <f aca="false">IFERROR(K8858/(K8856+K8857+K8858),0)</f>
        <v>0.0406714932469811</v>
      </c>
      <c r="L8861" s="51" t="n">
        <f aca="false">IFERROR(L8858/(L8856+L8857+L8858),0)</f>
        <v>0.0406714932469811</v>
      </c>
      <c r="M8861" s="51" t="n">
        <f aca="false">IFERROR(M8858/(M8856+M8857+M8858),0)</f>
        <v>0.0406714932469811</v>
      </c>
      <c r="N8861" s="51" t="n">
        <f aca="false">IFERROR(N8858/(N8856+N8857+N8858),0)</f>
        <v>0.0406714932469811</v>
      </c>
      <c r="P8861" s="52"/>
      <c r="Q8861" s="52"/>
      <c r="R8861" s="52"/>
      <c r="S8861" s="53"/>
    </row>
    <row r="8862" customFormat="false" ht="15" hidden="false" customHeight="false" outlineLevel="0" collapsed="false">
      <c r="A8862" s="4" t="s">
        <v>515</v>
      </c>
      <c r="B8862" s="36" t="s">
        <v>516</v>
      </c>
      <c r="C8862" s="48" t="n">
        <f aca="false">IF(C8830-Assumptions!$E$35&lt;1,0,INDEX($C$8855:$N$8855,1,C8830-Assumptions!$E$35)*INDEX($C$8859:$N$8859,1,C8830-Assumptions!$E$35)*0.21)</f>
        <v>0</v>
      </c>
      <c r="D8862" s="48" t="n">
        <f aca="false">IF(D8830-Assumptions!$E$35&lt;1,0,INDEX($C$8855:$N$8855,1,D8830-Assumptions!$E$35)*INDEX($C$8859:$N$8859,1,D8830-Assumptions!$E$35)*0.21)</f>
        <v>0.866376445183821</v>
      </c>
      <c r="E8862" s="48" t="n">
        <f aca="false">IF(E8830-Assumptions!$E$35&lt;1,0,INDEX($C$8855:$N$8855,1,E8830-Assumptions!$E$35)*INDEX($C$8859:$N$8859,1,E8830-Assumptions!$E$35)*0.21)</f>
        <v>1.4850370503084</v>
      </c>
      <c r="F8862" s="48" t="n">
        <f aca="false">IF(F8830-Assumptions!$E$35&lt;1,0,INDEX($C$8855:$N$8855,1,F8830-Assumptions!$E$35)*INDEX($C$8859:$N$8859,1,F8830-Assumptions!$E$35)*0.21)</f>
        <v>1.63860741134595</v>
      </c>
      <c r="G8862" s="48" t="n">
        <f aca="false">IF(G8830-Assumptions!$E$35&lt;1,0,INDEX($C$8855:$N$8855,1,G8830-Assumptions!$E$35)*INDEX($C$8859:$N$8859,1,G8830-Assumptions!$E$35)*0.21)</f>
        <v>1.79532697390301</v>
      </c>
      <c r="H8862" s="48" t="n">
        <f aca="false">IF(H8830-Assumptions!$E$35&lt;1,0,INDEX($C$8855:$N$8855,1,H8830-Assumptions!$E$35)*INDEX($C$8859:$N$8859,1,H8830-Assumptions!$E$35)*0.21)</f>
        <v>2.31019678172994</v>
      </c>
      <c r="I8862" s="48" t="n">
        <f aca="false">IF(I8830-Assumptions!$E$35&lt;1,0,INDEX($C$8855:$N$8855,1,I8830-Assumptions!$E$35)*INDEX($C$8859:$N$8859,1,I8830-Assumptions!$E$35)*0.21)</f>
        <v>2.79111066507864</v>
      </c>
      <c r="J8862" s="48" t="n">
        <f aca="false">IF(J8830-Assumptions!$E$35&lt;1,0,INDEX($C$8855:$N$8855,1,J8830-Assumptions!$E$35)*INDEX($C$8859:$N$8859,1,J8830-Assumptions!$E$35)*0.21)</f>
        <v>4.1306930875438</v>
      </c>
      <c r="K8862" s="48" t="n">
        <f aca="false">IF(K8830-Assumptions!$E$35&lt;1,0,INDEX($C$8855:$N$8855,1,K8830-Assumptions!$E$35)*INDEX($C$8859:$N$8859,1,K8830-Assumptions!$E$35)*0.21)</f>
        <v>5.34315863355258</v>
      </c>
      <c r="L8862" s="48" t="n">
        <f aca="false">IF(L8830-Assumptions!$E$35&lt;1,0,INDEX($C$8855:$N$8855,1,L8830-Assumptions!$E$35)*INDEX($C$8859:$N$8859,1,L8830-Assumptions!$E$35)*0.21)</f>
        <v>5.38112462159553</v>
      </c>
      <c r="M8862" s="48" t="n">
        <f aca="false">IF(M8830-Assumptions!$E$35&lt;1,0,INDEX($C$8855:$N$8855,1,M8830-Assumptions!$E$35)*INDEX($C$8859:$N$8859,1,M8830-Assumptions!$E$35)*0.21)</f>
        <v>5.22179362206104</v>
      </c>
      <c r="N8862" s="48" t="n">
        <f aca="false">IF(N8830-Assumptions!$E$35&lt;1,0,INDEX($C$8855:$N$8855,1,N8830-Assumptions!$E$35)*INDEX($C$8859:$N$8859,1,N8830-Assumptions!$E$35)*0.21)</f>
        <v>5.07351941968866</v>
      </c>
      <c r="P8862" s="49" t="n">
        <f aca="false">SUM(C8862:F8862)</f>
        <v>3.99002090683817</v>
      </c>
      <c r="Q8862" s="49" t="n">
        <f aca="false">SUM(G8862:J8862)</f>
        <v>11.0273275082554</v>
      </c>
      <c r="R8862" s="49" t="n">
        <f aca="false">SUM(K8862:N8862)</f>
        <v>21.0195962968978</v>
      </c>
      <c r="S8862" s="50" t="n">
        <f aca="false">SUM(P8862:R8862)</f>
        <v>36.0369447119914</v>
      </c>
    </row>
    <row r="8863" customFormat="false" ht="15" hidden="false" customHeight="false" outlineLevel="0" collapsed="false">
      <c r="A8863" s="4" t="s">
        <v>517</v>
      </c>
      <c r="B8863" s="36" t="s">
        <v>516</v>
      </c>
      <c r="C8863" s="48" t="n">
        <f aca="false">IF(C8830-Assumptions!$E$35&lt;1,0,INDEX($C$8855:$N$8855,1,C8830-Assumptions!$E$35)*INDEX($C$8860:$N$8860,1,C8830-Assumptions!$E$35)*0.21)</f>
        <v>0</v>
      </c>
      <c r="D8863" s="48" t="n">
        <f aca="false">IF(D8830-Assumptions!$E$35&lt;1,0,INDEX($C$8855:$N$8855,1,D8830-Assumptions!$E$35)*INDEX($C$8860:$N$8860,1,D8830-Assumptions!$E$35)*0.21)</f>
        <v>0.434084974267145</v>
      </c>
      <c r="E8863" s="48" t="n">
        <f aca="false">IF(E8830-Assumptions!$E$35&lt;1,0,INDEX($C$8855:$N$8855,1,E8830-Assumptions!$E$35)*INDEX($C$8860:$N$8860,1,E8830-Assumptions!$E$35)*0.21)</f>
        <v>0.744055627726705</v>
      </c>
      <c r="F8863" s="48" t="n">
        <f aca="false">IF(F8830-Assumptions!$E$35&lt;1,0,INDEX($C$8855:$N$8855,1,F8830-Assumptions!$E$35)*INDEX($C$8860:$N$8860,1,F8830-Assumptions!$E$35)*0.21)</f>
        <v>0.820999762796119</v>
      </c>
      <c r="G8863" s="48" t="n">
        <f aca="false">IF(G8830-Assumptions!$E$35&lt;1,0,INDEX($C$8855:$N$8855,1,G8830-Assumptions!$E$35)*INDEX($C$8860:$N$8860,1,G8830-Assumptions!$E$35)*0.21)</f>
        <v>0.89952175823807</v>
      </c>
      <c r="H8863" s="48" t="n">
        <f aca="false">IF(H8830-Assumptions!$E$35&lt;1,0,INDEX($C$8855:$N$8855,1,H8830-Assumptions!$E$35)*INDEX($C$8860:$N$8860,1,H8830-Assumptions!$E$35)*0.21)</f>
        <v>1.13465516292283</v>
      </c>
      <c r="I8863" s="48" t="n">
        <f aca="false">IF(I8830-Assumptions!$E$35&lt;1,0,INDEX($C$8855:$N$8855,1,I8830-Assumptions!$E$35)*INDEX($C$8860:$N$8860,1,I8830-Assumptions!$E$35)*0.21)</f>
        <v>1.35487856174628</v>
      </c>
      <c r="J8863" s="48" t="n">
        <f aca="false">IF(J8830-Assumptions!$E$35&lt;1,0,INDEX($C$8855:$N$8855,1,J8830-Assumptions!$E$35)*INDEX($C$8860:$N$8860,1,J8830-Assumptions!$E$35)*0.21)</f>
        <v>1.88601088123353</v>
      </c>
      <c r="K8863" s="48" t="n">
        <f aca="false">IF(K8830-Assumptions!$E$35&lt;1,0,INDEX($C$8855:$N$8855,1,K8830-Assumptions!$E$35)*INDEX($C$8860:$N$8860,1,K8830-Assumptions!$E$35)*0.21)</f>
        <v>2.37581157552964</v>
      </c>
      <c r="L8863" s="48" t="n">
        <f aca="false">IF(L8830-Assumptions!$E$35&lt;1,0,INDEX($C$8855:$N$8855,1,L8830-Assumptions!$E$35)*INDEX($C$8860:$N$8860,1,L8830-Assumptions!$E$35)*0.21)</f>
        <v>2.3926929822134</v>
      </c>
      <c r="M8863" s="48" t="n">
        <f aca="false">IF(M8830-Assumptions!$E$35&lt;1,0,INDEX($C$8855:$N$8855,1,M8830-Assumptions!$E$35)*INDEX($C$8860:$N$8860,1,M8830-Assumptions!$E$35)*0.21)</f>
        <v>2.32184716628391</v>
      </c>
      <c r="N8863" s="48" t="n">
        <f aca="false">IF(N8830-Assumptions!$E$35&lt;1,0,INDEX($C$8855:$N$8855,1,N8830-Assumptions!$E$35)*INDEX($C$8860:$N$8860,1,N8830-Assumptions!$E$35)*0.21)</f>
        <v>2.25591770573287</v>
      </c>
      <c r="P8863" s="49" t="n">
        <f aca="false">SUM(C8863:F8863)</f>
        <v>1.99914036478997</v>
      </c>
      <c r="Q8863" s="49" t="n">
        <f aca="false">SUM(G8863:J8863)</f>
        <v>5.27506636414072</v>
      </c>
      <c r="R8863" s="49" t="n">
        <f aca="false">SUM(K8863:N8863)</f>
        <v>9.34626942975982</v>
      </c>
      <c r="S8863" s="50" t="n">
        <f aca="false">SUM(P8863:R8863)</f>
        <v>16.6204761586905</v>
      </c>
    </row>
    <row r="8864" customFormat="false" ht="15" hidden="false" customHeight="false" outlineLevel="0" collapsed="false">
      <c r="A8864" s="4" t="s">
        <v>518</v>
      </c>
      <c r="B8864" s="36" t="s">
        <v>516</v>
      </c>
      <c r="C8864" s="48" t="n">
        <f aca="false">IF(C8830-Assumptions!$E$36&lt;1,0,INDEX($C$8855:$N$8855,1,C8830-Assumptions!$E$36)*INDEX($C$8861:$N$8861,1,C8830-Assumptions!$E$36)*0.21)</f>
        <v>0</v>
      </c>
      <c r="D8864" s="48" t="n">
        <f aca="false">IF(D8830-Assumptions!$E$36&lt;1,0,INDEX($C$8855:$N$8855,1,D8830-Assumptions!$E$36)*INDEX($C$8861:$N$8861,1,D8830-Assumptions!$E$36)*0.21)</f>
        <v>0</v>
      </c>
      <c r="E8864" s="48" t="n">
        <f aca="false">IF(E8830-Assumptions!$E$36&lt;1,0,INDEX($C$8855:$N$8855,1,E8830-Assumptions!$E$36)*INDEX($C$8861:$N$8861,1,E8830-Assumptions!$E$36)*0.21)</f>
        <v>0.071275680959914</v>
      </c>
      <c r="F8864" s="48" t="n">
        <f aca="false">IF(F8830-Assumptions!$E$36&lt;1,0,INDEX($C$8855:$N$8855,1,F8830-Assumptions!$E$36)*INDEX($C$8861:$N$8861,1,F8830-Assumptions!$E$36)*0.21)</f>
        <v>0.122172096898336</v>
      </c>
      <c r="G8864" s="48" t="n">
        <f aca="false">IF(G8830-Assumptions!$E$36&lt;1,0,INDEX($C$8855:$N$8855,1,G8830-Assumptions!$E$36)*INDEX($C$8861:$N$8861,1,G8830-Assumptions!$E$36)*0.21)</f>
        <v>0.134806133891215</v>
      </c>
      <c r="H8864" s="48" t="n">
        <f aca="false">IF(H8830-Assumptions!$E$36&lt;1,0,INDEX($C$8855:$N$8855,1,H8830-Assumptions!$E$36)*INDEX($C$8861:$N$8861,1,H8830-Assumptions!$E$36)*0.21)</f>
        <v>0.147699251661313</v>
      </c>
      <c r="I8864" s="48" t="n">
        <f aca="false">IF(I8830-Assumptions!$E$36&lt;1,0,INDEX($C$8855:$N$8855,1,I8830-Assumptions!$E$36)*INDEX($C$8861:$N$8861,1,I8830-Assumptions!$E$36)*0.21)</f>
        <v>0.174259973058587</v>
      </c>
      <c r="J8864" s="48" t="n">
        <f aca="false">IF(J8830-Assumptions!$E$36&lt;1,0,INDEX($C$8855:$N$8855,1,J8830-Assumptions!$E$36)*INDEX($C$8861:$N$8861,1,J8830-Assumptions!$E$36)*0.21)</f>
        <v>0.19948212034567</v>
      </c>
      <c r="K8864" s="48" t="n">
        <f aca="false">IF(K8830-Assumptions!$E$36&lt;1,0,INDEX($C$8855:$N$8855,1,K8830-Assumptions!$E$36)*INDEX($C$8861:$N$8861,1,K8830-Assumptions!$E$36)*0.21)</f>
        <v>0.265355665717199</v>
      </c>
      <c r="L8864" s="48" t="n">
        <f aca="false">IF(L8830-Assumptions!$E$36&lt;1,0,INDEX($C$8855:$N$8855,1,L8830-Assumptions!$E$36)*INDEX($C$8861:$N$8861,1,L8830-Assumptions!$E$36)*0.21)</f>
        <v>0.327251866823927</v>
      </c>
      <c r="M8864" s="48" t="n">
        <f aca="false">IF(M8830-Assumptions!$E$36&lt;1,0,INDEX($C$8855:$N$8855,1,M8830-Assumptions!$E$36)*INDEX($C$8861:$N$8861,1,M8830-Assumptions!$E$36)*0.21)</f>
        <v>0.329577165643402</v>
      </c>
      <c r="N8864" s="48" t="n">
        <f aca="false">IF(N8830-Assumptions!$E$36&lt;1,0,INDEX($C$8855:$N$8855,1,N8830-Assumptions!$E$36)*INDEX($C$8861:$N$8861,1,N8830-Assumptions!$E$36)*0.21)</f>
        <v>0.319818636912259</v>
      </c>
      <c r="P8864" s="49" t="n">
        <f aca="false">SUM(C8864:F8864)</f>
        <v>0.19344777785825</v>
      </c>
      <c r="Q8864" s="49" t="n">
        <f aca="false">SUM(G8864:J8864)</f>
        <v>0.656247478956785</v>
      </c>
      <c r="R8864" s="49" t="n">
        <f aca="false">SUM(K8864:N8864)</f>
        <v>1.24200333509679</v>
      </c>
      <c r="S8864" s="50" t="n">
        <f aca="false">SUM(P8864:R8864)</f>
        <v>2.09169859191182</v>
      </c>
    </row>
    <row r="8865" customFormat="false" ht="15" hidden="false" customHeight="false" outlineLevel="0" collapsed="false">
      <c r="A8865" s="4" t="s">
        <v>519</v>
      </c>
      <c r="B8865" s="36" t="s">
        <v>77</v>
      </c>
      <c r="C8865" s="51" t="n">
        <f aca="false">IF(C8830-Assumptions!$E$35&lt;1,0,IFERROR(INDEX($C$8854:$N$8854,1,C8830-Assumptions!$E$35)/INDEX($C$8855:$N$8855,1,C8830-Assumptions!$E$35),0))</f>
        <v>0</v>
      </c>
      <c r="D8865" s="51" t="n">
        <f aca="false">IF(D8830-Assumptions!$E$35&lt;1,0,IFERROR(INDEX($C$8854:$N$8854,1,D8830-Assumptions!$E$35)/INDEX($C$8855:$N$8855,1,D8830-Assumptions!$E$35),0))</f>
        <v>0.459271678087073</v>
      </c>
      <c r="E8865" s="51" t="n">
        <f aca="false">IF(E8830-Assumptions!$E$35&lt;1,0,IFERROR(INDEX($C$8854:$N$8854,1,E8830-Assumptions!$E$35)/INDEX($C$8855:$N$8855,1,E8830-Assumptions!$E$35),0))</f>
        <v>0.401911350042128</v>
      </c>
      <c r="F8865" s="51" t="n">
        <f aca="false">IF(F8830-Assumptions!$E$35&lt;1,0,IFERROR(INDEX($C$8854:$N$8854,1,F8830-Assumptions!$E$35)/INDEX($C$8855:$N$8855,1,F8830-Assumptions!$E$35),0))</f>
        <v>0.485658933408398</v>
      </c>
      <c r="G8865" s="51" t="n">
        <f aca="false">IF(G8830-Assumptions!$E$35&lt;1,0,IFERROR(INDEX($C$8854:$N$8854,1,G8830-Assumptions!$E$35)/INDEX($C$8855:$N$8855,1,G8830-Assumptions!$E$35),0))</f>
        <v>0.554080356417826</v>
      </c>
      <c r="H8865" s="51" t="n">
        <f aca="false">IF(H8830-Assumptions!$E$35&lt;1,0,IFERROR(INDEX($C$8854:$N$8854,1,H8830-Assumptions!$E$35)/INDEX($C$8855:$N$8855,1,H8830-Assumptions!$E$35),0))</f>
        <v>0.522227563825987</v>
      </c>
      <c r="I8865" s="51" t="n">
        <f aca="false">IF(I8830-Assumptions!$E$35&lt;1,0,IFERROR(INDEX($C$8854:$N$8854,1,I8830-Assumptions!$E$35)/INDEX($C$8855:$N$8855,1,I8830-Assumptions!$E$35),0))</f>
        <v>0.507424816282752</v>
      </c>
      <c r="J8865" s="51" t="n">
        <f aca="false">IF(J8830-Assumptions!$E$35&lt;1,0,IFERROR(INDEX($C$8854:$N$8854,1,J8830-Assumptions!$E$35)/INDEX($C$8855:$N$8855,1,J8830-Assumptions!$E$35),0))</f>
        <v>0.401142323795015</v>
      </c>
      <c r="K8865" s="51" t="n">
        <f aca="false">IF(K8830-Assumptions!$E$35&lt;1,0,IFERROR(INDEX($C$8854:$N$8854,1,K8830-Assumptions!$E$35)/INDEX($C$8855:$N$8855,1,K8830-Assumptions!$E$35),0))</f>
        <v>0.352339268448632</v>
      </c>
      <c r="L8865" s="51" t="n">
        <f aca="false">IF(L8830-Assumptions!$E$35&lt;1,0,IFERROR(INDEX($C$8854:$N$8854,1,L8830-Assumptions!$E$35)/INDEX($C$8855:$N$8855,1,L8830-Assumptions!$E$35),0))</f>
        <v>0.388725970981282</v>
      </c>
      <c r="M8865" s="51" t="n">
        <f aca="false">IF(M8830-Assumptions!$E$35&lt;1,0,IFERROR(INDEX($C$8854:$N$8854,1,M8830-Assumptions!$E$35)/INDEX($C$8855:$N$8855,1,M8830-Assumptions!$E$35),0))</f>
        <v>0.400587048224893</v>
      </c>
      <c r="N8865" s="51" t="n">
        <f aca="false">IF(N8830-Assumptions!$E$35&lt;1,0,IFERROR(INDEX($C$8854:$N$8854,1,N8830-Assumptions!$E$35)/INDEX($C$8855:$N$8855,1,N8830-Assumptions!$E$35),0))</f>
        <v>0.412294251872474</v>
      </c>
      <c r="P8865" s="52"/>
      <c r="Q8865" s="52"/>
      <c r="R8865" s="52"/>
      <c r="S8865" s="53"/>
    </row>
    <row r="8866" customFormat="false" ht="15" hidden="false" customHeight="false" outlineLevel="0" collapsed="false">
      <c r="A8866" s="4" t="s">
        <v>520</v>
      </c>
      <c r="B8866" s="36" t="s">
        <v>516</v>
      </c>
      <c r="C8866" s="48" t="n">
        <f aca="false">C8862*Assumptions!$E$37</f>
        <v>0</v>
      </c>
      <c r="D8866" s="48" t="n">
        <f aca="false">D8862*Assumptions!$E$37</f>
        <v>0.259912933555146</v>
      </c>
      <c r="E8866" s="48" t="n">
        <f aca="false">E8862*Assumptions!$E$37</f>
        <v>0.44551111509252</v>
      </c>
      <c r="F8866" s="48" t="n">
        <f aca="false">F8862*Assumptions!$E$37</f>
        <v>0.491582223403786</v>
      </c>
      <c r="G8866" s="48" t="n">
        <f aca="false">G8862*Assumptions!$E$37</f>
        <v>0.538598092170902</v>
      </c>
      <c r="H8866" s="48" t="n">
        <f aca="false">H8862*Assumptions!$E$37</f>
        <v>0.693059034518982</v>
      </c>
      <c r="I8866" s="48" t="n">
        <f aca="false">I8862*Assumptions!$E$37</f>
        <v>0.837333199523593</v>
      </c>
      <c r="J8866" s="48" t="n">
        <f aca="false">J8862*Assumptions!$E$37</f>
        <v>1.23920792626314</v>
      </c>
      <c r="K8866" s="48" t="n">
        <f aca="false">K8862*Assumptions!$E$37</f>
        <v>1.60294759006577</v>
      </c>
      <c r="L8866" s="48" t="n">
        <f aca="false">L8862*Assumptions!$E$37</f>
        <v>1.61433738647866</v>
      </c>
      <c r="M8866" s="48" t="n">
        <f aca="false">M8862*Assumptions!$E$37</f>
        <v>1.56653808661831</v>
      </c>
      <c r="N8866" s="48" t="n">
        <f aca="false">N8862*Assumptions!$E$37</f>
        <v>1.5220558259066</v>
      </c>
      <c r="P8866" s="49" t="n">
        <f aca="false">SUM(C8866:F8866)</f>
        <v>1.19700627205145</v>
      </c>
      <c r="Q8866" s="49" t="n">
        <f aca="false">SUM(G8866:J8866)</f>
        <v>3.30819825247662</v>
      </c>
      <c r="R8866" s="49" t="n">
        <f aca="false">SUM(K8866:N8866)</f>
        <v>6.30587888906934</v>
      </c>
      <c r="S8866" s="50" t="n">
        <f aca="false">SUM(P8866:R8866)</f>
        <v>10.8110834135974</v>
      </c>
    </row>
    <row r="8867" customFormat="false" ht="15" hidden="false" customHeight="false" outlineLevel="0" collapsed="false">
      <c r="A8867" s="4" t="s">
        <v>521</v>
      </c>
      <c r="B8867" s="36" t="s">
        <v>516</v>
      </c>
      <c r="C8867" s="48" t="n">
        <f aca="false">C8862*(1-Assumptions!$E$37)</f>
        <v>0</v>
      </c>
      <c r="D8867" s="48" t="n">
        <f aca="false">D8862*(1-Assumptions!$E$37)</f>
        <v>0.606463511628675</v>
      </c>
      <c r="E8867" s="48" t="n">
        <f aca="false">E8862*(1-Assumptions!$E$37)</f>
        <v>1.03952593521588</v>
      </c>
      <c r="F8867" s="48" t="n">
        <f aca="false">F8862*(1-Assumptions!$E$37)</f>
        <v>1.14702518794217</v>
      </c>
      <c r="G8867" s="48" t="n">
        <f aca="false">G8862*(1-Assumptions!$E$37)</f>
        <v>1.25672888173211</v>
      </c>
      <c r="H8867" s="48" t="n">
        <f aca="false">H8862*(1-Assumptions!$E$37)</f>
        <v>1.61713774721096</v>
      </c>
      <c r="I8867" s="48" t="n">
        <f aca="false">I8862*(1-Assumptions!$E$37)</f>
        <v>1.95377746555505</v>
      </c>
      <c r="J8867" s="48" t="n">
        <f aca="false">J8862*(1-Assumptions!$E$37)</f>
        <v>2.89148516128066</v>
      </c>
      <c r="K8867" s="48" t="n">
        <f aca="false">K8862*(1-Assumptions!$E$37)</f>
        <v>3.7402110434868</v>
      </c>
      <c r="L8867" s="48" t="n">
        <f aca="false">L8862*(1-Assumptions!$E$37)</f>
        <v>3.76678723511687</v>
      </c>
      <c r="M8867" s="48" t="n">
        <f aca="false">M8862*(1-Assumptions!$E$37)</f>
        <v>3.65525553544273</v>
      </c>
      <c r="N8867" s="48" t="n">
        <f aca="false">N8862*(1-Assumptions!$E$37)</f>
        <v>3.55146359378206</v>
      </c>
      <c r="P8867" s="49" t="n">
        <f aca="false">SUM(C8867:F8867)</f>
        <v>2.79301463478672</v>
      </c>
      <c r="Q8867" s="49" t="n">
        <f aca="false">SUM(G8867:J8867)</f>
        <v>7.71912925577877</v>
      </c>
      <c r="R8867" s="49" t="n">
        <f aca="false">SUM(K8867:N8867)</f>
        <v>14.7137174078285</v>
      </c>
      <c r="S8867" s="50" t="n">
        <f aca="false">SUM(P8867:R8867)</f>
        <v>25.225861298394</v>
      </c>
    </row>
    <row r="8868" customFormat="false" ht="15" hidden="false" customHeight="false" outlineLevel="0" collapsed="false">
      <c r="A8868" s="4" t="s">
        <v>522</v>
      </c>
      <c r="B8868" s="36" t="s">
        <v>125</v>
      </c>
      <c r="C8868" s="54" t="n">
        <f aca="false">C8867*$C$8821+C8863*$C$8822+C8864*$C$8823</f>
        <v>0</v>
      </c>
      <c r="D8868" s="54" t="n">
        <f aca="false">D8867*$C$8821+D8863*$C$8822+D8864*$C$8823</f>
        <v>7485.37917000042</v>
      </c>
      <c r="E8868" s="54" t="n">
        <f aca="false">E8867*$C$8821+E8863*$C$8822+E8864*$C$8823</f>
        <v>17233.8131620616</v>
      </c>
      <c r="F8868" s="54" t="n">
        <f aca="false">F8867*$C$8821+F8863*$C$8822+F8864*$C$8823</f>
        <v>21704.9328199195</v>
      </c>
      <c r="G8868" s="54" t="n">
        <f aca="false">G8867*$C$8821+G8863*$C$8822+G8864*$C$8823</f>
        <v>23839.4781169478</v>
      </c>
      <c r="H8868" s="54" t="n">
        <f aca="false">H8867*$C$8821+H8863*$C$8822+H8864*$C$8823</f>
        <v>28861.3828545359</v>
      </c>
      <c r="I8868" s="54" t="n">
        <f aca="false">I8867*$C$8821+I8863*$C$8822+I8864*$C$8823</f>
        <v>34454.8139810786</v>
      </c>
      <c r="J8868" s="54" t="n">
        <f aca="false">J8867*$C$8821+J8863*$C$8822+J8864*$C$8823</f>
        <v>46219.0265618748</v>
      </c>
      <c r="K8868" s="54" t="n">
        <f aca="false">K8867*$C$8821+K8863*$C$8822+K8864*$C$8823</f>
        <v>59614.7065475457</v>
      </c>
      <c r="L8868" s="54" t="n">
        <f aca="false">L8867*$C$8821+L8863*$C$8822+L8864*$C$8823</f>
        <v>63745.6576705911</v>
      </c>
      <c r="M8868" s="54" t="n">
        <f aca="false">M8867*$C$8821+M8863*$C$8822+M8864*$C$8823</f>
        <v>62600.461663715</v>
      </c>
      <c r="N8868" s="54" t="n">
        <f aca="false">N8867*$C$8821+N8863*$C$8822+N8864*$C$8823</f>
        <v>60798.1877142281</v>
      </c>
      <c r="P8868" s="55" t="n">
        <f aca="false">SUM(C8868:F8868)</f>
        <v>46424.1251519815</v>
      </c>
      <c r="Q8868" s="55" t="n">
        <f aca="false">SUM(G8868:J8868)</f>
        <v>133374.701514437</v>
      </c>
      <c r="R8868" s="55" t="n">
        <f aca="false">SUM(K8868:N8868)</f>
        <v>246759.01359608</v>
      </c>
      <c r="S8868" s="56" t="n">
        <f aca="false">SUM(P8868:R8868)</f>
        <v>426557.840262498</v>
      </c>
    </row>
    <row r="8869" customFormat="false" ht="15" hidden="false" customHeight="false" outlineLevel="0" collapsed="false">
      <c r="A8869" s="4" t="s">
        <v>523</v>
      </c>
      <c r="B8869" s="36" t="s">
        <v>125</v>
      </c>
      <c r="C8869" s="54" t="n">
        <f aca="false">(C8845+Assumptions!$D$104*C8831)*$C$8826</f>
        <v>306250</v>
      </c>
      <c r="D8869" s="54" t="n">
        <f aca="false">(D8845+Assumptions!$D$104*D8831)*$C$8826</f>
        <v>306250</v>
      </c>
      <c r="E8869" s="54" t="n">
        <f aca="false">(E8845+Assumptions!$D$104*E8831)*$C$8826</f>
        <v>306250</v>
      </c>
      <c r="F8869" s="54" t="n">
        <f aca="false">(F8845+Assumptions!$D$104*F8831)*$C$8826</f>
        <v>306250</v>
      </c>
      <c r="G8869" s="54" t="n">
        <f aca="false">(G8845+Assumptions!$D$104*G8831)*$C$8826</f>
        <v>306250</v>
      </c>
      <c r="H8869" s="54" t="n">
        <f aca="false">(H8845+Assumptions!$D$104*H8831)*$C$8826</f>
        <v>306250</v>
      </c>
      <c r="I8869" s="54" t="n">
        <f aca="false">(I8845+Assumptions!$D$104*I8831)*$C$8826</f>
        <v>306250</v>
      </c>
      <c r="J8869" s="54" t="n">
        <f aca="false">(J8845+Assumptions!$D$104*J8831)*$C$8826</f>
        <v>306250</v>
      </c>
      <c r="K8869" s="54" t="n">
        <f aca="false">(K8845+Assumptions!$D$104*K8831)*$C$8826</f>
        <v>306250</v>
      </c>
      <c r="L8869" s="54" t="n">
        <f aca="false">(L8845+Assumptions!$D$104*L8831)*$C$8826</f>
        <v>306250</v>
      </c>
      <c r="M8869" s="54" t="n">
        <f aca="false">(M8845+Assumptions!$D$104*M8831)*$C$8826</f>
        <v>306250</v>
      </c>
      <c r="N8869" s="54" t="n">
        <f aca="false">(N8845+Assumptions!$D$104*N8831)*$C$8826</f>
        <v>306250</v>
      </c>
      <c r="P8869" s="55" t="n">
        <f aca="false">SUM(C8869:F8869)</f>
        <v>1225000</v>
      </c>
      <c r="Q8869" s="55" t="n">
        <f aca="false">SUM(G8869:J8869)</f>
        <v>1225000</v>
      </c>
      <c r="R8869" s="55" t="n">
        <f aca="false">SUM(K8869:N8869)</f>
        <v>1225000</v>
      </c>
      <c r="S8869" s="56" t="n">
        <f aca="false">SUM(P8869:R8869)</f>
        <v>3675000</v>
      </c>
    </row>
    <row r="8870" customFormat="false" ht="15" hidden="false" customHeight="false" outlineLevel="0" collapsed="false">
      <c r="A8870" s="4" t="s">
        <v>524</v>
      </c>
      <c r="B8870" s="36" t="s">
        <v>77</v>
      </c>
      <c r="C8870" s="51" t="n">
        <f aca="false">IF(C8868&gt;0,MIN(1,C8869/C8868),1)</f>
        <v>1</v>
      </c>
      <c r="D8870" s="51" t="n">
        <f aca="false">IF(D8868&gt;0,MIN(1,D8869/D8868),1)</f>
        <v>1</v>
      </c>
      <c r="E8870" s="51" t="n">
        <f aca="false">IF(E8868&gt;0,MIN(1,E8869/E8868),1)</f>
        <v>1</v>
      </c>
      <c r="F8870" s="51" t="n">
        <f aca="false">IF(F8868&gt;0,MIN(1,F8869/F8868),1)</f>
        <v>1</v>
      </c>
      <c r="G8870" s="51" t="n">
        <f aca="false">IF(G8868&gt;0,MIN(1,G8869/G8868),1)</f>
        <v>1</v>
      </c>
      <c r="H8870" s="51" t="n">
        <f aca="false">IF(H8868&gt;0,MIN(1,H8869/H8868),1)</f>
        <v>1</v>
      </c>
      <c r="I8870" s="51" t="n">
        <f aca="false">IF(I8868&gt;0,MIN(1,I8869/I8868),1)</f>
        <v>1</v>
      </c>
      <c r="J8870" s="51" t="n">
        <f aca="false">IF(J8868&gt;0,MIN(1,J8869/J8868),1)</f>
        <v>1</v>
      </c>
      <c r="K8870" s="51" t="n">
        <f aca="false">IF(K8868&gt;0,MIN(1,K8869/K8868),1)</f>
        <v>1</v>
      </c>
      <c r="L8870" s="51" t="n">
        <f aca="false">IF(L8868&gt;0,MIN(1,L8869/L8868),1)</f>
        <v>1</v>
      </c>
      <c r="M8870" s="51" t="n">
        <f aca="false">IF(M8868&gt;0,MIN(1,M8869/M8868),1)</f>
        <v>1</v>
      </c>
      <c r="N8870" s="51" t="n">
        <f aca="false">IF(N8868&gt;0,MIN(1,N8869/N8868),1)</f>
        <v>1</v>
      </c>
      <c r="P8870" s="52"/>
      <c r="Q8870" s="52"/>
      <c r="R8870" s="52"/>
      <c r="S8870" s="53"/>
    </row>
    <row r="8871" customFormat="false" ht="15" hidden="false" customHeight="false" outlineLevel="0" collapsed="false">
      <c r="A8871" s="4" t="s">
        <v>525</v>
      </c>
      <c r="B8871" s="36" t="s">
        <v>125</v>
      </c>
      <c r="C8871" s="54" t="n">
        <f aca="false">C8868*(1-C8870)</f>
        <v>0</v>
      </c>
      <c r="D8871" s="54" t="n">
        <f aca="false">D8868*(1-D8870)</f>
        <v>0</v>
      </c>
      <c r="E8871" s="54" t="n">
        <f aca="false">E8868*(1-E8870)</f>
        <v>0</v>
      </c>
      <c r="F8871" s="54" t="n">
        <f aca="false">F8868*(1-F8870)</f>
        <v>0</v>
      </c>
      <c r="G8871" s="54" t="n">
        <f aca="false">G8868*(1-G8870)</f>
        <v>0</v>
      </c>
      <c r="H8871" s="54" t="n">
        <f aca="false">H8868*(1-H8870)</f>
        <v>0</v>
      </c>
      <c r="I8871" s="54" t="n">
        <f aca="false">I8868*(1-I8870)</f>
        <v>0</v>
      </c>
      <c r="J8871" s="54" t="n">
        <f aca="false">J8868*(1-J8870)</f>
        <v>0</v>
      </c>
      <c r="K8871" s="54" t="n">
        <f aca="false">K8868*(1-K8870)</f>
        <v>0</v>
      </c>
      <c r="L8871" s="54" t="n">
        <f aca="false">L8868*(1-L8870)</f>
        <v>0</v>
      </c>
      <c r="M8871" s="54" t="n">
        <f aca="false">M8868*(1-M8870)</f>
        <v>0</v>
      </c>
      <c r="N8871" s="54" t="n">
        <f aca="false">N8868*(1-N8870)</f>
        <v>0</v>
      </c>
      <c r="P8871" s="55" t="n">
        <f aca="false">SUM(C8871:F8871)</f>
        <v>0</v>
      </c>
      <c r="Q8871" s="55" t="n">
        <f aca="false">SUM(G8871:J8871)</f>
        <v>0</v>
      </c>
      <c r="R8871" s="55" t="n">
        <f aca="false">SUM(K8871:N8871)</f>
        <v>0</v>
      </c>
      <c r="S8871" s="56" t="n">
        <f aca="false">SUM(P8871:R8871)</f>
        <v>0</v>
      </c>
    </row>
    <row r="8872" customFormat="false" ht="15" hidden="false" customHeight="false" outlineLevel="0" collapsed="false">
      <c r="A8872" s="4" t="s">
        <v>526</v>
      </c>
      <c r="B8872" s="36" t="s">
        <v>527</v>
      </c>
      <c r="C8872" s="48" t="n">
        <f aca="false">C8866+C8867*C8870</f>
        <v>0</v>
      </c>
      <c r="D8872" s="48" t="n">
        <f aca="false">D8866+D8867*D8870</f>
        <v>0.866376445183821</v>
      </c>
      <c r="E8872" s="48" t="n">
        <f aca="false">E8866+E8867*E8870</f>
        <v>1.4850370503084</v>
      </c>
      <c r="F8872" s="48" t="n">
        <f aca="false">F8866+F8867*F8870</f>
        <v>1.63860741134595</v>
      </c>
      <c r="G8872" s="48" t="n">
        <f aca="false">G8866+G8867*G8870</f>
        <v>1.79532697390301</v>
      </c>
      <c r="H8872" s="48" t="n">
        <f aca="false">H8866+H8867*H8870</f>
        <v>2.31019678172994</v>
      </c>
      <c r="I8872" s="48" t="n">
        <f aca="false">I8866+I8867*I8870</f>
        <v>2.79111066507864</v>
      </c>
      <c r="J8872" s="48" t="n">
        <f aca="false">J8866+J8867*J8870</f>
        <v>4.1306930875438</v>
      </c>
      <c r="K8872" s="48" t="n">
        <f aca="false">K8866+K8867*K8870</f>
        <v>5.34315863355258</v>
      </c>
      <c r="L8872" s="48" t="n">
        <f aca="false">L8866+L8867*L8870</f>
        <v>5.38112462159553</v>
      </c>
      <c r="M8872" s="48" t="n">
        <f aca="false">M8866+M8867*M8870</f>
        <v>5.22179362206104</v>
      </c>
      <c r="N8872" s="48" t="n">
        <f aca="false">N8866+N8867*N8870</f>
        <v>5.07351941968866</v>
      </c>
      <c r="P8872" s="49" t="n">
        <f aca="false">SUM(C8872:F8872)</f>
        <v>3.99002090683817</v>
      </c>
      <c r="Q8872" s="49" t="n">
        <f aca="false">SUM(G8872:J8872)</f>
        <v>11.0273275082554</v>
      </c>
      <c r="R8872" s="49" t="n">
        <f aca="false">SUM(K8872:N8872)</f>
        <v>21.0195962968978</v>
      </c>
      <c r="S8872" s="50" t="n">
        <f aca="false">SUM(P8872:R8872)</f>
        <v>36.0369447119914</v>
      </c>
    </row>
    <row r="8873" customFormat="false" ht="15" hidden="false" customHeight="false" outlineLevel="0" collapsed="false">
      <c r="A8873" s="4" t="s">
        <v>528</v>
      </c>
      <c r="B8873" s="36" t="s">
        <v>527</v>
      </c>
      <c r="C8873" s="48" t="n">
        <f aca="false">C8863*C8870</f>
        <v>0</v>
      </c>
      <c r="D8873" s="48" t="n">
        <f aca="false">D8863*D8870</f>
        <v>0.434084974267145</v>
      </c>
      <c r="E8873" s="48" t="n">
        <f aca="false">E8863*E8870</f>
        <v>0.744055627726705</v>
      </c>
      <c r="F8873" s="48" t="n">
        <f aca="false">F8863*F8870</f>
        <v>0.820999762796119</v>
      </c>
      <c r="G8873" s="48" t="n">
        <f aca="false">G8863*G8870</f>
        <v>0.89952175823807</v>
      </c>
      <c r="H8873" s="48" t="n">
        <f aca="false">H8863*H8870</f>
        <v>1.13465516292283</v>
      </c>
      <c r="I8873" s="48" t="n">
        <f aca="false">I8863*I8870</f>
        <v>1.35487856174628</v>
      </c>
      <c r="J8873" s="48" t="n">
        <f aca="false">J8863*J8870</f>
        <v>1.88601088123353</v>
      </c>
      <c r="K8873" s="48" t="n">
        <f aca="false">K8863*K8870</f>
        <v>2.37581157552964</v>
      </c>
      <c r="L8873" s="48" t="n">
        <f aca="false">L8863*L8870</f>
        <v>2.3926929822134</v>
      </c>
      <c r="M8873" s="48" t="n">
        <f aca="false">M8863*M8870</f>
        <v>2.32184716628391</v>
      </c>
      <c r="N8873" s="48" t="n">
        <f aca="false">N8863*N8870</f>
        <v>2.25591770573287</v>
      </c>
      <c r="P8873" s="49" t="n">
        <f aca="false">SUM(C8873:F8873)</f>
        <v>1.99914036478997</v>
      </c>
      <c r="Q8873" s="49" t="n">
        <f aca="false">SUM(G8873:J8873)</f>
        <v>5.27506636414072</v>
      </c>
      <c r="R8873" s="49" t="n">
        <f aca="false">SUM(K8873:N8873)</f>
        <v>9.34626942975982</v>
      </c>
      <c r="S8873" s="50" t="n">
        <f aca="false">SUM(P8873:R8873)</f>
        <v>16.6204761586905</v>
      </c>
    </row>
    <row r="8874" customFormat="false" ht="15" hidden="false" customHeight="false" outlineLevel="0" collapsed="false">
      <c r="A8874" s="4" t="s">
        <v>529</v>
      </c>
      <c r="B8874" s="36" t="s">
        <v>527</v>
      </c>
      <c r="C8874" s="48" t="n">
        <f aca="false">C8864*C8870</f>
        <v>0</v>
      </c>
      <c r="D8874" s="48" t="n">
        <f aca="false">D8864*D8870</f>
        <v>0</v>
      </c>
      <c r="E8874" s="48" t="n">
        <f aca="false">E8864*E8870</f>
        <v>0.071275680959914</v>
      </c>
      <c r="F8874" s="48" t="n">
        <f aca="false">F8864*F8870</f>
        <v>0.122172096898336</v>
      </c>
      <c r="G8874" s="48" t="n">
        <f aca="false">G8864*G8870</f>
        <v>0.134806133891215</v>
      </c>
      <c r="H8874" s="48" t="n">
        <f aca="false">H8864*H8870</f>
        <v>0.147699251661313</v>
      </c>
      <c r="I8874" s="48" t="n">
        <f aca="false">I8864*I8870</f>
        <v>0.174259973058587</v>
      </c>
      <c r="J8874" s="48" t="n">
        <f aca="false">J8864*J8870</f>
        <v>0.19948212034567</v>
      </c>
      <c r="K8874" s="48" t="n">
        <f aca="false">K8864*K8870</f>
        <v>0.265355665717199</v>
      </c>
      <c r="L8874" s="48" t="n">
        <f aca="false">L8864*L8870</f>
        <v>0.327251866823927</v>
      </c>
      <c r="M8874" s="48" t="n">
        <f aca="false">M8864*M8870</f>
        <v>0.329577165643402</v>
      </c>
      <c r="N8874" s="48" t="n">
        <f aca="false">N8864*N8870</f>
        <v>0.319818636912259</v>
      </c>
      <c r="P8874" s="49" t="n">
        <f aca="false">SUM(C8874:F8874)</f>
        <v>0.19344777785825</v>
      </c>
      <c r="Q8874" s="49" t="n">
        <f aca="false">SUM(G8874:J8874)</f>
        <v>0.656247478956785</v>
      </c>
      <c r="R8874" s="49" t="n">
        <f aca="false">SUM(K8874:N8874)</f>
        <v>1.24200333509679</v>
      </c>
      <c r="S8874" s="50" t="n">
        <f aca="false">SUM(P8874:R8874)</f>
        <v>2.09169859191182</v>
      </c>
    </row>
    <row r="8875" customFormat="false" ht="15" hidden="false" customHeight="false" outlineLevel="0" collapsed="false">
      <c r="A8875" s="9" t="s">
        <v>530</v>
      </c>
      <c r="B8875" s="36" t="s">
        <v>527</v>
      </c>
      <c r="C8875" s="49" t="n">
        <f aca="false">C8872+C8873+C8874</f>
        <v>0</v>
      </c>
      <c r="D8875" s="49" t="n">
        <f aca="false">D8872+D8873+D8874</f>
        <v>1.30046141945097</v>
      </c>
      <c r="E8875" s="49" t="n">
        <f aca="false">E8872+E8873+E8874</f>
        <v>2.30036835899502</v>
      </c>
      <c r="F8875" s="49" t="n">
        <f aca="false">F8872+F8873+F8874</f>
        <v>2.58177927104041</v>
      </c>
      <c r="G8875" s="49" t="n">
        <f aca="false">G8872+G8873+G8874</f>
        <v>2.82965486603229</v>
      </c>
      <c r="H8875" s="49" t="n">
        <f aca="false">H8872+H8873+H8874</f>
        <v>3.59255119631409</v>
      </c>
      <c r="I8875" s="49" t="n">
        <f aca="false">I8872+I8873+I8874</f>
        <v>4.32024919988351</v>
      </c>
      <c r="J8875" s="49" t="n">
        <f aca="false">J8872+J8873+J8874</f>
        <v>6.216186089123</v>
      </c>
      <c r="K8875" s="49" t="n">
        <f aca="false">K8872+K8873+K8874</f>
        <v>7.98432587479941</v>
      </c>
      <c r="L8875" s="49" t="n">
        <f aca="false">L8872+L8873+L8874</f>
        <v>8.10106947063285</v>
      </c>
      <c r="M8875" s="49" t="n">
        <f aca="false">M8872+M8873+M8874</f>
        <v>7.87321795398836</v>
      </c>
      <c r="N8875" s="49" t="n">
        <f aca="false">N8872+N8873+N8874</f>
        <v>7.64925576233379</v>
      </c>
      <c r="P8875" s="49" t="n">
        <f aca="false">SUM(C8875:F8875)</f>
        <v>6.18260904948639</v>
      </c>
      <c r="Q8875" s="49" t="n">
        <f aca="false">SUM(G8875:J8875)</f>
        <v>16.9586413513529</v>
      </c>
      <c r="R8875" s="49" t="n">
        <f aca="false">SUM(K8875:N8875)</f>
        <v>31.6078690617544</v>
      </c>
      <c r="S8875" s="50" t="n">
        <f aca="false">SUM(P8875:R8875)</f>
        <v>54.7491194625937</v>
      </c>
    </row>
    <row r="8876" customFormat="false" ht="15" hidden="false" customHeight="false" outlineLevel="0" collapsed="false">
      <c r="A8876" s="35" t="s">
        <v>533</v>
      </c>
      <c r="B8876" s="35" t="s">
        <v>444</v>
      </c>
      <c r="C8876" s="6" t="s">
        <v>354</v>
      </c>
      <c r="D8876" s="6" t="s">
        <v>355</v>
      </c>
      <c r="E8876" s="6" t="s">
        <v>356</v>
      </c>
      <c r="F8876" s="6" t="s">
        <v>357</v>
      </c>
      <c r="G8876" s="6" t="s">
        <v>358</v>
      </c>
      <c r="H8876" s="6" t="s">
        <v>359</v>
      </c>
      <c r="I8876" s="6" t="s">
        <v>360</v>
      </c>
      <c r="J8876" s="6" t="s">
        <v>361</v>
      </c>
      <c r="K8876" s="6" t="s">
        <v>362</v>
      </c>
      <c r="L8876" s="6" t="s">
        <v>363</v>
      </c>
      <c r="M8876" s="6" t="s">
        <v>364</v>
      </c>
      <c r="N8876" s="6" t="s">
        <v>365</v>
      </c>
      <c r="P8876" s="6" t="s">
        <v>445</v>
      </c>
      <c r="Q8876" s="6" t="s">
        <v>446</v>
      </c>
      <c r="R8876" s="6" t="s">
        <v>447</v>
      </c>
      <c r="S8876" s="6" t="s">
        <v>448</v>
      </c>
    </row>
    <row r="8877" customFormat="false" ht="15" hidden="false" customHeight="false" outlineLevel="0" collapsed="false">
      <c r="A8877" s="4" t="s">
        <v>534</v>
      </c>
      <c r="B8877" s="36" t="s">
        <v>527</v>
      </c>
      <c r="C8877" s="48" t="n">
        <f aca="false">0*Assumptions!$E$59^(1/4)+C8872</f>
        <v>0</v>
      </c>
      <c r="D8877" s="48" t="n">
        <f aca="false">C8877*Assumptions!$E$59^(1/4)+D8872</f>
        <v>0.866376445183821</v>
      </c>
      <c r="E8877" s="48" t="n">
        <f aca="false">D8877*Assumptions!$E$59^(1/4)+E8872</f>
        <v>2.32416329488403</v>
      </c>
      <c r="F8877" s="48" t="n">
        <f aca="false">E8877*Assumptions!$E$59^(1/4)+F8872</f>
        <v>3.88966863104794</v>
      </c>
      <c r="G8877" s="48" t="n">
        <f aca="false">F8877*Assumptions!$E$59^(1/4)+G8872</f>
        <v>5.56265357789716</v>
      </c>
      <c r="H8877" s="48" t="n">
        <f aca="false">G8877*Assumptions!$E$59^(1/4)+H8872</f>
        <v>7.69788781678072</v>
      </c>
      <c r="I8877" s="48" t="n">
        <f aca="false">H8877*Assumptions!$E$59^(1/4)+I8872</f>
        <v>10.2468762630101</v>
      </c>
      <c r="J8877" s="48" t="n">
        <f aca="false">I8877*Assumptions!$E$59^(1/4)+J8872</f>
        <v>14.0552736148763</v>
      </c>
      <c r="K8877" s="48" t="n">
        <f aca="false">J8877*Assumptions!$E$59^(1/4)+K8872</f>
        <v>18.9563507170835</v>
      </c>
      <c r="L8877" s="48" t="n">
        <f aca="false">K8877*Assumptions!$E$59^(1/4)+L8872</f>
        <v>23.7412398769334</v>
      </c>
      <c r="M8877" s="48" t="n">
        <f aca="false">L8877*Assumptions!$E$59^(1/4)+M8872</f>
        <v>28.2162985745513</v>
      </c>
      <c r="N8877" s="48" t="n">
        <f aca="false">M8877*Assumptions!$E$59^(1/4)+N8872</f>
        <v>32.4023287268997</v>
      </c>
      <c r="P8877" s="49" t="n">
        <f aca="false">F8877</f>
        <v>3.88966863104794</v>
      </c>
      <c r="Q8877" s="49" t="n">
        <f aca="false">J8877</f>
        <v>14.0552736148763</v>
      </c>
      <c r="R8877" s="49" t="n">
        <f aca="false">N8877</f>
        <v>32.4023287268997</v>
      </c>
      <c r="S8877" s="50" t="n">
        <f aca="false">R8877</f>
        <v>32.4023287268997</v>
      </c>
    </row>
    <row r="8878" customFormat="false" ht="15" hidden="false" customHeight="false" outlineLevel="0" collapsed="false">
      <c r="A8878" s="4" t="s">
        <v>535</v>
      </c>
      <c r="B8878" s="36" t="s">
        <v>527</v>
      </c>
      <c r="C8878" s="48" t="n">
        <f aca="false">0*Assumptions!$E$60^(1/4)+C8873</f>
        <v>0</v>
      </c>
      <c r="D8878" s="48" t="n">
        <f aca="false">C8878*Assumptions!$E$60^(1/4)+D8873</f>
        <v>0.434084974267145</v>
      </c>
      <c r="E8878" s="48" t="n">
        <f aca="false">D8878*Assumptions!$E$60^(1/4)+E8873</f>
        <v>1.16685601892983</v>
      </c>
      <c r="F8878" s="48" t="n">
        <f aca="false">E8878*Assumptions!$E$60^(1/4)+F8873</f>
        <v>1.95752189677268</v>
      </c>
      <c r="G8878" s="48" t="n">
        <f aca="false">F8878*Assumptions!$E$60^(1/4)+G8873</f>
        <v>2.80615541940422</v>
      </c>
      <c r="H8878" s="48" t="n">
        <f aca="false">G8878*Assumptions!$E$60^(1/4)+H8873</f>
        <v>3.86786105447419</v>
      </c>
      <c r="I8878" s="48" t="n">
        <f aca="false">H8878*Assumptions!$E$60^(1/4)+I8873</f>
        <v>5.12218971945664</v>
      </c>
      <c r="J8878" s="48" t="n">
        <f aca="false">I8878*Assumptions!$E$60^(1/4)+J8873</f>
        <v>6.87504285788544</v>
      </c>
      <c r="K8878" s="48" t="n">
        <f aca="false">J8878*Assumptions!$E$60^(1/4)+K8873</f>
        <v>9.07212907594454</v>
      </c>
      <c r="L8878" s="48" t="n">
        <f aca="false">K8878*Assumptions!$E$60^(1/4)+L8873</f>
        <v>11.2289806902372</v>
      </c>
      <c r="M8878" s="48" t="n">
        <f aca="false">L8878*Assumptions!$E$60^(1/4)+M8873</f>
        <v>13.2589164271123</v>
      </c>
      <c r="N8878" s="48" t="n">
        <f aca="false">M8878*Assumptions!$E$60^(1/4)+N8873</f>
        <v>15.1701519792802</v>
      </c>
      <c r="P8878" s="49" t="n">
        <f aca="false">F8878</f>
        <v>1.95752189677268</v>
      </c>
      <c r="Q8878" s="49" t="n">
        <f aca="false">J8878</f>
        <v>6.87504285788544</v>
      </c>
      <c r="R8878" s="49" t="n">
        <f aca="false">N8878</f>
        <v>15.1701519792802</v>
      </c>
      <c r="S8878" s="50" t="n">
        <f aca="false">R8878</f>
        <v>15.1701519792802</v>
      </c>
    </row>
    <row r="8879" customFormat="false" ht="15" hidden="false" customHeight="false" outlineLevel="0" collapsed="false">
      <c r="A8879" s="4" t="s">
        <v>536</v>
      </c>
      <c r="B8879" s="36" t="s">
        <v>527</v>
      </c>
      <c r="C8879" s="48" t="n">
        <f aca="false">0*Assumptions!$E$61^(1/4)+C8874</f>
        <v>0</v>
      </c>
      <c r="D8879" s="48" t="n">
        <f aca="false">C8879*Assumptions!$E$61^(1/4)+D8874</f>
        <v>0</v>
      </c>
      <c r="E8879" s="48" t="n">
        <f aca="false">D8879*Assumptions!$E$61^(1/4)+E8874</f>
        <v>0.071275680959914</v>
      </c>
      <c r="F8879" s="48" t="n">
        <f aca="false">E8879*Assumptions!$E$61^(1/4)+F8874</f>
        <v>0.191977386314485</v>
      </c>
      <c r="G8879" s="48" t="n">
        <f aca="false">F8879*Assumptions!$E$61^(1/4)+G8874</f>
        <v>0.322823096094288</v>
      </c>
      <c r="H8879" s="48" t="n">
        <f aca="false">G8879*Assumptions!$E$61^(1/4)+H8874</f>
        <v>0.463862623930639</v>
      </c>
      <c r="I8879" s="48" t="n">
        <f aca="false">H8879*Assumptions!$E$61^(1/4)+I8874</f>
        <v>0.628553278667598</v>
      </c>
      <c r="J8879" s="48" t="n">
        <f aca="false">I8879*Assumptions!$E$61^(1/4)+J8874</f>
        <v>0.815068571993006</v>
      </c>
      <c r="K8879" s="48" t="n">
        <f aca="false">J8879*Assumptions!$E$61^(1/4)+K8874</f>
        <v>1.06360966758325</v>
      </c>
      <c r="L8879" s="48" t="n">
        <f aca="false">K8879*Assumptions!$E$61^(1/4)+L8874</f>
        <v>1.36891965128493</v>
      </c>
      <c r="M8879" s="48" t="n">
        <f aca="false">L8879*Assumptions!$E$61^(1/4)+M8874</f>
        <v>1.67025649916167</v>
      </c>
      <c r="N8879" s="48" t="n">
        <f aca="false">M8879*Assumptions!$E$61^(1/4)+N8874</f>
        <v>1.95561834801929</v>
      </c>
      <c r="P8879" s="49" t="n">
        <f aca="false">F8879</f>
        <v>0.191977386314485</v>
      </c>
      <c r="Q8879" s="49" t="n">
        <f aca="false">J8879</f>
        <v>0.815068571993006</v>
      </c>
      <c r="R8879" s="49" t="n">
        <f aca="false">N8879</f>
        <v>1.95561834801929</v>
      </c>
      <c r="S8879" s="50" t="n">
        <f aca="false">R8879</f>
        <v>1.95561834801929</v>
      </c>
    </row>
    <row r="8880" customFormat="false" ht="15" hidden="false" customHeight="false" outlineLevel="0" collapsed="false">
      <c r="A8880" s="9" t="s">
        <v>537</v>
      </c>
      <c r="B8880" s="36" t="s">
        <v>527</v>
      </c>
      <c r="C8880" s="49" t="n">
        <f aca="false">C8877+C8878+C8879</f>
        <v>0</v>
      </c>
      <c r="D8880" s="49" t="n">
        <f aca="false">D8877+D8878+D8879</f>
        <v>1.30046141945097</v>
      </c>
      <c r="E8880" s="49" t="n">
        <f aca="false">E8877+E8878+E8879</f>
        <v>3.56229499477378</v>
      </c>
      <c r="F8880" s="49" t="n">
        <f aca="false">F8877+F8878+F8879</f>
        <v>6.0391679141351</v>
      </c>
      <c r="G8880" s="49" t="n">
        <f aca="false">G8877+G8878+G8879</f>
        <v>8.69163209339566</v>
      </c>
      <c r="H8880" s="49" t="n">
        <f aca="false">H8877+H8878+H8879</f>
        <v>12.0296114951856</v>
      </c>
      <c r="I8880" s="49" t="n">
        <f aca="false">I8877+I8878+I8879</f>
        <v>15.9976192611344</v>
      </c>
      <c r="J8880" s="49" t="n">
        <f aca="false">J8877+J8878+J8879</f>
        <v>21.7453850447547</v>
      </c>
      <c r="K8880" s="49" t="n">
        <f aca="false">K8877+K8878+K8879</f>
        <v>29.0920894606113</v>
      </c>
      <c r="L8880" s="49" t="n">
        <f aca="false">L8877+L8878+L8879</f>
        <v>36.3391402184556</v>
      </c>
      <c r="M8880" s="49" t="n">
        <f aca="false">M8877+M8878+M8879</f>
        <v>43.1454715008253</v>
      </c>
      <c r="N8880" s="49" t="n">
        <f aca="false">N8877+N8878+N8879</f>
        <v>49.5280990541991</v>
      </c>
      <c r="P8880" s="49" t="n">
        <f aca="false">F8880</f>
        <v>6.0391679141351</v>
      </c>
      <c r="Q8880" s="49" t="n">
        <f aca="false">J8880</f>
        <v>21.7453850447547</v>
      </c>
      <c r="R8880" s="49" t="n">
        <f aca="false">N8880</f>
        <v>49.5280990541991</v>
      </c>
      <c r="S8880" s="50" t="n">
        <f aca="false">R8880</f>
        <v>49.5280990541991</v>
      </c>
    </row>
    <row r="8881" customFormat="false" ht="15" hidden="false" customHeight="false" outlineLevel="0" collapsed="false">
      <c r="A8881" s="4" t="s">
        <v>538</v>
      </c>
      <c r="B8881" s="36" t="s">
        <v>125</v>
      </c>
      <c r="C8881" s="54" t="n">
        <f aca="false">0*Assumptions!$E$62^(1/4)+C8872*$C$8821</f>
        <v>0</v>
      </c>
      <c r="D8881" s="54" t="n">
        <f aca="false">C8881*Assumptions!$E$62^(1/4)+D8872*$C$8821</f>
        <v>4636.84673462381</v>
      </c>
      <c r="E8881" s="54" t="n">
        <f aca="false">D8881*Assumptions!$E$62^(1/4)+E8872*$C$8821</f>
        <v>12584.7650278744</v>
      </c>
      <c r="F8881" s="54" t="n">
        <f aca="false">E8881*Assumptions!$E$62^(1/4)+F8872*$C$8821</f>
        <v>21354.5918933979</v>
      </c>
      <c r="G8881" s="54" t="n">
        <f aca="false">F8881*Assumptions!$E$62^(1/4)+G8872*$C$8821</f>
        <v>30963.1818577268</v>
      </c>
      <c r="H8881" s="54" t="n">
        <f aca="false">G8881*Assumptions!$E$62^(1/4)+H8872*$C$8821</f>
        <v>43327.3550335454</v>
      </c>
      <c r="I8881" s="54" t="n">
        <f aca="false">H8881*Assumptions!$E$62^(1/4)+I8872*$C$8821</f>
        <v>58265.3793130463</v>
      </c>
      <c r="J8881" s="54" t="n">
        <f aca="false">I8881*Assumptions!$E$62^(1/4)+J8872*$C$8821</f>
        <v>80372.8487175808</v>
      </c>
      <c r="K8881" s="54" t="n">
        <f aca="false">J8881*Assumptions!$E$62^(1/4)+K8872*$C$8821</f>
        <v>108969.433724354</v>
      </c>
      <c r="L8881" s="54" t="n">
        <f aca="false">K8881*Assumptions!$E$62^(1/4)+L8872*$C$8821</f>
        <v>137769.212699133</v>
      </c>
      <c r="M8881" s="54" t="n">
        <f aca="false">L8881*Assumptions!$E$62^(1/4)+M8872*$C$8821</f>
        <v>165716.252164404</v>
      </c>
      <c r="N8881" s="54" t="n">
        <f aca="false">M8881*Assumptions!$E$62^(1/4)+N8872*$C$8821</f>
        <v>192869.728098578</v>
      </c>
      <c r="P8881" s="55" t="n">
        <f aca="false">F8881</f>
        <v>21354.5918933979</v>
      </c>
      <c r="Q8881" s="55" t="n">
        <f aca="false">J8881</f>
        <v>80372.8487175808</v>
      </c>
      <c r="R8881" s="55" t="n">
        <f aca="false">N8881</f>
        <v>192869.728098578</v>
      </c>
      <c r="S8881" s="56" t="n">
        <f aca="false">R8881</f>
        <v>192869.728098578</v>
      </c>
    </row>
    <row r="8882" customFormat="false" ht="15" hidden="false" customHeight="false" outlineLevel="0" collapsed="false">
      <c r="A8882" s="4" t="s">
        <v>539</v>
      </c>
      <c r="B8882" s="36" t="s">
        <v>125</v>
      </c>
      <c r="C8882" s="54" t="n">
        <f aca="false">0*Assumptions!$E$63^(1/4)+C8873*$C$8822</f>
        <v>0</v>
      </c>
      <c r="D8882" s="54" t="n">
        <f aca="false">C8882*Assumptions!$E$63^(1/4)+D8873*$C$8822</f>
        <v>4239.58645576376</v>
      </c>
      <c r="E8882" s="54" t="n">
        <f aca="false">D8882*Assumptions!$E$63^(1/4)+E8873*$C$8822</f>
        <v>11568.780571464</v>
      </c>
      <c r="F8882" s="54" t="n">
        <f aca="false">E8882*Assumptions!$E$63^(1/4)+F8873*$C$8822</f>
        <v>19757.0139869302</v>
      </c>
      <c r="G8882" s="54" t="n">
        <f aca="false">F8882*Assumptions!$E$63^(1/4)+G8873*$C$8822</f>
        <v>28832.3026333607</v>
      </c>
      <c r="H8882" s="54" t="n">
        <f aca="false">G8882*Assumptions!$E$63^(1/4)+H8873*$C$8822</f>
        <v>40337.2428258018</v>
      </c>
      <c r="I8882" s="54" t="n">
        <f aca="false">H8882*Assumptions!$E$63^(1/4)+I8873*$C$8822</f>
        <v>54161.8650429175</v>
      </c>
      <c r="J8882" s="54" t="n">
        <f aca="false">I8882*Assumptions!$E$63^(1/4)+J8873*$C$8822</f>
        <v>73376.768355554</v>
      </c>
      <c r="K8882" s="54" t="n">
        <f aca="false">J8882*Assumptions!$E$63^(1/4)+K8873*$C$8822</f>
        <v>97657.3745036042</v>
      </c>
      <c r="L8882" s="54" t="n">
        <f aca="false">K8882*Assumptions!$E$63^(1/4)+L8873*$C$8822</f>
        <v>122459.146505613</v>
      </c>
      <c r="M8882" s="54" t="n">
        <f aca="false">L8882*Assumptions!$E$63^(1/4)+M8873*$C$8822</f>
        <v>146932.924638212</v>
      </c>
      <c r="N8882" s="54" t="n">
        <f aca="false">M8882*Assumptions!$E$63^(1/4)+N8873*$C$8822</f>
        <v>171121.912636854</v>
      </c>
      <c r="P8882" s="55" t="n">
        <f aca="false">F8882</f>
        <v>19757.0139869302</v>
      </c>
      <c r="Q8882" s="55" t="n">
        <f aca="false">J8882</f>
        <v>73376.768355554</v>
      </c>
      <c r="R8882" s="55" t="n">
        <f aca="false">N8882</f>
        <v>171121.912636854</v>
      </c>
      <c r="S8882" s="56" t="n">
        <f aca="false">R8882</f>
        <v>171121.912636854</v>
      </c>
    </row>
    <row r="8883" customFormat="false" ht="15" hidden="false" customHeight="false" outlineLevel="0" collapsed="false">
      <c r="A8883" s="4" t="s">
        <v>540</v>
      </c>
      <c r="B8883" s="36" t="s">
        <v>125</v>
      </c>
      <c r="C8883" s="54" t="n">
        <f aca="false">0*Assumptions!$E$64^(1/4)+C8874*$C$8823</f>
        <v>0</v>
      </c>
      <c r="D8883" s="54" t="n">
        <f aca="false">C8883*Assumptions!$E$64^(1/4)+D8874*$C$8823</f>
        <v>0</v>
      </c>
      <c r="E8883" s="54" t="n">
        <f aca="false">D8883*Assumptions!$E$64^(1/4)+E8874*$C$8823</f>
        <v>4403.28728055653</v>
      </c>
      <c r="F8883" s="54" t="n">
        <f aca="false">E8883*Assumptions!$E$64^(1/4)+F8874*$C$8823</f>
        <v>12107.4388108841</v>
      </c>
      <c r="G8883" s="54" t="n">
        <f aca="false">F8883*Assumptions!$E$64^(1/4)+G8874*$C$8823</f>
        <v>20866.0439239064</v>
      </c>
      <c r="H8883" s="54" t="n">
        <f aca="false">G8883*Assumptions!$E$64^(1/4)+H8874*$C$8823</f>
        <v>30732.6025192522</v>
      </c>
      <c r="I8883" s="54" t="n">
        <f aca="false">H8883*Assumptions!$E$64^(1/4)+I8874*$C$8823</f>
        <v>42590.8720102144</v>
      </c>
      <c r="J8883" s="54" t="n">
        <f aca="false">I8883*Assumptions!$E$64^(1/4)+J8874*$C$8823</f>
        <v>56428.9790305215</v>
      </c>
      <c r="K8883" s="54" t="n">
        <f aca="false">J8883*Assumptions!$E$64^(1/4)+K8874*$C$8823</f>
        <v>74828.6952807254</v>
      </c>
      <c r="L8883" s="54" t="n">
        <f aca="false">K8883*Assumptions!$E$64^(1/4)+L8874*$C$8823</f>
        <v>97706.5094169996</v>
      </c>
      <c r="M8883" s="54" t="n">
        <f aca="false">L8883*Assumptions!$E$64^(1/4)+M8874*$C$8823</f>
        <v>121541.467521117</v>
      </c>
      <c r="N8883" s="54" t="n">
        <f aca="false">M8883*Assumptions!$E$64^(1/4)+N8874*$C$8823</f>
        <v>145621.085996823</v>
      </c>
      <c r="P8883" s="55" t="n">
        <f aca="false">F8883</f>
        <v>12107.4388108841</v>
      </c>
      <c r="Q8883" s="55" t="n">
        <f aca="false">J8883</f>
        <v>56428.9790305215</v>
      </c>
      <c r="R8883" s="55" t="n">
        <f aca="false">N8883</f>
        <v>145621.085996823</v>
      </c>
      <c r="S8883" s="56" t="n">
        <f aca="false">R8883</f>
        <v>145621.085996823</v>
      </c>
    </row>
    <row r="8884" customFormat="false" ht="15" hidden="false" customHeight="false" outlineLevel="0" collapsed="false">
      <c r="A8884" s="9" t="s">
        <v>541</v>
      </c>
      <c r="B8884" s="36" t="s">
        <v>125</v>
      </c>
      <c r="C8884" s="55" t="n">
        <f aca="false">C8881+C8882+C8883</f>
        <v>0</v>
      </c>
      <c r="D8884" s="55" t="n">
        <f aca="false">D8881+D8882+D8883</f>
        <v>8876.43319038757</v>
      </c>
      <c r="E8884" s="55" t="n">
        <f aca="false">E8881+E8882+E8883</f>
        <v>28556.8328798949</v>
      </c>
      <c r="F8884" s="55" t="n">
        <f aca="false">F8881+F8882+F8883</f>
        <v>53219.0446912122</v>
      </c>
      <c r="G8884" s="55" t="n">
        <f aca="false">G8881+G8882+G8883</f>
        <v>80661.5284149939</v>
      </c>
      <c r="H8884" s="55" t="n">
        <f aca="false">H8881+H8882+H8883</f>
        <v>114397.200378599</v>
      </c>
      <c r="I8884" s="55" t="n">
        <f aca="false">I8881+I8882+I8883</f>
        <v>155018.116366178</v>
      </c>
      <c r="J8884" s="55" t="n">
        <f aca="false">J8881+J8882+J8883</f>
        <v>210178.596103656</v>
      </c>
      <c r="K8884" s="55" t="n">
        <f aca="false">K8881+K8882+K8883</f>
        <v>281455.503508684</v>
      </c>
      <c r="L8884" s="55" t="n">
        <f aca="false">L8881+L8882+L8883</f>
        <v>357934.868621746</v>
      </c>
      <c r="M8884" s="55" t="n">
        <f aca="false">M8881+M8882+M8883</f>
        <v>434190.644323734</v>
      </c>
      <c r="N8884" s="55" t="n">
        <f aca="false">N8881+N8882+N8883</f>
        <v>509612.726732255</v>
      </c>
      <c r="P8884" s="55" t="n">
        <f aca="false">F8884</f>
        <v>53219.0446912122</v>
      </c>
      <c r="Q8884" s="55" t="n">
        <f aca="false">J8884</f>
        <v>210178.596103656</v>
      </c>
      <c r="R8884" s="55" t="n">
        <f aca="false">N8884</f>
        <v>509612.726732255</v>
      </c>
      <c r="S8884" s="56" t="n">
        <f aca="false">R8884</f>
        <v>509612.726732255</v>
      </c>
    </row>
    <row r="8885" customFormat="false" ht="15" hidden="false" customHeight="false" outlineLevel="0" collapsed="false">
      <c r="A8885" s="4" t="s">
        <v>542</v>
      </c>
      <c r="B8885" s="36" t="s">
        <v>125</v>
      </c>
      <c r="C8885" s="54" t="n">
        <f aca="false">C8872*$C$8821+C8873*$C$8822+C8874*$C$8823</f>
        <v>0</v>
      </c>
      <c r="D8885" s="54" t="n">
        <f aca="false">D8872*$C$8821+D8873*$C$8822+D8874*$C$8823</f>
        <v>8876.43319038757</v>
      </c>
      <c r="E8885" s="54" t="n">
        <f aca="false">E8872*$C$8821+E8873*$C$8822+E8874*$C$8823</f>
        <v>19618.1886500368</v>
      </c>
      <c r="F8885" s="54" t="n">
        <f aca="false">F8872*$C$8821+F8873*$C$8822+F8874*$C$8823</f>
        <v>24335.8808795765</v>
      </c>
      <c r="G8885" s="54" t="n">
        <f aca="false">G8872*$C$8821+G8873*$C$8822+G8874*$C$8823</f>
        <v>26722.0551062465</v>
      </c>
      <c r="H8885" s="54" t="n">
        <f aca="false">H8872*$C$8821+H8873*$C$8822+H8874*$C$8823</f>
        <v>32570.6348072815</v>
      </c>
      <c r="I8885" s="54" t="n">
        <f aca="false">I8872*$C$8821+I8873*$C$8822+I8874*$C$8823</f>
        <v>38936.2212649288</v>
      </c>
      <c r="J8885" s="54" t="n">
        <f aca="false">J8872*$C$8821+J8873*$C$8822+J8874*$C$8823</f>
        <v>52851.2673832351</v>
      </c>
      <c r="K8885" s="54" t="n">
        <f aca="false">K8872*$C$8821+K8873*$C$8822+K8874*$C$8823</f>
        <v>68193.6820495777</v>
      </c>
      <c r="L8885" s="54" t="n">
        <f aca="false">L8872*$C$8821+L8873*$C$8822+L8874*$C$8823</f>
        <v>72385.5913630249</v>
      </c>
      <c r="M8885" s="54" t="n">
        <f aca="false">M8872*$C$8821+M8873*$C$8822+M8874*$C$8823</f>
        <v>70984.5735032962</v>
      </c>
      <c r="N8885" s="54" t="n">
        <f aca="false">N8872*$C$8821+N8873*$C$8822+N8874*$C$8823</f>
        <v>68944.2304944803</v>
      </c>
      <c r="P8885" s="55" t="n">
        <f aca="false">SUM(C8885:F8885)</f>
        <v>52830.5027200009</v>
      </c>
      <c r="Q8885" s="55" t="n">
        <f aca="false">SUM(G8885:J8885)</f>
        <v>151080.178561692</v>
      </c>
      <c r="R8885" s="55" t="n">
        <f aca="false">SUM(K8885:N8885)</f>
        <v>280508.077410379</v>
      </c>
      <c r="S8885" s="56" t="n">
        <f aca="false">SUM(P8885:R8885)</f>
        <v>484418.758692072</v>
      </c>
    </row>
    <row r="8886" customFormat="false" ht="15" hidden="false" customHeight="false" outlineLevel="0" collapsed="false">
      <c r="A8886" s="9" t="s">
        <v>543</v>
      </c>
      <c r="B8886" s="36" t="s">
        <v>125</v>
      </c>
      <c r="C8886" s="55" t="n">
        <f aca="false">(0+C8884)/8</f>
        <v>0</v>
      </c>
      <c r="D8886" s="55" t="n">
        <f aca="false">(C8884+D8884)/8</f>
        <v>1109.55414879845</v>
      </c>
      <c r="E8886" s="55" t="n">
        <f aca="false">(D8884+E8884)/8</f>
        <v>4679.15825878531</v>
      </c>
      <c r="F8886" s="55" t="n">
        <f aca="false">(E8884+F8884)/8</f>
        <v>10221.9846963884</v>
      </c>
      <c r="G8886" s="55" t="n">
        <f aca="false">(F8884+G8884)/8</f>
        <v>16735.0716382758</v>
      </c>
      <c r="H8886" s="55" t="n">
        <f aca="false">(G8884+H8884)/8</f>
        <v>24382.3410991992</v>
      </c>
      <c r="I8886" s="55" t="n">
        <f aca="false">(H8884+I8884)/8</f>
        <v>33676.9145930972</v>
      </c>
      <c r="J8886" s="55" t="n">
        <f aca="false">(I8884+J8884)/8</f>
        <v>45649.5890587293</v>
      </c>
      <c r="K8886" s="55" t="n">
        <f aca="false">(J8884+K8884)/8</f>
        <v>61454.2624515425</v>
      </c>
      <c r="L8886" s="55" t="n">
        <f aca="false">(K8884+L8884)/8</f>
        <v>79923.7965163037</v>
      </c>
      <c r="M8886" s="55" t="n">
        <f aca="false">(L8884+M8884)/8</f>
        <v>99015.6891181849</v>
      </c>
      <c r="N8886" s="55" t="n">
        <f aca="false">(M8884+N8884)/8</f>
        <v>117975.421381999</v>
      </c>
      <c r="P8886" s="55" t="n">
        <f aca="false">SUM(C8886:F8886)</f>
        <v>16010.6971039722</v>
      </c>
      <c r="Q8886" s="55" t="n">
        <f aca="false">SUM(G8886:J8886)</f>
        <v>120443.916389301</v>
      </c>
      <c r="R8886" s="55" t="n">
        <f aca="false">SUM(K8886:N8886)</f>
        <v>358369.16946803</v>
      </c>
      <c r="S8886" s="56" t="n">
        <f aca="false">SUM(P8886:R8886)</f>
        <v>494823.782961303</v>
      </c>
    </row>
    <row r="8887" customFormat="false" ht="15" hidden="false" customHeight="false" outlineLevel="0" collapsed="false">
      <c r="A8887" s="4" t="s">
        <v>544</v>
      </c>
      <c r="B8887" s="36" t="s">
        <v>125</v>
      </c>
      <c r="C8887" s="54" t="n">
        <f aca="false">C8886*Assumptions!$E$76</f>
        <v>0</v>
      </c>
      <c r="D8887" s="54" t="n">
        <f aca="false">D8886*Assumptions!$E$76</f>
        <v>721.21019671899</v>
      </c>
      <c r="E8887" s="54" t="n">
        <f aca="false">E8886*Assumptions!$E$76</f>
        <v>3041.45286821045</v>
      </c>
      <c r="F8887" s="54" t="n">
        <f aca="false">F8886*Assumptions!$E$76</f>
        <v>6644.29005265246</v>
      </c>
      <c r="G8887" s="54" t="n">
        <f aca="false">G8886*Assumptions!$E$76</f>
        <v>10877.7965648792</v>
      </c>
      <c r="H8887" s="54" t="n">
        <f aca="false">H8886*Assumptions!$E$76</f>
        <v>15848.5217144795</v>
      </c>
      <c r="I8887" s="54" t="n">
        <f aca="false">I8886*Assumptions!$E$76</f>
        <v>21889.9944855132</v>
      </c>
      <c r="J8887" s="54" t="n">
        <f aca="false">J8886*Assumptions!$E$76</f>
        <v>29672.2328881741</v>
      </c>
      <c r="K8887" s="54" t="n">
        <f aca="false">K8886*Assumptions!$E$76</f>
        <v>39945.2705935026</v>
      </c>
      <c r="L8887" s="54" t="n">
        <f aca="false">L8886*Assumptions!$E$76</f>
        <v>51950.4677355974</v>
      </c>
      <c r="M8887" s="54" t="n">
        <f aca="false">M8886*Assumptions!$E$76</f>
        <v>64360.1979268202</v>
      </c>
      <c r="N8887" s="54" t="n">
        <f aca="false">N8886*Assumptions!$E$76</f>
        <v>76684.0238982991</v>
      </c>
      <c r="P8887" s="55" t="n">
        <f aca="false">SUM(C8887:F8887)</f>
        <v>10406.9531175819</v>
      </c>
      <c r="Q8887" s="55" t="n">
        <f aca="false">SUM(G8887:J8887)</f>
        <v>78288.545653046</v>
      </c>
      <c r="R8887" s="55" t="n">
        <f aca="false">SUM(K8887:N8887)</f>
        <v>232939.960154219</v>
      </c>
      <c r="S8887" s="56" t="n">
        <f aca="false">SUM(P8887:R8887)</f>
        <v>321635.458924847</v>
      </c>
    </row>
    <row r="8888" customFormat="false" ht="15" hidden="false" customHeight="false" outlineLevel="0" collapsed="false">
      <c r="A8888" s="35" t="s">
        <v>547</v>
      </c>
      <c r="B8888" s="35" t="s">
        <v>444</v>
      </c>
      <c r="C8888" s="6" t="s">
        <v>354</v>
      </c>
      <c r="D8888" s="6" t="s">
        <v>355</v>
      </c>
      <c r="E8888" s="6" t="s">
        <v>356</v>
      </c>
      <c r="F8888" s="6" t="s">
        <v>357</v>
      </c>
      <c r="G8888" s="6" t="s">
        <v>358</v>
      </c>
      <c r="H8888" s="6" t="s">
        <v>359</v>
      </c>
      <c r="I8888" s="6" t="s">
        <v>360</v>
      </c>
      <c r="J8888" s="6" t="s">
        <v>361</v>
      </c>
      <c r="K8888" s="6" t="s">
        <v>362</v>
      </c>
      <c r="L8888" s="6" t="s">
        <v>363</v>
      </c>
      <c r="M8888" s="6" t="s">
        <v>364</v>
      </c>
      <c r="N8888" s="6" t="s">
        <v>365</v>
      </c>
      <c r="P8888" s="6" t="s">
        <v>445</v>
      </c>
      <c r="Q8888" s="6" t="s">
        <v>446</v>
      </c>
      <c r="R8888" s="6" t="s">
        <v>447</v>
      </c>
      <c r="S8888" s="6" t="s">
        <v>448</v>
      </c>
    </row>
    <row r="8889" customFormat="false" ht="15" hidden="false" customHeight="false" outlineLevel="0" collapsed="false">
      <c r="A8889" s="4" t="s">
        <v>548</v>
      </c>
      <c r="B8889" s="36" t="s">
        <v>321</v>
      </c>
      <c r="C8889" s="48" t="n">
        <f aca="false">Assumptions!$D$97*C8831</f>
        <v>1</v>
      </c>
      <c r="D8889" s="48" t="n">
        <f aca="false">Assumptions!$D$97*D8831</f>
        <v>1</v>
      </c>
      <c r="E8889" s="48" t="n">
        <f aca="false">Assumptions!$D$97*E8831</f>
        <v>1</v>
      </c>
      <c r="F8889" s="48" t="n">
        <f aca="false">Assumptions!$D$97*F8831</f>
        <v>1</v>
      </c>
      <c r="G8889" s="48" t="n">
        <f aca="false">Assumptions!$D$97*G8831</f>
        <v>1</v>
      </c>
      <c r="H8889" s="48" t="n">
        <f aca="false">Assumptions!$D$97*H8831</f>
        <v>1</v>
      </c>
      <c r="I8889" s="48" t="n">
        <f aca="false">Assumptions!$D$97*I8831</f>
        <v>1</v>
      </c>
      <c r="J8889" s="48" t="n">
        <f aca="false">Assumptions!$D$97*J8831</f>
        <v>1</v>
      </c>
      <c r="K8889" s="48" t="n">
        <f aca="false">Assumptions!$D$97*K8831</f>
        <v>1</v>
      </c>
      <c r="L8889" s="48" t="n">
        <f aca="false">Assumptions!$D$97*L8831</f>
        <v>1</v>
      </c>
      <c r="M8889" s="48" t="n">
        <f aca="false">Assumptions!$D$97*M8831</f>
        <v>1</v>
      </c>
      <c r="N8889" s="48" t="n">
        <f aca="false">Assumptions!$D$97*N8831</f>
        <v>1</v>
      </c>
      <c r="P8889" s="49" t="n">
        <f aca="false">AVERAGE(C8889:F8889)</f>
        <v>1</v>
      </c>
      <c r="Q8889" s="49" t="n">
        <f aca="false">AVERAGE(G8889:J8889)</f>
        <v>1</v>
      </c>
      <c r="R8889" s="49" t="n">
        <f aca="false">AVERAGE(K8889:N8889)</f>
        <v>1</v>
      </c>
      <c r="S8889" s="50"/>
    </row>
    <row r="8890" customFormat="false" ht="15" hidden="false" customHeight="false" outlineLevel="0" collapsed="false">
      <c r="A8890" s="4" t="s">
        <v>549</v>
      </c>
      <c r="B8890" s="36" t="s">
        <v>321</v>
      </c>
      <c r="C8890" s="48" t="n">
        <f aca="false">C8844*C8831</f>
        <v>0</v>
      </c>
      <c r="D8890" s="48" t="n">
        <f aca="false">D8844*D8831</f>
        <v>0</v>
      </c>
      <c r="E8890" s="48" t="n">
        <f aca="false">E8844*E8831</f>
        <v>0</v>
      </c>
      <c r="F8890" s="48" t="n">
        <f aca="false">F8844*F8831</f>
        <v>0</v>
      </c>
      <c r="G8890" s="48" t="n">
        <f aca="false">G8844*G8831</f>
        <v>0</v>
      </c>
      <c r="H8890" s="48" t="n">
        <f aca="false">H8844*H8831</f>
        <v>0</v>
      </c>
      <c r="I8890" s="48" t="n">
        <f aca="false">I8844*I8831</f>
        <v>0</v>
      </c>
      <c r="J8890" s="48" t="n">
        <f aca="false">J8844*J8831</f>
        <v>0</v>
      </c>
      <c r="K8890" s="48" t="n">
        <f aca="false">K8844*K8831</f>
        <v>0</v>
      </c>
      <c r="L8890" s="48" t="n">
        <f aca="false">L8844*L8831</f>
        <v>0</v>
      </c>
      <c r="M8890" s="48" t="n">
        <f aca="false">M8844*M8831</f>
        <v>0</v>
      </c>
      <c r="N8890" s="48" t="n">
        <f aca="false">N8844*N8831</f>
        <v>0</v>
      </c>
      <c r="P8890" s="49" t="n">
        <f aca="false">AVERAGE(C8890:F8890)</f>
        <v>0</v>
      </c>
      <c r="Q8890" s="49" t="n">
        <f aca="false">AVERAGE(G8890:J8890)</f>
        <v>0</v>
      </c>
      <c r="R8890" s="49" t="n">
        <f aca="false">AVERAGE(K8890:N8890)</f>
        <v>0</v>
      </c>
      <c r="S8890" s="50"/>
    </row>
    <row r="8891" customFormat="false" ht="15" hidden="false" customHeight="false" outlineLevel="0" collapsed="false">
      <c r="A8891" s="4" t="s">
        <v>550</v>
      </c>
      <c r="B8891" s="36" t="s">
        <v>321</v>
      </c>
      <c r="C8891" s="48" t="n">
        <f aca="false">IF(C8830&lt;=4,Assumptions!$D$98,Assumptions!$D$99)*C8831</f>
        <v>0</v>
      </c>
      <c r="D8891" s="48" t="n">
        <f aca="false">IF(D8830&lt;=4,Assumptions!$D$98,Assumptions!$D$99)*D8831</f>
        <v>0</v>
      </c>
      <c r="E8891" s="48" t="n">
        <f aca="false">IF(E8830&lt;=4,Assumptions!$D$98,Assumptions!$D$99)*E8831</f>
        <v>0</v>
      </c>
      <c r="F8891" s="48" t="n">
        <f aca="false">IF(F8830&lt;=4,Assumptions!$D$98,Assumptions!$D$99)*F8831</f>
        <v>0</v>
      </c>
      <c r="G8891" s="48" t="n">
        <f aca="false">IF(G8830&lt;=4,Assumptions!$D$98,Assumptions!$D$99)*G8831</f>
        <v>0.5</v>
      </c>
      <c r="H8891" s="48" t="n">
        <f aca="false">IF(H8830&lt;=4,Assumptions!$D$98,Assumptions!$D$99)*H8831</f>
        <v>0.5</v>
      </c>
      <c r="I8891" s="48" t="n">
        <f aca="false">IF(I8830&lt;=4,Assumptions!$D$98,Assumptions!$D$99)*I8831</f>
        <v>0.5</v>
      </c>
      <c r="J8891" s="48" t="n">
        <f aca="false">IF(J8830&lt;=4,Assumptions!$D$98,Assumptions!$D$99)*J8831</f>
        <v>0.5</v>
      </c>
      <c r="K8891" s="48" t="n">
        <f aca="false">IF(K8830&lt;=4,Assumptions!$D$98,Assumptions!$D$99)*K8831</f>
        <v>0.5</v>
      </c>
      <c r="L8891" s="48" t="n">
        <f aca="false">IF(L8830&lt;=4,Assumptions!$D$98,Assumptions!$D$99)*L8831</f>
        <v>0.5</v>
      </c>
      <c r="M8891" s="48" t="n">
        <f aca="false">IF(M8830&lt;=4,Assumptions!$D$98,Assumptions!$D$99)*M8831</f>
        <v>0.5</v>
      </c>
      <c r="N8891" s="48" t="n">
        <f aca="false">IF(N8830&lt;=4,Assumptions!$D$98,Assumptions!$D$99)*N8831</f>
        <v>0.5</v>
      </c>
      <c r="P8891" s="49" t="n">
        <f aca="false">AVERAGE(C8891:F8891)</f>
        <v>0</v>
      </c>
      <c r="Q8891" s="49" t="n">
        <f aca="false">AVERAGE(G8891:J8891)</f>
        <v>0.5</v>
      </c>
      <c r="R8891" s="49" t="n">
        <f aca="false">AVERAGE(K8891:N8891)</f>
        <v>0.5</v>
      </c>
      <c r="S8891" s="50"/>
    </row>
    <row r="8892" customFormat="false" ht="15" hidden="false" customHeight="false" outlineLevel="0" collapsed="false">
      <c r="A8892" s="4" t="s">
        <v>551</v>
      </c>
      <c r="B8892" s="36" t="s">
        <v>321</v>
      </c>
      <c r="C8892" s="48" t="n">
        <f aca="false">IF(C8830&lt;=4,Assumptions!$D$100,Assumptions!$D$101)*C8831</f>
        <v>1</v>
      </c>
      <c r="D8892" s="48" t="n">
        <f aca="false">IF(D8830&lt;=4,Assumptions!$D$100,Assumptions!$D$101)*D8831</f>
        <v>1</v>
      </c>
      <c r="E8892" s="48" t="n">
        <f aca="false">IF(E8830&lt;=4,Assumptions!$D$100,Assumptions!$D$101)*E8831</f>
        <v>1</v>
      </c>
      <c r="F8892" s="48" t="n">
        <f aca="false">IF(F8830&lt;=4,Assumptions!$D$100,Assumptions!$D$101)*F8831</f>
        <v>1</v>
      </c>
      <c r="G8892" s="48" t="n">
        <f aca="false">IF(G8830&lt;=4,Assumptions!$D$100,Assumptions!$D$101)*G8831</f>
        <v>0.5</v>
      </c>
      <c r="H8892" s="48" t="n">
        <f aca="false">IF(H8830&lt;=4,Assumptions!$D$100,Assumptions!$D$101)*H8831</f>
        <v>0.5</v>
      </c>
      <c r="I8892" s="48" t="n">
        <f aca="false">IF(I8830&lt;=4,Assumptions!$D$100,Assumptions!$D$101)*I8831</f>
        <v>0.5</v>
      </c>
      <c r="J8892" s="48" t="n">
        <f aca="false">IF(J8830&lt;=4,Assumptions!$D$100,Assumptions!$D$101)*J8831</f>
        <v>0.5</v>
      </c>
      <c r="K8892" s="48" t="n">
        <f aca="false">IF(K8830&lt;=4,Assumptions!$D$100,Assumptions!$D$101)*K8831</f>
        <v>0.5</v>
      </c>
      <c r="L8892" s="48" t="n">
        <f aca="false">IF(L8830&lt;=4,Assumptions!$D$100,Assumptions!$D$101)*L8831</f>
        <v>0.5</v>
      </c>
      <c r="M8892" s="48" t="n">
        <f aca="false">IF(M8830&lt;=4,Assumptions!$D$100,Assumptions!$D$101)*M8831</f>
        <v>0.5</v>
      </c>
      <c r="N8892" s="48" t="n">
        <f aca="false">IF(N8830&lt;=4,Assumptions!$D$100,Assumptions!$D$101)*N8831</f>
        <v>0.5</v>
      </c>
      <c r="P8892" s="49" t="n">
        <f aca="false">AVERAGE(C8892:F8892)</f>
        <v>1</v>
      </c>
      <c r="Q8892" s="49" t="n">
        <f aca="false">AVERAGE(G8892:J8892)</f>
        <v>0.5</v>
      </c>
      <c r="R8892" s="49" t="n">
        <f aca="false">AVERAGE(K8892:N8892)</f>
        <v>0.5</v>
      </c>
      <c r="S8892" s="50"/>
    </row>
    <row r="8893" customFormat="false" ht="15" hidden="false" customHeight="false" outlineLevel="0" collapsed="false">
      <c r="A8893" s="4" t="s">
        <v>552</v>
      </c>
      <c r="B8893" s="36" t="s">
        <v>321</v>
      </c>
      <c r="C8893" s="48" t="n">
        <f aca="false">Assumptions!$D$102*C8831</f>
        <v>0.25</v>
      </c>
      <c r="D8893" s="48" t="n">
        <f aca="false">Assumptions!$D$102*D8831</f>
        <v>0.25</v>
      </c>
      <c r="E8893" s="48" t="n">
        <f aca="false">Assumptions!$D$102*E8831</f>
        <v>0.25</v>
      </c>
      <c r="F8893" s="48" t="n">
        <f aca="false">Assumptions!$D$102*F8831</f>
        <v>0.25</v>
      </c>
      <c r="G8893" s="48" t="n">
        <f aca="false">Assumptions!$D$102*G8831</f>
        <v>0.25</v>
      </c>
      <c r="H8893" s="48" t="n">
        <f aca="false">Assumptions!$D$102*H8831</f>
        <v>0.25</v>
      </c>
      <c r="I8893" s="48" t="n">
        <f aca="false">Assumptions!$D$102*I8831</f>
        <v>0.25</v>
      </c>
      <c r="J8893" s="48" t="n">
        <f aca="false">Assumptions!$D$102*J8831</f>
        <v>0.25</v>
      </c>
      <c r="K8893" s="48" t="n">
        <f aca="false">Assumptions!$D$102*K8831</f>
        <v>0.25</v>
      </c>
      <c r="L8893" s="48" t="n">
        <f aca="false">Assumptions!$D$102*L8831</f>
        <v>0.25</v>
      </c>
      <c r="M8893" s="48" t="n">
        <f aca="false">Assumptions!$D$102*M8831</f>
        <v>0.25</v>
      </c>
      <c r="N8893" s="48" t="n">
        <f aca="false">Assumptions!$D$102*N8831</f>
        <v>0.25</v>
      </c>
      <c r="P8893" s="49" t="n">
        <f aca="false">AVERAGE(C8893:F8893)</f>
        <v>0.25</v>
      </c>
      <c r="Q8893" s="49" t="n">
        <f aca="false">AVERAGE(G8893:J8893)</f>
        <v>0.25</v>
      </c>
      <c r="R8893" s="49" t="n">
        <f aca="false">AVERAGE(K8893:N8893)</f>
        <v>0.25</v>
      </c>
      <c r="S8893" s="50"/>
    </row>
    <row r="8894" customFormat="false" ht="15" hidden="false" customHeight="false" outlineLevel="0" collapsed="false">
      <c r="A8894" s="4" t="s">
        <v>553</v>
      </c>
      <c r="B8894" s="36" t="s">
        <v>321</v>
      </c>
      <c r="C8894" s="48" t="n">
        <f aca="false">(C8878+C8879)/Assumptions!$E$74+C8877/Assumptions!$E$75</f>
        <v>0</v>
      </c>
      <c r="D8894" s="48" t="n">
        <f aca="false">(D8878+D8879)/Assumptions!$E$74+D8877/Assumptions!$E$75</f>
        <v>0.0143176301374139</v>
      </c>
      <c r="E8894" s="48" t="n">
        <f aca="false">(E8878+E8879)/Assumptions!$E$74+E8877/Assumptions!$E$75</f>
        <v>0.0402499456767798</v>
      </c>
      <c r="F8894" s="48" t="n">
        <f aca="false">(F8878+F8879)/Assumptions!$E$74+F8877/Assumptions!$E$75</f>
        <v>0.069296156601371</v>
      </c>
      <c r="G8894" s="48" t="n">
        <f aca="false">(G8878+G8879)/Assumptions!$E$74+G8877/Assumptions!$E$75</f>
        <v>0.100475077199051</v>
      </c>
      <c r="H8894" s="48" t="n">
        <f aca="false">(H8878+H8879)/Assumptions!$E$74+H8877/Assumptions!$E$75</f>
        <v>0.139084643227244</v>
      </c>
      <c r="I8894" s="48" t="n">
        <f aca="false">(I8878+I8879)/Assumptions!$E$74+I8877/Assumptions!$E$75</f>
        <v>0.184756080005146</v>
      </c>
      <c r="J8894" s="48" t="n">
        <f aca="false">(J8878+J8879)/Assumptions!$E$74+J8877/Assumptions!$E$75</f>
        <v>0.248473880206466</v>
      </c>
      <c r="K8894" s="48" t="n">
        <f aca="false">(K8878+K8879)/Assumptions!$E$74+K8877/Assumptions!$E$75</f>
        <v>0.329218871456529</v>
      </c>
      <c r="L8894" s="48" t="n">
        <f aca="false">(L8878+L8879)/Assumptions!$E$74+L8877/Assumptions!$E$75</f>
        <v>0.409912468045788</v>
      </c>
      <c r="M8894" s="48" t="n">
        <f aca="false">(M8878+M8879)/Assumptions!$E$74+M8877/Assumptions!$E$75</f>
        <v>0.486094517455055</v>
      </c>
      <c r="N8894" s="48" t="n">
        <f aca="false">(N8878+N8879)/Assumptions!$E$74+N8877/Assumptions!$E$75</f>
        <v>0.557753573090085</v>
      </c>
      <c r="P8894" s="49" t="n">
        <f aca="false">AVERAGE(C8894:F8894)</f>
        <v>0.0309659331038912</v>
      </c>
      <c r="Q8894" s="49" t="n">
        <f aca="false">AVERAGE(G8894:J8894)</f>
        <v>0.168197420159477</v>
      </c>
      <c r="R8894" s="49" t="n">
        <f aca="false">AVERAGE(K8894:N8894)</f>
        <v>0.445744857511864</v>
      </c>
      <c r="S8894" s="50"/>
    </row>
    <row r="8895" customFormat="false" ht="15" hidden="false" customHeight="false" outlineLevel="0" collapsed="false">
      <c r="A8895" s="4" t="s">
        <v>554</v>
      </c>
      <c r="B8895" s="36" t="s">
        <v>125</v>
      </c>
      <c r="C8895" s="54" t="n">
        <f aca="false">(C8889+C8891)*Assumptions!$E$70/Assumptions!$E$69/4</f>
        <v>66753.5714285714</v>
      </c>
      <c r="D8895" s="54" t="n">
        <f aca="false">(D8889+D8891)*Assumptions!$E$70/Assumptions!$E$69/4</f>
        <v>66753.5714285714</v>
      </c>
      <c r="E8895" s="54" t="n">
        <f aca="false">(E8889+E8891)*Assumptions!$E$70/Assumptions!$E$69/4</f>
        <v>66753.5714285714</v>
      </c>
      <c r="F8895" s="54" t="n">
        <f aca="false">(F8889+F8891)*Assumptions!$E$70/Assumptions!$E$69/4</f>
        <v>66753.5714285714</v>
      </c>
      <c r="G8895" s="54" t="n">
        <f aca="false">(G8889+G8891)*Assumptions!$E$70/Assumptions!$E$69/4</f>
        <v>100130.357142857</v>
      </c>
      <c r="H8895" s="54" t="n">
        <f aca="false">(H8889+H8891)*Assumptions!$E$70/Assumptions!$E$69/4</f>
        <v>100130.357142857</v>
      </c>
      <c r="I8895" s="54" t="n">
        <f aca="false">(I8889+I8891)*Assumptions!$E$70/Assumptions!$E$69/4</f>
        <v>100130.357142857</v>
      </c>
      <c r="J8895" s="54" t="n">
        <f aca="false">(J8889+J8891)*Assumptions!$E$70/Assumptions!$E$69/4</f>
        <v>100130.357142857</v>
      </c>
      <c r="K8895" s="54" t="n">
        <f aca="false">(K8889+K8891)*Assumptions!$E$70/Assumptions!$E$69/4</f>
        <v>100130.357142857</v>
      </c>
      <c r="L8895" s="54" t="n">
        <f aca="false">(L8889+L8891)*Assumptions!$E$70/Assumptions!$E$69/4</f>
        <v>100130.357142857</v>
      </c>
      <c r="M8895" s="54" t="n">
        <f aca="false">(M8889+M8891)*Assumptions!$E$70/Assumptions!$E$69/4</f>
        <v>100130.357142857</v>
      </c>
      <c r="N8895" s="54" t="n">
        <f aca="false">(N8889+N8891)*Assumptions!$E$70/Assumptions!$E$69/4</f>
        <v>100130.357142857</v>
      </c>
      <c r="P8895" s="55" t="n">
        <f aca="false">SUM(C8895:F8895)</f>
        <v>267014.285714286</v>
      </c>
      <c r="Q8895" s="55" t="n">
        <f aca="false">SUM(G8895:J8895)</f>
        <v>400521.428571429</v>
      </c>
      <c r="R8895" s="55" t="n">
        <f aca="false">SUM(K8895:N8895)</f>
        <v>400521.428571429</v>
      </c>
      <c r="S8895" s="56" t="n">
        <f aca="false">SUM(P8895:R8895)</f>
        <v>1068057.14285714</v>
      </c>
    </row>
    <row r="8896" customFormat="false" ht="15" hidden="false" customHeight="false" outlineLevel="0" collapsed="false">
      <c r="A8896" s="4" t="s">
        <v>555</v>
      </c>
      <c r="B8896" s="36" t="s">
        <v>125</v>
      </c>
      <c r="C8896" s="54" t="n">
        <f aca="false">C8890*$C$8825/4</f>
        <v>0</v>
      </c>
      <c r="D8896" s="54" t="n">
        <f aca="false">D8890*$C$8825/4</f>
        <v>0</v>
      </c>
      <c r="E8896" s="54" t="n">
        <f aca="false">E8890*$C$8825/4</f>
        <v>0</v>
      </c>
      <c r="F8896" s="54" t="n">
        <f aca="false">F8890*$C$8825/4</f>
        <v>0</v>
      </c>
      <c r="G8896" s="54" t="n">
        <f aca="false">G8890*$C$8825/4</f>
        <v>0</v>
      </c>
      <c r="H8896" s="54" t="n">
        <f aca="false">H8890*$C$8825/4</f>
        <v>0</v>
      </c>
      <c r="I8896" s="54" t="n">
        <f aca="false">I8890*$C$8825/4</f>
        <v>0</v>
      </c>
      <c r="J8896" s="54" t="n">
        <f aca="false">J8890*$C$8825/4</f>
        <v>0</v>
      </c>
      <c r="K8896" s="54" t="n">
        <f aca="false">K8890*$C$8825/4</f>
        <v>0</v>
      </c>
      <c r="L8896" s="54" t="n">
        <f aca="false">L8890*$C$8825/4</f>
        <v>0</v>
      </c>
      <c r="M8896" s="54" t="n">
        <f aca="false">M8890*$C$8825/4</f>
        <v>0</v>
      </c>
      <c r="N8896" s="54" t="n">
        <f aca="false">N8890*$C$8825/4</f>
        <v>0</v>
      </c>
      <c r="P8896" s="55" t="n">
        <f aca="false">SUM(C8896:F8896)</f>
        <v>0</v>
      </c>
      <c r="Q8896" s="55" t="n">
        <f aca="false">SUM(G8896:J8896)</f>
        <v>0</v>
      </c>
      <c r="R8896" s="55" t="n">
        <f aca="false">SUM(K8896:N8896)</f>
        <v>0</v>
      </c>
      <c r="S8896" s="56" t="n">
        <f aca="false">SUM(P8896:R8896)</f>
        <v>0</v>
      </c>
    </row>
    <row r="8897" customFormat="false" ht="15" hidden="false" customHeight="false" outlineLevel="0" collapsed="false">
      <c r="A8897" s="4" t="s">
        <v>556</v>
      </c>
      <c r="B8897" s="36" t="s">
        <v>125</v>
      </c>
      <c r="C8897" s="54" t="n">
        <f aca="false">MAX(0,(C8885-C8866*$C$8821)-C8845*$C$8826)*$C$8827*Assumptions!$D$105</f>
        <v>0</v>
      </c>
      <c r="D8897" s="54" t="n">
        <f aca="false">MAX(0,(D8885-D8866*$C$8821)-D8845*$C$8826)*$C$8827*Assumptions!$D$105</f>
        <v>3491.72206180778</v>
      </c>
      <c r="E8897" s="54" t="n">
        <f aca="false">MAX(0,(E8885-E8866*$C$8821)-E8845*$C$8826)*$C$8827*Assumptions!$D$105</f>
        <v>8039.09651874593</v>
      </c>
      <c r="F8897" s="54" t="n">
        <f aca="false">MAX(0,(F8885-F8866*$C$8821)-F8845*$C$8826)*$C$8827*Assumptions!$D$105</f>
        <v>10124.750003461</v>
      </c>
      <c r="G8897" s="54" t="n">
        <f aca="false">MAX(0,(G8885-G8866*$C$8821)-G8845*$C$8826)*$C$8827*Assumptions!$D$105</f>
        <v>11120.4562644655</v>
      </c>
      <c r="H8897" s="54" t="n">
        <f aca="false">MAX(0,(H8885-H8866*$C$8821)-H8845*$C$8826)*$C$8827*Assumptions!$D$105</f>
        <v>13463.0357338943</v>
      </c>
      <c r="I8897" s="54" t="n">
        <f aca="false">MAX(0,(I8885-I8866*$C$8821)-I8845*$C$8826)*$C$8827*Assumptions!$D$105</f>
        <v>16072.2164343224</v>
      </c>
      <c r="J8897" s="54" t="n">
        <f aca="false">MAX(0,(J8885-J8866*$C$8821)-J8845*$C$8826)*$C$8827*Assumptions!$D$105</f>
        <v>21559.8957723031</v>
      </c>
      <c r="K8897" s="54" t="n">
        <f aca="false">MAX(0,(K8885-K8866*$C$8821)-K8845*$C$8826)*$C$8827*Assumptions!$D$105</f>
        <v>27808.6094682429</v>
      </c>
      <c r="L8897" s="54" t="n">
        <f aca="false">MAX(0,(L8885-L8866*$C$8821)-L8845*$C$8826)*$C$8827*Assumptions!$D$105</f>
        <v>29735.5837530454</v>
      </c>
      <c r="M8897" s="54" t="n">
        <f aca="false">MAX(0,(M8885-M8866*$C$8821)-M8845*$C$8826)*$C$8827*Assumptions!$D$105</f>
        <v>29201.3815340945</v>
      </c>
      <c r="N8897" s="54" t="n">
        <f aca="false">MAX(0,(N8885-N8866*$C$8821)-N8845*$C$8826)*$C$8827*Assumptions!$D$105</f>
        <v>28360.6706538674</v>
      </c>
      <c r="P8897" s="55" t="n">
        <f aca="false">SUM(C8897:F8897)</f>
        <v>21655.5685840147</v>
      </c>
      <c r="Q8897" s="55" t="n">
        <f aca="false">SUM(G8897:J8897)</f>
        <v>62215.6042049852</v>
      </c>
      <c r="R8897" s="55" t="n">
        <f aca="false">SUM(K8897:N8897)</f>
        <v>115106.24540925</v>
      </c>
      <c r="S8897" s="56" t="n">
        <f aca="false">SUM(P8897:R8897)</f>
        <v>198977.41819825</v>
      </c>
    </row>
    <row r="8898" customFormat="false" ht="15" hidden="false" customHeight="false" outlineLevel="0" collapsed="false">
      <c r="A8898" s="4" t="s">
        <v>557</v>
      </c>
      <c r="B8898" s="36" t="s">
        <v>125</v>
      </c>
      <c r="C8898" s="54" t="n">
        <f aca="false">C8893*Assumptions!$E$71/Assumptions!$E$69/4</f>
        <v>18475.8928571429</v>
      </c>
      <c r="D8898" s="54" t="n">
        <f aca="false">D8893*Assumptions!$E$71/Assumptions!$E$69/4</f>
        <v>18475.8928571429</v>
      </c>
      <c r="E8898" s="54" t="n">
        <f aca="false">E8893*Assumptions!$E$71/Assumptions!$E$69/4</f>
        <v>18475.8928571429</v>
      </c>
      <c r="F8898" s="54" t="n">
        <f aca="false">F8893*Assumptions!$E$71/Assumptions!$E$69/4</f>
        <v>18475.8928571429</v>
      </c>
      <c r="G8898" s="54" t="n">
        <f aca="false">G8893*Assumptions!$E$71/Assumptions!$E$69/4</f>
        <v>18475.8928571429</v>
      </c>
      <c r="H8898" s="54" t="n">
        <f aca="false">H8893*Assumptions!$E$71/Assumptions!$E$69/4</f>
        <v>18475.8928571429</v>
      </c>
      <c r="I8898" s="54" t="n">
        <f aca="false">I8893*Assumptions!$E$71/Assumptions!$E$69/4</f>
        <v>18475.8928571429</v>
      </c>
      <c r="J8898" s="54" t="n">
        <f aca="false">J8893*Assumptions!$E$71/Assumptions!$E$69/4</f>
        <v>18475.8928571429</v>
      </c>
      <c r="K8898" s="54" t="n">
        <f aca="false">K8893*Assumptions!$E$71/Assumptions!$E$69/4</f>
        <v>18475.8928571429</v>
      </c>
      <c r="L8898" s="54" t="n">
        <f aca="false">L8893*Assumptions!$E$71/Assumptions!$E$69/4</f>
        <v>18475.8928571429</v>
      </c>
      <c r="M8898" s="54" t="n">
        <f aca="false">M8893*Assumptions!$E$71/Assumptions!$E$69/4</f>
        <v>18475.8928571429</v>
      </c>
      <c r="N8898" s="54" t="n">
        <f aca="false">N8893*Assumptions!$E$71/Assumptions!$E$69/4</f>
        <v>18475.8928571429</v>
      </c>
      <c r="P8898" s="55" t="n">
        <f aca="false">SUM(C8898:F8898)</f>
        <v>73903.5714285714</v>
      </c>
      <c r="Q8898" s="55" t="n">
        <f aca="false">SUM(G8898:J8898)</f>
        <v>73903.5714285714</v>
      </c>
      <c r="R8898" s="55" t="n">
        <f aca="false">SUM(K8898:N8898)</f>
        <v>73903.5714285714</v>
      </c>
      <c r="S8898" s="56" t="n">
        <f aca="false">SUM(P8898:R8898)</f>
        <v>221710.714285714</v>
      </c>
    </row>
    <row r="8899" customFormat="false" ht="15" hidden="false" customHeight="false" outlineLevel="0" collapsed="false">
      <c r="A8899" s="4" t="s">
        <v>558</v>
      </c>
      <c r="B8899" s="36" t="s">
        <v>125</v>
      </c>
      <c r="C8899" s="54" t="n">
        <f aca="false">(Assumptions!$D$103+Assumptions!$E$77*((C8830=Assumptions!$E$13)+(C8830=Assumptions!$E$14)+(C8830=Assumptions!$E$15)))*C8831</f>
        <v>65000</v>
      </c>
      <c r="D8899" s="54" t="n">
        <f aca="false">(Assumptions!$D$103+Assumptions!$E$77*((D8830=Assumptions!$E$13)+(D8830=Assumptions!$E$14)+(D8830=Assumptions!$E$15)))*D8831</f>
        <v>25000</v>
      </c>
      <c r="E8899" s="54" t="n">
        <f aca="false">(Assumptions!$D$103+Assumptions!$E$77*((E8830=Assumptions!$E$13)+(E8830=Assumptions!$E$14)+(E8830=Assumptions!$E$15)))*E8831</f>
        <v>25000</v>
      </c>
      <c r="F8899" s="54" t="n">
        <f aca="false">(Assumptions!$D$103+Assumptions!$E$77*((F8830=Assumptions!$E$13)+(F8830=Assumptions!$E$14)+(F8830=Assumptions!$E$15)))*F8831</f>
        <v>25000</v>
      </c>
      <c r="G8899" s="54" t="n">
        <f aca="false">(Assumptions!$D$103+Assumptions!$E$77*((G8830=Assumptions!$E$13)+(G8830=Assumptions!$E$14)+(G8830=Assumptions!$E$15)))*G8831</f>
        <v>65000</v>
      </c>
      <c r="H8899" s="54" t="n">
        <f aca="false">(Assumptions!$D$103+Assumptions!$E$77*((H8830=Assumptions!$E$13)+(H8830=Assumptions!$E$14)+(H8830=Assumptions!$E$15)))*H8831</f>
        <v>25000</v>
      </c>
      <c r="I8899" s="54" t="n">
        <f aca="false">(Assumptions!$D$103+Assumptions!$E$77*((I8830=Assumptions!$E$13)+(I8830=Assumptions!$E$14)+(I8830=Assumptions!$E$15)))*I8831</f>
        <v>65000</v>
      </c>
      <c r="J8899" s="54" t="n">
        <f aca="false">(Assumptions!$D$103+Assumptions!$E$77*((J8830=Assumptions!$E$13)+(J8830=Assumptions!$E$14)+(J8830=Assumptions!$E$15)))*J8831</f>
        <v>25000</v>
      </c>
      <c r="K8899" s="54" t="n">
        <f aca="false">(Assumptions!$D$103+Assumptions!$E$77*((K8830=Assumptions!$E$13)+(K8830=Assumptions!$E$14)+(K8830=Assumptions!$E$15)))*K8831</f>
        <v>25000</v>
      </c>
      <c r="L8899" s="54" t="n">
        <f aca="false">(Assumptions!$D$103+Assumptions!$E$77*((L8830=Assumptions!$E$13)+(L8830=Assumptions!$E$14)+(L8830=Assumptions!$E$15)))*L8831</f>
        <v>25000</v>
      </c>
      <c r="M8899" s="54" t="n">
        <f aca="false">(Assumptions!$D$103+Assumptions!$E$77*((M8830=Assumptions!$E$13)+(M8830=Assumptions!$E$14)+(M8830=Assumptions!$E$15)))*M8831</f>
        <v>25000</v>
      </c>
      <c r="N8899" s="54" t="n">
        <f aca="false">(Assumptions!$D$103+Assumptions!$E$77*((N8830=Assumptions!$E$13)+(N8830=Assumptions!$E$14)+(N8830=Assumptions!$E$15)))*N8831</f>
        <v>25000</v>
      </c>
      <c r="P8899" s="55" t="n">
        <f aca="false">SUM(C8899:F8899)</f>
        <v>140000</v>
      </c>
      <c r="Q8899" s="55" t="n">
        <f aca="false">SUM(G8899:J8899)</f>
        <v>180000</v>
      </c>
      <c r="R8899" s="55" t="n">
        <f aca="false">SUM(K8899:N8899)</f>
        <v>100000</v>
      </c>
      <c r="S8899" s="56" t="n">
        <f aca="false">SUM(P8899:R8899)</f>
        <v>420000</v>
      </c>
    </row>
    <row r="8900" customFormat="false" ht="15" hidden="false" customHeight="false" outlineLevel="0" collapsed="false">
      <c r="A8900" s="4" t="s">
        <v>559</v>
      </c>
      <c r="B8900" s="36" t="s">
        <v>125</v>
      </c>
      <c r="C8900" s="54" t="n">
        <f aca="false">C8885*C8865*Assumptions!$E$79</f>
        <v>0</v>
      </c>
      <c r="D8900" s="54" t="n">
        <f aca="false">D8885*D8865*Assumptions!$E$79</f>
        <v>815.338873355417</v>
      </c>
      <c r="E8900" s="54" t="n">
        <f aca="false">E8885*E8865*Assumptions!$E$79</f>
        <v>1576.95453714349</v>
      </c>
      <c r="F8900" s="54" t="n">
        <f aca="false">F8885*F8865*Assumptions!$E$79</f>
        <v>2363.78759030579</v>
      </c>
      <c r="G8900" s="54" t="n">
        <f aca="false">G8885*G8865*Assumptions!$E$79</f>
        <v>2961.23316349717</v>
      </c>
      <c r="H8900" s="54" t="n">
        <f aca="false">H8885*H8865*Assumptions!$E$79</f>
        <v>3401.8566535345</v>
      </c>
      <c r="I8900" s="54" t="n">
        <f aca="false">I8885*I8865*Assumptions!$E$79</f>
        <v>3951.44098442022</v>
      </c>
      <c r="J8900" s="54" t="n">
        <f aca="false">J8885*J8865*Assumptions!$E$79</f>
        <v>4240.17604272452</v>
      </c>
      <c r="K8900" s="54" t="n">
        <f aca="false">K8885*K8865*Assumptions!$E$79</f>
        <v>4805.46240923336</v>
      </c>
      <c r="L8900" s="54" t="n">
        <f aca="false">L8885*L8865*Assumptions!$E$79</f>
        <v>5627.63185752923</v>
      </c>
      <c r="M8900" s="54" t="n">
        <f aca="false">M8885*M8865*Assumptions!$E$79</f>
        <v>5687.10015383768</v>
      </c>
      <c r="N8900" s="54" t="n">
        <f aca="false">N8885*N8865*Assumptions!$E$79</f>
        <v>5685.06198652904</v>
      </c>
      <c r="P8900" s="55" t="n">
        <f aca="false">SUM(C8900:F8900)</f>
        <v>4756.0810008047</v>
      </c>
      <c r="Q8900" s="55" t="n">
        <f aca="false">SUM(G8900:J8900)</f>
        <v>14554.7068441764</v>
      </c>
      <c r="R8900" s="55" t="n">
        <f aca="false">SUM(K8900:N8900)</f>
        <v>21805.2564071293</v>
      </c>
      <c r="S8900" s="56" t="n">
        <f aca="false">SUM(P8900:R8900)</f>
        <v>41116.0442521104</v>
      </c>
    </row>
    <row r="8901" customFormat="false" ht="15" hidden="false" customHeight="false" outlineLevel="0" collapsed="false">
      <c r="A8901" s="4" t="s">
        <v>560</v>
      </c>
      <c r="B8901" s="36" t="s">
        <v>125</v>
      </c>
      <c r="C8901" s="54" t="n">
        <f aca="false">C8850*Assumptions!$E$80</f>
        <v>4000</v>
      </c>
      <c r="D8901" s="54" t="n">
        <f aca="false">D8850*Assumptions!$E$80</f>
        <v>6000</v>
      </c>
      <c r="E8901" s="54" t="n">
        <f aca="false">E8850*Assumptions!$E$80</f>
        <v>8000</v>
      </c>
      <c r="F8901" s="54" t="n">
        <f aca="false">F8850*Assumptions!$E$80</f>
        <v>10000</v>
      </c>
      <c r="G8901" s="54" t="n">
        <f aca="false">G8850*Assumptions!$E$80</f>
        <v>12000</v>
      </c>
      <c r="H8901" s="54" t="n">
        <f aca="false">H8850*Assumptions!$E$80</f>
        <v>14000</v>
      </c>
      <c r="I8901" s="54" t="n">
        <f aca="false">I8850*Assumptions!$E$80</f>
        <v>16000</v>
      </c>
      <c r="J8901" s="54" t="n">
        <f aca="false">J8850*Assumptions!$E$80</f>
        <v>18000</v>
      </c>
      <c r="K8901" s="54" t="n">
        <f aca="false">K8850*Assumptions!$E$80</f>
        <v>20000</v>
      </c>
      <c r="L8901" s="54" t="n">
        <f aca="false">L8850*Assumptions!$E$80</f>
        <v>20000</v>
      </c>
      <c r="M8901" s="54" t="n">
        <f aca="false">M8850*Assumptions!$E$80</f>
        <v>20000</v>
      </c>
      <c r="N8901" s="54" t="n">
        <f aca="false">N8850*Assumptions!$E$80</f>
        <v>20000</v>
      </c>
      <c r="P8901" s="55" t="n">
        <f aca="false">SUM(C8901:F8901)</f>
        <v>28000</v>
      </c>
      <c r="Q8901" s="55" t="n">
        <f aca="false">SUM(G8901:J8901)</f>
        <v>60000</v>
      </c>
      <c r="R8901" s="55" t="n">
        <f aca="false">SUM(K8901:N8901)</f>
        <v>80000</v>
      </c>
      <c r="S8901" s="56" t="n">
        <f aca="false">SUM(P8901:R8901)</f>
        <v>168000</v>
      </c>
    </row>
    <row r="8902" customFormat="false" ht="15" hidden="false" customHeight="false" outlineLevel="0" collapsed="false">
      <c r="A8902" s="4" t="s">
        <v>561</v>
      </c>
      <c r="B8902" s="36" t="s">
        <v>125</v>
      </c>
      <c r="C8902" s="54" t="n">
        <f aca="false">(C8873*$C$8822+C8874*$C$8823)*Assumptions!$E$81</f>
        <v>0</v>
      </c>
      <c r="D8902" s="54" t="n">
        <f aca="false">(D8873*$C$8822+D8874*$C$8823)*Assumptions!$E$81</f>
        <v>635.937968364564</v>
      </c>
      <c r="E8902" s="54" t="n">
        <f aca="false">(E8873*$C$8822+E8874*$C$8823)*Assumptions!$E$81</f>
        <v>1750.54055351793</v>
      </c>
      <c r="F8902" s="54" t="n">
        <f aca="false">(F8873*$C$8822+F8874*$C$8823)*Assumptions!$E$81</f>
        <v>2334.90810210795</v>
      </c>
      <c r="G8902" s="54" t="n">
        <f aca="false">(G8873*$C$8822+G8874*$C$8823)*Assumptions!$E$81</f>
        <v>2567.01977128764</v>
      </c>
      <c r="H8902" s="54" t="n">
        <f aca="false">(H8873*$C$8822+H8874*$C$8823)*Assumptions!$E$81</f>
        <v>3030.96924471942</v>
      </c>
      <c r="I8902" s="54" t="n">
        <f aca="false">(I8873*$C$8822+I8874*$C$8823)*Assumptions!$E$81</f>
        <v>3599.72954781419</v>
      </c>
      <c r="J8902" s="54" t="n">
        <f aca="false">(J8873*$C$8822+J8874*$C$8823)*Assumptions!$E$81</f>
        <v>4611.5696968051</v>
      </c>
      <c r="K8902" s="54" t="n">
        <f aca="false">(K8873*$C$8822+K8874*$C$8823)*Assumptions!$E$81</f>
        <v>5939.56455642065</v>
      </c>
      <c r="L8902" s="54" t="n">
        <f aca="false">(L8873*$C$8822+L8874*$C$8823)*Assumptions!$E$81</f>
        <v>6537.87185823684</v>
      </c>
      <c r="M8902" s="54" t="n">
        <f aca="false">(M8873*$C$8822+M8874*$C$8823)*Assumptions!$E$81</f>
        <v>6455.63010570383</v>
      </c>
      <c r="N8902" s="54" t="n">
        <f aca="false">(N8873*$C$8822+N8874*$C$8823)*Assumptions!$E$81</f>
        <v>6268.61318404599</v>
      </c>
      <c r="P8902" s="55" t="n">
        <f aca="false">SUM(C8902:F8902)</f>
        <v>4721.38662399044</v>
      </c>
      <c r="Q8902" s="55" t="n">
        <f aca="false">SUM(G8902:J8902)</f>
        <v>13809.2882606264</v>
      </c>
      <c r="R8902" s="55" t="n">
        <f aca="false">SUM(K8902:N8902)</f>
        <v>25201.6797044073</v>
      </c>
      <c r="S8902" s="56" t="n">
        <f aca="false">SUM(P8902:R8902)</f>
        <v>43732.3545890241</v>
      </c>
    </row>
    <row r="8903" customFormat="false" ht="15" hidden="false" customHeight="false" outlineLevel="0" collapsed="false">
      <c r="A8903" s="9" t="s">
        <v>562</v>
      </c>
      <c r="B8903" s="36" t="s">
        <v>125</v>
      </c>
      <c r="C8903" s="55" t="n">
        <f aca="false">C8895+C8896+C8897+C8898+C8899+C8900+C8901+C8902</f>
        <v>154229.464285714</v>
      </c>
      <c r="D8903" s="55" t="n">
        <f aca="false">D8895+D8896+D8897+D8898+D8899+D8900+D8901+D8902</f>
        <v>121172.463189242</v>
      </c>
      <c r="E8903" s="55" t="n">
        <f aca="false">E8895+E8896+E8897+E8898+E8899+E8900+E8901+E8902</f>
        <v>129596.055895122</v>
      </c>
      <c r="F8903" s="55" t="n">
        <f aca="false">F8895+F8896+F8897+F8898+F8899+F8900+F8901+F8902</f>
        <v>135052.909981589</v>
      </c>
      <c r="G8903" s="55" t="n">
        <f aca="false">G8895+G8896+G8897+G8898+G8899+G8900+G8901+G8902</f>
        <v>212254.95919925</v>
      </c>
      <c r="H8903" s="55" t="n">
        <f aca="false">H8895+H8896+H8897+H8898+H8899+H8900+H8901+H8902</f>
        <v>177502.111632148</v>
      </c>
      <c r="I8903" s="55" t="n">
        <f aca="false">I8895+I8896+I8897+I8898+I8899+I8900+I8901+I8902</f>
        <v>223229.636966557</v>
      </c>
      <c r="J8903" s="55" t="n">
        <f aca="false">J8895+J8896+J8897+J8898+J8899+J8900+J8901+J8902</f>
        <v>192017.891511833</v>
      </c>
      <c r="K8903" s="55" t="n">
        <f aca="false">K8895+K8896+K8897+K8898+K8899+K8900+K8901+K8902</f>
        <v>202159.886433897</v>
      </c>
      <c r="L8903" s="55" t="n">
        <f aca="false">L8895+L8896+L8897+L8898+L8899+L8900+L8901+L8902</f>
        <v>205507.337468812</v>
      </c>
      <c r="M8903" s="55" t="n">
        <f aca="false">M8895+M8896+M8897+M8898+M8899+M8900+M8901+M8902</f>
        <v>204950.361793636</v>
      </c>
      <c r="N8903" s="55" t="n">
        <f aca="false">N8895+N8896+N8897+N8898+N8899+N8900+N8901+N8902</f>
        <v>203920.595824442</v>
      </c>
      <c r="P8903" s="55" t="n">
        <f aca="false">SUM(C8903:F8903)</f>
        <v>540050.893351667</v>
      </c>
      <c r="Q8903" s="55" t="n">
        <f aca="false">SUM(G8903:J8903)</f>
        <v>805004.599309788</v>
      </c>
      <c r="R8903" s="55" t="n">
        <f aca="false">SUM(K8903:N8903)</f>
        <v>816538.181520787</v>
      </c>
      <c r="S8903" s="56" t="n">
        <f aca="false">SUM(P8903:R8903)</f>
        <v>2161593.67418224</v>
      </c>
    </row>
    <row r="8904" customFormat="false" ht="15" hidden="false" customHeight="false" outlineLevel="0" collapsed="false">
      <c r="A8904" s="4" t="s">
        <v>563</v>
      </c>
      <c r="B8904" s="36" t="s">
        <v>125</v>
      </c>
      <c r="C8904" s="54" t="n">
        <f aca="false">C8892*Assumptions!$E$72/Assumptions!$E$69/4</f>
        <v>56535.7142857143</v>
      </c>
      <c r="D8904" s="54" t="n">
        <f aca="false">D8892*Assumptions!$E$72/Assumptions!$E$69/4</f>
        <v>56535.7142857143</v>
      </c>
      <c r="E8904" s="54" t="n">
        <f aca="false">E8892*Assumptions!$E$72/Assumptions!$E$69/4</f>
        <v>56535.7142857143</v>
      </c>
      <c r="F8904" s="54" t="n">
        <f aca="false">F8892*Assumptions!$E$72/Assumptions!$E$69/4</f>
        <v>56535.7142857143</v>
      </c>
      <c r="G8904" s="54" t="n">
        <f aca="false">G8892*Assumptions!$E$72/Assumptions!$E$69/4</f>
        <v>28267.8571428571</v>
      </c>
      <c r="H8904" s="54" t="n">
        <f aca="false">H8892*Assumptions!$E$72/Assumptions!$E$69/4</f>
        <v>28267.8571428571</v>
      </c>
      <c r="I8904" s="54" t="n">
        <f aca="false">I8892*Assumptions!$E$72/Assumptions!$E$69/4</f>
        <v>28267.8571428571</v>
      </c>
      <c r="J8904" s="54" t="n">
        <f aca="false">J8892*Assumptions!$E$72/Assumptions!$E$69/4</f>
        <v>28267.8571428571</v>
      </c>
      <c r="K8904" s="54" t="n">
        <f aca="false">K8892*Assumptions!$E$72/Assumptions!$E$69/4</f>
        <v>28267.8571428571</v>
      </c>
      <c r="L8904" s="54" t="n">
        <f aca="false">L8892*Assumptions!$E$72/Assumptions!$E$69/4</f>
        <v>28267.8571428571</v>
      </c>
      <c r="M8904" s="54" t="n">
        <f aca="false">M8892*Assumptions!$E$72/Assumptions!$E$69/4</f>
        <v>28267.8571428571</v>
      </c>
      <c r="N8904" s="54" t="n">
        <f aca="false">N8892*Assumptions!$E$72/Assumptions!$E$69/4</f>
        <v>28267.8571428571</v>
      </c>
      <c r="P8904" s="55" t="n">
        <f aca="false">SUM(C8904:F8904)</f>
        <v>226142.857142857</v>
      </c>
      <c r="Q8904" s="55" t="n">
        <f aca="false">SUM(G8904:J8904)</f>
        <v>113071.428571429</v>
      </c>
      <c r="R8904" s="55" t="n">
        <f aca="false">SUM(K8904:N8904)</f>
        <v>113071.428571429</v>
      </c>
      <c r="S8904" s="56" t="n">
        <f aca="false">SUM(P8904:R8904)</f>
        <v>452285.714285714</v>
      </c>
    </row>
    <row r="8905" customFormat="false" ht="15" hidden="false" customHeight="false" outlineLevel="0" collapsed="false">
      <c r="A8905" s="4" t="s">
        <v>564</v>
      </c>
      <c r="B8905" s="36" t="s">
        <v>125</v>
      </c>
      <c r="C8905" s="54" t="n">
        <f aca="false">IF(C8830&lt;=Assumptions!$E$83,Assumptions!$E$82*Assumptions!$D$108/Assumptions!$E$83,0)</f>
        <v>62500</v>
      </c>
      <c r="D8905" s="54" t="n">
        <f aca="false">IF(D8830&lt;=Assumptions!$E$83,Assumptions!$E$82*Assumptions!$D$108/Assumptions!$E$83,0)</f>
        <v>62500</v>
      </c>
      <c r="E8905" s="54" t="n">
        <f aca="false">IF(E8830&lt;=Assumptions!$E$83,Assumptions!$E$82*Assumptions!$D$108/Assumptions!$E$83,0)</f>
        <v>62500</v>
      </c>
      <c r="F8905" s="54" t="n">
        <f aca="false">IF(F8830&lt;=Assumptions!$E$83,Assumptions!$E$82*Assumptions!$D$108/Assumptions!$E$83,0)</f>
        <v>62500</v>
      </c>
      <c r="G8905" s="54" t="n">
        <f aca="false">IF(G8830&lt;=Assumptions!$E$83,Assumptions!$E$82*Assumptions!$D$108/Assumptions!$E$83,0)</f>
        <v>0</v>
      </c>
      <c r="H8905" s="54" t="n">
        <f aca="false">IF(H8830&lt;=Assumptions!$E$83,Assumptions!$E$82*Assumptions!$D$108/Assumptions!$E$83,0)</f>
        <v>0</v>
      </c>
      <c r="I8905" s="54" t="n">
        <f aca="false">IF(I8830&lt;=Assumptions!$E$83,Assumptions!$E$82*Assumptions!$D$108/Assumptions!$E$83,0)</f>
        <v>0</v>
      </c>
      <c r="J8905" s="54" t="n">
        <f aca="false">IF(J8830&lt;=Assumptions!$E$83,Assumptions!$E$82*Assumptions!$D$108/Assumptions!$E$83,0)</f>
        <v>0</v>
      </c>
      <c r="K8905" s="54" t="n">
        <f aca="false">IF(K8830&lt;=Assumptions!$E$83,Assumptions!$E$82*Assumptions!$D$108/Assumptions!$E$83,0)</f>
        <v>0</v>
      </c>
      <c r="L8905" s="54" t="n">
        <f aca="false">IF(L8830&lt;=Assumptions!$E$83,Assumptions!$E$82*Assumptions!$D$108/Assumptions!$E$83,0)</f>
        <v>0</v>
      </c>
      <c r="M8905" s="54" t="n">
        <f aca="false">IF(M8830&lt;=Assumptions!$E$83,Assumptions!$E$82*Assumptions!$D$108/Assumptions!$E$83,0)</f>
        <v>0</v>
      </c>
      <c r="N8905" s="54" t="n">
        <f aca="false">IF(N8830&lt;=Assumptions!$E$83,Assumptions!$E$82*Assumptions!$D$108/Assumptions!$E$83,0)</f>
        <v>0</v>
      </c>
      <c r="P8905" s="55" t="n">
        <f aca="false">SUM(C8905:F8905)</f>
        <v>250000</v>
      </c>
      <c r="Q8905" s="55" t="n">
        <f aca="false">SUM(G8905:J8905)</f>
        <v>0</v>
      </c>
      <c r="R8905" s="55" t="n">
        <f aca="false">SUM(K8905:N8905)</f>
        <v>0</v>
      </c>
      <c r="S8905" s="56" t="n">
        <f aca="false">SUM(P8905:R8905)</f>
        <v>250000</v>
      </c>
    </row>
    <row r="8906" customFormat="false" ht="15" hidden="false" customHeight="false" outlineLevel="0" collapsed="false">
      <c r="A8906" s="4" t="s">
        <v>565</v>
      </c>
      <c r="B8906" s="36" t="s">
        <v>125</v>
      </c>
      <c r="C8906" s="54" t="n">
        <f aca="false">C8894*Assumptions!$E$73/Assumptions!$E$69/4</f>
        <v>0</v>
      </c>
      <c r="D8906" s="54" t="n">
        <f aca="false">D8894*Assumptions!$E$73/Assumptions!$E$69/4</f>
        <v>575.3130595573</v>
      </c>
      <c r="E8906" s="54" t="n">
        <f aca="false">E8894*Assumptions!$E$73/Assumptions!$E$69/4</f>
        <v>1617.32906717661</v>
      </c>
      <c r="F8906" s="54" t="n">
        <f aca="false">F8894*Assumptions!$E$73/Assumptions!$E$69/4</f>
        <v>2784.46806400723</v>
      </c>
      <c r="G8906" s="54" t="n">
        <f aca="false">G8894*Assumptions!$E$73/Assumptions!$E$69/4</f>
        <v>4037.30390559473</v>
      </c>
      <c r="H8906" s="54" t="n">
        <f aca="false">H8894*Assumptions!$E$73/Assumptions!$E$69/4</f>
        <v>5588.71900339185</v>
      </c>
      <c r="I8906" s="54" t="n">
        <f aca="false">I8894*Assumptions!$E$73/Assumptions!$E$69/4</f>
        <v>7423.89520049251</v>
      </c>
      <c r="J8906" s="54" t="n">
        <f aca="false">J8894*Assumptions!$E$73/Assumptions!$E$69/4</f>
        <v>9984.21295072483</v>
      </c>
      <c r="K8906" s="54" t="n">
        <f aca="false">K8894*Assumptions!$E$73/Assumptions!$E$69/4</f>
        <v>13228.7197241336</v>
      </c>
      <c r="L8906" s="54" t="n">
        <f aca="false">L8894*Assumptions!$E$73/Assumptions!$E$69/4</f>
        <v>16471.1613499398</v>
      </c>
      <c r="M8906" s="54" t="n">
        <f aca="false">M8894*Assumptions!$E$73/Assumptions!$E$69/4</f>
        <v>19532.3193424529</v>
      </c>
      <c r="N8906" s="54" t="n">
        <f aca="false">N8894*Assumptions!$E$73/Assumptions!$E$69/4</f>
        <v>22411.7337529877</v>
      </c>
      <c r="P8906" s="55" t="n">
        <f aca="false">SUM(C8906:F8906)</f>
        <v>4977.11019074114</v>
      </c>
      <c r="Q8906" s="55" t="n">
        <f aca="false">SUM(G8906:J8906)</f>
        <v>27034.1310602039</v>
      </c>
      <c r="R8906" s="55" t="n">
        <f aca="false">SUM(K8906:N8906)</f>
        <v>71643.934169514</v>
      </c>
      <c r="S8906" s="56" t="n">
        <f aca="false">SUM(P8906:R8906)</f>
        <v>103655.175420459</v>
      </c>
    </row>
    <row r="8907" customFormat="false" ht="15" hidden="false" customHeight="false" outlineLevel="0" collapsed="false">
      <c r="A8907" s="9" t="s">
        <v>566</v>
      </c>
      <c r="B8907" s="36" t="s">
        <v>125</v>
      </c>
      <c r="C8907" s="55" t="n">
        <f aca="false">C8903+C8904+C8905+C8906</f>
        <v>273265.178571429</v>
      </c>
      <c r="D8907" s="55" t="n">
        <f aca="false">D8903+D8904+D8905+D8906</f>
        <v>240783.490534514</v>
      </c>
      <c r="E8907" s="55" t="n">
        <f aca="false">E8903+E8904+E8905+E8906</f>
        <v>250249.099248013</v>
      </c>
      <c r="F8907" s="55" t="n">
        <f aca="false">F8903+F8904+F8905+F8906</f>
        <v>256873.092331311</v>
      </c>
      <c r="G8907" s="55" t="n">
        <f aca="false">G8903+G8904+G8905+G8906</f>
        <v>244560.120247702</v>
      </c>
      <c r="H8907" s="55" t="n">
        <f aca="false">H8903+H8904+H8905+H8906</f>
        <v>211358.687778397</v>
      </c>
      <c r="I8907" s="55" t="n">
        <f aca="false">I8903+I8904+I8905+I8906</f>
        <v>258921.389309906</v>
      </c>
      <c r="J8907" s="55" t="n">
        <f aca="false">J8903+J8904+J8905+J8906</f>
        <v>230269.961605415</v>
      </c>
      <c r="K8907" s="55" t="n">
        <f aca="false">K8903+K8904+K8905+K8906</f>
        <v>243656.463300888</v>
      </c>
      <c r="L8907" s="55" t="n">
        <f aca="false">L8903+L8904+L8905+L8906</f>
        <v>250246.355961609</v>
      </c>
      <c r="M8907" s="55" t="n">
        <f aca="false">M8903+M8904+M8905+M8906</f>
        <v>252750.538278946</v>
      </c>
      <c r="N8907" s="55" t="n">
        <f aca="false">N8903+N8904+N8905+N8906</f>
        <v>254600.186720287</v>
      </c>
      <c r="P8907" s="55" t="n">
        <f aca="false">SUM(C8907:F8907)</f>
        <v>1021170.86068527</v>
      </c>
      <c r="Q8907" s="55" t="n">
        <f aca="false">SUM(G8907:J8907)</f>
        <v>945110.158941421</v>
      </c>
      <c r="R8907" s="55" t="n">
        <f aca="false">SUM(K8907:N8907)</f>
        <v>1001253.54426173</v>
      </c>
      <c r="S8907" s="56" t="n">
        <f aca="false">SUM(P8907:R8907)</f>
        <v>2967534.56388842</v>
      </c>
    </row>
    <row r="8908" customFormat="false" ht="15" hidden="false" customHeight="false" outlineLevel="0" collapsed="false">
      <c r="A8908" s="35" t="s">
        <v>567</v>
      </c>
      <c r="B8908" s="35" t="s">
        <v>444</v>
      </c>
      <c r="C8908" s="6" t="s">
        <v>354</v>
      </c>
      <c r="D8908" s="6" t="s">
        <v>355</v>
      </c>
      <c r="E8908" s="6" t="s">
        <v>356</v>
      </c>
      <c r="F8908" s="6" t="s">
        <v>357</v>
      </c>
      <c r="G8908" s="6" t="s">
        <v>358</v>
      </c>
      <c r="H8908" s="6" t="s">
        <v>359</v>
      </c>
      <c r="I8908" s="6" t="s">
        <v>360</v>
      </c>
      <c r="J8908" s="6" t="s">
        <v>361</v>
      </c>
      <c r="K8908" s="6" t="s">
        <v>362</v>
      </c>
      <c r="L8908" s="6" t="s">
        <v>363</v>
      </c>
      <c r="M8908" s="6" t="s">
        <v>364</v>
      </c>
      <c r="N8908" s="6" t="s">
        <v>365</v>
      </c>
      <c r="P8908" s="6" t="s">
        <v>445</v>
      </c>
      <c r="Q8908" s="6" t="s">
        <v>446</v>
      </c>
      <c r="R8908" s="6" t="s">
        <v>447</v>
      </c>
      <c r="S8908" s="6" t="s">
        <v>448</v>
      </c>
    </row>
    <row r="8909" customFormat="false" ht="15" hidden="false" customHeight="false" outlineLevel="0" collapsed="false">
      <c r="A8909" s="9" t="s">
        <v>568</v>
      </c>
      <c r="B8909" s="36" t="s">
        <v>125</v>
      </c>
      <c r="C8909" s="55" t="n">
        <f aca="false">C8887-C8907</f>
        <v>-273265.178571429</v>
      </c>
      <c r="D8909" s="55" t="n">
        <f aca="false">D8887-D8907</f>
        <v>-240062.280337795</v>
      </c>
      <c r="E8909" s="55" t="n">
        <f aca="false">E8887-E8907</f>
        <v>-247207.646379802</v>
      </c>
      <c r="F8909" s="55" t="n">
        <f aca="false">F8887-F8907</f>
        <v>-250228.802278658</v>
      </c>
      <c r="G8909" s="55" t="n">
        <f aca="false">G8887-G8907</f>
        <v>-233682.323682823</v>
      </c>
      <c r="H8909" s="55" t="n">
        <f aca="false">H8887-H8907</f>
        <v>-195510.166063918</v>
      </c>
      <c r="I8909" s="55" t="n">
        <f aca="false">I8887-I8907</f>
        <v>-237031.394824393</v>
      </c>
      <c r="J8909" s="55" t="n">
        <f aca="false">J8887-J8907</f>
        <v>-200597.728717241</v>
      </c>
      <c r="K8909" s="55" t="n">
        <f aca="false">K8887-K8907</f>
        <v>-203711.192707385</v>
      </c>
      <c r="L8909" s="55" t="n">
        <f aca="false">L8887-L8907</f>
        <v>-198295.888226011</v>
      </c>
      <c r="M8909" s="55" t="n">
        <f aca="false">M8887-M8907</f>
        <v>-188390.340352126</v>
      </c>
      <c r="N8909" s="55" t="n">
        <f aca="false">N8887-N8907</f>
        <v>-177916.162821988</v>
      </c>
      <c r="P8909" s="55" t="n">
        <f aca="false">SUM(C8909:F8909)</f>
        <v>-1010763.90756768</v>
      </c>
      <c r="Q8909" s="55" t="n">
        <f aca="false">SUM(G8909:J8909)</f>
        <v>-866821.613288375</v>
      </c>
      <c r="R8909" s="55" t="n">
        <f aca="false">SUM(K8909:N8909)</f>
        <v>-768313.58410751</v>
      </c>
      <c r="S8909" s="56" t="n">
        <f aca="false">SUM(P8909:R8909)</f>
        <v>-2645899.10496357</v>
      </c>
    </row>
    <row r="8910" customFormat="false" ht="15" hidden="false" customHeight="false" outlineLevel="0" collapsed="false">
      <c r="A8910" s="9" t="s">
        <v>569</v>
      </c>
      <c r="B8910" s="36" t="s">
        <v>125</v>
      </c>
      <c r="C8910" s="55" t="n">
        <f aca="false">0+C8909</f>
        <v>-273265.178571429</v>
      </c>
      <c r="D8910" s="55" t="n">
        <f aca="false">C8910+D8909</f>
        <v>-513327.458909223</v>
      </c>
      <c r="E8910" s="55" t="n">
        <f aca="false">D8910+E8909</f>
        <v>-760535.105289025</v>
      </c>
      <c r="F8910" s="55" t="n">
        <f aca="false">E8910+F8909</f>
        <v>-1010763.90756768</v>
      </c>
      <c r="G8910" s="55" t="n">
        <f aca="false">F8910+G8909</f>
        <v>-1244446.23125051</v>
      </c>
      <c r="H8910" s="55" t="n">
        <f aca="false">G8910+H8909</f>
        <v>-1439956.39731442</v>
      </c>
      <c r="I8910" s="55" t="n">
        <f aca="false">H8910+I8909</f>
        <v>-1676987.79213882</v>
      </c>
      <c r="J8910" s="55" t="n">
        <f aca="false">I8910+J8909</f>
        <v>-1877585.52085606</v>
      </c>
      <c r="K8910" s="55" t="n">
        <f aca="false">J8910+K8909</f>
        <v>-2081296.71356344</v>
      </c>
      <c r="L8910" s="55" t="n">
        <f aca="false">K8910+L8909</f>
        <v>-2279592.60178945</v>
      </c>
      <c r="M8910" s="55" t="n">
        <f aca="false">L8910+M8909</f>
        <v>-2467982.94214158</v>
      </c>
      <c r="N8910" s="55" t="n">
        <f aca="false">M8910+N8909</f>
        <v>-2645899.10496357</v>
      </c>
      <c r="P8910" s="55" t="n">
        <f aca="false">F8910</f>
        <v>-1010763.90756768</v>
      </c>
      <c r="Q8910" s="55" t="n">
        <f aca="false">J8910</f>
        <v>-1877585.52085606</v>
      </c>
      <c r="R8910" s="55" t="n">
        <f aca="false">N8910</f>
        <v>-2645899.10496357</v>
      </c>
      <c r="S8910" s="56" t="n">
        <f aca="false">R8910</f>
        <v>-2645899.10496357</v>
      </c>
    </row>
    <row r="8911" customFormat="false" ht="15" hidden="false" customHeight="false" outlineLevel="0" collapsed="false">
      <c r="A8911" s="4" t="s">
        <v>570</v>
      </c>
      <c r="B8911" s="36" t="s">
        <v>107</v>
      </c>
      <c r="C8911" s="57" t="n">
        <f aca="false">1/(1+Assumptions!$E$87)^(C8830/4)</f>
        <v>0.972065420906982</v>
      </c>
      <c r="D8911" s="57" t="n">
        <f aca="false">1/(1+Assumptions!$E$87)^(D8830/4)</f>
        <v>0.944911182523068</v>
      </c>
      <c r="E8911" s="57" t="n">
        <f aca="false">1/(1+Assumptions!$E$87)^(E8830/4)</f>
        <v>0.918515486359</v>
      </c>
      <c r="F8911" s="57" t="n">
        <f aca="false">1/(1+Assumptions!$E$87)^(F8830/4)</f>
        <v>0.892857142857143</v>
      </c>
      <c r="G8911" s="57" t="n">
        <f aca="false">1/(1+Assumptions!$E$87)^(G8830/4)</f>
        <v>0.867915554381234</v>
      </c>
      <c r="H8911" s="57" t="n">
        <f aca="false">1/(1+Assumptions!$E$87)^(H8830/4)</f>
        <v>0.843670698681311</v>
      </c>
      <c r="I8911" s="57" t="n">
        <f aca="false">1/(1+Assumptions!$E$87)^(I8830/4)</f>
        <v>0.820103112820536</v>
      </c>
      <c r="J8911" s="57" t="n">
        <f aca="false">1/(1+Assumptions!$E$87)^(J8830/4)</f>
        <v>0.79719387755102</v>
      </c>
      <c r="K8911" s="57" t="n">
        <f aca="false">1/(1+Assumptions!$E$87)^(K8830/4)</f>
        <v>0.774924602126102</v>
      </c>
      <c r="L8911" s="57" t="n">
        <f aca="false">1/(1+Assumptions!$E$87)^(L8830/4)</f>
        <v>0.753277409536885</v>
      </c>
      <c r="M8911" s="57" t="n">
        <f aca="false">1/(1+Assumptions!$E$87)^(M8830/4)</f>
        <v>0.732234922161193</v>
      </c>
      <c r="N8911" s="57" t="n">
        <f aca="false">1/(1+Assumptions!$E$87)^(N8830/4)</f>
        <v>0.711780247813411</v>
      </c>
      <c r="P8911" s="58"/>
      <c r="Q8911" s="58"/>
      <c r="R8911" s="58"/>
      <c r="S8911" s="59"/>
    </row>
    <row r="8912" customFormat="false" ht="15" hidden="false" customHeight="false" outlineLevel="0" collapsed="false">
      <c r="A8912" s="4" t="s">
        <v>571</v>
      </c>
      <c r="B8912" s="36" t="s">
        <v>125</v>
      </c>
      <c r="C8912" s="54" t="n">
        <f aca="false">(C8887*(1-Assumptions!$E$88)-C8907)*C8911</f>
        <v>-265631.630827257</v>
      </c>
      <c r="D8912" s="54" t="n">
        <f aca="false">(D8887*(1-Assumptions!$E$88)-D8907)*D8911</f>
        <v>-226973.829109136</v>
      </c>
      <c r="E8912" s="54" t="n">
        <f aca="false">(E8887*(1-Assumptions!$E$88)-E8907)*E8911</f>
        <v>-227622.775858304</v>
      </c>
      <c r="F8912" s="54" t="n">
        <f aca="false">(F8887*(1-Assumptions!$E$88)-F8907)*F8911</f>
        <v>-224605.053829633</v>
      </c>
      <c r="G8912" s="54" t="n">
        <f aca="false">(G8887*(1-Assumptions!$E$88)-G8907)*G8911</f>
        <v>-204704.725275483</v>
      </c>
      <c r="H8912" s="54" t="n">
        <f aca="false">(H8887*(1-Assumptions!$E$88)-H8907)*H8911</f>
        <v>-167620.385080029</v>
      </c>
      <c r="I8912" s="54" t="n">
        <f aca="false">(I8887*(1-Assumptions!$E$88)-I8907)*I8911</f>
        <v>-197980.595255117</v>
      </c>
      <c r="J8912" s="54" t="n">
        <f aca="false">(J8887*(1-Assumptions!$E$88)-J8907)*J8911</f>
        <v>-164646.185662369</v>
      </c>
      <c r="K8912" s="54" t="n">
        <f aca="false">(K8887*(1-Assumptions!$E$88)-K8907)*K8911</f>
        <v>-164051.729541702</v>
      </c>
      <c r="L8912" s="54" t="n">
        <f aca="false">(L8887*(1-Assumptions!$E$88)-L8907)*L8911</f>
        <v>-157198.435756725</v>
      </c>
      <c r="M8912" s="54" t="n">
        <f aca="false">(M8887*(1-Assumptions!$E$88)-M8907)*M8911</f>
        <v>-147371.343107504</v>
      </c>
      <c r="N8912" s="54" t="n">
        <f aca="false">(N8887*(1-Assumptions!$E$88)-N8907)*N8911</f>
        <v>-137553.645170178</v>
      </c>
      <c r="P8912" s="55" t="n">
        <f aca="false">SUM(C8912:F8912)</f>
        <v>-944833.28962433</v>
      </c>
      <c r="Q8912" s="55" t="n">
        <f aca="false">SUM(G8912:J8912)</f>
        <v>-734951.891272998</v>
      </c>
      <c r="R8912" s="55" t="n">
        <f aca="false">SUM(K8912:N8912)</f>
        <v>-606175.153576109</v>
      </c>
      <c r="S8912" s="56" t="n">
        <f aca="false">SUM(P8912:R8912)</f>
        <v>-2285960.33447344</v>
      </c>
    </row>
    <row r="8913" customFormat="false" ht="15" hidden="false" customHeight="false" outlineLevel="0" collapsed="false">
      <c r="A8913" s="4" t="s">
        <v>572</v>
      </c>
      <c r="B8913" s="36" t="s">
        <v>125</v>
      </c>
      <c r="C8913" s="54" t="n">
        <f aca="false">(C8907-C8906)*12/(Assumptions!$E$89*Assumptions!$E$76)*Assumptions!$E$90</f>
        <v>189183.585164835</v>
      </c>
      <c r="D8913" s="54" t="n">
        <f aca="false">(D8907-D8906)*12/(Assumptions!$E$89*Assumptions!$E$76)*Assumptions!$E$90</f>
        <v>166297.969021124</v>
      </c>
      <c r="E8913" s="54" t="n">
        <f aca="false">(E8907-E8906)*12/(Assumptions!$E$89*Assumptions!$E$76)*Assumptions!$E$90</f>
        <v>172129.687048271</v>
      </c>
      <c r="F8913" s="54" t="n">
        <f aca="false">(F8907-F8906)*12/(Assumptions!$E$89*Assumptions!$E$76)*Assumptions!$E$90</f>
        <v>175907.509108133</v>
      </c>
      <c r="G8913" s="54" t="n">
        <f aca="false">(G8907-G8906)*12/(Assumptions!$E$89*Assumptions!$E$76)*Assumptions!$E$90</f>
        <v>166515.795929151</v>
      </c>
      <c r="H8913" s="54" t="n">
        <f aca="false">(H8907-H8906)*12/(Assumptions!$E$89*Assumptions!$E$76)*Assumptions!$E$90</f>
        <v>142456.13222885</v>
      </c>
      <c r="I8913" s="54" t="n">
        <f aca="false">(I8907-I8906)*12/(Assumptions!$E$89*Assumptions!$E$76)*Assumptions!$E$90</f>
        <v>174113.649768056</v>
      </c>
      <c r="J8913" s="54" t="n">
        <f aca="false">(J8907-J8906)*12/(Assumptions!$E$89*Assumptions!$E$76)*Assumptions!$E$90</f>
        <v>152505.518299401</v>
      </c>
      <c r="K8913" s="54" t="n">
        <f aca="false">(K8907-K8906)*12/(Assumptions!$E$89*Assumptions!$E$76)*Assumptions!$E$90</f>
        <v>159526.899399291</v>
      </c>
      <c r="L8913" s="54" t="n">
        <f aca="false">(L8907-L8906)*12/(Assumptions!$E$89*Assumptions!$E$76)*Assumptions!$E$90</f>
        <v>161844.365500386</v>
      </c>
      <c r="M8913" s="54" t="n">
        <f aca="false">(M8907-M8906)*12/(Assumptions!$E$89*Assumptions!$E$76)*Assumptions!$E$90</f>
        <v>161458.766956034</v>
      </c>
      <c r="N8913" s="54" t="n">
        <f aca="false">(N8907-N8906)*12/(Assumptions!$E$89*Assumptions!$E$76)*Assumptions!$E$90</f>
        <v>160745.852054284</v>
      </c>
      <c r="P8913" s="55" t="n">
        <f aca="false">SUM(C8913:F8913)</f>
        <v>703518.750342363</v>
      </c>
      <c r="Q8913" s="55" t="n">
        <f aca="false">SUM(G8913:J8913)</f>
        <v>635591.096225458</v>
      </c>
      <c r="R8913" s="55" t="n">
        <f aca="false">SUM(K8913:N8913)</f>
        <v>643575.883909995</v>
      </c>
      <c r="S8913" s="56" t="n">
        <f aca="false">SUM(P8913:R8913)</f>
        <v>1982685.73047782</v>
      </c>
    </row>
    <row r="8914" customFormat="false" ht="15" hidden="false" customHeight="false" outlineLevel="0" collapsed="false">
      <c r="A8914" s="4" t="s">
        <v>573</v>
      </c>
      <c r="B8914" s="36" t="s">
        <v>125</v>
      </c>
      <c r="C8914" s="54" t="n">
        <f aca="false">0*Assumptions!$E$92^(1/4)+C8913</f>
        <v>189183.585164835</v>
      </c>
      <c r="D8914" s="54" t="n">
        <f aca="false">C8914*Assumptions!$E$92^(1/4)+D8913</f>
        <v>355952.749828138</v>
      </c>
      <c r="E8914" s="54" t="n">
        <f aca="false">D8914*Assumptions!$E$92^(1/4)+E8913</f>
        <v>528969.001027282</v>
      </c>
      <c r="F8914" s="54" t="n">
        <f aca="false">E8914*Assumptions!$E$92^(1/4)+F8913</f>
        <v>706194.00228419</v>
      </c>
      <c r="G8914" s="54" t="n">
        <f aca="false">F8914*Assumptions!$E$92^(1/4)+G8913</f>
        <v>874468.701006729</v>
      </c>
      <c r="H8914" s="54" t="n">
        <f aca="false">G8914*Assumptions!$E$92^(1/4)+H8913</f>
        <v>1019102.8543402</v>
      </c>
      <c r="I8914" s="54" t="n">
        <f aca="false">H8914*Assumptions!$E$92^(1/4)+I8913</f>
        <v>1195754.76250672</v>
      </c>
      <c r="J8914" s="54" t="n">
        <f aca="false">I8914*Assumptions!$E$92^(1/4)+J8913</f>
        <v>1351238.5224581</v>
      </c>
      <c r="K8914" s="54" t="n">
        <f aca="false">J8914*Assumptions!$E$92^(1/4)+K8913</f>
        <v>1514130.92369399</v>
      </c>
      <c r="L8914" s="54" t="n">
        <f aca="false">K8914*Assumptions!$E$92^(1/4)+L8913</f>
        <v>1679746.5037652</v>
      </c>
      <c r="M8914" s="54" t="n">
        <f aca="false">L8914*Assumptions!$E$92^(1/4)+M8913</f>
        <v>1845388.98059146</v>
      </c>
      <c r="N8914" s="54" t="n">
        <f aca="false">M8914*Assumptions!$E$92^(1/4)+N8913</f>
        <v>2010731.10480658</v>
      </c>
      <c r="P8914" s="55" t="n">
        <f aca="false">F8914</f>
        <v>706194.00228419</v>
      </c>
      <c r="Q8914" s="55" t="n">
        <f aca="false">J8914</f>
        <v>1351238.5224581</v>
      </c>
      <c r="R8914" s="55" t="n">
        <f aca="false">N8914</f>
        <v>2010731.10480658</v>
      </c>
      <c r="S8914" s="56" t="n">
        <f aca="false">R8914</f>
        <v>2010731.10480658</v>
      </c>
    </row>
    <row r="8915" customFormat="false" ht="15" hidden="false" customHeight="false" outlineLevel="0" collapsed="false">
      <c r="A8915" s="4" t="s">
        <v>574</v>
      </c>
      <c r="B8915" s="36" t="s">
        <v>125</v>
      </c>
      <c r="C8915" s="54" t="n">
        <f aca="false">(0+C8914)/8*Assumptions!$E$76-(C8907-C8906)-C8914*Assumptions!$E$93/4</f>
        <v>-260258.807091346</v>
      </c>
      <c r="D8915" s="54" t="n">
        <f aca="false">(C8914+D8914)/8*Assumptions!$E$76-(D8907-D8906)-D8914*Assumptions!$E$93/4</f>
        <v>-200365.259629629</v>
      </c>
      <c r="E8915" s="54" t="n">
        <f aca="false">(D8914+E8914)/8*Assumptions!$E$76-(E8907-E8906)-E8914*Assumptions!$E$93/4</f>
        <v>-183343.990436674</v>
      </c>
      <c r="F8915" s="54" t="n">
        <f aca="false">(E8914+F8914)/8*Assumptions!$E$76-(F8907-F8906)-F8914*Assumptions!$E$93/4</f>
        <v>-162559.055276799</v>
      </c>
      <c r="G8915" s="54" t="n">
        <f aca="false">(F8914+G8914)/8*Assumptions!$E$76-(G8907-G8906)-G8914*Assumptions!$E$93/4</f>
        <v>-123024.830462304</v>
      </c>
      <c r="H8915" s="54" t="n">
        <f aca="false">(G8914+H8914)/8*Assumptions!$E$76-(H8907-H8906)-H8914*Assumptions!$E$93/4</f>
        <v>-64656.0655823201</v>
      </c>
      <c r="I8915" s="54" t="n">
        <f aca="false">(H8914+I8914)/8*Assumptions!$E$76-(I8907-I8906)-I8914*Assumptions!$E$93/4</f>
        <v>-86487.2472719356</v>
      </c>
      <c r="J8915" s="54" t="n">
        <f aca="false">(I8914+J8914)/8*Assumptions!$E$76-(J8907-J8906)-J8914*Assumptions!$E$93/4</f>
        <v>-30233.0257820242</v>
      </c>
      <c r="K8915" s="54" t="n">
        <f aca="false">(J8914+K8914)/8*Assumptions!$E$76-(K8907-K8906)-K8914*Assumptions!$E$93/4</f>
        <v>-16543.1126230714</v>
      </c>
      <c r="L8915" s="54" t="n">
        <f aca="false">(K8914+L8914)/8*Assumptions!$E$76-(L8907-L8906)-L8914*Assumptions!$E$93/4</f>
        <v>4730.51507232551</v>
      </c>
      <c r="M8915" s="54" t="n">
        <f aca="false">(L8914+M8914)/8*Assumptions!$E$76-(M8907-M8906)-M8914*Assumptions!$E$93/4</f>
        <v>30131.676910092</v>
      </c>
      <c r="N8915" s="54" t="n">
        <f aca="false">(M8914+N8914)/8*Assumptions!$E$76-(N8907-N8906)-N8914*Assumptions!$E$93/4</f>
        <v>55987.1651612092</v>
      </c>
      <c r="P8915" s="55" t="n">
        <f aca="false">SUM(C8915:F8915)</f>
        <v>-806527.112434448</v>
      </c>
      <c r="Q8915" s="55" t="n">
        <f aca="false">SUM(G8915:J8915)</f>
        <v>-304401.169098584</v>
      </c>
      <c r="R8915" s="55" t="n">
        <f aca="false">SUM(K8915:N8915)</f>
        <v>74306.2445205553</v>
      </c>
      <c r="S8915" s="56" t="n">
        <f aca="false">SUM(P8915:R8915)</f>
        <v>-1036622.03701248</v>
      </c>
    </row>
    <row r="8916" customFormat="false" ht="15" hidden="false" customHeight="false" outlineLevel="0" collapsed="false">
      <c r="A8916" s="4" t="s">
        <v>575</v>
      </c>
      <c r="B8916" s="36" t="s">
        <v>125</v>
      </c>
      <c r="C8916" s="54" t="n">
        <f aca="false">C8915*C8911</f>
        <v>-252988.586859998</v>
      </c>
      <c r="D8916" s="54" t="n">
        <f aca="false">D8915*D8911</f>
        <v>-189327.374413174</v>
      </c>
      <c r="E8916" s="54" t="n">
        <f aca="false">E8915*E8911</f>
        <v>-168404.294546942</v>
      </c>
      <c r="F8916" s="54" t="n">
        <f aca="false">F8915*F8911</f>
        <v>-145142.013639999</v>
      </c>
      <c r="G8916" s="54" t="n">
        <f aca="false">G8915*G8911</f>
        <v>-106775.163933348</v>
      </c>
      <c r="H8916" s="54" t="n">
        <f aca="false">H8915*H8911</f>
        <v>-54548.4280238207</v>
      </c>
      <c r="I8916" s="54" t="n">
        <f aca="false">I8915*I8911</f>
        <v>-70928.4607069938</v>
      </c>
      <c r="J8916" s="54" t="n">
        <f aca="false">J8915*J8911</f>
        <v>-24101.5830532718</v>
      </c>
      <c r="K8916" s="54" t="n">
        <f aca="false">K8915*K8911</f>
        <v>-12819.6649673609</v>
      </c>
      <c r="L8916" s="54" t="n">
        <f aca="false">L8915*L8911</f>
        <v>3563.39013945655</v>
      </c>
      <c r="M8916" s="54" t="n">
        <f aca="false">M8915*M8911</f>
        <v>22063.4660968474</v>
      </c>
      <c r="N8916" s="54" t="n">
        <f aca="false">N8915*N8911</f>
        <v>39850.5582928159</v>
      </c>
      <c r="P8916" s="55" t="n">
        <f aca="false">SUM(C8916:F8916)</f>
        <v>-755862.269460113</v>
      </c>
      <c r="Q8916" s="55" t="n">
        <f aca="false">SUM(G8916:J8916)</f>
        <v>-256353.635717434</v>
      </c>
      <c r="R8916" s="55" t="n">
        <f aca="false">SUM(K8916:N8916)</f>
        <v>52657.749561759</v>
      </c>
      <c r="S8916" s="56" t="n">
        <f aca="false">SUM(P8916:R8916)</f>
        <v>-959558.155615789</v>
      </c>
    </row>
    <row r="8917" customFormat="false" ht="15" hidden="false" customHeight="false" outlineLevel="0" collapsed="false">
      <c r="A8917" s="4" t="s">
        <v>576</v>
      </c>
      <c r="B8917" s="36"/>
      <c r="C8917" s="37" t="n">
        <f aca="false">IFERROR((S8872*$C$8821*Assumptions!$E$59+S8873*$C$8822*Assumptions!$E$60+S8874*$C$8823*Assumptions!$E$61)/(S8872*$C$8821+S8873*$C$8822+S8874*$C$8823),0.9)</f>
        <v>0.897372181179546</v>
      </c>
    </row>
    <row r="8918" customFormat="false" ht="15" hidden="false" customHeight="false" outlineLevel="0" collapsed="false">
      <c r="A8918" s="4" t="s">
        <v>577</v>
      </c>
      <c r="B8918" s="36"/>
      <c r="C8918" s="37" t="n">
        <f aca="false">IFERROR(N8906*4/N8884,0)</f>
        <v>0.175911884278844</v>
      </c>
    </row>
    <row r="8919" customFormat="false" ht="15" hidden="false" customHeight="false" outlineLevel="0" collapsed="false">
      <c r="A8919" s="4" t="s">
        <v>578</v>
      </c>
      <c r="B8919" s="36"/>
      <c r="C8919" s="60" t="n">
        <f aca="false">$C$8917/(1+Assumptions!$E$87)</f>
        <v>0.801225161767451</v>
      </c>
    </row>
    <row r="8920" customFormat="false" ht="15" hidden="false" customHeight="false" outlineLevel="0" collapsed="false">
      <c r="A8920" s="4" t="s">
        <v>579</v>
      </c>
      <c r="B8920" s="36"/>
      <c r="C8920" s="60" t="n">
        <f aca="false">Assumptions!$E$91/(1+Assumptions!$E$87)</f>
        <v>0.803571428571429</v>
      </c>
    </row>
    <row r="8921" customFormat="false" ht="15" hidden="false" customHeight="false" outlineLevel="0" collapsed="false">
      <c r="A8921" s="35" t="s">
        <v>580</v>
      </c>
      <c r="B8921" s="35" t="s">
        <v>444</v>
      </c>
      <c r="C8921" s="6" t="s">
        <v>354</v>
      </c>
      <c r="D8921" s="6" t="s">
        <v>355</v>
      </c>
      <c r="E8921" s="6" t="s">
        <v>356</v>
      </c>
      <c r="F8921" s="6" t="s">
        <v>357</v>
      </c>
      <c r="G8921" s="6" t="s">
        <v>358</v>
      </c>
      <c r="H8921" s="6" t="s">
        <v>359</v>
      </c>
      <c r="I8921" s="6" t="s">
        <v>360</v>
      </c>
      <c r="J8921" s="6" t="s">
        <v>361</v>
      </c>
      <c r="K8921" s="6" t="s">
        <v>362</v>
      </c>
      <c r="L8921" s="6" t="s">
        <v>363</v>
      </c>
      <c r="M8921" s="6" t="s">
        <v>364</v>
      </c>
      <c r="N8921" s="6" t="s">
        <v>365</v>
      </c>
      <c r="P8921" s="6" t="s">
        <v>445</v>
      </c>
      <c r="Q8921" s="6" t="s">
        <v>446</v>
      </c>
      <c r="R8921" s="6" t="s">
        <v>447</v>
      </c>
      <c r="S8921" s="6" t="s">
        <v>448</v>
      </c>
    </row>
    <row r="8922" customFormat="false" ht="15" hidden="false" customHeight="false" outlineLevel="0" collapsed="false">
      <c r="A8922" s="9" t="s">
        <v>581</v>
      </c>
      <c r="C8922" s="61" t="n">
        <f aca="false">N8884</f>
        <v>509612.726732255</v>
      </c>
      <c r="D8922" s="61"/>
    </row>
    <row r="8923" customFormat="false" ht="15" hidden="false" customHeight="false" outlineLevel="0" collapsed="false">
      <c r="A8923" s="9" t="s">
        <v>582</v>
      </c>
      <c r="C8923" s="62" t="n">
        <f aca="false">N8880</f>
        <v>49.5280990541991</v>
      </c>
      <c r="D8923" s="62"/>
    </row>
    <row r="8924" customFormat="false" ht="15" hidden="false" customHeight="false" outlineLevel="0" collapsed="false">
      <c r="A8924" s="9" t="s">
        <v>583</v>
      </c>
      <c r="C8924" s="63" t="n">
        <f aca="false">S8875</f>
        <v>54.7491194625937</v>
      </c>
      <c r="D8924" s="63"/>
    </row>
    <row r="8925" customFormat="false" ht="15" hidden="false" customHeight="false" outlineLevel="0" collapsed="false">
      <c r="A8925" s="9" t="s">
        <v>584</v>
      </c>
      <c r="C8925" s="61" t="n">
        <f aca="false">S8886</f>
        <v>494823.782961303</v>
      </c>
      <c r="D8925" s="61"/>
    </row>
    <row r="8926" customFormat="false" ht="15" hidden="false" customHeight="false" outlineLevel="0" collapsed="false">
      <c r="A8926" s="9" t="s">
        <v>22</v>
      </c>
      <c r="C8926" s="61" t="n">
        <f aca="false">IFERROR(S8885/S8875,0)</f>
        <v>8847.97350983958</v>
      </c>
      <c r="D8926" s="61"/>
    </row>
    <row r="8927" customFormat="false" ht="15" hidden="false" customHeight="false" outlineLevel="0" collapsed="false">
      <c r="A8927" s="9" t="s">
        <v>585</v>
      </c>
      <c r="C8927" s="61" t="n">
        <f aca="false">IFERROR(S8903/S8875,0)</f>
        <v>39481.7979795841</v>
      </c>
      <c r="D8927" s="61"/>
    </row>
    <row r="8928" customFormat="false" ht="23.85" hidden="false" customHeight="false" outlineLevel="0" collapsed="false">
      <c r="A8928" s="9" t="s">
        <v>586</v>
      </c>
      <c r="C8928" s="61" t="n">
        <f aca="false">IFERROR((S8897+S8899+S8900+S8901+S8902)/S8875,0)</f>
        <v>15924.0153192791</v>
      </c>
      <c r="D8928" s="61"/>
    </row>
    <row r="8929" customFormat="false" ht="15" hidden="false" customHeight="false" outlineLevel="0" collapsed="false">
      <c r="A8929" s="9" t="s">
        <v>587</v>
      </c>
      <c r="C8929" s="64" t="n">
        <f aca="false">IFERROR('Engine Runs'!$C$8927/('Engine Runs'!$C$8926*Assumptions!$E$76/12),0)</f>
        <v>82.3798501566715</v>
      </c>
      <c r="D8929" s="64"/>
    </row>
    <row r="8930" customFormat="false" ht="15" hidden="false" customHeight="false" outlineLevel="0" collapsed="false">
      <c r="A8930" s="9" t="s">
        <v>588</v>
      </c>
      <c r="C8930" s="64" t="n">
        <f aca="false">IFERROR((R8903/R8875)/((R8885/R8875)*Assumptions!$E$76/12),0)</f>
        <v>53.7401674227257</v>
      </c>
      <c r="D8930" s="64"/>
    </row>
    <row r="8931" customFormat="false" ht="15" hidden="false" customHeight="false" outlineLevel="0" collapsed="false">
      <c r="A8931" s="9" t="s">
        <v>589</v>
      </c>
      <c r="C8931" s="61" t="n">
        <f aca="false">S8907</f>
        <v>2967534.56388842</v>
      </c>
      <c r="D8931" s="61"/>
    </row>
    <row r="8932" customFormat="false" ht="15" hidden="false" customHeight="false" outlineLevel="0" collapsed="false">
      <c r="A8932" s="9" t="s">
        <v>590</v>
      </c>
      <c r="C8932" s="61" t="n">
        <f aca="false">N8910</f>
        <v>-2645899.10496357</v>
      </c>
      <c r="D8932" s="61"/>
    </row>
    <row r="8933" customFormat="false" ht="15" hidden="false" customHeight="false" outlineLevel="0" collapsed="false">
      <c r="A8933" s="9" t="s">
        <v>591</v>
      </c>
      <c r="C8933" s="61" t="n">
        <f aca="false">MIN($C$8910:$N$8910)</f>
        <v>-2645899.10496357</v>
      </c>
      <c r="D8933" s="61"/>
    </row>
    <row r="8934" customFormat="false" ht="15" hidden="false" customHeight="false" outlineLevel="0" collapsed="false">
      <c r="A8934" s="9" t="s">
        <v>592</v>
      </c>
      <c r="C8934" s="61" t="n">
        <f aca="false">N8884*(Assumptions!$E$76-$C$8918)*$C$8917*(1-$C$8917^Assumptions!$E$85)/(1-$C$8917)</f>
        <v>883215.352678571</v>
      </c>
      <c r="D8934" s="61"/>
    </row>
    <row r="8935" customFormat="false" ht="15" hidden="false" customHeight="false" outlineLevel="0" collapsed="false">
      <c r="A8935" s="9" t="s">
        <v>593</v>
      </c>
      <c r="C8935" s="61" t="n">
        <f aca="false">N8884*(Assumptions!$E$76-$C$8918)*(1-Assumptions!$E$88)/(1+Assumptions!$E$87)^2.5*$C$8919*(1-$C$8919^Assumptions!$E$85)/(1-$C$8919)</f>
        <v>393083.337460226</v>
      </c>
      <c r="D8935" s="61"/>
    </row>
    <row r="8936" customFormat="false" ht="15" hidden="false" customHeight="false" outlineLevel="0" collapsed="false">
      <c r="A8936" s="9" t="s">
        <v>594</v>
      </c>
      <c r="C8936" s="61" t="n">
        <f aca="false">SUM($C$8912:$N$8912)+'Engine Runs'!$C$8935</f>
        <v>-1892876.99701321</v>
      </c>
      <c r="D8936" s="61"/>
    </row>
    <row r="8937" customFormat="false" ht="15" hidden="false" customHeight="false" outlineLevel="0" collapsed="false">
      <c r="A8937" s="9" t="s">
        <v>595</v>
      </c>
      <c r="C8937" s="61" t="n">
        <f aca="false">SUM($C$8916:$N$8916)+N8914*(Assumptions!$E$76-Assumptions!$E$93)/(1+Assumptions!$E$87)^2.5*$C$8920*(1-$C$8920^Assumptions!$E$85)/(1-$C$8920)</f>
        <v>1512522.02860027</v>
      </c>
      <c r="D8937" s="61"/>
    </row>
    <row r="8938" customFormat="false" ht="15" hidden="false" customHeight="false" outlineLevel="0" collapsed="false">
      <c r="A8938" s="9" t="s">
        <v>596</v>
      </c>
      <c r="C8938" s="61" t="n">
        <f aca="false">'Engine Runs'!$C$8936-'Engine Runs'!$C$8937</f>
        <v>-3405399.02561348</v>
      </c>
      <c r="D8938" s="61"/>
    </row>
    <row r="8939" customFormat="false" ht="15" hidden="false" customHeight="false" outlineLevel="0" collapsed="false">
      <c r="A8939" s="9" t="s">
        <v>597</v>
      </c>
      <c r="C8939" s="61" t="n">
        <f aca="false">S8871</f>
        <v>0</v>
      </c>
      <c r="D8939" s="61"/>
    </row>
    <row r="8940" customFormat="false" ht="15" hidden="false" customHeight="false" outlineLevel="0" collapsed="false">
      <c r="A8940" s="9" t="s">
        <v>598</v>
      </c>
      <c r="C8940" s="63" t="n">
        <f aca="false">P8855</f>
        <v>43.6188722246667</v>
      </c>
      <c r="D8940" s="63"/>
    </row>
    <row r="8941" customFormat="false" ht="15" hidden="false" customHeight="false" outlineLevel="0" collapsed="false">
      <c r="A8941" s="9" t="s">
        <v>599</v>
      </c>
      <c r="C8941" s="63" t="n">
        <f aca="false">P8875</f>
        <v>6.18260904948639</v>
      </c>
      <c r="D8941" s="63"/>
    </row>
    <row r="8942" customFormat="false" ht="15" hidden="false" customHeight="false" outlineLevel="0" collapsed="false">
      <c r="A8942" s="9" t="s">
        <v>600</v>
      </c>
      <c r="C8942" s="63" t="n">
        <f aca="false">P8851</f>
        <v>42</v>
      </c>
      <c r="D8942" s="63"/>
    </row>
    <row r="8943" customFormat="false" ht="15" hidden="false" customHeight="false" outlineLevel="0" collapsed="false">
      <c r="A8943" s="9" t="s">
        <v>601</v>
      </c>
      <c r="C8943" s="61" t="n">
        <f aca="false">IFERROR(P8885/P8875,0)</f>
        <v>8545.01753177967</v>
      </c>
      <c r="D8943" s="61"/>
    </row>
    <row r="8946" customFormat="false" ht="15" hidden="false" customHeight="true" outlineLevel="0" collapsed="false">
      <c r="A8946" s="78" t="s">
        <v>933</v>
      </c>
      <c r="B8946" s="78"/>
      <c r="C8946" s="78"/>
      <c r="D8946" s="78"/>
      <c r="E8946" s="78"/>
      <c r="F8946" s="78"/>
      <c r="G8946" s="78"/>
      <c r="H8946" s="78"/>
      <c r="I8946" s="78"/>
      <c r="J8946" s="78"/>
      <c r="K8946" s="78"/>
      <c r="L8946" s="78"/>
      <c r="M8946" s="78"/>
      <c r="N8946" s="78"/>
    </row>
    <row r="8947" customFormat="false" ht="15" hidden="false" customHeight="true" outlineLevel="0" collapsed="false">
      <c r="A8947" s="79" t="s">
        <v>934</v>
      </c>
      <c r="B8947" s="79"/>
      <c r="C8947" s="79"/>
      <c r="D8947" s="79"/>
      <c r="E8947" s="79"/>
      <c r="F8947" s="79"/>
      <c r="G8947" s="79"/>
      <c r="H8947" s="79"/>
      <c r="I8947" s="79"/>
      <c r="J8947" s="79"/>
      <c r="K8947" s="79"/>
      <c r="L8947" s="79"/>
      <c r="M8947" s="79"/>
      <c r="N8947" s="79"/>
    </row>
    <row r="8948" customFormat="false" ht="15" hidden="false" customHeight="false" outlineLevel="0" collapsed="false">
      <c r="A8948" s="35" t="s">
        <v>935</v>
      </c>
      <c r="B8948" s="35" t="s">
        <v>444</v>
      </c>
      <c r="C8948" s="6" t="s">
        <v>354</v>
      </c>
      <c r="D8948" s="6" t="s">
        <v>355</v>
      </c>
      <c r="E8948" s="6" t="s">
        <v>356</v>
      </c>
      <c r="F8948" s="6" t="s">
        <v>357</v>
      </c>
      <c r="G8948" s="6" t="s">
        <v>358</v>
      </c>
      <c r="H8948" s="6" t="s">
        <v>359</v>
      </c>
      <c r="I8948" s="6" t="s">
        <v>360</v>
      </c>
      <c r="J8948" s="6" t="s">
        <v>361</v>
      </c>
      <c r="K8948" s="6" t="s">
        <v>362</v>
      </c>
      <c r="L8948" s="6" t="s">
        <v>363</v>
      </c>
      <c r="M8948" s="6" t="s">
        <v>364</v>
      </c>
      <c r="N8948" s="6" t="s">
        <v>365</v>
      </c>
      <c r="P8948" s="6" t="s">
        <v>445</v>
      </c>
      <c r="Q8948" s="6" t="s">
        <v>446</v>
      </c>
      <c r="R8948" s="6" t="s">
        <v>447</v>
      </c>
      <c r="S8948" s="6" t="s">
        <v>448</v>
      </c>
    </row>
    <row r="8949" customFormat="false" ht="15" hidden="false" customHeight="false" outlineLevel="0" collapsed="false">
      <c r="A8949" s="4" t="s">
        <v>449</v>
      </c>
      <c r="B8949" s="36" t="s">
        <v>450</v>
      </c>
      <c r="C8949" s="34" t="n">
        <f aca="false">'Market Sizing'!$C$17*Assumptions!$E$10*Assumptions!$E$11*(1-Assumptions!$E$12)</f>
        <v>843.03944704</v>
      </c>
    </row>
    <row r="8950" customFormat="false" ht="15" hidden="false" customHeight="false" outlineLevel="0" collapsed="false">
      <c r="A8950" s="4" t="s">
        <v>451</v>
      </c>
      <c r="B8950" s="36" t="s">
        <v>450</v>
      </c>
      <c r="C8950" s="34" t="n">
        <f aca="false">'Market Sizing'!$D$17*Assumptions!$E$10*Assumptions!$E$11*(1-Assumptions!$E$12)</f>
        <v>211.19616</v>
      </c>
    </row>
    <row r="8951" customFormat="false" ht="15" hidden="false" customHeight="false" outlineLevel="0" collapsed="false">
      <c r="A8951" s="4" t="s">
        <v>452</v>
      </c>
      <c r="B8951" s="36" t="s">
        <v>450</v>
      </c>
      <c r="C8951" s="34" t="n">
        <f aca="false">'Market Sizing'!$E$17*Assumptions!$E$10*Assumptions!$E$11*(1-Assumptions!$E$12)</f>
        <v>49.53984</v>
      </c>
    </row>
    <row r="8952" customFormat="false" ht="15" hidden="false" customHeight="false" outlineLevel="0" collapsed="false">
      <c r="A8952" s="4" t="s">
        <v>453</v>
      </c>
      <c r="B8952" s="36"/>
      <c r="C8952" s="34" t="n">
        <f aca="false">$C$8949+$C$8950+$C$8951</f>
        <v>1103.77544704</v>
      </c>
    </row>
    <row r="8953" customFormat="false" ht="15" hidden="false" customHeight="false" outlineLevel="0" collapsed="false">
      <c r="A8953" s="4" t="s">
        <v>454</v>
      </c>
      <c r="B8953" s="36" t="s">
        <v>450</v>
      </c>
      <c r="C8953" s="34" t="n">
        <f aca="false">'Market Sizing'!$C$18*Assumptions!$E$10*Assumptions!$E$11*(1-Assumptions!$E$12)</f>
        <v>612.57706944</v>
      </c>
    </row>
    <row r="8954" customFormat="false" ht="15" hidden="false" customHeight="false" outlineLevel="0" collapsed="false">
      <c r="A8954" s="4" t="s">
        <v>455</v>
      </c>
      <c r="B8954" s="36" t="s">
        <v>450</v>
      </c>
      <c r="C8954" s="34" t="n">
        <f aca="false">'Market Sizing'!$D$18*Assumptions!$E$10*Assumptions!$E$11*(1-Assumptions!$E$12)</f>
        <v>142.10112</v>
      </c>
    </row>
    <row r="8955" customFormat="false" ht="15" hidden="false" customHeight="false" outlineLevel="0" collapsed="false">
      <c r="A8955" s="4" t="s">
        <v>456</v>
      </c>
      <c r="B8955" s="36" t="s">
        <v>450</v>
      </c>
      <c r="C8955" s="34" t="n">
        <f aca="false">'Market Sizing'!$E$18*Assumptions!$E$10*Assumptions!$E$11*(1-Assumptions!$E$12)</f>
        <v>24.76992</v>
      </c>
    </row>
    <row r="8956" customFormat="false" ht="15" hidden="false" customHeight="false" outlineLevel="0" collapsed="false">
      <c r="A8956" s="4" t="s">
        <v>457</v>
      </c>
      <c r="B8956" s="36"/>
      <c r="C8956" s="34" t="n">
        <f aca="false">$C$8953+$C$8954+$C$8955</f>
        <v>779.44810944</v>
      </c>
    </row>
    <row r="8957" customFormat="false" ht="15" hidden="false" customHeight="false" outlineLevel="0" collapsed="false">
      <c r="A8957" s="4" t="s">
        <v>458</v>
      </c>
      <c r="B8957" s="36" t="s">
        <v>450</v>
      </c>
      <c r="C8957" s="34" t="n">
        <f aca="false">'Market Sizing'!$C$19*Assumptions!$E$10*Assumptions!$E$11*(1-Assumptions!$E$12)</f>
        <v>2060.77303936</v>
      </c>
    </row>
    <row r="8958" customFormat="false" ht="15" hidden="false" customHeight="false" outlineLevel="0" collapsed="false">
      <c r="A8958" s="4" t="s">
        <v>459</v>
      </c>
      <c r="B8958" s="36" t="s">
        <v>450</v>
      </c>
      <c r="C8958" s="34" t="n">
        <f aca="false">'Market Sizing'!$D$19*Assumptions!$E$10*Assumptions!$E$11*(1-Assumptions!$E$12)</f>
        <v>428.47616</v>
      </c>
    </row>
    <row r="8959" customFormat="false" ht="15" hidden="false" customHeight="false" outlineLevel="0" collapsed="false">
      <c r="A8959" s="4" t="s">
        <v>460</v>
      </c>
      <c r="B8959" s="36" t="s">
        <v>450</v>
      </c>
      <c r="C8959" s="34" t="n">
        <f aca="false">'Market Sizing'!$E$19*Assumptions!$E$10*Assumptions!$E$11*(1-Assumptions!$E$12)</f>
        <v>79.52448</v>
      </c>
    </row>
    <row r="8960" customFormat="false" ht="15" hidden="false" customHeight="false" outlineLevel="0" collapsed="false">
      <c r="A8960" s="4" t="s">
        <v>461</v>
      </c>
      <c r="B8960" s="36"/>
      <c r="C8960" s="34" t="n">
        <f aca="false">$C$8957+$C$8958+$C$8959</f>
        <v>2568.77367936</v>
      </c>
    </row>
    <row r="8961" customFormat="false" ht="15" hidden="false" customHeight="false" outlineLevel="0" collapsed="false">
      <c r="A8961" s="4" t="s">
        <v>462</v>
      </c>
      <c r="B8961" s="36" t="s">
        <v>463</v>
      </c>
      <c r="C8961" s="33" t="n">
        <f aca="false">MAX((Assumptions!$E$51+Assumptions!$E$53)*12,(((('Market Sizing'!$E$25*Assumptions!$E$41*Assumptions!$E$42*1.5)*Assumptions!$E$44)*Assumptions!$E$45*Assumptions!$E$46+('Market Sizing'!$E$25*Assumptions!$E$41*Assumptions!$E$42*1.5)*Assumptions!$E$47+('Market Sizing'!$E$25*Assumptions!$E$41*Assumptions!$E$42*1.5)*Assumptions!$E$48*Assumptions!$E$49)*(Assumptions!$E$51*12/Assumptions!$E$52)+((('Market Sizing'!$E$25*Assumptions!$E$41*Assumptions!$E$42*1.5)*Assumptions!$E$44)*Assumptions!$E$45+('Market Sizing'!$E$25*Assumptions!$E$41*Assumptions!$E$42*1.5)+('Market Sizing'!$E$25*Assumptions!$E$41*Assumptions!$E$42*1.5)*Assumptions!$E$48)*Assumptions!$E$50*(Assumptions!$E$53*12/Assumptions!$E$54)))</f>
        <v>5352</v>
      </c>
    </row>
    <row r="8962" customFormat="false" ht="15" hidden="false" customHeight="false" outlineLevel="0" collapsed="false">
      <c r="A8962" s="4" t="s">
        <v>464</v>
      </c>
      <c r="B8962" s="36" t="s">
        <v>463</v>
      </c>
      <c r="C8962" s="33" t="n">
        <f aca="false">MAX((Assumptions!$E$51+Assumptions!$E$53)*12,(((('Market Sizing'!$E$26*Assumptions!$E$41*Assumptions!$E$42*1.5)*Assumptions!$E$44)*Assumptions!$E$45*Assumptions!$E$46+('Market Sizing'!$E$26*Assumptions!$E$41*Assumptions!$E$42*1.5)*Assumptions!$E$47+('Market Sizing'!$E$26*Assumptions!$E$41*Assumptions!$E$42*1.5)*Assumptions!$E$48*Assumptions!$E$49)*(Assumptions!$E$51*12/Assumptions!$E$52)+((('Market Sizing'!$E$26*Assumptions!$E$41*Assumptions!$E$42*1.5)*Assumptions!$E$44)*Assumptions!$E$45+('Market Sizing'!$E$26*Assumptions!$E$41*Assumptions!$E$42*1.5)+('Market Sizing'!$E$26*Assumptions!$E$41*Assumptions!$E$42*1.5)*Assumptions!$E$48)*Assumptions!$E$50*(Assumptions!$E$53*12/Assumptions!$E$54)))</f>
        <v>14650.0801931281</v>
      </c>
    </row>
    <row r="8963" customFormat="false" ht="15" hidden="false" customHeight="false" outlineLevel="0" collapsed="false">
      <c r="A8963" s="4" t="s">
        <v>465</v>
      </c>
      <c r="B8963" s="36" t="s">
        <v>463</v>
      </c>
      <c r="C8963" s="33" t="n">
        <f aca="false">MAX(Assumptions!$E$55*(Assumptions!$E$51*12/Assumptions!$E$52)+Assumptions!$E$56*(Assumptions!$E$53*12/Assumptions!$E$54),(((('Market Sizing'!$E$27*Assumptions!$E$41*Assumptions!$E$42*1.5)*Assumptions!$E$44)*Assumptions!$E$45*Assumptions!$E$46+('Market Sizing'!$E$27*Assumptions!$E$41*Assumptions!$E$42*1.5)*Assumptions!$E$47+('Market Sizing'!$E$27*Assumptions!$E$41*Assumptions!$E$42*1.5)*Assumptions!$E$48*Assumptions!$E$49)*(Assumptions!$E$51*12/Assumptions!$E$52)+((('Market Sizing'!$E$27*Assumptions!$E$41*Assumptions!$E$42*1.5)*Assumptions!$E$44)*Assumptions!$E$45+('Market Sizing'!$E$27*Assumptions!$E$41*Assumptions!$E$42*1.5)+('Market Sizing'!$E$27*Assumptions!$E$41*Assumptions!$E$42*1.5)*Assumptions!$E$48)*Assumptions!$E$50*(Assumptions!$E$53*12/Assumptions!$E$54)))*(1-Assumptions!$E$57)</f>
        <v>92667.3843291578</v>
      </c>
    </row>
    <row r="8964" customFormat="false" ht="23.85" hidden="false" customHeight="false" outlineLevel="0" collapsed="false">
      <c r="A8964" s="4" t="s">
        <v>466</v>
      </c>
      <c r="B8964" s="36" t="s">
        <v>467</v>
      </c>
      <c r="C8964" s="37" t="n">
        <f aca="false">Assumptions!$E$17*Assumptions!$D$106</f>
        <v>0.4</v>
      </c>
    </row>
    <row r="8965" customFormat="false" ht="23.85" hidden="false" customHeight="false" outlineLevel="0" collapsed="false">
      <c r="A8965" s="4" t="s">
        <v>468</v>
      </c>
      <c r="B8965" s="36" t="s">
        <v>469</v>
      </c>
      <c r="C8965" s="33" t="n">
        <f aca="false">Assumptions!$E$68/Assumptions!$E$69</f>
        <v>285714.285714286</v>
      </c>
    </row>
    <row r="8966" customFormat="false" ht="23.85" hidden="false" customHeight="false" outlineLevel="0" collapsed="false">
      <c r="A8966" s="4" t="s">
        <v>470</v>
      </c>
      <c r="B8966" s="36" t="s">
        <v>471</v>
      </c>
      <c r="C8966" s="33" t="n">
        <f aca="false">Assumptions!$E$66*Assumptions!$E$67/4</f>
        <v>153125</v>
      </c>
    </row>
    <row r="8967" customFormat="false" ht="15" hidden="false" customHeight="false" outlineLevel="0" collapsed="false">
      <c r="A8967" s="4" t="s">
        <v>472</v>
      </c>
      <c r="B8967" s="36"/>
      <c r="C8967" s="38" t="n">
        <f aca="false">$C$8965/Assumptions!$E$66/Assumptions!$E$67</f>
        <v>0.466472303206997</v>
      </c>
    </row>
    <row r="8968" customFormat="false" ht="15" hidden="false" customHeight="false" outlineLevel="0" collapsed="false">
      <c r="A8968" s="4" t="s">
        <v>473</v>
      </c>
      <c r="B8968" s="36"/>
      <c r="C8968" s="33" t="n">
        <f aca="false">MAX(0,Assumptions!$D$103-Assumptions!$E$78)</f>
        <v>0</v>
      </c>
    </row>
    <row r="8969" customFormat="false" ht="15" hidden="false" customHeight="false" outlineLevel="0" collapsed="false">
      <c r="A8969" s="35" t="s">
        <v>474</v>
      </c>
      <c r="B8969" s="35" t="s">
        <v>444</v>
      </c>
      <c r="C8969" s="6" t="s">
        <v>354</v>
      </c>
      <c r="D8969" s="6" t="s">
        <v>355</v>
      </c>
      <c r="E8969" s="6" t="s">
        <v>356</v>
      </c>
      <c r="F8969" s="6" t="s">
        <v>357</v>
      </c>
      <c r="G8969" s="6" t="s">
        <v>358</v>
      </c>
      <c r="H8969" s="6" t="s">
        <v>359</v>
      </c>
      <c r="I8969" s="6" t="s">
        <v>360</v>
      </c>
      <c r="J8969" s="6" t="s">
        <v>361</v>
      </c>
      <c r="K8969" s="6" t="s">
        <v>362</v>
      </c>
      <c r="L8969" s="6" t="s">
        <v>363</v>
      </c>
      <c r="M8969" s="6" t="s">
        <v>364</v>
      </c>
      <c r="N8969" s="6" t="s">
        <v>365</v>
      </c>
      <c r="P8969" s="6" t="s">
        <v>445</v>
      </c>
      <c r="Q8969" s="6" t="s">
        <v>446</v>
      </c>
      <c r="R8969" s="6" t="s">
        <v>447</v>
      </c>
      <c r="S8969" s="6" t="s">
        <v>448</v>
      </c>
    </row>
    <row r="8970" customFormat="false" ht="15" hidden="false" customHeight="false" outlineLevel="0" collapsed="false">
      <c r="A8970" s="4" t="s">
        <v>475</v>
      </c>
      <c r="B8970" s="36" t="s">
        <v>133</v>
      </c>
      <c r="C8970" s="39" t="n">
        <v>1</v>
      </c>
      <c r="D8970" s="39" t="n">
        <v>2</v>
      </c>
      <c r="E8970" s="39" t="n">
        <v>3</v>
      </c>
      <c r="F8970" s="39" t="n">
        <v>4</v>
      </c>
      <c r="G8970" s="39" t="n">
        <v>5</v>
      </c>
      <c r="H8970" s="39" t="n">
        <v>6</v>
      </c>
      <c r="I8970" s="39" t="n">
        <v>7</v>
      </c>
      <c r="J8970" s="39" t="n">
        <v>8</v>
      </c>
      <c r="K8970" s="39" t="n">
        <v>9</v>
      </c>
      <c r="L8970" s="39" t="n">
        <v>10</v>
      </c>
      <c r="M8970" s="39" t="n">
        <v>11</v>
      </c>
      <c r="N8970" s="39" t="n">
        <v>12</v>
      </c>
      <c r="P8970" s="40"/>
      <c r="Q8970" s="40"/>
      <c r="R8970" s="40"/>
      <c r="S8970" s="41"/>
    </row>
    <row r="8971" customFormat="false" ht="15" hidden="false" customHeight="false" outlineLevel="0" collapsed="false">
      <c r="A8971" s="4" t="s">
        <v>476</v>
      </c>
      <c r="B8971" s="36" t="s">
        <v>343</v>
      </c>
      <c r="C8971" s="39" t="n">
        <f aca="false">IF(C8970&lt;=Assumptions!$E$84,1,0)</f>
        <v>1</v>
      </c>
      <c r="D8971" s="39" t="n">
        <f aca="false">IF(D8970&lt;=Assumptions!$E$84,1,0)</f>
        <v>1</v>
      </c>
      <c r="E8971" s="39" t="n">
        <f aca="false">IF(E8970&lt;=Assumptions!$E$84,1,0)</f>
        <v>1</v>
      </c>
      <c r="F8971" s="39" t="n">
        <f aca="false">IF(F8970&lt;=Assumptions!$E$84,1,0)</f>
        <v>1</v>
      </c>
      <c r="G8971" s="39" t="n">
        <f aca="false">IF(G8970&lt;=Assumptions!$E$84,1,0)</f>
        <v>1</v>
      </c>
      <c r="H8971" s="39" t="n">
        <f aca="false">IF(H8970&lt;=Assumptions!$E$84,1,0)</f>
        <v>1</v>
      </c>
      <c r="I8971" s="39" t="n">
        <f aca="false">IF(I8970&lt;=Assumptions!$E$84,1,0)</f>
        <v>1</v>
      </c>
      <c r="J8971" s="39" t="n">
        <f aca="false">IF(J8970&lt;=Assumptions!$E$84,1,0)</f>
        <v>1</v>
      </c>
      <c r="K8971" s="39" t="n">
        <f aca="false">IF(K8970&lt;=Assumptions!$E$84,1,0)</f>
        <v>1</v>
      </c>
      <c r="L8971" s="39" t="n">
        <f aca="false">IF(L8970&lt;=Assumptions!$E$84,1,0)</f>
        <v>1</v>
      </c>
      <c r="M8971" s="39" t="n">
        <f aca="false">IF(M8970&lt;=Assumptions!$E$84,1,0)</f>
        <v>1</v>
      </c>
      <c r="N8971" s="39" t="n">
        <f aca="false">IF(N8970&lt;=Assumptions!$E$84,1,0)</f>
        <v>1</v>
      </c>
      <c r="P8971" s="40"/>
      <c r="Q8971" s="40"/>
      <c r="R8971" s="40"/>
      <c r="S8971" s="41"/>
    </row>
    <row r="8972" customFormat="false" ht="15" hidden="false" customHeight="false" outlineLevel="0" collapsed="false">
      <c r="A8972" s="4" t="s">
        <v>477</v>
      </c>
      <c r="B8972" s="36" t="s">
        <v>478</v>
      </c>
      <c r="C8972" s="42" t="n">
        <f aca="false">IF(C8970=Assumptions!$E$13,0.5,IF(C8970&gt;Assumptions!$E$13,1,0))</f>
        <v>0.5</v>
      </c>
      <c r="D8972" s="42" t="n">
        <f aca="false">IF(D8970=Assumptions!$E$13,0.5,IF(D8970&gt;Assumptions!$E$13,1,0))</f>
        <v>1</v>
      </c>
      <c r="E8972" s="42" t="n">
        <f aca="false">IF(E8970=Assumptions!$E$13,0.5,IF(E8970&gt;Assumptions!$E$13,1,0))</f>
        <v>1</v>
      </c>
      <c r="F8972" s="42" t="n">
        <f aca="false">IF(F8970=Assumptions!$E$13,0.5,IF(F8970&gt;Assumptions!$E$13,1,0))</f>
        <v>1</v>
      </c>
      <c r="G8972" s="42" t="n">
        <f aca="false">IF(G8970=Assumptions!$E$13,0.5,IF(G8970&gt;Assumptions!$E$13,1,0))</f>
        <v>1</v>
      </c>
      <c r="H8972" s="42" t="n">
        <f aca="false">IF(H8970=Assumptions!$E$13,0.5,IF(H8970&gt;Assumptions!$E$13,1,0))</f>
        <v>1</v>
      </c>
      <c r="I8972" s="42" t="n">
        <f aca="false">IF(I8970=Assumptions!$E$13,0.5,IF(I8970&gt;Assumptions!$E$13,1,0))</f>
        <v>1</v>
      </c>
      <c r="J8972" s="42" t="n">
        <f aca="false">IF(J8970=Assumptions!$E$13,0.5,IF(J8970&gt;Assumptions!$E$13,1,0))</f>
        <v>1</v>
      </c>
      <c r="K8972" s="42" t="n">
        <f aca="false">IF(K8970=Assumptions!$E$13,0.5,IF(K8970&gt;Assumptions!$E$13,1,0))</f>
        <v>1</v>
      </c>
      <c r="L8972" s="42" t="n">
        <f aca="false">IF(L8970=Assumptions!$E$13,0.5,IF(L8970&gt;Assumptions!$E$13,1,0))</f>
        <v>1</v>
      </c>
      <c r="M8972" s="42" t="n">
        <f aca="false">IF(M8970=Assumptions!$E$13,0.5,IF(M8970&gt;Assumptions!$E$13,1,0))</f>
        <v>1</v>
      </c>
      <c r="N8972" s="42" t="n">
        <f aca="false">IF(N8970=Assumptions!$E$13,0.5,IF(N8970&gt;Assumptions!$E$13,1,0))</f>
        <v>1</v>
      </c>
      <c r="P8972" s="43"/>
      <c r="Q8972" s="43"/>
      <c r="R8972" s="43"/>
      <c r="S8972" s="44"/>
    </row>
    <row r="8973" customFormat="false" ht="15" hidden="false" customHeight="false" outlineLevel="0" collapsed="false">
      <c r="A8973" s="4" t="s">
        <v>479</v>
      </c>
      <c r="B8973" s="36" t="s">
        <v>478</v>
      </c>
      <c r="C8973" s="42" t="n">
        <f aca="false">IF(C8970=Assumptions!$E$14,0.5,IF(C8970&gt;Assumptions!$E$14,1,0))</f>
        <v>0</v>
      </c>
      <c r="D8973" s="42" t="n">
        <f aca="false">IF(D8970=Assumptions!$E$14,0.5,IF(D8970&gt;Assumptions!$E$14,1,0))</f>
        <v>0</v>
      </c>
      <c r="E8973" s="42" t="n">
        <f aca="false">IF(E8970=Assumptions!$E$14,0.5,IF(E8970&gt;Assumptions!$E$14,1,0))</f>
        <v>0</v>
      </c>
      <c r="F8973" s="42" t="n">
        <f aca="false">IF(F8970=Assumptions!$E$14,0.5,IF(F8970&gt;Assumptions!$E$14,1,0))</f>
        <v>0</v>
      </c>
      <c r="G8973" s="42" t="n">
        <f aca="false">IF(G8970=Assumptions!$E$14,0.5,IF(G8970&gt;Assumptions!$E$14,1,0))</f>
        <v>0.5</v>
      </c>
      <c r="H8973" s="42" t="n">
        <f aca="false">IF(H8970=Assumptions!$E$14,0.5,IF(H8970&gt;Assumptions!$E$14,1,0))</f>
        <v>1</v>
      </c>
      <c r="I8973" s="42" t="n">
        <f aca="false">IF(I8970=Assumptions!$E$14,0.5,IF(I8970&gt;Assumptions!$E$14,1,0))</f>
        <v>1</v>
      </c>
      <c r="J8973" s="42" t="n">
        <f aca="false">IF(J8970=Assumptions!$E$14,0.5,IF(J8970&gt;Assumptions!$E$14,1,0))</f>
        <v>1</v>
      </c>
      <c r="K8973" s="42" t="n">
        <f aca="false">IF(K8970=Assumptions!$E$14,0.5,IF(K8970&gt;Assumptions!$E$14,1,0))</f>
        <v>1</v>
      </c>
      <c r="L8973" s="42" t="n">
        <f aca="false">IF(L8970=Assumptions!$E$14,0.5,IF(L8970&gt;Assumptions!$E$14,1,0))</f>
        <v>1</v>
      </c>
      <c r="M8973" s="42" t="n">
        <f aca="false">IF(M8970=Assumptions!$E$14,0.5,IF(M8970&gt;Assumptions!$E$14,1,0))</f>
        <v>1</v>
      </c>
      <c r="N8973" s="42" t="n">
        <f aca="false">IF(N8970=Assumptions!$E$14,0.5,IF(N8970&gt;Assumptions!$E$14,1,0))</f>
        <v>1</v>
      </c>
      <c r="P8973" s="43"/>
      <c r="Q8973" s="43"/>
      <c r="R8973" s="43"/>
      <c r="S8973" s="44"/>
    </row>
    <row r="8974" customFormat="false" ht="15" hidden="false" customHeight="false" outlineLevel="0" collapsed="false">
      <c r="A8974" s="4" t="s">
        <v>480</v>
      </c>
      <c r="B8974" s="36" t="s">
        <v>478</v>
      </c>
      <c r="C8974" s="42" t="n">
        <f aca="false">IF(C8970=Assumptions!$E$15,0.5,IF(C8970&gt;Assumptions!$E$15,1,0))</f>
        <v>0</v>
      </c>
      <c r="D8974" s="42" t="n">
        <f aca="false">IF(D8970=Assumptions!$E$15,0.5,IF(D8970&gt;Assumptions!$E$15,1,0))</f>
        <v>0</v>
      </c>
      <c r="E8974" s="42" t="n">
        <f aca="false">IF(E8970=Assumptions!$E$15,0.5,IF(E8970&gt;Assumptions!$E$15,1,0))</f>
        <v>0</v>
      </c>
      <c r="F8974" s="42" t="n">
        <f aca="false">IF(F8970=Assumptions!$E$15,0.5,IF(F8970&gt;Assumptions!$E$15,1,0))</f>
        <v>0</v>
      </c>
      <c r="G8974" s="42" t="n">
        <f aca="false">IF(G8970=Assumptions!$E$15,0.5,IF(G8970&gt;Assumptions!$E$15,1,0))</f>
        <v>0</v>
      </c>
      <c r="H8974" s="42" t="n">
        <f aca="false">IF(H8970=Assumptions!$E$15,0.5,IF(H8970&gt;Assumptions!$E$15,1,0))</f>
        <v>0</v>
      </c>
      <c r="I8974" s="42" t="n">
        <f aca="false">IF(I8970=Assumptions!$E$15,0.5,IF(I8970&gt;Assumptions!$E$15,1,0))</f>
        <v>0.5</v>
      </c>
      <c r="J8974" s="42" t="n">
        <f aca="false">IF(J8970=Assumptions!$E$15,0.5,IF(J8970&gt;Assumptions!$E$15,1,0))</f>
        <v>1</v>
      </c>
      <c r="K8974" s="42" t="n">
        <f aca="false">IF(K8970=Assumptions!$E$15,0.5,IF(K8970&gt;Assumptions!$E$15,1,0))</f>
        <v>1</v>
      </c>
      <c r="L8974" s="42" t="n">
        <f aca="false">IF(L8970=Assumptions!$E$15,0.5,IF(L8970&gt;Assumptions!$E$15,1,0))</f>
        <v>1</v>
      </c>
      <c r="M8974" s="42" t="n">
        <f aca="false">IF(M8970=Assumptions!$E$15,0.5,IF(M8970&gt;Assumptions!$E$15,1,0))</f>
        <v>1</v>
      </c>
      <c r="N8974" s="42" t="n">
        <f aca="false">IF(N8970=Assumptions!$E$15,0.5,IF(N8970&gt;Assumptions!$E$15,1,0))</f>
        <v>1</v>
      </c>
      <c r="P8974" s="43"/>
      <c r="Q8974" s="43"/>
      <c r="R8974" s="43"/>
      <c r="S8974" s="44"/>
    </row>
    <row r="8975" customFormat="false" ht="15" hidden="false" customHeight="false" outlineLevel="0" collapsed="false">
      <c r="A8975" s="4" t="s">
        <v>481</v>
      </c>
      <c r="B8975" s="36" t="s">
        <v>478</v>
      </c>
      <c r="C8975" s="45" t="n">
        <f aca="false">Assumptions!$E$21^(MAX(0,C8970-Assumptions!$E$13)/4)</f>
        <v>1</v>
      </c>
      <c r="D8975" s="45" t="n">
        <f aca="false">Assumptions!$E$21^(MAX(0,D8970-Assumptions!$E$13)/4)</f>
        <v>0.9306048591021</v>
      </c>
      <c r="E8975" s="45" t="n">
        <f aca="false">Assumptions!$E$21^(MAX(0,E8970-Assumptions!$E$13)/4)</f>
        <v>0.866025403784439</v>
      </c>
      <c r="F8975" s="45" t="n">
        <f aca="false">Assumptions!$E$21^(MAX(0,F8970-Assumptions!$E$13)/4)</f>
        <v>0.805927448867656</v>
      </c>
      <c r="G8975" s="45" t="n">
        <f aca="false">Assumptions!$E$21^(MAX(0,G8970-Assumptions!$E$13)/4)</f>
        <v>0.75</v>
      </c>
      <c r="H8975" s="45" t="n">
        <f aca="false">Assumptions!$E$21^(MAX(0,H8970-Assumptions!$E$13)/4)</f>
        <v>0.697953644326575</v>
      </c>
      <c r="I8975" s="45" t="n">
        <f aca="false">Assumptions!$E$21^(MAX(0,I8970-Assumptions!$E$13)/4)</f>
        <v>0.649519052838329</v>
      </c>
      <c r="J8975" s="45" t="n">
        <f aca="false">Assumptions!$E$21^(MAX(0,J8970-Assumptions!$E$13)/4)</f>
        <v>0.604445586650742</v>
      </c>
      <c r="K8975" s="45" t="n">
        <f aca="false">Assumptions!$E$21^(MAX(0,K8970-Assumptions!$E$13)/4)</f>
        <v>0.5625</v>
      </c>
      <c r="L8975" s="45" t="n">
        <f aca="false">Assumptions!$E$21^(MAX(0,L8970-Assumptions!$E$13)/4)</f>
        <v>0.523465233244931</v>
      </c>
      <c r="M8975" s="45" t="n">
        <f aca="false">Assumptions!$E$21^(MAX(0,M8970-Assumptions!$E$13)/4)</f>
        <v>0.487139289628747</v>
      </c>
      <c r="N8975" s="45" t="n">
        <f aca="false">Assumptions!$E$21^(MAX(0,N8970-Assumptions!$E$13)/4)</f>
        <v>0.453334189988057</v>
      </c>
      <c r="P8975" s="46"/>
      <c r="Q8975" s="46"/>
      <c r="R8975" s="46"/>
      <c r="S8975" s="47"/>
    </row>
    <row r="8976" customFormat="false" ht="15" hidden="false" customHeight="false" outlineLevel="0" collapsed="false">
      <c r="A8976" s="4" t="s">
        <v>482</v>
      </c>
      <c r="B8976" s="36" t="s">
        <v>478</v>
      </c>
      <c r="C8976" s="45" t="n">
        <f aca="false">Assumptions!$E$21^(MAX(0,C8970-Assumptions!$E$14)/4)</f>
        <v>1</v>
      </c>
      <c r="D8976" s="45" t="n">
        <f aca="false">Assumptions!$E$21^(MAX(0,D8970-Assumptions!$E$14)/4)</f>
        <v>1</v>
      </c>
      <c r="E8976" s="45" t="n">
        <f aca="false">Assumptions!$E$21^(MAX(0,E8970-Assumptions!$E$14)/4)</f>
        <v>1</v>
      </c>
      <c r="F8976" s="45" t="n">
        <f aca="false">Assumptions!$E$21^(MAX(0,F8970-Assumptions!$E$14)/4)</f>
        <v>1</v>
      </c>
      <c r="G8976" s="45" t="n">
        <f aca="false">Assumptions!$E$21^(MAX(0,G8970-Assumptions!$E$14)/4)</f>
        <v>1</v>
      </c>
      <c r="H8976" s="45" t="n">
        <f aca="false">Assumptions!$E$21^(MAX(0,H8970-Assumptions!$E$14)/4)</f>
        <v>0.9306048591021</v>
      </c>
      <c r="I8976" s="45" t="n">
        <f aca="false">Assumptions!$E$21^(MAX(0,I8970-Assumptions!$E$14)/4)</f>
        <v>0.866025403784439</v>
      </c>
      <c r="J8976" s="45" t="n">
        <f aca="false">Assumptions!$E$21^(MAX(0,J8970-Assumptions!$E$14)/4)</f>
        <v>0.805927448867656</v>
      </c>
      <c r="K8976" s="45" t="n">
        <f aca="false">Assumptions!$E$21^(MAX(0,K8970-Assumptions!$E$14)/4)</f>
        <v>0.75</v>
      </c>
      <c r="L8976" s="45" t="n">
        <f aca="false">Assumptions!$E$21^(MAX(0,L8970-Assumptions!$E$14)/4)</f>
        <v>0.697953644326575</v>
      </c>
      <c r="M8976" s="45" t="n">
        <f aca="false">Assumptions!$E$21^(MAX(0,M8970-Assumptions!$E$14)/4)</f>
        <v>0.649519052838329</v>
      </c>
      <c r="N8976" s="45" t="n">
        <f aca="false">Assumptions!$E$21^(MAX(0,N8970-Assumptions!$E$14)/4)</f>
        <v>0.604445586650742</v>
      </c>
      <c r="P8976" s="46"/>
      <c r="Q8976" s="46"/>
      <c r="R8976" s="46"/>
      <c r="S8976" s="47"/>
    </row>
    <row r="8977" customFormat="false" ht="15" hidden="false" customHeight="false" outlineLevel="0" collapsed="false">
      <c r="A8977" s="4" t="s">
        <v>483</v>
      </c>
      <c r="B8977" s="36" t="s">
        <v>478</v>
      </c>
      <c r="C8977" s="45" t="n">
        <f aca="false">Assumptions!$E$21^(MAX(0,C8970-Assumptions!$E$15)/4)</f>
        <v>1</v>
      </c>
      <c r="D8977" s="45" t="n">
        <f aca="false">Assumptions!$E$21^(MAX(0,D8970-Assumptions!$E$15)/4)</f>
        <v>1</v>
      </c>
      <c r="E8977" s="45" t="n">
        <f aca="false">Assumptions!$E$21^(MAX(0,E8970-Assumptions!$E$15)/4)</f>
        <v>1</v>
      </c>
      <c r="F8977" s="45" t="n">
        <f aca="false">Assumptions!$E$21^(MAX(0,F8970-Assumptions!$E$15)/4)</f>
        <v>1</v>
      </c>
      <c r="G8977" s="45" t="n">
        <f aca="false">Assumptions!$E$21^(MAX(0,G8970-Assumptions!$E$15)/4)</f>
        <v>1</v>
      </c>
      <c r="H8977" s="45" t="n">
        <f aca="false">Assumptions!$E$21^(MAX(0,H8970-Assumptions!$E$15)/4)</f>
        <v>1</v>
      </c>
      <c r="I8977" s="45" t="n">
        <f aca="false">Assumptions!$E$21^(MAX(0,I8970-Assumptions!$E$15)/4)</f>
        <v>1</v>
      </c>
      <c r="J8977" s="45" t="n">
        <f aca="false">Assumptions!$E$21^(MAX(0,J8970-Assumptions!$E$15)/4)</f>
        <v>0.9306048591021</v>
      </c>
      <c r="K8977" s="45" t="n">
        <f aca="false">Assumptions!$E$21^(MAX(0,K8970-Assumptions!$E$15)/4)</f>
        <v>0.866025403784439</v>
      </c>
      <c r="L8977" s="45" t="n">
        <f aca="false">Assumptions!$E$21^(MAX(0,L8970-Assumptions!$E$15)/4)</f>
        <v>0.805927448867656</v>
      </c>
      <c r="M8977" s="45" t="n">
        <f aca="false">Assumptions!$E$21^(MAX(0,M8970-Assumptions!$E$15)/4)</f>
        <v>0.75</v>
      </c>
      <c r="N8977" s="45" t="n">
        <f aca="false">Assumptions!$E$21^(MAX(0,N8970-Assumptions!$E$15)/4)</f>
        <v>0.697953644326575</v>
      </c>
      <c r="P8977" s="46"/>
      <c r="Q8977" s="46"/>
      <c r="R8977" s="46"/>
      <c r="S8977" s="47"/>
    </row>
    <row r="8978" customFormat="false" ht="15" hidden="false" customHeight="false" outlineLevel="0" collapsed="false">
      <c r="A8978" s="4" t="s">
        <v>484</v>
      </c>
      <c r="B8978" s="36" t="s">
        <v>485</v>
      </c>
      <c r="C8978" s="39" t="n">
        <f aca="false">$C$8949*C8972+$C$8953*C8973+$C$8957*C8974</f>
        <v>421.51972352</v>
      </c>
      <c r="D8978" s="39" t="n">
        <f aca="false">$C$8949*D8972+$C$8953*D8973+$C$8957*D8974</f>
        <v>843.03944704</v>
      </c>
      <c r="E8978" s="39" t="n">
        <f aca="false">$C$8949*E8972+$C$8953*E8973+$C$8957*E8974</f>
        <v>843.03944704</v>
      </c>
      <c r="F8978" s="39" t="n">
        <f aca="false">$C$8949*F8972+$C$8953*F8973+$C$8957*F8974</f>
        <v>843.03944704</v>
      </c>
      <c r="G8978" s="39" t="n">
        <f aca="false">$C$8949*G8972+$C$8953*G8973+$C$8957*G8974</f>
        <v>1149.32798176</v>
      </c>
      <c r="H8978" s="39" t="n">
        <f aca="false">$C$8949*H8972+$C$8953*H8973+$C$8957*H8974</f>
        <v>1455.61651648</v>
      </c>
      <c r="I8978" s="39" t="n">
        <f aca="false">$C$8949*I8972+$C$8953*I8973+$C$8957*I8974</f>
        <v>2486.00303616</v>
      </c>
      <c r="J8978" s="39" t="n">
        <f aca="false">$C$8949*J8972+$C$8953*J8973+$C$8957*J8974</f>
        <v>3516.38955584</v>
      </c>
      <c r="K8978" s="39" t="n">
        <f aca="false">$C$8949*K8972+$C$8953*K8973+$C$8957*K8974</f>
        <v>3516.38955584</v>
      </c>
      <c r="L8978" s="39" t="n">
        <f aca="false">$C$8949*L8972+$C$8953*L8973+$C$8957*L8974</f>
        <v>3516.38955584</v>
      </c>
      <c r="M8978" s="39" t="n">
        <f aca="false">$C$8949*M8972+$C$8953*M8973+$C$8957*M8974</f>
        <v>3516.38955584</v>
      </c>
      <c r="N8978" s="39" t="n">
        <f aca="false">$C$8949*N8972+$C$8953*N8973+$C$8957*N8974</f>
        <v>3516.38955584</v>
      </c>
      <c r="P8978" s="40" t="n">
        <f aca="false">F8978</f>
        <v>843.03944704</v>
      </c>
      <c r="Q8978" s="40" t="n">
        <f aca="false">J8978</f>
        <v>3516.38955584</v>
      </c>
      <c r="R8978" s="40" t="n">
        <f aca="false">N8978</f>
        <v>3516.38955584</v>
      </c>
      <c r="S8978" s="41" t="n">
        <f aca="false">R8978</f>
        <v>3516.38955584</v>
      </c>
    </row>
    <row r="8979" customFormat="false" ht="15" hidden="false" customHeight="false" outlineLevel="0" collapsed="false">
      <c r="A8979" s="4" t="s">
        <v>486</v>
      </c>
      <c r="B8979" s="36" t="s">
        <v>485</v>
      </c>
      <c r="C8979" s="39" t="n">
        <f aca="false">$C$8950*C8972+$C$8954*C8973+$C$8958*C8974</f>
        <v>105.59808</v>
      </c>
      <c r="D8979" s="39" t="n">
        <f aca="false">$C$8950*D8972+$C$8954*D8973+$C$8958*D8974</f>
        <v>211.19616</v>
      </c>
      <c r="E8979" s="39" t="n">
        <f aca="false">$C$8950*E8972+$C$8954*E8973+$C$8958*E8974</f>
        <v>211.19616</v>
      </c>
      <c r="F8979" s="39" t="n">
        <f aca="false">$C$8950*F8972+$C$8954*F8973+$C$8958*F8974</f>
        <v>211.19616</v>
      </c>
      <c r="G8979" s="39" t="n">
        <f aca="false">$C$8950*G8972+$C$8954*G8973+$C$8958*G8974</f>
        <v>282.24672</v>
      </c>
      <c r="H8979" s="39" t="n">
        <f aca="false">$C$8950*H8972+$C$8954*H8973+$C$8958*H8974</f>
        <v>353.29728</v>
      </c>
      <c r="I8979" s="39" t="n">
        <f aca="false">$C$8950*I8972+$C$8954*I8973+$C$8958*I8974</f>
        <v>567.53536</v>
      </c>
      <c r="J8979" s="39" t="n">
        <f aca="false">$C$8950*J8972+$C$8954*J8973+$C$8958*J8974</f>
        <v>781.77344</v>
      </c>
      <c r="K8979" s="39" t="n">
        <f aca="false">$C$8950*K8972+$C$8954*K8973+$C$8958*K8974</f>
        <v>781.77344</v>
      </c>
      <c r="L8979" s="39" t="n">
        <f aca="false">$C$8950*L8972+$C$8954*L8973+$C$8958*L8974</f>
        <v>781.77344</v>
      </c>
      <c r="M8979" s="39" t="n">
        <f aca="false">$C$8950*M8972+$C$8954*M8973+$C$8958*M8974</f>
        <v>781.77344</v>
      </c>
      <c r="N8979" s="39" t="n">
        <f aca="false">$C$8950*N8972+$C$8954*N8973+$C$8958*N8974</f>
        <v>781.77344</v>
      </c>
      <c r="P8979" s="40" t="n">
        <f aca="false">F8979</f>
        <v>211.19616</v>
      </c>
      <c r="Q8979" s="40" t="n">
        <f aca="false">J8979</f>
        <v>781.77344</v>
      </c>
      <c r="R8979" s="40" t="n">
        <f aca="false">N8979</f>
        <v>781.77344</v>
      </c>
      <c r="S8979" s="41" t="n">
        <f aca="false">R8979</f>
        <v>781.77344</v>
      </c>
    </row>
    <row r="8980" customFormat="false" ht="15" hidden="false" customHeight="false" outlineLevel="0" collapsed="false">
      <c r="A8980" s="4" t="s">
        <v>487</v>
      </c>
      <c r="B8980" s="36" t="s">
        <v>485</v>
      </c>
      <c r="C8980" s="39" t="n">
        <f aca="false">$C$8951*C8972+$C$8955*C8973+$C$8959*C8974</f>
        <v>24.76992</v>
      </c>
      <c r="D8980" s="39" t="n">
        <f aca="false">$C$8951*D8972+$C$8955*D8973+$C$8959*D8974</f>
        <v>49.53984</v>
      </c>
      <c r="E8980" s="39" t="n">
        <f aca="false">$C$8951*E8972+$C$8955*E8973+$C$8959*E8974</f>
        <v>49.53984</v>
      </c>
      <c r="F8980" s="39" t="n">
        <f aca="false">$C$8951*F8972+$C$8955*F8973+$C$8959*F8974</f>
        <v>49.53984</v>
      </c>
      <c r="G8980" s="39" t="n">
        <f aca="false">$C$8951*G8972+$C$8955*G8973+$C$8959*G8974</f>
        <v>61.9248</v>
      </c>
      <c r="H8980" s="39" t="n">
        <f aca="false">$C$8951*H8972+$C$8955*H8973+$C$8959*H8974</f>
        <v>74.30976</v>
      </c>
      <c r="I8980" s="39" t="n">
        <f aca="false">$C$8951*I8972+$C$8955*I8973+$C$8959*I8974</f>
        <v>114.072</v>
      </c>
      <c r="J8980" s="39" t="n">
        <f aca="false">$C$8951*J8972+$C$8955*J8973+$C$8959*J8974</f>
        <v>153.83424</v>
      </c>
      <c r="K8980" s="39" t="n">
        <f aca="false">$C$8951*K8972+$C$8955*K8973+$C$8959*K8974</f>
        <v>153.83424</v>
      </c>
      <c r="L8980" s="39" t="n">
        <f aca="false">$C$8951*L8972+$C$8955*L8973+$C$8959*L8974</f>
        <v>153.83424</v>
      </c>
      <c r="M8980" s="39" t="n">
        <f aca="false">$C$8951*M8972+$C$8955*M8973+$C$8959*M8974</f>
        <v>153.83424</v>
      </c>
      <c r="N8980" s="39" t="n">
        <f aca="false">$C$8951*N8972+$C$8955*N8973+$C$8959*N8974</f>
        <v>153.83424</v>
      </c>
      <c r="P8980" s="40" t="n">
        <f aca="false">F8980</f>
        <v>49.53984</v>
      </c>
      <c r="Q8980" s="40" t="n">
        <f aca="false">J8980</f>
        <v>153.83424</v>
      </c>
      <c r="R8980" s="40" t="n">
        <f aca="false">N8980</f>
        <v>153.83424</v>
      </c>
      <c r="S8980" s="41" t="n">
        <f aca="false">R8980</f>
        <v>153.83424</v>
      </c>
    </row>
    <row r="8981" customFormat="false" ht="15" hidden="false" customHeight="false" outlineLevel="0" collapsed="false">
      <c r="A8981" s="4" t="s">
        <v>488</v>
      </c>
      <c r="B8981" s="36" t="s">
        <v>485</v>
      </c>
      <c r="C8981" s="39" t="n">
        <f aca="false">C8978+C8979+C8980</f>
        <v>551.88772352</v>
      </c>
      <c r="D8981" s="39" t="n">
        <f aca="false">D8978+D8979+D8980</f>
        <v>1103.77544704</v>
      </c>
      <c r="E8981" s="39" t="n">
        <f aca="false">E8978+E8979+E8980</f>
        <v>1103.77544704</v>
      </c>
      <c r="F8981" s="39" t="n">
        <f aca="false">F8978+F8979+F8980</f>
        <v>1103.77544704</v>
      </c>
      <c r="G8981" s="39" t="n">
        <f aca="false">G8978+G8979+G8980</f>
        <v>1493.49950176</v>
      </c>
      <c r="H8981" s="39" t="n">
        <f aca="false">H8978+H8979+H8980</f>
        <v>1883.22355648</v>
      </c>
      <c r="I8981" s="39" t="n">
        <f aca="false">I8978+I8979+I8980</f>
        <v>3167.61039616</v>
      </c>
      <c r="J8981" s="39" t="n">
        <f aca="false">J8978+J8979+J8980</f>
        <v>4451.99723584</v>
      </c>
      <c r="K8981" s="39" t="n">
        <f aca="false">K8978+K8979+K8980</f>
        <v>4451.99723584</v>
      </c>
      <c r="L8981" s="39" t="n">
        <f aca="false">L8978+L8979+L8980</f>
        <v>4451.99723584</v>
      </c>
      <c r="M8981" s="39" t="n">
        <f aca="false">M8978+M8979+M8980</f>
        <v>4451.99723584</v>
      </c>
      <c r="N8981" s="39" t="n">
        <f aca="false">N8978+N8979+N8980</f>
        <v>4451.99723584</v>
      </c>
      <c r="P8981" s="40" t="n">
        <f aca="false">F8981</f>
        <v>1103.77544704</v>
      </c>
      <c r="Q8981" s="40" t="n">
        <f aca="false">J8981</f>
        <v>4451.99723584</v>
      </c>
      <c r="R8981" s="40" t="n">
        <f aca="false">N8981</f>
        <v>4451.99723584</v>
      </c>
      <c r="S8981" s="41" t="n">
        <f aca="false">R8981</f>
        <v>4451.99723584</v>
      </c>
    </row>
    <row r="8982" customFormat="false" ht="15" hidden="false" customHeight="false" outlineLevel="0" collapsed="false">
      <c r="A8982" s="4" t="s">
        <v>489</v>
      </c>
      <c r="B8982" s="36" t="s">
        <v>485</v>
      </c>
      <c r="C8982" s="39" t="n">
        <f aca="false">$C$8952*C8972*C8975+$C$8956*C8973*C8976+$C$8960*C8974*C8977</f>
        <v>551.88772352</v>
      </c>
      <c r="D8982" s="39" t="n">
        <f aca="false">$C$8952*D8972*D8975+$C$8956*D8973*D8976+$C$8960*D8974*D8977</f>
        <v>1027.17879437302</v>
      </c>
      <c r="E8982" s="39" t="n">
        <f aca="false">$C$8952*E8972*E8975+$C$8956*E8973*E8976+$C$8960*E8974*E8977</f>
        <v>955.897577210165</v>
      </c>
      <c r="F8982" s="39" t="n">
        <f aca="false">$C$8952*F8972*F8975+$C$8956*F8973*F8976+$C$8960*F8974*F8977</f>
        <v>889.562930155704</v>
      </c>
      <c r="G8982" s="39" t="n">
        <f aca="false">$C$8952*G8972*G8975+$C$8956*G8973*G8976+$C$8960*G8974*G8977</f>
        <v>1217.55564</v>
      </c>
      <c r="H8982" s="39" t="n">
        <f aca="false">$C$8952*H8972*H8975+$C$8956*H8973*H8976+$C$8960*H8974*H8977</f>
        <v>1495.74229384257</v>
      </c>
      <c r="I8982" s="39" t="n">
        <f aca="false">$C$8952*I8972*I8975+$C$8956*I8973*I8976+$C$8960*I8974*I8977</f>
        <v>2676.33188629442</v>
      </c>
      <c r="J8982" s="39" t="n">
        <f aca="false">$C$8952*J8972*J8975+$C$8956*J8973*J8976+$C$8960*J8974*J8977</f>
        <v>3685.86409192847</v>
      </c>
      <c r="K8982" s="39" t="n">
        <f aca="false">$C$8952*K8972*K8975+$C$8956*K8973*K8976+$C$8960*K8974*K8977</f>
        <v>3430.08303393858</v>
      </c>
      <c r="L8982" s="39" t="n">
        <f aca="false">$C$8952*L8972*L8975+$C$8956*L8973*L8976+$C$8960*L8974*L8977</f>
        <v>3192.05193850692</v>
      </c>
      <c r="M8982" s="39" t="n">
        <f aca="false">$C$8952*M8972*M8975+$C$8956*M8973*M8976+$C$8960*M8974*M8977</f>
        <v>2970.53904448081</v>
      </c>
      <c r="N8982" s="39" t="n">
        <f aca="false">$C$8952*N8972*N8975+$C$8956*N8973*N8976+$C$8960*N8974*N8977</f>
        <v>2764.39806894635</v>
      </c>
      <c r="P8982" s="40"/>
      <c r="Q8982" s="40"/>
      <c r="R8982" s="40"/>
      <c r="S8982" s="41"/>
    </row>
    <row r="8983" customFormat="false" ht="15" hidden="false" customHeight="false" outlineLevel="0" collapsed="false">
      <c r="A8983" s="4" t="s">
        <v>490</v>
      </c>
      <c r="B8983" s="36" t="s">
        <v>491</v>
      </c>
      <c r="C8983" s="48" t="n">
        <f aca="false">$C$8964*Assumptions!$E$20*C8971*C8982</f>
        <v>6.62265268224</v>
      </c>
      <c r="D8983" s="48" t="n">
        <f aca="false">$C$8964*Assumptions!$E$20*D8971*D8982</f>
        <v>12.3261455324762</v>
      </c>
      <c r="E8983" s="48" t="n">
        <f aca="false">$C$8964*Assumptions!$E$20*E8971*E8982</f>
        <v>11.470770926522</v>
      </c>
      <c r="F8983" s="48" t="n">
        <f aca="false">$C$8964*Assumptions!$E$20*F8971*F8982</f>
        <v>10.6747551618685</v>
      </c>
      <c r="G8983" s="48" t="n">
        <f aca="false">$C$8964*Assumptions!$E$20*G8971*G8982</f>
        <v>14.61066768</v>
      </c>
      <c r="H8983" s="48" t="n">
        <f aca="false">$C$8964*Assumptions!$E$20*H8971*H8982</f>
        <v>17.9489075261109</v>
      </c>
      <c r="I8983" s="48" t="n">
        <f aca="false">$C$8964*Assumptions!$E$20*I8971*I8982</f>
        <v>32.115982635533</v>
      </c>
      <c r="J8983" s="48" t="n">
        <f aca="false">$C$8964*Assumptions!$E$20*J8971*J8982</f>
        <v>44.2303691031417</v>
      </c>
      <c r="K8983" s="48" t="n">
        <f aca="false">$C$8964*Assumptions!$E$20*K8971*K8982</f>
        <v>41.160996407263</v>
      </c>
      <c r="L8983" s="48" t="n">
        <f aca="false">$C$8964*Assumptions!$E$20*L8971*L8982</f>
        <v>38.304623262083</v>
      </c>
      <c r="M8983" s="48" t="n">
        <f aca="false">$C$8964*Assumptions!$E$20*M8971*M8982</f>
        <v>35.6464685337698</v>
      </c>
      <c r="N8983" s="48" t="n">
        <f aca="false">$C$8964*Assumptions!$E$20*N8971*N8982</f>
        <v>33.1727768273562</v>
      </c>
      <c r="P8983" s="49" t="n">
        <f aca="false">SUM(C8983:F8983)</f>
        <v>41.0943243031066</v>
      </c>
      <c r="Q8983" s="49" t="n">
        <f aca="false">SUM(G8983:J8983)</f>
        <v>108.905926944786</v>
      </c>
      <c r="R8983" s="49" t="n">
        <f aca="false">SUM(K8983:N8983)</f>
        <v>148.284865030472</v>
      </c>
      <c r="S8983" s="50" t="n">
        <f aca="false">SUM(P8983:R8983)</f>
        <v>298.285116278364</v>
      </c>
    </row>
    <row r="8984" customFormat="false" ht="15" hidden="false" customHeight="false" outlineLevel="0" collapsed="false">
      <c r="A8984" s="4" t="s">
        <v>492</v>
      </c>
      <c r="B8984" s="36" t="s">
        <v>321</v>
      </c>
      <c r="C8984" s="48" t="n">
        <f aca="false">Assumptions!$D$111</f>
        <v>0</v>
      </c>
      <c r="D8984" s="48" t="n">
        <f aca="false">Assumptions!$E$111</f>
        <v>0</v>
      </c>
      <c r="E8984" s="48" t="n">
        <f aca="false">Assumptions!$F$111</f>
        <v>0</v>
      </c>
      <c r="F8984" s="48" t="n">
        <f aca="false">Assumptions!$G$111</f>
        <v>0</v>
      </c>
      <c r="G8984" s="48" t="n">
        <f aca="false">Assumptions!$H$111</f>
        <v>0</v>
      </c>
      <c r="H8984" s="48" t="n">
        <f aca="false">Assumptions!$I$111</f>
        <v>0</v>
      </c>
      <c r="I8984" s="48" t="n">
        <f aca="false">Assumptions!$J$111</f>
        <v>0</v>
      </c>
      <c r="J8984" s="48" t="n">
        <f aca="false">Assumptions!$K$111</f>
        <v>0</v>
      </c>
      <c r="K8984" s="48" t="n">
        <f aca="false">Assumptions!$L$111</f>
        <v>0</v>
      </c>
      <c r="L8984" s="48" t="n">
        <f aca="false">Assumptions!$M$111</f>
        <v>0</v>
      </c>
      <c r="M8984" s="48" t="n">
        <f aca="false">Assumptions!$N$111</f>
        <v>0</v>
      </c>
      <c r="N8984" s="48" t="n">
        <f aca="false">Assumptions!$O$111</f>
        <v>0</v>
      </c>
      <c r="P8984" s="49" t="n">
        <f aca="false">F8984</f>
        <v>0</v>
      </c>
      <c r="Q8984" s="49" t="n">
        <f aca="false">J8984</f>
        <v>0</v>
      </c>
      <c r="R8984" s="49" t="n">
        <f aca="false">N8984</f>
        <v>0</v>
      </c>
      <c r="S8984" s="50" t="n">
        <f aca="false">R8984</f>
        <v>0</v>
      </c>
    </row>
    <row r="8985" customFormat="false" ht="15" hidden="false" customHeight="false" outlineLevel="0" collapsed="false">
      <c r="A8985" s="4" t="s">
        <v>493</v>
      </c>
      <c r="B8985" s="36" t="s">
        <v>321</v>
      </c>
      <c r="C8985" s="48" t="n">
        <f aca="false">0</f>
        <v>0</v>
      </c>
      <c r="D8985" s="48" t="n">
        <f aca="false">0.5*C8984</f>
        <v>0</v>
      </c>
      <c r="E8985" s="48" t="n">
        <f aca="false">C8984+0.5*(D8984-C8984)</f>
        <v>0</v>
      </c>
      <c r="F8985" s="48" t="n">
        <f aca="false">D8984+0.5*(E8984-D8984)</f>
        <v>0</v>
      </c>
      <c r="G8985" s="48" t="n">
        <f aca="false">E8984+0.5*(F8984-E8984)</f>
        <v>0</v>
      </c>
      <c r="H8985" s="48" t="n">
        <f aca="false">F8984+0.5*(G8984-F8984)</f>
        <v>0</v>
      </c>
      <c r="I8985" s="48" t="n">
        <f aca="false">G8984+0.5*(H8984-G8984)</f>
        <v>0</v>
      </c>
      <c r="J8985" s="48" t="n">
        <f aca="false">H8984+0.5*(I8984-H8984)</f>
        <v>0</v>
      </c>
      <c r="K8985" s="48" t="n">
        <f aca="false">I8984+0.5*(J8984-I8984)</f>
        <v>0</v>
      </c>
      <c r="L8985" s="48" t="n">
        <f aca="false">J8984+0.5*(K8984-J8984)</f>
        <v>0</v>
      </c>
      <c r="M8985" s="48" t="n">
        <f aca="false">K8984+0.5*(L8984-K8984)</f>
        <v>0</v>
      </c>
      <c r="N8985" s="48" t="n">
        <f aca="false">L8984+0.5*(M8984-L8984)</f>
        <v>0</v>
      </c>
      <c r="P8985" s="49" t="n">
        <f aca="false">F8985</f>
        <v>0</v>
      </c>
      <c r="Q8985" s="49" t="n">
        <f aca="false">J8985</f>
        <v>0</v>
      </c>
      <c r="R8985" s="49" t="n">
        <f aca="false">N8985</f>
        <v>0</v>
      </c>
      <c r="S8985" s="50" t="n">
        <f aca="false">R8985</f>
        <v>0</v>
      </c>
    </row>
    <row r="8986" customFormat="false" ht="15" hidden="false" customHeight="false" outlineLevel="0" collapsed="false">
      <c r="A8986" s="4" t="s">
        <v>494</v>
      </c>
      <c r="B8986" s="36" t="s">
        <v>485</v>
      </c>
      <c r="C8986" s="39" t="n">
        <f aca="false">MIN(C8985*Assumptions!$E$38,C8981*(1-$C$8964))</f>
        <v>0</v>
      </c>
      <c r="D8986" s="39" t="n">
        <f aca="false">MIN(D8985*Assumptions!$E$38,D8981*(1-$C$8964))</f>
        <v>0</v>
      </c>
      <c r="E8986" s="39" t="n">
        <f aca="false">MIN(E8985*Assumptions!$E$38,E8981*(1-$C$8964))</f>
        <v>0</v>
      </c>
      <c r="F8986" s="39" t="n">
        <f aca="false">MIN(F8985*Assumptions!$E$38,F8981*(1-$C$8964))</f>
        <v>0</v>
      </c>
      <c r="G8986" s="39" t="n">
        <f aca="false">MIN(G8985*Assumptions!$E$38,G8981*(1-$C$8964))</f>
        <v>0</v>
      </c>
      <c r="H8986" s="39" t="n">
        <f aca="false">MIN(H8985*Assumptions!$E$38,H8981*(1-$C$8964))</f>
        <v>0</v>
      </c>
      <c r="I8986" s="39" t="n">
        <f aca="false">MIN(I8985*Assumptions!$E$38,I8981*(1-$C$8964))</f>
        <v>0</v>
      </c>
      <c r="J8986" s="39" t="n">
        <f aca="false">MIN(J8985*Assumptions!$E$38,J8981*(1-$C$8964))</f>
        <v>0</v>
      </c>
      <c r="K8986" s="39" t="n">
        <f aca="false">MIN(K8985*Assumptions!$E$38,K8981*(1-$C$8964))</f>
        <v>0</v>
      </c>
      <c r="L8986" s="39" t="n">
        <f aca="false">MIN(L8985*Assumptions!$E$38,L8981*(1-$C$8964))</f>
        <v>0</v>
      </c>
      <c r="M8986" s="39" t="n">
        <f aca="false">MIN(M8985*Assumptions!$E$38,M8981*(1-$C$8964))</f>
        <v>0</v>
      </c>
      <c r="N8986" s="39" t="n">
        <f aca="false">MIN(N8985*Assumptions!$E$38,N8981*(1-$C$8964))</f>
        <v>0</v>
      </c>
      <c r="P8986" s="40" t="n">
        <f aca="false">SUM(C8986:F8986)</f>
        <v>0</v>
      </c>
      <c r="Q8986" s="40" t="n">
        <f aca="false">SUM(G8986:J8986)</f>
        <v>0</v>
      </c>
      <c r="R8986" s="40" t="n">
        <f aca="false">SUM(K8986:N8986)</f>
        <v>0</v>
      </c>
      <c r="S8986" s="41" t="n">
        <f aca="false">SUM(P8986:R8986)</f>
        <v>0</v>
      </c>
    </row>
    <row r="8987" customFormat="false" ht="15" hidden="false" customHeight="false" outlineLevel="0" collapsed="false">
      <c r="A8987" s="4" t="s">
        <v>495</v>
      </c>
      <c r="B8987" s="36" t="s">
        <v>491</v>
      </c>
      <c r="C8987" s="48" t="n">
        <f aca="false">C8986*Assumptions!$E$20*Assumptions!$E$39*IF(C8981&gt;0,C8982/C8981,0)*C8971</f>
        <v>0</v>
      </c>
      <c r="D8987" s="48" t="n">
        <f aca="false">D8986*Assumptions!$E$20*Assumptions!$E$39*IF(D8981&gt;0,D8982/D8981,0)*D8971</f>
        <v>0</v>
      </c>
      <c r="E8987" s="48" t="n">
        <f aca="false">E8986*Assumptions!$E$20*Assumptions!$E$39*IF(E8981&gt;0,E8982/E8981,0)*E8971</f>
        <v>0</v>
      </c>
      <c r="F8987" s="48" t="n">
        <f aca="false">F8986*Assumptions!$E$20*Assumptions!$E$39*IF(F8981&gt;0,F8982/F8981,0)*F8971</f>
        <v>0</v>
      </c>
      <c r="G8987" s="48" t="n">
        <f aca="false">G8986*Assumptions!$E$20*Assumptions!$E$39*IF(G8981&gt;0,G8982/G8981,0)*G8971</f>
        <v>0</v>
      </c>
      <c r="H8987" s="48" t="n">
        <f aca="false">H8986*Assumptions!$E$20*Assumptions!$E$39*IF(H8981&gt;0,H8982/H8981,0)*H8971</f>
        <v>0</v>
      </c>
      <c r="I8987" s="48" t="n">
        <f aca="false">I8986*Assumptions!$E$20*Assumptions!$E$39*IF(I8981&gt;0,I8982/I8981,0)*I8971</f>
        <v>0</v>
      </c>
      <c r="J8987" s="48" t="n">
        <f aca="false">J8986*Assumptions!$E$20*Assumptions!$E$39*IF(J8981&gt;0,J8982/J8981,0)*J8971</f>
        <v>0</v>
      </c>
      <c r="K8987" s="48" t="n">
        <f aca="false">K8986*Assumptions!$E$20*Assumptions!$E$39*IF(K8981&gt;0,K8982/K8981,0)*K8971</f>
        <v>0</v>
      </c>
      <c r="L8987" s="48" t="n">
        <f aca="false">L8986*Assumptions!$E$20*Assumptions!$E$39*IF(L8981&gt;0,L8982/L8981,0)*L8971</f>
        <v>0</v>
      </c>
      <c r="M8987" s="48" t="n">
        <f aca="false">M8986*Assumptions!$E$20*Assumptions!$E$39*IF(M8981&gt;0,M8982/M8981,0)*M8971</f>
        <v>0</v>
      </c>
      <c r="N8987" s="48" t="n">
        <f aca="false">N8986*Assumptions!$E$20*Assumptions!$E$39*IF(N8981&gt;0,N8982/N8981,0)*N8971</f>
        <v>0</v>
      </c>
      <c r="P8987" s="49" t="n">
        <f aca="false">SUM(C8987:F8987)</f>
        <v>0</v>
      </c>
      <c r="Q8987" s="49" t="n">
        <f aca="false">SUM(G8987:J8987)</f>
        <v>0</v>
      </c>
      <c r="R8987" s="49" t="n">
        <f aca="false">SUM(K8987:N8987)</f>
        <v>0</v>
      </c>
      <c r="S8987" s="50" t="n">
        <f aca="false">SUM(P8987:R8987)</f>
        <v>0</v>
      </c>
    </row>
    <row r="8988" customFormat="false" ht="15" hidden="false" customHeight="false" outlineLevel="0" collapsed="false">
      <c r="A8988" s="4" t="s">
        <v>496</v>
      </c>
      <c r="B8988" s="36" t="s">
        <v>497</v>
      </c>
      <c r="C8988" s="48" t="n">
        <f aca="false">IF(AND(C8981&gt;0,$C$8968&gt;0),C8981*Assumptions!$E$24*(1-EXP(-$C$8968/(Assumptions!$E$23*C8981*Assumptions!$E$24))),0)</f>
        <v>0</v>
      </c>
      <c r="D8988" s="48" t="n">
        <f aca="false">IF(AND(D8981&gt;0,$C$8968&gt;0),D8981*Assumptions!$E$24*(1-EXP(-$C$8968/(Assumptions!$E$23*D8981*Assumptions!$E$24))),0)</f>
        <v>0</v>
      </c>
      <c r="E8988" s="48" t="n">
        <f aca="false">IF(AND(E8981&gt;0,$C$8968&gt;0),E8981*Assumptions!$E$24*(1-EXP(-$C$8968/(Assumptions!$E$23*E8981*Assumptions!$E$24))),0)</f>
        <v>0</v>
      </c>
      <c r="F8988" s="48" t="n">
        <f aca="false">IF(AND(F8981&gt;0,$C$8968&gt;0),F8981*Assumptions!$E$24*(1-EXP(-$C$8968/(Assumptions!$E$23*F8981*Assumptions!$E$24))),0)</f>
        <v>0</v>
      </c>
      <c r="G8988" s="48" t="n">
        <f aca="false">IF(AND(G8981&gt;0,$C$8968&gt;0),G8981*Assumptions!$E$24*(1-EXP(-$C$8968/(Assumptions!$E$23*G8981*Assumptions!$E$24))),0)</f>
        <v>0</v>
      </c>
      <c r="H8988" s="48" t="n">
        <f aca="false">IF(AND(H8981&gt;0,$C$8968&gt;0),H8981*Assumptions!$E$24*(1-EXP(-$C$8968/(Assumptions!$E$23*H8981*Assumptions!$E$24))),0)</f>
        <v>0</v>
      </c>
      <c r="I8988" s="48" t="n">
        <f aca="false">IF(AND(I8981&gt;0,$C$8968&gt;0),I8981*Assumptions!$E$24*(1-EXP(-$C$8968/(Assumptions!$E$23*I8981*Assumptions!$E$24))),0)</f>
        <v>0</v>
      </c>
      <c r="J8988" s="48" t="n">
        <f aca="false">IF(AND(J8981&gt;0,$C$8968&gt;0),J8981*Assumptions!$E$24*(1-EXP(-$C$8968/(Assumptions!$E$23*J8981*Assumptions!$E$24))),0)</f>
        <v>0</v>
      </c>
      <c r="K8988" s="48" t="n">
        <f aca="false">IF(AND(K8981&gt;0,$C$8968&gt;0),K8981*Assumptions!$E$24*(1-EXP(-$C$8968/(Assumptions!$E$23*K8981*Assumptions!$E$24))),0)</f>
        <v>0</v>
      </c>
      <c r="L8988" s="48" t="n">
        <f aca="false">IF(AND(L8981&gt;0,$C$8968&gt;0),L8981*Assumptions!$E$24*(1-EXP(-$C$8968/(Assumptions!$E$23*L8981*Assumptions!$E$24))),0)</f>
        <v>0</v>
      </c>
      <c r="M8988" s="48" t="n">
        <f aca="false">IF(AND(M8981&gt;0,$C$8968&gt;0),M8981*Assumptions!$E$24*(1-EXP(-$C$8968/(Assumptions!$E$23*M8981*Assumptions!$E$24))),0)</f>
        <v>0</v>
      </c>
      <c r="N8988" s="48" t="n">
        <f aca="false">IF(AND(N8981&gt;0,$C$8968&gt;0),N8981*Assumptions!$E$24*(1-EXP(-$C$8968/(Assumptions!$E$23*N8981*Assumptions!$E$24))),0)</f>
        <v>0</v>
      </c>
      <c r="P8988" s="49" t="n">
        <f aca="false">SUM(C8988:F8988)</f>
        <v>0</v>
      </c>
      <c r="Q8988" s="49" t="n">
        <f aca="false">SUM(G8988:J8988)</f>
        <v>0</v>
      </c>
      <c r="R8988" s="49" t="n">
        <f aca="false">SUM(K8988:N8988)</f>
        <v>0</v>
      </c>
      <c r="S8988" s="50" t="n">
        <f aca="false">SUM(P8988:R8988)</f>
        <v>0</v>
      </c>
    </row>
    <row r="8989" customFormat="false" ht="15" hidden="false" customHeight="false" outlineLevel="0" collapsed="false">
      <c r="A8989" s="4" t="s">
        <v>498</v>
      </c>
      <c r="B8989" s="36" t="s">
        <v>497</v>
      </c>
      <c r="C8989" s="48" t="n">
        <f aca="false">(C8981*Assumptions!$E$22*MIN(1,Assumptions!$D$103/Assumptions!$E$78)+C8988)*C8971</f>
        <v>5.5188772352</v>
      </c>
      <c r="D8989" s="48" t="n">
        <f aca="false">(D8981*Assumptions!$E$22*MIN(1,Assumptions!$D$103/Assumptions!$E$78)+D8988)*D8971</f>
        <v>11.0377544704</v>
      </c>
      <c r="E8989" s="48" t="n">
        <f aca="false">(E8981*Assumptions!$E$22*MIN(1,Assumptions!$D$103/Assumptions!$E$78)+E8988)*E8971</f>
        <v>11.0377544704</v>
      </c>
      <c r="F8989" s="48" t="n">
        <f aca="false">(F8981*Assumptions!$E$22*MIN(1,Assumptions!$D$103/Assumptions!$E$78)+F8988)*F8971</f>
        <v>11.0377544704</v>
      </c>
      <c r="G8989" s="48" t="n">
        <f aca="false">(G8981*Assumptions!$E$22*MIN(1,Assumptions!$D$103/Assumptions!$E$78)+G8988)*G8971</f>
        <v>14.9349950176</v>
      </c>
      <c r="H8989" s="48" t="n">
        <f aca="false">(H8981*Assumptions!$E$22*MIN(1,Assumptions!$D$103/Assumptions!$E$78)+H8988)*H8971</f>
        <v>18.8322355648</v>
      </c>
      <c r="I8989" s="48" t="n">
        <f aca="false">(I8981*Assumptions!$E$22*MIN(1,Assumptions!$D$103/Assumptions!$E$78)+I8988)*I8971</f>
        <v>31.6761039616</v>
      </c>
      <c r="J8989" s="48" t="n">
        <f aca="false">(J8981*Assumptions!$E$22*MIN(1,Assumptions!$D$103/Assumptions!$E$78)+J8988)*J8971</f>
        <v>44.5199723584</v>
      </c>
      <c r="K8989" s="48" t="n">
        <f aca="false">(K8981*Assumptions!$E$22*MIN(1,Assumptions!$D$103/Assumptions!$E$78)+K8988)*K8971</f>
        <v>44.5199723584</v>
      </c>
      <c r="L8989" s="48" t="n">
        <f aca="false">(L8981*Assumptions!$E$22*MIN(1,Assumptions!$D$103/Assumptions!$E$78)+L8988)*L8971</f>
        <v>44.5199723584</v>
      </c>
      <c r="M8989" s="48" t="n">
        <f aca="false">(M8981*Assumptions!$E$22*MIN(1,Assumptions!$D$103/Assumptions!$E$78)+M8988)*M8971</f>
        <v>44.5199723584</v>
      </c>
      <c r="N8989" s="48" t="n">
        <f aca="false">(N8981*Assumptions!$E$22*MIN(1,Assumptions!$D$103/Assumptions!$E$78)+N8988)*N8971</f>
        <v>44.5199723584</v>
      </c>
      <c r="P8989" s="49" t="n">
        <f aca="false">SUM(C8989:F8989)</f>
        <v>38.6321406464</v>
      </c>
      <c r="Q8989" s="49" t="n">
        <f aca="false">SUM(G8989:J8989)</f>
        <v>109.9633069024</v>
      </c>
      <c r="R8989" s="49" t="n">
        <f aca="false">SUM(K8989:N8989)</f>
        <v>178.0798894336</v>
      </c>
      <c r="S8989" s="50" t="n">
        <f aca="false">SUM(P8989:R8989)</f>
        <v>326.6753369824</v>
      </c>
    </row>
    <row r="8990" customFormat="false" ht="15" hidden="false" customHeight="false" outlineLevel="0" collapsed="false">
      <c r="A8990" s="4" t="s">
        <v>499</v>
      </c>
      <c r="B8990" s="36" t="s">
        <v>500</v>
      </c>
      <c r="C8990" s="48" t="n">
        <f aca="false">C8971*MIN(Assumptions!$E$27,Assumptions!$E$25+Assumptions!$E$26*(C8970-1))*Assumptions!$D$107</f>
        <v>2</v>
      </c>
      <c r="D8990" s="48" t="n">
        <f aca="false">D8971*MIN(Assumptions!$E$27,Assumptions!$E$25+Assumptions!$E$26*(D8970-1))*Assumptions!$D$107</f>
        <v>3</v>
      </c>
      <c r="E8990" s="48" t="n">
        <f aca="false">E8971*MIN(Assumptions!$E$27,Assumptions!$E$25+Assumptions!$E$26*(E8970-1))*Assumptions!$D$107</f>
        <v>4</v>
      </c>
      <c r="F8990" s="48" t="n">
        <f aca="false">F8971*MIN(Assumptions!$E$27,Assumptions!$E$25+Assumptions!$E$26*(F8970-1))*Assumptions!$D$107</f>
        <v>5</v>
      </c>
      <c r="G8990" s="48" t="n">
        <f aca="false">G8971*MIN(Assumptions!$E$27,Assumptions!$E$25+Assumptions!$E$26*(G8970-1))*Assumptions!$D$107</f>
        <v>6</v>
      </c>
      <c r="H8990" s="48" t="n">
        <f aca="false">H8971*MIN(Assumptions!$E$27,Assumptions!$E$25+Assumptions!$E$26*(H8970-1))*Assumptions!$D$107</f>
        <v>7</v>
      </c>
      <c r="I8990" s="48" t="n">
        <f aca="false">I8971*MIN(Assumptions!$E$27,Assumptions!$E$25+Assumptions!$E$26*(I8970-1))*Assumptions!$D$107</f>
        <v>8</v>
      </c>
      <c r="J8990" s="48" t="n">
        <f aca="false">J8971*MIN(Assumptions!$E$27,Assumptions!$E$25+Assumptions!$E$26*(J8970-1))*Assumptions!$D$107</f>
        <v>9</v>
      </c>
      <c r="K8990" s="48" t="n">
        <f aca="false">K8971*MIN(Assumptions!$E$27,Assumptions!$E$25+Assumptions!$E$26*(K8970-1))*Assumptions!$D$107</f>
        <v>10</v>
      </c>
      <c r="L8990" s="48" t="n">
        <f aca="false">L8971*MIN(Assumptions!$E$27,Assumptions!$E$25+Assumptions!$E$26*(L8970-1))*Assumptions!$D$107</f>
        <v>10</v>
      </c>
      <c r="M8990" s="48" t="n">
        <f aca="false">M8971*MIN(Assumptions!$E$27,Assumptions!$E$25+Assumptions!$E$26*(M8970-1))*Assumptions!$D$107</f>
        <v>10</v>
      </c>
      <c r="N8990" s="48" t="n">
        <f aca="false">N8971*MIN(Assumptions!$E$27,Assumptions!$E$25+Assumptions!$E$26*(N8970-1))*Assumptions!$D$107</f>
        <v>10</v>
      </c>
      <c r="P8990" s="49" t="n">
        <f aca="false">F8990</f>
        <v>5</v>
      </c>
      <c r="Q8990" s="49" t="n">
        <f aca="false">J8990</f>
        <v>9</v>
      </c>
      <c r="R8990" s="49" t="n">
        <f aca="false">N8990</f>
        <v>10</v>
      </c>
      <c r="S8990" s="50" t="n">
        <f aca="false">R8990</f>
        <v>10</v>
      </c>
    </row>
    <row r="8991" customFormat="false" ht="15" hidden="false" customHeight="false" outlineLevel="0" collapsed="false">
      <c r="A8991" s="4" t="s">
        <v>501</v>
      </c>
      <c r="B8991" s="36" t="s">
        <v>502</v>
      </c>
      <c r="C8991" s="48" t="n">
        <f aca="false">C8990*Assumptions!$E$28</f>
        <v>6</v>
      </c>
      <c r="D8991" s="48" t="n">
        <f aca="false">D8990*Assumptions!$E$28</f>
        <v>9</v>
      </c>
      <c r="E8991" s="48" t="n">
        <f aca="false">E8990*Assumptions!$E$28</f>
        <v>12</v>
      </c>
      <c r="F8991" s="48" t="n">
        <f aca="false">F8990*Assumptions!$E$28</f>
        <v>15</v>
      </c>
      <c r="G8991" s="48" t="n">
        <f aca="false">G8990*Assumptions!$E$28</f>
        <v>18</v>
      </c>
      <c r="H8991" s="48" t="n">
        <f aca="false">H8990*Assumptions!$E$28</f>
        <v>21</v>
      </c>
      <c r="I8991" s="48" t="n">
        <f aca="false">I8990*Assumptions!$E$28</f>
        <v>24</v>
      </c>
      <c r="J8991" s="48" t="n">
        <f aca="false">J8990*Assumptions!$E$28</f>
        <v>27</v>
      </c>
      <c r="K8991" s="48" t="n">
        <f aca="false">K8990*Assumptions!$E$28</f>
        <v>30</v>
      </c>
      <c r="L8991" s="48" t="n">
        <f aca="false">L8990*Assumptions!$E$28</f>
        <v>30</v>
      </c>
      <c r="M8991" s="48" t="n">
        <f aca="false">M8990*Assumptions!$E$28</f>
        <v>30</v>
      </c>
      <c r="N8991" s="48" t="n">
        <f aca="false">N8990*Assumptions!$E$28</f>
        <v>30</v>
      </c>
      <c r="P8991" s="49" t="n">
        <f aca="false">SUM(C8991:F8991)</f>
        <v>42</v>
      </c>
      <c r="Q8991" s="49" t="n">
        <f aca="false">SUM(G8991:J8991)</f>
        <v>90</v>
      </c>
      <c r="R8991" s="49" t="n">
        <f aca="false">SUM(K8991:N8991)</f>
        <v>120</v>
      </c>
      <c r="S8991" s="50" t="n">
        <f aca="false">SUM(P8991:R8991)</f>
        <v>252</v>
      </c>
    </row>
    <row r="8992" customFormat="false" ht="15" hidden="false" customHeight="false" outlineLevel="0" collapsed="false">
      <c r="A8992" s="4" t="s">
        <v>503</v>
      </c>
      <c r="B8992" s="36" t="s">
        <v>504</v>
      </c>
      <c r="C8992" s="48" t="n">
        <f aca="false">(C8983+C8987)*Assumptions!$E$29</f>
        <v>2.649061072896</v>
      </c>
      <c r="D8992" s="48" t="n">
        <f aca="false">(D8983+D8987)*Assumptions!$E$29</f>
        <v>4.93045821299048</v>
      </c>
      <c r="E8992" s="48" t="n">
        <f aca="false">(E8983+E8987)*Assumptions!$E$29</f>
        <v>4.58830837060879</v>
      </c>
      <c r="F8992" s="48" t="n">
        <f aca="false">(F8983+F8987)*Assumptions!$E$29</f>
        <v>4.26990206474738</v>
      </c>
      <c r="G8992" s="48" t="n">
        <f aca="false">(G8983+G8987)*Assumptions!$E$29</f>
        <v>5.844267072</v>
      </c>
      <c r="H8992" s="48" t="n">
        <f aca="false">(H8983+H8987)*Assumptions!$E$29</f>
        <v>7.17956301044434</v>
      </c>
      <c r="I8992" s="48" t="n">
        <f aca="false">(I8983+I8987)*Assumptions!$E$29</f>
        <v>12.8463930542132</v>
      </c>
      <c r="J8992" s="48" t="n">
        <f aca="false">(J8983+J8987)*Assumptions!$E$29</f>
        <v>17.6921476412567</v>
      </c>
      <c r="K8992" s="48" t="n">
        <f aca="false">(K8983+K8987)*Assumptions!$E$29</f>
        <v>16.4643985629052</v>
      </c>
      <c r="L8992" s="48" t="n">
        <f aca="false">(L8983+L8987)*Assumptions!$E$29</f>
        <v>15.3218493048332</v>
      </c>
      <c r="M8992" s="48" t="n">
        <f aca="false">(M8983+M8987)*Assumptions!$E$29</f>
        <v>14.2585874135079</v>
      </c>
      <c r="N8992" s="48" t="n">
        <f aca="false">(N8983+N8987)*Assumptions!$E$29</f>
        <v>13.2691107309425</v>
      </c>
      <c r="P8992" s="49" t="n">
        <f aca="false">SUM(C8992:F8992)</f>
        <v>16.4377297212427</v>
      </c>
      <c r="Q8992" s="49" t="n">
        <f aca="false">SUM(G8992:J8992)</f>
        <v>43.5623707779142</v>
      </c>
      <c r="R8992" s="49" t="n">
        <f aca="false">SUM(K8992:N8992)</f>
        <v>59.3139460121888</v>
      </c>
      <c r="S8992" s="50" t="n">
        <f aca="false">SUM(P8992:R8992)</f>
        <v>119.314046511346</v>
      </c>
    </row>
    <row r="8993" customFormat="false" ht="15" hidden="false" customHeight="false" outlineLevel="0" collapsed="false">
      <c r="A8993" s="4" t="s">
        <v>505</v>
      </c>
      <c r="B8993" s="36" t="s">
        <v>504</v>
      </c>
      <c r="C8993" s="48" t="n">
        <f aca="false">C8989*Assumptions!$E$31</f>
        <v>0.883020357632</v>
      </c>
      <c r="D8993" s="48" t="n">
        <f aca="false">D8989*Assumptions!$E$31</f>
        <v>1.766040715264</v>
      </c>
      <c r="E8993" s="48" t="n">
        <f aca="false">E8989*Assumptions!$E$31</f>
        <v>1.766040715264</v>
      </c>
      <c r="F8993" s="48" t="n">
        <f aca="false">F8989*Assumptions!$E$31</f>
        <v>1.766040715264</v>
      </c>
      <c r="G8993" s="48" t="n">
        <f aca="false">G8989*Assumptions!$E$31</f>
        <v>2.389599202816</v>
      </c>
      <c r="H8993" s="48" t="n">
        <f aca="false">H8989*Assumptions!$E$31</f>
        <v>3.013157690368</v>
      </c>
      <c r="I8993" s="48" t="n">
        <f aca="false">I8989*Assumptions!$E$31</f>
        <v>5.068176633856</v>
      </c>
      <c r="J8993" s="48" t="n">
        <f aca="false">J8989*Assumptions!$E$31</f>
        <v>7.123195577344</v>
      </c>
      <c r="K8993" s="48" t="n">
        <f aca="false">K8989*Assumptions!$E$31</f>
        <v>7.123195577344</v>
      </c>
      <c r="L8993" s="48" t="n">
        <f aca="false">L8989*Assumptions!$E$31</f>
        <v>7.123195577344</v>
      </c>
      <c r="M8993" s="48" t="n">
        <f aca="false">M8989*Assumptions!$E$31</f>
        <v>7.123195577344</v>
      </c>
      <c r="N8993" s="48" t="n">
        <f aca="false">N8989*Assumptions!$E$31</f>
        <v>7.123195577344</v>
      </c>
      <c r="P8993" s="49" t="n">
        <f aca="false">SUM(C8993:F8993)</f>
        <v>6.181142503424</v>
      </c>
      <c r="Q8993" s="49" t="n">
        <f aca="false">SUM(G8993:J8993)</f>
        <v>17.594129104384</v>
      </c>
      <c r="R8993" s="49" t="n">
        <f aca="false">SUM(K8993:N8993)</f>
        <v>28.492782309376</v>
      </c>
      <c r="S8993" s="50" t="n">
        <f aca="false">SUM(P8993:R8993)</f>
        <v>52.268053917184</v>
      </c>
    </row>
    <row r="8994" customFormat="false" ht="15" hidden="false" customHeight="false" outlineLevel="0" collapsed="false">
      <c r="A8994" s="4" t="s">
        <v>506</v>
      </c>
      <c r="B8994" s="36" t="s">
        <v>504</v>
      </c>
      <c r="C8994" s="48" t="n">
        <f aca="false">C8991*Assumptions!$E$30</f>
        <v>3</v>
      </c>
      <c r="D8994" s="48" t="n">
        <f aca="false">D8991*Assumptions!$E$30</f>
        <v>4.5</v>
      </c>
      <c r="E8994" s="48" t="n">
        <f aca="false">E8991*Assumptions!$E$30</f>
        <v>6</v>
      </c>
      <c r="F8994" s="48" t="n">
        <f aca="false">F8991*Assumptions!$E$30</f>
        <v>7.5</v>
      </c>
      <c r="G8994" s="48" t="n">
        <f aca="false">G8991*Assumptions!$E$30</f>
        <v>9</v>
      </c>
      <c r="H8994" s="48" t="n">
        <f aca="false">H8991*Assumptions!$E$30</f>
        <v>10.5</v>
      </c>
      <c r="I8994" s="48" t="n">
        <f aca="false">I8991*Assumptions!$E$30</f>
        <v>12</v>
      </c>
      <c r="J8994" s="48" t="n">
        <f aca="false">J8991*Assumptions!$E$30</f>
        <v>13.5</v>
      </c>
      <c r="K8994" s="48" t="n">
        <f aca="false">K8991*Assumptions!$E$30</f>
        <v>15</v>
      </c>
      <c r="L8994" s="48" t="n">
        <f aca="false">L8991*Assumptions!$E$30</f>
        <v>15</v>
      </c>
      <c r="M8994" s="48" t="n">
        <f aca="false">M8991*Assumptions!$E$30</f>
        <v>15</v>
      </c>
      <c r="N8994" s="48" t="n">
        <f aca="false">N8991*Assumptions!$E$30</f>
        <v>15</v>
      </c>
      <c r="P8994" s="49" t="n">
        <f aca="false">SUM(C8994:F8994)</f>
        <v>21</v>
      </c>
      <c r="Q8994" s="49" t="n">
        <f aca="false">SUM(G8994:J8994)</f>
        <v>45</v>
      </c>
      <c r="R8994" s="49" t="n">
        <f aca="false">SUM(K8994:N8994)</f>
        <v>60</v>
      </c>
      <c r="S8994" s="50" t="n">
        <f aca="false">SUM(P8994:R8994)</f>
        <v>126</v>
      </c>
    </row>
    <row r="8995" customFormat="false" ht="15" hidden="false" customHeight="false" outlineLevel="0" collapsed="false">
      <c r="A8995" s="9" t="s">
        <v>507</v>
      </c>
      <c r="B8995" s="36" t="s">
        <v>504</v>
      </c>
      <c r="C8995" s="49" t="n">
        <f aca="false">C8992+C8993+C8994</f>
        <v>6.532081430528</v>
      </c>
      <c r="D8995" s="49" t="n">
        <f aca="false">D8992+D8993+D8994</f>
        <v>11.1964989282545</v>
      </c>
      <c r="E8995" s="49" t="n">
        <f aca="false">E8992+E8993+E8994</f>
        <v>12.3543490858728</v>
      </c>
      <c r="F8995" s="49" t="n">
        <f aca="false">F8992+F8993+F8994</f>
        <v>13.5359427800114</v>
      </c>
      <c r="G8995" s="49" t="n">
        <f aca="false">G8992+G8993+G8994</f>
        <v>17.233866274816</v>
      </c>
      <c r="H8995" s="49" t="n">
        <f aca="false">H8992+H8993+H8994</f>
        <v>20.6927207008123</v>
      </c>
      <c r="I8995" s="49" t="n">
        <f aca="false">I8992+I8993+I8994</f>
        <v>29.9145696880692</v>
      </c>
      <c r="J8995" s="49" t="n">
        <f aca="false">J8992+J8993+J8994</f>
        <v>38.3153432186007</v>
      </c>
      <c r="K8995" s="49" t="n">
        <f aca="false">K8992+K8993+K8994</f>
        <v>38.5875941402492</v>
      </c>
      <c r="L8995" s="49" t="n">
        <f aca="false">L8992+L8993+L8994</f>
        <v>37.4450448821772</v>
      </c>
      <c r="M8995" s="49" t="n">
        <f aca="false">M8992+M8993+M8994</f>
        <v>36.3817829908519</v>
      </c>
      <c r="N8995" s="49" t="n">
        <f aca="false">N8992+N8993+N8994</f>
        <v>35.3923063082865</v>
      </c>
      <c r="P8995" s="49" t="n">
        <f aca="false">SUM(C8995:F8995)</f>
        <v>43.6188722246667</v>
      </c>
      <c r="Q8995" s="49" t="n">
        <f aca="false">SUM(G8995:J8995)</f>
        <v>106.156499882298</v>
      </c>
      <c r="R8995" s="49" t="n">
        <f aca="false">SUM(K8995:N8995)</f>
        <v>147.806728321565</v>
      </c>
      <c r="S8995" s="50" t="n">
        <f aca="false">SUM(P8995:R8995)</f>
        <v>297.58210042853</v>
      </c>
    </row>
    <row r="8996" customFormat="false" ht="15" hidden="false" customHeight="false" outlineLevel="0" collapsed="false">
      <c r="A8996" s="4" t="s">
        <v>508</v>
      </c>
      <c r="B8996" s="36" t="s">
        <v>509</v>
      </c>
      <c r="C8996" s="48" t="n">
        <f aca="false">C8978</f>
        <v>421.51972352</v>
      </c>
      <c r="D8996" s="48" t="n">
        <f aca="false">D8978</f>
        <v>843.03944704</v>
      </c>
      <c r="E8996" s="48" t="n">
        <f aca="false">E8978</f>
        <v>843.03944704</v>
      </c>
      <c r="F8996" s="48" t="n">
        <f aca="false">F8978</f>
        <v>843.03944704</v>
      </c>
      <c r="G8996" s="48" t="n">
        <f aca="false">G8978</f>
        <v>1149.32798176</v>
      </c>
      <c r="H8996" s="48" t="n">
        <f aca="false">H8978</f>
        <v>1455.61651648</v>
      </c>
      <c r="I8996" s="48" t="n">
        <f aca="false">I8978</f>
        <v>2486.00303616</v>
      </c>
      <c r="J8996" s="48" t="n">
        <f aca="false">J8978</f>
        <v>3516.38955584</v>
      </c>
      <c r="K8996" s="48" t="n">
        <f aca="false">K8978</f>
        <v>3516.38955584</v>
      </c>
      <c r="L8996" s="48" t="n">
        <f aca="false">L8978</f>
        <v>3516.38955584</v>
      </c>
      <c r="M8996" s="48" t="n">
        <f aca="false">M8978</f>
        <v>3516.38955584</v>
      </c>
      <c r="N8996" s="48" t="n">
        <f aca="false">N8978</f>
        <v>3516.38955584</v>
      </c>
      <c r="P8996" s="49"/>
      <c r="Q8996" s="49"/>
      <c r="R8996" s="49"/>
      <c r="S8996" s="50"/>
    </row>
    <row r="8997" customFormat="false" ht="15" hidden="false" customHeight="false" outlineLevel="0" collapsed="false">
      <c r="A8997" s="4" t="s">
        <v>510</v>
      </c>
      <c r="B8997" s="36" t="s">
        <v>509</v>
      </c>
      <c r="C8997" s="48" t="n">
        <f aca="false">C8979*Assumptions!$E$18*Assumptions!$E$33</f>
        <v>211.19616</v>
      </c>
      <c r="D8997" s="48" t="n">
        <f aca="false">D8979*Assumptions!$E$18*Assumptions!$E$33</f>
        <v>422.39232</v>
      </c>
      <c r="E8997" s="48" t="n">
        <f aca="false">E8979*Assumptions!$E$18*Assumptions!$E$33</f>
        <v>422.39232</v>
      </c>
      <c r="F8997" s="48" t="n">
        <f aca="false">F8979*Assumptions!$E$18*Assumptions!$E$33</f>
        <v>422.39232</v>
      </c>
      <c r="G8997" s="48" t="n">
        <f aca="false">G8979*Assumptions!$E$18*Assumptions!$E$33</f>
        <v>564.49344</v>
      </c>
      <c r="H8997" s="48" t="n">
        <f aca="false">H8979*Assumptions!$E$18*Assumptions!$E$33</f>
        <v>706.59456</v>
      </c>
      <c r="I8997" s="48" t="n">
        <f aca="false">I8979*Assumptions!$E$18*Assumptions!$E$33</f>
        <v>1135.07072</v>
      </c>
      <c r="J8997" s="48" t="n">
        <f aca="false">J8979*Assumptions!$E$18*Assumptions!$E$33</f>
        <v>1563.54688</v>
      </c>
      <c r="K8997" s="48" t="n">
        <f aca="false">K8979*Assumptions!$E$18*Assumptions!$E$33</f>
        <v>1563.54688</v>
      </c>
      <c r="L8997" s="48" t="n">
        <f aca="false">L8979*Assumptions!$E$18*Assumptions!$E$33</f>
        <v>1563.54688</v>
      </c>
      <c r="M8997" s="48" t="n">
        <f aca="false">M8979*Assumptions!$E$18*Assumptions!$E$33</f>
        <v>1563.54688</v>
      </c>
      <c r="N8997" s="48" t="n">
        <f aca="false">N8979*Assumptions!$E$18*Assumptions!$E$33</f>
        <v>1563.54688</v>
      </c>
      <c r="P8997" s="49"/>
      <c r="Q8997" s="49"/>
      <c r="R8997" s="49"/>
      <c r="S8997" s="50"/>
    </row>
    <row r="8998" customFormat="false" ht="15" hidden="false" customHeight="false" outlineLevel="0" collapsed="false">
      <c r="A8998" s="4" t="s">
        <v>511</v>
      </c>
      <c r="B8998" s="36" t="s">
        <v>509</v>
      </c>
      <c r="C8998" s="48" t="n">
        <f aca="false">C8980*Assumptions!$E$19*Assumptions!$E$34</f>
        <v>34.677888</v>
      </c>
      <c r="D8998" s="48" t="n">
        <f aca="false">D8980*Assumptions!$E$19*Assumptions!$E$34</f>
        <v>69.355776</v>
      </c>
      <c r="E8998" s="48" t="n">
        <f aca="false">E8980*Assumptions!$E$19*Assumptions!$E$34</f>
        <v>69.355776</v>
      </c>
      <c r="F8998" s="48" t="n">
        <f aca="false">F8980*Assumptions!$E$19*Assumptions!$E$34</f>
        <v>69.355776</v>
      </c>
      <c r="G8998" s="48" t="n">
        <f aca="false">G8980*Assumptions!$E$19*Assumptions!$E$34</f>
        <v>86.69472</v>
      </c>
      <c r="H8998" s="48" t="n">
        <f aca="false">H8980*Assumptions!$E$19*Assumptions!$E$34</f>
        <v>104.033664</v>
      </c>
      <c r="I8998" s="48" t="n">
        <f aca="false">I8980*Assumptions!$E$19*Assumptions!$E$34</f>
        <v>159.7008</v>
      </c>
      <c r="J8998" s="48" t="n">
        <f aca="false">J8980*Assumptions!$E$19*Assumptions!$E$34</f>
        <v>215.367936</v>
      </c>
      <c r="K8998" s="48" t="n">
        <f aca="false">K8980*Assumptions!$E$19*Assumptions!$E$34</f>
        <v>215.367936</v>
      </c>
      <c r="L8998" s="48" t="n">
        <f aca="false">L8980*Assumptions!$E$19*Assumptions!$E$34</f>
        <v>215.367936</v>
      </c>
      <c r="M8998" s="48" t="n">
        <f aca="false">M8980*Assumptions!$E$19*Assumptions!$E$34</f>
        <v>215.367936</v>
      </c>
      <c r="N8998" s="48" t="n">
        <f aca="false">N8980*Assumptions!$E$19*Assumptions!$E$34</f>
        <v>215.367936</v>
      </c>
      <c r="P8998" s="49"/>
      <c r="Q8998" s="49"/>
      <c r="R8998" s="49"/>
      <c r="S8998" s="50"/>
    </row>
    <row r="8999" customFormat="false" ht="15" hidden="false" customHeight="false" outlineLevel="0" collapsed="false">
      <c r="A8999" s="4" t="s">
        <v>512</v>
      </c>
      <c r="B8999" s="36" t="s">
        <v>77</v>
      </c>
      <c r="C8999" s="51" t="n">
        <f aca="false">IFERROR(C8996/(C8996+C8997+C8998),0)</f>
        <v>0.631590736245533</v>
      </c>
      <c r="D8999" s="51" t="n">
        <f aca="false">IFERROR(D8996/(D8996+D8997+D8998),0)</f>
        <v>0.631590736245533</v>
      </c>
      <c r="E8999" s="51" t="n">
        <f aca="false">IFERROR(E8996/(E8996+E8997+E8998),0)</f>
        <v>0.631590736245533</v>
      </c>
      <c r="F8999" s="51" t="n">
        <f aca="false">IFERROR(F8996/(F8996+F8997+F8998),0)</f>
        <v>0.631590736245533</v>
      </c>
      <c r="G8999" s="51" t="n">
        <f aca="false">IFERROR(G8996/(G8996+G8997+G8998),0)</f>
        <v>0.638332506498128</v>
      </c>
      <c r="H8999" s="51" t="n">
        <f aca="false">IFERROR(H8996/(H8996+H8997+H8998),0)</f>
        <v>0.642303318118984</v>
      </c>
      <c r="I8999" s="51" t="n">
        <f aca="false">IFERROR(I8996/(I8996+I8997+I8998),0)</f>
        <v>0.657538025405288</v>
      </c>
      <c r="J8999" s="51" t="n">
        <f aca="false">IFERROR(J8996/(J8996+J8997+J8998),0)</f>
        <v>0.664058061428891</v>
      </c>
      <c r="K8999" s="51" t="n">
        <f aca="false">IFERROR(K8996/(K8996+K8997+K8998),0)</f>
        <v>0.664058061428891</v>
      </c>
      <c r="L8999" s="51" t="n">
        <f aca="false">IFERROR(L8996/(L8996+L8997+L8998),0)</f>
        <v>0.664058061428891</v>
      </c>
      <c r="M8999" s="51" t="n">
        <f aca="false">IFERROR(M8996/(M8996+M8997+M8998),0)</f>
        <v>0.664058061428891</v>
      </c>
      <c r="N8999" s="51" t="n">
        <f aca="false">IFERROR(N8996/(N8996+N8997+N8998),0)</f>
        <v>0.664058061428891</v>
      </c>
      <c r="P8999" s="52"/>
      <c r="Q8999" s="52"/>
      <c r="R8999" s="52"/>
      <c r="S8999" s="53"/>
    </row>
    <row r="9000" customFormat="false" ht="15" hidden="false" customHeight="false" outlineLevel="0" collapsed="false">
      <c r="A9000" s="4" t="s">
        <v>513</v>
      </c>
      <c r="B9000" s="36" t="s">
        <v>77</v>
      </c>
      <c r="C9000" s="51" t="n">
        <f aca="false">IFERROR(C8997/(C8996+C8997+C8998),0)</f>
        <v>0.316449102482628</v>
      </c>
      <c r="D9000" s="51" t="n">
        <f aca="false">IFERROR(D8997/(D8996+D8997+D8998),0)</f>
        <v>0.316449102482628</v>
      </c>
      <c r="E9000" s="51" t="n">
        <f aca="false">IFERROR(E8997/(E8996+E8997+E8998),0)</f>
        <v>0.316449102482628</v>
      </c>
      <c r="F9000" s="51" t="n">
        <f aca="false">IFERROR(F8997/(F8996+F8997+F8998),0)</f>
        <v>0.316449102482628</v>
      </c>
      <c r="G9000" s="51" t="n">
        <f aca="false">IFERROR(G8997/(G8996+G8997+G8998),0)</f>
        <v>0.313517566939561</v>
      </c>
      <c r="H9000" s="51" t="n">
        <f aca="false">IFERROR(H8997/(H8996+H8997+H8998),0)</f>
        <v>0.311790932099567</v>
      </c>
      <c r="I9000" s="51" t="n">
        <f aca="false">IFERROR(I8997/(I8996+I8997+I8998),0)</f>
        <v>0.300221741111391</v>
      </c>
      <c r="J9000" s="51" t="n">
        <f aca="false">IFERROR(J8997/(J8996+J8997+J8998),0)</f>
        <v>0.295270445324128</v>
      </c>
      <c r="K9000" s="51" t="n">
        <f aca="false">IFERROR(K8997/(K8996+K8997+K8998),0)</f>
        <v>0.295270445324128</v>
      </c>
      <c r="L9000" s="51" t="n">
        <f aca="false">IFERROR(L8997/(L8996+L8997+L8998),0)</f>
        <v>0.295270445324128</v>
      </c>
      <c r="M9000" s="51" t="n">
        <f aca="false">IFERROR(M8997/(M8996+M8997+M8998),0)</f>
        <v>0.295270445324128</v>
      </c>
      <c r="N9000" s="51" t="n">
        <f aca="false">IFERROR(N8997/(N8996+N8997+N8998),0)</f>
        <v>0.295270445324128</v>
      </c>
      <c r="P9000" s="52"/>
      <c r="Q9000" s="52"/>
      <c r="R9000" s="52"/>
      <c r="S9000" s="53"/>
    </row>
    <row r="9001" customFormat="false" ht="15" hidden="false" customHeight="false" outlineLevel="0" collapsed="false">
      <c r="A9001" s="4" t="s">
        <v>514</v>
      </c>
      <c r="B9001" s="36" t="s">
        <v>77</v>
      </c>
      <c r="C9001" s="51" t="n">
        <f aca="false">IFERROR(C8998/(C8996+C8997+C8998),0)</f>
        <v>0.0519601612718389</v>
      </c>
      <c r="D9001" s="51" t="n">
        <f aca="false">IFERROR(D8998/(D8996+D8997+D8998),0)</f>
        <v>0.0519601612718389</v>
      </c>
      <c r="E9001" s="51" t="n">
        <f aca="false">IFERROR(E8998/(E8996+E8997+E8998),0)</f>
        <v>0.0519601612718389</v>
      </c>
      <c r="F9001" s="51" t="n">
        <f aca="false">IFERROR(F8998/(F8996+F8997+F8998),0)</f>
        <v>0.0519601612718389</v>
      </c>
      <c r="G9001" s="51" t="n">
        <f aca="false">IFERROR(G8998/(G8996+G8997+G8998),0)</f>
        <v>0.0481499265623113</v>
      </c>
      <c r="H9001" s="51" t="n">
        <f aca="false">IFERROR(H8998/(H8996+H8997+H8998),0)</f>
        <v>0.0459057497814491</v>
      </c>
      <c r="I9001" s="51" t="n">
        <f aca="false">IFERROR(I8998/(I8996+I8997+I8998),0)</f>
        <v>0.0422402334833216</v>
      </c>
      <c r="J9001" s="51" t="n">
        <f aca="false">IFERROR(J8998/(J8996+J8997+J8998),0)</f>
        <v>0.0406714932469811</v>
      </c>
      <c r="K9001" s="51" t="n">
        <f aca="false">IFERROR(K8998/(K8996+K8997+K8998),0)</f>
        <v>0.0406714932469811</v>
      </c>
      <c r="L9001" s="51" t="n">
        <f aca="false">IFERROR(L8998/(L8996+L8997+L8998),0)</f>
        <v>0.0406714932469811</v>
      </c>
      <c r="M9001" s="51" t="n">
        <f aca="false">IFERROR(M8998/(M8996+M8997+M8998),0)</f>
        <v>0.0406714932469811</v>
      </c>
      <c r="N9001" s="51" t="n">
        <f aca="false">IFERROR(N8998/(N8996+N8997+N8998),0)</f>
        <v>0.0406714932469811</v>
      </c>
      <c r="P9001" s="52"/>
      <c r="Q9001" s="52"/>
      <c r="R9001" s="52"/>
      <c r="S9001" s="53"/>
    </row>
    <row r="9002" customFormat="false" ht="15" hidden="false" customHeight="false" outlineLevel="0" collapsed="false">
      <c r="A9002" s="4" t="s">
        <v>515</v>
      </c>
      <c r="B9002" s="36" t="s">
        <v>516</v>
      </c>
      <c r="C9002" s="48" t="n">
        <f aca="false">IF(C8970-Assumptions!$E$35&lt;1,0,INDEX($C$8995:$N$8995,1,C8970-Assumptions!$E$35)*INDEX($C$8999:$N$8999,1,C8970-Assumptions!$E$35)*0.21)</f>
        <v>0</v>
      </c>
      <c r="D9002" s="48" t="n">
        <f aca="false">IF(D8970-Assumptions!$E$35&lt;1,0,INDEX($C$8995:$N$8995,1,D8970-Assumptions!$E$35)*INDEX($C$8999:$N$8999,1,D8970-Assumptions!$E$35)*0.21)</f>
        <v>0.866376445183821</v>
      </c>
      <c r="E9002" s="48" t="n">
        <f aca="false">IF(E8970-Assumptions!$E$35&lt;1,0,INDEX($C$8995:$N$8995,1,E8970-Assumptions!$E$35)*INDEX($C$8999:$N$8999,1,E8970-Assumptions!$E$35)*0.21)</f>
        <v>1.4850370503084</v>
      </c>
      <c r="F9002" s="48" t="n">
        <f aca="false">IF(F8970-Assumptions!$E$35&lt;1,0,INDEX($C$8995:$N$8995,1,F8970-Assumptions!$E$35)*INDEX($C$8999:$N$8999,1,F8970-Assumptions!$E$35)*0.21)</f>
        <v>1.63860741134595</v>
      </c>
      <c r="G9002" s="48" t="n">
        <f aca="false">IF(G8970-Assumptions!$E$35&lt;1,0,INDEX($C$8995:$N$8995,1,G8970-Assumptions!$E$35)*INDEX($C$8999:$N$8999,1,G8970-Assumptions!$E$35)*0.21)</f>
        <v>1.79532697390301</v>
      </c>
      <c r="H9002" s="48" t="n">
        <f aca="false">IF(H8970-Assumptions!$E$35&lt;1,0,INDEX($C$8995:$N$8995,1,H8970-Assumptions!$E$35)*INDEX($C$8999:$N$8999,1,H8970-Assumptions!$E$35)*0.21)</f>
        <v>2.31019678172994</v>
      </c>
      <c r="I9002" s="48" t="n">
        <f aca="false">IF(I8970-Assumptions!$E$35&lt;1,0,INDEX($C$8995:$N$8995,1,I8970-Assumptions!$E$35)*INDEX($C$8999:$N$8999,1,I8970-Assumptions!$E$35)*0.21)</f>
        <v>2.79111066507864</v>
      </c>
      <c r="J9002" s="48" t="n">
        <f aca="false">IF(J8970-Assumptions!$E$35&lt;1,0,INDEX($C$8995:$N$8995,1,J8970-Assumptions!$E$35)*INDEX($C$8999:$N$8999,1,J8970-Assumptions!$E$35)*0.21)</f>
        <v>4.1306930875438</v>
      </c>
      <c r="K9002" s="48" t="n">
        <f aca="false">IF(K8970-Assumptions!$E$35&lt;1,0,INDEX($C$8995:$N$8995,1,K8970-Assumptions!$E$35)*INDEX($C$8999:$N$8999,1,K8970-Assumptions!$E$35)*0.21)</f>
        <v>5.34315863355258</v>
      </c>
      <c r="L9002" s="48" t="n">
        <f aca="false">IF(L8970-Assumptions!$E$35&lt;1,0,INDEX($C$8995:$N$8995,1,L8970-Assumptions!$E$35)*INDEX($C$8999:$N$8999,1,L8970-Assumptions!$E$35)*0.21)</f>
        <v>5.38112462159553</v>
      </c>
      <c r="M9002" s="48" t="n">
        <f aca="false">IF(M8970-Assumptions!$E$35&lt;1,0,INDEX($C$8995:$N$8995,1,M8970-Assumptions!$E$35)*INDEX($C$8999:$N$8999,1,M8970-Assumptions!$E$35)*0.21)</f>
        <v>5.22179362206104</v>
      </c>
      <c r="N9002" s="48" t="n">
        <f aca="false">IF(N8970-Assumptions!$E$35&lt;1,0,INDEX($C$8995:$N$8995,1,N8970-Assumptions!$E$35)*INDEX($C$8999:$N$8999,1,N8970-Assumptions!$E$35)*0.21)</f>
        <v>5.07351941968866</v>
      </c>
      <c r="P9002" s="49" t="n">
        <f aca="false">SUM(C9002:F9002)</f>
        <v>3.99002090683817</v>
      </c>
      <c r="Q9002" s="49" t="n">
        <f aca="false">SUM(G9002:J9002)</f>
        <v>11.0273275082554</v>
      </c>
      <c r="R9002" s="49" t="n">
        <f aca="false">SUM(K9002:N9002)</f>
        <v>21.0195962968978</v>
      </c>
      <c r="S9002" s="50" t="n">
        <f aca="false">SUM(P9002:R9002)</f>
        <v>36.0369447119914</v>
      </c>
    </row>
    <row r="9003" customFormat="false" ht="15" hidden="false" customHeight="false" outlineLevel="0" collapsed="false">
      <c r="A9003" s="4" t="s">
        <v>517</v>
      </c>
      <c r="B9003" s="36" t="s">
        <v>516</v>
      </c>
      <c r="C9003" s="48" t="n">
        <f aca="false">IF(C8970-Assumptions!$E$35&lt;1,0,INDEX($C$8995:$N$8995,1,C8970-Assumptions!$E$35)*INDEX($C$9000:$N$9000,1,C8970-Assumptions!$E$35)*0.21)</f>
        <v>0</v>
      </c>
      <c r="D9003" s="48" t="n">
        <f aca="false">IF(D8970-Assumptions!$E$35&lt;1,0,INDEX($C$8995:$N$8995,1,D8970-Assumptions!$E$35)*INDEX($C$9000:$N$9000,1,D8970-Assumptions!$E$35)*0.21)</f>
        <v>0.434084974267145</v>
      </c>
      <c r="E9003" s="48" t="n">
        <f aca="false">IF(E8970-Assumptions!$E$35&lt;1,0,INDEX($C$8995:$N$8995,1,E8970-Assumptions!$E$35)*INDEX($C$9000:$N$9000,1,E8970-Assumptions!$E$35)*0.21)</f>
        <v>0.744055627726705</v>
      </c>
      <c r="F9003" s="48" t="n">
        <f aca="false">IF(F8970-Assumptions!$E$35&lt;1,0,INDEX($C$8995:$N$8995,1,F8970-Assumptions!$E$35)*INDEX($C$9000:$N$9000,1,F8970-Assumptions!$E$35)*0.21)</f>
        <v>0.820999762796119</v>
      </c>
      <c r="G9003" s="48" t="n">
        <f aca="false">IF(G8970-Assumptions!$E$35&lt;1,0,INDEX($C$8995:$N$8995,1,G8970-Assumptions!$E$35)*INDEX($C$9000:$N$9000,1,G8970-Assumptions!$E$35)*0.21)</f>
        <v>0.89952175823807</v>
      </c>
      <c r="H9003" s="48" t="n">
        <f aca="false">IF(H8970-Assumptions!$E$35&lt;1,0,INDEX($C$8995:$N$8995,1,H8970-Assumptions!$E$35)*INDEX($C$9000:$N$9000,1,H8970-Assumptions!$E$35)*0.21)</f>
        <v>1.13465516292283</v>
      </c>
      <c r="I9003" s="48" t="n">
        <f aca="false">IF(I8970-Assumptions!$E$35&lt;1,0,INDEX($C$8995:$N$8995,1,I8970-Assumptions!$E$35)*INDEX($C$9000:$N$9000,1,I8970-Assumptions!$E$35)*0.21)</f>
        <v>1.35487856174628</v>
      </c>
      <c r="J9003" s="48" t="n">
        <f aca="false">IF(J8970-Assumptions!$E$35&lt;1,0,INDEX($C$8995:$N$8995,1,J8970-Assumptions!$E$35)*INDEX($C$9000:$N$9000,1,J8970-Assumptions!$E$35)*0.21)</f>
        <v>1.88601088123353</v>
      </c>
      <c r="K9003" s="48" t="n">
        <f aca="false">IF(K8970-Assumptions!$E$35&lt;1,0,INDEX($C$8995:$N$8995,1,K8970-Assumptions!$E$35)*INDEX($C$9000:$N$9000,1,K8970-Assumptions!$E$35)*0.21)</f>
        <v>2.37581157552964</v>
      </c>
      <c r="L9003" s="48" t="n">
        <f aca="false">IF(L8970-Assumptions!$E$35&lt;1,0,INDEX($C$8995:$N$8995,1,L8970-Assumptions!$E$35)*INDEX($C$9000:$N$9000,1,L8970-Assumptions!$E$35)*0.21)</f>
        <v>2.3926929822134</v>
      </c>
      <c r="M9003" s="48" t="n">
        <f aca="false">IF(M8970-Assumptions!$E$35&lt;1,0,INDEX($C$8995:$N$8995,1,M8970-Assumptions!$E$35)*INDEX($C$9000:$N$9000,1,M8970-Assumptions!$E$35)*0.21)</f>
        <v>2.32184716628391</v>
      </c>
      <c r="N9003" s="48" t="n">
        <f aca="false">IF(N8970-Assumptions!$E$35&lt;1,0,INDEX($C$8995:$N$8995,1,N8970-Assumptions!$E$35)*INDEX($C$9000:$N$9000,1,N8970-Assumptions!$E$35)*0.21)</f>
        <v>2.25591770573287</v>
      </c>
      <c r="P9003" s="49" t="n">
        <f aca="false">SUM(C9003:F9003)</f>
        <v>1.99914036478997</v>
      </c>
      <c r="Q9003" s="49" t="n">
        <f aca="false">SUM(G9003:J9003)</f>
        <v>5.27506636414072</v>
      </c>
      <c r="R9003" s="49" t="n">
        <f aca="false">SUM(K9003:N9003)</f>
        <v>9.34626942975982</v>
      </c>
      <c r="S9003" s="50" t="n">
        <f aca="false">SUM(P9003:R9003)</f>
        <v>16.6204761586905</v>
      </c>
    </row>
    <row r="9004" customFormat="false" ht="15" hidden="false" customHeight="false" outlineLevel="0" collapsed="false">
      <c r="A9004" s="4" t="s">
        <v>518</v>
      </c>
      <c r="B9004" s="36" t="s">
        <v>516</v>
      </c>
      <c r="C9004" s="48" t="n">
        <f aca="false">IF(C8970-Assumptions!$E$36&lt;1,0,INDEX($C$8995:$N$8995,1,C8970-Assumptions!$E$36)*INDEX($C$9001:$N$9001,1,C8970-Assumptions!$E$36)*0.21)</f>
        <v>0</v>
      </c>
      <c r="D9004" s="48" t="n">
        <f aca="false">IF(D8970-Assumptions!$E$36&lt;1,0,INDEX($C$8995:$N$8995,1,D8970-Assumptions!$E$36)*INDEX($C$9001:$N$9001,1,D8970-Assumptions!$E$36)*0.21)</f>
        <v>0</v>
      </c>
      <c r="E9004" s="48" t="n">
        <f aca="false">IF(E8970-Assumptions!$E$36&lt;1,0,INDEX($C$8995:$N$8995,1,E8970-Assumptions!$E$36)*INDEX($C$9001:$N$9001,1,E8970-Assumptions!$E$36)*0.21)</f>
        <v>0.071275680959914</v>
      </c>
      <c r="F9004" s="48" t="n">
        <f aca="false">IF(F8970-Assumptions!$E$36&lt;1,0,INDEX($C$8995:$N$8995,1,F8970-Assumptions!$E$36)*INDEX($C$9001:$N$9001,1,F8970-Assumptions!$E$36)*0.21)</f>
        <v>0.122172096898336</v>
      </c>
      <c r="G9004" s="48" t="n">
        <f aca="false">IF(G8970-Assumptions!$E$36&lt;1,0,INDEX($C$8995:$N$8995,1,G8970-Assumptions!$E$36)*INDEX($C$9001:$N$9001,1,G8970-Assumptions!$E$36)*0.21)</f>
        <v>0.134806133891215</v>
      </c>
      <c r="H9004" s="48" t="n">
        <f aca="false">IF(H8970-Assumptions!$E$36&lt;1,0,INDEX($C$8995:$N$8995,1,H8970-Assumptions!$E$36)*INDEX($C$9001:$N$9001,1,H8970-Assumptions!$E$36)*0.21)</f>
        <v>0.147699251661313</v>
      </c>
      <c r="I9004" s="48" t="n">
        <f aca="false">IF(I8970-Assumptions!$E$36&lt;1,0,INDEX($C$8995:$N$8995,1,I8970-Assumptions!$E$36)*INDEX($C$9001:$N$9001,1,I8970-Assumptions!$E$36)*0.21)</f>
        <v>0.174259973058587</v>
      </c>
      <c r="J9004" s="48" t="n">
        <f aca="false">IF(J8970-Assumptions!$E$36&lt;1,0,INDEX($C$8995:$N$8995,1,J8970-Assumptions!$E$36)*INDEX($C$9001:$N$9001,1,J8970-Assumptions!$E$36)*0.21)</f>
        <v>0.19948212034567</v>
      </c>
      <c r="K9004" s="48" t="n">
        <f aca="false">IF(K8970-Assumptions!$E$36&lt;1,0,INDEX($C$8995:$N$8995,1,K8970-Assumptions!$E$36)*INDEX($C$9001:$N$9001,1,K8970-Assumptions!$E$36)*0.21)</f>
        <v>0.265355665717199</v>
      </c>
      <c r="L9004" s="48" t="n">
        <f aca="false">IF(L8970-Assumptions!$E$36&lt;1,0,INDEX($C$8995:$N$8995,1,L8970-Assumptions!$E$36)*INDEX($C$9001:$N$9001,1,L8970-Assumptions!$E$36)*0.21)</f>
        <v>0.327251866823927</v>
      </c>
      <c r="M9004" s="48" t="n">
        <f aca="false">IF(M8970-Assumptions!$E$36&lt;1,0,INDEX($C$8995:$N$8995,1,M8970-Assumptions!$E$36)*INDEX($C$9001:$N$9001,1,M8970-Assumptions!$E$36)*0.21)</f>
        <v>0.329577165643402</v>
      </c>
      <c r="N9004" s="48" t="n">
        <f aca="false">IF(N8970-Assumptions!$E$36&lt;1,0,INDEX($C$8995:$N$8995,1,N8970-Assumptions!$E$36)*INDEX($C$9001:$N$9001,1,N8970-Assumptions!$E$36)*0.21)</f>
        <v>0.319818636912259</v>
      </c>
      <c r="P9004" s="49" t="n">
        <f aca="false">SUM(C9004:F9004)</f>
        <v>0.19344777785825</v>
      </c>
      <c r="Q9004" s="49" t="n">
        <f aca="false">SUM(G9004:J9004)</f>
        <v>0.656247478956785</v>
      </c>
      <c r="R9004" s="49" t="n">
        <f aca="false">SUM(K9004:N9004)</f>
        <v>1.24200333509679</v>
      </c>
      <c r="S9004" s="50" t="n">
        <f aca="false">SUM(P9004:R9004)</f>
        <v>2.09169859191182</v>
      </c>
    </row>
    <row r="9005" customFormat="false" ht="15" hidden="false" customHeight="false" outlineLevel="0" collapsed="false">
      <c r="A9005" s="4" t="s">
        <v>519</v>
      </c>
      <c r="B9005" s="36" t="s">
        <v>77</v>
      </c>
      <c r="C9005" s="51" t="n">
        <f aca="false">IF(C8970-Assumptions!$E$35&lt;1,0,IFERROR(INDEX($C$8994:$N$8994,1,C8970-Assumptions!$E$35)/INDEX($C$8995:$N$8995,1,C8970-Assumptions!$E$35),0))</f>
        <v>0</v>
      </c>
      <c r="D9005" s="51" t="n">
        <f aca="false">IF(D8970-Assumptions!$E$35&lt;1,0,IFERROR(INDEX($C$8994:$N$8994,1,D8970-Assumptions!$E$35)/INDEX($C$8995:$N$8995,1,D8970-Assumptions!$E$35),0))</f>
        <v>0.459271678087073</v>
      </c>
      <c r="E9005" s="51" t="n">
        <f aca="false">IF(E8970-Assumptions!$E$35&lt;1,0,IFERROR(INDEX($C$8994:$N$8994,1,E8970-Assumptions!$E$35)/INDEX($C$8995:$N$8995,1,E8970-Assumptions!$E$35),0))</f>
        <v>0.401911350042128</v>
      </c>
      <c r="F9005" s="51" t="n">
        <f aca="false">IF(F8970-Assumptions!$E$35&lt;1,0,IFERROR(INDEX($C$8994:$N$8994,1,F8970-Assumptions!$E$35)/INDEX($C$8995:$N$8995,1,F8970-Assumptions!$E$35),0))</f>
        <v>0.485658933408398</v>
      </c>
      <c r="G9005" s="51" t="n">
        <f aca="false">IF(G8970-Assumptions!$E$35&lt;1,0,IFERROR(INDEX($C$8994:$N$8994,1,G8970-Assumptions!$E$35)/INDEX($C$8995:$N$8995,1,G8970-Assumptions!$E$35),0))</f>
        <v>0.554080356417826</v>
      </c>
      <c r="H9005" s="51" t="n">
        <f aca="false">IF(H8970-Assumptions!$E$35&lt;1,0,IFERROR(INDEX($C$8994:$N$8994,1,H8970-Assumptions!$E$35)/INDEX($C$8995:$N$8995,1,H8970-Assumptions!$E$35),0))</f>
        <v>0.522227563825987</v>
      </c>
      <c r="I9005" s="51" t="n">
        <f aca="false">IF(I8970-Assumptions!$E$35&lt;1,0,IFERROR(INDEX($C$8994:$N$8994,1,I8970-Assumptions!$E$35)/INDEX($C$8995:$N$8995,1,I8970-Assumptions!$E$35),0))</f>
        <v>0.507424816282752</v>
      </c>
      <c r="J9005" s="51" t="n">
        <f aca="false">IF(J8970-Assumptions!$E$35&lt;1,0,IFERROR(INDEX($C$8994:$N$8994,1,J8970-Assumptions!$E$35)/INDEX($C$8995:$N$8995,1,J8970-Assumptions!$E$35),0))</f>
        <v>0.401142323795015</v>
      </c>
      <c r="K9005" s="51" t="n">
        <f aca="false">IF(K8970-Assumptions!$E$35&lt;1,0,IFERROR(INDEX($C$8994:$N$8994,1,K8970-Assumptions!$E$35)/INDEX($C$8995:$N$8995,1,K8970-Assumptions!$E$35),0))</f>
        <v>0.352339268448632</v>
      </c>
      <c r="L9005" s="51" t="n">
        <f aca="false">IF(L8970-Assumptions!$E$35&lt;1,0,IFERROR(INDEX($C$8994:$N$8994,1,L8970-Assumptions!$E$35)/INDEX($C$8995:$N$8995,1,L8970-Assumptions!$E$35),0))</f>
        <v>0.388725970981282</v>
      </c>
      <c r="M9005" s="51" t="n">
        <f aca="false">IF(M8970-Assumptions!$E$35&lt;1,0,IFERROR(INDEX($C$8994:$N$8994,1,M8970-Assumptions!$E$35)/INDEX($C$8995:$N$8995,1,M8970-Assumptions!$E$35),0))</f>
        <v>0.400587048224893</v>
      </c>
      <c r="N9005" s="51" t="n">
        <f aca="false">IF(N8970-Assumptions!$E$35&lt;1,0,IFERROR(INDEX($C$8994:$N$8994,1,N8970-Assumptions!$E$35)/INDEX($C$8995:$N$8995,1,N8970-Assumptions!$E$35),0))</f>
        <v>0.412294251872474</v>
      </c>
      <c r="P9005" s="52"/>
      <c r="Q9005" s="52"/>
      <c r="R9005" s="52"/>
      <c r="S9005" s="53"/>
    </row>
    <row r="9006" customFormat="false" ht="15" hidden="false" customHeight="false" outlineLevel="0" collapsed="false">
      <c r="A9006" s="4" t="s">
        <v>520</v>
      </c>
      <c r="B9006" s="36" t="s">
        <v>516</v>
      </c>
      <c r="C9006" s="48" t="n">
        <f aca="false">C9002*Assumptions!$E$37</f>
        <v>0</v>
      </c>
      <c r="D9006" s="48" t="n">
        <f aca="false">D9002*Assumptions!$E$37</f>
        <v>0.259912933555146</v>
      </c>
      <c r="E9006" s="48" t="n">
        <f aca="false">E9002*Assumptions!$E$37</f>
        <v>0.44551111509252</v>
      </c>
      <c r="F9006" s="48" t="n">
        <f aca="false">F9002*Assumptions!$E$37</f>
        <v>0.491582223403786</v>
      </c>
      <c r="G9006" s="48" t="n">
        <f aca="false">G9002*Assumptions!$E$37</f>
        <v>0.538598092170902</v>
      </c>
      <c r="H9006" s="48" t="n">
        <f aca="false">H9002*Assumptions!$E$37</f>
        <v>0.693059034518982</v>
      </c>
      <c r="I9006" s="48" t="n">
        <f aca="false">I9002*Assumptions!$E$37</f>
        <v>0.837333199523593</v>
      </c>
      <c r="J9006" s="48" t="n">
        <f aca="false">J9002*Assumptions!$E$37</f>
        <v>1.23920792626314</v>
      </c>
      <c r="K9006" s="48" t="n">
        <f aca="false">K9002*Assumptions!$E$37</f>
        <v>1.60294759006577</v>
      </c>
      <c r="L9006" s="48" t="n">
        <f aca="false">L9002*Assumptions!$E$37</f>
        <v>1.61433738647866</v>
      </c>
      <c r="M9006" s="48" t="n">
        <f aca="false">M9002*Assumptions!$E$37</f>
        <v>1.56653808661831</v>
      </c>
      <c r="N9006" s="48" t="n">
        <f aca="false">N9002*Assumptions!$E$37</f>
        <v>1.5220558259066</v>
      </c>
      <c r="P9006" s="49" t="n">
        <f aca="false">SUM(C9006:F9006)</f>
        <v>1.19700627205145</v>
      </c>
      <c r="Q9006" s="49" t="n">
        <f aca="false">SUM(G9006:J9006)</f>
        <v>3.30819825247662</v>
      </c>
      <c r="R9006" s="49" t="n">
        <f aca="false">SUM(K9006:N9006)</f>
        <v>6.30587888906934</v>
      </c>
      <c r="S9006" s="50" t="n">
        <f aca="false">SUM(P9006:R9006)</f>
        <v>10.8110834135974</v>
      </c>
    </row>
    <row r="9007" customFormat="false" ht="15" hidden="false" customHeight="false" outlineLevel="0" collapsed="false">
      <c r="A9007" s="4" t="s">
        <v>521</v>
      </c>
      <c r="B9007" s="36" t="s">
        <v>516</v>
      </c>
      <c r="C9007" s="48" t="n">
        <f aca="false">C9002*(1-Assumptions!$E$37)</f>
        <v>0</v>
      </c>
      <c r="D9007" s="48" t="n">
        <f aca="false">D9002*(1-Assumptions!$E$37)</f>
        <v>0.606463511628675</v>
      </c>
      <c r="E9007" s="48" t="n">
        <f aca="false">E9002*(1-Assumptions!$E$37)</f>
        <v>1.03952593521588</v>
      </c>
      <c r="F9007" s="48" t="n">
        <f aca="false">F9002*(1-Assumptions!$E$37)</f>
        <v>1.14702518794217</v>
      </c>
      <c r="G9007" s="48" t="n">
        <f aca="false">G9002*(1-Assumptions!$E$37)</f>
        <v>1.25672888173211</v>
      </c>
      <c r="H9007" s="48" t="n">
        <f aca="false">H9002*(1-Assumptions!$E$37)</f>
        <v>1.61713774721096</v>
      </c>
      <c r="I9007" s="48" t="n">
        <f aca="false">I9002*(1-Assumptions!$E$37)</f>
        <v>1.95377746555505</v>
      </c>
      <c r="J9007" s="48" t="n">
        <f aca="false">J9002*(1-Assumptions!$E$37)</f>
        <v>2.89148516128066</v>
      </c>
      <c r="K9007" s="48" t="n">
        <f aca="false">K9002*(1-Assumptions!$E$37)</f>
        <v>3.7402110434868</v>
      </c>
      <c r="L9007" s="48" t="n">
        <f aca="false">L9002*(1-Assumptions!$E$37)</f>
        <v>3.76678723511687</v>
      </c>
      <c r="M9007" s="48" t="n">
        <f aca="false">M9002*(1-Assumptions!$E$37)</f>
        <v>3.65525553544273</v>
      </c>
      <c r="N9007" s="48" t="n">
        <f aca="false">N9002*(1-Assumptions!$E$37)</f>
        <v>3.55146359378206</v>
      </c>
      <c r="P9007" s="49" t="n">
        <f aca="false">SUM(C9007:F9007)</f>
        <v>2.79301463478672</v>
      </c>
      <c r="Q9007" s="49" t="n">
        <f aca="false">SUM(G9007:J9007)</f>
        <v>7.71912925577877</v>
      </c>
      <c r="R9007" s="49" t="n">
        <f aca="false">SUM(K9007:N9007)</f>
        <v>14.7137174078285</v>
      </c>
      <c r="S9007" s="50" t="n">
        <f aca="false">SUM(P9007:R9007)</f>
        <v>25.225861298394</v>
      </c>
    </row>
    <row r="9008" customFormat="false" ht="15" hidden="false" customHeight="false" outlineLevel="0" collapsed="false">
      <c r="A9008" s="4" t="s">
        <v>522</v>
      </c>
      <c r="B9008" s="36" t="s">
        <v>125</v>
      </c>
      <c r="C9008" s="54" t="n">
        <f aca="false">C9007*$C$8961+C9003*$C$8962+C9004*$C$8963</f>
        <v>0</v>
      </c>
      <c r="D9008" s="54" t="n">
        <f aca="false">D9007*$C$8961+D9003*$C$8962+D9004*$C$8963</f>
        <v>9605.1723978823</v>
      </c>
      <c r="E9008" s="54" t="n">
        <f aca="false">E9007*$C$8961+E9003*$C$8962+E9004*$C$8963</f>
        <v>23068.9483404547</v>
      </c>
      <c r="F9008" s="54" t="n">
        <f aca="false">F9007*$C$8961+F9003*$C$8962+F9004*$C$8963</f>
        <v>29487.959826946</v>
      </c>
      <c r="G9008" s="54" t="n">
        <f aca="false">G9007*$C$8961+G9003*$C$8962+G9004*$C$8963</f>
        <v>32396.2106879066</v>
      </c>
      <c r="H9008" s="54" t="n">
        <f aca="false">H9007*$C$8961+H9003*$C$8962+H9004*$C$8963</f>
        <v>38964.6136702673</v>
      </c>
      <c r="I9008" s="54" t="n">
        <f aca="false">I9007*$C$8961+I9003*$C$8962+I9004*$C$8963</f>
        <v>46453.9124737925</v>
      </c>
      <c r="J9008" s="54" t="n">
        <f aca="false">J9007*$C$8961+J9003*$C$8962+J9004*$C$8963</f>
        <v>61590.9255512251</v>
      </c>
      <c r="K9008" s="54" t="n">
        <f aca="false">K9007*$C$8961+K9003*$C$8962+K9004*$C$8963</f>
        <v>79413.2550689478</v>
      </c>
      <c r="L9008" s="54" t="n">
        <f aca="false">L9007*$C$8961+L9003*$C$8962+L9004*$C$8963</f>
        <v>85538.5638647139</v>
      </c>
      <c r="M9008" s="54" t="n">
        <f aca="false">M9007*$C$8961+M9003*$C$8962+M9004*$C$8963</f>
        <v>84119.2286827277</v>
      </c>
      <c r="N9008" s="54" t="n">
        <f aca="false">N9007*$C$8961+N9003*$C$8962+N9004*$C$8963</f>
        <v>81693.5649943814</v>
      </c>
      <c r="P9008" s="55" t="n">
        <f aca="false">SUM(C9008:F9008)</f>
        <v>62162.0805652829</v>
      </c>
      <c r="Q9008" s="55" t="n">
        <f aca="false">SUM(G9008:J9008)</f>
        <v>179405.662383192</v>
      </c>
      <c r="R9008" s="55" t="n">
        <f aca="false">SUM(K9008:N9008)</f>
        <v>330764.612610771</v>
      </c>
      <c r="S9008" s="56" t="n">
        <f aca="false">SUM(P9008:R9008)</f>
        <v>572332.355559245</v>
      </c>
    </row>
    <row r="9009" customFormat="false" ht="15" hidden="false" customHeight="false" outlineLevel="0" collapsed="false">
      <c r="A9009" s="4" t="s">
        <v>523</v>
      </c>
      <c r="B9009" s="36" t="s">
        <v>125</v>
      </c>
      <c r="C9009" s="54" t="n">
        <f aca="false">(C8985+Assumptions!$D$104*C8971)*$C$8966</f>
        <v>306250</v>
      </c>
      <c r="D9009" s="54" t="n">
        <f aca="false">(D8985+Assumptions!$D$104*D8971)*$C$8966</f>
        <v>306250</v>
      </c>
      <c r="E9009" s="54" t="n">
        <f aca="false">(E8985+Assumptions!$D$104*E8971)*$C$8966</f>
        <v>306250</v>
      </c>
      <c r="F9009" s="54" t="n">
        <f aca="false">(F8985+Assumptions!$D$104*F8971)*$C$8966</f>
        <v>306250</v>
      </c>
      <c r="G9009" s="54" t="n">
        <f aca="false">(G8985+Assumptions!$D$104*G8971)*$C$8966</f>
        <v>306250</v>
      </c>
      <c r="H9009" s="54" t="n">
        <f aca="false">(H8985+Assumptions!$D$104*H8971)*$C$8966</f>
        <v>306250</v>
      </c>
      <c r="I9009" s="54" t="n">
        <f aca="false">(I8985+Assumptions!$D$104*I8971)*$C$8966</f>
        <v>306250</v>
      </c>
      <c r="J9009" s="54" t="n">
        <f aca="false">(J8985+Assumptions!$D$104*J8971)*$C$8966</f>
        <v>306250</v>
      </c>
      <c r="K9009" s="54" t="n">
        <f aca="false">(K8985+Assumptions!$D$104*K8971)*$C$8966</f>
        <v>306250</v>
      </c>
      <c r="L9009" s="54" t="n">
        <f aca="false">(L8985+Assumptions!$D$104*L8971)*$C$8966</f>
        <v>306250</v>
      </c>
      <c r="M9009" s="54" t="n">
        <f aca="false">(M8985+Assumptions!$D$104*M8971)*$C$8966</f>
        <v>306250</v>
      </c>
      <c r="N9009" s="54" t="n">
        <f aca="false">(N8985+Assumptions!$D$104*N8971)*$C$8966</f>
        <v>306250</v>
      </c>
      <c r="P9009" s="55" t="n">
        <f aca="false">SUM(C9009:F9009)</f>
        <v>1225000</v>
      </c>
      <c r="Q9009" s="55" t="n">
        <f aca="false">SUM(G9009:J9009)</f>
        <v>1225000</v>
      </c>
      <c r="R9009" s="55" t="n">
        <f aca="false">SUM(K9009:N9009)</f>
        <v>1225000</v>
      </c>
      <c r="S9009" s="56" t="n">
        <f aca="false">SUM(P9009:R9009)</f>
        <v>3675000</v>
      </c>
    </row>
    <row r="9010" customFormat="false" ht="15" hidden="false" customHeight="false" outlineLevel="0" collapsed="false">
      <c r="A9010" s="4" t="s">
        <v>524</v>
      </c>
      <c r="B9010" s="36" t="s">
        <v>77</v>
      </c>
      <c r="C9010" s="51" t="n">
        <f aca="false">IF(C9008&gt;0,MIN(1,C9009/C9008),1)</f>
        <v>1</v>
      </c>
      <c r="D9010" s="51" t="n">
        <f aca="false">IF(D9008&gt;0,MIN(1,D9009/D9008),1)</f>
        <v>1</v>
      </c>
      <c r="E9010" s="51" t="n">
        <f aca="false">IF(E9008&gt;0,MIN(1,E9009/E9008),1)</f>
        <v>1</v>
      </c>
      <c r="F9010" s="51" t="n">
        <f aca="false">IF(F9008&gt;0,MIN(1,F9009/F9008),1)</f>
        <v>1</v>
      </c>
      <c r="G9010" s="51" t="n">
        <f aca="false">IF(G9008&gt;0,MIN(1,G9009/G9008),1)</f>
        <v>1</v>
      </c>
      <c r="H9010" s="51" t="n">
        <f aca="false">IF(H9008&gt;0,MIN(1,H9009/H9008),1)</f>
        <v>1</v>
      </c>
      <c r="I9010" s="51" t="n">
        <f aca="false">IF(I9008&gt;0,MIN(1,I9009/I9008),1)</f>
        <v>1</v>
      </c>
      <c r="J9010" s="51" t="n">
        <f aca="false">IF(J9008&gt;0,MIN(1,J9009/J9008),1)</f>
        <v>1</v>
      </c>
      <c r="K9010" s="51" t="n">
        <f aca="false">IF(K9008&gt;0,MIN(1,K9009/K9008),1)</f>
        <v>1</v>
      </c>
      <c r="L9010" s="51" t="n">
        <f aca="false">IF(L9008&gt;0,MIN(1,L9009/L9008),1)</f>
        <v>1</v>
      </c>
      <c r="M9010" s="51" t="n">
        <f aca="false">IF(M9008&gt;0,MIN(1,M9009/M9008),1)</f>
        <v>1</v>
      </c>
      <c r="N9010" s="51" t="n">
        <f aca="false">IF(N9008&gt;0,MIN(1,N9009/N9008),1)</f>
        <v>1</v>
      </c>
      <c r="P9010" s="52"/>
      <c r="Q9010" s="52"/>
      <c r="R9010" s="52"/>
      <c r="S9010" s="53"/>
    </row>
    <row r="9011" customFormat="false" ht="15" hidden="false" customHeight="false" outlineLevel="0" collapsed="false">
      <c r="A9011" s="4" t="s">
        <v>525</v>
      </c>
      <c r="B9011" s="36" t="s">
        <v>125</v>
      </c>
      <c r="C9011" s="54" t="n">
        <f aca="false">C9008*(1-C9010)</f>
        <v>0</v>
      </c>
      <c r="D9011" s="54" t="n">
        <f aca="false">D9008*(1-D9010)</f>
        <v>0</v>
      </c>
      <c r="E9011" s="54" t="n">
        <f aca="false">E9008*(1-E9010)</f>
        <v>0</v>
      </c>
      <c r="F9011" s="54" t="n">
        <f aca="false">F9008*(1-F9010)</f>
        <v>0</v>
      </c>
      <c r="G9011" s="54" t="n">
        <f aca="false">G9008*(1-G9010)</f>
        <v>0</v>
      </c>
      <c r="H9011" s="54" t="n">
        <f aca="false">H9008*(1-H9010)</f>
        <v>0</v>
      </c>
      <c r="I9011" s="54" t="n">
        <f aca="false">I9008*(1-I9010)</f>
        <v>0</v>
      </c>
      <c r="J9011" s="54" t="n">
        <f aca="false">J9008*(1-J9010)</f>
        <v>0</v>
      </c>
      <c r="K9011" s="54" t="n">
        <f aca="false">K9008*(1-K9010)</f>
        <v>0</v>
      </c>
      <c r="L9011" s="54" t="n">
        <f aca="false">L9008*(1-L9010)</f>
        <v>0</v>
      </c>
      <c r="M9011" s="54" t="n">
        <f aca="false">M9008*(1-M9010)</f>
        <v>0</v>
      </c>
      <c r="N9011" s="54" t="n">
        <f aca="false">N9008*(1-N9010)</f>
        <v>0</v>
      </c>
      <c r="P9011" s="55" t="n">
        <f aca="false">SUM(C9011:F9011)</f>
        <v>0</v>
      </c>
      <c r="Q9011" s="55" t="n">
        <f aca="false">SUM(G9011:J9011)</f>
        <v>0</v>
      </c>
      <c r="R9011" s="55" t="n">
        <f aca="false">SUM(K9011:N9011)</f>
        <v>0</v>
      </c>
      <c r="S9011" s="56" t="n">
        <f aca="false">SUM(P9011:R9011)</f>
        <v>0</v>
      </c>
    </row>
    <row r="9012" customFormat="false" ht="15" hidden="false" customHeight="false" outlineLevel="0" collapsed="false">
      <c r="A9012" s="4" t="s">
        <v>526</v>
      </c>
      <c r="B9012" s="36" t="s">
        <v>527</v>
      </c>
      <c r="C9012" s="48" t="n">
        <f aca="false">C9006+C9007*C9010</f>
        <v>0</v>
      </c>
      <c r="D9012" s="48" t="n">
        <f aca="false">D9006+D9007*D9010</f>
        <v>0.866376445183821</v>
      </c>
      <c r="E9012" s="48" t="n">
        <f aca="false">E9006+E9007*E9010</f>
        <v>1.4850370503084</v>
      </c>
      <c r="F9012" s="48" t="n">
        <f aca="false">F9006+F9007*F9010</f>
        <v>1.63860741134595</v>
      </c>
      <c r="G9012" s="48" t="n">
        <f aca="false">G9006+G9007*G9010</f>
        <v>1.79532697390301</v>
      </c>
      <c r="H9012" s="48" t="n">
        <f aca="false">H9006+H9007*H9010</f>
        <v>2.31019678172994</v>
      </c>
      <c r="I9012" s="48" t="n">
        <f aca="false">I9006+I9007*I9010</f>
        <v>2.79111066507864</v>
      </c>
      <c r="J9012" s="48" t="n">
        <f aca="false">J9006+J9007*J9010</f>
        <v>4.1306930875438</v>
      </c>
      <c r="K9012" s="48" t="n">
        <f aca="false">K9006+K9007*K9010</f>
        <v>5.34315863355258</v>
      </c>
      <c r="L9012" s="48" t="n">
        <f aca="false">L9006+L9007*L9010</f>
        <v>5.38112462159553</v>
      </c>
      <c r="M9012" s="48" t="n">
        <f aca="false">M9006+M9007*M9010</f>
        <v>5.22179362206104</v>
      </c>
      <c r="N9012" s="48" t="n">
        <f aca="false">N9006+N9007*N9010</f>
        <v>5.07351941968866</v>
      </c>
      <c r="P9012" s="49" t="n">
        <f aca="false">SUM(C9012:F9012)</f>
        <v>3.99002090683817</v>
      </c>
      <c r="Q9012" s="49" t="n">
        <f aca="false">SUM(G9012:J9012)</f>
        <v>11.0273275082554</v>
      </c>
      <c r="R9012" s="49" t="n">
        <f aca="false">SUM(K9012:N9012)</f>
        <v>21.0195962968978</v>
      </c>
      <c r="S9012" s="50" t="n">
        <f aca="false">SUM(P9012:R9012)</f>
        <v>36.0369447119914</v>
      </c>
    </row>
    <row r="9013" customFormat="false" ht="15" hidden="false" customHeight="false" outlineLevel="0" collapsed="false">
      <c r="A9013" s="4" t="s">
        <v>528</v>
      </c>
      <c r="B9013" s="36" t="s">
        <v>527</v>
      </c>
      <c r="C9013" s="48" t="n">
        <f aca="false">C9003*C9010</f>
        <v>0</v>
      </c>
      <c r="D9013" s="48" t="n">
        <f aca="false">D9003*D9010</f>
        <v>0.434084974267145</v>
      </c>
      <c r="E9013" s="48" t="n">
        <f aca="false">E9003*E9010</f>
        <v>0.744055627726705</v>
      </c>
      <c r="F9013" s="48" t="n">
        <f aca="false">F9003*F9010</f>
        <v>0.820999762796119</v>
      </c>
      <c r="G9013" s="48" t="n">
        <f aca="false">G9003*G9010</f>
        <v>0.89952175823807</v>
      </c>
      <c r="H9013" s="48" t="n">
        <f aca="false">H9003*H9010</f>
        <v>1.13465516292283</v>
      </c>
      <c r="I9013" s="48" t="n">
        <f aca="false">I9003*I9010</f>
        <v>1.35487856174628</v>
      </c>
      <c r="J9013" s="48" t="n">
        <f aca="false">J9003*J9010</f>
        <v>1.88601088123353</v>
      </c>
      <c r="K9013" s="48" t="n">
        <f aca="false">K9003*K9010</f>
        <v>2.37581157552964</v>
      </c>
      <c r="L9013" s="48" t="n">
        <f aca="false">L9003*L9010</f>
        <v>2.3926929822134</v>
      </c>
      <c r="M9013" s="48" t="n">
        <f aca="false">M9003*M9010</f>
        <v>2.32184716628391</v>
      </c>
      <c r="N9013" s="48" t="n">
        <f aca="false">N9003*N9010</f>
        <v>2.25591770573287</v>
      </c>
      <c r="P9013" s="49" t="n">
        <f aca="false">SUM(C9013:F9013)</f>
        <v>1.99914036478997</v>
      </c>
      <c r="Q9013" s="49" t="n">
        <f aca="false">SUM(G9013:J9013)</f>
        <v>5.27506636414072</v>
      </c>
      <c r="R9013" s="49" t="n">
        <f aca="false">SUM(K9013:N9013)</f>
        <v>9.34626942975982</v>
      </c>
      <c r="S9013" s="50" t="n">
        <f aca="false">SUM(P9013:R9013)</f>
        <v>16.6204761586905</v>
      </c>
    </row>
    <row r="9014" customFormat="false" ht="15" hidden="false" customHeight="false" outlineLevel="0" collapsed="false">
      <c r="A9014" s="4" t="s">
        <v>529</v>
      </c>
      <c r="B9014" s="36" t="s">
        <v>527</v>
      </c>
      <c r="C9014" s="48" t="n">
        <f aca="false">C9004*C9010</f>
        <v>0</v>
      </c>
      <c r="D9014" s="48" t="n">
        <f aca="false">D9004*D9010</f>
        <v>0</v>
      </c>
      <c r="E9014" s="48" t="n">
        <f aca="false">E9004*E9010</f>
        <v>0.071275680959914</v>
      </c>
      <c r="F9014" s="48" t="n">
        <f aca="false">F9004*F9010</f>
        <v>0.122172096898336</v>
      </c>
      <c r="G9014" s="48" t="n">
        <f aca="false">G9004*G9010</f>
        <v>0.134806133891215</v>
      </c>
      <c r="H9014" s="48" t="n">
        <f aca="false">H9004*H9010</f>
        <v>0.147699251661313</v>
      </c>
      <c r="I9014" s="48" t="n">
        <f aca="false">I9004*I9010</f>
        <v>0.174259973058587</v>
      </c>
      <c r="J9014" s="48" t="n">
        <f aca="false">J9004*J9010</f>
        <v>0.19948212034567</v>
      </c>
      <c r="K9014" s="48" t="n">
        <f aca="false">K9004*K9010</f>
        <v>0.265355665717199</v>
      </c>
      <c r="L9014" s="48" t="n">
        <f aca="false">L9004*L9010</f>
        <v>0.327251866823927</v>
      </c>
      <c r="M9014" s="48" t="n">
        <f aca="false">M9004*M9010</f>
        <v>0.329577165643402</v>
      </c>
      <c r="N9014" s="48" t="n">
        <f aca="false">N9004*N9010</f>
        <v>0.319818636912259</v>
      </c>
      <c r="P9014" s="49" t="n">
        <f aca="false">SUM(C9014:F9014)</f>
        <v>0.19344777785825</v>
      </c>
      <c r="Q9014" s="49" t="n">
        <f aca="false">SUM(G9014:J9014)</f>
        <v>0.656247478956785</v>
      </c>
      <c r="R9014" s="49" t="n">
        <f aca="false">SUM(K9014:N9014)</f>
        <v>1.24200333509679</v>
      </c>
      <c r="S9014" s="50" t="n">
        <f aca="false">SUM(P9014:R9014)</f>
        <v>2.09169859191182</v>
      </c>
    </row>
    <row r="9015" customFormat="false" ht="15" hidden="false" customHeight="false" outlineLevel="0" collapsed="false">
      <c r="A9015" s="9" t="s">
        <v>530</v>
      </c>
      <c r="B9015" s="36" t="s">
        <v>527</v>
      </c>
      <c r="C9015" s="49" t="n">
        <f aca="false">C9012+C9013+C9014</f>
        <v>0</v>
      </c>
      <c r="D9015" s="49" t="n">
        <f aca="false">D9012+D9013+D9014</f>
        <v>1.30046141945097</v>
      </c>
      <c r="E9015" s="49" t="n">
        <f aca="false">E9012+E9013+E9014</f>
        <v>2.30036835899502</v>
      </c>
      <c r="F9015" s="49" t="n">
        <f aca="false">F9012+F9013+F9014</f>
        <v>2.58177927104041</v>
      </c>
      <c r="G9015" s="49" t="n">
        <f aca="false">G9012+G9013+G9014</f>
        <v>2.82965486603229</v>
      </c>
      <c r="H9015" s="49" t="n">
        <f aca="false">H9012+H9013+H9014</f>
        <v>3.59255119631409</v>
      </c>
      <c r="I9015" s="49" t="n">
        <f aca="false">I9012+I9013+I9014</f>
        <v>4.32024919988351</v>
      </c>
      <c r="J9015" s="49" t="n">
        <f aca="false">J9012+J9013+J9014</f>
        <v>6.216186089123</v>
      </c>
      <c r="K9015" s="49" t="n">
        <f aca="false">K9012+K9013+K9014</f>
        <v>7.98432587479941</v>
      </c>
      <c r="L9015" s="49" t="n">
        <f aca="false">L9012+L9013+L9014</f>
        <v>8.10106947063285</v>
      </c>
      <c r="M9015" s="49" t="n">
        <f aca="false">M9012+M9013+M9014</f>
        <v>7.87321795398836</v>
      </c>
      <c r="N9015" s="49" t="n">
        <f aca="false">N9012+N9013+N9014</f>
        <v>7.64925576233379</v>
      </c>
      <c r="P9015" s="49" t="n">
        <f aca="false">SUM(C9015:F9015)</f>
        <v>6.18260904948639</v>
      </c>
      <c r="Q9015" s="49" t="n">
        <f aca="false">SUM(G9015:J9015)</f>
        <v>16.9586413513529</v>
      </c>
      <c r="R9015" s="49" t="n">
        <f aca="false">SUM(K9015:N9015)</f>
        <v>31.6078690617544</v>
      </c>
      <c r="S9015" s="50" t="n">
        <f aca="false">SUM(P9015:R9015)</f>
        <v>54.7491194625937</v>
      </c>
    </row>
    <row r="9016" customFormat="false" ht="15" hidden="false" customHeight="false" outlineLevel="0" collapsed="false">
      <c r="A9016" s="35" t="s">
        <v>533</v>
      </c>
      <c r="B9016" s="35" t="s">
        <v>444</v>
      </c>
      <c r="C9016" s="6" t="s">
        <v>354</v>
      </c>
      <c r="D9016" s="6" t="s">
        <v>355</v>
      </c>
      <c r="E9016" s="6" t="s">
        <v>356</v>
      </c>
      <c r="F9016" s="6" t="s">
        <v>357</v>
      </c>
      <c r="G9016" s="6" t="s">
        <v>358</v>
      </c>
      <c r="H9016" s="6" t="s">
        <v>359</v>
      </c>
      <c r="I9016" s="6" t="s">
        <v>360</v>
      </c>
      <c r="J9016" s="6" t="s">
        <v>361</v>
      </c>
      <c r="K9016" s="6" t="s">
        <v>362</v>
      </c>
      <c r="L9016" s="6" t="s">
        <v>363</v>
      </c>
      <c r="M9016" s="6" t="s">
        <v>364</v>
      </c>
      <c r="N9016" s="6" t="s">
        <v>365</v>
      </c>
      <c r="P9016" s="6" t="s">
        <v>445</v>
      </c>
      <c r="Q9016" s="6" t="s">
        <v>446</v>
      </c>
      <c r="R9016" s="6" t="s">
        <v>447</v>
      </c>
      <c r="S9016" s="6" t="s">
        <v>448</v>
      </c>
    </row>
    <row r="9017" customFormat="false" ht="15" hidden="false" customHeight="false" outlineLevel="0" collapsed="false">
      <c r="A9017" s="4" t="s">
        <v>534</v>
      </c>
      <c r="B9017" s="36" t="s">
        <v>527</v>
      </c>
      <c r="C9017" s="48" t="n">
        <f aca="false">0*Assumptions!$E$59^(1/4)+C9012</f>
        <v>0</v>
      </c>
      <c r="D9017" s="48" t="n">
        <f aca="false">C9017*Assumptions!$E$59^(1/4)+D9012</f>
        <v>0.866376445183821</v>
      </c>
      <c r="E9017" s="48" t="n">
        <f aca="false">D9017*Assumptions!$E$59^(1/4)+E9012</f>
        <v>2.32416329488403</v>
      </c>
      <c r="F9017" s="48" t="n">
        <f aca="false">E9017*Assumptions!$E$59^(1/4)+F9012</f>
        <v>3.88966863104794</v>
      </c>
      <c r="G9017" s="48" t="n">
        <f aca="false">F9017*Assumptions!$E$59^(1/4)+G9012</f>
        <v>5.56265357789716</v>
      </c>
      <c r="H9017" s="48" t="n">
        <f aca="false">G9017*Assumptions!$E$59^(1/4)+H9012</f>
        <v>7.69788781678072</v>
      </c>
      <c r="I9017" s="48" t="n">
        <f aca="false">H9017*Assumptions!$E$59^(1/4)+I9012</f>
        <v>10.2468762630101</v>
      </c>
      <c r="J9017" s="48" t="n">
        <f aca="false">I9017*Assumptions!$E$59^(1/4)+J9012</f>
        <v>14.0552736148763</v>
      </c>
      <c r="K9017" s="48" t="n">
        <f aca="false">J9017*Assumptions!$E$59^(1/4)+K9012</f>
        <v>18.9563507170835</v>
      </c>
      <c r="L9017" s="48" t="n">
        <f aca="false">K9017*Assumptions!$E$59^(1/4)+L9012</f>
        <v>23.7412398769334</v>
      </c>
      <c r="M9017" s="48" t="n">
        <f aca="false">L9017*Assumptions!$E$59^(1/4)+M9012</f>
        <v>28.2162985745513</v>
      </c>
      <c r="N9017" s="48" t="n">
        <f aca="false">M9017*Assumptions!$E$59^(1/4)+N9012</f>
        <v>32.4023287268997</v>
      </c>
      <c r="P9017" s="49" t="n">
        <f aca="false">F9017</f>
        <v>3.88966863104794</v>
      </c>
      <c r="Q9017" s="49" t="n">
        <f aca="false">J9017</f>
        <v>14.0552736148763</v>
      </c>
      <c r="R9017" s="49" t="n">
        <f aca="false">N9017</f>
        <v>32.4023287268997</v>
      </c>
      <c r="S9017" s="50" t="n">
        <f aca="false">R9017</f>
        <v>32.4023287268997</v>
      </c>
    </row>
    <row r="9018" customFormat="false" ht="15" hidden="false" customHeight="false" outlineLevel="0" collapsed="false">
      <c r="A9018" s="4" t="s">
        <v>535</v>
      </c>
      <c r="B9018" s="36" t="s">
        <v>527</v>
      </c>
      <c r="C9018" s="48" t="n">
        <f aca="false">0*Assumptions!$E$60^(1/4)+C9013</f>
        <v>0</v>
      </c>
      <c r="D9018" s="48" t="n">
        <f aca="false">C9018*Assumptions!$E$60^(1/4)+D9013</f>
        <v>0.434084974267145</v>
      </c>
      <c r="E9018" s="48" t="n">
        <f aca="false">D9018*Assumptions!$E$60^(1/4)+E9013</f>
        <v>1.16685601892983</v>
      </c>
      <c r="F9018" s="48" t="n">
        <f aca="false">E9018*Assumptions!$E$60^(1/4)+F9013</f>
        <v>1.95752189677268</v>
      </c>
      <c r="G9018" s="48" t="n">
        <f aca="false">F9018*Assumptions!$E$60^(1/4)+G9013</f>
        <v>2.80615541940422</v>
      </c>
      <c r="H9018" s="48" t="n">
        <f aca="false">G9018*Assumptions!$E$60^(1/4)+H9013</f>
        <v>3.86786105447419</v>
      </c>
      <c r="I9018" s="48" t="n">
        <f aca="false">H9018*Assumptions!$E$60^(1/4)+I9013</f>
        <v>5.12218971945664</v>
      </c>
      <c r="J9018" s="48" t="n">
        <f aca="false">I9018*Assumptions!$E$60^(1/4)+J9013</f>
        <v>6.87504285788544</v>
      </c>
      <c r="K9018" s="48" t="n">
        <f aca="false">J9018*Assumptions!$E$60^(1/4)+K9013</f>
        <v>9.07212907594454</v>
      </c>
      <c r="L9018" s="48" t="n">
        <f aca="false">K9018*Assumptions!$E$60^(1/4)+L9013</f>
        <v>11.2289806902372</v>
      </c>
      <c r="M9018" s="48" t="n">
        <f aca="false">L9018*Assumptions!$E$60^(1/4)+M9013</f>
        <v>13.2589164271123</v>
      </c>
      <c r="N9018" s="48" t="n">
        <f aca="false">M9018*Assumptions!$E$60^(1/4)+N9013</f>
        <v>15.1701519792802</v>
      </c>
      <c r="P9018" s="49" t="n">
        <f aca="false">F9018</f>
        <v>1.95752189677268</v>
      </c>
      <c r="Q9018" s="49" t="n">
        <f aca="false">J9018</f>
        <v>6.87504285788544</v>
      </c>
      <c r="R9018" s="49" t="n">
        <f aca="false">N9018</f>
        <v>15.1701519792802</v>
      </c>
      <c r="S9018" s="50" t="n">
        <f aca="false">R9018</f>
        <v>15.1701519792802</v>
      </c>
    </row>
    <row r="9019" customFormat="false" ht="15" hidden="false" customHeight="false" outlineLevel="0" collapsed="false">
      <c r="A9019" s="4" t="s">
        <v>536</v>
      </c>
      <c r="B9019" s="36" t="s">
        <v>527</v>
      </c>
      <c r="C9019" s="48" t="n">
        <f aca="false">0*Assumptions!$E$61^(1/4)+C9014</f>
        <v>0</v>
      </c>
      <c r="D9019" s="48" t="n">
        <f aca="false">C9019*Assumptions!$E$61^(1/4)+D9014</f>
        <v>0</v>
      </c>
      <c r="E9019" s="48" t="n">
        <f aca="false">D9019*Assumptions!$E$61^(1/4)+E9014</f>
        <v>0.071275680959914</v>
      </c>
      <c r="F9019" s="48" t="n">
        <f aca="false">E9019*Assumptions!$E$61^(1/4)+F9014</f>
        <v>0.191977386314485</v>
      </c>
      <c r="G9019" s="48" t="n">
        <f aca="false">F9019*Assumptions!$E$61^(1/4)+G9014</f>
        <v>0.322823096094288</v>
      </c>
      <c r="H9019" s="48" t="n">
        <f aca="false">G9019*Assumptions!$E$61^(1/4)+H9014</f>
        <v>0.463862623930639</v>
      </c>
      <c r="I9019" s="48" t="n">
        <f aca="false">H9019*Assumptions!$E$61^(1/4)+I9014</f>
        <v>0.628553278667598</v>
      </c>
      <c r="J9019" s="48" t="n">
        <f aca="false">I9019*Assumptions!$E$61^(1/4)+J9014</f>
        <v>0.815068571993006</v>
      </c>
      <c r="K9019" s="48" t="n">
        <f aca="false">J9019*Assumptions!$E$61^(1/4)+K9014</f>
        <v>1.06360966758325</v>
      </c>
      <c r="L9019" s="48" t="n">
        <f aca="false">K9019*Assumptions!$E$61^(1/4)+L9014</f>
        <v>1.36891965128493</v>
      </c>
      <c r="M9019" s="48" t="n">
        <f aca="false">L9019*Assumptions!$E$61^(1/4)+M9014</f>
        <v>1.67025649916167</v>
      </c>
      <c r="N9019" s="48" t="n">
        <f aca="false">M9019*Assumptions!$E$61^(1/4)+N9014</f>
        <v>1.95561834801929</v>
      </c>
      <c r="P9019" s="49" t="n">
        <f aca="false">F9019</f>
        <v>0.191977386314485</v>
      </c>
      <c r="Q9019" s="49" t="n">
        <f aca="false">J9019</f>
        <v>0.815068571993006</v>
      </c>
      <c r="R9019" s="49" t="n">
        <f aca="false">N9019</f>
        <v>1.95561834801929</v>
      </c>
      <c r="S9019" s="50" t="n">
        <f aca="false">R9019</f>
        <v>1.95561834801929</v>
      </c>
    </row>
    <row r="9020" customFormat="false" ht="15" hidden="false" customHeight="false" outlineLevel="0" collapsed="false">
      <c r="A9020" s="9" t="s">
        <v>537</v>
      </c>
      <c r="B9020" s="36" t="s">
        <v>527</v>
      </c>
      <c r="C9020" s="49" t="n">
        <f aca="false">C9017+C9018+C9019</f>
        <v>0</v>
      </c>
      <c r="D9020" s="49" t="n">
        <f aca="false">D9017+D9018+D9019</f>
        <v>1.30046141945097</v>
      </c>
      <c r="E9020" s="49" t="n">
        <f aca="false">E9017+E9018+E9019</f>
        <v>3.56229499477378</v>
      </c>
      <c r="F9020" s="49" t="n">
        <f aca="false">F9017+F9018+F9019</f>
        <v>6.0391679141351</v>
      </c>
      <c r="G9020" s="49" t="n">
        <f aca="false">G9017+G9018+G9019</f>
        <v>8.69163209339566</v>
      </c>
      <c r="H9020" s="49" t="n">
        <f aca="false">H9017+H9018+H9019</f>
        <v>12.0296114951856</v>
      </c>
      <c r="I9020" s="49" t="n">
        <f aca="false">I9017+I9018+I9019</f>
        <v>15.9976192611344</v>
      </c>
      <c r="J9020" s="49" t="n">
        <f aca="false">J9017+J9018+J9019</f>
        <v>21.7453850447547</v>
      </c>
      <c r="K9020" s="49" t="n">
        <f aca="false">K9017+K9018+K9019</f>
        <v>29.0920894606113</v>
      </c>
      <c r="L9020" s="49" t="n">
        <f aca="false">L9017+L9018+L9019</f>
        <v>36.3391402184556</v>
      </c>
      <c r="M9020" s="49" t="n">
        <f aca="false">M9017+M9018+M9019</f>
        <v>43.1454715008253</v>
      </c>
      <c r="N9020" s="49" t="n">
        <f aca="false">N9017+N9018+N9019</f>
        <v>49.5280990541991</v>
      </c>
      <c r="P9020" s="49" t="n">
        <f aca="false">F9020</f>
        <v>6.0391679141351</v>
      </c>
      <c r="Q9020" s="49" t="n">
        <f aca="false">J9020</f>
        <v>21.7453850447547</v>
      </c>
      <c r="R9020" s="49" t="n">
        <f aca="false">N9020</f>
        <v>49.5280990541991</v>
      </c>
      <c r="S9020" s="50" t="n">
        <f aca="false">R9020</f>
        <v>49.5280990541991</v>
      </c>
    </row>
    <row r="9021" customFormat="false" ht="15" hidden="false" customHeight="false" outlineLevel="0" collapsed="false">
      <c r="A9021" s="4" t="s">
        <v>538</v>
      </c>
      <c r="B9021" s="36" t="s">
        <v>125</v>
      </c>
      <c r="C9021" s="54" t="n">
        <f aca="false">0*Assumptions!$E$62^(1/4)+C9012*$C$8961</f>
        <v>0</v>
      </c>
      <c r="D9021" s="54" t="n">
        <f aca="false">C9021*Assumptions!$E$62^(1/4)+D9012*$C$8961</f>
        <v>4636.84673462381</v>
      </c>
      <c r="E9021" s="54" t="n">
        <f aca="false">D9021*Assumptions!$E$62^(1/4)+E9012*$C$8961</f>
        <v>12584.7650278744</v>
      </c>
      <c r="F9021" s="54" t="n">
        <f aca="false">E9021*Assumptions!$E$62^(1/4)+F9012*$C$8961</f>
        <v>21354.5918933979</v>
      </c>
      <c r="G9021" s="54" t="n">
        <f aca="false">F9021*Assumptions!$E$62^(1/4)+G9012*$C$8961</f>
        <v>30963.1818577268</v>
      </c>
      <c r="H9021" s="54" t="n">
        <f aca="false">G9021*Assumptions!$E$62^(1/4)+H9012*$C$8961</f>
        <v>43327.3550335454</v>
      </c>
      <c r="I9021" s="54" t="n">
        <f aca="false">H9021*Assumptions!$E$62^(1/4)+I9012*$C$8961</f>
        <v>58265.3793130463</v>
      </c>
      <c r="J9021" s="54" t="n">
        <f aca="false">I9021*Assumptions!$E$62^(1/4)+J9012*$C$8961</f>
        <v>80372.8487175808</v>
      </c>
      <c r="K9021" s="54" t="n">
        <f aca="false">J9021*Assumptions!$E$62^(1/4)+K9012*$C$8961</f>
        <v>108969.433724354</v>
      </c>
      <c r="L9021" s="54" t="n">
        <f aca="false">K9021*Assumptions!$E$62^(1/4)+L9012*$C$8961</f>
        <v>137769.212699133</v>
      </c>
      <c r="M9021" s="54" t="n">
        <f aca="false">L9021*Assumptions!$E$62^(1/4)+M9012*$C$8961</f>
        <v>165716.252164404</v>
      </c>
      <c r="N9021" s="54" t="n">
        <f aca="false">M9021*Assumptions!$E$62^(1/4)+N9012*$C$8961</f>
        <v>192869.728098578</v>
      </c>
      <c r="P9021" s="55" t="n">
        <f aca="false">F9021</f>
        <v>21354.5918933979</v>
      </c>
      <c r="Q9021" s="55" t="n">
        <f aca="false">J9021</f>
        <v>80372.8487175808</v>
      </c>
      <c r="R9021" s="55" t="n">
        <f aca="false">N9021</f>
        <v>192869.728098578</v>
      </c>
      <c r="S9021" s="56" t="n">
        <f aca="false">R9021</f>
        <v>192869.728098578</v>
      </c>
    </row>
    <row r="9022" customFormat="false" ht="15" hidden="false" customHeight="false" outlineLevel="0" collapsed="false">
      <c r="A9022" s="4" t="s">
        <v>539</v>
      </c>
      <c r="B9022" s="36" t="s">
        <v>125</v>
      </c>
      <c r="C9022" s="54" t="n">
        <f aca="false">0*Assumptions!$E$63^(1/4)+C9013*$C$8962</f>
        <v>0</v>
      </c>
      <c r="D9022" s="54" t="n">
        <f aca="false">C9022*Assumptions!$E$63^(1/4)+D9013*$C$8962</f>
        <v>6359.37968364564</v>
      </c>
      <c r="E9022" s="54" t="n">
        <f aca="false">D9022*Assumptions!$E$63^(1/4)+E9013*$C$8962</f>
        <v>17353.1708571961</v>
      </c>
      <c r="F9022" s="54" t="n">
        <f aca="false">E9022*Assumptions!$E$63^(1/4)+F9013*$C$8962</f>
        <v>29635.5209803953</v>
      </c>
      <c r="G9022" s="54" t="n">
        <f aca="false">F9022*Assumptions!$E$63^(1/4)+G9013*$C$8962</f>
        <v>43248.4539500411</v>
      </c>
      <c r="H9022" s="54" t="n">
        <f aca="false">G9022*Assumptions!$E$63^(1/4)+H9013*$C$8962</f>
        <v>60505.8642387027</v>
      </c>
      <c r="I9022" s="54" t="n">
        <f aca="false">H9022*Assumptions!$E$63^(1/4)+I9013*$C$8962</f>
        <v>81242.7975643762</v>
      </c>
      <c r="J9022" s="54" t="n">
        <f aca="false">I9022*Assumptions!$E$63^(1/4)+J9013*$C$8962</f>
        <v>110065.152533331</v>
      </c>
      <c r="K9022" s="54" t="n">
        <f aca="false">J9022*Assumptions!$E$63^(1/4)+K9013*$C$8962</f>
        <v>146486.061755406</v>
      </c>
      <c r="L9022" s="54" t="n">
        <f aca="false">K9022*Assumptions!$E$63^(1/4)+L9013*$C$8962</f>
        <v>183688.719758419</v>
      </c>
      <c r="M9022" s="54" t="n">
        <f aca="false">L9022*Assumptions!$E$63^(1/4)+M9013*$C$8962</f>
        <v>220399.386957319</v>
      </c>
      <c r="N9022" s="54" t="n">
        <f aca="false">M9022*Assumptions!$E$63^(1/4)+N9013*$C$8962</f>
        <v>256682.868955281</v>
      </c>
      <c r="P9022" s="55" t="n">
        <f aca="false">F9022</f>
        <v>29635.5209803953</v>
      </c>
      <c r="Q9022" s="55" t="n">
        <f aca="false">J9022</f>
        <v>110065.152533331</v>
      </c>
      <c r="R9022" s="55" t="n">
        <f aca="false">N9022</f>
        <v>256682.868955281</v>
      </c>
      <c r="S9022" s="56" t="n">
        <f aca="false">R9022</f>
        <v>256682.868955281</v>
      </c>
    </row>
    <row r="9023" customFormat="false" ht="15" hidden="false" customHeight="false" outlineLevel="0" collapsed="false">
      <c r="A9023" s="4" t="s">
        <v>540</v>
      </c>
      <c r="B9023" s="36" t="s">
        <v>125</v>
      </c>
      <c r="C9023" s="54" t="n">
        <f aca="false">0*Assumptions!$E$64^(1/4)+C9014*$C$8963</f>
        <v>0</v>
      </c>
      <c r="D9023" s="54" t="n">
        <f aca="false">C9023*Assumptions!$E$64^(1/4)+D9014*$C$8963</f>
        <v>0</v>
      </c>
      <c r="E9023" s="54" t="n">
        <f aca="false">D9023*Assumptions!$E$64^(1/4)+E9014*$C$8963</f>
        <v>6604.93092083479</v>
      </c>
      <c r="F9023" s="54" t="n">
        <f aca="false">E9023*Assumptions!$E$64^(1/4)+F9014*$C$8963</f>
        <v>18161.1582163261</v>
      </c>
      <c r="G9023" s="54" t="n">
        <f aca="false">F9023*Assumptions!$E$64^(1/4)+G9014*$C$8963</f>
        <v>31299.0658858596</v>
      </c>
      <c r="H9023" s="54" t="n">
        <f aca="false">G9023*Assumptions!$E$64^(1/4)+H9014*$C$8963</f>
        <v>46098.9037788784</v>
      </c>
      <c r="I9023" s="54" t="n">
        <f aca="false">H9023*Assumptions!$E$64^(1/4)+I9014*$C$8963</f>
        <v>63886.3080153216</v>
      </c>
      <c r="J9023" s="54" t="n">
        <f aca="false">I9023*Assumptions!$E$64^(1/4)+J9014*$C$8963</f>
        <v>84643.4685457823</v>
      </c>
      <c r="K9023" s="54" t="n">
        <f aca="false">J9023*Assumptions!$E$64^(1/4)+K9014*$C$8963</f>
        <v>112243.042921088</v>
      </c>
      <c r="L9023" s="54" t="n">
        <f aca="false">K9023*Assumptions!$E$64^(1/4)+L9014*$C$8963</f>
        <v>146559.764125499</v>
      </c>
      <c r="M9023" s="54" t="n">
        <f aca="false">L9023*Assumptions!$E$64^(1/4)+M9014*$C$8963</f>
        <v>182312.201281676</v>
      </c>
      <c r="N9023" s="54" t="n">
        <f aca="false">M9023*Assumptions!$E$64^(1/4)+N9014*$C$8963</f>
        <v>218431.628995234</v>
      </c>
      <c r="P9023" s="55" t="n">
        <f aca="false">F9023</f>
        <v>18161.1582163261</v>
      </c>
      <c r="Q9023" s="55" t="n">
        <f aca="false">J9023</f>
        <v>84643.4685457823</v>
      </c>
      <c r="R9023" s="55" t="n">
        <f aca="false">N9023</f>
        <v>218431.628995234</v>
      </c>
      <c r="S9023" s="56" t="n">
        <f aca="false">R9023</f>
        <v>218431.628995234</v>
      </c>
    </row>
    <row r="9024" customFormat="false" ht="15" hidden="false" customHeight="false" outlineLevel="0" collapsed="false">
      <c r="A9024" s="9" t="s">
        <v>541</v>
      </c>
      <c r="B9024" s="36" t="s">
        <v>125</v>
      </c>
      <c r="C9024" s="55" t="n">
        <f aca="false">C9021+C9022+C9023</f>
        <v>0</v>
      </c>
      <c r="D9024" s="55" t="n">
        <f aca="false">D9021+D9022+D9023</f>
        <v>10996.2264182694</v>
      </c>
      <c r="E9024" s="55" t="n">
        <f aca="false">E9021+E9022+E9023</f>
        <v>36542.8668059052</v>
      </c>
      <c r="F9024" s="55" t="n">
        <f aca="false">F9021+F9022+F9023</f>
        <v>69151.2710901194</v>
      </c>
      <c r="G9024" s="55" t="n">
        <f aca="false">G9021+G9022+G9023</f>
        <v>105510.701693627</v>
      </c>
      <c r="H9024" s="55" t="n">
        <f aca="false">H9021+H9022+H9023</f>
        <v>149932.123051126</v>
      </c>
      <c r="I9024" s="55" t="n">
        <f aca="false">I9021+I9022+I9023</f>
        <v>203394.484892744</v>
      </c>
      <c r="J9024" s="55" t="n">
        <f aca="false">J9021+J9022+J9023</f>
        <v>275081.469796694</v>
      </c>
      <c r="K9024" s="55" t="n">
        <f aca="false">K9021+K9022+K9023</f>
        <v>367698.538400849</v>
      </c>
      <c r="L9024" s="55" t="n">
        <f aca="false">L9021+L9022+L9023</f>
        <v>468017.696583052</v>
      </c>
      <c r="M9024" s="55" t="n">
        <f aca="false">M9021+M9022+M9023</f>
        <v>568427.840403398</v>
      </c>
      <c r="N9024" s="55" t="n">
        <f aca="false">N9021+N9022+N9023</f>
        <v>667984.226049093</v>
      </c>
      <c r="P9024" s="55" t="n">
        <f aca="false">F9024</f>
        <v>69151.2710901194</v>
      </c>
      <c r="Q9024" s="55" t="n">
        <f aca="false">J9024</f>
        <v>275081.469796694</v>
      </c>
      <c r="R9024" s="55" t="n">
        <f aca="false">N9024</f>
        <v>667984.226049093</v>
      </c>
      <c r="S9024" s="56" t="n">
        <f aca="false">R9024</f>
        <v>667984.226049093</v>
      </c>
    </row>
    <row r="9025" customFormat="false" ht="15" hidden="false" customHeight="false" outlineLevel="0" collapsed="false">
      <c r="A9025" s="4" t="s">
        <v>542</v>
      </c>
      <c r="B9025" s="36" t="s">
        <v>125</v>
      </c>
      <c r="C9025" s="54" t="n">
        <f aca="false">C9012*$C$8961+C9013*$C$8962+C9014*$C$8963</f>
        <v>0</v>
      </c>
      <c r="D9025" s="54" t="n">
        <f aca="false">D9012*$C$8961+D9013*$C$8962+D9014*$C$8963</f>
        <v>10996.2264182694</v>
      </c>
      <c r="E9025" s="54" t="n">
        <f aca="false">E9012*$C$8961+E9013*$C$8962+E9014*$C$8963</f>
        <v>25453.3238284299</v>
      </c>
      <c r="F9025" s="54" t="n">
        <f aca="false">F9012*$C$8961+F9013*$C$8962+F9014*$C$8963</f>
        <v>32118.907886603</v>
      </c>
      <c r="G9025" s="54" t="n">
        <f aca="false">G9012*$C$8961+G9013*$C$8962+G9014*$C$8963</f>
        <v>35278.7876772053</v>
      </c>
      <c r="H9025" s="54" t="n">
        <f aca="false">H9012*$C$8961+H9013*$C$8962+H9014*$C$8963</f>
        <v>42673.8656230129</v>
      </c>
      <c r="I9025" s="54" t="n">
        <f aca="false">I9012*$C$8961+I9013*$C$8962+I9014*$C$8963</f>
        <v>50935.3197576428</v>
      </c>
      <c r="J9025" s="54" t="n">
        <f aca="false">J9012*$C$8961+J9013*$C$8962+J9014*$C$8963</f>
        <v>68223.1663725854</v>
      </c>
      <c r="K9025" s="54" t="n">
        <f aca="false">K9012*$C$8961+K9013*$C$8962+K9014*$C$8963</f>
        <v>87992.2305709798</v>
      </c>
      <c r="L9025" s="54" t="n">
        <f aca="false">L9012*$C$8961+L9013*$C$8962+L9014*$C$8963</f>
        <v>94178.4975571476</v>
      </c>
      <c r="M9025" s="54" t="n">
        <f aca="false">M9012*$C$8961+M9013*$C$8962+M9014*$C$8963</f>
        <v>92503.340522309</v>
      </c>
      <c r="N9025" s="54" t="n">
        <f aca="false">N9012*$C$8961+N9013*$C$8962+N9014*$C$8963</f>
        <v>89839.6077746335</v>
      </c>
      <c r="P9025" s="55" t="n">
        <f aca="false">SUM(C9025:F9025)</f>
        <v>68568.4581333023</v>
      </c>
      <c r="Q9025" s="55" t="n">
        <f aca="false">SUM(G9025:J9025)</f>
        <v>197111.139430446</v>
      </c>
      <c r="R9025" s="55" t="n">
        <f aca="false">SUM(K9025:N9025)</f>
        <v>364513.67642507</v>
      </c>
      <c r="S9025" s="56" t="n">
        <f aca="false">SUM(P9025:R9025)</f>
        <v>630193.273988819</v>
      </c>
    </row>
    <row r="9026" customFormat="false" ht="15" hidden="false" customHeight="false" outlineLevel="0" collapsed="false">
      <c r="A9026" s="9" t="s">
        <v>543</v>
      </c>
      <c r="B9026" s="36" t="s">
        <v>125</v>
      </c>
      <c r="C9026" s="55" t="n">
        <f aca="false">(0+C9024)/8</f>
        <v>0</v>
      </c>
      <c r="D9026" s="55" t="n">
        <f aca="false">(C9024+D9024)/8</f>
        <v>1374.52830228368</v>
      </c>
      <c r="E9026" s="55" t="n">
        <f aca="false">(D9024+E9024)/8</f>
        <v>5942.38665302183</v>
      </c>
      <c r="F9026" s="55" t="n">
        <f aca="false">(E9024+F9024)/8</f>
        <v>13211.7672370031</v>
      </c>
      <c r="G9026" s="55" t="n">
        <f aca="false">(F9024+G9024)/8</f>
        <v>21832.7465979684</v>
      </c>
      <c r="H9026" s="55" t="n">
        <f aca="false">(G9024+H9024)/8</f>
        <v>31930.3530930942</v>
      </c>
      <c r="I9026" s="55" t="n">
        <f aca="false">(H9024+I9024)/8</f>
        <v>44165.8259929838</v>
      </c>
      <c r="J9026" s="55" t="n">
        <f aca="false">(I9024+J9024)/8</f>
        <v>59809.4943361798</v>
      </c>
      <c r="K9026" s="55" t="n">
        <f aca="false">(J9024+K9024)/8</f>
        <v>80347.5010246928</v>
      </c>
      <c r="L9026" s="55" t="n">
        <f aca="false">(K9024+L9024)/8</f>
        <v>104464.529372988</v>
      </c>
      <c r="M9026" s="55" t="n">
        <f aca="false">(L9024+M9024)/8</f>
        <v>129555.692123306</v>
      </c>
      <c r="N9026" s="55" t="n">
        <f aca="false">(M9024+N9024)/8</f>
        <v>154551.508306561</v>
      </c>
      <c r="P9026" s="55" t="n">
        <f aca="false">SUM(C9026:F9026)</f>
        <v>20528.6821923086</v>
      </c>
      <c r="Q9026" s="55" t="n">
        <f aca="false">SUM(G9026:J9026)</f>
        <v>157738.420020226</v>
      </c>
      <c r="R9026" s="55" t="n">
        <f aca="false">SUM(K9026:N9026)</f>
        <v>468919.230827548</v>
      </c>
      <c r="S9026" s="56" t="n">
        <f aca="false">SUM(P9026:R9026)</f>
        <v>647186.333040083</v>
      </c>
    </row>
    <row r="9027" customFormat="false" ht="15" hidden="false" customHeight="false" outlineLevel="0" collapsed="false">
      <c r="A9027" s="4" t="s">
        <v>544</v>
      </c>
      <c r="B9027" s="36" t="s">
        <v>125</v>
      </c>
      <c r="C9027" s="54" t="n">
        <f aca="false">C9026*Assumptions!$E$76</f>
        <v>0</v>
      </c>
      <c r="D9027" s="54" t="n">
        <f aca="false">D9026*Assumptions!$E$76</f>
        <v>893.443396484393</v>
      </c>
      <c r="E9027" s="54" t="n">
        <f aca="false">E9026*Assumptions!$E$76</f>
        <v>3862.55132446419</v>
      </c>
      <c r="F9027" s="54" t="n">
        <f aca="false">F9026*Assumptions!$E$76</f>
        <v>8587.648704052</v>
      </c>
      <c r="G9027" s="54" t="n">
        <f aca="false">G9026*Assumptions!$E$76</f>
        <v>14191.2852886794</v>
      </c>
      <c r="H9027" s="54" t="n">
        <f aca="false">H9026*Assumptions!$E$76</f>
        <v>20754.7295105113</v>
      </c>
      <c r="I9027" s="54" t="n">
        <f aca="false">I9026*Assumptions!$E$76</f>
        <v>28707.7868954395</v>
      </c>
      <c r="J9027" s="54" t="n">
        <f aca="false">J9026*Assumptions!$E$76</f>
        <v>38876.1713185169</v>
      </c>
      <c r="K9027" s="54" t="n">
        <f aca="false">K9026*Assumptions!$E$76</f>
        <v>52225.8756660503</v>
      </c>
      <c r="L9027" s="54" t="n">
        <f aca="false">L9026*Assumptions!$E$76</f>
        <v>67901.9440924419</v>
      </c>
      <c r="M9027" s="54" t="n">
        <f aca="false">M9026*Assumptions!$E$76</f>
        <v>84211.1998801491</v>
      </c>
      <c r="N9027" s="54" t="n">
        <f aca="false">N9026*Assumptions!$E$76</f>
        <v>100458.480399265</v>
      </c>
      <c r="P9027" s="55" t="n">
        <f aca="false">SUM(C9027:F9027)</f>
        <v>13343.6434250006</v>
      </c>
      <c r="Q9027" s="55" t="n">
        <f aca="false">SUM(G9027:J9027)</f>
        <v>102529.973013147</v>
      </c>
      <c r="R9027" s="55" t="n">
        <f aca="false">SUM(K9027:N9027)</f>
        <v>304797.500037906</v>
      </c>
      <c r="S9027" s="56" t="n">
        <f aca="false">SUM(P9027:R9027)</f>
        <v>420671.116476054</v>
      </c>
    </row>
    <row r="9028" customFormat="false" ht="15" hidden="false" customHeight="false" outlineLevel="0" collapsed="false">
      <c r="A9028" s="35" t="s">
        <v>547</v>
      </c>
      <c r="B9028" s="35" t="s">
        <v>444</v>
      </c>
      <c r="C9028" s="6" t="s">
        <v>354</v>
      </c>
      <c r="D9028" s="6" t="s">
        <v>355</v>
      </c>
      <c r="E9028" s="6" t="s">
        <v>356</v>
      </c>
      <c r="F9028" s="6" t="s">
        <v>357</v>
      </c>
      <c r="G9028" s="6" t="s">
        <v>358</v>
      </c>
      <c r="H9028" s="6" t="s">
        <v>359</v>
      </c>
      <c r="I9028" s="6" t="s">
        <v>360</v>
      </c>
      <c r="J9028" s="6" t="s">
        <v>361</v>
      </c>
      <c r="K9028" s="6" t="s">
        <v>362</v>
      </c>
      <c r="L9028" s="6" t="s">
        <v>363</v>
      </c>
      <c r="M9028" s="6" t="s">
        <v>364</v>
      </c>
      <c r="N9028" s="6" t="s">
        <v>365</v>
      </c>
      <c r="P9028" s="6" t="s">
        <v>445</v>
      </c>
      <c r="Q9028" s="6" t="s">
        <v>446</v>
      </c>
      <c r="R9028" s="6" t="s">
        <v>447</v>
      </c>
      <c r="S9028" s="6" t="s">
        <v>448</v>
      </c>
    </row>
    <row r="9029" customFormat="false" ht="15" hidden="false" customHeight="false" outlineLevel="0" collapsed="false">
      <c r="A9029" s="4" t="s">
        <v>548</v>
      </c>
      <c r="B9029" s="36" t="s">
        <v>321</v>
      </c>
      <c r="C9029" s="48" t="n">
        <f aca="false">Assumptions!$D$97*C8971</f>
        <v>1</v>
      </c>
      <c r="D9029" s="48" t="n">
        <f aca="false">Assumptions!$D$97*D8971</f>
        <v>1</v>
      </c>
      <c r="E9029" s="48" t="n">
        <f aca="false">Assumptions!$D$97*E8971</f>
        <v>1</v>
      </c>
      <c r="F9029" s="48" t="n">
        <f aca="false">Assumptions!$D$97*F8971</f>
        <v>1</v>
      </c>
      <c r="G9029" s="48" t="n">
        <f aca="false">Assumptions!$D$97*G8971</f>
        <v>1</v>
      </c>
      <c r="H9029" s="48" t="n">
        <f aca="false">Assumptions!$D$97*H8971</f>
        <v>1</v>
      </c>
      <c r="I9029" s="48" t="n">
        <f aca="false">Assumptions!$D$97*I8971</f>
        <v>1</v>
      </c>
      <c r="J9029" s="48" t="n">
        <f aca="false">Assumptions!$D$97*J8971</f>
        <v>1</v>
      </c>
      <c r="K9029" s="48" t="n">
        <f aca="false">Assumptions!$D$97*K8971</f>
        <v>1</v>
      </c>
      <c r="L9029" s="48" t="n">
        <f aca="false">Assumptions!$D$97*L8971</f>
        <v>1</v>
      </c>
      <c r="M9029" s="48" t="n">
        <f aca="false">Assumptions!$D$97*M8971</f>
        <v>1</v>
      </c>
      <c r="N9029" s="48" t="n">
        <f aca="false">Assumptions!$D$97*N8971</f>
        <v>1</v>
      </c>
      <c r="P9029" s="49" t="n">
        <f aca="false">AVERAGE(C9029:F9029)</f>
        <v>1</v>
      </c>
      <c r="Q9029" s="49" t="n">
        <f aca="false">AVERAGE(G9029:J9029)</f>
        <v>1</v>
      </c>
      <c r="R9029" s="49" t="n">
        <f aca="false">AVERAGE(K9029:N9029)</f>
        <v>1</v>
      </c>
      <c r="S9029" s="50"/>
    </row>
    <row r="9030" customFormat="false" ht="15" hidden="false" customHeight="false" outlineLevel="0" collapsed="false">
      <c r="A9030" s="4" t="s">
        <v>549</v>
      </c>
      <c r="B9030" s="36" t="s">
        <v>321</v>
      </c>
      <c r="C9030" s="48" t="n">
        <f aca="false">C8984*C8971</f>
        <v>0</v>
      </c>
      <c r="D9030" s="48" t="n">
        <f aca="false">D8984*D8971</f>
        <v>0</v>
      </c>
      <c r="E9030" s="48" t="n">
        <f aca="false">E8984*E8971</f>
        <v>0</v>
      </c>
      <c r="F9030" s="48" t="n">
        <f aca="false">F8984*F8971</f>
        <v>0</v>
      </c>
      <c r="G9030" s="48" t="n">
        <f aca="false">G8984*G8971</f>
        <v>0</v>
      </c>
      <c r="H9030" s="48" t="n">
        <f aca="false">H8984*H8971</f>
        <v>0</v>
      </c>
      <c r="I9030" s="48" t="n">
        <f aca="false">I8984*I8971</f>
        <v>0</v>
      </c>
      <c r="J9030" s="48" t="n">
        <f aca="false">J8984*J8971</f>
        <v>0</v>
      </c>
      <c r="K9030" s="48" t="n">
        <f aca="false">K8984*K8971</f>
        <v>0</v>
      </c>
      <c r="L9030" s="48" t="n">
        <f aca="false">L8984*L8971</f>
        <v>0</v>
      </c>
      <c r="M9030" s="48" t="n">
        <f aca="false">M8984*M8971</f>
        <v>0</v>
      </c>
      <c r="N9030" s="48" t="n">
        <f aca="false">N8984*N8971</f>
        <v>0</v>
      </c>
      <c r="P9030" s="49" t="n">
        <f aca="false">AVERAGE(C9030:F9030)</f>
        <v>0</v>
      </c>
      <c r="Q9030" s="49" t="n">
        <f aca="false">AVERAGE(G9030:J9030)</f>
        <v>0</v>
      </c>
      <c r="R9030" s="49" t="n">
        <f aca="false">AVERAGE(K9030:N9030)</f>
        <v>0</v>
      </c>
      <c r="S9030" s="50"/>
    </row>
    <row r="9031" customFormat="false" ht="15" hidden="false" customHeight="false" outlineLevel="0" collapsed="false">
      <c r="A9031" s="4" t="s">
        <v>550</v>
      </c>
      <c r="B9031" s="36" t="s">
        <v>321</v>
      </c>
      <c r="C9031" s="48" t="n">
        <f aca="false">IF(C8970&lt;=4,Assumptions!$D$98,Assumptions!$D$99)*C8971</f>
        <v>0</v>
      </c>
      <c r="D9031" s="48" t="n">
        <f aca="false">IF(D8970&lt;=4,Assumptions!$D$98,Assumptions!$D$99)*D8971</f>
        <v>0</v>
      </c>
      <c r="E9031" s="48" t="n">
        <f aca="false">IF(E8970&lt;=4,Assumptions!$D$98,Assumptions!$D$99)*E8971</f>
        <v>0</v>
      </c>
      <c r="F9031" s="48" t="n">
        <f aca="false">IF(F8970&lt;=4,Assumptions!$D$98,Assumptions!$D$99)*F8971</f>
        <v>0</v>
      </c>
      <c r="G9031" s="48" t="n">
        <f aca="false">IF(G8970&lt;=4,Assumptions!$D$98,Assumptions!$D$99)*G8971</f>
        <v>0.5</v>
      </c>
      <c r="H9031" s="48" t="n">
        <f aca="false">IF(H8970&lt;=4,Assumptions!$D$98,Assumptions!$D$99)*H8971</f>
        <v>0.5</v>
      </c>
      <c r="I9031" s="48" t="n">
        <f aca="false">IF(I8970&lt;=4,Assumptions!$D$98,Assumptions!$D$99)*I8971</f>
        <v>0.5</v>
      </c>
      <c r="J9031" s="48" t="n">
        <f aca="false">IF(J8970&lt;=4,Assumptions!$D$98,Assumptions!$D$99)*J8971</f>
        <v>0.5</v>
      </c>
      <c r="K9031" s="48" t="n">
        <f aca="false">IF(K8970&lt;=4,Assumptions!$D$98,Assumptions!$D$99)*K8971</f>
        <v>0.5</v>
      </c>
      <c r="L9031" s="48" t="n">
        <f aca="false">IF(L8970&lt;=4,Assumptions!$D$98,Assumptions!$D$99)*L8971</f>
        <v>0.5</v>
      </c>
      <c r="M9031" s="48" t="n">
        <f aca="false">IF(M8970&lt;=4,Assumptions!$D$98,Assumptions!$D$99)*M8971</f>
        <v>0.5</v>
      </c>
      <c r="N9031" s="48" t="n">
        <f aca="false">IF(N8970&lt;=4,Assumptions!$D$98,Assumptions!$D$99)*N8971</f>
        <v>0.5</v>
      </c>
      <c r="P9031" s="49" t="n">
        <f aca="false">AVERAGE(C9031:F9031)</f>
        <v>0</v>
      </c>
      <c r="Q9031" s="49" t="n">
        <f aca="false">AVERAGE(G9031:J9031)</f>
        <v>0.5</v>
      </c>
      <c r="R9031" s="49" t="n">
        <f aca="false">AVERAGE(K9031:N9031)</f>
        <v>0.5</v>
      </c>
      <c r="S9031" s="50"/>
    </row>
    <row r="9032" customFormat="false" ht="15" hidden="false" customHeight="false" outlineLevel="0" collapsed="false">
      <c r="A9032" s="4" t="s">
        <v>551</v>
      </c>
      <c r="B9032" s="36" t="s">
        <v>321</v>
      </c>
      <c r="C9032" s="48" t="n">
        <f aca="false">IF(C8970&lt;=4,Assumptions!$D$100,Assumptions!$D$101)*C8971</f>
        <v>1</v>
      </c>
      <c r="D9032" s="48" t="n">
        <f aca="false">IF(D8970&lt;=4,Assumptions!$D$100,Assumptions!$D$101)*D8971</f>
        <v>1</v>
      </c>
      <c r="E9032" s="48" t="n">
        <f aca="false">IF(E8970&lt;=4,Assumptions!$D$100,Assumptions!$D$101)*E8971</f>
        <v>1</v>
      </c>
      <c r="F9032" s="48" t="n">
        <f aca="false">IF(F8970&lt;=4,Assumptions!$D$100,Assumptions!$D$101)*F8971</f>
        <v>1</v>
      </c>
      <c r="G9032" s="48" t="n">
        <f aca="false">IF(G8970&lt;=4,Assumptions!$D$100,Assumptions!$D$101)*G8971</f>
        <v>0.5</v>
      </c>
      <c r="H9032" s="48" t="n">
        <f aca="false">IF(H8970&lt;=4,Assumptions!$D$100,Assumptions!$D$101)*H8971</f>
        <v>0.5</v>
      </c>
      <c r="I9032" s="48" t="n">
        <f aca="false">IF(I8970&lt;=4,Assumptions!$D$100,Assumptions!$D$101)*I8971</f>
        <v>0.5</v>
      </c>
      <c r="J9032" s="48" t="n">
        <f aca="false">IF(J8970&lt;=4,Assumptions!$D$100,Assumptions!$D$101)*J8971</f>
        <v>0.5</v>
      </c>
      <c r="K9032" s="48" t="n">
        <f aca="false">IF(K8970&lt;=4,Assumptions!$D$100,Assumptions!$D$101)*K8971</f>
        <v>0.5</v>
      </c>
      <c r="L9032" s="48" t="n">
        <f aca="false">IF(L8970&lt;=4,Assumptions!$D$100,Assumptions!$D$101)*L8971</f>
        <v>0.5</v>
      </c>
      <c r="M9032" s="48" t="n">
        <f aca="false">IF(M8970&lt;=4,Assumptions!$D$100,Assumptions!$D$101)*M8971</f>
        <v>0.5</v>
      </c>
      <c r="N9032" s="48" t="n">
        <f aca="false">IF(N8970&lt;=4,Assumptions!$D$100,Assumptions!$D$101)*N8971</f>
        <v>0.5</v>
      </c>
      <c r="P9032" s="49" t="n">
        <f aca="false">AVERAGE(C9032:F9032)</f>
        <v>1</v>
      </c>
      <c r="Q9032" s="49" t="n">
        <f aca="false">AVERAGE(G9032:J9032)</f>
        <v>0.5</v>
      </c>
      <c r="R9032" s="49" t="n">
        <f aca="false">AVERAGE(K9032:N9032)</f>
        <v>0.5</v>
      </c>
      <c r="S9032" s="50"/>
    </row>
    <row r="9033" customFormat="false" ht="15" hidden="false" customHeight="false" outlineLevel="0" collapsed="false">
      <c r="A9033" s="4" t="s">
        <v>552</v>
      </c>
      <c r="B9033" s="36" t="s">
        <v>321</v>
      </c>
      <c r="C9033" s="48" t="n">
        <f aca="false">Assumptions!$D$102*C8971</f>
        <v>0.25</v>
      </c>
      <c r="D9033" s="48" t="n">
        <f aca="false">Assumptions!$D$102*D8971</f>
        <v>0.25</v>
      </c>
      <c r="E9033" s="48" t="n">
        <f aca="false">Assumptions!$D$102*E8971</f>
        <v>0.25</v>
      </c>
      <c r="F9033" s="48" t="n">
        <f aca="false">Assumptions!$D$102*F8971</f>
        <v>0.25</v>
      </c>
      <c r="G9033" s="48" t="n">
        <f aca="false">Assumptions!$D$102*G8971</f>
        <v>0.25</v>
      </c>
      <c r="H9033" s="48" t="n">
        <f aca="false">Assumptions!$D$102*H8971</f>
        <v>0.25</v>
      </c>
      <c r="I9033" s="48" t="n">
        <f aca="false">Assumptions!$D$102*I8971</f>
        <v>0.25</v>
      </c>
      <c r="J9033" s="48" t="n">
        <f aca="false">Assumptions!$D$102*J8971</f>
        <v>0.25</v>
      </c>
      <c r="K9033" s="48" t="n">
        <f aca="false">Assumptions!$D$102*K8971</f>
        <v>0.25</v>
      </c>
      <c r="L9033" s="48" t="n">
        <f aca="false">Assumptions!$D$102*L8971</f>
        <v>0.25</v>
      </c>
      <c r="M9033" s="48" t="n">
        <f aca="false">Assumptions!$D$102*M8971</f>
        <v>0.25</v>
      </c>
      <c r="N9033" s="48" t="n">
        <f aca="false">Assumptions!$D$102*N8971</f>
        <v>0.25</v>
      </c>
      <c r="P9033" s="49" t="n">
        <f aca="false">AVERAGE(C9033:F9033)</f>
        <v>0.25</v>
      </c>
      <c r="Q9033" s="49" t="n">
        <f aca="false">AVERAGE(G9033:J9033)</f>
        <v>0.25</v>
      </c>
      <c r="R9033" s="49" t="n">
        <f aca="false">AVERAGE(K9033:N9033)</f>
        <v>0.25</v>
      </c>
      <c r="S9033" s="50"/>
    </row>
    <row r="9034" customFormat="false" ht="15" hidden="false" customHeight="false" outlineLevel="0" collapsed="false">
      <c r="A9034" s="4" t="s">
        <v>553</v>
      </c>
      <c r="B9034" s="36" t="s">
        <v>321</v>
      </c>
      <c r="C9034" s="48" t="n">
        <f aca="false">(C9018+C9019)/Assumptions!$E$74+C9017/Assumptions!$E$75</f>
        <v>0</v>
      </c>
      <c r="D9034" s="48" t="n">
        <f aca="false">(D9018+D9019)/Assumptions!$E$74+D9017/Assumptions!$E$75</f>
        <v>0.0143176301374139</v>
      </c>
      <c r="E9034" s="48" t="n">
        <f aca="false">(E9018+E9019)/Assumptions!$E$74+E9017/Assumptions!$E$75</f>
        <v>0.0402499456767798</v>
      </c>
      <c r="F9034" s="48" t="n">
        <f aca="false">(F9018+F9019)/Assumptions!$E$74+F9017/Assumptions!$E$75</f>
        <v>0.069296156601371</v>
      </c>
      <c r="G9034" s="48" t="n">
        <f aca="false">(G9018+G9019)/Assumptions!$E$74+G9017/Assumptions!$E$75</f>
        <v>0.100475077199051</v>
      </c>
      <c r="H9034" s="48" t="n">
        <f aca="false">(H9018+H9019)/Assumptions!$E$74+H9017/Assumptions!$E$75</f>
        <v>0.139084643227244</v>
      </c>
      <c r="I9034" s="48" t="n">
        <f aca="false">(I9018+I9019)/Assumptions!$E$74+I9017/Assumptions!$E$75</f>
        <v>0.184756080005146</v>
      </c>
      <c r="J9034" s="48" t="n">
        <f aca="false">(J9018+J9019)/Assumptions!$E$74+J9017/Assumptions!$E$75</f>
        <v>0.248473880206466</v>
      </c>
      <c r="K9034" s="48" t="n">
        <f aca="false">(K9018+K9019)/Assumptions!$E$74+K9017/Assumptions!$E$75</f>
        <v>0.329218871456529</v>
      </c>
      <c r="L9034" s="48" t="n">
        <f aca="false">(L9018+L9019)/Assumptions!$E$74+L9017/Assumptions!$E$75</f>
        <v>0.409912468045788</v>
      </c>
      <c r="M9034" s="48" t="n">
        <f aca="false">(M9018+M9019)/Assumptions!$E$74+M9017/Assumptions!$E$75</f>
        <v>0.486094517455055</v>
      </c>
      <c r="N9034" s="48" t="n">
        <f aca="false">(N9018+N9019)/Assumptions!$E$74+N9017/Assumptions!$E$75</f>
        <v>0.557753573090085</v>
      </c>
      <c r="P9034" s="49" t="n">
        <f aca="false">AVERAGE(C9034:F9034)</f>
        <v>0.0309659331038912</v>
      </c>
      <c r="Q9034" s="49" t="n">
        <f aca="false">AVERAGE(G9034:J9034)</f>
        <v>0.168197420159477</v>
      </c>
      <c r="R9034" s="49" t="n">
        <f aca="false">AVERAGE(K9034:N9034)</f>
        <v>0.445744857511864</v>
      </c>
      <c r="S9034" s="50"/>
    </row>
    <row r="9035" customFormat="false" ht="15" hidden="false" customHeight="false" outlineLevel="0" collapsed="false">
      <c r="A9035" s="4" t="s">
        <v>554</v>
      </c>
      <c r="B9035" s="36" t="s">
        <v>125</v>
      </c>
      <c r="C9035" s="54" t="n">
        <f aca="false">(C9029+C9031)*Assumptions!$E$70/Assumptions!$E$69/4</f>
        <v>66753.5714285714</v>
      </c>
      <c r="D9035" s="54" t="n">
        <f aca="false">(D9029+D9031)*Assumptions!$E$70/Assumptions!$E$69/4</f>
        <v>66753.5714285714</v>
      </c>
      <c r="E9035" s="54" t="n">
        <f aca="false">(E9029+E9031)*Assumptions!$E$70/Assumptions!$E$69/4</f>
        <v>66753.5714285714</v>
      </c>
      <c r="F9035" s="54" t="n">
        <f aca="false">(F9029+F9031)*Assumptions!$E$70/Assumptions!$E$69/4</f>
        <v>66753.5714285714</v>
      </c>
      <c r="G9035" s="54" t="n">
        <f aca="false">(G9029+G9031)*Assumptions!$E$70/Assumptions!$E$69/4</f>
        <v>100130.357142857</v>
      </c>
      <c r="H9035" s="54" t="n">
        <f aca="false">(H9029+H9031)*Assumptions!$E$70/Assumptions!$E$69/4</f>
        <v>100130.357142857</v>
      </c>
      <c r="I9035" s="54" t="n">
        <f aca="false">(I9029+I9031)*Assumptions!$E$70/Assumptions!$E$69/4</f>
        <v>100130.357142857</v>
      </c>
      <c r="J9035" s="54" t="n">
        <f aca="false">(J9029+J9031)*Assumptions!$E$70/Assumptions!$E$69/4</f>
        <v>100130.357142857</v>
      </c>
      <c r="K9035" s="54" t="n">
        <f aca="false">(K9029+K9031)*Assumptions!$E$70/Assumptions!$E$69/4</f>
        <v>100130.357142857</v>
      </c>
      <c r="L9035" s="54" t="n">
        <f aca="false">(L9029+L9031)*Assumptions!$E$70/Assumptions!$E$69/4</f>
        <v>100130.357142857</v>
      </c>
      <c r="M9035" s="54" t="n">
        <f aca="false">(M9029+M9031)*Assumptions!$E$70/Assumptions!$E$69/4</f>
        <v>100130.357142857</v>
      </c>
      <c r="N9035" s="54" t="n">
        <f aca="false">(N9029+N9031)*Assumptions!$E$70/Assumptions!$E$69/4</f>
        <v>100130.357142857</v>
      </c>
      <c r="P9035" s="55" t="n">
        <f aca="false">SUM(C9035:F9035)</f>
        <v>267014.285714286</v>
      </c>
      <c r="Q9035" s="55" t="n">
        <f aca="false">SUM(G9035:J9035)</f>
        <v>400521.428571429</v>
      </c>
      <c r="R9035" s="55" t="n">
        <f aca="false">SUM(K9035:N9035)</f>
        <v>400521.428571429</v>
      </c>
      <c r="S9035" s="56" t="n">
        <f aca="false">SUM(P9035:R9035)</f>
        <v>1068057.14285714</v>
      </c>
    </row>
    <row r="9036" customFormat="false" ht="15" hidden="false" customHeight="false" outlineLevel="0" collapsed="false">
      <c r="A9036" s="4" t="s">
        <v>555</v>
      </c>
      <c r="B9036" s="36" t="s">
        <v>125</v>
      </c>
      <c r="C9036" s="54" t="n">
        <f aca="false">C9030*$C$8965/4</f>
        <v>0</v>
      </c>
      <c r="D9036" s="54" t="n">
        <f aca="false">D9030*$C$8965/4</f>
        <v>0</v>
      </c>
      <c r="E9036" s="54" t="n">
        <f aca="false">E9030*$C$8965/4</f>
        <v>0</v>
      </c>
      <c r="F9036" s="54" t="n">
        <f aca="false">F9030*$C$8965/4</f>
        <v>0</v>
      </c>
      <c r="G9036" s="54" t="n">
        <f aca="false">G9030*$C$8965/4</f>
        <v>0</v>
      </c>
      <c r="H9036" s="54" t="n">
        <f aca="false">H9030*$C$8965/4</f>
        <v>0</v>
      </c>
      <c r="I9036" s="54" t="n">
        <f aca="false">I9030*$C$8965/4</f>
        <v>0</v>
      </c>
      <c r="J9036" s="54" t="n">
        <f aca="false">J9030*$C$8965/4</f>
        <v>0</v>
      </c>
      <c r="K9036" s="54" t="n">
        <f aca="false">K9030*$C$8965/4</f>
        <v>0</v>
      </c>
      <c r="L9036" s="54" t="n">
        <f aca="false">L9030*$C$8965/4</f>
        <v>0</v>
      </c>
      <c r="M9036" s="54" t="n">
        <f aca="false">M9030*$C$8965/4</f>
        <v>0</v>
      </c>
      <c r="N9036" s="54" t="n">
        <f aca="false">N9030*$C$8965/4</f>
        <v>0</v>
      </c>
      <c r="P9036" s="55" t="n">
        <f aca="false">SUM(C9036:F9036)</f>
        <v>0</v>
      </c>
      <c r="Q9036" s="55" t="n">
        <f aca="false">SUM(G9036:J9036)</f>
        <v>0</v>
      </c>
      <c r="R9036" s="55" t="n">
        <f aca="false">SUM(K9036:N9036)</f>
        <v>0</v>
      </c>
      <c r="S9036" s="56" t="n">
        <f aca="false">SUM(P9036:R9036)</f>
        <v>0</v>
      </c>
    </row>
    <row r="9037" customFormat="false" ht="15" hidden="false" customHeight="false" outlineLevel="0" collapsed="false">
      <c r="A9037" s="4" t="s">
        <v>556</v>
      </c>
      <c r="B9037" s="36" t="s">
        <v>125</v>
      </c>
      <c r="C9037" s="54" t="n">
        <f aca="false">MAX(0,(C9025-C9006*$C$8961)-C8985*$C$8966)*$C$8967*Assumptions!$D$105</f>
        <v>0</v>
      </c>
      <c r="D9037" s="54" t="n">
        <f aca="false">MAX(0,(D9025-D9006*$C$8961)-D8985*$C$8966)*$C$8967*Assumptions!$D$105</f>
        <v>4480.54689114043</v>
      </c>
      <c r="E9037" s="54" t="n">
        <f aca="false">MAX(0,(E9025-E9006*$C$8961)-E8985*$C$8966)*$C$8967*Assumptions!$D$105</f>
        <v>10761.0254649351</v>
      </c>
      <c r="F9037" s="54" t="n">
        <f aca="false">MAX(0,(F9025-F9006*$C$8961)-F8985*$C$8966)*$C$8967*Assumptions!$D$105</f>
        <v>13755.3165373509</v>
      </c>
      <c r="G9037" s="54" t="n">
        <f aca="false">MAX(0,(G9025-G9006*$C$8961)-G8985*$C$8966)*$C$8967*Assumptions!$D$105</f>
        <v>15111.935014767</v>
      </c>
      <c r="H9037" s="54" t="n">
        <f aca="false">MAX(0,(H9025-H9006*$C$8961)-H8985*$C$8966)*$C$8967*Assumptions!$D$105</f>
        <v>18175.9130823404</v>
      </c>
      <c r="I9037" s="54" t="n">
        <f aca="false">MAX(0,(I9025-I9006*$C$8961)-I8985*$C$8966)*$C$8967*Assumptions!$D$105</f>
        <v>21669.4635446263</v>
      </c>
      <c r="J9037" s="54" t="n">
        <f aca="false">MAX(0,(J9025-J9006*$C$8961)-J8985*$C$8966)*$C$8967*Assumptions!$D$105</f>
        <v>28730.4608985307</v>
      </c>
      <c r="K9037" s="54" t="n">
        <f aca="false">MAX(0,(K9025-K9006*$C$8961)-K8985*$C$8966)*$C$8967*Assumptions!$D$105</f>
        <v>37044.0839971768</v>
      </c>
      <c r="L9037" s="54" t="n">
        <f aca="false">MAX(0,(L9025-L9006*$C$8961)-L8985*$C$8966)*$C$8967*Assumptions!$D$105</f>
        <v>39901.3708989919</v>
      </c>
      <c r="M9037" s="54" t="n">
        <f aca="false">MAX(0,(M9025-M9006*$C$8961)-M8985*$C$8966)*$C$8967*Assumptions!$D$105</f>
        <v>39239.2903476281</v>
      </c>
      <c r="N9037" s="54" t="n">
        <f aca="false">MAX(0,(N9025-N9006*$C$8961)-N8985*$C$8966)*$C$8967*Assumptions!$D$105</f>
        <v>38107.7854201196</v>
      </c>
      <c r="P9037" s="55" t="n">
        <f aca="false">SUM(C9037:F9037)</f>
        <v>28996.8888934265</v>
      </c>
      <c r="Q9037" s="55" t="n">
        <f aca="false">SUM(G9037:J9037)</f>
        <v>83687.7725402643</v>
      </c>
      <c r="R9037" s="55" t="n">
        <f aca="false">SUM(K9037:N9037)</f>
        <v>154292.530663916</v>
      </c>
      <c r="S9037" s="56" t="n">
        <f aca="false">SUM(P9037:R9037)</f>
        <v>266977.192097607</v>
      </c>
    </row>
    <row r="9038" customFormat="false" ht="15" hidden="false" customHeight="false" outlineLevel="0" collapsed="false">
      <c r="A9038" s="4" t="s">
        <v>557</v>
      </c>
      <c r="B9038" s="36" t="s">
        <v>125</v>
      </c>
      <c r="C9038" s="54" t="n">
        <f aca="false">C9033*Assumptions!$E$71/Assumptions!$E$69/4</f>
        <v>18475.8928571429</v>
      </c>
      <c r="D9038" s="54" t="n">
        <f aca="false">D9033*Assumptions!$E$71/Assumptions!$E$69/4</f>
        <v>18475.8928571429</v>
      </c>
      <c r="E9038" s="54" t="n">
        <f aca="false">E9033*Assumptions!$E$71/Assumptions!$E$69/4</f>
        <v>18475.8928571429</v>
      </c>
      <c r="F9038" s="54" t="n">
        <f aca="false">F9033*Assumptions!$E$71/Assumptions!$E$69/4</f>
        <v>18475.8928571429</v>
      </c>
      <c r="G9038" s="54" t="n">
        <f aca="false">G9033*Assumptions!$E$71/Assumptions!$E$69/4</f>
        <v>18475.8928571429</v>
      </c>
      <c r="H9038" s="54" t="n">
        <f aca="false">H9033*Assumptions!$E$71/Assumptions!$E$69/4</f>
        <v>18475.8928571429</v>
      </c>
      <c r="I9038" s="54" t="n">
        <f aca="false">I9033*Assumptions!$E$71/Assumptions!$E$69/4</f>
        <v>18475.8928571429</v>
      </c>
      <c r="J9038" s="54" t="n">
        <f aca="false">J9033*Assumptions!$E$71/Assumptions!$E$69/4</f>
        <v>18475.8928571429</v>
      </c>
      <c r="K9038" s="54" t="n">
        <f aca="false">K9033*Assumptions!$E$71/Assumptions!$E$69/4</f>
        <v>18475.8928571429</v>
      </c>
      <c r="L9038" s="54" t="n">
        <f aca="false">L9033*Assumptions!$E$71/Assumptions!$E$69/4</f>
        <v>18475.8928571429</v>
      </c>
      <c r="M9038" s="54" t="n">
        <f aca="false">M9033*Assumptions!$E$71/Assumptions!$E$69/4</f>
        <v>18475.8928571429</v>
      </c>
      <c r="N9038" s="54" t="n">
        <f aca="false">N9033*Assumptions!$E$71/Assumptions!$E$69/4</f>
        <v>18475.8928571429</v>
      </c>
      <c r="P9038" s="55" t="n">
        <f aca="false">SUM(C9038:F9038)</f>
        <v>73903.5714285714</v>
      </c>
      <c r="Q9038" s="55" t="n">
        <f aca="false">SUM(G9038:J9038)</f>
        <v>73903.5714285714</v>
      </c>
      <c r="R9038" s="55" t="n">
        <f aca="false">SUM(K9038:N9038)</f>
        <v>73903.5714285714</v>
      </c>
      <c r="S9038" s="56" t="n">
        <f aca="false">SUM(P9038:R9038)</f>
        <v>221710.714285714</v>
      </c>
    </row>
    <row r="9039" customFormat="false" ht="15" hidden="false" customHeight="false" outlineLevel="0" collapsed="false">
      <c r="A9039" s="4" t="s">
        <v>558</v>
      </c>
      <c r="B9039" s="36" t="s">
        <v>125</v>
      </c>
      <c r="C9039" s="54" t="n">
        <f aca="false">(Assumptions!$D$103+Assumptions!$E$77*((C8970=Assumptions!$E$13)+(C8970=Assumptions!$E$14)+(C8970=Assumptions!$E$15)))*C8971</f>
        <v>65000</v>
      </c>
      <c r="D9039" s="54" t="n">
        <f aca="false">(Assumptions!$D$103+Assumptions!$E$77*((D8970=Assumptions!$E$13)+(D8970=Assumptions!$E$14)+(D8970=Assumptions!$E$15)))*D8971</f>
        <v>25000</v>
      </c>
      <c r="E9039" s="54" t="n">
        <f aca="false">(Assumptions!$D$103+Assumptions!$E$77*((E8970=Assumptions!$E$13)+(E8970=Assumptions!$E$14)+(E8970=Assumptions!$E$15)))*E8971</f>
        <v>25000</v>
      </c>
      <c r="F9039" s="54" t="n">
        <f aca="false">(Assumptions!$D$103+Assumptions!$E$77*((F8970=Assumptions!$E$13)+(F8970=Assumptions!$E$14)+(F8970=Assumptions!$E$15)))*F8971</f>
        <v>25000</v>
      </c>
      <c r="G9039" s="54" t="n">
        <f aca="false">(Assumptions!$D$103+Assumptions!$E$77*((G8970=Assumptions!$E$13)+(G8970=Assumptions!$E$14)+(G8970=Assumptions!$E$15)))*G8971</f>
        <v>65000</v>
      </c>
      <c r="H9039" s="54" t="n">
        <f aca="false">(Assumptions!$D$103+Assumptions!$E$77*((H8970=Assumptions!$E$13)+(H8970=Assumptions!$E$14)+(H8970=Assumptions!$E$15)))*H8971</f>
        <v>25000</v>
      </c>
      <c r="I9039" s="54" t="n">
        <f aca="false">(Assumptions!$D$103+Assumptions!$E$77*((I8970=Assumptions!$E$13)+(I8970=Assumptions!$E$14)+(I8970=Assumptions!$E$15)))*I8971</f>
        <v>65000</v>
      </c>
      <c r="J9039" s="54" t="n">
        <f aca="false">(Assumptions!$D$103+Assumptions!$E$77*((J8970=Assumptions!$E$13)+(J8970=Assumptions!$E$14)+(J8970=Assumptions!$E$15)))*J8971</f>
        <v>25000</v>
      </c>
      <c r="K9039" s="54" t="n">
        <f aca="false">(Assumptions!$D$103+Assumptions!$E$77*((K8970=Assumptions!$E$13)+(K8970=Assumptions!$E$14)+(K8970=Assumptions!$E$15)))*K8971</f>
        <v>25000</v>
      </c>
      <c r="L9039" s="54" t="n">
        <f aca="false">(Assumptions!$D$103+Assumptions!$E$77*((L8970=Assumptions!$E$13)+(L8970=Assumptions!$E$14)+(L8970=Assumptions!$E$15)))*L8971</f>
        <v>25000</v>
      </c>
      <c r="M9039" s="54" t="n">
        <f aca="false">(Assumptions!$D$103+Assumptions!$E$77*((M8970=Assumptions!$E$13)+(M8970=Assumptions!$E$14)+(M8970=Assumptions!$E$15)))*M8971</f>
        <v>25000</v>
      </c>
      <c r="N9039" s="54" t="n">
        <f aca="false">(Assumptions!$D$103+Assumptions!$E$77*((N8970=Assumptions!$E$13)+(N8970=Assumptions!$E$14)+(N8970=Assumptions!$E$15)))*N8971</f>
        <v>25000</v>
      </c>
      <c r="P9039" s="55" t="n">
        <f aca="false">SUM(C9039:F9039)</f>
        <v>140000</v>
      </c>
      <c r="Q9039" s="55" t="n">
        <f aca="false">SUM(G9039:J9039)</f>
        <v>180000</v>
      </c>
      <c r="R9039" s="55" t="n">
        <f aca="false">SUM(K9039:N9039)</f>
        <v>100000</v>
      </c>
      <c r="S9039" s="56" t="n">
        <f aca="false">SUM(P9039:R9039)</f>
        <v>420000</v>
      </c>
    </row>
    <row r="9040" customFormat="false" ht="15" hidden="false" customHeight="false" outlineLevel="0" collapsed="false">
      <c r="A9040" s="4" t="s">
        <v>559</v>
      </c>
      <c r="B9040" s="36" t="s">
        <v>125</v>
      </c>
      <c r="C9040" s="54" t="n">
        <f aca="false">C9025*C9005*Assumptions!$E$79</f>
        <v>0</v>
      </c>
      <c r="D9040" s="54" t="n">
        <f aca="false">D9025*D9005*Assumptions!$E$79</f>
        <v>1010.0510719488</v>
      </c>
      <c r="E9040" s="54" t="n">
        <f aca="false">E9025*E9005*Assumptions!$E$79</f>
        <v>2045.99594858874</v>
      </c>
      <c r="F9040" s="54" t="n">
        <f aca="false">F9025*F9005*Assumptions!$E$79</f>
        <v>3119.76690929004</v>
      </c>
      <c r="G9040" s="54" t="n">
        <f aca="false">G9025*G9005*Assumptions!$E$79</f>
        <v>3909.45665003494</v>
      </c>
      <c r="H9040" s="54" t="n">
        <f aca="false">H9025*H9005*Assumptions!$E$79</f>
        <v>4457.09377666871</v>
      </c>
      <c r="I9040" s="54" t="n">
        <f aca="false">I9025*I9005*Assumptions!$E$79</f>
        <v>5169.16905406502</v>
      </c>
      <c r="J9040" s="54" t="n">
        <f aca="false">J9025*J9005*Assumptions!$E$79</f>
        <v>5473.43989907057</v>
      </c>
      <c r="K9040" s="54" t="n">
        <f aca="false">K9025*K9005*Assumptions!$E$79</f>
        <v>6200.62362970847</v>
      </c>
      <c r="L9040" s="54" t="n">
        <f aca="false">L9025*L9005*Assumptions!$E$79</f>
        <v>7321.9255816921</v>
      </c>
      <c r="M9040" s="54" t="n">
        <f aca="false">M9025*M9005*Assumptions!$E$79</f>
        <v>7411.12802615477</v>
      </c>
      <c r="N9040" s="54" t="n">
        <f aca="false">N9025*N9005*Assumptions!$E$79</f>
        <v>7408.07077519182</v>
      </c>
      <c r="P9040" s="55" t="n">
        <f aca="false">SUM(C9040:F9040)</f>
        <v>6175.81392982759</v>
      </c>
      <c r="Q9040" s="55" t="n">
        <f aca="false">SUM(G9040:J9040)</f>
        <v>19009.1593798392</v>
      </c>
      <c r="R9040" s="55" t="n">
        <f aca="false">SUM(K9040:N9040)</f>
        <v>28341.7480127472</v>
      </c>
      <c r="S9040" s="56" t="n">
        <f aca="false">SUM(P9040:R9040)</f>
        <v>53526.721322414</v>
      </c>
    </row>
    <row r="9041" customFormat="false" ht="15" hidden="false" customHeight="false" outlineLevel="0" collapsed="false">
      <c r="A9041" s="4" t="s">
        <v>560</v>
      </c>
      <c r="B9041" s="36" t="s">
        <v>125</v>
      </c>
      <c r="C9041" s="54" t="n">
        <f aca="false">C8990*Assumptions!$E$80</f>
        <v>4000</v>
      </c>
      <c r="D9041" s="54" t="n">
        <f aca="false">D8990*Assumptions!$E$80</f>
        <v>6000</v>
      </c>
      <c r="E9041" s="54" t="n">
        <f aca="false">E8990*Assumptions!$E$80</f>
        <v>8000</v>
      </c>
      <c r="F9041" s="54" t="n">
        <f aca="false">F8990*Assumptions!$E$80</f>
        <v>10000</v>
      </c>
      <c r="G9041" s="54" t="n">
        <f aca="false">G8990*Assumptions!$E$80</f>
        <v>12000</v>
      </c>
      <c r="H9041" s="54" t="n">
        <f aca="false">H8990*Assumptions!$E$80</f>
        <v>14000</v>
      </c>
      <c r="I9041" s="54" t="n">
        <f aca="false">I8990*Assumptions!$E$80</f>
        <v>16000</v>
      </c>
      <c r="J9041" s="54" t="n">
        <f aca="false">J8990*Assumptions!$E$80</f>
        <v>18000</v>
      </c>
      <c r="K9041" s="54" t="n">
        <f aca="false">K8990*Assumptions!$E$80</f>
        <v>20000</v>
      </c>
      <c r="L9041" s="54" t="n">
        <f aca="false">L8990*Assumptions!$E$80</f>
        <v>20000</v>
      </c>
      <c r="M9041" s="54" t="n">
        <f aca="false">M8990*Assumptions!$E$80</f>
        <v>20000</v>
      </c>
      <c r="N9041" s="54" t="n">
        <f aca="false">N8990*Assumptions!$E$80</f>
        <v>20000</v>
      </c>
      <c r="P9041" s="55" t="n">
        <f aca="false">SUM(C9041:F9041)</f>
        <v>28000</v>
      </c>
      <c r="Q9041" s="55" t="n">
        <f aca="false">SUM(G9041:J9041)</f>
        <v>60000</v>
      </c>
      <c r="R9041" s="55" t="n">
        <f aca="false">SUM(K9041:N9041)</f>
        <v>80000</v>
      </c>
      <c r="S9041" s="56" t="n">
        <f aca="false">SUM(P9041:R9041)</f>
        <v>168000</v>
      </c>
    </row>
    <row r="9042" customFormat="false" ht="15" hidden="false" customHeight="false" outlineLevel="0" collapsed="false">
      <c r="A9042" s="4" t="s">
        <v>561</v>
      </c>
      <c r="B9042" s="36" t="s">
        <v>125</v>
      </c>
      <c r="C9042" s="54" t="n">
        <f aca="false">(C9013*$C$8962+C9014*$C$8963)*Assumptions!$E$81</f>
        <v>0</v>
      </c>
      <c r="D9042" s="54" t="n">
        <f aca="false">(D9013*$C$8962+D9014*$C$8963)*Assumptions!$E$81</f>
        <v>953.906952546845</v>
      </c>
      <c r="E9042" s="54" t="n">
        <f aca="false">(E9013*$C$8962+E9014*$C$8963)*Assumptions!$E$81</f>
        <v>2625.81083027689</v>
      </c>
      <c r="F9042" s="54" t="n">
        <f aca="false">(F9013*$C$8962+F9014*$C$8963)*Assumptions!$E$81</f>
        <v>3502.36215316192</v>
      </c>
      <c r="G9042" s="54" t="n">
        <f aca="false">(G9013*$C$8962+G9014*$C$8963)*Assumptions!$E$81</f>
        <v>3850.52965693146</v>
      </c>
      <c r="H9042" s="54" t="n">
        <f aca="false">(H9013*$C$8962+H9014*$C$8963)*Assumptions!$E$81</f>
        <v>4546.45386707913</v>
      </c>
      <c r="I9042" s="54" t="n">
        <f aca="false">(I9013*$C$8962+I9014*$C$8963)*Assumptions!$E$81</f>
        <v>5399.59432172128</v>
      </c>
      <c r="J9042" s="54" t="n">
        <f aca="false">(J9013*$C$8962+J9014*$C$8963)*Assumptions!$E$81</f>
        <v>6917.35454520765</v>
      </c>
      <c r="K9042" s="54" t="n">
        <f aca="false">(K9013*$C$8962+K9014*$C$8963)*Assumptions!$E$81</f>
        <v>8909.34683463097</v>
      </c>
      <c r="L9042" s="54" t="n">
        <f aca="false">(L9013*$C$8962+L9014*$C$8963)*Assumptions!$E$81</f>
        <v>9806.80778735526</v>
      </c>
      <c r="M9042" s="54" t="n">
        <f aca="false">(M9013*$C$8962+M9014*$C$8963)*Assumptions!$E$81</f>
        <v>9683.44515855574</v>
      </c>
      <c r="N9042" s="54" t="n">
        <f aca="false">(N9013*$C$8962+N9014*$C$8963)*Assumptions!$E$81</f>
        <v>9402.91977606898</v>
      </c>
      <c r="P9042" s="55" t="n">
        <f aca="false">SUM(C9042:F9042)</f>
        <v>7082.07993598566</v>
      </c>
      <c r="Q9042" s="55" t="n">
        <f aca="false">SUM(G9042:J9042)</f>
        <v>20713.9323909395</v>
      </c>
      <c r="R9042" s="55" t="n">
        <f aca="false">SUM(K9042:N9042)</f>
        <v>37802.5195566109</v>
      </c>
      <c r="S9042" s="56" t="n">
        <f aca="false">SUM(P9042:R9042)</f>
        <v>65598.5318835361</v>
      </c>
    </row>
    <row r="9043" customFormat="false" ht="15" hidden="false" customHeight="false" outlineLevel="0" collapsed="false">
      <c r="A9043" s="9" t="s">
        <v>562</v>
      </c>
      <c r="B9043" s="36" t="s">
        <v>125</v>
      </c>
      <c r="C9043" s="55" t="n">
        <f aca="false">C9035+C9036+C9037+C9038+C9039+C9040+C9041+C9042</f>
        <v>154229.464285714</v>
      </c>
      <c r="D9043" s="55" t="n">
        <f aca="false">D9035+D9036+D9037+D9038+D9039+D9040+D9041+D9042</f>
        <v>122673.96920135</v>
      </c>
      <c r="E9043" s="55" t="n">
        <f aca="false">E9035+E9036+E9037+E9038+E9039+E9040+E9041+E9042</f>
        <v>133662.296529515</v>
      </c>
      <c r="F9043" s="55" t="n">
        <f aca="false">F9035+F9036+F9037+F9038+F9039+F9040+F9041+F9042</f>
        <v>140606.909885517</v>
      </c>
      <c r="G9043" s="55" t="n">
        <f aca="false">G9035+G9036+G9037+G9038+G9039+G9040+G9041+G9042</f>
        <v>218478.171321733</v>
      </c>
      <c r="H9043" s="55" t="n">
        <f aca="false">H9035+H9036+H9037+H9038+H9039+H9040+H9041+H9042</f>
        <v>184785.710726088</v>
      </c>
      <c r="I9043" s="55" t="n">
        <f aca="false">I9035+I9036+I9037+I9038+I9039+I9040+I9041+I9042</f>
        <v>231844.476920413</v>
      </c>
      <c r="J9043" s="55" t="n">
        <f aca="false">J9035+J9036+J9037+J9038+J9039+J9040+J9041+J9042</f>
        <v>202727.505342809</v>
      </c>
      <c r="K9043" s="55" t="n">
        <f aca="false">K9035+K9036+K9037+K9038+K9039+K9040+K9041+K9042</f>
        <v>215760.304461516</v>
      </c>
      <c r="L9043" s="55" t="n">
        <f aca="false">L9035+L9036+L9037+L9038+L9039+L9040+L9041+L9042</f>
        <v>220636.354268039</v>
      </c>
      <c r="M9043" s="55" t="n">
        <f aca="false">M9035+M9036+M9037+M9038+M9039+M9040+M9041+M9042</f>
        <v>219940.113532339</v>
      </c>
      <c r="N9043" s="55" t="n">
        <f aca="false">N9035+N9036+N9037+N9038+N9039+N9040+N9041+N9042</f>
        <v>218525.02597138</v>
      </c>
      <c r="P9043" s="55" t="n">
        <f aca="false">SUM(C9043:F9043)</f>
        <v>551172.639902097</v>
      </c>
      <c r="Q9043" s="55" t="n">
        <f aca="false">SUM(G9043:J9043)</f>
        <v>837835.864311043</v>
      </c>
      <c r="R9043" s="55" t="n">
        <f aca="false">SUM(K9043:N9043)</f>
        <v>874861.798233275</v>
      </c>
      <c r="S9043" s="56" t="n">
        <f aca="false">SUM(P9043:R9043)</f>
        <v>2263870.30244641</v>
      </c>
    </row>
    <row r="9044" customFormat="false" ht="15" hidden="false" customHeight="false" outlineLevel="0" collapsed="false">
      <c r="A9044" s="4" t="s">
        <v>563</v>
      </c>
      <c r="B9044" s="36" t="s">
        <v>125</v>
      </c>
      <c r="C9044" s="54" t="n">
        <f aca="false">C9032*Assumptions!$E$72/Assumptions!$E$69/4</f>
        <v>56535.7142857143</v>
      </c>
      <c r="D9044" s="54" t="n">
        <f aca="false">D9032*Assumptions!$E$72/Assumptions!$E$69/4</f>
        <v>56535.7142857143</v>
      </c>
      <c r="E9044" s="54" t="n">
        <f aca="false">E9032*Assumptions!$E$72/Assumptions!$E$69/4</f>
        <v>56535.7142857143</v>
      </c>
      <c r="F9044" s="54" t="n">
        <f aca="false">F9032*Assumptions!$E$72/Assumptions!$E$69/4</f>
        <v>56535.7142857143</v>
      </c>
      <c r="G9044" s="54" t="n">
        <f aca="false">G9032*Assumptions!$E$72/Assumptions!$E$69/4</f>
        <v>28267.8571428571</v>
      </c>
      <c r="H9044" s="54" t="n">
        <f aca="false">H9032*Assumptions!$E$72/Assumptions!$E$69/4</f>
        <v>28267.8571428571</v>
      </c>
      <c r="I9044" s="54" t="n">
        <f aca="false">I9032*Assumptions!$E$72/Assumptions!$E$69/4</f>
        <v>28267.8571428571</v>
      </c>
      <c r="J9044" s="54" t="n">
        <f aca="false">J9032*Assumptions!$E$72/Assumptions!$E$69/4</f>
        <v>28267.8571428571</v>
      </c>
      <c r="K9044" s="54" t="n">
        <f aca="false">K9032*Assumptions!$E$72/Assumptions!$E$69/4</f>
        <v>28267.8571428571</v>
      </c>
      <c r="L9044" s="54" t="n">
        <f aca="false">L9032*Assumptions!$E$72/Assumptions!$E$69/4</f>
        <v>28267.8571428571</v>
      </c>
      <c r="M9044" s="54" t="n">
        <f aca="false">M9032*Assumptions!$E$72/Assumptions!$E$69/4</f>
        <v>28267.8571428571</v>
      </c>
      <c r="N9044" s="54" t="n">
        <f aca="false">N9032*Assumptions!$E$72/Assumptions!$E$69/4</f>
        <v>28267.8571428571</v>
      </c>
      <c r="P9044" s="55" t="n">
        <f aca="false">SUM(C9044:F9044)</f>
        <v>226142.857142857</v>
      </c>
      <c r="Q9044" s="55" t="n">
        <f aca="false">SUM(G9044:J9044)</f>
        <v>113071.428571429</v>
      </c>
      <c r="R9044" s="55" t="n">
        <f aca="false">SUM(K9044:N9044)</f>
        <v>113071.428571429</v>
      </c>
      <c r="S9044" s="56" t="n">
        <f aca="false">SUM(P9044:R9044)</f>
        <v>452285.714285714</v>
      </c>
    </row>
    <row r="9045" customFormat="false" ht="15" hidden="false" customHeight="false" outlineLevel="0" collapsed="false">
      <c r="A9045" s="4" t="s">
        <v>564</v>
      </c>
      <c r="B9045" s="36" t="s">
        <v>125</v>
      </c>
      <c r="C9045" s="54" t="n">
        <f aca="false">IF(C8970&lt;=Assumptions!$E$83,Assumptions!$E$82*Assumptions!$D$108/Assumptions!$E$83,0)</f>
        <v>62500</v>
      </c>
      <c r="D9045" s="54" t="n">
        <f aca="false">IF(D8970&lt;=Assumptions!$E$83,Assumptions!$E$82*Assumptions!$D$108/Assumptions!$E$83,0)</f>
        <v>62500</v>
      </c>
      <c r="E9045" s="54" t="n">
        <f aca="false">IF(E8970&lt;=Assumptions!$E$83,Assumptions!$E$82*Assumptions!$D$108/Assumptions!$E$83,0)</f>
        <v>62500</v>
      </c>
      <c r="F9045" s="54" t="n">
        <f aca="false">IF(F8970&lt;=Assumptions!$E$83,Assumptions!$E$82*Assumptions!$D$108/Assumptions!$E$83,0)</f>
        <v>62500</v>
      </c>
      <c r="G9045" s="54" t="n">
        <f aca="false">IF(G8970&lt;=Assumptions!$E$83,Assumptions!$E$82*Assumptions!$D$108/Assumptions!$E$83,0)</f>
        <v>0</v>
      </c>
      <c r="H9045" s="54" t="n">
        <f aca="false">IF(H8970&lt;=Assumptions!$E$83,Assumptions!$E$82*Assumptions!$D$108/Assumptions!$E$83,0)</f>
        <v>0</v>
      </c>
      <c r="I9045" s="54" t="n">
        <f aca="false">IF(I8970&lt;=Assumptions!$E$83,Assumptions!$E$82*Assumptions!$D$108/Assumptions!$E$83,0)</f>
        <v>0</v>
      </c>
      <c r="J9045" s="54" t="n">
        <f aca="false">IF(J8970&lt;=Assumptions!$E$83,Assumptions!$E$82*Assumptions!$D$108/Assumptions!$E$83,0)</f>
        <v>0</v>
      </c>
      <c r="K9045" s="54" t="n">
        <f aca="false">IF(K8970&lt;=Assumptions!$E$83,Assumptions!$E$82*Assumptions!$D$108/Assumptions!$E$83,0)</f>
        <v>0</v>
      </c>
      <c r="L9045" s="54" t="n">
        <f aca="false">IF(L8970&lt;=Assumptions!$E$83,Assumptions!$E$82*Assumptions!$D$108/Assumptions!$E$83,0)</f>
        <v>0</v>
      </c>
      <c r="M9045" s="54" t="n">
        <f aca="false">IF(M8970&lt;=Assumptions!$E$83,Assumptions!$E$82*Assumptions!$D$108/Assumptions!$E$83,0)</f>
        <v>0</v>
      </c>
      <c r="N9045" s="54" t="n">
        <f aca="false">IF(N8970&lt;=Assumptions!$E$83,Assumptions!$E$82*Assumptions!$D$108/Assumptions!$E$83,0)</f>
        <v>0</v>
      </c>
      <c r="P9045" s="55" t="n">
        <f aca="false">SUM(C9045:F9045)</f>
        <v>250000</v>
      </c>
      <c r="Q9045" s="55" t="n">
        <f aca="false">SUM(G9045:J9045)</f>
        <v>0</v>
      </c>
      <c r="R9045" s="55" t="n">
        <f aca="false">SUM(K9045:N9045)</f>
        <v>0</v>
      </c>
      <c r="S9045" s="56" t="n">
        <f aca="false">SUM(P9045:R9045)</f>
        <v>250000</v>
      </c>
    </row>
    <row r="9046" customFormat="false" ht="15" hidden="false" customHeight="false" outlineLevel="0" collapsed="false">
      <c r="A9046" s="4" t="s">
        <v>565</v>
      </c>
      <c r="B9046" s="36" t="s">
        <v>125</v>
      </c>
      <c r="C9046" s="54" t="n">
        <f aca="false">C9034*Assumptions!$E$73/Assumptions!$E$69/4</f>
        <v>0</v>
      </c>
      <c r="D9046" s="54" t="n">
        <f aca="false">D9034*Assumptions!$E$73/Assumptions!$E$69/4</f>
        <v>575.3130595573</v>
      </c>
      <c r="E9046" s="54" t="n">
        <f aca="false">E9034*Assumptions!$E$73/Assumptions!$E$69/4</f>
        <v>1617.32906717661</v>
      </c>
      <c r="F9046" s="54" t="n">
        <f aca="false">F9034*Assumptions!$E$73/Assumptions!$E$69/4</f>
        <v>2784.46806400723</v>
      </c>
      <c r="G9046" s="54" t="n">
        <f aca="false">G9034*Assumptions!$E$73/Assumptions!$E$69/4</f>
        <v>4037.30390559473</v>
      </c>
      <c r="H9046" s="54" t="n">
        <f aca="false">H9034*Assumptions!$E$73/Assumptions!$E$69/4</f>
        <v>5588.71900339185</v>
      </c>
      <c r="I9046" s="54" t="n">
        <f aca="false">I9034*Assumptions!$E$73/Assumptions!$E$69/4</f>
        <v>7423.89520049251</v>
      </c>
      <c r="J9046" s="54" t="n">
        <f aca="false">J9034*Assumptions!$E$73/Assumptions!$E$69/4</f>
        <v>9984.21295072483</v>
      </c>
      <c r="K9046" s="54" t="n">
        <f aca="false">K9034*Assumptions!$E$73/Assumptions!$E$69/4</f>
        <v>13228.7197241336</v>
      </c>
      <c r="L9046" s="54" t="n">
        <f aca="false">L9034*Assumptions!$E$73/Assumptions!$E$69/4</f>
        <v>16471.1613499398</v>
      </c>
      <c r="M9046" s="54" t="n">
        <f aca="false">M9034*Assumptions!$E$73/Assumptions!$E$69/4</f>
        <v>19532.3193424529</v>
      </c>
      <c r="N9046" s="54" t="n">
        <f aca="false">N9034*Assumptions!$E$73/Assumptions!$E$69/4</f>
        <v>22411.7337529877</v>
      </c>
      <c r="P9046" s="55" t="n">
        <f aca="false">SUM(C9046:F9046)</f>
        <v>4977.11019074114</v>
      </c>
      <c r="Q9046" s="55" t="n">
        <f aca="false">SUM(G9046:J9046)</f>
        <v>27034.1310602039</v>
      </c>
      <c r="R9046" s="55" t="n">
        <f aca="false">SUM(K9046:N9046)</f>
        <v>71643.934169514</v>
      </c>
      <c r="S9046" s="56" t="n">
        <f aca="false">SUM(P9046:R9046)</f>
        <v>103655.175420459</v>
      </c>
    </row>
    <row r="9047" customFormat="false" ht="15" hidden="false" customHeight="false" outlineLevel="0" collapsed="false">
      <c r="A9047" s="9" t="s">
        <v>566</v>
      </c>
      <c r="B9047" s="36" t="s">
        <v>125</v>
      </c>
      <c r="C9047" s="55" t="n">
        <f aca="false">C9043+C9044+C9045+C9046</f>
        <v>273265.178571429</v>
      </c>
      <c r="D9047" s="55" t="n">
        <f aca="false">D9043+D9044+D9045+D9046</f>
        <v>242284.996546622</v>
      </c>
      <c r="E9047" s="55" t="n">
        <f aca="false">E9043+E9044+E9045+E9046</f>
        <v>254315.339882406</v>
      </c>
      <c r="F9047" s="55" t="n">
        <f aca="false">F9043+F9044+F9045+F9046</f>
        <v>262427.092235239</v>
      </c>
      <c r="G9047" s="55" t="n">
        <f aca="false">G9043+G9044+G9045+G9046</f>
        <v>250783.332370185</v>
      </c>
      <c r="H9047" s="55" t="n">
        <f aca="false">H9043+H9044+H9045+H9046</f>
        <v>218642.286872337</v>
      </c>
      <c r="I9047" s="55" t="n">
        <f aca="false">I9043+I9044+I9045+I9046</f>
        <v>267536.229263762</v>
      </c>
      <c r="J9047" s="55" t="n">
        <f aca="false">J9043+J9044+J9045+J9046</f>
        <v>240979.575436391</v>
      </c>
      <c r="K9047" s="55" t="n">
        <f aca="false">K9043+K9044+K9045+K9046</f>
        <v>257256.881328507</v>
      </c>
      <c r="L9047" s="55" t="n">
        <f aca="false">L9043+L9044+L9045+L9046</f>
        <v>265375.372760836</v>
      </c>
      <c r="M9047" s="55" t="n">
        <f aca="false">M9043+M9044+M9045+M9046</f>
        <v>267740.290017649</v>
      </c>
      <c r="N9047" s="55" t="n">
        <f aca="false">N9043+N9044+N9045+N9046</f>
        <v>269204.616867225</v>
      </c>
      <c r="P9047" s="55" t="n">
        <f aca="false">SUM(C9047:F9047)</f>
        <v>1032292.6072357</v>
      </c>
      <c r="Q9047" s="55" t="n">
        <f aca="false">SUM(G9047:J9047)</f>
        <v>977941.423942676</v>
      </c>
      <c r="R9047" s="55" t="n">
        <f aca="false">SUM(K9047:N9047)</f>
        <v>1059577.16097422</v>
      </c>
      <c r="S9047" s="56" t="n">
        <f aca="false">SUM(P9047:R9047)</f>
        <v>3069811.19215259</v>
      </c>
    </row>
    <row r="9048" customFormat="false" ht="15" hidden="false" customHeight="false" outlineLevel="0" collapsed="false">
      <c r="A9048" s="35" t="s">
        <v>567</v>
      </c>
      <c r="B9048" s="35" t="s">
        <v>444</v>
      </c>
      <c r="C9048" s="6" t="s">
        <v>354</v>
      </c>
      <c r="D9048" s="6" t="s">
        <v>355</v>
      </c>
      <c r="E9048" s="6" t="s">
        <v>356</v>
      </c>
      <c r="F9048" s="6" t="s">
        <v>357</v>
      </c>
      <c r="G9048" s="6" t="s">
        <v>358</v>
      </c>
      <c r="H9048" s="6" t="s">
        <v>359</v>
      </c>
      <c r="I9048" s="6" t="s">
        <v>360</v>
      </c>
      <c r="J9048" s="6" t="s">
        <v>361</v>
      </c>
      <c r="K9048" s="6" t="s">
        <v>362</v>
      </c>
      <c r="L9048" s="6" t="s">
        <v>363</v>
      </c>
      <c r="M9048" s="6" t="s">
        <v>364</v>
      </c>
      <c r="N9048" s="6" t="s">
        <v>365</v>
      </c>
      <c r="P9048" s="6" t="s">
        <v>445</v>
      </c>
      <c r="Q9048" s="6" t="s">
        <v>446</v>
      </c>
      <c r="R9048" s="6" t="s">
        <v>447</v>
      </c>
      <c r="S9048" s="6" t="s">
        <v>448</v>
      </c>
    </row>
    <row r="9049" customFormat="false" ht="15" hidden="false" customHeight="false" outlineLevel="0" collapsed="false">
      <c r="A9049" s="9" t="s">
        <v>568</v>
      </c>
      <c r="B9049" s="36" t="s">
        <v>125</v>
      </c>
      <c r="C9049" s="55" t="n">
        <f aca="false">C9027-C9047</f>
        <v>-273265.178571429</v>
      </c>
      <c r="D9049" s="55" t="n">
        <f aca="false">D9027-D9047</f>
        <v>-241391.553150138</v>
      </c>
      <c r="E9049" s="55" t="n">
        <f aca="false">E9027-E9047</f>
        <v>-250452.788557942</v>
      </c>
      <c r="F9049" s="55" t="n">
        <f aca="false">F9027-F9047</f>
        <v>-253839.443531187</v>
      </c>
      <c r="G9049" s="55" t="n">
        <f aca="false">G9027-G9047</f>
        <v>-236592.047081506</v>
      </c>
      <c r="H9049" s="55" t="n">
        <f aca="false">H9027-H9047</f>
        <v>-197887.557361826</v>
      </c>
      <c r="I9049" s="55" t="n">
        <f aca="false">I9027-I9047</f>
        <v>-238828.442368323</v>
      </c>
      <c r="J9049" s="55" t="n">
        <f aca="false">J9027-J9047</f>
        <v>-202103.404117874</v>
      </c>
      <c r="K9049" s="55" t="n">
        <f aca="false">K9027-K9047</f>
        <v>-205031.005662457</v>
      </c>
      <c r="L9049" s="55" t="n">
        <f aca="false">L9027-L9047</f>
        <v>-197473.428668394</v>
      </c>
      <c r="M9049" s="55" t="n">
        <f aca="false">M9027-M9047</f>
        <v>-183529.0901375</v>
      </c>
      <c r="N9049" s="55" t="n">
        <f aca="false">N9027-N9047</f>
        <v>-168746.13646796</v>
      </c>
      <c r="P9049" s="55" t="n">
        <f aca="false">SUM(C9049:F9049)</f>
        <v>-1018948.96381069</v>
      </c>
      <c r="Q9049" s="55" t="n">
        <f aca="false">SUM(G9049:J9049)</f>
        <v>-875411.450929529</v>
      </c>
      <c r="R9049" s="55" t="n">
        <f aca="false">SUM(K9049:N9049)</f>
        <v>-754779.660936311</v>
      </c>
      <c r="S9049" s="56" t="n">
        <f aca="false">SUM(P9049:R9049)</f>
        <v>-2649140.07567653</v>
      </c>
    </row>
    <row r="9050" customFormat="false" ht="15" hidden="false" customHeight="false" outlineLevel="0" collapsed="false">
      <c r="A9050" s="9" t="s">
        <v>569</v>
      </c>
      <c r="B9050" s="36" t="s">
        <v>125</v>
      </c>
      <c r="C9050" s="55" t="n">
        <f aca="false">0+C9049</f>
        <v>-273265.178571429</v>
      </c>
      <c r="D9050" s="55" t="n">
        <f aca="false">C9050+D9049</f>
        <v>-514656.731721566</v>
      </c>
      <c r="E9050" s="55" t="n">
        <f aca="false">D9050+E9049</f>
        <v>-765109.520279508</v>
      </c>
      <c r="F9050" s="55" t="n">
        <f aca="false">E9050+F9049</f>
        <v>-1018948.96381069</v>
      </c>
      <c r="G9050" s="55" t="n">
        <f aca="false">F9050+G9049</f>
        <v>-1255541.0108922</v>
      </c>
      <c r="H9050" s="55" t="n">
        <f aca="false">G9050+H9049</f>
        <v>-1453428.56825403</v>
      </c>
      <c r="I9050" s="55" t="n">
        <f aca="false">H9050+I9049</f>
        <v>-1692257.01062235</v>
      </c>
      <c r="J9050" s="55" t="n">
        <f aca="false">I9050+J9049</f>
        <v>-1894360.41474022</v>
      </c>
      <c r="K9050" s="55" t="n">
        <f aca="false">J9050+K9049</f>
        <v>-2099391.42040268</v>
      </c>
      <c r="L9050" s="55" t="n">
        <f aca="false">K9050+L9049</f>
        <v>-2296864.84907107</v>
      </c>
      <c r="M9050" s="55" t="n">
        <f aca="false">L9050+M9049</f>
        <v>-2480393.93920857</v>
      </c>
      <c r="N9050" s="55" t="n">
        <f aca="false">M9050+N9049</f>
        <v>-2649140.07567653</v>
      </c>
      <c r="P9050" s="55" t="n">
        <f aca="false">F9050</f>
        <v>-1018948.96381069</v>
      </c>
      <c r="Q9050" s="55" t="n">
        <f aca="false">J9050</f>
        <v>-1894360.41474022</v>
      </c>
      <c r="R9050" s="55" t="n">
        <f aca="false">N9050</f>
        <v>-2649140.07567653</v>
      </c>
      <c r="S9050" s="56" t="n">
        <f aca="false">R9050</f>
        <v>-2649140.07567653</v>
      </c>
    </row>
    <row r="9051" customFormat="false" ht="15" hidden="false" customHeight="false" outlineLevel="0" collapsed="false">
      <c r="A9051" s="4" t="s">
        <v>570</v>
      </c>
      <c r="B9051" s="36" t="s">
        <v>107</v>
      </c>
      <c r="C9051" s="57" t="n">
        <f aca="false">1/(1+Assumptions!$E$87)^(C8970/4)</f>
        <v>0.972065420906982</v>
      </c>
      <c r="D9051" s="57" t="n">
        <f aca="false">1/(1+Assumptions!$E$87)^(D8970/4)</f>
        <v>0.944911182523068</v>
      </c>
      <c r="E9051" s="57" t="n">
        <f aca="false">1/(1+Assumptions!$E$87)^(E8970/4)</f>
        <v>0.918515486359</v>
      </c>
      <c r="F9051" s="57" t="n">
        <f aca="false">1/(1+Assumptions!$E$87)^(F8970/4)</f>
        <v>0.892857142857143</v>
      </c>
      <c r="G9051" s="57" t="n">
        <f aca="false">1/(1+Assumptions!$E$87)^(G8970/4)</f>
        <v>0.867915554381234</v>
      </c>
      <c r="H9051" s="57" t="n">
        <f aca="false">1/(1+Assumptions!$E$87)^(H8970/4)</f>
        <v>0.843670698681311</v>
      </c>
      <c r="I9051" s="57" t="n">
        <f aca="false">1/(1+Assumptions!$E$87)^(I8970/4)</f>
        <v>0.820103112820536</v>
      </c>
      <c r="J9051" s="57" t="n">
        <f aca="false">1/(1+Assumptions!$E$87)^(J8970/4)</f>
        <v>0.79719387755102</v>
      </c>
      <c r="K9051" s="57" t="n">
        <f aca="false">1/(1+Assumptions!$E$87)^(K8970/4)</f>
        <v>0.774924602126102</v>
      </c>
      <c r="L9051" s="57" t="n">
        <f aca="false">1/(1+Assumptions!$E$87)^(L8970/4)</f>
        <v>0.753277409536885</v>
      </c>
      <c r="M9051" s="57" t="n">
        <f aca="false">1/(1+Assumptions!$E$87)^(M8970/4)</f>
        <v>0.732234922161193</v>
      </c>
      <c r="N9051" s="57" t="n">
        <f aca="false">1/(1+Assumptions!$E$87)^(N8970/4)</f>
        <v>0.711780247813411</v>
      </c>
      <c r="P9051" s="58"/>
      <c r="Q9051" s="58"/>
      <c r="R9051" s="58"/>
      <c r="S9051" s="59"/>
    </row>
    <row r="9052" customFormat="false" ht="15" hidden="false" customHeight="false" outlineLevel="0" collapsed="false">
      <c r="A9052" s="4" t="s">
        <v>571</v>
      </c>
      <c r="B9052" s="36" t="s">
        <v>125</v>
      </c>
      <c r="C9052" s="54" t="n">
        <f aca="false">(C9027*(1-Assumptions!$E$88)-C9047)*C9051</f>
        <v>-265631.630827257</v>
      </c>
      <c r="D9052" s="54" t="n">
        <f aca="false">(D9027*(1-Assumptions!$E$88)-D9047)*D9051</f>
        <v>-228262.422869434</v>
      </c>
      <c r="E9052" s="54" t="n">
        <f aca="false">(E9027*(1-Assumptions!$E$88)-E9047)*E9051</f>
        <v>-230754.327533941</v>
      </c>
      <c r="F9052" s="54" t="n">
        <f aca="false">(F9027*(1-Assumptions!$E$88)-F9047)*F9051</f>
        <v>-228175.868992855</v>
      </c>
      <c r="G9052" s="54" t="n">
        <f aca="false">(G9027*(1-Assumptions!$E$88)-G9047)*G9051</f>
        <v>-207805.285152677</v>
      </c>
      <c r="H9052" s="54" t="n">
        <f aca="false">(H9027*(1-Assumptions!$E$88)-H9047)*H9051</f>
        <v>-170453.965209205</v>
      </c>
      <c r="I9052" s="54" t="n">
        <f aca="false">(I9027*(1-Assumptions!$E$88)-I9047)*I9051</f>
        <v>-200572.618095369</v>
      </c>
      <c r="J9052" s="54" t="n">
        <f aca="false">(J9027*(1-Assumptions!$E$88)-J9047)*J9051</f>
        <v>-167313.965546538</v>
      </c>
      <c r="K9052" s="54" t="n">
        <f aca="false">(K9027*(1-Assumptions!$E$88)-K9047)*K9051</f>
        <v>-166977.793670734</v>
      </c>
      <c r="L9052" s="54" t="n">
        <f aca="false">(L9027*(1-Assumptions!$E$88)-L9047)*L9051</f>
        <v>-158982.072909389</v>
      </c>
      <c r="M9052" s="54" t="n">
        <f aca="false">(M9027*(1-Assumptions!$E$88)-M9047)*M9051</f>
        <v>-146718.885309015</v>
      </c>
      <c r="N9052" s="54" t="n">
        <f aca="false">(N9027*(1-Assumptions!$E$88)-N9047)*N9051</f>
        <v>-134411.03924743</v>
      </c>
      <c r="P9052" s="55" t="n">
        <f aca="false">SUM(C9052:F9052)</f>
        <v>-952824.250223487</v>
      </c>
      <c r="Q9052" s="55" t="n">
        <f aca="false">SUM(G9052:J9052)</f>
        <v>-746145.834003789</v>
      </c>
      <c r="R9052" s="55" t="n">
        <f aca="false">SUM(K9052:N9052)</f>
        <v>-607089.791136568</v>
      </c>
      <c r="S9052" s="56" t="n">
        <f aca="false">SUM(P9052:R9052)</f>
        <v>-2306059.87536384</v>
      </c>
    </row>
    <row r="9053" customFormat="false" ht="15" hidden="false" customHeight="false" outlineLevel="0" collapsed="false">
      <c r="A9053" s="4" t="s">
        <v>572</v>
      </c>
      <c r="B9053" s="36" t="s">
        <v>125</v>
      </c>
      <c r="C9053" s="54" t="n">
        <f aca="false">(C9047-C9046)*12/(Assumptions!$E$89*Assumptions!$E$76)*Assumptions!$E$90</f>
        <v>189183.585164835</v>
      </c>
      <c r="D9053" s="54" t="n">
        <f aca="false">(D9047-D9046)*12/(Assumptions!$E$89*Assumptions!$E$76)*Assumptions!$E$90</f>
        <v>167337.473183352</v>
      </c>
      <c r="E9053" s="54" t="n">
        <f aca="false">(E9047-E9046)*12/(Assumptions!$E$89*Assumptions!$E$76)*Assumptions!$E$90</f>
        <v>174944.776718236</v>
      </c>
      <c r="F9053" s="54" t="n">
        <f aca="false">(F9047-F9046)*12/(Assumptions!$E$89*Assumptions!$E$76)*Assumptions!$E$90</f>
        <v>179752.585964699</v>
      </c>
      <c r="G9053" s="54" t="n">
        <f aca="false">(G9047-G9046)*12/(Assumptions!$E$89*Assumptions!$E$76)*Assumptions!$E$90</f>
        <v>170824.173552409</v>
      </c>
      <c r="H9053" s="54" t="n">
        <f aca="false">(H9047-H9046)*12/(Assumptions!$E$89*Assumptions!$E$76)*Assumptions!$E$90</f>
        <v>147498.62390927</v>
      </c>
      <c r="I9053" s="54" t="n">
        <f aca="false">(I9047-I9046)*12/(Assumptions!$E$89*Assumptions!$E$76)*Assumptions!$E$90</f>
        <v>180077.76973611</v>
      </c>
      <c r="J9053" s="54" t="n">
        <f aca="false">(J9047-J9046)*12/(Assumptions!$E$89*Assumptions!$E$76)*Assumptions!$E$90</f>
        <v>159919.86633623</v>
      </c>
      <c r="K9053" s="54" t="n">
        <f aca="false">(K9047-K9046)*12/(Assumptions!$E$89*Assumptions!$E$76)*Assumptions!$E$90</f>
        <v>168942.573418412</v>
      </c>
      <c r="L9053" s="54" t="n">
        <f aca="false">(L9047-L9046)*12/(Assumptions!$E$89*Assumptions!$E$76)*Assumptions!$E$90</f>
        <v>172318.300207544</v>
      </c>
      <c r="M9053" s="54" t="n">
        <f aca="false">(M9047-M9046)*12/(Assumptions!$E$89*Assumptions!$E$76)*Assumptions!$E$90</f>
        <v>171836.28739052</v>
      </c>
      <c r="N9053" s="54" t="n">
        <f aca="false">(N9047-N9046)*12/(Assumptions!$E$89*Assumptions!$E$76)*Assumptions!$E$90</f>
        <v>170856.61138678</v>
      </c>
      <c r="P9053" s="55" t="n">
        <f aca="false">SUM(C9053:F9053)</f>
        <v>711218.421031122</v>
      </c>
      <c r="Q9053" s="55" t="n">
        <f aca="false">SUM(G9053:J9053)</f>
        <v>658320.433534019</v>
      </c>
      <c r="R9053" s="55" t="n">
        <f aca="false">SUM(K9053:N9053)</f>
        <v>683953.772403256</v>
      </c>
      <c r="S9053" s="56" t="n">
        <f aca="false">SUM(P9053:R9053)</f>
        <v>2053492.6269684</v>
      </c>
    </row>
    <row r="9054" customFormat="false" ht="15" hidden="false" customHeight="false" outlineLevel="0" collapsed="false">
      <c r="A9054" s="4" t="s">
        <v>573</v>
      </c>
      <c r="B9054" s="36" t="s">
        <v>125</v>
      </c>
      <c r="C9054" s="54" t="n">
        <f aca="false">0*Assumptions!$E$92^(1/4)+C9053</f>
        <v>189183.585164835</v>
      </c>
      <c r="D9054" s="54" t="n">
        <f aca="false">C9054*Assumptions!$E$92^(1/4)+D9053</f>
        <v>356992.253990367</v>
      </c>
      <c r="E9054" s="54" t="n">
        <f aca="false">D9054*Assumptions!$E$92^(1/4)+E9053</f>
        <v>532826.183930989</v>
      </c>
      <c r="F9054" s="54" t="n">
        <f aca="false">E9054*Assumptions!$E$92^(1/4)+F9053</f>
        <v>713905.869050133</v>
      </c>
      <c r="G9054" s="54" t="n">
        <f aca="false">F9054*Assumptions!$E$92^(1/4)+G9053</f>
        <v>886508.153182958</v>
      </c>
      <c r="H9054" s="54" t="n">
        <f aca="false">G9054*Assumptions!$E$92^(1/4)+H9053</f>
        <v>1036214.78461134</v>
      </c>
      <c r="I9054" s="54" t="n">
        <f aca="false">H9054*Assumptions!$E$92^(1/4)+I9053</f>
        <v>1218873.43307667</v>
      </c>
      <c r="J9054" s="54" t="n">
        <f aca="false">I9054*Assumptions!$E$92^(1/4)+J9053</f>
        <v>1381829.12225944</v>
      </c>
      <c r="K9054" s="54" t="n">
        <f aca="false">J9054*Assumptions!$E$92^(1/4)+K9053</f>
        <v>1554213.38888859</v>
      </c>
      <c r="L9054" s="54" t="n">
        <f aca="false">K9054*Assumptions!$E$92^(1/4)+L9053</f>
        <v>1730402.73623388</v>
      </c>
      <c r="M9054" s="54" t="n">
        <f aca="false">L9054*Assumptions!$E$92^(1/4)+M9053</f>
        <v>1906548.90192498</v>
      </c>
      <c r="N9054" s="54" t="n">
        <f aca="false">M9054*Assumptions!$E$92^(1/4)+N9053</f>
        <v>2082154.11522353</v>
      </c>
      <c r="P9054" s="55" t="n">
        <f aca="false">F9054</f>
        <v>713905.869050133</v>
      </c>
      <c r="Q9054" s="55" t="n">
        <f aca="false">J9054</f>
        <v>1381829.12225944</v>
      </c>
      <c r="R9054" s="55" t="n">
        <f aca="false">N9054</f>
        <v>2082154.11522353</v>
      </c>
      <c r="S9054" s="56" t="n">
        <f aca="false">R9054</f>
        <v>2082154.11522353</v>
      </c>
    </row>
    <row r="9055" customFormat="false" ht="15" hidden="false" customHeight="false" outlineLevel="0" collapsed="false">
      <c r="A9055" s="4" t="s">
        <v>574</v>
      </c>
      <c r="B9055" s="36" t="s">
        <v>125</v>
      </c>
      <c r="C9055" s="54" t="n">
        <f aca="false">(0+C9054)/8*Assumptions!$E$76-(C9047-C9046)-C9054*Assumptions!$E$93/4</f>
        <v>-260258.807091346</v>
      </c>
      <c r="D9055" s="54" t="n">
        <f aca="false">(C9054+D9054)/8*Assumptions!$E$76-(D9047-D9046)-D9054*Assumptions!$E$93/4</f>
        <v>-201795.299730584</v>
      </c>
      <c r="E9055" s="54" t="n">
        <f aca="false">(D9054+E9054)/8*Assumptions!$E$76-(E9047-E9046)-E9054*Assumptions!$E$93/4</f>
        <v>-187060.590033257</v>
      </c>
      <c r="F9055" s="54" t="n">
        <f aca="false">(E9054+F9054)/8*Assumptions!$E$76-(F9047-F9046)-F9054*Assumptions!$E$93/4</f>
        <v>-167269.468229642</v>
      </c>
      <c r="G9055" s="54" t="n">
        <f aca="false">(F9054+G9054)/8*Assumptions!$E$76-(G9047-G9046)-G9054*Assumptions!$E$93/4</f>
        <v>-127793.741072939</v>
      </c>
      <c r="H9055" s="54" t="n">
        <f aca="false">(G9054+H9054)/8*Assumptions!$E$76-(H9047-H9046)-H9054*Assumptions!$E$93/4</f>
        <v>-69785.0139808007</v>
      </c>
      <c r="I9055" s="54" t="n">
        <f aca="false">(H9054+I9054)/8*Assumptions!$E$76-(I9047-I9046)-I9054*Assumptions!$E$93/4</f>
        <v>-92122.3342895773</v>
      </c>
      <c r="J9055" s="54" t="n">
        <f aca="false">(I9054+J9054)/8*Assumptions!$E$76-(J9047-J9046)-J9054*Assumptions!$E$93/4</f>
        <v>-36961.1438928497</v>
      </c>
      <c r="K9055" s="54" t="n">
        <f aca="false">(J9054+K9054)/8*Assumptions!$E$76-(K9047-K9046)-K9054*Assumptions!$E$93/4</f>
        <v>-24902.374934703</v>
      </c>
      <c r="L9055" s="54" t="n">
        <f aca="false">(K9054+L9054)/8*Assumptions!$E$76-(L9047-L9046)-L9054*Assumptions!$E$93/4</f>
        <v>-3659.18544761886</v>
      </c>
      <c r="M9055" s="54" t="n">
        <f aca="false">(L9054+M9054)/8*Assumptions!$E$76-(M9047-M9046)-M9054*Assumptions!$E$93/4</f>
        <v>23462.4886511499</v>
      </c>
      <c r="N9055" s="54" t="n">
        <f aca="false">(M9054+N9054)/8*Assumptions!$E$76-(N9047-N9046)-N9054*Assumptions!$E$93/4</f>
        <v>51262.3105887852</v>
      </c>
      <c r="P9055" s="55" t="n">
        <f aca="false">SUM(C9055:F9055)</f>
        <v>-816384.165084829</v>
      </c>
      <c r="Q9055" s="55" t="n">
        <f aca="false">SUM(G9055:J9055)</f>
        <v>-326662.233236167</v>
      </c>
      <c r="R9055" s="55" t="n">
        <f aca="false">SUM(K9055:N9055)</f>
        <v>46163.2388576133</v>
      </c>
      <c r="S9055" s="56" t="n">
        <f aca="false">SUM(P9055:R9055)</f>
        <v>-1096883.15946338</v>
      </c>
    </row>
    <row r="9056" customFormat="false" ht="15" hidden="false" customHeight="false" outlineLevel="0" collapsed="false">
      <c r="A9056" s="4" t="s">
        <v>575</v>
      </c>
      <c r="B9056" s="36" t="s">
        <v>125</v>
      </c>
      <c r="C9056" s="54" t="n">
        <f aca="false">C9055*C9051</f>
        <v>-252988.586859998</v>
      </c>
      <c r="D9056" s="54" t="n">
        <f aca="false">D9055*D9051</f>
        <v>-190678.635296023</v>
      </c>
      <c r="E9056" s="54" t="n">
        <f aca="false">E9055*E9051</f>
        <v>-171818.048832998</v>
      </c>
      <c r="F9056" s="54" t="n">
        <f aca="false">F9055*F9051</f>
        <v>-149347.739490752</v>
      </c>
      <c r="G9056" s="54" t="n">
        <f aca="false">G9055*G9051</f>
        <v>-110914.175629772</v>
      </c>
      <c r="H9056" s="54" t="n">
        <f aca="false">H9055*H9051</f>
        <v>-58875.5715026671</v>
      </c>
      <c r="I9056" s="54" t="n">
        <f aca="false">I9055*I9051</f>
        <v>-75549.8131111763</v>
      </c>
      <c r="J9056" s="54" t="n">
        <f aca="false">J9055*J9051</f>
        <v>-29465.1976186621</v>
      </c>
      <c r="K9056" s="54" t="n">
        <f aca="false">K9055*K9051</f>
        <v>-19297.4629882697</v>
      </c>
      <c r="L9056" s="54" t="n">
        <f aca="false">L9055*L9051</f>
        <v>-2756.3817349974</v>
      </c>
      <c r="M9056" s="54" t="n">
        <f aca="false">M9055*M9051</f>
        <v>17180.0535511826</v>
      </c>
      <c r="N9056" s="54" t="n">
        <f aca="false">N9055*N9051</f>
        <v>36487.5001343736</v>
      </c>
      <c r="P9056" s="55" t="n">
        <f aca="false">SUM(C9056:F9056)</f>
        <v>-764833.010479771</v>
      </c>
      <c r="Q9056" s="55" t="n">
        <f aca="false">SUM(G9056:J9056)</f>
        <v>-274804.757862277</v>
      </c>
      <c r="R9056" s="55" t="n">
        <f aca="false">SUM(K9056:N9056)</f>
        <v>31613.7089622891</v>
      </c>
      <c r="S9056" s="56" t="n">
        <f aca="false">SUM(P9056:R9056)</f>
        <v>-1008024.05937976</v>
      </c>
    </row>
    <row r="9057" customFormat="false" ht="15" hidden="false" customHeight="false" outlineLevel="0" collapsed="false">
      <c r="A9057" s="4" t="s">
        <v>576</v>
      </c>
      <c r="B9057" s="36"/>
      <c r="C9057" s="37" t="n">
        <f aca="false">IFERROR((S9012*$C$8961*Assumptions!$E$59+S9013*$C$8962*Assumptions!$E$60+S9014*$C$8963*Assumptions!$E$61)/(S9012*$C$8961+S9013*$C$8962+S9014*$C$8963),0.9)</f>
        <v>0.900030546477045</v>
      </c>
    </row>
    <row r="9058" customFormat="false" ht="15" hidden="false" customHeight="false" outlineLevel="0" collapsed="false">
      <c r="A9058" s="4" t="s">
        <v>577</v>
      </c>
      <c r="B9058" s="36"/>
      <c r="C9058" s="37" t="n">
        <f aca="false">IFERROR(N9046*4/N9024,0)</f>
        <v>0.134205167601311</v>
      </c>
    </row>
    <row r="9059" customFormat="false" ht="15" hidden="false" customHeight="false" outlineLevel="0" collapsed="false">
      <c r="A9059" s="4" t="s">
        <v>578</v>
      </c>
      <c r="B9059" s="36"/>
      <c r="C9059" s="60" t="n">
        <f aca="false">$C$9057/(1+Assumptions!$E$87)</f>
        <v>0.803598702211647</v>
      </c>
    </row>
    <row r="9060" customFormat="false" ht="15" hidden="false" customHeight="false" outlineLevel="0" collapsed="false">
      <c r="A9060" s="4" t="s">
        <v>579</v>
      </c>
      <c r="B9060" s="36"/>
      <c r="C9060" s="60" t="n">
        <f aca="false">Assumptions!$E$91/(1+Assumptions!$E$87)</f>
        <v>0.803571428571429</v>
      </c>
    </row>
    <row r="9061" customFormat="false" ht="15" hidden="false" customHeight="false" outlineLevel="0" collapsed="false">
      <c r="A9061" s="35" t="s">
        <v>580</v>
      </c>
      <c r="B9061" s="35" t="s">
        <v>444</v>
      </c>
      <c r="C9061" s="6" t="s">
        <v>354</v>
      </c>
      <c r="D9061" s="6" t="s">
        <v>355</v>
      </c>
      <c r="E9061" s="6" t="s">
        <v>356</v>
      </c>
      <c r="F9061" s="6" t="s">
        <v>357</v>
      </c>
      <c r="G9061" s="6" t="s">
        <v>358</v>
      </c>
      <c r="H9061" s="6" t="s">
        <v>359</v>
      </c>
      <c r="I9061" s="6" t="s">
        <v>360</v>
      </c>
      <c r="J9061" s="6" t="s">
        <v>361</v>
      </c>
      <c r="K9061" s="6" t="s">
        <v>362</v>
      </c>
      <c r="L9061" s="6" t="s">
        <v>363</v>
      </c>
      <c r="M9061" s="6" t="s">
        <v>364</v>
      </c>
      <c r="N9061" s="6" t="s">
        <v>365</v>
      </c>
      <c r="P9061" s="6" t="s">
        <v>445</v>
      </c>
      <c r="Q9061" s="6" t="s">
        <v>446</v>
      </c>
      <c r="R9061" s="6" t="s">
        <v>447</v>
      </c>
      <c r="S9061" s="6" t="s">
        <v>448</v>
      </c>
    </row>
    <row r="9062" customFormat="false" ht="15" hidden="false" customHeight="false" outlineLevel="0" collapsed="false">
      <c r="A9062" s="9" t="s">
        <v>581</v>
      </c>
      <c r="C9062" s="61" t="n">
        <f aca="false">N9024</f>
        <v>667984.226049093</v>
      </c>
      <c r="D9062" s="61"/>
    </row>
    <row r="9063" customFormat="false" ht="15" hidden="false" customHeight="false" outlineLevel="0" collapsed="false">
      <c r="A9063" s="9" t="s">
        <v>582</v>
      </c>
      <c r="C9063" s="62" t="n">
        <f aca="false">N9020</f>
        <v>49.5280990541991</v>
      </c>
      <c r="D9063" s="62"/>
    </row>
    <row r="9064" customFormat="false" ht="15" hidden="false" customHeight="false" outlineLevel="0" collapsed="false">
      <c r="A9064" s="9" t="s">
        <v>583</v>
      </c>
      <c r="C9064" s="63" t="n">
        <f aca="false">S9015</f>
        <v>54.7491194625937</v>
      </c>
      <c r="D9064" s="63"/>
    </row>
    <row r="9065" customFormat="false" ht="15" hidden="false" customHeight="false" outlineLevel="0" collapsed="false">
      <c r="A9065" s="9" t="s">
        <v>584</v>
      </c>
      <c r="C9065" s="61" t="n">
        <f aca="false">S9026</f>
        <v>647186.333040083</v>
      </c>
      <c r="D9065" s="61"/>
    </row>
    <row r="9066" customFormat="false" ht="15" hidden="false" customHeight="false" outlineLevel="0" collapsed="false">
      <c r="A9066" s="9" t="s">
        <v>22</v>
      </c>
      <c r="C9066" s="61" t="n">
        <f aca="false">IFERROR(S9025/S9015,0)</f>
        <v>11510.5645565567</v>
      </c>
      <c r="D9066" s="61"/>
    </row>
    <row r="9067" customFormat="false" ht="15" hidden="false" customHeight="false" outlineLevel="0" collapsed="false">
      <c r="A9067" s="9" t="s">
        <v>585</v>
      </c>
      <c r="C9067" s="61" t="n">
        <f aca="false">IFERROR(S9043/S9015,0)</f>
        <v>41349.8942936089</v>
      </c>
      <c r="D9067" s="61"/>
    </row>
    <row r="9068" customFormat="false" ht="23.85" hidden="false" customHeight="false" outlineLevel="0" collapsed="false">
      <c r="A9068" s="9" t="s">
        <v>586</v>
      </c>
      <c r="C9068" s="61" t="n">
        <f aca="false">IFERROR((S9037+S9039+S9040+S9041+S9042)/S9015,0)</f>
        <v>17792.1116333039</v>
      </c>
      <c r="D9068" s="61"/>
    </row>
    <row r="9069" customFormat="false" ht="15" hidden="false" customHeight="false" outlineLevel="0" collapsed="false">
      <c r="A9069" s="9" t="s">
        <v>587</v>
      </c>
      <c r="C9069" s="64" t="n">
        <f aca="false">IFERROR('Engine Runs'!$C$9067/('Engine Runs'!$C$9066*Assumptions!$E$76/12),0)</f>
        <v>66.3201757073827</v>
      </c>
      <c r="D9069" s="64"/>
    </row>
    <row r="9070" customFormat="false" ht="15" hidden="false" customHeight="false" outlineLevel="0" collapsed="false">
      <c r="A9070" s="9" t="s">
        <v>588</v>
      </c>
      <c r="C9070" s="64" t="n">
        <f aca="false">IFERROR((R9043/R9015)/((R9025/R9015)*Assumptions!$E$76/12),0)</f>
        <v>44.3091597961878</v>
      </c>
      <c r="D9070" s="64"/>
    </row>
    <row r="9071" customFormat="false" ht="15" hidden="false" customHeight="false" outlineLevel="0" collapsed="false">
      <c r="A9071" s="9" t="s">
        <v>589</v>
      </c>
      <c r="C9071" s="61" t="n">
        <f aca="false">S9047</f>
        <v>3069811.19215259</v>
      </c>
      <c r="D9071" s="61"/>
    </row>
    <row r="9072" customFormat="false" ht="15" hidden="false" customHeight="false" outlineLevel="0" collapsed="false">
      <c r="A9072" s="9" t="s">
        <v>590</v>
      </c>
      <c r="C9072" s="61" t="n">
        <f aca="false">N9050</f>
        <v>-2649140.07567653</v>
      </c>
      <c r="D9072" s="61"/>
    </row>
    <row r="9073" customFormat="false" ht="15" hidden="false" customHeight="false" outlineLevel="0" collapsed="false">
      <c r="A9073" s="9" t="s">
        <v>591</v>
      </c>
      <c r="C9073" s="61" t="n">
        <f aca="false">MIN($C$9050:$N$9050)</f>
        <v>-2649140.07567653</v>
      </c>
      <c r="D9073" s="61"/>
    </row>
    <row r="9074" customFormat="false" ht="15" hidden="false" customHeight="false" outlineLevel="0" collapsed="false">
      <c r="A9074" s="9" t="s">
        <v>592</v>
      </c>
      <c r="C9074" s="61" t="n">
        <f aca="false">N9024*(Assumptions!$E$76-$C$9058)*$C$9057*(1-$C$9057^Assumptions!$E$85)/(1-$C$9057)</f>
        <v>1269963.80626857</v>
      </c>
      <c r="D9074" s="61"/>
    </row>
    <row r="9075" customFormat="false" ht="15" hidden="false" customHeight="false" outlineLevel="0" collapsed="false">
      <c r="A9075" s="9" t="s">
        <v>593</v>
      </c>
      <c r="C9075" s="61" t="n">
        <f aca="false">N9024*(Assumptions!$E$76-$C$9058)*(1-Assumptions!$E$88)/(1+Assumptions!$E$87)^2.5*$C$9059*(1-$C$9059^Assumptions!$E$85)/(1-$C$9059)</f>
        <v>564843.832146061</v>
      </c>
      <c r="D9075" s="61"/>
    </row>
    <row r="9076" customFormat="false" ht="15" hidden="false" customHeight="false" outlineLevel="0" collapsed="false">
      <c r="A9076" s="9" t="s">
        <v>594</v>
      </c>
      <c r="C9076" s="61" t="n">
        <f aca="false">SUM($C$9052:$N$9052)+'Engine Runs'!$C$9075</f>
        <v>-1741216.04321778</v>
      </c>
      <c r="D9076" s="61"/>
    </row>
    <row r="9077" customFormat="false" ht="15" hidden="false" customHeight="false" outlineLevel="0" collapsed="false">
      <c r="A9077" s="9" t="s">
        <v>595</v>
      </c>
      <c r="C9077" s="61" t="n">
        <f aca="false">SUM($C$9056:$N$9056)+N9054*(Assumptions!$E$76-Assumptions!$E$93)/(1+Assumptions!$E$87)^2.5*$C$9060*(1-$C$9060^Assumptions!$E$85)/(1-$C$9060)</f>
        <v>1551866.67709101</v>
      </c>
      <c r="D9077" s="61"/>
    </row>
    <row r="9078" customFormat="false" ht="15" hidden="false" customHeight="false" outlineLevel="0" collapsed="false">
      <c r="A9078" s="9" t="s">
        <v>596</v>
      </c>
      <c r="C9078" s="61" t="n">
        <f aca="false">'Engine Runs'!$C$9076-'Engine Runs'!$C$9077</f>
        <v>-3293082.72030879</v>
      </c>
      <c r="D9078" s="61"/>
    </row>
    <row r="9079" customFormat="false" ht="15" hidden="false" customHeight="false" outlineLevel="0" collapsed="false">
      <c r="A9079" s="9" t="s">
        <v>597</v>
      </c>
      <c r="C9079" s="61" t="n">
        <f aca="false">S9011</f>
        <v>0</v>
      </c>
      <c r="D9079" s="61"/>
    </row>
    <row r="9080" customFormat="false" ht="15" hidden="false" customHeight="false" outlineLevel="0" collapsed="false">
      <c r="A9080" s="9" t="s">
        <v>598</v>
      </c>
      <c r="C9080" s="63" t="n">
        <f aca="false">P8995</f>
        <v>43.6188722246667</v>
      </c>
      <c r="D9080" s="63"/>
    </row>
    <row r="9081" customFormat="false" ht="15" hidden="false" customHeight="false" outlineLevel="0" collapsed="false">
      <c r="A9081" s="9" t="s">
        <v>599</v>
      </c>
      <c r="C9081" s="63" t="n">
        <f aca="false">P9015</f>
        <v>6.18260904948639</v>
      </c>
      <c r="D9081" s="63"/>
    </row>
    <row r="9082" customFormat="false" ht="15" hidden="false" customHeight="false" outlineLevel="0" collapsed="false">
      <c r="A9082" s="9" t="s">
        <v>600</v>
      </c>
      <c r="C9082" s="63" t="n">
        <f aca="false">P8991</f>
        <v>42</v>
      </c>
      <c r="D9082" s="63"/>
    </row>
    <row r="9083" customFormat="false" ht="15" hidden="false" customHeight="false" outlineLevel="0" collapsed="false">
      <c r="A9083" s="9" t="s">
        <v>601</v>
      </c>
      <c r="C9083" s="61" t="n">
        <f aca="false">IFERROR(P9025/P9015,0)</f>
        <v>11090.5376006265</v>
      </c>
      <c r="D9083" s="61"/>
    </row>
    <row r="9086" customFormat="false" ht="15" hidden="false" customHeight="true" outlineLevel="0" collapsed="false">
      <c r="A9086" s="78" t="s">
        <v>936</v>
      </c>
      <c r="B9086" s="78"/>
      <c r="C9086" s="78"/>
      <c r="D9086" s="78"/>
      <c r="E9086" s="78"/>
      <c r="F9086" s="78"/>
      <c r="G9086" s="78"/>
      <c r="H9086" s="78"/>
      <c r="I9086" s="78"/>
      <c r="J9086" s="78"/>
      <c r="K9086" s="78"/>
      <c r="L9086" s="78"/>
      <c r="M9086" s="78"/>
      <c r="N9086" s="78"/>
    </row>
    <row r="9087" customFormat="false" ht="15" hidden="false" customHeight="true" outlineLevel="0" collapsed="false">
      <c r="A9087" s="79" t="s">
        <v>937</v>
      </c>
      <c r="B9087" s="79"/>
      <c r="C9087" s="79"/>
      <c r="D9087" s="79"/>
      <c r="E9087" s="79"/>
      <c r="F9087" s="79"/>
      <c r="G9087" s="79"/>
      <c r="H9087" s="79"/>
      <c r="I9087" s="79"/>
      <c r="J9087" s="79"/>
      <c r="K9087" s="79"/>
      <c r="L9087" s="79"/>
      <c r="M9087" s="79"/>
      <c r="N9087" s="79"/>
    </row>
    <row r="9088" customFormat="false" ht="15" hidden="false" customHeight="false" outlineLevel="0" collapsed="false">
      <c r="A9088" s="35" t="s">
        <v>938</v>
      </c>
      <c r="B9088" s="35" t="s">
        <v>444</v>
      </c>
      <c r="C9088" s="6" t="s">
        <v>354</v>
      </c>
      <c r="D9088" s="6" t="s">
        <v>355</v>
      </c>
      <c r="E9088" s="6" t="s">
        <v>356</v>
      </c>
      <c r="F9088" s="6" t="s">
        <v>357</v>
      </c>
      <c r="G9088" s="6" t="s">
        <v>358</v>
      </c>
      <c r="H9088" s="6" t="s">
        <v>359</v>
      </c>
      <c r="I9088" s="6" t="s">
        <v>360</v>
      </c>
      <c r="J9088" s="6" t="s">
        <v>361</v>
      </c>
      <c r="K9088" s="6" t="s">
        <v>362</v>
      </c>
      <c r="L9088" s="6" t="s">
        <v>363</v>
      </c>
      <c r="M9088" s="6" t="s">
        <v>364</v>
      </c>
      <c r="N9088" s="6" t="s">
        <v>365</v>
      </c>
      <c r="P9088" s="6" t="s">
        <v>445</v>
      </c>
      <c r="Q9088" s="6" t="s">
        <v>446</v>
      </c>
      <c r="R9088" s="6" t="s">
        <v>447</v>
      </c>
      <c r="S9088" s="6" t="s">
        <v>448</v>
      </c>
    </row>
    <row r="9089" customFormat="false" ht="15" hidden="false" customHeight="false" outlineLevel="0" collapsed="false">
      <c r="A9089" s="4" t="s">
        <v>449</v>
      </c>
      <c r="B9089" s="36" t="s">
        <v>450</v>
      </c>
      <c r="C9089" s="34" t="n">
        <f aca="false">'Market Sizing'!$C$17*Assumptions!$E$10*Assumptions!$E$11*(1-Assumptions!$E$12)</f>
        <v>843.03944704</v>
      </c>
    </row>
    <row r="9090" customFormat="false" ht="15" hidden="false" customHeight="false" outlineLevel="0" collapsed="false">
      <c r="A9090" s="4" t="s">
        <v>451</v>
      </c>
      <c r="B9090" s="36" t="s">
        <v>450</v>
      </c>
      <c r="C9090" s="34" t="n">
        <f aca="false">'Market Sizing'!$D$17*Assumptions!$E$10*Assumptions!$E$11*(1-Assumptions!$E$12)</f>
        <v>211.19616</v>
      </c>
    </row>
    <row r="9091" customFormat="false" ht="15" hidden="false" customHeight="false" outlineLevel="0" collapsed="false">
      <c r="A9091" s="4" t="s">
        <v>452</v>
      </c>
      <c r="B9091" s="36" t="s">
        <v>450</v>
      </c>
      <c r="C9091" s="34" t="n">
        <f aca="false">'Market Sizing'!$E$17*Assumptions!$E$10*Assumptions!$E$11*(1-Assumptions!$E$12)</f>
        <v>49.53984</v>
      </c>
    </row>
    <row r="9092" customFormat="false" ht="15" hidden="false" customHeight="false" outlineLevel="0" collapsed="false">
      <c r="A9092" s="4" t="s">
        <v>453</v>
      </c>
      <c r="B9092" s="36"/>
      <c r="C9092" s="34" t="n">
        <f aca="false">$C$9089+$C$9090+$C$9091</f>
        <v>1103.77544704</v>
      </c>
    </row>
    <row r="9093" customFormat="false" ht="15" hidden="false" customHeight="false" outlineLevel="0" collapsed="false">
      <c r="A9093" s="4" t="s">
        <v>454</v>
      </c>
      <c r="B9093" s="36" t="s">
        <v>450</v>
      </c>
      <c r="C9093" s="34" t="n">
        <f aca="false">'Market Sizing'!$C$18*Assumptions!$E$10*Assumptions!$E$11*(1-Assumptions!$E$12)</f>
        <v>612.57706944</v>
      </c>
    </row>
    <row r="9094" customFormat="false" ht="15" hidden="false" customHeight="false" outlineLevel="0" collapsed="false">
      <c r="A9094" s="4" t="s">
        <v>455</v>
      </c>
      <c r="B9094" s="36" t="s">
        <v>450</v>
      </c>
      <c r="C9094" s="34" t="n">
        <f aca="false">'Market Sizing'!$D$18*Assumptions!$E$10*Assumptions!$E$11*(1-Assumptions!$E$12)</f>
        <v>142.10112</v>
      </c>
    </row>
    <row r="9095" customFormat="false" ht="15" hidden="false" customHeight="false" outlineLevel="0" collapsed="false">
      <c r="A9095" s="4" t="s">
        <v>456</v>
      </c>
      <c r="B9095" s="36" t="s">
        <v>450</v>
      </c>
      <c r="C9095" s="34" t="n">
        <f aca="false">'Market Sizing'!$E$18*Assumptions!$E$10*Assumptions!$E$11*(1-Assumptions!$E$12)</f>
        <v>24.76992</v>
      </c>
    </row>
    <row r="9096" customFormat="false" ht="15" hidden="false" customHeight="false" outlineLevel="0" collapsed="false">
      <c r="A9096" s="4" t="s">
        <v>457</v>
      </c>
      <c r="B9096" s="36"/>
      <c r="C9096" s="34" t="n">
        <f aca="false">$C$9093+$C$9094+$C$9095</f>
        <v>779.44810944</v>
      </c>
    </row>
    <row r="9097" customFormat="false" ht="15" hidden="false" customHeight="false" outlineLevel="0" collapsed="false">
      <c r="A9097" s="4" t="s">
        <v>458</v>
      </c>
      <c r="B9097" s="36" t="s">
        <v>450</v>
      </c>
      <c r="C9097" s="34" t="n">
        <f aca="false">'Market Sizing'!$C$19*Assumptions!$E$10*Assumptions!$E$11*(1-Assumptions!$E$12)</f>
        <v>2060.77303936</v>
      </c>
    </row>
    <row r="9098" customFormat="false" ht="15" hidden="false" customHeight="false" outlineLevel="0" collapsed="false">
      <c r="A9098" s="4" t="s">
        <v>459</v>
      </c>
      <c r="B9098" s="36" t="s">
        <v>450</v>
      </c>
      <c r="C9098" s="34" t="n">
        <f aca="false">'Market Sizing'!$D$19*Assumptions!$E$10*Assumptions!$E$11*(1-Assumptions!$E$12)</f>
        <v>428.47616</v>
      </c>
    </row>
    <row r="9099" customFormat="false" ht="15" hidden="false" customHeight="false" outlineLevel="0" collapsed="false">
      <c r="A9099" s="4" t="s">
        <v>460</v>
      </c>
      <c r="B9099" s="36" t="s">
        <v>450</v>
      </c>
      <c r="C9099" s="34" t="n">
        <f aca="false">'Market Sizing'!$E$19*Assumptions!$E$10*Assumptions!$E$11*(1-Assumptions!$E$12)</f>
        <v>79.52448</v>
      </c>
    </row>
    <row r="9100" customFormat="false" ht="15" hidden="false" customHeight="false" outlineLevel="0" collapsed="false">
      <c r="A9100" s="4" t="s">
        <v>461</v>
      </c>
      <c r="B9100" s="36"/>
      <c r="C9100" s="34" t="n">
        <f aca="false">$C$9097+$C$9098+$C$9099</f>
        <v>2568.77367936</v>
      </c>
    </row>
    <row r="9101" customFormat="false" ht="15" hidden="false" customHeight="false" outlineLevel="0" collapsed="false">
      <c r="A9101" s="4" t="s">
        <v>462</v>
      </c>
      <c r="B9101" s="36" t="s">
        <v>463</v>
      </c>
      <c r="C9101" s="33" t="n">
        <f aca="false">MAX((Assumptions!$E$51+Assumptions!$E$53)*12,(((('Market Sizing'!$E$25*Assumptions!$E$41*Assumptions!$E$42*2.5)*Assumptions!$E$44)*Assumptions!$E$45*Assumptions!$E$46+('Market Sizing'!$E$25*Assumptions!$E$41*Assumptions!$E$42*2.5)*Assumptions!$E$47+('Market Sizing'!$E$25*Assumptions!$E$41*Assumptions!$E$42*2.5)*Assumptions!$E$48*Assumptions!$E$49)*(Assumptions!$E$51*12/Assumptions!$E$52)+((('Market Sizing'!$E$25*Assumptions!$E$41*Assumptions!$E$42*2.5)*Assumptions!$E$44)*Assumptions!$E$45+('Market Sizing'!$E$25*Assumptions!$E$41*Assumptions!$E$42*2.5)+('Market Sizing'!$E$25*Assumptions!$E$41*Assumptions!$E$42*2.5)*Assumptions!$E$48)*Assumptions!$E$50*(Assumptions!$E$53*12/Assumptions!$E$54)))</f>
        <v>5352</v>
      </c>
    </row>
    <row r="9102" customFormat="false" ht="15" hidden="false" customHeight="false" outlineLevel="0" collapsed="false">
      <c r="A9102" s="4" t="s">
        <v>464</v>
      </c>
      <c r="B9102" s="36" t="s">
        <v>463</v>
      </c>
      <c r="C9102" s="33" t="n">
        <f aca="false">MAX((Assumptions!$E$51+Assumptions!$E$53)*12,(((('Market Sizing'!$E$26*Assumptions!$E$41*Assumptions!$E$42*2.5)*Assumptions!$E$44)*Assumptions!$E$45*Assumptions!$E$46+('Market Sizing'!$E$26*Assumptions!$E$41*Assumptions!$E$42*2.5)*Assumptions!$E$47+('Market Sizing'!$E$26*Assumptions!$E$41*Assumptions!$E$42*2.5)*Assumptions!$E$48*Assumptions!$E$49)*(Assumptions!$E$51*12/Assumptions!$E$52)+((('Market Sizing'!$E$26*Assumptions!$E$41*Assumptions!$E$42*2.5)*Assumptions!$E$44)*Assumptions!$E$45+('Market Sizing'!$E$26*Assumptions!$E$41*Assumptions!$E$42*2.5)+('Market Sizing'!$E$26*Assumptions!$E$41*Assumptions!$E$42*2.5)*Assumptions!$E$48)*Assumptions!$E$50*(Assumptions!$E$53*12/Assumptions!$E$54)))</f>
        <v>24416.8003218802</v>
      </c>
    </row>
    <row r="9103" customFormat="false" ht="15" hidden="false" customHeight="false" outlineLevel="0" collapsed="false">
      <c r="A9103" s="4" t="s">
        <v>465</v>
      </c>
      <c r="B9103" s="36" t="s">
        <v>463</v>
      </c>
      <c r="C9103" s="33" t="n">
        <f aca="false">MAX(Assumptions!$E$55*(Assumptions!$E$51*12/Assumptions!$E$52)+Assumptions!$E$56*(Assumptions!$E$53*12/Assumptions!$E$54),(((('Market Sizing'!$E$27*Assumptions!$E$41*Assumptions!$E$42*2.5)*Assumptions!$E$44)*Assumptions!$E$45*Assumptions!$E$46+('Market Sizing'!$E$27*Assumptions!$E$41*Assumptions!$E$42*2.5)*Assumptions!$E$47+('Market Sizing'!$E$27*Assumptions!$E$41*Assumptions!$E$42*2.5)*Assumptions!$E$48*Assumptions!$E$49)*(Assumptions!$E$51*12/Assumptions!$E$52)+((('Market Sizing'!$E$27*Assumptions!$E$41*Assumptions!$E$42*2.5)*Assumptions!$E$44)*Assumptions!$E$45+('Market Sizing'!$E$27*Assumptions!$E$41*Assumptions!$E$42*2.5)+('Market Sizing'!$E$27*Assumptions!$E$41*Assumptions!$E$42*2.5)*Assumptions!$E$48)*Assumptions!$E$50*(Assumptions!$E$53*12/Assumptions!$E$54)))*(1-Assumptions!$E$57)</f>
        <v>154445.640548596</v>
      </c>
    </row>
    <row r="9104" customFormat="false" ht="23.85" hidden="false" customHeight="false" outlineLevel="0" collapsed="false">
      <c r="A9104" s="4" t="s">
        <v>466</v>
      </c>
      <c r="B9104" s="36" t="s">
        <v>467</v>
      </c>
      <c r="C9104" s="37" t="n">
        <f aca="false">Assumptions!$E$17*Assumptions!$D$106</f>
        <v>0.4</v>
      </c>
    </row>
    <row r="9105" customFormat="false" ht="23.85" hidden="false" customHeight="false" outlineLevel="0" collapsed="false">
      <c r="A9105" s="4" t="s">
        <v>468</v>
      </c>
      <c r="B9105" s="36" t="s">
        <v>469</v>
      </c>
      <c r="C9105" s="33" t="n">
        <f aca="false">Assumptions!$E$68/Assumptions!$E$69</f>
        <v>285714.285714286</v>
      </c>
    </row>
    <row r="9106" customFormat="false" ht="23.85" hidden="false" customHeight="false" outlineLevel="0" collapsed="false">
      <c r="A9106" s="4" t="s">
        <v>470</v>
      </c>
      <c r="B9106" s="36" t="s">
        <v>471</v>
      </c>
      <c r="C9106" s="33" t="n">
        <f aca="false">Assumptions!$E$66*Assumptions!$E$67/4</f>
        <v>153125</v>
      </c>
    </row>
    <row r="9107" customFormat="false" ht="15" hidden="false" customHeight="false" outlineLevel="0" collapsed="false">
      <c r="A9107" s="4" t="s">
        <v>472</v>
      </c>
      <c r="B9107" s="36"/>
      <c r="C9107" s="38" t="n">
        <f aca="false">$C$9105/Assumptions!$E$66/Assumptions!$E$67</f>
        <v>0.466472303206997</v>
      </c>
    </row>
    <row r="9108" customFormat="false" ht="15" hidden="false" customHeight="false" outlineLevel="0" collapsed="false">
      <c r="A9108" s="4" t="s">
        <v>473</v>
      </c>
      <c r="B9108" s="36"/>
      <c r="C9108" s="33" t="n">
        <f aca="false">MAX(0,Assumptions!$D$103-Assumptions!$E$78)</f>
        <v>0</v>
      </c>
    </row>
    <row r="9109" customFormat="false" ht="15" hidden="false" customHeight="false" outlineLevel="0" collapsed="false">
      <c r="A9109" s="35" t="s">
        <v>474</v>
      </c>
      <c r="B9109" s="35" t="s">
        <v>444</v>
      </c>
      <c r="C9109" s="6" t="s">
        <v>354</v>
      </c>
      <c r="D9109" s="6" t="s">
        <v>355</v>
      </c>
      <c r="E9109" s="6" t="s">
        <v>356</v>
      </c>
      <c r="F9109" s="6" t="s">
        <v>357</v>
      </c>
      <c r="G9109" s="6" t="s">
        <v>358</v>
      </c>
      <c r="H9109" s="6" t="s">
        <v>359</v>
      </c>
      <c r="I9109" s="6" t="s">
        <v>360</v>
      </c>
      <c r="J9109" s="6" t="s">
        <v>361</v>
      </c>
      <c r="K9109" s="6" t="s">
        <v>362</v>
      </c>
      <c r="L9109" s="6" t="s">
        <v>363</v>
      </c>
      <c r="M9109" s="6" t="s">
        <v>364</v>
      </c>
      <c r="N9109" s="6" t="s">
        <v>365</v>
      </c>
      <c r="P9109" s="6" t="s">
        <v>445</v>
      </c>
      <c r="Q9109" s="6" t="s">
        <v>446</v>
      </c>
      <c r="R9109" s="6" t="s">
        <v>447</v>
      </c>
      <c r="S9109" s="6" t="s">
        <v>448</v>
      </c>
    </row>
    <row r="9110" customFormat="false" ht="15" hidden="false" customHeight="false" outlineLevel="0" collapsed="false">
      <c r="A9110" s="4" t="s">
        <v>475</v>
      </c>
      <c r="B9110" s="36" t="s">
        <v>133</v>
      </c>
      <c r="C9110" s="39" t="n">
        <v>1</v>
      </c>
      <c r="D9110" s="39" t="n">
        <v>2</v>
      </c>
      <c r="E9110" s="39" t="n">
        <v>3</v>
      </c>
      <c r="F9110" s="39" t="n">
        <v>4</v>
      </c>
      <c r="G9110" s="39" t="n">
        <v>5</v>
      </c>
      <c r="H9110" s="39" t="n">
        <v>6</v>
      </c>
      <c r="I9110" s="39" t="n">
        <v>7</v>
      </c>
      <c r="J9110" s="39" t="n">
        <v>8</v>
      </c>
      <c r="K9110" s="39" t="n">
        <v>9</v>
      </c>
      <c r="L9110" s="39" t="n">
        <v>10</v>
      </c>
      <c r="M9110" s="39" t="n">
        <v>11</v>
      </c>
      <c r="N9110" s="39" t="n">
        <v>12</v>
      </c>
      <c r="P9110" s="40"/>
      <c r="Q9110" s="40"/>
      <c r="R9110" s="40"/>
      <c r="S9110" s="41"/>
    </row>
    <row r="9111" customFormat="false" ht="15" hidden="false" customHeight="false" outlineLevel="0" collapsed="false">
      <c r="A9111" s="4" t="s">
        <v>476</v>
      </c>
      <c r="B9111" s="36" t="s">
        <v>343</v>
      </c>
      <c r="C9111" s="39" t="n">
        <f aca="false">IF(C9110&lt;=Assumptions!$E$84,1,0)</f>
        <v>1</v>
      </c>
      <c r="D9111" s="39" t="n">
        <f aca="false">IF(D9110&lt;=Assumptions!$E$84,1,0)</f>
        <v>1</v>
      </c>
      <c r="E9111" s="39" t="n">
        <f aca="false">IF(E9110&lt;=Assumptions!$E$84,1,0)</f>
        <v>1</v>
      </c>
      <c r="F9111" s="39" t="n">
        <f aca="false">IF(F9110&lt;=Assumptions!$E$84,1,0)</f>
        <v>1</v>
      </c>
      <c r="G9111" s="39" t="n">
        <f aca="false">IF(G9110&lt;=Assumptions!$E$84,1,0)</f>
        <v>1</v>
      </c>
      <c r="H9111" s="39" t="n">
        <f aca="false">IF(H9110&lt;=Assumptions!$E$84,1,0)</f>
        <v>1</v>
      </c>
      <c r="I9111" s="39" t="n">
        <f aca="false">IF(I9110&lt;=Assumptions!$E$84,1,0)</f>
        <v>1</v>
      </c>
      <c r="J9111" s="39" t="n">
        <f aca="false">IF(J9110&lt;=Assumptions!$E$84,1,0)</f>
        <v>1</v>
      </c>
      <c r="K9111" s="39" t="n">
        <f aca="false">IF(K9110&lt;=Assumptions!$E$84,1,0)</f>
        <v>1</v>
      </c>
      <c r="L9111" s="39" t="n">
        <f aca="false">IF(L9110&lt;=Assumptions!$E$84,1,0)</f>
        <v>1</v>
      </c>
      <c r="M9111" s="39" t="n">
        <f aca="false">IF(M9110&lt;=Assumptions!$E$84,1,0)</f>
        <v>1</v>
      </c>
      <c r="N9111" s="39" t="n">
        <f aca="false">IF(N9110&lt;=Assumptions!$E$84,1,0)</f>
        <v>1</v>
      </c>
      <c r="P9111" s="40"/>
      <c r="Q9111" s="40"/>
      <c r="R9111" s="40"/>
      <c r="S9111" s="41"/>
    </row>
    <row r="9112" customFormat="false" ht="15" hidden="false" customHeight="false" outlineLevel="0" collapsed="false">
      <c r="A9112" s="4" t="s">
        <v>477</v>
      </c>
      <c r="B9112" s="36" t="s">
        <v>478</v>
      </c>
      <c r="C9112" s="42" t="n">
        <f aca="false">IF(C9110=Assumptions!$E$13,0.5,IF(C9110&gt;Assumptions!$E$13,1,0))</f>
        <v>0.5</v>
      </c>
      <c r="D9112" s="42" t="n">
        <f aca="false">IF(D9110=Assumptions!$E$13,0.5,IF(D9110&gt;Assumptions!$E$13,1,0))</f>
        <v>1</v>
      </c>
      <c r="E9112" s="42" t="n">
        <f aca="false">IF(E9110=Assumptions!$E$13,0.5,IF(E9110&gt;Assumptions!$E$13,1,0))</f>
        <v>1</v>
      </c>
      <c r="F9112" s="42" t="n">
        <f aca="false">IF(F9110=Assumptions!$E$13,0.5,IF(F9110&gt;Assumptions!$E$13,1,0))</f>
        <v>1</v>
      </c>
      <c r="G9112" s="42" t="n">
        <f aca="false">IF(G9110=Assumptions!$E$13,0.5,IF(G9110&gt;Assumptions!$E$13,1,0))</f>
        <v>1</v>
      </c>
      <c r="H9112" s="42" t="n">
        <f aca="false">IF(H9110=Assumptions!$E$13,0.5,IF(H9110&gt;Assumptions!$E$13,1,0))</f>
        <v>1</v>
      </c>
      <c r="I9112" s="42" t="n">
        <f aca="false">IF(I9110=Assumptions!$E$13,0.5,IF(I9110&gt;Assumptions!$E$13,1,0))</f>
        <v>1</v>
      </c>
      <c r="J9112" s="42" t="n">
        <f aca="false">IF(J9110=Assumptions!$E$13,0.5,IF(J9110&gt;Assumptions!$E$13,1,0))</f>
        <v>1</v>
      </c>
      <c r="K9112" s="42" t="n">
        <f aca="false">IF(K9110=Assumptions!$E$13,0.5,IF(K9110&gt;Assumptions!$E$13,1,0))</f>
        <v>1</v>
      </c>
      <c r="L9112" s="42" t="n">
        <f aca="false">IF(L9110=Assumptions!$E$13,0.5,IF(L9110&gt;Assumptions!$E$13,1,0))</f>
        <v>1</v>
      </c>
      <c r="M9112" s="42" t="n">
        <f aca="false">IF(M9110=Assumptions!$E$13,0.5,IF(M9110&gt;Assumptions!$E$13,1,0))</f>
        <v>1</v>
      </c>
      <c r="N9112" s="42" t="n">
        <f aca="false">IF(N9110=Assumptions!$E$13,0.5,IF(N9110&gt;Assumptions!$E$13,1,0))</f>
        <v>1</v>
      </c>
      <c r="P9112" s="43"/>
      <c r="Q9112" s="43"/>
      <c r="R9112" s="43"/>
      <c r="S9112" s="44"/>
    </row>
    <row r="9113" customFormat="false" ht="15" hidden="false" customHeight="false" outlineLevel="0" collapsed="false">
      <c r="A9113" s="4" t="s">
        <v>479</v>
      </c>
      <c r="B9113" s="36" t="s">
        <v>478</v>
      </c>
      <c r="C9113" s="42" t="n">
        <f aca="false">IF(C9110=Assumptions!$E$14,0.5,IF(C9110&gt;Assumptions!$E$14,1,0))</f>
        <v>0</v>
      </c>
      <c r="D9113" s="42" t="n">
        <f aca="false">IF(D9110=Assumptions!$E$14,0.5,IF(D9110&gt;Assumptions!$E$14,1,0))</f>
        <v>0</v>
      </c>
      <c r="E9113" s="42" t="n">
        <f aca="false">IF(E9110=Assumptions!$E$14,0.5,IF(E9110&gt;Assumptions!$E$14,1,0))</f>
        <v>0</v>
      </c>
      <c r="F9113" s="42" t="n">
        <f aca="false">IF(F9110=Assumptions!$E$14,0.5,IF(F9110&gt;Assumptions!$E$14,1,0))</f>
        <v>0</v>
      </c>
      <c r="G9113" s="42" t="n">
        <f aca="false">IF(G9110=Assumptions!$E$14,0.5,IF(G9110&gt;Assumptions!$E$14,1,0))</f>
        <v>0.5</v>
      </c>
      <c r="H9113" s="42" t="n">
        <f aca="false">IF(H9110=Assumptions!$E$14,0.5,IF(H9110&gt;Assumptions!$E$14,1,0))</f>
        <v>1</v>
      </c>
      <c r="I9113" s="42" t="n">
        <f aca="false">IF(I9110=Assumptions!$E$14,0.5,IF(I9110&gt;Assumptions!$E$14,1,0))</f>
        <v>1</v>
      </c>
      <c r="J9113" s="42" t="n">
        <f aca="false">IF(J9110=Assumptions!$E$14,0.5,IF(J9110&gt;Assumptions!$E$14,1,0))</f>
        <v>1</v>
      </c>
      <c r="K9113" s="42" t="n">
        <f aca="false">IF(K9110=Assumptions!$E$14,0.5,IF(K9110&gt;Assumptions!$E$14,1,0))</f>
        <v>1</v>
      </c>
      <c r="L9113" s="42" t="n">
        <f aca="false">IF(L9110=Assumptions!$E$14,0.5,IF(L9110&gt;Assumptions!$E$14,1,0))</f>
        <v>1</v>
      </c>
      <c r="M9113" s="42" t="n">
        <f aca="false">IF(M9110=Assumptions!$E$14,0.5,IF(M9110&gt;Assumptions!$E$14,1,0))</f>
        <v>1</v>
      </c>
      <c r="N9113" s="42" t="n">
        <f aca="false">IF(N9110=Assumptions!$E$14,0.5,IF(N9110&gt;Assumptions!$E$14,1,0))</f>
        <v>1</v>
      </c>
      <c r="P9113" s="43"/>
      <c r="Q9113" s="43"/>
      <c r="R9113" s="43"/>
      <c r="S9113" s="44"/>
    </row>
    <row r="9114" customFormat="false" ht="15" hidden="false" customHeight="false" outlineLevel="0" collapsed="false">
      <c r="A9114" s="4" t="s">
        <v>480</v>
      </c>
      <c r="B9114" s="36" t="s">
        <v>478</v>
      </c>
      <c r="C9114" s="42" t="n">
        <f aca="false">IF(C9110=Assumptions!$E$15,0.5,IF(C9110&gt;Assumptions!$E$15,1,0))</f>
        <v>0</v>
      </c>
      <c r="D9114" s="42" t="n">
        <f aca="false">IF(D9110=Assumptions!$E$15,0.5,IF(D9110&gt;Assumptions!$E$15,1,0))</f>
        <v>0</v>
      </c>
      <c r="E9114" s="42" t="n">
        <f aca="false">IF(E9110=Assumptions!$E$15,0.5,IF(E9110&gt;Assumptions!$E$15,1,0))</f>
        <v>0</v>
      </c>
      <c r="F9114" s="42" t="n">
        <f aca="false">IF(F9110=Assumptions!$E$15,0.5,IF(F9110&gt;Assumptions!$E$15,1,0))</f>
        <v>0</v>
      </c>
      <c r="G9114" s="42" t="n">
        <f aca="false">IF(G9110=Assumptions!$E$15,0.5,IF(G9110&gt;Assumptions!$E$15,1,0))</f>
        <v>0</v>
      </c>
      <c r="H9114" s="42" t="n">
        <f aca="false">IF(H9110=Assumptions!$E$15,0.5,IF(H9110&gt;Assumptions!$E$15,1,0))</f>
        <v>0</v>
      </c>
      <c r="I9114" s="42" t="n">
        <f aca="false">IF(I9110=Assumptions!$E$15,0.5,IF(I9110&gt;Assumptions!$E$15,1,0))</f>
        <v>0.5</v>
      </c>
      <c r="J9114" s="42" t="n">
        <f aca="false">IF(J9110=Assumptions!$E$15,0.5,IF(J9110&gt;Assumptions!$E$15,1,0))</f>
        <v>1</v>
      </c>
      <c r="K9114" s="42" t="n">
        <f aca="false">IF(K9110=Assumptions!$E$15,0.5,IF(K9110&gt;Assumptions!$E$15,1,0))</f>
        <v>1</v>
      </c>
      <c r="L9114" s="42" t="n">
        <f aca="false">IF(L9110=Assumptions!$E$15,0.5,IF(L9110&gt;Assumptions!$E$15,1,0))</f>
        <v>1</v>
      </c>
      <c r="M9114" s="42" t="n">
        <f aca="false">IF(M9110=Assumptions!$E$15,0.5,IF(M9110&gt;Assumptions!$E$15,1,0))</f>
        <v>1</v>
      </c>
      <c r="N9114" s="42" t="n">
        <f aca="false">IF(N9110=Assumptions!$E$15,0.5,IF(N9110&gt;Assumptions!$E$15,1,0))</f>
        <v>1</v>
      </c>
      <c r="P9114" s="43"/>
      <c r="Q9114" s="43"/>
      <c r="R9114" s="43"/>
      <c r="S9114" s="44"/>
    </row>
    <row r="9115" customFormat="false" ht="15" hidden="false" customHeight="false" outlineLevel="0" collapsed="false">
      <c r="A9115" s="4" t="s">
        <v>481</v>
      </c>
      <c r="B9115" s="36" t="s">
        <v>478</v>
      </c>
      <c r="C9115" s="45" t="n">
        <f aca="false">Assumptions!$E$21^(MAX(0,C9110-Assumptions!$E$13)/4)</f>
        <v>1</v>
      </c>
      <c r="D9115" s="45" t="n">
        <f aca="false">Assumptions!$E$21^(MAX(0,D9110-Assumptions!$E$13)/4)</f>
        <v>0.9306048591021</v>
      </c>
      <c r="E9115" s="45" t="n">
        <f aca="false">Assumptions!$E$21^(MAX(0,E9110-Assumptions!$E$13)/4)</f>
        <v>0.866025403784439</v>
      </c>
      <c r="F9115" s="45" t="n">
        <f aca="false">Assumptions!$E$21^(MAX(0,F9110-Assumptions!$E$13)/4)</f>
        <v>0.805927448867656</v>
      </c>
      <c r="G9115" s="45" t="n">
        <f aca="false">Assumptions!$E$21^(MAX(0,G9110-Assumptions!$E$13)/4)</f>
        <v>0.75</v>
      </c>
      <c r="H9115" s="45" t="n">
        <f aca="false">Assumptions!$E$21^(MAX(0,H9110-Assumptions!$E$13)/4)</f>
        <v>0.697953644326575</v>
      </c>
      <c r="I9115" s="45" t="n">
        <f aca="false">Assumptions!$E$21^(MAX(0,I9110-Assumptions!$E$13)/4)</f>
        <v>0.649519052838329</v>
      </c>
      <c r="J9115" s="45" t="n">
        <f aca="false">Assumptions!$E$21^(MAX(0,J9110-Assumptions!$E$13)/4)</f>
        <v>0.604445586650742</v>
      </c>
      <c r="K9115" s="45" t="n">
        <f aca="false">Assumptions!$E$21^(MAX(0,K9110-Assumptions!$E$13)/4)</f>
        <v>0.5625</v>
      </c>
      <c r="L9115" s="45" t="n">
        <f aca="false">Assumptions!$E$21^(MAX(0,L9110-Assumptions!$E$13)/4)</f>
        <v>0.523465233244931</v>
      </c>
      <c r="M9115" s="45" t="n">
        <f aca="false">Assumptions!$E$21^(MAX(0,M9110-Assumptions!$E$13)/4)</f>
        <v>0.487139289628747</v>
      </c>
      <c r="N9115" s="45" t="n">
        <f aca="false">Assumptions!$E$21^(MAX(0,N9110-Assumptions!$E$13)/4)</f>
        <v>0.453334189988057</v>
      </c>
      <c r="P9115" s="46"/>
      <c r="Q9115" s="46"/>
      <c r="R9115" s="46"/>
      <c r="S9115" s="47"/>
    </row>
    <row r="9116" customFormat="false" ht="15" hidden="false" customHeight="false" outlineLevel="0" collapsed="false">
      <c r="A9116" s="4" t="s">
        <v>482</v>
      </c>
      <c r="B9116" s="36" t="s">
        <v>478</v>
      </c>
      <c r="C9116" s="45" t="n">
        <f aca="false">Assumptions!$E$21^(MAX(0,C9110-Assumptions!$E$14)/4)</f>
        <v>1</v>
      </c>
      <c r="D9116" s="45" t="n">
        <f aca="false">Assumptions!$E$21^(MAX(0,D9110-Assumptions!$E$14)/4)</f>
        <v>1</v>
      </c>
      <c r="E9116" s="45" t="n">
        <f aca="false">Assumptions!$E$21^(MAX(0,E9110-Assumptions!$E$14)/4)</f>
        <v>1</v>
      </c>
      <c r="F9116" s="45" t="n">
        <f aca="false">Assumptions!$E$21^(MAX(0,F9110-Assumptions!$E$14)/4)</f>
        <v>1</v>
      </c>
      <c r="G9116" s="45" t="n">
        <f aca="false">Assumptions!$E$21^(MAX(0,G9110-Assumptions!$E$14)/4)</f>
        <v>1</v>
      </c>
      <c r="H9116" s="45" t="n">
        <f aca="false">Assumptions!$E$21^(MAX(0,H9110-Assumptions!$E$14)/4)</f>
        <v>0.9306048591021</v>
      </c>
      <c r="I9116" s="45" t="n">
        <f aca="false">Assumptions!$E$21^(MAX(0,I9110-Assumptions!$E$14)/4)</f>
        <v>0.866025403784439</v>
      </c>
      <c r="J9116" s="45" t="n">
        <f aca="false">Assumptions!$E$21^(MAX(0,J9110-Assumptions!$E$14)/4)</f>
        <v>0.805927448867656</v>
      </c>
      <c r="K9116" s="45" t="n">
        <f aca="false">Assumptions!$E$21^(MAX(0,K9110-Assumptions!$E$14)/4)</f>
        <v>0.75</v>
      </c>
      <c r="L9116" s="45" t="n">
        <f aca="false">Assumptions!$E$21^(MAX(0,L9110-Assumptions!$E$14)/4)</f>
        <v>0.697953644326575</v>
      </c>
      <c r="M9116" s="45" t="n">
        <f aca="false">Assumptions!$E$21^(MAX(0,M9110-Assumptions!$E$14)/4)</f>
        <v>0.649519052838329</v>
      </c>
      <c r="N9116" s="45" t="n">
        <f aca="false">Assumptions!$E$21^(MAX(0,N9110-Assumptions!$E$14)/4)</f>
        <v>0.604445586650742</v>
      </c>
      <c r="P9116" s="46"/>
      <c r="Q9116" s="46"/>
      <c r="R9116" s="46"/>
      <c r="S9116" s="47"/>
    </row>
    <row r="9117" customFormat="false" ht="15" hidden="false" customHeight="false" outlineLevel="0" collapsed="false">
      <c r="A9117" s="4" t="s">
        <v>483</v>
      </c>
      <c r="B9117" s="36" t="s">
        <v>478</v>
      </c>
      <c r="C9117" s="45" t="n">
        <f aca="false">Assumptions!$E$21^(MAX(0,C9110-Assumptions!$E$15)/4)</f>
        <v>1</v>
      </c>
      <c r="D9117" s="45" t="n">
        <f aca="false">Assumptions!$E$21^(MAX(0,D9110-Assumptions!$E$15)/4)</f>
        <v>1</v>
      </c>
      <c r="E9117" s="45" t="n">
        <f aca="false">Assumptions!$E$21^(MAX(0,E9110-Assumptions!$E$15)/4)</f>
        <v>1</v>
      </c>
      <c r="F9117" s="45" t="n">
        <f aca="false">Assumptions!$E$21^(MAX(0,F9110-Assumptions!$E$15)/4)</f>
        <v>1</v>
      </c>
      <c r="G9117" s="45" t="n">
        <f aca="false">Assumptions!$E$21^(MAX(0,G9110-Assumptions!$E$15)/4)</f>
        <v>1</v>
      </c>
      <c r="H9117" s="45" t="n">
        <f aca="false">Assumptions!$E$21^(MAX(0,H9110-Assumptions!$E$15)/4)</f>
        <v>1</v>
      </c>
      <c r="I9117" s="45" t="n">
        <f aca="false">Assumptions!$E$21^(MAX(0,I9110-Assumptions!$E$15)/4)</f>
        <v>1</v>
      </c>
      <c r="J9117" s="45" t="n">
        <f aca="false">Assumptions!$E$21^(MAX(0,J9110-Assumptions!$E$15)/4)</f>
        <v>0.9306048591021</v>
      </c>
      <c r="K9117" s="45" t="n">
        <f aca="false">Assumptions!$E$21^(MAX(0,K9110-Assumptions!$E$15)/4)</f>
        <v>0.866025403784439</v>
      </c>
      <c r="L9117" s="45" t="n">
        <f aca="false">Assumptions!$E$21^(MAX(0,L9110-Assumptions!$E$15)/4)</f>
        <v>0.805927448867656</v>
      </c>
      <c r="M9117" s="45" t="n">
        <f aca="false">Assumptions!$E$21^(MAX(0,M9110-Assumptions!$E$15)/4)</f>
        <v>0.75</v>
      </c>
      <c r="N9117" s="45" t="n">
        <f aca="false">Assumptions!$E$21^(MAX(0,N9110-Assumptions!$E$15)/4)</f>
        <v>0.697953644326575</v>
      </c>
      <c r="P9117" s="46"/>
      <c r="Q9117" s="46"/>
      <c r="R9117" s="46"/>
      <c r="S9117" s="47"/>
    </row>
    <row r="9118" customFormat="false" ht="15" hidden="false" customHeight="false" outlineLevel="0" collapsed="false">
      <c r="A9118" s="4" t="s">
        <v>484</v>
      </c>
      <c r="B9118" s="36" t="s">
        <v>485</v>
      </c>
      <c r="C9118" s="39" t="n">
        <f aca="false">$C$9089*C9112+$C$9093*C9113+$C$9097*C9114</f>
        <v>421.51972352</v>
      </c>
      <c r="D9118" s="39" t="n">
        <f aca="false">$C$9089*D9112+$C$9093*D9113+$C$9097*D9114</f>
        <v>843.03944704</v>
      </c>
      <c r="E9118" s="39" t="n">
        <f aca="false">$C$9089*E9112+$C$9093*E9113+$C$9097*E9114</f>
        <v>843.03944704</v>
      </c>
      <c r="F9118" s="39" t="n">
        <f aca="false">$C$9089*F9112+$C$9093*F9113+$C$9097*F9114</f>
        <v>843.03944704</v>
      </c>
      <c r="G9118" s="39" t="n">
        <f aca="false">$C$9089*G9112+$C$9093*G9113+$C$9097*G9114</f>
        <v>1149.32798176</v>
      </c>
      <c r="H9118" s="39" t="n">
        <f aca="false">$C$9089*H9112+$C$9093*H9113+$C$9097*H9114</f>
        <v>1455.61651648</v>
      </c>
      <c r="I9118" s="39" t="n">
        <f aca="false">$C$9089*I9112+$C$9093*I9113+$C$9097*I9114</f>
        <v>2486.00303616</v>
      </c>
      <c r="J9118" s="39" t="n">
        <f aca="false">$C$9089*J9112+$C$9093*J9113+$C$9097*J9114</f>
        <v>3516.38955584</v>
      </c>
      <c r="K9118" s="39" t="n">
        <f aca="false">$C$9089*K9112+$C$9093*K9113+$C$9097*K9114</f>
        <v>3516.38955584</v>
      </c>
      <c r="L9118" s="39" t="n">
        <f aca="false">$C$9089*L9112+$C$9093*L9113+$C$9097*L9114</f>
        <v>3516.38955584</v>
      </c>
      <c r="M9118" s="39" t="n">
        <f aca="false">$C$9089*M9112+$C$9093*M9113+$C$9097*M9114</f>
        <v>3516.38955584</v>
      </c>
      <c r="N9118" s="39" t="n">
        <f aca="false">$C$9089*N9112+$C$9093*N9113+$C$9097*N9114</f>
        <v>3516.38955584</v>
      </c>
      <c r="P9118" s="40" t="n">
        <f aca="false">F9118</f>
        <v>843.03944704</v>
      </c>
      <c r="Q9118" s="40" t="n">
        <f aca="false">J9118</f>
        <v>3516.38955584</v>
      </c>
      <c r="R9118" s="40" t="n">
        <f aca="false">N9118</f>
        <v>3516.38955584</v>
      </c>
      <c r="S9118" s="41" t="n">
        <f aca="false">R9118</f>
        <v>3516.38955584</v>
      </c>
    </row>
    <row r="9119" customFormat="false" ht="15" hidden="false" customHeight="false" outlineLevel="0" collapsed="false">
      <c r="A9119" s="4" t="s">
        <v>486</v>
      </c>
      <c r="B9119" s="36" t="s">
        <v>485</v>
      </c>
      <c r="C9119" s="39" t="n">
        <f aca="false">$C$9090*C9112+$C$9094*C9113+$C$9098*C9114</f>
        <v>105.59808</v>
      </c>
      <c r="D9119" s="39" t="n">
        <f aca="false">$C$9090*D9112+$C$9094*D9113+$C$9098*D9114</f>
        <v>211.19616</v>
      </c>
      <c r="E9119" s="39" t="n">
        <f aca="false">$C$9090*E9112+$C$9094*E9113+$C$9098*E9114</f>
        <v>211.19616</v>
      </c>
      <c r="F9119" s="39" t="n">
        <f aca="false">$C$9090*F9112+$C$9094*F9113+$C$9098*F9114</f>
        <v>211.19616</v>
      </c>
      <c r="G9119" s="39" t="n">
        <f aca="false">$C$9090*G9112+$C$9094*G9113+$C$9098*G9114</f>
        <v>282.24672</v>
      </c>
      <c r="H9119" s="39" t="n">
        <f aca="false">$C$9090*H9112+$C$9094*H9113+$C$9098*H9114</f>
        <v>353.29728</v>
      </c>
      <c r="I9119" s="39" t="n">
        <f aca="false">$C$9090*I9112+$C$9094*I9113+$C$9098*I9114</f>
        <v>567.53536</v>
      </c>
      <c r="J9119" s="39" t="n">
        <f aca="false">$C$9090*J9112+$C$9094*J9113+$C$9098*J9114</f>
        <v>781.77344</v>
      </c>
      <c r="K9119" s="39" t="n">
        <f aca="false">$C$9090*K9112+$C$9094*K9113+$C$9098*K9114</f>
        <v>781.77344</v>
      </c>
      <c r="L9119" s="39" t="n">
        <f aca="false">$C$9090*L9112+$C$9094*L9113+$C$9098*L9114</f>
        <v>781.77344</v>
      </c>
      <c r="M9119" s="39" t="n">
        <f aca="false">$C$9090*M9112+$C$9094*M9113+$C$9098*M9114</f>
        <v>781.77344</v>
      </c>
      <c r="N9119" s="39" t="n">
        <f aca="false">$C$9090*N9112+$C$9094*N9113+$C$9098*N9114</f>
        <v>781.77344</v>
      </c>
      <c r="P9119" s="40" t="n">
        <f aca="false">F9119</f>
        <v>211.19616</v>
      </c>
      <c r="Q9119" s="40" t="n">
        <f aca="false">J9119</f>
        <v>781.77344</v>
      </c>
      <c r="R9119" s="40" t="n">
        <f aca="false">N9119</f>
        <v>781.77344</v>
      </c>
      <c r="S9119" s="41" t="n">
        <f aca="false">R9119</f>
        <v>781.77344</v>
      </c>
    </row>
    <row r="9120" customFormat="false" ht="15" hidden="false" customHeight="false" outlineLevel="0" collapsed="false">
      <c r="A9120" s="4" t="s">
        <v>487</v>
      </c>
      <c r="B9120" s="36" t="s">
        <v>485</v>
      </c>
      <c r="C9120" s="39" t="n">
        <f aca="false">$C$9091*C9112+$C$9095*C9113+$C$9099*C9114</f>
        <v>24.76992</v>
      </c>
      <c r="D9120" s="39" t="n">
        <f aca="false">$C$9091*D9112+$C$9095*D9113+$C$9099*D9114</f>
        <v>49.53984</v>
      </c>
      <c r="E9120" s="39" t="n">
        <f aca="false">$C$9091*E9112+$C$9095*E9113+$C$9099*E9114</f>
        <v>49.53984</v>
      </c>
      <c r="F9120" s="39" t="n">
        <f aca="false">$C$9091*F9112+$C$9095*F9113+$C$9099*F9114</f>
        <v>49.53984</v>
      </c>
      <c r="G9120" s="39" t="n">
        <f aca="false">$C$9091*G9112+$C$9095*G9113+$C$9099*G9114</f>
        <v>61.9248</v>
      </c>
      <c r="H9120" s="39" t="n">
        <f aca="false">$C$9091*H9112+$C$9095*H9113+$C$9099*H9114</f>
        <v>74.30976</v>
      </c>
      <c r="I9120" s="39" t="n">
        <f aca="false">$C$9091*I9112+$C$9095*I9113+$C$9099*I9114</f>
        <v>114.072</v>
      </c>
      <c r="J9120" s="39" t="n">
        <f aca="false">$C$9091*J9112+$C$9095*J9113+$C$9099*J9114</f>
        <v>153.83424</v>
      </c>
      <c r="K9120" s="39" t="n">
        <f aca="false">$C$9091*K9112+$C$9095*K9113+$C$9099*K9114</f>
        <v>153.83424</v>
      </c>
      <c r="L9120" s="39" t="n">
        <f aca="false">$C$9091*L9112+$C$9095*L9113+$C$9099*L9114</f>
        <v>153.83424</v>
      </c>
      <c r="M9120" s="39" t="n">
        <f aca="false">$C$9091*M9112+$C$9095*M9113+$C$9099*M9114</f>
        <v>153.83424</v>
      </c>
      <c r="N9120" s="39" t="n">
        <f aca="false">$C$9091*N9112+$C$9095*N9113+$C$9099*N9114</f>
        <v>153.83424</v>
      </c>
      <c r="P9120" s="40" t="n">
        <f aca="false">F9120</f>
        <v>49.53984</v>
      </c>
      <c r="Q9120" s="40" t="n">
        <f aca="false">J9120</f>
        <v>153.83424</v>
      </c>
      <c r="R9120" s="40" t="n">
        <f aca="false">N9120</f>
        <v>153.83424</v>
      </c>
      <c r="S9120" s="41" t="n">
        <f aca="false">R9120</f>
        <v>153.83424</v>
      </c>
    </row>
    <row r="9121" customFormat="false" ht="15" hidden="false" customHeight="false" outlineLevel="0" collapsed="false">
      <c r="A9121" s="4" t="s">
        <v>488</v>
      </c>
      <c r="B9121" s="36" t="s">
        <v>485</v>
      </c>
      <c r="C9121" s="39" t="n">
        <f aca="false">C9118+C9119+C9120</f>
        <v>551.88772352</v>
      </c>
      <c r="D9121" s="39" t="n">
        <f aca="false">D9118+D9119+D9120</f>
        <v>1103.77544704</v>
      </c>
      <c r="E9121" s="39" t="n">
        <f aca="false">E9118+E9119+E9120</f>
        <v>1103.77544704</v>
      </c>
      <c r="F9121" s="39" t="n">
        <f aca="false">F9118+F9119+F9120</f>
        <v>1103.77544704</v>
      </c>
      <c r="G9121" s="39" t="n">
        <f aca="false">G9118+G9119+G9120</f>
        <v>1493.49950176</v>
      </c>
      <c r="H9121" s="39" t="n">
        <f aca="false">H9118+H9119+H9120</f>
        <v>1883.22355648</v>
      </c>
      <c r="I9121" s="39" t="n">
        <f aca="false">I9118+I9119+I9120</f>
        <v>3167.61039616</v>
      </c>
      <c r="J9121" s="39" t="n">
        <f aca="false">J9118+J9119+J9120</f>
        <v>4451.99723584</v>
      </c>
      <c r="K9121" s="39" t="n">
        <f aca="false">K9118+K9119+K9120</f>
        <v>4451.99723584</v>
      </c>
      <c r="L9121" s="39" t="n">
        <f aca="false">L9118+L9119+L9120</f>
        <v>4451.99723584</v>
      </c>
      <c r="M9121" s="39" t="n">
        <f aca="false">M9118+M9119+M9120</f>
        <v>4451.99723584</v>
      </c>
      <c r="N9121" s="39" t="n">
        <f aca="false">N9118+N9119+N9120</f>
        <v>4451.99723584</v>
      </c>
      <c r="P9121" s="40" t="n">
        <f aca="false">F9121</f>
        <v>1103.77544704</v>
      </c>
      <c r="Q9121" s="40" t="n">
        <f aca="false">J9121</f>
        <v>4451.99723584</v>
      </c>
      <c r="R9121" s="40" t="n">
        <f aca="false">N9121</f>
        <v>4451.99723584</v>
      </c>
      <c r="S9121" s="41" t="n">
        <f aca="false">R9121</f>
        <v>4451.99723584</v>
      </c>
    </row>
    <row r="9122" customFormat="false" ht="15" hidden="false" customHeight="false" outlineLevel="0" collapsed="false">
      <c r="A9122" s="4" t="s">
        <v>489</v>
      </c>
      <c r="B9122" s="36" t="s">
        <v>485</v>
      </c>
      <c r="C9122" s="39" t="n">
        <f aca="false">$C$9092*C9112*C9115+$C$9096*C9113*C9116+$C$9100*C9114*C9117</f>
        <v>551.88772352</v>
      </c>
      <c r="D9122" s="39" t="n">
        <f aca="false">$C$9092*D9112*D9115+$C$9096*D9113*D9116+$C$9100*D9114*D9117</f>
        <v>1027.17879437302</v>
      </c>
      <c r="E9122" s="39" t="n">
        <f aca="false">$C$9092*E9112*E9115+$C$9096*E9113*E9116+$C$9100*E9114*E9117</f>
        <v>955.897577210165</v>
      </c>
      <c r="F9122" s="39" t="n">
        <f aca="false">$C$9092*F9112*F9115+$C$9096*F9113*F9116+$C$9100*F9114*F9117</f>
        <v>889.562930155704</v>
      </c>
      <c r="G9122" s="39" t="n">
        <f aca="false">$C$9092*G9112*G9115+$C$9096*G9113*G9116+$C$9100*G9114*G9117</f>
        <v>1217.55564</v>
      </c>
      <c r="H9122" s="39" t="n">
        <f aca="false">$C$9092*H9112*H9115+$C$9096*H9113*H9116+$C$9100*H9114*H9117</f>
        <v>1495.74229384257</v>
      </c>
      <c r="I9122" s="39" t="n">
        <f aca="false">$C$9092*I9112*I9115+$C$9096*I9113*I9116+$C$9100*I9114*I9117</f>
        <v>2676.33188629442</v>
      </c>
      <c r="J9122" s="39" t="n">
        <f aca="false">$C$9092*J9112*J9115+$C$9096*J9113*J9116+$C$9100*J9114*J9117</f>
        <v>3685.86409192847</v>
      </c>
      <c r="K9122" s="39" t="n">
        <f aca="false">$C$9092*K9112*K9115+$C$9096*K9113*K9116+$C$9100*K9114*K9117</f>
        <v>3430.08303393858</v>
      </c>
      <c r="L9122" s="39" t="n">
        <f aca="false">$C$9092*L9112*L9115+$C$9096*L9113*L9116+$C$9100*L9114*L9117</f>
        <v>3192.05193850692</v>
      </c>
      <c r="M9122" s="39" t="n">
        <f aca="false">$C$9092*M9112*M9115+$C$9096*M9113*M9116+$C$9100*M9114*M9117</f>
        <v>2970.53904448081</v>
      </c>
      <c r="N9122" s="39" t="n">
        <f aca="false">$C$9092*N9112*N9115+$C$9096*N9113*N9116+$C$9100*N9114*N9117</f>
        <v>2764.39806894635</v>
      </c>
      <c r="P9122" s="40"/>
      <c r="Q9122" s="40"/>
      <c r="R9122" s="40"/>
      <c r="S9122" s="41"/>
    </row>
    <row r="9123" customFormat="false" ht="15" hidden="false" customHeight="false" outlineLevel="0" collapsed="false">
      <c r="A9123" s="4" t="s">
        <v>490</v>
      </c>
      <c r="B9123" s="36" t="s">
        <v>491</v>
      </c>
      <c r="C9123" s="48" t="n">
        <f aca="false">$C$9104*Assumptions!$E$20*C9111*C9122</f>
        <v>6.62265268224</v>
      </c>
      <c r="D9123" s="48" t="n">
        <f aca="false">$C$9104*Assumptions!$E$20*D9111*D9122</f>
        <v>12.3261455324762</v>
      </c>
      <c r="E9123" s="48" t="n">
        <f aca="false">$C$9104*Assumptions!$E$20*E9111*E9122</f>
        <v>11.470770926522</v>
      </c>
      <c r="F9123" s="48" t="n">
        <f aca="false">$C$9104*Assumptions!$E$20*F9111*F9122</f>
        <v>10.6747551618685</v>
      </c>
      <c r="G9123" s="48" t="n">
        <f aca="false">$C$9104*Assumptions!$E$20*G9111*G9122</f>
        <v>14.61066768</v>
      </c>
      <c r="H9123" s="48" t="n">
        <f aca="false">$C$9104*Assumptions!$E$20*H9111*H9122</f>
        <v>17.9489075261109</v>
      </c>
      <c r="I9123" s="48" t="n">
        <f aca="false">$C$9104*Assumptions!$E$20*I9111*I9122</f>
        <v>32.115982635533</v>
      </c>
      <c r="J9123" s="48" t="n">
        <f aca="false">$C$9104*Assumptions!$E$20*J9111*J9122</f>
        <v>44.2303691031417</v>
      </c>
      <c r="K9123" s="48" t="n">
        <f aca="false">$C$9104*Assumptions!$E$20*K9111*K9122</f>
        <v>41.160996407263</v>
      </c>
      <c r="L9123" s="48" t="n">
        <f aca="false">$C$9104*Assumptions!$E$20*L9111*L9122</f>
        <v>38.304623262083</v>
      </c>
      <c r="M9123" s="48" t="n">
        <f aca="false">$C$9104*Assumptions!$E$20*M9111*M9122</f>
        <v>35.6464685337698</v>
      </c>
      <c r="N9123" s="48" t="n">
        <f aca="false">$C$9104*Assumptions!$E$20*N9111*N9122</f>
        <v>33.1727768273562</v>
      </c>
      <c r="P9123" s="49" t="n">
        <f aca="false">SUM(C9123:F9123)</f>
        <v>41.0943243031066</v>
      </c>
      <c r="Q9123" s="49" t="n">
        <f aca="false">SUM(G9123:J9123)</f>
        <v>108.905926944786</v>
      </c>
      <c r="R9123" s="49" t="n">
        <f aca="false">SUM(K9123:N9123)</f>
        <v>148.284865030472</v>
      </c>
      <c r="S9123" s="50" t="n">
        <f aca="false">SUM(P9123:R9123)</f>
        <v>298.285116278364</v>
      </c>
    </row>
    <row r="9124" customFormat="false" ht="15" hidden="false" customHeight="false" outlineLevel="0" collapsed="false">
      <c r="A9124" s="4" t="s">
        <v>492</v>
      </c>
      <c r="B9124" s="36" t="s">
        <v>321</v>
      </c>
      <c r="C9124" s="48" t="n">
        <f aca="false">Assumptions!$D$111</f>
        <v>0</v>
      </c>
      <c r="D9124" s="48" t="n">
        <f aca="false">Assumptions!$E$111</f>
        <v>0</v>
      </c>
      <c r="E9124" s="48" t="n">
        <f aca="false">Assumptions!$F$111</f>
        <v>0</v>
      </c>
      <c r="F9124" s="48" t="n">
        <f aca="false">Assumptions!$G$111</f>
        <v>0</v>
      </c>
      <c r="G9124" s="48" t="n">
        <f aca="false">Assumptions!$H$111</f>
        <v>0</v>
      </c>
      <c r="H9124" s="48" t="n">
        <f aca="false">Assumptions!$I$111</f>
        <v>0</v>
      </c>
      <c r="I9124" s="48" t="n">
        <f aca="false">Assumptions!$J$111</f>
        <v>0</v>
      </c>
      <c r="J9124" s="48" t="n">
        <f aca="false">Assumptions!$K$111</f>
        <v>0</v>
      </c>
      <c r="K9124" s="48" t="n">
        <f aca="false">Assumptions!$L$111</f>
        <v>0</v>
      </c>
      <c r="L9124" s="48" t="n">
        <f aca="false">Assumptions!$M$111</f>
        <v>0</v>
      </c>
      <c r="M9124" s="48" t="n">
        <f aca="false">Assumptions!$N$111</f>
        <v>0</v>
      </c>
      <c r="N9124" s="48" t="n">
        <f aca="false">Assumptions!$O$111</f>
        <v>0</v>
      </c>
      <c r="P9124" s="49" t="n">
        <f aca="false">F9124</f>
        <v>0</v>
      </c>
      <c r="Q9124" s="49" t="n">
        <f aca="false">J9124</f>
        <v>0</v>
      </c>
      <c r="R9124" s="49" t="n">
        <f aca="false">N9124</f>
        <v>0</v>
      </c>
      <c r="S9124" s="50" t="n">
        <f aca="false">R9124</f>
        <v>0</v>
      </c>
    </row>
    <row r="9125" customFormat="false" ht="15" hidden="false" customHeight="false" outlineLevel="0" collapsed="false">
      <c r="A9125" s="4" t="s">
        <v>493</v>
      </c>
      <c r="B9125" s="36" t="s">
        <v>321</v>
      </c>
      <c r="C9125" s="48" t="n">
        <f aca="false">0</f>
        <v>0</v>
      </c>
      <c r="D9125" s="48" t="n">
        <f aca="false">0.5*C9124</f>
        <v>0</v>
      </c>
      <c r="E9125" s="48" t="n">
        <f aca="false">C9124+0.5*(D9124-C9124)</f>
        <v>0</v>
      </c>
      <c r="F9125" s="48" t="n">
        <f aca="false">D9124+0.5*(E9124-D9124)</f>
        <v>0</v>
      </c>
      <c r="G9125" s="48" t="n">
        <f aca="false">E9124+0.5*(F9124-E9124)</f>
        <v>0</v>
      </c>
      <c r="H9125" s="48" t="n">
        <f aca="false">F9124+0.5*(G9124-F9124)</f>
        <v>0</v>
      </c>
      <c r="I9125" s="48" t="n">
        <f aca="false">G9124+0.5*(H9124-G9124)</f>
        <v>0</v>
      </c>
      <c r="J9125" s="48" t="n">
        <f aca="false">H9124+0.5*(I9124-H9124)</f>
        <v>0</v>
      </c>
      <c r="K9125" s="48" t="n">
        <f aca="false">I9124+0.5*(J9124-I9124)</f>
        <v>0</v>
      </c>
      <c r="L9125" s="48" t="n">
        <f aca="false">J9124+0.5*(K9124-J9124)</f>
        <v>0</v>
      </c>
      <c r="M9125" s="48" t="n">
        <f aca="false">K9124+0.5*(L9124-K9124)</f>
        <v>0</v>
      </c>
      <c r="N9125" s="48" t="n">
        <f aca="false">L9124+0.5*(M9124-L9124)</f>
        <v>0</v>
      </c>
      <c r="P9125" s="49" t="n">
        <f aca="false">F9125</f>
        <v>0</v>
      </c>
      <c r="Q9125" s="49" t="n">
        <f aca="false">J9125</f>
        <v>0</v>
      </c>
      <c r="R9125" s="49" t="n">
        <f aca="false">N9125</f>
        <v>0</v>
      </c>
      <c r="S9125" s="50" t="n">
        <f aca="false">R9125</f>
        <v>0</v>
      </c>
    </row>
    <row r="9126" customFormat="false" ht="15" hidden="false" customHeight="false" outlineLevel="0" collapsed="false">
      <c r="A9126" s="4" t="s">
        <v>494</v>
      </c>
      <c r="B9126" s="36" t="s">
        <v>485</v>
      </c>
      <c r="C9126" s="39" t="n">
        <f aca="false">MIN(C9125*Assumptions!$E$38,C9121*(1-$C$9104))</f>
        <v>0</v>
      </c>
      <c r="D9126" s="39" t="n">
        <f aca="false">MIN(D9125*Assumptions!$E$38,D9121*(1-$C$9104))</f>
        <v>0</v>
      </c>
      <c r="E9126" s="39" t="n">
        <f aca="false">MIN(E9125*Assumptions!$E$38,E9121*(1-$C$9104))</f>
        <v>0</v>
      </c>
      <c r="F9126" s="39" t="n">
        <f aca="false">MIN(F9125*Assumptions!$E$38,F9121*(1-$C$9104))</f>
        <v>0</v>
      </c>
      <c r="G9126" s="39" t="n">
        <f aca="false">MIN(G9125*Assumptions!$E$38,G9121*(1-$C$9104))</f>
        <v>0</v>
      </c>
      <c r="H9126" s="39" t="n">
        <f aca="false">MIN(H9125*Assumptions!$E$38,H9121*(1-$C$9104))</f>
        <v>0</v>
      </c>
      <c r="I9126" s="39" t="n">
        <f aca="false">MIN(I9125*Assumptions!$E$38,I9121*(1-$C$9104))</f>
        <v>0</v>
      </c>
      <c r="J9126" s="39" t="n">
        <f aca="false">MIN(J9125*Assumptions!$E$38,J9121*(1-$C$9104))</f>
        <v>0</v>
      </c>
      <c r="K9126" s="39" t="n">
        <f aca="false">MIN(K9125*Assumptions!$E$38,K9121*(1-$C$9104))</f>
        <v>0</v>
      </c>
      <c r="L9126" s="39" t="n">
        <f aca="false">MIN(L9125*Assumptions!$E$38,L9121*(1-$C$9104))</f>
        <v>0</v>
      </c>
      <c r="M9126" s="39" t="n">
        <f aca="false">MIN(M9125*Assumptions!$E$38,M9121*(1-$C$9104))</f>
        <v>0</v>
      </c>
      <c r="N9126" s="39" t="n">
        <f aca="false">MIN(N9125*Assumptions!$E$38,N9121*(1-$C$9104))</f>
        <v>0</v>
      </c>
      <c r="P9126" s="40" t="n">
        <f aca="false">SUM(C9126:F9126)</f>
        <v>0</v>
      </c>
      <c r="Q9126" s="40" t="n">
        <f aca="false">SUM(G9126:J9126)</f>
        <v>0</v>
      </c>
      <c r="R9126" s="40" t="n">
        <f aca="false">SUM(K9126:N9126)</f>
        <v>0</v>
      </c>
      <c r="S9126" s="41" t="n">
        <f aca="false">SUM(P9126:R9126)</f>
        <v>0</v>
      </c>
    </row>
    <row r="9127" customFormat="false" ht="15" hidden="false" customHeight="false" outlineLevel="0" collapsed="false">
      <c r="A9127" s="4" t="s">
        <v>495</v>
      </c>
      <c r="B9127" s="36" t="s">
        <v>491</v>
      </c>
      <c r="C9127" s="48" t="n">
        <f aca="false">C9126*Assumptions!$E$20*Assumptions!$E$39*IF(C9121&gt;0,C9122/C9121,0)*C9111</f>
        <v>0</v>
      </c>
      <c r="D9127" s="48" t="n">
        <f aca="false">D9126*Assumptions!$E$20*Assumptions!$E$39*IF(D9121&gt;0,D9122/D9121,0)*D9111</f>
        <v>0</v>
      </c>
      <c r="E9127" s="48" t="n">
        <f aca="false">E9126*Assumptions!$E$20*Assumptions!$E$39*IF(E9121&gt;0,E9122/E9121,0)*E9111</f>
        <v>0</v>
      </c>
      <c r="F9127" s="48" t="n">
        <f aca="false">F9126*Assumptions!$E$20*Assumptions!$E$39*IF(F9121&gt;0,F9122/F9121,0)*F9111</f>
        <v>0</v>
      </c>
      <c r="G9127" s="48" t="n">
        <f aca="false">G9126*Assumptions!$E$20*Assumptions!$E$39*IF(G9121&gt;0,G9122/G9121,0)*G9111</f>
        <v>0</v>
      </c>
      <c r="H9127" s="48" t="n">
        <f aca="false">H9126*Assumptions!$E$20*Assumptions!$E$39*IF(H9121&gt;0,H9122/H9121,0)*H9111</f>
        <v>0</v>
      </c>
      <c r="I9127" s="48" t="n">
        <f aca="false">I9126*Assumptions!$E$20*Assumptions!$E$39*IF(I9121&gt;0,I9122/I9121,0)*I9111</f>
        <v>0</v>
      </c>
      <c r="J9127" s="48" t="n">
        <f aca="false">J9126*Assumptions!$E$20*Assumptions!$E$39*IF(J9121&gt;0,J9122/J9121,0)*J9111</f>
        <v>0</v>
      </c>
      <c r="K9127" s="48" t="n">
        <f aca="false">K9126*Assumptions!$E$20*Assumptions!$E$39*IF(K9121&gt;0,K9122/K9121,0)*K9111</f>
        <v>0</v>
      </c>
      <c r="L9127" s="48" t="n">
        <f aca="false">L9126*Assumptions!$E$20*Assumptions!$E$39*IF(L9121&gt;0,L9122/L9121,0)*L9111</f>
        <v>0</v>
      </c>
      <c r="M9127" s="48" t="n">
        <f aca="false">M9126*Assumptions!$E$20*Assumptions!$E$39*IF(M9121&gt;0,M9122/M9121,0)*M9111</f>
        <v>0</v>
      </c>
      <c r="N9127" s="48" t="n">
        <f aca="false">N9126*Assumptions!$E$20*Assumptions!$E$39*IF(N9121&gt;0,N9122/N9121,0)*N9111</f>
        <v>0</v>
      </c>
      <c r="P9127" s="49" t="n">
        <f aca="false">SUM(C9127:F9127)</f>
        <v>0</v>
      </c>
      <c r="Q9127" s="49" t="n">
        <f aca="false">SUM(G9127:J9127)</f>
        <v>0</v>
      </c>
      <c r="R9127" s="49" t="n">
        <f aca="false">SUM(K9127:N9127)</f>
        <v>0</v>
      </c>
      <c r="S9127" s="50" t="n">
        <f aca="false">SUM(P9127:R9127)</f>
        <v>0</v>
      </c>
    </row>
    <row r="9128" customFormat="false" ht="15" hidden="false" customHeight="false" outlineLevel="0" collapsed="false">
      <c r="A9128" s="4" t="s">
        <v>496</v>
      </c>
      <c r="B9128" s="36" t="s">
        <v>497</v>
      </c>
      <c r="C9128" s="48" t="n">
        <f aca="false">IF(AND(C9121&gt;0,$C$9108&gt;0),C9121*Assumptions!$E$24*(1-EXP(-$C$9108/(Assumptions!$E$23*C9121*Assumptions!$E$24))),0)</f>
        <v>0</v>
      </c>
      <c r="D9128" s="48" t="n">
        <f aca="false">IF(AND(D9121&gt;0,$C$9108&gt;0),D9121*Assumptions!$E$24*(1-EXP(-$C$9108/(Assumptions!$E$23*D9121*Assumptions!$E$24))),0)</f>
        <v>0</v>
      </c>
      <c r="E9128" s="48" t="n">
        <f aca="false">IF(AND(E9121&gt;0,$C$9108&gt;0),E9121*Assumptions!$E$24*(1-EXP(-$C$9108/(Assumptions!$E$23*E9121*Assumptions!$E$24))),0)</f>
        <v>0</v>
      </c>
      <c r="F9128" s="48" t="n">
        <f aca="false">IF(AND(F9121&gt;0,$C$9108&gt;0),F9121*Assumptions!$E$24*(1-EXP(-$C$9108/(Assumptions!$E$23*F9121*Assumptions!$E$24))),0)</f>
        <v>0</v>
      </c>
      <c r="G9128" s="48" t="n">
        <f aca="false">IF(AND(G9121&gt;0,$C$9108&gt;0),G9121*Assumptions!$E$24*(1-EXP(-$C$9108/(Assumptions!$E$23*G9121*Assumptions!$E$24))),0)</f>
        <v>0</v>
      </c>
      <c r="H9128" s="48" t="n">
        <f aca="false">IF(AND(H9121&gt;0,$C$9108&gt;0),H9121*Assumptions!$E$24*(1-EXP(-$C$9108/(Assumptions!$E$23*H9121*Assumptions!$E$24))),0)</f>
        <v>0</v>
      </c>
      <c r="I9128" s="48" t="n">
        <f aca="false">IF(AND(I9121&gt;0,$C$9108&gt;0),I9121*Assumptions!$E$24*(1-EXP(-$C$9108/(Assumptions!$E$23*I9121*Assumptions!$E$24))),0)</f>
        <v>0</v>
      </c>
      <c r="J9128" s="48" t="n">
        <f aca="false">IF(AND(J9121&gt;0,$C$9108&gt;0),J9121*Assumptions!$E$24*(1-EXP(-$C$9108/(Assumptions!$E$23*J9121*Assumptions!$E$24))),0)</f>
        <v>0</v>
      </c>
      <c r="K9128" s="48" t="n">
        <f aca="false">IF(AND(K9121&gt;0,$C$9108&gt;0),K9121*Assumptions!$E$24*(1-EXP(-$C$9108/(Assumptions!$E$23*K9121*Assumptions!$E$24))),0)</f>
        <v>0</v>
      </c>
      <c r="L9128" s="48" t="n">
        <f aca="false">IF(AND(L9121&gt;0,$C$9108&gt;0),L9121*Assumptions!$E$24*(1-EXP(-$C$9108/(Assumptions!$E$23*L9121*Assumptions!$E$24))),0)</f>
        <v>0</v>
      </c>
      <c r="M9128" s="48" t="n">
        <f aca="false">IF(AND(M9121&gt;0,$C$9108&gt;0),M9121*Assumptions!$E$24*(1-EXP(-$C$9108/(Assumptions!$E$23*M9121*Assumptions!$E$24))),0)</f>
        <v>0</v>
      </c>
      <c r="N9128" s="48" t="n">
        <f aca="false">IF(AND(N9121&gt;0,$C$9108&gt;0),N9121*Assumptions!$E$24*(1-EXP(-$C$9108/(Assumptions!$E$23*N9121*Assumptions!$E$24))),0)</f>
        <v>0</v>
      </c>
      <c r="P9128" s="49" t="n">
        <f aca="false">SUM(C9128:F9128)</f>
        <v>0</v>
      </c>
      <c r="Q9128" s="49" t="n">
        <f aca="false">SUM(G9128:J9128)</f>
        <v>0</v>
      </c>
      <c r="R9128" s="49" t="n">
        <f aca="false">SUM(K9128:N9128)</f>
        <v>0</v>
      </c>
      <c r="S9128" s="50" t="n">
        <f aca="false">SUM(P9128:R9128)</f>
        <v>0</v>
      </c>
    </row>
    <row r="9129" customFormat="false" ht="15" hidden="false" customHeight="false" outlineLevel="0" collapsed="false">
      <c r="A9129" s="4" t="s">
        <v>498</v>
      </c>
      <c r="B9129" s="36" t="s">
        <v>497</v>
      </c>
      <c r="C9129" s="48" t="n">
        <f aca="false">(C9121*Assumptions!$E$22*MIN(1,Assumptions!$D$103/Assumptions!$E$78)+C9128)*C9111</f>
        <v>5.5188772352</v>
      </c>
      <c r="D9129" s="48" t="n">
        <f aca="false">(D9121*Assumptions!$E$22*MIN(1,Assumptions!$D$103/Assumptions!$E$78)+D9128)*D9111</f>
        <v>11.0377544704</v>
      </c>
      <c r="E9129" s="48" t="n">
        <f aca="false">(E9121*Assumptions!$E$22*MIN(1,Assumptions!$D$103/Assumptions!$E$78)+E9128)*E9111</f>
        <v>11.0377544704</v>
      </c>
      <c r="F9129" s="48" t="n">
        <f aca="false">(F9121*Assumptions!$E$22*MIN(1,Assumptions!$D$103/Assumptions!$E$78)+F9128)*F9111</f>
        <v>11.0377544704</v>
      </c>
      <c r="G9129" s="48" t="n">
        <f aca="false">(G9121*Assumptions!$E$22*MIN(1,Assumptions!$D$103/Assumptions!$E$78)+G9128)*G9111</f>
        <v>14.9349950176</v>
      </c>
      <c r="H9129" s="48" t="n">
        <f aca="false">(H9121*Assumptions!$E$22*MIN(1,Assumptions!$D$103/Assumptions!$E$78)+H9128)*H9111</f>
        <v>18.8322355648</v>
      </c>
      <c r="I9129" s="48" t="n">
        <f aca="false">(I9121*Assumptions!$E$22*MIN(1,Assumptions!$D$103/Assumptions!$E$78)+I9128)*I9111</f>
        <v>31.6761039616</v>
      </c>
      <c r="J9129" s="48" t="n">
        <f aca="false">(J9121*Assumptions!$E$22*MIN(1,Assumptions!$D$103/Assumptions!$E$78)+J9128)*J9111</f>
        <v>44.5199723584</v>
      </c>
      <c r="K9129" s="48" t="n">
        <f aca="false">(K9121*Assumptions!$E$22*MIN(1,Assumptions!$D$103/Assumptions!$E$78)+K9128)*K9111</f>
        <v>44.5199723584</v>
      </c>
      <c r="L9129" s="48" t="n">
        <f aca="false">(L9121*Assumptions!$E$22*MIN(1,Assumptions!$D$103/Assumptions!$E$78)+L9128)*L9111</f>
        <v>44.5199723584</v>
      </c>
      <c r="M9129" s="48" t="n">
        <f aca="false">(M9121*Assumptions!$E$22*MIN(1,Assumptions!$D$103/Assumptions!$E$78)+M9128)*M9111</f>
        <v>44.5199723584</v>
      </c>
      <c r="N9129" s="48" t="n">
        <f aca="false">(N9121*Assumptions!$E$22*MIN(1,Assumptions!$D$103/Assumptions!$E$78)+N9128)*N9111</f>
        <v>44.5199723584</v>
      </c>
      <c r="P9129" s="49" t="n">
        <f aca="false">SUM(C9129:F9129)</f>
        <v>38.6321406464</v>
      </c>
      <c r="Q9129" s="49" t="n">
        <f aca="false">SUM(G9129:J9129)</f>
        <v>109.9633069024</v>
      </c>
      <c r="R9129" s="49" t="n">
        <f aca="false">SUM(K9129:N9129)</f>
        <v>178.0798894336</v>
      </c>
      <c r="S9129" s="50" t="n">
        <f aca="false">SUM(P9129:R9129)</f>
        <v>326.6753369824</v>
      </c>
    </row>
    <row r="9130" customFormat="false" ht="15" hidden="false" customHeight="false" outlineLevel="0" collapsed="false">
      <c r="A9130" s="4" t="s">
        <v>499</v>
      </c>
      <c r="B9130" s="36" t="s">
        <v>500</v>
      </c>
      <c r="C9130" s="48" t="n">
        <f aca="false">C9111*MIN(Assumptions!$E$27,Assumptions!$E$25+Assumptions!$E$26*(C9110-1))*Assumptions!$D$107</f>
        <v>2</v>
      </c>
      <c r="D9130" s="48" t="n">
        <f aca="false">D9111*MIN(Assumptions!$E$27,Assumptions!$E$25+Assumptions!$E$26*(D9110-1))*Assumptions!$D$107</f>
        <v>3</v>
      </c>
      <c r="E9130" s="48" t="n">
        <f aca="false">E9111*MIN(Assumptions!$E$27,Assumptions!$E$25+Assumptions!$E$26*(E9110-1))*Assumptions!$D$107</f>
        <v>4</v>
      </c>
      <c r="F9130" s="48" t="n">
        <f aca="false">F9111*MIN(Assumptions!$E$27,Assumptions!$E$25+Assumptions!$E$26*(F9110-1))*Assumptions!$D$107</f>
        <v>5</v>
      </c>
      <c r="G9130" s="48" t="n">
        <f aca="false">G9111*MIN(Assumptions!$E$27,Assumptions!$E$25+Assumptions!$E$26*(G9110-1))*Assumptions!$D$107</f>
        <v>6</v>
      </c>
      <c r="H9130" s="48" t="n">
        <f aca="false">H9111*MIN(Assumptions!$E$27,Assumptions!$E$25+Assumptions!$E$26*(H9110-1))*Assumptions!$D$107</f>
        <v>7</v>
      </c>
      <c r="I9130" s="48" t="n">
        <f aca="false">I9111*MIN(Assumptions!$E$27,Assumptions!$E$25+Assumptions!$E$26*(I9110-1))*Assumptions!$D$107</f>
        <v>8</v>
      </c>
      <c r="J9130" s="48" t="n">
        <f aca="false">J9111*MIN(Assumptions!$E$27,Assumptions!$E$25+Assumptions!$E$26*(J9110-1))*Assumptions!$D$107</f>
        <v>9</v>
      </c>
      <c r="K9130" s="48" t="n">
        <f aca="false">K9111*MIN(Assumptions!$E$27,Assumptions!$E$25+Assumptions!$E$26*(K9110-1))*Assumptions!$D$107</f>
        <v>10</v>
      </c>
      <c r="L9130" s="48" t="n">
        <f aca="false">L9111*MIN(Assumptions!$E$27,Assumptions!$E$25+Assumptions!$E$26*(L9110-1))*Assumptions!$D$107</f>
        <v>10</v>
      </c>
      <c r="M9130" s="48" t="n">
        <f aca="false">M9111*MIN(Assumptions!$E$27,Assumptions!$E$25+Assumptions!$E$26*(M9110-1))*Assumptions!$D$107</f>
        <v>10</v>
      </c>
      <c r="N9130" s="48" t="n">
        <f aca="false">N9111*MIN(Assumptions!$E$27,Assumptions!$E$25+Assumptions!$E$26*(N9110-1))*Assumptions!$D$107</f>
        <v>10</v>
      </c>
      <c r="P9130" s="49" t="n">
        <f aca="false">F9130</f>
        <v>5</v>
      </c>
      <c r="Q9130" s="49" t="n">
        <f aca="false">J9130</f>
        <v>9</v>
      </c>
      <c r="R9130" s="49" t="n">
        <f aca="false">N9130</f>
        <v>10</v>
      </c>
      <c r="S9130" s="50" t="n">
        <f aca="false">R9130</f>
        <v>10</v>
      </c>
    </row>
    <row r="9131" customFormat="false" ht="15" hidden="false" customHeight="false" outlineLevel="0" collapsed="false">
      <c r="A9131" s="4" t="s">
        <v>501</v>
      </c>
      <c r="B9131" s="36" t="s">
        <v>502</v>
      </c>
      <c r="C9131" s="48" t="n">
        <f aca="false">C9130*Assumptions!$E$28</f>
        <v>6</v>
      </c>
      <c r="D9131" s="48" t="n">
        <f aca="false">D9130*Assumptions!$E$28</f>
        <v>9</v>
      </c>
      <c r="E9131" s="48" t="n">
        <f aca="false">E9130*Assumptions!$E$28</f>
        <v>12</v>
      </c>
      <c r="F9131" s="48" t="n">
        <f aca="false">F9130*Assumptions!$E$28</f>
        <v>15</v>
      </c>
      <c r="G9131" s="48" t="n">
        <f aca="false">G9130*Assumptions!$E$28</f>
        <v>18</v>
      </c>
      <c r="H9131" s="48" t="n">
        <f aca="false">H9130*Assumptions!$E$28</f>
        <v>21</v>
      </c>
      <c r="I9131" s="48" t="n">
        <f aca="false">I9130*Assumptions!$E$28</f>
        <v>24</v>
      </c>
      <c r="J9131" s="48" t="n">
        <f aca="false">J9130*Assumptions!$E$28</f>
        <v>27</v>
      </c>
      <c r="K9131" s="48" t="n">
        <f aca="false">K9130*Assumptions!$E$28</f>
        <v>30</v>
      </c>
      <c r="L9131" s="48" t="n">
        <f aca="false">L9130*Assumptions!$E$28</f>
        <v>30</v>
      </c>
      <c r="M9131" s="48" t="n">
        <f aca="false">M9130*Assumptions!$E$28</f>
        <v>30</v>
      </c>
      <c r="N9131" s="48" t="n">
        <f aca="false">N9130*Assumptions!$E$28</f>
        <v>30</v>
      </c>
      <c r="P9131" s="49" t="n">
        <f aca="false">SUM(C9131:F9131)</f>
        <v>42</v>
      </c>
      <c r="Q9131" s="49" t="n">
        <f aca="false">SUM(G9131:J9131)</f>
        <v>90</v>
      </c>
      <c r="R9131" s="49" t="n">
        <f aca="false">SUM(K9131:N9131)</f>
        <v>120</v>
      </c>
      <c r="S9131" s="50" t="n">
        <f aca="false">SUM(P9131:R9131)</f>
        <v>252</v>
      </c>
    </row>
    <row r="9132" customFormat="false" ht="15" hidden="false" customHeight="false" outlineLevel="0" collapsed="false">
      <c r="A9132" s="4" t="s">
        <v>503</v>
      </c>
      <c r="B9132" s="36" t="s">
        <v>504</v>
      </c>
      <c r="C9132" s="48" t="n">
        <f aca="false">(C9123+C9127)*Assumptions!$E$29</f>
        <v>2.649061072896</v>
      </c>
      <c r="D9132" s="48" t="n">
        <f aca="false">(D9123+D9127)*Assumptions!$E$29</f>
        <v>4.93045821299048</v>
      </c>
      <c r="E9132" s="48" t="n">
        <f aca="false">(E9123+E9127)*Assumptions!$E$29</f>
        <v>4.58830837060879</v>
      </c>
      <c r="F9132" s="48" t="n">
        <f aca="false">(F9123+F9127)*Assumptions!$E$29</f>
        <v>4.26990206474738</v>
      </c>
      <c r="G9132" s="48" t="n">
        <f aca="false">(G9123+G9127)*Assumptions!$E$29</f>
        <v>5.844267072</v>
      </c>
      <c r="H9132" s="48" t="n">
        <f aca="false">(H9123+H9127)*Assumptions!$E$29</f>
        <v>7.17956301044434</v>
      </c>
      <c r="I9132" s="48" t="n">
        <f aca="false">(I9123+I9127)*Assumptions!$E$29</f>
        <v>12.8463930542132</v>
      </c>
      <c r="J9132" s="48" t="n">
        <f aca="false">(J9123+J9127)*Assumptions!$E$29</f>
        <v>17.6921476412567</v>
      </c>
      <c r="K9132" s="48" t="n">
        <f aca="false">(K9123+K9127)*Assumptions!$E$29</f>
        <v>16.4643985629052</v>
      </c>
      <c r="L9132" s="48" t="n">
        <f aca="false">(L9123+L9127)*Assumptions!$E$29</f>
        <v>15.3218493048332</v>
      </c>
      <c r="M9132" s="48" t="n">
        <f aca="false">(M9123+M9127)*Assumptions!$E$29</f>
        <v>14.2585874135079</v>
      </c>
      <c r="N9132" s="48" t="n">
        <f aca="false">(N9123+N9127)*Assumptions!$E$29</f>
        <v>13.2691107309425</v>
      </c>
      <c r="P9132" s="49" t="n">
        <f aca="false">SUM(C9132:F9132)</f>
        <v>16.4377297212427</v>
      </c>
      <c r="Q9132" s="49" t="n">
        <f aca="false">SUM(G9132:J9132)</f>
        <v>43.5623707779142</v>
      </c>
      <c r="R9132" s="49" t="n">
        <f aca="false">SUM(K9132:N9132)</f>
        <v>59.3139460121888</v>
      </c>
      <c r="S9132" s="50" t="n">
        <f aca="false">SUM(P9132:R9132)</f>
        <v>119.314046511346</v>
      </c>
    </row>
    <row r="9133" customFormat="false" ht="15" hidden="false" customHeight="false" outlineLevel="0" collapsed="false">
      <c r="A9133" s="4" t="s">
        <v>505</v>
      </c>
      <c r="B9133" s="36" t="s">
        <v>504</v>
      </c>
      <c r="C9133" s="48" t="n">
        <f aca="false">C9129*Assumptions!$E$31</f>
        <v>0.883020357632</v>
      </c>
      <c r="D9133" s="48" t="n">
        <f aca="false">D9129*Assumptions!$E$31</f>
        <v>1.766040715264</v>
      </c>
      <c r="E9133" s="48" t="n">
        <f aca="false">E9129*Assumptions!$E$31</f>
        <v>1.766040715264</v>
      </c>
      <c r="F9133" s="48" t="n">
        <f aca="false">F9129*Assumptions!$E$31</f>
        <v>1.766040715264</v>
      </c>
      <c r="G9133" s="48" t="n">
        <f aca="false">G9129*Assumptions!$E$31</f>
        <v>2.389599202816</v>
      </c>
      <c r="H9133" s="48" t="n">
        <f aca="false">H9129*Assumptions!$E$31</f>
        <v>3.013157690368</v>
      </c>
      <c r="I9133" s="48" t="n">
        <f aca="false">I9129*Assumptions!$E$31</f>
        <v>5.068176633856</v>
      </c>
      <c r="J9133" s="48" t="n">
        <f aca="false">J9129*Assumptions!$E$31</f>
        <v>7.123195577344</v>
      </c>
      <c r="K9133" s="48" t="n">
        <f aca="false">K9129*Assumptions!$E$31</f>
        <v>7.123195577344</v>
      </c>
      <c r="L9133" s="48" t="n">
        <f aca="false">L9129*Assumptions!$E$31</f>
        <v>7.123195577344</v>
      </c>
      <c r="M9133" s="48" t="n">
        <f aca="false">M9129*Assumptions!$E$31</f>
        <v>7.123195577344</v>
      </c>
      <c r="N9133" s="48" t="n">
        <f aca="false">N9129*Assumptions!$E$31</f>
        <v>7.123195577344</v>
      </c>
      <c r="P9133" s="49" t="n">
        <f aca="false">SUM(C9133:F9133)</f>
        <v>6.181142503424</v>
      </c>
      <c r="Q9133" s="49" t="n">
        <f aca="false">SUM(G9133:J9133)</f>
        <v>17.594129104384</v>
      </c>
      <c r="R9133" s="49" t="n">
        <f aca="false">SUM(K9133:N9133)</f>
        <v>28.492782309376</v>
      </c>
      <c r="S9133" s="50" t="n">
        <f aca="false">SUM(P9133:R9133)</f>
        <v>52.268053917184</v>
      </c>
    </row>
    <row r="9134" customFormat="false" ht="15" hidden="false" customHeight="false" outlineLevel="0" collapsed="false">
      <c r="A9134" s="4" t="s">
        <v>506</v>
      </c>
      <c r="B9134" s="36" t="s">
        <v>504</v>
      </c>
      <c r="C9134" s="48" t="n">
        <f aca="false">C9131*Assumptions!$E$30</f>
        <v>3</v>
      </c>
      <c r="D9134" s="48" t="n">
        <f aca="false">D9131*Assumptions!$E$30</f>
        <v>4.5</v>
      </c>
      <c r="E9134" s="48" t="n">
        <f aca="false">E9131*Assumptions!$E$30</f>
        <v>6</v>
      </c>
      <c r="F9134" s="48" t="n">
        <f aca="false">F9131*Assumptions!$E$30</f>
        <v>7.5</v>
      </c>
      <c r="G9134" s="48" t="n">
        <f aca="false">G9131*Assumptions!$E$30</f>
        <v>9</v>
      </c>
      <c r="H9134" s="48" t="n">
        <f aca="false">H9131*Assumptions!$E$30</f>
        <v>10.5</v>
      </c>
      <c r="I9134" s="48" t="n">
        <f aca="false">I9131*Assumptions!$E$30</f>
        <v>12</v>
      </c>
      <c r="J9134" s="48" t="n">
        <f aca="false">J9131*Assumptions!$E$30</f>
        <v>13.5</v>
      </c>
      <c r="K9134" s="48" t="n">
        <f aca="false">K9131*Assumptions!$E$30</f>
        <v>15</v>
      </c>
      <c r="L9134" s="48" t="n">
        <f aca="false">L9131*Assumptions!$E$30</f>
        <v>15</v>
      </c>
      <c r="M9134" s="48" t="n">
        <f aca="false">M9131*Assumptions!$E$30</f>
        <v>15</v>
      </c>
      <c r="N9134" s="48" t="n">
        <f aca="false">N9131*Assumptions!$E$30</f>
        <v>15</v>
      </c>
      <c r="P9134" s="49" t="n">
        <f aca="false">SUM(C9134:F9134)</f>
        <v>21</v>
      </c>
      <c r="Q9134" s="49" t="n">
        <f aca="false">SUM(G9134:J9134)</f>
        <v>45</v>
      </c>
      <c r="R9134" s="49" t="n">
        <f aca="false">SUM(K9134:N9134)</f>
        <v>60</v>
      </c>
      <c r="S9134" s="50" t="n">
        <f aca="false">SUM(P9134:R9134)</f>
        <v>126</v>
      </c>
    </row>
    <row r="9135" customFormat="false" ht="15" hidden="false" customHeight="false" outlineLevel="0" collapsed="false">
      <c r="A9135" s="9" t="s">
        <v>507</v>
      </c>
      <c r="B9135" s="36" t="s">
        <v>504</v>
      </c>
      <c r="C9135" s="49" t="n">
        <f aca="false">C9132+C9133+C9134</f>
        <v>6.532081430528</v>
      </c>
      <c r="D9135" s="49" t="n">
        <f aca="false">D9132+D9133+D9134</f>
        <v>11.1964989282545</v>
      </c>
      <c r="E9135" s="49" t="n">
        <f aca="false">E9132+E9133+E9134</f>
        <v>12.3543490858728</v>
      </c>
      <c r="F9135" s="49" t="n">
        <f aca="false">F9132+F9133+F9134</f>
        <v>13.5359427800114</v>
      </c>
      <c r="G9135" s="49" t="n">
        <f aca="false">G9132+G9133+G9134</f>
        <v>17.233866274816</v>
      </c>
      <c r="H9135" s="49" t="n">
        <f aca="false">H9132+H9133+H9134</f>
        <v>20.6927207008123</v>
      </c>
      <c r="I9135" s="49" t="n">
        <f aca="false">I9132+I9133+I9134</f>
        <v>29.9145696880692</v>
      </c>
      <c r="J9135" s="49" t="n">
        <f aca="false">J9132+J9133+J9134</f>
        <v>38.3153432186007</v>
      </c>
      <c r="K9135" s="49" t="n">
        <f aca="false">K9132+K9133+K9134</f>
        <v>38.5875941402492</v>
      </c>
      <c r="L9135" s="49" t="n">
        <f aca="false">L9132+L9133+L9134</f>
        <v>37.4450448821772</v>
      </c>
      <c r="M9135" s="49" t="n">
        <f aca="false">M9132+M9133+M9134</f>
        <v>36.3817829908519</v>
      </c>
      <c r="N9135" s="49" t="n">
        <f aca="false">N9132+N9133+N9134</f>
        <v>35.3923063082865</v>
      </c>
      <c r="P9135" s="49" t="n">
        <f aca="false">SUM(C9135:F9135)</f>
        <v>43.6188722246667</v>
      </c>
      <c r="Q9135" s="49" t="n">
        <f aca="false">SUM(G9135:J9135)</f>
        <v>106.156499882298</v>
      </c>
      <c r="R9135" s="49" t="n">
        <f aca="false">SUM(K9135:N9135)</f>
        <v>147.806728321565</v>
      </c>
      <c r="S9135" s="50" t="n">
        <f aca="false">SUM(P9135:R9135)</f>
        <v>297.58210042853</v>
      </c>
    </row>
    <row r="9136" customFormat="false" ht="15" hidden="false" customHeight="false" outlineLevel="0" collapsed="false">
      <c r="A9136" s="4" t="s">
        <v>508</v>
      </c>
      <c r="B9136" s="36" t="s">
        <v>509</v>
      </c>
      <c r="C9136" s="48" t="n">
        <f aca="false">C9118</f>
        <v>421.51972352</v>
      </c>
      <c r="D9136" s="48" t="n">
        <f aca="false">D9118</f>
        <v>843.03944704</v>
      </c>
      <c r="E9136" s="48" t="n">
        <f aca="false">E9118</f>
        <v>843.03944704</v>
      </c>
      <c r="F9136" s="48" t="n">
        <f aca="false">F9118</f>
        <v>843.03944704</v>
      </c>
      <c r="G9136" s="48" t="n">
        <f aca="false">G9118</f>
        <v>1149.32798176</v>
      </c>
      <c r="H9136" s="48" t="n">
        <f aca="false">H9118</f>
        <v>1455.61651648</v>
      </c>
      <c r="I9136" s="48" t="n">
        <f aca="false">I9118</f>
        <v>2486.00303616</v>
      </c>
      <c r="J9136" s="48" t="n">
        <f aca="false">J9118</f>
        <v>3516.38955584</v>
      </c>
      <c r="K9136" s="48" t="n">
        <f aca="false">K9118</f>
        <v>3516.38955584</v>
      </c>
      <c r="L9136" s="48" t="n">
        <f aca="false">L9118</f>
        <v>3516.38955584</v>
      </c>
      <c r="M9136" s="48" t="n">
        <f aca="false">M9118</f>
        <v>3516.38955584</v>
      </c>
      <c r="N9136" s="48" t="n">
        <f aca="false">N9118</f>
        <v>3516.38955584</v>
      </c>
      <c r="P9136" s="49"/>
      <c r="Q9136" s="49"/>
      <c r="R9136" s="49"/>
      <c r="S9136" s="50"/>
    </row>
    <row r="9137" customFormat="false" ht="15" hidden="false" customHeight="false" outlineLevel="0" collapsed="false">
      <c r="A9137" s="4" t="s">
        <v>510</v>
      </c>
      <c r="B9137" s="36" t="s">
        <v>509</v>
      </c>
      <c r="C9137" s="48" t="n">
        <f aca="false">C9119*Assumptions!$E$18*Assumptions!$E$33</f>
        <v>211.19616</v>
      </c>
      <c r="D9137" s="48" t="n">
        <f aca="false">D9119*Assumptions!$E$18*Assumptions!$E$33</f>
        <v>422.39232</v>
      </c>
      <c r="E9137" s="48" t="n">
        <f aca="false">E9119*Assumptions!$E$18*Assumptions!$E$33</f>
        <v>422.39232</v>
      </c>
      <c r="F9137" s="48" t="n">
        <f aca="false">F9119*Assumptions!$E$18*Assumptions!$E$33</f>
        <v>422.39232</v>
      </c>
      <c r="G9137" s="48" t="n">
        <f aca="false">G9119*Assumptions!$E$18*Assumptions!$E$33</f>
        <v>564.49344</v>
      </c>
      <c r="H9137" s="48" t="n">
        <f aca="false">H9119*Assumptions!$E$18*Assumptions!$E$33</f>
        <v>706.59456</v>
      </c>
      <c r="I9137" s="48" t="n">
        <f aca="false">I9119*Assumptions!$E$18*Assumptions!$E$33</f>
        <v>1135.07072</v>
      </c>
      <c r="J9137" s="48" t="n">
        <f aca="false">J9119*Assumptions!$E$18*Assumptions!$E$33</f>
        <v>1563.54688</v>
      </c>
      <c r="K9137" s="48" t="n">
        <f aca="false">K9119*Assumptions!$E$18*Assumptions!$E$33</f>
        <v>1563.54688</v>
      </c>
      <c r="L9137" s="48" t="n">
        <f aca="false">L9119*Assumptions!$E$18*Assumptions!$E$33</f>
        <v>1563.54688</v>
      </c>
      <c r="M9137" s="48" t="n">
        <f aca="false">M9119*Assumptions!$E$18*Assumptions!$E$33</f>
        <v>1563.54688</v>
      </c>
      <c r="N9137" s="48" t="n">
        <f aca="false">N9119*Assumptions!$E$18*Assumptions!$E$33</f>
        <v>1563.54688</v>
      </c>
      <c r="P9137" s="49"/>
      <c r="Q9137" s="49"/>
      <c r="R9137" s="49"/>
      <c r="S9137" s="50"/>
    </row>
    <row r="9138" customFormat="false" ht="15" hidden="false" customHeight="false" outlineLevel="0" collapsed="false">
      <c r="A9138" s="4" t="s">
        <v>511</v>
      </c>
      <c r="B9138" s="36" t="s">
        <v>509</v>
      </c>
      <c r="C9138" s="48" t="n">
        <f aca="false">C9120*Assumptions!$E$19*Assumptions!$E$34</f>
        <v>34.677888</v>
      </c>
      <c r="D9138" s="48" t="n">
        <f aca="false">D9120*Assumptions!$E$19*Assumptions!$E$34</f>
        <v>69.355776</v>
      </c>
      <c r="E9138" s="48" t="n">
        <f aca="false">E9120*Assumptions!$E$19*Assumptions!$E$34</f>
        <v>69.355776</v>
      </c>
      <c r="F9138" s="48" t="n">
        <f aca="false">F9120*Assumptions!$E$19*Assumptions!$E$34</f>
        <v>69.355776</v>
      </c>
      <c r="G9138" s="48" t="n">
        <f aca="false">G9120*Assumptions!$E$19*Assumptions!$E$34</f>
        <v>86.69472</v>
      </c>
      <c r="H9138" s="48" t="n">
        <f aca="false">H9120*Assumptions!$E$19*Assumptions!$E$34</f>
        <v>104.033664</v>
      </c>
      <c r="I9138" s="48" t="n">
        <f aca="false">I9120*Assumptions!$E$19*Assumptions!$E$34</f>
        <v>159.7008</v>
      </c>
      <c r="J9138" s="48" t="n">
        <f aca="false">J9120*Assumptions!$E$19*Assumptions!$E$34</f>
        <v>215.367936</v>
      </c>
      <c r="K9138" s="48" t="n">
        <f aca="false">K9120*Assumptions!$E$19*Assumptions!$E$34</f>
        <v>215.367936</v>
      </c>
      <c r="L9138" s="48" t="n">
        <f aca="false">L9120*Assumptions!$E$19*Assumptions!$E$34</f>
        <v>215.367936</v>
      </c>
      <c r="M9138" s="48" t="n">
        <f aca="false">M9120*Assumptions!$E$19*Assumptions!$E$34</f>
        <v>215.367936</v>
      </c>
      <c r="N9138" s="48" t="n">
        <f aca="false">N9120*Assumptions!$E$19*Assumptions!$E$34</f>
        <v>215.367936</v>
      </c>
      <c r="P9138" s="49"/>
      <c r="Q9138" s="49"/>
      <c r="R9138" s="49"/>
      <c r="S9138" s="50"/>
    </row>
    <row r="9139" customFormat="false" ht="15" hidden="false" customHeight="false" outlineLevel="0" collapsed="false">
      <c r="A9139" s="4" t="s">
        <v>512</v>
      </c>
      <c r="B9139" s="36" t="s">
        <v>77</v>
      </c>
      <c r="C9139" s="51" t="n">
        <f aca="false">IFERROR(C9136/(C9136+C9137+C9138),0)</f>
        <v>0.631590736245533</v>
      </c>
      <c r="D9139" s="51" t="n">
        <f aca="false">IFERROR(D9136/(D9136+D9137+D9138),0)</f>
        <v>0.631590736245533</v>
      </c>
      <c r="E9139" s="51" t="n">
        <f aca="false">IFERROR(E9136/(E9136+E9137+E9138),0)</f>
        <v>0.631590736245533</v>
      </c>
      <c r="F9139" s="51" t="n">
        <f aca="false">IFERROR(F9136/(F9136+F9137+F9138),0)</f>
        <v>0.631590736245533</v>
      </c>
      <c r="G9139" s="51" t="n">
        <f aca="false">IFERROR(G9136/(G9136+G9137+G9138),0)</f>
        <v>0.638332506498128</v>
      </c>
      <c r="H9139" s="51" t="n">
        <f aca="false">IFERROR(H9136/(H9136+H9137+H9138),0)</f>
        <v>0.642303318118984</v>
      </c>
      <c r="I9139" s="51" t="n">
        <f aca="false">IFERROR(I9136/(I9136+I9137+I9138),0)</f>
        <v>0.657538025405288</v>
      </c>
      <c r="J9139" s="51" t="n">
        <f aca="false">IFERROR(J9136/(J9136+J9137+J9138),0)</f>
        <v>0.664058061428891</v>
      </c>
      <c r="K9139" s="51" t="n">
        <f aca="false">IFERROR(K9136/(K9136+K9137+K9138),0)</f>
        <v>0.664058061428891</v>
      </c>
      <c r="L9139" s="51" t="n">
        <f aca="false">IFERROR(L9136/(L9136+L9137+L9138),0)</f>
        <v>0.664058061428891</v>
      </c>
      <c r="M9139" s="51" t="n">
        <f aca="false">IFERROR(M9136/(M9136+M9137+M9138),0)</f>
        <v>0.664058061428891</v>
      </c>
      <c r="N9139" s="51" t="n">
        <f aca="false">IFERROR(N9136/(N9136+N9137+N9138),0)</f>
        <v>0.664058061428891</v>
      </c>
      <c r="P9139" s="52"/>
      <c r="Q9139" s="52"/>
      <c r="R9139" s="52"/>
      <c r="S9139" s="53"/>
    </row>
    <row r="9140" customFormat="false" ht="15" hidden="false" customHeight="false" outlineLevel="0" collapsed="false">
      <c r="A9140" s="4" t="s">
        <v>513</v>
      </c>
      <c r="B9140" s="36" t="s">
        <v>77</v>
      </c>
      <c r="C9140" s="51" t="n">
        <f aca="false">IFERROR(C9137/(C9136+C9137+C9138),0)</f>
        <v>0.316449102482628</v>
      </c>
      <c r="D9140" s="51" t="n">
        <f aca="false">IFERROR(D9137/(D9136+D9137+D9138),0)</f>
        <v>0.316449102482628</v>
      </c>
      <c r="E9140" s="51" t="n">
        <f aca="false">IFERROR(E9137/(E9136+E9137+E9138),0)</f>
        <v>0.316449102482628</v>
      </c>
      <c r="F9140" s="51" t="n">
        <f aca="false">IFERROR(F9137/(F9136+F9137+F9138),0)</f>
        <v>0.316449102482628</v>
      </c>
      <c r="G9140" s="51" t="n">
        <f aca="false">IFERROR(G9137/(G9136+G9137+G9138),0)</f>
        <v>0.313517566939561</v>
      </c>
      <c r="H9140" s="51" t="n">
        <f aca="false">IFERROR(H9137/(H9136+H9137+H9138),0)</f>
        <v>0.311790932099567</v>
      </c>
      <c r="I9140" s="51" t="n">
        <f aca="false">IFERROR(I9137/(I9136+I9137+I9138),0)</f>
        <v>0.300221741111391</v>
      </c>
      <c r="J9140" s="51" t="n">
        <f aca="false">IFERROR(J9137/(J9136+J9137+J9138),0)</f>
        <v>0.295270445324128</v>
      </c>
      <c r="K9140" s="51" t="n">
        <f aca="false">IFERROR(K9137/(K9136+K9137+K9138),0)</f>
        <v>0.295270445324128</v>
      </c>
      <c r="L9140" s="51" t="n">
        <f aca="false">IFERROR(L9137/(L9136+L9137+L9138),0)</f>
        <v>0.295270445324128</v>
      </c>
      <c r="M9140" s="51" t="n">
        <f aca="false">IFERROR(M9137/(M9136+M9137+M9138),0)</f>
        <v>0.295270445324128</v>
      </c>
      <c r="N9140" s="51" t="n">
        <f aca="false">IFERROR(N9137/(N9136+N9137+N9138),0)</f>
        <v>0.295270445324128</v>
      </c>
      <c r="P9140" s="52"/>
      <c r="Q9140" s="52"/>
      <c r="R9140" s="52"/>
      <c r="S9140" s="53"/>
    </row>
    <row r="9141" customFormat="false" ht="15" hidden="false" customHeight="false" outlineLevel="0" collapsed="false">
      <c r="A9141" s="4" t="s">
        <v>514</v>
      </c>
      <c r="B9141" s="36" t="s">
        <v>77</v>
      </c>
      <c r="C9141" s="51" t="n">
        <f aca="false">IFERROR(C9138/(C9136+C9137+C9138),0)</f>
        <v>0.0519601612718389</v>
      </c>
      <c r="D9141" s="51" t="n">
        <f aca="false">IFERROR(D9138/(D9136+D9137+D9138),0)</f>
        <v>0.0519601612718389</v>
      </c>
      <c r="E9141" s="51" t="n">
        <f aca="false">IFERROR(E9138/(E9136+E9137+E9138),0)</f>
        <v>0.0519601612718389</v>
      </c>
      <c r="F9141" s="51" t="n">
        <f aca="false">IFERROR(F9138/(F9136+F9137+F9138),0)</f>
        <v>0.0519601612718389</v>
      </c>
      <c r="G9141" s="51" t="n">
        <f aca="false">IFERROR(G9138/(G9136+G9137+G9138),0)</f>
        <v>0.0481499265623113</v>
      </c>
      <c r="H9141" s="51" t="n">
        <f aca="false">IFERROR(H9138/(H9136+H9137+H9138),0)</f>
        <v>0.0459057497814491</v>
      </c>
      <c r="I9141" s="51" t="n">
        <f aca="false">IFERROR(I9138/(I9136+I9137+I9138),0)</f>
        <v>0.0422402334833216</v>
      </c>
      <c r="J9141" s="51" t="n">
        <f aca="false">IFERROR(J9138/(J9136+J9137+J9138),0)</f>
        <v>0.0406714932469811</v>
      </c>
      <c r="K9141" s="51" t="n">
        <f aca="false">IFERROR(K9138/(K9136+K9137+K9138),0)</f>
        <v>0.0406714932469811</v>
      </c>
      <c r="L9141" s="51" t="n">
        <f aca="false">IFERROR(L9138/(L9136+L9137+L9138),0)</f>
        <v>0.0406714932469811</v>
      </c>
      <c r="M9141" s="51" t="n">
        <f aca="false">IFERROR(M9138/(M9136+M9137+M9138),0)</f>
        <v>0.0406714932469811</v>
      </c>
      <c r="N9141" s="51" t="n">
        <f aca="false">IFERROR(N9138/(N9136+N9137+N9138),0)</f>
        <v>0.0406714932469811</v>
      </c>
      <c r="P9141" s="52"/>
      <c r="Q9141" s="52"/>
      <c r="R9141" s="52"/>
      <c r="S9141" s="53"/>
    </row>
    <row r="9142" customFormat="false" ht="15" hidden="false" customHeight="false" outlineLevel="0" collapsed="false">
      <c r="A9142" s="4" t="s">
        <v>515</v>
      </c>
      <c r="B9142" s="36" t="s">
        <v>516</v>
      </c>
      <c r="C9142" s="48" t="n">
        <f aca="false">IF(C9110-Assumptions!$E$35&lt;1,0,INDEX($C$9135:$N$9135,1,C9110-Assumptions!$E$35)*INDEX($C$9139:$N$9139,1,C9110-Assumptions!$E$35)*0.21)</f>
        <v>0</v>
      </c>
      <c r="D9142" s="48" t="n">
        <f aca="false">IF(D9110-Assumptions!$E$35&lt;1,0,INDEX($C$9135:$N$9135,1,D9110-Assumptions!$E$35)*INDEX($C$9139:$N$9139,1,D9110-Assumptions!$E$35)*0.21)</f>
        <v>0.866376445183821</v>
      </c>
      <c r="E9142" s="48" t="n">
        <f aca="false">IF(E9110-Assumptions!$E$35&lt;1,0,INDEX($C$9135:$N$9135,1,E9110-Assumptions!$E$35)*INDEX($C$9139:$N$9139,1,E9110-Assumptions!$E$35)*0.21)</f>
        <v>1.4850370503084</v>
      </c>
      <c r="F9142" s="48" t="n">
        <f aca="false">IF(F9110-Assumptions!$E$35&lt;1,0,INDEX($C$9135:$N$9135,1,F9110-Assumptions!$E$35)*INDEX($C$9139:$N$9139,1,F9110-Assumptions!$E$35)*0.21)</f>
        <v>1.63860741134595</v>
      </c>
      <c r="G9142" s="48" t="n">
        <f aca="false">IF(G9110-Assumptions!$E$35&lt;1,0,INDEX($C$9135:$N$9135,1,G9110-Assumptions!$E$35)*INDEX($C$9139:$N$9139,1,G9110-Assumptions!$E$35)*0.21)</f>
        <v>1.79532697390301</v>
      </c>
      <c r="H9142" s="48" t="n">
        <f aca="false">IF(H9110-Assumptions!$E$35&lt;1,0,INDEX($C$9135:$N$9135,1,H9110-Assumptions!$E$35)*INDEX($C$9139:$N$9139,1,H9110-Assumptions!$E$35)*0.21)</f>
        <v>2.31019678172994</v>
      </c>
      <c r="I9142" s="48" t="n">
        <f aca="false">IF(I9110-Assumptions!$E$35&lt;1,0,INDEX($C$9135:$N$9135,1,I9110-Assumptions!$E$35)*INDEX($C$9139:$N$9139,1,I9110-Assumptions!$E$35)*0.21)</f>
        <v>2.79111066507864</v>
      </c>
      <c r="J9142" s="48" t="n">
        <f aca="false">IF(J9110-Assumptions!$E$35&lt;1,0,INDEX($C$9135:$N$9135,1,J9110-Assumptions!$E$35)*INDEX($C$9139:$N$9139,1,J9110-Assumptions!$E$35)*0.21)</f>
        <v>4.1306930875438</v>
      </c>
      <c r="K9142" s="48" t="n">
        <f aca="false">IF(K9110-Assumptions!$E$35&lt;1,0,INDEX($C$9135:$N$9135,1,K9110-Assumptions!$E$35)*INDEX($C$9139:$N$9139,1,K9110-Assumptions!$E$35)*0.21)</f>
        <v>5.34315863355258</v>
      </c>
      <c r="L9142" s="48" t="n">
        <f aca="false">IF(L9110-Assumptions!$E$35&lt;1,0,INDEX($C$9135:$N$9135,1,L9110-Assumptions!$E$35)*INDEX($C$9139:$N$9139,1,L9110-Assumptions!$E$35)*0.21)</f>
        <v>5.38112462159553</v>
      </c>
      <c r="M9142" s="48" t="n">
        <f aca="false">IF(M9110-Assumptions!$E$35&lt;1,0,INDEX($C$9135:$N$9135,1,M9110-Assumptions!$E$35)*INDEX($C$9139:$N$9139,1,M9110-Assumptions!$E$35)*0.21)</f>
        <v>5.22179362206104</v>
      </c>
      <c r="N9142" s="48" t="n">
        <f aca="false">IF(N9110-Assumptions!$E$35&lt;1,0,INDEX($C$9135:$N$9135,1,N9110-Assumptions!$E$35)*INDEX($C$9139:$N$9139,1,N9110-Assumptions!$E$35)*0.21)</f>
        <v>5.07351941968866</v>
      </c>
      <c r="P9142" s="49" t="n">
        <f aca="false">SUM(C9142:F9142)</f>
        <v>3.99002090683817</v>
      </c>
      <c r="Q9142" s="49" t="n">
        <f aca="false">SUM(G9142:J9142)</f>
        <v>11.0273275082554</v>
      </c>
      <c r="R9142" s="49" t="n">
        <f aca="false">SUM(K9142:N9142)</f>
        <v>21.0195962968978</v>
      </c>
      <c r="S9142" s="50" t="n">
        <f aca="false">SUM(P9142:R9142)</f>
        <v>36.0369447119914</v>
      </c>
    </row>
    <row r="9143" customFormat="false" ht="15" hidden="false" customHeight="false" outlineLevel="0" collapsed="false">
      <c r="A9143" s="4" t="s">
        <v>517</v>
      </c>
      <c r="B9143" s="36" t="s">
        <v>516</v>
      </c>
      <c r="C9143" s="48" t="n">
        <f aca="false">IF(C9110-Assumptions!$E$35&lt;1,0,INDEX($C$9135:$N$9135,1,C9110-Assumptions!$E$35)*INDEX($C$9140:$N$9140,1,C9110-Assumptions!$E$35)*0.21)</f>
        <v>0</v>
      </c>
      <c r="D9143" s="48" t="n">
        <f aca="false">IF(D9110-Assumptions!$E$35&lt;1,0,INDEX($C$9135:$N$9135,1,D9110-Assumptions!$E$35)*INDEX($C$9140:$N$9140,1,D9110-Assumptions!$E$35)*0.21)</f>
        <v>0.434084974267145</v>
      </c>
      <c r="E9143" s="48" t="n">
        <f aca="false">IF(E9110-Assumptions!$E$35&lt;1,0,INDEX($C$9135:$N$9135,1,E9110-Assumptions!$E$35)*INDEX($C$9140:$N$9140,1,E9110-Assumptions!$E$35)*0.21)</f>
        <v>0.744055627726705</v>
      </c>
      <c r="F9143" s="48" t="n">
        <f aca="false">IF(F9110-Assumptions!$E$35&lt;1,0,INDEX($C$9135:$N$9135,1,F9110-Assumptions!$E$35)*INDEX($C$9140:$N$9140,1,F9110-Assumptions!$E$35)*0.21)</f>
        <v>0.820999762796119</v>
      </c>
      <c r="G9143" s="48" t="n">
        <f aca="false">IF(G9110-Assumptions!$E$35&lt;1,0,INDEX($C$9135:$N$9135,1,G9110-Assumptions!$E$35)*INDEX($C$9140:$N$9140,1,G9110-Assumptions!$E$35)*0.21)</f>
        <v>0.89952175823807</v>
      </c>
      <c r="H9143" s="48" t="n">
        <f aca="false">IF(H9110-Assumptions!$E$35&lt;1,0,INDEX($C$9135:$N$9135,1,H9110-Assumptions!$E$35)*INDEX($C$9140:$N$9140,1,H9110-Assumptions!$E$35)*0.21)</f>
        <v>1.13465516292283</v>
      </c>
      <c r="I9143" s="48" t="n">
        <f aca="false">IF(I9110-Assumptions!$E$35&lt;1,0,INDEX($C$9135:$N$9135,1,I9110-Assumptions!$E$35)*INDEX($C$9140:$N$9140,1,I9110-Assumptions!$E$35)*0.21)</f>
        <v>1.35487856174628</v>
      </c>
      <c r="J9143" s="48" t="n">
        <f aca="false">IF(J9110-Assumptions!$E$35&lt;1,0,INDEX($C$9135:$N$9135,1,J9110-Assumptions!$E$35)*INDEX($C$9140:$N$9140,1,J9110-Assumptions!$E$35)*0.21)</f>
        <v>1.88601088123353</v>
      </c>
      <c r="K9143" s="48" t="n">
        <f aca="false">IF(K9110-Assumptions!$E$35&lt;1,0,INDEX($C$9135:$N$9135,1,K9110-Assumptions!$E$35)*INDEX($C$9140:$N$9140,1,K9110-Assumptions!$E$35)*0.21)</f>
        <v>2.37581157552964</v>
      </c>
      <c r="L9143" s="48" t="n">
        <f aca="false">IF(L9110-Assumptions!$E$35&lt;1,0,INDEX($C$9135:$N$9135,1,L9110-Assumptions!$E$35)*INDEX($C$9140:$N$9140,1,L9110-Assumptions!$E$35)*0.21)</f>
        <v>2.3926929822134</v>
      </c>
      <c r="M9143" s="48" t="n">
        <f aca="false">IF(M9110-Assumptions!$E$35&lt;1,0,INDEX($C$9135:$N$9135,1,M9110-Assumptions!$E$35)*INDEX($C$9140:$N$9140,1,M9110-Assumptions!$E$35)*0.21)</f>
        <v>2.32184716628391</v>
      </c>
      <c r="N9143" s="48" t="n">
        <f aca="false">IF(N9110-Assumptions!$E$35&lt;1,0,INDEX($C$9135:$N$9135,1,N9110-Assumptions!$E$35)*INDEX($C$9140:$N$9140,1,N9110-Assumptions!$E$35)*0.21)</f>
        <v>2.25591770573287</v>
      </c>
      <c r="P9143" s="49" t="n">
        <f aca="false">SUM(C9143:F9143)</f>
        <v>1.99914036478997</v>
      </c>
      <c r="Q9143" s="49" t="n">
        <f aca="false">SUM(G9143:J9143)</f>
        <v>5.27506636414072</v>
      </c>
      <c r="R9143" s="49" t="n">
        <f aca="false">SUM(K9143:N9143)</f>
        <v>9.34626942975982</v>
      </c>
      <c r="S9143" s="50" t="n">
        <f aca="false">SUM(P9143:R9143)</f>
        <v>16.6204761586905</v>
      </c>
    </row>
    <row r="9144" customFormat="false" ht="15" hidden="false" customHeight="false" outlineLevel="0" collapsed="false">
      <c r="A9144" s="4" t="s">
        <v>518</v>
      </c>
      <c r="B9144" s="36" t="s">
        <v>516</v>
      </c>
      <c r="C9144" s="48" t="n">
        <f aca="false">IF(C9110-Assumptions!$E$36&lt;1,0,INDEX($C$9135:$N$9135,1,C9110-Assumptions!$E$36)*INDEX($C$9141:$N$9141,1,C9110-Assumptions!$E$36)*0.21)</f>
        <v>0</v>
      </c>
      <c r="D9144" s="48" t="n">
        <f aca="false">IF(D9110-Assumptions!$E$36&lt;1,0,INDEX($C$9135:$N$9135,1,D9110-Assumptions!$E$36)*INDEX($C$9141:$N$9141,1,D9110-Assumptions!$E$36)*0.21)</f>
        <v>0</v>
      </c>
      <c r="E9144" s="48" t="n">
        <f aca="false">IF(E9110-Assumptions!$E$36&lt;1,0,INDEX($C$9135:$N$9135,1,E9110-Assumptions!$E$36)*INDEX($C$9141:$N$9141,1,E9110-Assumptions!$E$36)*0.21)</f>
        <v>0.071275680959914</v>
      </c>
      <c r="F9144" s="48" t="n">
        <f aca="false">IF(F9110-Assumptions!$E$36&lt;1,0,INDEX($C$9135:$N$9135,1,F9110-Assumptions!$E$36)*INDEX($C$9141:$N$9141,1,F9110-Assumptions!$E$36)*0.21)</f>
        <v>0.122172096898336</v>
      </c>
      <c r="G9144" s="48" t="n">
        <f aca="false">IF(G9110-Assumptions!$E$36&lt;1,0,INDEX($C$9135:$N$9135,1,G9110-Assumptions!$E$36)*INDEX($C$9141:$N$9141,1,G9110-Assumptions!$E$36)*0.21)</f>
        <v>0.134806133891215</v>
      </c>
      <c r="H9144" s="48" t="n">
        <f aca="false">IF(H9110-Assumptions!$E$36&lt;1,0,INDEX($C$9135:$N$9135,1,H9110-Assumptions!$E$36)*INDEX($C$9141:$N$9141,1,H9110-Assumptions!$E$36)*0.21)</f>
        <v>0.147699251661313</v>
      </c>
      <c r="I9144" s="48" t="n">
        <f aca="false">IF(I9110-Assumptions!$E$36&lt;1,0,INDEX($C$9135:$N$9135,1,I9110-Assumptions!$E$36)*INDEX($C$9141:$N$9141,1,I9110-Assumptions!$E$36)*0.21)</f>
        <v>0.174259973058587</v>
      </c>
      <c r="J9144" s="48" t="n">
        <f aca="false">IF(J9110-Assumptions!$E$36&lt;1,0,INDEX($C$9135:$N$9135,1,J9110-Assumptions!$E$36)*INDEX($C$9141:$N$9141,1,J9110-Assumptions!$E$36)*0.21)</f>
        <v>0.19948212034567</v>
      </c>
      <c r="K9144" s="48" t="n">
        <f aca="false">IF(K9110-Assumptions!$E$36&lt;1,0,INDEX($C$9135:$N$9135,1,K9110-Assumptions!$E$36)*INDEX($C$9141:$N$9141,1,K9110-Assumptions!$E$36)*0.21)</f>
        <v>0.265355665717199</v>
      </c>
      <c r="L9144" s="48" t="n">
        <f aca="false">IF(L9110-Assumptions!$E$36&lt;1,0,INDEX($C$9135:$N$9135,1,L9110-Assumptions!$E$36)*INDEX($C$9141:$N$9141,1,L9110-Assumptions!$E$36)*0.21)</f>
        <v>0.327251866823927</v>
      </c>
      <c r="M9144" s="48" t="n">
        <f aca="false">IF(M9110-Assumptions!$E$36&lt;1,0,INDEX($C$9135:$N$9135,1,M9110-Assumptions!$E$36)*INDEX($C$9141:$N$9141,1,M9110-Assumptions!$E$36)*0.21)</f>
        <v>0.329577165643402</v>
      </c>
      <c r="N9144" s="48" t="n">
        <f aca="false">IF(N9110-Assumptions!$E$36&lt;1,0,INDEX($C$9135:$N$9135,1,N9110-Assumptions!$E$36)*INDEX($C$9141:$N$9141,1,N9110-Assumptions!$E$36)*0.21)</f>
        <v>0.319818636912259</v>
      </c>
      <c r="P9144" s="49" t="n">
        <f aca="false">SUM(C9144:F9144)</f>
        <v>0.19344777785825</v>
      </c>
      <c r="Q9144" s="49" t="n">
        <f aca="false">SUM(G9144:J9144)</f>
        <v>0.656247478956785</v>
      </c>
      <c r="R9144" s="49" t="n">
        <f aca="false">SUM(K9144:N9144)</f>
        <v>1.24200333509679</v>
      </c>
      <c r="S9144" s="50" t="n">
        <f aca="false">SUM(P9144:R9144)</f>
        <v>2.09169859191182</v>
      </c>
    </row>
    <row r="9145" customFormat="false" ht="15" hidden="false" customHeight="false" outlineLevel="0" collapsed="false">
      <c r="A9145" s="4" t="s">
        <v>519</v>
      </c>
      <c r="B9145" s="36" t="s">
        <v>77</v>
      </c>
      <c r="C9145" s="51" t="n">
        <f aca="false">IF(C9110-Assumptions!$E$35&lt;1,0,IFERROR(INDEX($C$9134:$N$9134,1,C9110-Assumptions!$E$35)/INDEX($C$9135:$N$9135,1,C9110-Assumptions!$E$35),0))</f>
        <v>0</v>
      </c>
      <c r="D9145" s="51" t="n">
        <f aca="false">IF(D9110-Assumptions!$E$35&lt;1,0,IFERROR(INDEX($C$9134:$N$9134,1,D9110-Assumptions!$E$35)/INDEX($C$9135:$N$9135,1,D9110-Assumptions!$E$35),0))</f>
        <v>0.459271678087073</v>
      </c>
      <c r="E9145" s="51" t="n">
        <f aca="false">IF(E9110-Assumptions!$E$35&lt;1,0,IFERROR(INDEX($C$9134:$N$9134,1,E9110-Assumptions!$E$35)/INDEX($C$9135:$N$9135,1,E9110-Assumptions!$E$35),0))</f>
        <v>0.401911350042128</v>
      </c>
      <c r="F9145" s="51" t="n">
        <f aca="false">IF(F9110-Assumptions!$E$35&lt;1,0,IFERROR(INDEX($C$9134:$N$9134,1,F9110-Assumptions!$E$35)/INDEX($C$9135:$N$9135,1,F9110-Assumptions!$E$35),0))</f>
        <v>0.485658933408398</v>
      </c>
      <c r="G9145" s="51" t="n">
        <f aca="false">IF(G9110-Assumptions!$E$35&lt;1,0,IFERROR(INDEX($C$9134:$N$9134,1,G9110-Assumptions!$E$35)/INDEX($C$9135:$N$9135,1,G9110-Assumptions!$E$35),0))</f>
        <v>0.554080356417826</v>
      </c>
      <c r="H9145" s="51" t="n">
        <f aca="false">IF(H9110-Assumptions!$E$35&lt;1,0,IFERROR(INDEX($C$9134:$N$9134,1,H9110-Assumptions!$E$35)/INDEX($C$9135:$N$9135,1,H9110-Assumptions!$E$35),0))</f>
        <v>0.522227563825987</v>
      </c>
      <c r="I9145" s="51" t="n">
        <f aca="false">IF(I9110-Assumptions!$E$35&lt;1,0,IFERROR(INDEX($C$9134:$N$9134,1,I9110-Assumptions!$E$35)/INDEX($C$9135:$N$9135,1,I9110-Assumptions!$E$35),0))</f>
        <v>0.507424816282752</v>
      </c>
      <c r="J9145" s="51" t="n">
        <f aca="false">IF(J9110-Assumptions!$E$35&lt;1,0,IFERROR(INDEX($C$9134:$N$9134,1,J9110-Assumptions!$E$35)/INDEX($C$9135:$N$9135,1,J9110-Assumptions!$E$35),0))</f>
        <v>0.401142323795015</v>
      </c>
      <c r="K9145" s="51" t="n">
        <f aca="false">IF(K9110-Assumptions!$E$35&lt;1,0,IFERROR(INDEX($C$9134:$N$9134,1,K9110-Assumptions!$E$35)/INDEX($C$9135:$N$9135,1,K9110-Assumptions!$E$35),0))</f>
        <v>0.352339268448632</v>
      </c>
      <c r="L9145" s="51" t="n">
        <f aca="false">IF(L9110-Assumptions!$E$35&lt;1,0,IFERROR(INDEX($C$9134:$N$9134,1,L9110-Assumptions!$E$35)/INDEX($C$9135:$N$9135,1,L9110-Assumptions!$E$35),0))</f>
        <v>0.388725970981282</v>
      </c>
      <c r="M9145" s="51" t="n">
        <f aca="false">IF(M9110-Assumptions!$E$35&lt;1,0,IFERROR(INDEX($C$9134:$N$9134,1,M9110-Assumptions!$E$35)/INDEX($C$9135:$N$9135,1,M9110-Assumptions!$E$35),0))</f>
        <v>0.400587048224893</v>
      </c>
      <c r="N9145" s="51" t="n">
        <f aca="false">IF(N9110-Assumptions!$E$35&lt;1,0,IFERROR(INDEX($C$9134:$N$9134,1,N9110-Assumptions!$E$35)/INDEX($C$9135:$N$9135,1,N9110-Assumptions!$E$35),0))</f>
        <v>0.412294251872474</v>
      </c>
      <c r="P9145" s="52"/>
      <c r="Q9145" s="52"/>
      <c r="R9145" s="52"/>
      <c r="S9145" s="53"/>
    </row>
    <row r="9146" customFormat="false" ht="15" hidden="false" customHeight="false" outlineLevel="0" collapsed="false">
      <c r="A9146" s="4" t="s">
        <v>520</v>
      </c>
      <c r="B9146" s="36" t="s">
        <v>516</v>
      </c>
      <c r="C9146" s="48" t="n">
        <f aca="false">C9142*Assumptions!$E$37</f>
        <v>0</v>
      </c>
      <c r="D9146" s="48" t="n">
        <f aca="false">D9142*Assumptions!$E$37</f>
        <v>0.259912933555146</v>
      </c>
      <c r="E9146" s="48" t="n">
        <f aca="false">E9142*Assumptions!$E$37</f>
        <v>0.44551111509252</v>
      </c>
      <c r="F9146" s="48" t="n">
        <f aca="false">F9142*Assumptions!$E$37</f>
        <v>0.491582223403786</v>
      </c>
      <c r="G9146" s="48" t="n">
        <f aca="false">G9142*Assumptions!$E$37</f>
        <v>0.538598092170902</v>
      </c>
      <c r="H9146" s="48" t="n">
        <f aca="false">H9142*Assumptions!$E$37</f>
        <v>0.693059034518982</v>
      </c>
      <c r="I9146" s="48" t="n">
        <f aca="false">I9142*Assumptions!$E$37</f>
        <v>0.837333199523593</v>
      </c>
      <c r="J9146" s="48" t="n">
        <f aca="false">J9142*Assumptions!$E$37</f>
        <v>1.23920792626314</v>
      </c>
      <c r="K9146" s="48" t="n">
        <f aca="false">K9142*Assumptions!$E$37</f>
        <v>1.60294759006577</v>
      </c>
      <c r="L9146" s="48" t="n">
        <f aca="false">L9142*Assumptions!$E$37</f>
        <v>1.61433738647866</v>
      </c>
      <c r="M9146" s="48" t="n">
        <f aca="false">M9142*Assumptions!$E$37</f>
        <v>1.56653808661831</v>
      </c>
      <c r="N9146" s="48" t="n">
        <f aca="false">N9142*Assumptions!$E$37</f>
        <v>1.5220558259066</v>
      </c>
      <c r="P9146" s="49" t="n">
        <f aca="false">SUM(C9146:F9146)</f>
        <v>1.19700627205145</v>
      </c>
      <c r="Q9146" s="49" t="n">
        <f aca="false">SUM(G9146:J9146)</f>
        <v>3.30819825247662</v>
      </c>
      <c r="R9146" s="49" t="n">
        <f aca="false">SUM(K9146:N9146)</f>
        <v>6.30587888906934</v>
      </c>
      <c r="S9146" s="50" t="n">
        <f aca="false">SUM(P9146:R9146)</f>
        <v>10.8110834135974</v>
      </c>
    </row>
    <row r="9147" customFormat="false" ht="15" hidden="false" customHeight="false" outlineLevel="0" collapsed="false">
      <c r="A9147" s="4" t="s">
        <v>521</v>
      </c>
      <c r="B9147" s="36" t="s">
        <v>516</v>
      </c>
      <c r="C9147" s="48" t="n">
        <f aca="false">C9142*(1-Assumptions!$E$37)</f>
        <v>0</v>
      </c>
      <c r="D9147" s="48" t="n">
        <f aca="false">D9142*(1-Assumptions!$E$37)</f>
        <v>0.606463511628675</v>
      </c>
      <c r="E9147" s="48" t="n">
        <f aca="false">E9142*(1-Assumptions!$E$37)</f>
        <v>1.03952593521588</v>
      </c>
      <c r="F9147" s="48" t="n">
        <f aca="false">F9142*(1-Assumptions!$E$37)</f>
        <v>1.14702518794217</v>
      </c>
      <c r="G9147" s="48" t="n">
        <f aca="false">G9142*(1-Assumptions!$E$37)</f>
        <v>1.25672888173211</v>
      </c>
      <c r="H9147" s="48" t="n">
        <f aca="false">H9142*(1-Assumptions!$E$37)</f>
        <v>1.61713774721096</v>
      </c>
      <c r="I9147" s="48" t="n">
        <f aca="false">I9142*(1-Assumptions!$E$37)</f>
        <v>1.95377746555505</v>
      </c>
      <c r="J9147" s="48" t="n">
        <f aca="false">J9142*(1-Assumptions!$E$37)</f>
        <v>2.89148516128066</v>
      </c>
      <c r="K9147" s="48" t="n">
        <f aca="false">K9142*(1-Assumptions!$E$37)</f>
        <v>3.7402110434868</v>
      </c>
      <c r="L9147" s="48" t="n">
        <f aca="false">L9142*(1-Assumptions!$E$37)</f>
        <v>3.76678723511687</v>
      </c>
      <c r="M9147" s="48" t="n">
        <f aca="false">M9142*(1-Assumptions!$E$37)</f>
        <v>3.65525553544273</v>
      </c>
      <c r="N9147" s="48" t="n">
        <f aca="false">N9142*(1-Assumptions!$E$37)</f>
        <v>3.55146359378206</v>
      </c>
      <c r="P9147" s="49" t="n">
        <f aca="false">SUM(C9147:F9147)</f>
        <v>2.79301463478672</v>
      </c>
      <c r="Q9147" s="49" t="n">
        <f aca="false">SUM(G9147:J9147)</f>
        <v>7.71912925577877</v>
      </c>
      <c r="R9147" s="49" t="n">
        <f aca="false">SUM(K9147:N9147)</f>
        <v>14.7137174078285</v>
      </c>
      <c r="S9147" s="50" t="n">
        <f aca="false">SUM(P9147:R9147)</f>
        <v>25.225861298394</v>
      </c>
    </row>
    <row r="9148" customFormat="false" ht="15" hidden="false" customHeight="false" outlineLevel="0" collapsed="false">
      <c r="A9148" s="4" t="s">
        <v>522</v>
      </c>
      <c r="B9148" s="36" t="s">
        <v>125</v>
      </c>
      <c r="C9148" s="54" t="n">
        <f aca="false">C9147*$C$9101+C9143*$C$9102+C9144*$C$9103</f>
        <v>0</v>
      </c>
      <c r="D9148" s="54" t="n">
        <f aca="false">D9147*$C$9101+D9143*$C$9102+D9144*$C$9103</f>
        <v>13844.7588536461</v>
      </c>
      <c r="E9148" s="54" t="n">
        <f aca="false">E9147*$C$9101+E9143*$C$9102+E9144*$C$9103</f>
        <v>34739.2186972409</v>
      </c>
      <c r="F9148" s="54" t="n">
        <f aca="false">F9147*$C$9101+F9143*$C$9102+F9144*$C$9103</f>
        <v>45054.0138409989</v>
      </c>
      <c r="G9148" s="54" t="n">
        <f aca="false">G9147*$C$9101+G9143*$C$9102+G9144*$C$9103</f>
        <v>49509.6758298243</v>
      </c>
      <c r="H9148" s="54" t="n">
        <f aca="false">H9147*$C$9101+H9143*$C$9102+H9144*$C$9103</f>
        <v>59171.0753017301</v>
      </c>
      <c r="I9148" s="54" t="n">
        <f aca="false">I9147*$C$9101+I9143*$C$9102+I9144*$C$9103</f>
        <v>70452.1094592205</v>
      </c>
      <c r="J9148" s="54" t="n">
        <f aca="false">J9147*$C$9101+J9143*$C$9102+J9144*$C$9103</f>
        <v>92334.7235299258</v>
      </c>
      <c r="K9148" s="54" t="n">
        <f aca="false">K9147*$C$9101+K9143*$C$9102+K9144*$C$9103</f>
        <v>119010.352111752</v>
      </c>
      <c r="L9148" s="54" t="n">
        <f aca="false">L9147*$C$9101+L9143*$C$9102+L9144*$C$9103</f>
        <v>129124.376252959</v>
      </c>
      <c r="M9148" s="54" t="n">
        <f aca="false">M9147*$C$9101+M9143*$C$9102+M9144*$C$9103</f>
        <v>127156.762720753</v>
      </c>
      <c r="N9148" s="54" t="n">
        <f aca="false">N9147*$C$9101+N9143*$C$9102+N9144*$C$9103</f>
        <v>123484.319554688</v>
      </c>
      <c r="P9148" s="55" t="n">
        <f aca="false">SUM(C9148:F9148)</f>
        <v>93637.9913918859</v>
      </c>
      <c r="Q9148" s="55" t="n">
        <f aca="false">SUM(G9148:J9148)</f>
        <v>271467.584120701</v>
      </c>
      <c r="R9148" s="55" t="n">
        <f aca="false">SUM(K9148:N9148)</f>
        <v>498775.810640153</v>
      </c>
      <c r="S9148" s="56" t="n">
        <f aca="false">SUM(P9148:R9148)</f>
        <v>863881.386152739</v>
      </c>
    </row>
    <row r="9149" customFormat="false" ht="15" hidden="false" customHeight="false" outlineLevel="0" collapsed="false">
      <c r="A9149" s="4" t="s">
        <v>523</v>
      </c>
      <c r="B9149" s="36" t="s">
        <v>125</v>
      </c>
      <c r="C9149" s="54" t="n">
        <f aca="false">(C9125+Assumptions!$D$104*C9111)*$C$9106</f>
        <v>306250</v>
      </c>
      <c r="D9149" s="54" t="n">
        <f aca="false">(D9125+Assumptions!$D$104*D9111)*$C$9106</f>
        <v>306250</v>
      </c>
      <c r="E9149" s="54" t="n">
        <f aca="false">(E9125+Assumptions!$D$104*E9111)*$C$9106</f>
        <v>306250</v>
      </c>
      <c r="F9149" s="54" t="n">
        <f aca="false">(F9125+Assumptions!$D$104*F9111)*$C$9106</f>
        <v>306250</v>
      </c>
      <c r="G9149" s="54" t="n">
        <f aca="false">(G9125+Assumptions!$D$104*G9111)*$C$9106</f>
        <v>306250</v>
      </c>
      <c r="H9149" s="54" t="n">
        <f aca="false">(H9125+Assumptions!$D$104*H9111)*$C$9106</f>
        <v>306250</v>
      </c>
      <c r="I9149" s="54" t="n">
        <f aca="false">(I9125+Assumptions!$D$104*I9111)*$C$9106</f>
        <v>306250</v>
      </c>
      <c r="J9149" s="54" t="n">
        <f aca="false">(J9125+Assumptions!$D$104*J9111)*$C$9106</f>
        <v>306250</v>
      </c>
      <c r="K9149" s="54" t="n">
        <f aca="false">(K9125+Assumptions!$D$104*K9111)*$C$9106</f>
        <v>306250</v>
      </c>
      <c r="L9149" s="54" t="n">
        <f aca="false">(L9125+Assumptions!$D$104*L9111)*$C$9106</f>
        <v>306250</v>
      </c>
      <c r="M9149" s="54" t="n">
        <f aca="false">(M9125+Assumptions!$D$104*M9111)*$C$9106</f>
        <v>306250</v>
      </c>
      <c r="N9149" s="54" t="n">
        <f aca="false">(N9125+Assumptions!$D$104*N9111)*$C$9106</f>
        <v>306250</v>
      </c>
      <c r="P9149" s="55" t="n">
        <f aca="false">SUM(C9149:F9149)</f>
        <v>1225000</v>
      </c>
      <c r="Q9149" s="55" t="n">
        <f aca="false">SUM(G9149:J9149)</f>
        <v>1225000</v>
      </c>
      <c r="R9149" s="55" t="n">
        <f aca="false">SUM(K9149:N9149)</f>
        <v>1225000</v>
      </c>
      <c r="S9149" s="56" t="n">
        <f aca="false">SUM(P9149:R9149)</f>
        <v>3675000</v>
      </c>
    </row>
    <row r="9150" customFormat="false" ht="15" hidden="false" customHeight="false" outlineLevel="0" collapsed="false">
      <c r="A9150" s="4" t="s">
        <v>524</v>
      </c>
      <c r="B9150" s="36" t="s">
        <v>77</v>
      </c>
      <c r="C9150" s="51" t="n">
        <f aca="false">IF(C9148&gt;0,MIN(1,C9149/C9148),1)</f>
        <v>1</v>
      </c>
      <c r="D9150" s="51" t="n">
        <f aca="false">IF(D9148&gt;0,MIN(1,D9149/D9148),1)</f>
        <v>1</v>
      </c>
      <c r="E9150" s="51" t="n">
        <f aca="false">IF(E9148&gt;0,MIN(1,E9149/E9148),1)</f>
        <v>1</v>
      </c>
      <c r="F9150" s="51" t="n">
        <f aca="false">IF(F9148&gt;0,MIN(1,F9149/F9148),1)</f>
        <v>1</v>
      </c>
      <c r="G9150" s="51" t="n">
        <f aca="false">IF(G9148&gt;0,MIN(1,G9149/G9148),1)</f>
        <v>1</v>
      </c>
      <c r="H9150" s="51" t="n">
        <f aca="false">IF(H9148&gt;0,MIN(1,H9149/H9148),1)</f>
        <v>1</v>
      </c>
      <c r="I9150" s="51" t="n">
        <f aca="false">IF(I9148&gt;0,MIN(1,I9149/I9148),1)</f>
        <v>1</v>
      </c>
      <c r="J9150" s="51" t="n">
        <f aca="false">IF(J9148&gt;0,MIN(1,J9149/J9148),1)</f>
        <v>1</v>
      </c>
      <c r="K9150" s="51" t="n">
        <f aca="false">IF(K9148&gt;0,MIN(1,K9149/K9148),1)</f>
        <v>1</v>
      </c>
      <c r="L9150" s="51" t="n">
        <f aca="false">IF(L9148&gt;0,MIN(1,L9149/L9148),1)</f>
        <v>1</v>
      </c>
      <c r="M9150" s="51" t="n">
        <f aca="false">IF(M9148&gt;0,MIN(1,M9149/M9148),1)</f>
        <v>1</v>
      </c>
      <c r="N9150" s="51" t="n">
        <f aca="false">IF(N9148&gt;0,MIN(1,N9149/N9148),1)</f>
        <v>1</v>
      </c>
      <c r="P9150" s="52"/>
      <c r="Q9150" s="52"/>
      <c r="R9150" s="52"/>
      <c r="S9150" s="53"/>
    </row>
    <row r="9151" customFormat="false" ht="15" hidden="false" customHeight="false" outlineLevel="0" collapsed="false">
      <c r="A9151" s="4" t="s">
        <v>525</v>
      </c>
      <c r="B9151" s="36" t="s">
        <v>125</v>
      </c>
      <c r="C9151" s="54" t="n">
        <f aca="false">C9148*(1-C9150)</f>
        <v>0</v>
      </c>
      <c r="D9151" s="54" t="n">
        <f aca="false">D9148*(1-D9150)</f>
        <v>0</v>
      </c>
      <c r="E9151" s="54" t="n">
        <f aca="false">E9148*(1-E9150)</f>
        <v>0</v>
      </c>
      <c r="F9151" s="54" t="n">
        <f aca="false">F9148*(1-F9150)</f>
        <v>0</v>
      </c>
      <c r="G9151" s="54" t="n">
        <f aca="false">G9148*(1-G9150)</f>
        <v>0</v>
      </c>
      <c r="H9151" s="54" t="n">
        <f aca="false">H9148*(1-H9150)</f>
        <v>0</v>
      </c>
      <c r="I9151" s="54" t="n">
        <f aca="false">I9148*(1-I9150)</f>
        <v>0</v>
      </c>
      <c r="J9151" s="54" t="n">
        <f aca="false">J9148*(1-J9150)</f>
        <v>0</v>
      </c>
      <c r="K9151" s="54" t="n">
        <f aca="false">K9148*(1-K9150)</f>
        <v>0</v>
      </c>
      <c r="L9151" s="54" t="n">
        <f aca="false">L9148*(1-L9150)</f>
        <v>0</v>
      </c>
      <c r="M9151" s="54" t="n">
        <f aca="false">M9148*(1-M9150)</f>
        <v>0</v>
      </c>
      <c r="N9151" s="54" t="n">
        <f aca="false">N9148*(1-N9150)</f>
        <v>0</v>
      </c>
      <c r="P9151" s="55" t="n">
        <f aca="false">SUM(C9151:F9151)</f>
        <v>0</v>
      </c>
      <c r="Q9151" s="55" t="n">
        <f aca="false">SUM(G9151:J9151)</f>
        <v>0</v>
      </c>
      <c r="R9151" s="55" t="n">
        <f aca="false">SUM(K9151:N9151)</f>
        <v>0</v>
      </c>
      <c r="S9151" s="56" t="n">
        <f aca="false">SUM(P9151:R9151)</f>
        <v>0</v>
      </c>
    </row>
    <row r="9152" customFormat="false" ht="15" hidden="false" customHeight="false" outlineLevel="0" collapsed="false">
      <c r="A9152" s="4" t="s">
        <v>526</v>
      </c>
      <c r="B9152" s="36" t="s">
        <v>527</v>
      </c>
      <c r="C9152" s="48" t="n">
        <f aca="false">C9146+C9147*C9150</f>
        <v>0</v>
      </c>
      <c r="D9152" s="48" t="n">
        <f aca="false">D9146+D9147*D9150</f>
        <v>0.866376445183821</v>
      </c>
      <c r="E9152" s="48" t="n">
        <f aca="false">E9146+E9147*E9150</f>
        <v>1.4850370503084</v>
      </c>
      <c r="F9152" s="48" t="n">
        <f aca="false">F9146+F9147*F9150</f>
        <v>1.63860741134595</v>
      </c>
      <c r="G9152" s="48" t="n">
        <f aca="false">G9146+G9147*G9150</f>
        <v>1.79532697390301</v>
      </c>
      <c r="H9152" s="48" t="n">
        <f aca="false">H9146+H9147*H9150</f>
        <v>2.31019678172994</v>
      </c>
      <c r="I9152" s="48" t="n">
        <f aca="false">I9146+I9147*I9150</f>
        <v>2.79111066507864</v>
      </c>
      <c r="J9152" s="48" t="n">
        <f aca="false">J9146+J9147*J9150</f>
        <v>4.1306930875438</v>
      </c>
      <c r="K9152" s="48" t="n">
        <f aca="false">K9146+K9147*K9150</f>
        <v>5.34315863355258</v>
      </c>
      <c r="L9152" s="48" t="n">
        <f aca="false">L9146+L9147*L9150</f>
        <v>5.38112462159553</v>
      </c>
      <c r="M9152" s="48" t="n">
        <f aca="false">M9146+M9147*M9150</f>
        <v>5.22179362206104</v>
      </c>
      <c r="N9152" s="48" t="n">
        <f aca="false">N9146+N9147*N9150</f>
        <v>5.07351941968866</v>
      </c>
      <c r="P9152" s="49" t="n">
        <f aca="false">SUM(C9152:F9152)</f>
        <v>3.99002090683817</v>
      </c>
      <c r="Q9152" s="49" t="n">
        <f aca="false">SUM(G9152:J9152)</f>
        <v>11.0273275082554</v>
      </c>
      <c r="R9152" s="49" t="n">
        <f aca="false">SUM(K9152:N9152)</f>
        <v>21.0195962968978</v>
      </c>
      <c r="S9152" s="50" t="n">
        <f aca="false">SUM(P9152:R9152)</f>
        <v>36.0369447119914</v>
      </c>
    </row>
    <row r="9153" customFormat="false" ht="15" hidden="false" customHeight="false" outlineLevel="0" collapsed="false">
      <c r="A9153" s="4" t="s">
        <v>528</v>
      </c>
      <c r="B9153" s="36" t="s">
        <v>527</v>
      </c>
      <c r="C9153" s="48" t="n">
        <f aca="false">C9143*C9150</f>
        <v>0</v>
      </c>
      <c r="D9153" s="48" t="n">
        <f aca="false">D9143*D9150</f>
        <v>0.434084974267145</v>
      </c>
      <c r="E9153" s="48" t="n">
        <f aca="false">E9143*E9150</f>
        <v>0.744055627726705</v>
      </c>
      <c r="F9153" s="48" t="n">
        <f aca="false">F9143*F9150</f>
        <v>0.820999762796119</v>
      </c>
      <c r="G9153" s="48" t="n">
        <f aca="false">G9143*G9150</f>
        <v>0.89952175823807</v>
      </c>
      <c r="H9153" s="48" t="n">
        <f aca="false">H9143*H9150</f>
        <v>1.13465516292283</v>
      </c>
      <c r="I9153" s="48" t="n">
        <f aca="false">I9143*I9150</f>
        <v>1.35487856174628</v>
      </c>
      <c r="J9153" s="48" t="n">
        <f aca="false">J9143*J9150</f>
        <v>1.88601088123353</v>
      </c>
      <c r="K9153" s="48" t="n">
        <f aca="false">K9143*K9150</f>
        <v>2.37581157552964</v>
      </c>
      <c r="L9153" s="48" t="n">
        <f aca="false">L9143*L9150</f>
        <v>2.3926929822134</v>
      </c>
      <c r="M9153" s="48" t="n">
        <f aca="false">M9143*M9150</f>
        <v>2.32184716628391</v>
      </c>
      <c r="N9153" s="48" t="n">
        <f aca="false">N9143*N9150</f>
        <v>2.25591770573287</v>
      </c>
      <c r="P9153" s="49" t="n">
        <f aca="false">SUM(C9153:F9153)</f>
        <v>1.99914036478997</v>
      </c>
      <c r="Q9153" s="49" t="n">
        <f aca="false">SUM(G9153:J9153)</f>
        <v>5.27506636414072</v>
      </c>
      <c r="R9153" s="49" t="n">
        <f aca="false">SUM(K9153:N9153)</f>
        <v>9.34626942975982</v>
      </c>
      <c r="S9153" s="50" t="n">
        <f aca="false">SUM(P9153:R9153)</f>
        <v>16.6204761586905</v>
      </c>
    </row>
    <row r="9154" customFormat="false" ht="15" hidden="false" customHeight="false" outlineLevel="0" collapsed="false">
      <c r="A9154" s="4" t="s">
        <v>529</v>
      </c>
      <c r="B9154" s="36" t="s">
        <v>527</v>
      </c>
      <c r="C9154" s="48" t="n">
        <f aca="false">C9144*C9150</f>
        <v>0</v>
      </c>
      <c r="D9154" s="48" t="n">
        <f aca="false">D9144*D9150</f>
        <v>0</v>
      </c>
      <c r="E9154" s="48" t="n">
        <f aca="false">E9144*E9150</f>
        <v>0.071275680959914</v>
      </c>
      <c r="F9154" s="48" t="n">
        <f aca="false">F9144*F9150</f>
        <v>0.122172096898336</v>
      </c>
      <c r="G9154" s="48" t="n">
        <f aca="false">G9144*G9150</f>
        <v>0.134806133891215</v>
      </c>
      <c r="H9154" s="48" t="n">
        <f aca="false">H9144*H9150</f>
        <v>0.147699251661313</v>
      </c>
      <c r="I9154" s="48" t="n">
        <f aca="false">I9144*I9150</f>
        <v>0.174259973058587</v>
      </c>
      <c r="J9154" s="48" t="n">
        <f aca="false">J9144*J9150</f>
        <v>0.19948212034567</v>
      </c>
      <c r="K9154" s="48" t="n">
        <f aca="false">K9144*K9150</f>
        <v>0.265355665717199</v>
      </c>
      <c r="L9154" s="48" t="n">
        <f aca="false">L9144*L9150</f>
        <v>0.327251866823927</v>
      </c>
      <c r="M9154" s="48" t="n">
        <f aca="false">M9144*M9150</f>
        <v>0.329577165643402</v>
      </c>
      <c r="N9154" s="48" t="n">
        <f aca="false">N9144*N9150</f>
        <v>0.319818636912259</v>
      </c>
      <c r="P9154" s="49" t="n">
        <f aca="false">SUM(C9154:F9154)</f>
        <v>0.19344777785825</v>
      </c>
      <c r="Q9154" s="49" t="n">
        <f aca="false">SUM(G9154:J9154)</f>
        <v>0.656247478956785</v>
      </c>
      <c r="R9154" s="49" t="n">
        <f aca="false">SUM(K9154:N9154)</f>
        <v>1.24200333509679</v>
      </c>
      <c r="S9154" s="50" t="n">
        <f aca="false">SUM(P9154:R9154)</f>
        <v>2.09169859191182</v>
      </c>
    </row>
    <row r="9155" customFormat="false" ht="15" hidden="false" customHeight="false" outlineLevel="0" collapsed="false">
      <c r="A9155" s="9" t="s">
        <v>530</v>
      </c>
      <c r="B9155" s="36" t="s">
        <v>527</v>
      </c>
      <c r="C9155" s="49" t="n">
        <f aca="false">C9152+C9153+C9154</f>
        <v>0</v>
      </c>
      <c r="D9155" s="49" t="n">
        <f aca="false">D9152+D9153+D9154</f>
        <v>1.30046141945097</v>
      </c>
      <c r="E9155" s="49" t="n">
        <f aca="false">E9152+E9153+E9154</f>
        <v>2.30036835899502</v>
      </c>
      <c r="F9155" s="49" t="n">
        <f aca="false">F9152+F9153+F9154</f>
        <v>2.58177927104041</v>
      </c>
      <c r="G9155" s="49" t="n">
        <f aca="false">G9152+G9153+G9154</f>
        <v>2.82965486603229</v>
      </c>
      <c r="H9155" s="49" t="n">
        <f aca="false">H9152+H9153+H9154</f>
        <v>3.59255119631409</v>
      </c>
      <c r="I9155" s="49" t="n">
        <f aca="false">I9152+I9153+I9154</f>
        <v>4.32024919988351</v>
      </c>
      <c r="J9155" s="49" t="n">
        <f aca="false">J9152+J9153+J9154</f>
        <v>6.216186089123</v>
      </c>
      <c r="K9155" s="49" t="n">
        <f aca="false">K9152+K9153+K9154</f>
        <v>7.98432587479941</v>
      </c>
      <c r="L9155" s="49" t="n">
        <f aca="false">L9152+L9153+L9154</f>
        <v>8.10106947063285</v>
      </c>
      <c r="M9155" s="49" t="n">
        <f aca="false">M9152+M9153+M9154</f>
        <v>7.87321795398836</v>
      </c>
      <c r="N9155" s="49" t="n">
        <f aca="false">N9152+N9153+N9154</f>
        <v>7.64925576233379</v>
      </c>
      <c r="P9155" s="49" t="n">
        <f aca="false">SUM(C9155:F9155)</f>
        <v>6.18260904948639</v>
      </c>
      <c r="Q9155" s="49" t="n">
        <f aca="false">SUM(G9155:J9155)</f>
        <v>16.9586413513529</v>
      </c>
      <c r="R9155" s="49" t="n">
        <f aca="false">SUM(K9155:N9155)</f>
        <v>31.6078690617544</v>
      </c>
      <c r="S9155" s="50" t="n">
        <f aca="false">SUM(P9155:R9155)</f>
        <v>54.7491194625937</v>
      </c>
    </row>
    <row r="9156" customFormat="false" ht="15" hidden="false" customHeight="false" outlineLevel="0" collapsed="false">
      <c r="A9156" s="35" t="s">
        <v>533</v>
      </c>
      <c r="B9156" s="35" t="s">
        <v>444</v>
      </c>
      <c r="C9156" s="6" t="s">
        <v>354</v>
      </c>
      <c r="D9156" s="6" t="s">
        <v>355</v>
      </c>
      <c r="E9156" s="6" t="s">
        <v>356</v>
      </c>
      <c r="F9156" s="6" t="s">
        <v>357</v>
      </c>
      <c r="G9156" s="6" t="s">
        <v>358</v>
      </c>
      <c r="H9156" s="6" t="s">
        <v>359</v>
      </c>
      <c r="I9156" s="6" t="s">
        <v>360</v>
      </c>
      <c r="J9156" s="6" t="s">
        <v>361</v>
      </c>
      <c r="K9156" s="6" t="s">
        <v>362</v>
      </c>
      <c r="L9156" s="6" t="s">
        <v>363</v>
      </c>
      <c r="M9156" s="6" t="s">
        <v>364</v>
      </c>
      <c r="N9156" s="6" t="s">
        <v>365</v>
      </c>
      <c r="P9156" s="6" t="s">
        <v>445</v>
      </c>
      <c r="Q9156" s="6" t="s">
        <v>446</v>
      </c>
      <c r="R9156" s="6" t="s">
        <v>447</v>
      </c>
      <c r="S9156" s="6" t="s">
        <v>448</v>
      </c>
    </row>
    <row r="9157" customFormat="false" ht="15" hidden="false" customHeight="false" outlineLevel="0" collapsed="false">
      <c r="A9157" s="4" t="s">
        <v>534</v>
      </c>
      <c r="B9157" s="36" t="s">
        <v>527</v>
      </c>
      <c r="C9157" s="48" t="n">
        <f aca="false">0*Assumptions!$E$59^(1/4)+C9152</f>
        <v>0</v>
      </c>
      <c r="D9157" s="48" t="n">
        <f aca="false">C9157*Assumptions!$E$59^(1/4)+D9152</f>
        <v>0.866376445183821</v>
      </c>
      <c r="E9157" s="48" t="n">
        <f aca="false">D9157*Assumptions!$E$59^(1/4)+E9152</f>
        <v>2.32416329488403</v>
      </c>
      <c r="F9157" s="48" t="n">
        <f aca="false">E9157*Assumptions!$E$59^(1/4)+F9152</f>
        <v>3.88966863104794</v>
      </c>
      <c r="G9157" s="48" t="n">
        <f aca="false">F9157*Assumptions!$E$59^(1/4)+G9152</f>
        <v>5.56265357789716</v>
      </c>
      <c r="H9157" s="48" t="n">
        <f aca="false">G9157*Assumptions!$E$59^(1/4)+H9152</f>
        <v>7.69788781678072</v>
      </c>
      <c r="I9157" s="48" t="n">
        <f aca="false">H9157*Assumptions!$E$59^(1/4)+I9152</f>
        <v>10.2468762630101</v>
      </c>
      <c r="J9157" s="48" t="n">
        <f aca="false">I9157*Assumptions!$E$59^(1/4)+J9152</f>
        <v>14.0552736148763</v>
      </c>
      <c r="K9157" s="48" t="n">
        <f aca="false">J9157*Assumptions!$E$59^(1/4)+K9152</f>
        <v>18.9563507170835</v>
      </c>
      <c r="L9157" s="48" t="n">
        <f aca="false">K9157*Assumptions!$E$59^(1/4)+L9152</f>
        <v>23.7412398769334</v>
      </c>
      <c r="M9157" s="48" t="n">
        <f aca="false">L9157*Assumptions!$E$59^(1/4)+M9152</f>
        <v>28.2162985745513</v>
      </c>
      <c r="N9157" s="48" t="n">
        <f aca="false">M9157*Assumptions!$E$59^(1/4)+N9152</f>
        <v>32.4023287268997</v>
      </c>
      <c r="P9157" s="49" t="n">
        <f aca="false">F9157</f>
        <v>3.88966863104794</v>
      </c>
      <c r="Q9157" s="49" t="n">
        <f aca="false">J9157</f>
        <v>14.0552736148763</v>
      </c>
      <c r="R9157" s="49" t="n">
        <f aca="false">N9157</f>
        <v>32.4023287268997</v>
      </c>
      <c r="S9157" s="50" t="n">
        <f aca="false">R9157</f>
        <v>32.4023287268997</v>
      </c>
    </row>
    <row r="9158" customFormat="false" ht="15" hidden="false" customHeight="false" outlineLevel="0" collapsed="false">
      <c r="A9158" s="4" t="s">
        <v>535</v>
      </c>
      <c r="B9158" s="36" t="s">
        <v>527</v>
      </c>
      <c r="C9158" s="48" t="n">
        <f aca="false">0*Assumptions!$E$60^(1/4)+C9153</f>
        <v>0</v>
      </c>
      <c r="D9158" s="48" t="n">
        <f aca="false">C9158*Assumptions!$E$60^(1/4)+D9153</f>
        <v>0.434084974267145</v>
      </c>
      <c r="E9158" s="48" t="n">
        <f aca="false">D9158*Assumptions!$E$60^(1/4)+E9153</f>
        <v>1.16685601892983</v>
      </c>
      <c r="F9158" s="48" t="n">
        <f aca="false">E9158*Assumptions!$E$60^(1/4)+F9153</f>
        <v>1.95752189677268</v>
      </c>
      <c r="G9158" s="48" t="n">
        <f aca="false">F9158*Assumptions!$E$60^(1/4)+G9153</f>
        <v>2.80615541940422</v>
      </c>
      <c r="H9158" s="48" t="n">
        <f aca="false">G9158*Assumptions!$E$60^(1/4)+H9153</f>
        <v>3.86786105447419</v>
      </c>
      <c r="I9158" s="48" t="n">
        <f aca="false">H9158*Assumptions!$E$60^(1/4)+I9153</f>
        <v>5.12218971945664</v>
      </c>
      <c r="J9158" s="48" t="n">
        <f aca="false">I9158*Assumptions!$E$60^(1/4)+J9153</f>
        <v>6.87504285788544</v>
      </c>
      <c r="K9158" s="48" t="n">
        <f aca="false">J9158*Assumptions!$E$60^(1/4)+K9153</f>
        <v>9.07212907594454</v>
      </c>
      <c r="L9158" s="48" t="n">
        <f aca="false">K9158*Assumptions!$E$60^(1/4)+L9153</f>
        <v>11.2289806902372</v>
      </c>
      <c r="M9158" s="48" t="n">
        <f aca="false">L9158*Assumptions!$E$60^(1/4)+M9153</f>
        <v>13.2589164271123</v>
      </c>
      <c r="N9158" s="48" t="n">
        <f aca="false">M9158*Assumptions!$E$60^(1/4)+N9153</f>
        <v>15.1701519792802</v>
      </c>
      <c r="P9158" s="49" t="n">
        <f aca="false">F9158</f>
        <v>1.95752189677268</v>
      </c>
      <c r="Q9158" s="49" t="n">
        <f aca="false">J9158</f>
        <v>6.87504285788544</v>
      </c>
      <c r="R9158" s="49" t="n">
        <f aca="false">N9158</f>
        <v>15.1701519792802</v>
      </c>
      <c r="S9158" s="50" t="n">
        <f aca="false">R9158</f>
        <v>15.1701519792802</v>
      </c>
    </row>
    <row r="9159" customFormat="false" ht="15" hidden="false" customHeight="false" outlineLevel="0" collapsed="false">
      <c r="A9159" s="4" t="s">
        <v>536</v>
      </c>
      <c r="B9159" s="36" t="s">
        <v>527</v>
      </c>
      <c r="C9159" s="48" t="n">
        <f aca="false">0*Assumptions!$E$61^(1/4)+C9154</f>
        <v>0</v>
      </c>
      <c r="D9159" s="48" t="n">
        <f aca="false">C9159*Assumptions!$E$61^(1/4)+D9154</f>
        <v>0</v>
      </c>
      <c r="E9159" s="48" t="n">
        <f aca="false">D9159*Assumptions!$E$61^(1/4)+E9154</f>
        <v>0.071275680959914</v>
      </c>
      <c r="F9159" s="48" t="n">
        <f aca="false">E9159*Assumptions!$E$61^(1/4)+F9154</f>
        <v>0.191977386314485</v>
      </c>
      <c r="G9159" s="48" t="n">
        <f aca="false">F9159*Assumptions!$E$61^(1/4)+G9154</f>
        <v>0.322823096094288</v>
      </c>
      <c r="H9159" s="48" t="n">
        <f aca="false">G9159*Assumptions!$E$61^(1/4)+H9154</f>
        <v>0.463862623930639</v>
      </c>
      <c r="I9159" s="48" t="n">
        <f aca="false">H9159*Assumptions!$E$61^(1/4)+I9154</f>
        <v>0.628553278667598</v>
      </c>
      <c r="J9159" s="48" t="n">
        <f aca="false">I9159*Assumptions!$E$61^(1/4)+J9154</f>
        <v>0.815068571993006</v>
      </c>
      <c r="K9159" s="48" t="n">
        <f aca="false">J9159*Assumptions!$E$61^(1/4)+K9154</f>
        <v>1.06360966758325</v>
      </c>
      <c r="L9159" s="48" t="n">
        <f aca="false">K9159*Assumptions!$E$61^(1/4)+L9154</f>
        <v>1.36891965128493</v>
      </c>
      <c r="M9159" s="48" t="n">
        <f aca="false">L9159*Assumptions!$E$61^(1/4)+M9154</f>
        <v>1.67025649916167</v>
      </c>
      <c r="N9159" s="48" t="n">
        <f aca="false">M9159*Assumptions!$E$61^(1/4)+N9154</f>
        <v>1.95561834801929</v>
      </c>
      <c r="P9159" s="49" t="n">
        <f aca="false">F9159</f>
        <v>0.191977386314485</v>
      </c>
      <c r="Q9159" s="49" t="n">
        <f aca="false">J9159</f>
        <v>0.815068571993006</v>
      </c>
      <c r="R9159" s="49" t="n">
        <f aca="false">N9159</f>
        <v>1.95561834801929</v>
      </c>
      <c r="S9159" s="50" t="n">
        <f aca="false">R9159</f>
        <v>1.95561834801929</v>
      </c>
    </row>
    <row r="9160" customFormat="false" ht="15" hidden="false" customHeight="false" outlineLevel="0" collapsed="false">
      <c r="A9160" s="9" t="s">
        <v>537</v>
      </c>
      <c r="B9160" s="36" t="s">
        <v>527</v>
      </c>
      <c r="C9160" s="49" t="n">
        <f aca="false">C9157+C9158+C9159</f>
        <v>0</v>
      </c>
      <c r="D9160" s="49" t="n">
        <f aca="false">D9157+D9158+D9159</f>
        <v>1.30046141945097</v>
      </c>
      <c r="E9160" s="49" t="n">
        <f aca="false">E9157+E9158+E9159</f>
        <v>3.56229499477378</v>
      </c>
      <c r="F9160" s="49" t="n">
        <f aca="false">F9157+F9158+F9159</f>
        <v>6.0391679141351</v>
      </c>
      <c r="G9160" s="49" t="n">
        <f aca="false">G9157+G9158+G9159</f>
        <v>8.69163209339566</v>
      </c>
      <c r="H9160" s="49" t="n">
        <f aca="false">H9157+H9158+H9159</f>
        <v>12.0296114951856</v>
      </c>
      <c r="I9160" s="49" t="n">
        <f aca="false">I9157+I9158+I9159</f>
        <v>15.9976192611344</v>
      </c>
      <c r="J9160" s="49" t="n">
        <f aca="false">J9157+J9158+J9159</f>
        <v>21.7453850447547</v>
      </c>
      <c r="K9160" s="49" t="n">
        <f aca="false">K9157+K9158+K9159</f>
        <v>29.0920894606113</v>
      </c>
      <c r="L9160" s="49" t="n">
        <f aca="false">L9157+L9158+L9159</f>
        <v>36.3391402184556</v>
      </c>
      <c r="M9160" s="49" t="n">
        <f aca="false">M9157+M9158+M9159</f>
        <v>43.1454715008253</v>
      </c>
      <c r="N9160" s="49" t="n">
        <f aca="false">N9157+N9158+N9159</f>
        <v>49.5280990541991</v>
      </c>
      <c r="P9160" s="49" t="n">
        <f aca="false">F9160</f>
        <v>6.0391679141351</v>
      </c>
      <c r="Q9160" s="49" t="n">
        <f aca="false">J9160</f>
        <v>21.7453850447547</v>
      </c>
      <c r="R9160" s="49" t="n">
        <f aca="false">N9160</f>
        <v>49.5280990541991</v>
      </c>
      <c r="S9160" s="50" t="n">
        <f aca="false">R9160</f>
        <v>49.5280990541991</v>
      </c>
    </row>
    <row r="9161" customFormat="false" ht="15" hidden="false" customHeight="false" outlineLevel="0" collapsed="false">
      <c r="A9161" s="4" t="s">
        <v>538</v>
      </c>
      <c r="B9161" s="36" t="s">
        <v>125</v>
      </c>
      <c r="C9161" s="54" t="n">
        <f aca="false">0*Assumptions!$E$62^(1/4)+C9152*$C$9101</f>
        <v>0</v>
      </c>
      <c r="D9161" s="54" t="n">
        <f aca="false">C9161*Assumptions!$E$62^(1/4)+D9152*$C$9101</f>
        <v>4636.84673462381</v>
      </c>
      <c r="E9161" s="54" t="n">
        <f aca="false">D9161*Assumptions!$E$62^(1/4)+E9152*$C$9101</f>
        <v>12584.7650278744</v>
      </c>
      <c r="F9161" s="54" t="n">
        <f aca="false">E9161*Assumptions!$E$62^(1/4)+F9152*$C$9101</f>
        <v>21354.5918933979</v>
      </c>
      <c r="G9161" s="54" t="n">
        <f aca="false">F9161*Assumptions!$E$62^(1/4)+G9152*$C$9101</f>
        <v>30963.1818577268</v>
      </c>
      <c r="H9161" s="54" t="n">
        <f aca="false">G9161*Assumptions!$E$62^(1/4)+H9152*$C$9101</f>
        <v>43327.3550335454</v>
      </c>
      <c r="I9161" s="54" t="n">
        <f aca="false">H9161*Assumptions!$E$62^(1/4)+I9152*$C$9101</f>
        <v>58265.3793130463</v>
      </c>
      <c r="J9161" s="54" t="n">
        <f aca="false">I9161*Assumptions!$E$62^(1/4)+J9152*$C$9101</f>
        <v>80372.8487175808</v>
      </c>
      <c r="K9161" s="54" t="n">
        <f aca="false">J9161*Assumptions!$E$62^(1/4)+K9152*$C$9101</f>
        <v>108969.433724354</v>
      </c>
      <c r="L9161" s="54" t="n">
        <f aca="false">K9161*Assumptions!$E$62^(1/4)+L9152*$C$9101</f>
        <v>137769.212699133</v>
      </c>
      <c r="M9161" s="54" t="n">
        <f aca="false">L9161*Assumptions!$E$62^(1/4)+M9152*$C$9101</f>
        <v>165716.252164404</v>
      </c>
      <c r="N9161" s="54" t="n">
        <f aca="false">M9161*Assumptions!$E$62^(1/4)+N9152*$C$9101</f>
        <v>192869.728098578</v>
      </c>
      <c r="P9161" s="55" t="n">
        <f aca="false">F9161</f>
        <v>21354.5918933979</v>
      </c>
      <c r="Q9161" s="55" t="n">
        <f aca="false">J9161</f>
        <v>80372.8487175808</v>
      </c>
      <c r="R9161" s="55" t="n">
        <f aca="false">N9161</f>
        <v>192869.728098578</v>
      </c>
      <c r="S9161" s="56" t="n">
        <f aca="false">R9161</f>
        <v>192869.728098578</v>
      </c>
    </row>
    <row r="9162" customFormat="false" ht="15" hidden="false" customHeight="false" outlineLevel="0" collapsed="false">
      <c r="A9162" s="4" t="s">
        <v>539</v>
      </c>
      <c r="B9162" s="36" t="s">
        <v>125</v>
      </c>
      <c r="C9162" s="54" t="n">
        <f aca="false">0*Assumptions!$E$63^(1/4)+C9153*$C$9102</f>
        <v>0</v>
      </c>
      <c r="D9162" s="54" t="n">
        <f aca="false">C9162*Assumptions!$E$63^(1/4)+D9153*$C$9102</f>
        <v>10598.9661394094</v>
      </c>
      <c r="E9162" s="54" t="n">
        <f aca="false">D9162*Assumptions!$E$63^(1/4)+E9153*$C$9102</f>
        <v>28921.9514286601</v>
      </c>
      <c r="F9162" s="54" t="n">
        <f aca="false">E9162*Assumptions!$E$63^(1/4)+F9153*$C$9102</f>
        <v>49392.5349673256</v>
      </c>
      <c r="G9162" s="54" t="n">
        <f aca="false">F9162*Assumptions!$E$63^(1/4)+G9153*$C$9102</f>
        <v>72080.7565834018</v>
      </c>
      <c r="H9162" s="54" t="n">
        <f aca="false">G9162*Assumptions!$E$63^(1/4)+H9153*$C$9102</f>
        <v>100843.107064504</v>
      </c>
      <c r="I9162" s="54" t="n">
        <f aca="false">H9162*Assumptions!$E$63^(1/4)+I9153*$C$9102</f>
        <v>135404.662607294</v>
      </c>
      <c r="J9162" s="54" t="n">
        <f aca="false">I9162*Assumptions!$E$63^(1/4)+J9153*$C$9102</f>
        <v>183441.920888885</v>
      </c>
      <c r="K9162" s="54" t="n">
        <f aca="false">J9162*Assumptions!$E$63^(1/4)+K9153*$C$9102</f>
        <v>244143.436259011</v>
      </c>
      <c r="L9162" s="54" t="n">
        <f aca="false">K9162*Assumptions!$E$63^(1/4)+L9153*$C$9102</f>
        <v>306147.866264032</v>
      </c>
      <c r="M9162" s="54" t="n">
        <f aca="false">L9162*Assumptions!$E$63^(1/4)+M9153*$C$9102</f>
        <v>367332.311595531</v>
      </c>
      <c r="N9162" s="54" t="n">
        <f aca="false">M9162*Assumptions!$E$63^(1/4)+N9153*$C$9102</f>
        <v>427804.781592136</v>
      </c>
      <c r="P9162" s="55" t="n">
        <f aca="false">F9162</f>
        <v>49392.5349673256</v>
      </c>
      <c r="Q9162" s="55" t="n">
        <f aca="false">J9162</f>
        <v>183441.920888885</v>
      </c>
      <c r="R9162" s="55" t="n">
        <f aca="false">N9162</f>
        <v>427804.781592136</v>
      </c>
      <c r="S9162" s="56" t="n">
        <f aca="false">R9162</f>
        <v>427804.781592136</v>
      </c>
    </row>
    <row r="9163" customFormat="false" ht="15" hidden="false" customHeight="false" outlineLevel="0" collapsed="false">
      <c r="A9163" s="4" t="s">
        <v>540</v>
      </c>
      <c r="B9163" s="36" t="s">
        <v>125</v>
      </c>
      <c r="C9163" s="54" t="n">
        <f aca="false">0*Assumptions!$E$64^(1/4)+C9154*$C$9103</f>
        <v>0</v>
      </c>
      <c r="D9163" s="54" t="n">
        <f aca="false">C9163*Assumptions!$E$64^(1/4)+D9154*$C$9103</f>
        <v>0</v>
      </c>
      <c r="E9163" s="54" t="n">
        <f aca="false">D9163*Assumptions!$E$64^(1/4)+E9154*$C$9103</f>
        <v>11008.2182013913</v>
      </c>
      <c r="F9163" s="54" t="n">
        <f aca="false">E9163*Assumptions!$E$64^(1/4)+F9154*$C$9103</f>
        <v>30268.5970272102</v>
      </c>
      <c r="G9163" s="54" t="n">
        <f aca="false">F9163*Assumptions!$E$64^(1/4)+G9154*$C$9103</f>
        <v>52165.109809766</v>
      </c>
      <c r="H9163" s="54" t="n">
        <f aca="false">G9163*Assumptions!$E$64^(1/4)+H9154*$C$9103</f>
        <v>76831.5062981306</v>
      </c>
      <c r="I9163" s="54" t="n">
        <f aca="false">H9163*Assumptions!$E$64^(1/4)+I9154*$C$9103</f>
        <v>106477.180025536</v>
      </c>
      <c r="J9163" s="54" t="n">
        <f aca="false">I9163*Assumptions!$E$64^(1/4)+J9154*$C$9103</f>
        <v>141072.447576304</v>
      </c>
      <c r="K9163" s="54" t="n">
        <f aca="false">J9163*Assumptions!$E$64^(1/4)+K9154*$C$9103</f>
        <v>187071.738201814</v>
      </c>
      <c r="L9163" s="54" t="n">
        <f aca="false">K9163*Assumptions!$E$64^(1/4)+L9154*$C$9103</f>
        <v>244266.273542499</v>
      </c>
      <c r="M9163" s="54" t="n">
        <f aca="false">L9163*Assumptions!$E$64^(1/4)+M9154*$C$9103</f>
        <v>303853.668802793</v>
      </c>
      <c r="N9163" s="54" t="n">
        <f aca="false">M9163*Assumptions!$E$64^(1/4)+N9154*$C$9103</f>
        <v>364052.714992057</v>
      </c>
      <c r="P9163" s="55" t="n">
        <f aca="false">F9163</f>
        <v>30268.5970272102</v>
      </c>
      <c r="Q9163" s="55" t="n">
        <f aca="false">J9163</f>
        <v>141072.447576304</v>
      </c>
      <c r="R9163" s="55" t="n">
        <f aca="false">N9163</f>
        <v>364052.714992057</v>
      </c>
      <c r="S9163" s="56" t="n">
        <f aca="false">R9163</f>
        <v>364052.714992057</v>
      </c>
    </row>
    <row r="9164" customFormat="false" ht="15" hidden="false" customHeight="false" outlineLevel="0" collapsed="false">
      <c r="A9164" s="9" t="s">
        <v>541</v>
      </c>
      <c r="B9164" s="36" t="s">
        <v>125</v>
      </c>
      <c r="C9164" s="55" t="n">
        <f aca="false">C9161+C9162+C9163</f>
        <v>0</v>
      </c>
      <c r="D9164" s="55" t="n">
        <f aca="false">D9161+D9162+D9163</f>
        <v>15235.8128740332</v>
      </c>
      <c r="E9164" s="55" t="n">
        <f aca="false">E9161+E9162+E9163</f>
        <v>52514.9346579258</v>
      </c>
      <c r="F9164" s="55" t="n">
        <f aca="false">F9161+F9162+F9163</f>
        <v>101015.723887934</v>
      </c>
      <c r="G9164" s="55" t="n">
        <f aca="false">G9161+G9162+G9163</f>
        <v>155209.048250895</v>
      </c>
      <c r="H9164" s="55" t="n">
        <f aca="false">H9161+H9162+H9163</f>
        <v>221001.96839618</v>
      </c>
      <c r="I9164" s="55" t="n">
        <f aca="false">I9161+I9162+I9163</f>
        <v>300147.221945876</v>
      </c>
      <c r="J9164" s="55" t="n">
        <f aca="false">J9161+J9162+J9163</f>
        <v>404887.21718277</v>
      </c>
      <c r="K9164" s="55" t="n">
        <f aca="false">K9161+K9162+K9163</f>
        <v>540184.608185178</v>
      </c>
      <c r="L9164" s="55" t="n">
        <f aca="false">L9161+L9162+L9163</f>
        <v>688183.352505664</v>
      </c>
      <c r="M9164" s="55" t="n">
        <f aca="false">M9161+M9162+M9163</f>
        <v>836902.232562728</v>
      </c>
      <c r="N9164" s="55" t="n">
        <f aca="false">N9161+N9162+N9163</f>
        <v>984727.224682771</v>
      </c>
      <c r="P9164" s="55" t="n">
        <f aca="false">F9164</f>
        <v>101015.723887934</v>
      </c>
      <c r="Q9164" s="55" t="n">
        <f aca="false">J9164</f>
        <v>404887.21718277</v>
      </c>
      <c r="R9164" s="55" t="n">
        <f aca="false">N9164</f>
        <v>984727.224682771</v>
      </c>
      <c r="S9164" s="56" t="n">
        <f aca="false">R9164</f>
        <v>984727.224682771</v>
      </c>
    </row>
    <row r="9165" customFormat="false" ht="15" hidden="false" customHeight="false" outlineLevel="0" collapsed="false">
      <c r="A9165" s="4" t="s">
        <v>542</v>
      </c>
      <c r="B9165" s="36" t="s">
        <v>125</v>
      </c>
      <c r="C9165" s="54" t="n">
        <f aca="false">C9152*$C$9101+C9153*$C$9102+C9154*$C$9103</f>
        <v>0</v>
      </c>
      <c r="D9165" s="54" t="n">
        <f aca="false">D9152*$C$9101+D9153*$C$9102+D9154*$C$9103</f>
        <v>15235.8128740332</v>
      </c>
      <c r="E9165" s="54" t="n">
        <f aca="false">E9152*$C$9101+E9153*$C$9102+E9154*$C$9103</f>
        <v>37123.5941852161</v>
      </c>
      <c r="F9165" s="54" t="n">
        <f aca="false">F9152*$C$9101+F9153*$C$9102+F9154*$C$9103</f>
        <v>47684.961900656</v>
      </c>
      <c r="G9165" s="54" t="n">
        <f aca="false">G9152*$C$9101+G9153*$C$9102+G9154*$C$9103</f>
        <v>52392.2528191229</v>
      </c>
      <c r="H9165" s="54" t="n">
        <f aca="false">H9152*$C$9101+H9153*$C$9102+H9154*$C$9103</f>
        <v>62880.3272544757</v>
      </c>
      <c r="I9165" s="54" t="n">
        <f aca="false">I9152*$C$9101+I9153*$C$9102+I9154*$C$9103</f>
        <v>74933.5167430707</v>
      </c>
      <c r="J9165" s="54" t="n">
        <f aca="false">J9152*$C$9101+J9153*$C$9102+J9154*$C$9103</f>
        <v>98966.9643512861</v>
      </c>
      <c r="K9165" s="54" t="n">
        <f aca="false">K9152*$C$9101+K9153*$C$9102+K9154*$C$9103</f>
        <v>127589.327613784</v>
      </c>
      <c r="L9165" s="54" t="n">
        <f aca="false">L9152*$C$9101+L9153*$C$9102+L9154*$C$9103</f>
        <v>137764.309945393</v>
      </c>
      <c r="M9165" s="54" t="n">
        <f aca="false">M9152*$C$9101+M9153*$C$9102+M9154*$C$9103</f>
        <v>135540.874560335</v>
      </c>
      <c r="N9165" s="54" t="n">
        <f aca="false">N9152*$C$9101+N9153*$C$9102+N9154*$C$9103</f>
        <v>131630.36233494</v>
      </c>
      <c r="P9165" s="55" t="n">
        <f aca="false">SUM(C9165:F9165)</f>
        <v>100044.368959905</v>
      </c>
      <c r="Q9165" s="55" t="n">
        <f aca="false">SUM(G9165:J9165)</f>
        <v>289173.061167955</v>
      </c>
      <c r="R9165" s="55" t="n">
        <f aca="false">SUM(K9165:N9165)</f>
        <v>532524.874454452</v>
      </c>
      <c r="S9165" s="56" t="n">
        <f aca="false">SUM(P9165:R9165)</f>
        <v>921742.304582313</v>
      </c>
    </row>
    <row r="9166" customFormat="false" ht="15" hidden="false" customHeight="false" outlineLevel="0" collapsed="false">
      <c r="A9166" s="9" t="s">
        <v>543</v>
      </c>
      <c r="B9166" s="36" t="s">
        <v>125</v>
      </c>
      <c r="C9166" s="55" t="n">
        <f aca="false">(0+C9164)/8</f>
        <v>0</v>
      </c>
      <c r="D9166" s="55" t="n">
        <f aca="false">(C9164+D9164)/8</f>
        <v>1904.47660925415</v>
      </c>
      <c r="E9166" s="55" t="n">
        <f aca="false">(D9164+E9164)/8</f>
        <v>8468.84344149487</v>
      </c>
      <c r="F9166" s="55" t="n">
        <f aca="false">(E9164+F9164)/8</f>
        <v>19191.3323182324</v>
      </c>
      <c r="G9166" s="55" t="n">
        <f aca="false">(F9164+G9164)/8</f>
        <v>32028.0965173535</v>
      </c>
      <c r="H9166" s="55" t="n">
        <f aca="false">(G9164+H9164)/8</f>
        <v>47026.3770808844</v>
      </c>
      <c r="I9166" s="55" t="n">
        <f aca="false">(H9164+I9164)/8</f>
        <v>65143.6487927571</v>
      </c>
      <c r="J9166" s="55" t="n">
        <f aca="false">(I9164+J9164)/8</f>
        <v>88129.3048910807</v>
      </c>
      <c r="K9166" s="55" t="n">
        <f aca="false">(J9164+K9164)/8</f>
        <v>118133.978170993</v>
      </c>
      <c r="L9166" s="55" t="n">
        <f aca="false">(K9164+L9164)/8</f>
        <v>153545.995086355</v>
      </c>
      <c r="M9166" s="55" t="n">
        <f aca="false">(L9164+M9164)/8</f>
        <v>190635.698133549</v>
      </c>
      <c r="N9166" s="55" t="n">
        <f aca="false">(M9164+N9164)/8</f>
        <v>227703.682155687</v>
      </c>
      <c r="P9166" s="55" t="n">
        <f aca="false">SUM(C9166:F9166)</f>
        <v>29564.6523689815</v>
      </c>
      <c r="Q9166" s="55" t="n">
        <f aca="false">SUM(G9166:J9166)</f>
        <v>232327.427282076</v>
      </c>
      <c r="R9166" s="55" t="n">
        <f aca="false">SUM(K9166:N9166)</f>
        <v>690019.353546585</v>
      </c>
      <c r="S9166" s="56" t="n">
        <f aca="false">SUM(P9166:R9166)</f>
        <v>951911.433197642</v>
      </c>
    </row>
    <row r="9167" customFormat="false" ht="15" hidden="false" customHeight="false" outlineLevel="0" collapsed="false">
      <c r="A9167" s="4" t="s">
        <v>544</v>
      </c>
      <c r="B9167" s="36" t="s">
        <v>125</v>
      </c>
      <c r="C9167" s="54" t="n">
        <f aca="false">C9166*Assumptions!$E$76</f>
        <v>0</v>
      </c>
      <c r="D9167" s="54" t="n">
        <f aca="false">D9166*Assumptions!$E$76</f>
        <v>1237.9097960152</v>
      </c>
      <c r="E9167" s="54" t="n">
        <f aca="false">E9166*Assumptions!$E$76</f>
        <v>5504.74823697167</v>
      </c>
      <c r="F9167" s="54" t="n">
        <f aca="false">F9166*Assumptions!$E$76</f>
        <v>12474.3660068511</v>
      </c>
      <c r="G9167" s="54" t="n">
        <f aca="false">G9166*Assumptions!$E$76</f>
        <v>20818.2627362798</v>
      </c>
      <c r="H9167" s="54" t="n">
        <f aca="false">H9166*Assumptions!$E$76</f>
        <v>30567.1451025749</v>
      </c>
      <c r="I9167" s="54" t="n">
        <f aca="false">I9166*Assumptions!$E$76</f>
        <v>42343.3717152921</v>
      </c>
      <c r="J9167" s="54" t="n">
        <f aca="false">J9166*Assumptions!$E$76</f>
        <v>57284.0481792025</v>
      </c>
      <c r="K9167" s="54" t="n">
        <f aca="false">K9166*Assumptions!$E$76</f>
        <v>76787.0858111458</v>
      </c>
      <c r="L9167" s="54" t="n">
        <f aca="false">L9166*Assumptions!$E$76</f>
        <v>99804.8968061309</v>
      </c>
      <c r="M9167" s="54" t="n">
        <f aca="false">M9166*Assumptions!$E$76</f>
        <v>123913.203786807</v>
      </c>
      <c r="N9167" s="54" t="n">
        <f aca="false">N9166*Assumptions!$E$76</f>
        <v>148007.393401197</v>
      </c>
      <c r="P9167" s="55" t="n">
        <f aca="false">SUM(C9167:F9167)</f>
        <v>19217.024039838</v>
      </c>
      <c r="Q9167" s="55" t="n">
        <f aca="false">SUM(G9167:J9167)</f>
        <v>151012.827733349</v>
      </c>
      <c r="R9167" s="55" t="n">
        <f aca="false">SUM(K9167:N9167)</f>
        <v>448512.57980528</v>
      </c>
      <c r="S9167" s="56" t="n">
        <f aca="false">SUM(P9167:R9167)</f>
        <v>618742.431578468</v>
      </c>
    </row>
    <row r="9168" customFormat="false" ht="15" hidden="false" customHeight="false" outlineLevel="0" collapsed="false">
      <c r="A9168" s="35" t="s">
        <v>547</v>
      </c>
      <c r="B9168" s="35" t="s">
        <v>444</v>
      </c>
      <c r="C9168" s="6" t="s">
        <v>354</v>
      </c>
      <c r="D9168" s="6" t="s">
        <v>355</v>
      </c>
      <c r="E9168" s="6" t="s">
        <v>356</v>
      </c>
      <c r="F9168" s="6" t="s">
        <v>357</v>
      </c>
      <c r="G9168" s="6" t="s">
        <v>358</v>
      </c>
      <c r="H9168" s="6" t="s">
        <v>359</v>
      </c>
      <c r="I9168" s="6" t="s">
        <v>360</v>
      </c>
      <c r="J9168" s="6" t="s">
        <v>361</v>
      </c>
      <c r="K9168" s="6" t="s">
        <v>362</v>
      </c>
      <c r="L9168" s="6" t="s">
        <v>363</v>
      </c>
      <c r="M9168" s="6" t="s">
        <v>364</v>
      </c>
      <c r="N9168" s="6" t="s">
        <v>365</v>
      </c>
      <c r="P9168" s="6" t="s">
        <v>445</v>
      </c>
      <c r="Q9168" s="6" t="s">
        <v>446</v>
      </c>
      <c r="R9168" s="6" t="s">
        <v>447</v>
      </c>
      <c r="S9168" s="6" t="s">
        <v>448</v>
      </c>
    </row>
    <row r="9169" customFormat="false" ht="15" hidden="false" customHeight="false" outlineLevel="0" collapsed="false">
      <c r="A9169" s="4" t="s">
        <v>548</v>
      </c>
      <c r="B9169" s="36" t="s">
        <v>321</v>
      </c>
      <c r="C9169" s="48" t="n">
        <f aca="false">Assumptions!$D$97*C9111</f>
        <v>1</v>
      </c>
      <c r="D9169" s="48" t="n">
        <f aca="false">Assumptions!$D$97*D9111</f>
        <v>1</v>
      </c>
      <c r="E9169" s="48" t="n">
        <f aca="false">Assumptions!$D$97*E9111</f>
        <v>1</v>
      </c>
      <c r="F9169" s="48" t="n">
        <f aca="false">Assumptions!$D$97*F9111</f>
        <v>1</v>
      </c>
      <c r="G9169" s="48" t="n">
        <f aca="false">Assumptions!$D$97*G9111</f>
        <v>1</v>
      </c>
      <c r="H9169" s="48" t="n">
        <f aca="false">Assumptions!$D$97*H9111</f>
        <v>1</v>
      </c>
      <c r="I9169" s="48" t="n">
        <f aca="false">Assumptions!$D$97*I9111</f>
        <v>1</v>
      </c>
      <c r="J9169" s="48" t="n">
        <f aca="false">Assumptions!$D$97*J9111</f>
        <v>1</v>
      </c>
      <c r="K9169" s="48" t="n">
        <f aca="false">Assumptions!$D$97*K9111</f>
        <v>1</v>
      </c>
      <c r="L9169" s="48" t="n">
        <f aca="false">Assumptions!$D$97*L9111</f>
        <v>1</v>
      </c>
      <c r="M9169" s="48" t="n">
        <f aca="false">Assumptions!$D$97*M9111</f>
        <v>1</v>
      </c>
      <c r="N9169" s="48" t="n">
        <f aca="false">Assumptions!$D$97*N9111</f>
        <v>1</v>
      </c>
      <c r="P9169" s="49" t="n">
        <f aca="false">AVERAGE(C9169:F9169)</f>
        <v>1</v>
      </c>
      <c r="Q9169" s="49" t="n">
        <f aca="false">AVERAGE(G9169:J9169)</f>
        <v>1</v>
      </c>
      <c r="R9169" s="49" t="n">
        <f aca="false">AVERAGE(K9169:N9169)</f>
        <v>1</v>
      </c>
      <c r="S9169" s="50"/>
    </row>
    <row r="9170" customFormat="false" ht="15" hidden="false" customHeight="false" outlineLevel="0" collapsed="false">
      <c r="A9170" s="4" t="s">
        <v>549</v>
      </c>
      <c r="B9170" s="36" t="s">
        <v>321</v>
      </c>
      <c r="C9170" s="48" t="n">
        <f aca="false">C9124*C9111</f>
        <v>0</v>
      </c>
      <c r="D9170" s="48" t="n">
        <f aca="false">D9124*D9111</f>
        <v>0</v>
      </c>
      <c r="E9170" s="48" t="n">
        <f aca="false">E9124*E9111</f>
        <v>0</v>
      </c>
      <c r="F9170" s="48" t="n">
        <f aca="false">F9124*F9111</f>
        <v>0</v>
      </c>
      <c r="G9170" s="48" t="n">
        <f aca="false">G9124*G9111</f>
        <v>0</v>
      </c>
      <c r="H9170" s="48" t="n">
        <f aca="false">H9124*H9111</f>
        <v>0</v>
      </c>
      <c r="I9170" s="48" t="n">
        <f aca="false">I9124*I9111</f>
        <v>0</v>
      </c>
      <c r="J9170" s="48" t="n">
        <f aca="false">J9124*J9111</f>
        <v>0</v>
      </c>
      <c r="K9170" s="48" t="n">
        <f aca="false">K9124*K9111</f>
        <v>0</v>
      </c>
      <c r="L9170" s="48" t="n">
        <f aca="false">L9124*L9111</f>
        <v>0</v>
      </c>
      <c r="M9170" s="48" t="n">
        <f aca="false">M9124*M9111</f>
        <v>0</v>
      </c>
      <c r="N9170" s="48" t="n">
        <f aca="false">N9124*N9111</f>
        <v>0</v>
      </c>
      <c r="P9170" s="49" t="n">
        <f aca="false">AVERAGE(C9170:F9170)</f>
        <v>0</v>
      </c>
      <c r="Q9170" s="49" t="n">
        <f aca="false">AVERAGE(G9170:J9170)</f>
        <v>0</v>
      </c>
      <c r="R9170" s="49" t="n">
        <f aca="false">AVERAGE(K9170:N9170)</f>
        <v>0</v>
      </c>
      <c r="S9170" s="50"/>
    </row>
    <row r="9171" customFormat="false" ht="15" hidden="false" customHeight="false" outlineLevel="0" collapsed="false">
      <c r="A9171" s="4" t="s">
        <v>550</v>
      </c>
      <c r="B9171" s="36" t="s">
        <v>321</v>
      </c>
      <c r="C9171" s="48" t="n">
        <f aca="false">IF(C9110&lt;=4,Assumptions!$D$98,Assumptions!$D$99)*C9111</f>
        <v>0</v>
      </c>
      <c r="D9171" s="48" t="n">
        <f aca="false">IF(D9110&lt;=4,Assumptions!$D$98,Assumptions!$D$99)*D9111</f>
        <v>0</v>
      </c>
      <c r="E9171" s="48" t="n">
        <f aca="false">IF(E9110&lt;=4,Assumptions!$D$98,Assumptions!$D$99)*E9111</f>
        <v>0</v>
      </c>
      <c r="F9171" s="48" t="n">
        <f aca="false">IF(F9110&lt;=4,Assumptions!$D$98,Assumptions!$D$99)*F9111</f>
        <v>0</v>
      </c>
      <c r="G9171" s="48" t="n">
        <f aca="false">IF(G9110&lt;=4,Assumptions!$D$98,Assumptions!$D$99)*G9111</f>
        <v>0.5</v>
      </c>
      <c r="H9171" s="48" t="n">
        <f aca="false">IF(H9110&lt;=4,Assumptions!$D$98,Assumptions!$D$99)*H9111</f>
        <v>0.5</v>
      </c>
      <c r="I9171" s="48" t="n">
        <f aca="false">IF(I9110&lt;=4,Assumptions!$D$98,Assumptions!$D$99)*I9111</f>
        <v>0.5</v>
      </c>
      <c r="J9171" s="48" t="n">
        <f aca="false">IF(J9110&lt;=4,Assumptions!$D$98,Assumptions!$D$99)*J9111</f>
        <v>0.5</v>
      </c>
      <c r="K9171" s="48" t="n">
        <f aca="false">IF(K9110&lt;=4,Assumptions!$D$98,Assumptions!$D$99)*K9111</f>
        <v>0.5</v>
      </c>
      <c r="L9171" s="48" t="n">
        <f aca="false">IF(L9110&lt;=4,Assumptions!$D$98,Assumptions!$D$99)*L9111</f>
        <v>0.5</v>
      </c>
      <c r="M9171" s="48" t="n">
        <f aca="false">IF(M9110&lt;=4,Assumptions!$D$98,Assumptions!$D$99)*M9111</f>
        <v>0.5</v>
      </c>
      <c r="N9171" s="48" t="n">
        <f aca="false">IF(N9110&lt;=4,Assumptions!$D$98,Assumptions!$D$99)*N9111</f>
        <v>0.5</v>
      </c>
      <c r="P9171" s="49" t="n">
        <f aca="false">AVERAGE(C9171:F9171)</f>
        <v>0</v>
      </c>
      <c r="Q9171" s="49" t="n">
        <f aca="false">AVERAGE(G9171:J9171)</f>
        <v>0.5</v>
      </c>
      <c r="R9171" s="49" t="n">
        <f aca="false">AVERAGE(K9171:N9171)</f>
        <v>0.5</v>
      </c>
      <c r="S9171" s="50"/>
    </row>
    <row r="9172" customFormat="false" ht="15" hidden="false" customHeight="false" outlineLevel="0" collapsed="false">
      <c r="A9172" s="4" t="s">
        <v>551</v>
      </c>
      <c r="B9172" s="36" t="s">
        <v>321</v>
      </c>
      <c r="C9172" s="48" t="n">
        <f aca="false">IF(C9110&lt;=4,Assumptions!$D$100,Assumptions!$D$101)*C9111</f>
        <v>1</v>
      </c>
      <c r="D9172" s="48" t="n">
        <f aca="false">IF(D9110&lt;=4,Assumptions!$D$100,Assumptions!$D$101)*D9111</f>
        <v>1</v>
      </c>
      <c r="E9172" s="48" t="n">
        <f aca="false">IF(E9110&lt;=4,Assumptions!$D$100,Assumptions!$D$101)*E9111</f>
        <v>1</v>
      </c>
      <c r="F9172" s="48" t="n">
        <f aca="false">IF(F9110&lt;=4,Assumptions!$D$100,Assumptions!$D$101)*F9111</f>
        <v>1</v>
      </c>
      <c r="G9172" s="48" t="n">
        <f aca="false">IF(G9110&lt;=4,Assumptions!$D$100,Assumptions!$D$101)*G9111</f>
        <v>0.5</v>
      </c>
      <c r="H9172" s="48" t="n">
        <f aca="false">IF(H9110&lt;=4,Assumptions!$D$100,Assumptions!$D$101)*H9111</f>
        <v>0.5</v>
      </c>
      <c r="I9172" s="48" t="n">
        <f aca="false">IF(I9110&lt;=4,Assumptions!$D$100,Assumptions!$D$101)*I9111</f>
        <v>0.5</v>
      </c>
      <c r="J9172" s="48" t="n">
        <f aca="false">IF(J9110&lt;=4,Assumptions!$D$100,Assumptions!$D$101)*J9111</f>
        <v>0.5</v>
      </c>
      <c r="K9172" s="48" t="n">
        <f aca="false">IF(K9110&lt;=4,Assumptions!$D$100,Assumptions!$D$101)*K9111</f>
        <v>0.5</v>
      </c>
      <c r="L9172" s="48" t="n">
        <f aca="false">IF(L9110&lt;=4,Assumptions!$D$100,Assumptions!$D$101)*L9111</f>
        <v>0.5</v>
      </c>
      <c r="M9172" s="48" t="n">
        <f aca="false">IF(M9110&lt;=4,Assumptions!$D$100,Assumptions!$D$101)*M9111</f>
        <v>0.5</v>
      </c>
      <c r="N9172" s="48" t="n">
        <f aca="false">IF(N9110&lt;=4,Assumptions!$D$100,Assumptions!$D$101)*N9111</f>
        <v>0.5</v>
      </c>
      <c r="P9172" s="49" t="n">
        <f aca="false">AVERAGE(C9172:F9172)</f>
        <v>1</v>
      </c>
      <c r="Q9172" s="49" t="n">
        <f aca="false">AVERAGE(G9172:J9172)</f>
        <v>0.5</v>
      </c>
      <c r="R9172" s="49" t="n">
        <f aca="false">AVERAGE(K9172:N9172)</f>
        <v>0.5</v>
      </c>
      <c r="S9172" s="50"/>
    </row>
    <row r="9173" customFormat="false" ht="15" hidden="false" customHeight="false" outlineLevel="0" collapsed="false">
      <c r="A9173" s="4" t="s">
        <v>552</v>
      </c>
      <c r="B9173" s="36" t="s">
        <v>321</v>
      </c>
      <c r="C9173" s="48" t="n">
        <f aca="false">Assumptions!$D$102*C9111</f>
        <v>0.25</v>
      </c>
      <c r="D9173" s="48" t="n">
        <f aca="false">Assumptions!$D$102*D9111</f>
        <v>0.25</v>
      </c>
      <c r="E9173" s="48" t="n">
        <f aca="false">Assumptions!$D$102*E9111</f>
        <v>0.25</v>
      </c>
      <c r="F9173" s="48" t="n">
        <f aca="false">Assumptions!$D$102*F9111</f>
        <v>0.25</v>
      </c>
      <c r="G9173" s="48" t="n">
        <f aca="false">Assumptions!$D$102*G9111</f>
        <v>0.25</v>
      </c>
      <c r="H9173" s="48" t="n">
        <f aca="false">Assumptions!$D$102*H9111</f>
        <v>0.25</v>
      </c>
      <c r="I9173" s="48" t="n">
        <f aca="false">Assumptions!$D$102*I9111</f>
        <v>0.25</v>
      </c>
      <c r="J9173" s="48" t="n">
        <f aca="false">Assumptions!$D$102*J9111</f>
        <v>0.25</v>
      </c>
      <c r="K9173" s="48" t="n">
        <f aca="false">Assumptions!$D$102*K9111</f>
        <v>0.25</v>
      </c>
      <c r="L9173" s="48" t="n">
        <f aca="false">Assumptions!$D$102*L9111</f>
        <v>0.25</v>
      </c>
      <c r="M9173" s="48" t="n">
        <f aca="false">Assumptions!$D$102*M9111</f>
        <v>0.25</v>
      </c>
      <c r="N9173" s="48" t="n">
        <f aca="false">Assumptions!$D$102*N9111</f>
        <v>0.25</v>
      </c>
      <c r="P9173" s="49" t="n">
        <f aca="false">AVERAGE(C9173:F9173)</f>
        <v>0.25</v>
      </c>
      <c r="Q9173" s="49" t="n">
        <f aca="false">AVERAGE(G9173:J9173)</f>
        <v>0.25</v>
      </c>
      <c r="R9173" s="49" t="n">
        <f aca="false">AVERAGE(K9173:N9173)</f>
        <v>0.25</v>
      </c>
      <c r="S9173" s="50"/>
    </row>
    <row r="9174" customFormat="false" ht="15" hidden="false" customHeight="false" outlineLevel="0" collapsed="false">
      <c r="A9174" s="4" t="s">
        <v>553</v>
      </c>
      <c r="B9174" s="36" t="s">
        <v>321</v>
      </c>
      <c r="C9174" s="48" t="n">
        <f aca="false">(C9158+C9159)/Assumptions!$E$74+C9157/Assumptions!$E$75</f>
        <v>0</v>
      </c>
      <c r="D9174" s="48" t="n">
        <f aca="false">(D9158+D9159)/Assumptions!$E$74+D9157/Assumptions!$E$75</f>
        <v>0.0143176301374139</v>
      </c>
      <c r="E9174" s="48" t="n">
        <f aca="false">(E9158+E9159)/Assumptions!$E$74+E9157/Assumptions!$E$75</f>
        <v>0.0402499456767798</v>
      </c>
      <c r="F9174" s="48" t="n">
        <f aca="false">(F9158+F9159)/Assumptions!$E$74+F9157/Assumptions!$E$75</f>
        <v>0.069296156601371</v>
      </c>
      <c r="G9174" s="48" t="n">
        <f aca="false">(G9158+G9159)/Assumptions!$E$74+G9157/Assumptions!$E$75</f>
        <v>0.100475077199051</v>
      </c>
      <c r="H9174" s="48" t="n">
        <f aca="false">(H9158+H9159)/Assumptions!$E$74+H9157/Assumptions!$E$75</f>
        <v>0.139084643227244</v>
      </c>
      <c r="I9174" s="48" t="n">
        <f aca="false">(I9158+I9159)/Assumptions!$E$74+I9157/Assumptions!$E$75</f>
        <v>0.184756080005146</v>
      </c>
      <c r="J9174" s="48" t="n">
        <f aca="false">(J9158+J9159)/Assumptions!$E$74+J9157/Assumptions!$E$75</f>
        <v>0.248473880206466</v>
      </c>
      <c r="K9174" s="48" t="n">
        <f aca="false">(K9158+K9159)/Assumptions!$E$74+K9157/Assumptions!$E$75</f>
        <v>0.329218871456529</v>
      </c>
      <c r="L9174" s="48" t="n">
        <f aca="false">(L9158+L9159)/Assumptions!$E$74+L9157/Assumptions!$E$75</f>
        <v>0.409912468045788</v>
      </c>
      <c r="M9174" s="48" t="n">
        <f aca="false">(M9158+M9159)/Assumptions!$E$74+M9157/Assumptions!$E$75</f>
        <v>0.486094517455055</v>
      </c>
      <c r="N9174" s="48" t="n">
        <f aca="false">(N9158+N9159)/Assumptions!$E$74+N9157/Assumptions!$E$75</f>
        <v>0.557753573090085</v>
      </c>
      <c r="P9174" s="49" t="n">
        <f aca="false">AVERAGE(C9174:F9174)</f>
        <v>0.0309659331038912</v>
      </c>
      <c r="Q9174" s="49" t="n">
        <f aca="false">AVERAGE(G9174:J9174)</f>
        <v>0.168197420159477</v>
      </c>
      <c r="R9174" s="49" t="n">
        <f aca="false">AVERAGE(K9174:N9174)</f>
        <v>0.445744857511864</v>
      </c>
      <c r="S9174" s="50"/>
    </row>
    <row r="9175" customFormat="false" ht="15" hidden="false" customHeight="false" outlineLevel="0" collapsed="false">
      <c r="A9175" s="4" t="s">
        <v>554</v>
      </c>
      <c r="B9175" s="36" t="s">
        <v>125</v>
      </c>
      <c r="C9175" s="54" t="n">
        <f aca="false">(C9169+C9171)*Assumptions!$E$70/Assumptions!$E$69/4</f>
        <v>66753.5714285714</v>
      </c>
      <c r="D9175" s="54" t="n">
        <f aca="false">(D9169+D9171)*Assumptions!$E$70/Assumptions!$E$69/4</f>
        <v>66753.5714285714</v>
      </c>
      <c r="E9175" s="54" t="n">
        <f aca="false">(E9169+E9171)*Assumptions!$E$70/Assumptions!$E$69/4</f>
        <v>66753.5714285714</v>
      </c>
      <c r="F9175" s="54" t="n">
        <f aca="false">(F9169+F9171)*Assumptions!$E$70/Assumptions!$E$69/4</f>
        <v>66753.5714285714</v>
      </c>
      <c r="G9175" s="54" t="n">
        <f aca="false">(G9169+G9171)*Assumptions!$E$70/Assumptions!$E$69/4</f>
        <v>100130.357142857</v>
      </c>
      <c r="H9175" s="54" t="n">
        <f aca="false">(H9169+H9171)*Assumptions!$E$70/Assumptions!$E$69/4</f>
        <v>100130.357142857</v>
      </c>
      <c r="I9175" s="54" t="n">
        <f aca="false">(I9169+I9171)*Assumptions!$E$70/Assumptions!$E$69/4</f>
        <v>100130.357142857</v>
      </c>
      <c r="J9175" s="54" t="n">
        <f aca="false">(J9169+J9171)*Assumptions!$E$70/Assumptions!$E$69/4</f>
        <v>100130.357142857</v>
      </c>
      <c r="K9175" s="54" t="n">
        <f aca="false">(K9169+K9171)*Assumptions!$E$70/Assumptions!$E$69/4</f>
        <v>100130.357142857</v>
      </c>
      <c r="L9175" s="54" t="n">
        <f aca="false">(L9169+L9171)*Assumptions!$E$70/Assumptions!$E$69/4</f>
        <v>100130.357142857</v>
      </c>
      <c r="M9175" s="54" t="n">
        <f aca="false">(M9169+M9171)*Assumptions!$E$70/Assumptions!$E$69/4</f>
        <v>100130.357142857</v>
      </c>
      <c r="N9175" s="54" t="n">
        <f aca="false">(N9169+N9171)*Assumptions!$E$70/Assumptions!$E$69/4</f>
        <v>100130.357142857</v>
      </c>
      <c r="P9175" s="55" t="n">
        <f aca="false">SUM(C9175:F9175)</f>
        <v>267014.285714286</v>
      </c>
      <c r="Q9175" s="55" t="n">
        <f aca="false">SUM(G9175:J9175)</f>
        <v>400521.428571429</v>
      </c>
      <c r="R9175" s="55" t="n">
        <f aca="false">SUM(K9175:N9175)</f>
        <v>400521.428571429</v>
      </c>
      <c r="S9175" s="56" t="n">
        <f aca="false">SUM(P9175:R9175)</f>
        <v>1068057.14285714</v>
      </c>
    </row>
    <row r="9176" customFormat="false" ht="15" hidden="false" customHeight="false" outlineLevel="0" collapsed="false">
      <c r="A9176" s="4" t="s">
        <v>555</v>
      </c>
      <c r="B9176" s="36" t="s">
        <v>125</v>
      </c>
      <c r="C9176" s="54" t="n">
        <f aca="false">C9170*$C$9105/4</f>
        <v>0</v>
      </c>
      <c r="D9176" s="54" t="n">
        <f aca="false">D9170*$C$9105/4</f>
        <v>0</v>
      </c>
      <c r="E9176" s="54" t="n">
        <f aca="false">E9170*$C$9105/4</f>
        <v>0</v>
      </c>
      <c r="F9176" s="54" t="n">
        <f aca="false">F9170*$C$9105/4</f>
        <v>0</v>
      </c>
      <c r="G9176" s="54" t="n">
        <f aca="false">G9170*$C$9105/4</f>
        <v>0</v>
      </c>
      <c r="H9176" s="54" t="n">
        <f aca="false">H9170*$C$9105/4</f>
        <v>0</v>
      </c>
      <c r="I9176" s="54" t="n">
        <f aca="false">I9170*$C$9105/4</f>
        <v>0</v>
      </c>
      <c r="J9176" s="54" t="n">
        <f aca="false">J9170*$C$9105/4</f>
        <v>0</v>
      </c>
      <c r="K9176" s="54" t="n">
        <f aca="false">K9170*$C$9105/4</f>
        <v>0</v>
      </c>
      <c r="L9176" s="54" t="n">
        <f aca="false">L9170*$C$9105/4</f>
        <v>0</v>
      </c>
      <c r="M9176" s="54" t="n">
        <f aca="false">M9170*$C$9105/4</f>
        <v>0</v>
      </c>
      <c r="N9176" s="54" t="n">
        <f aca="false">N9170*$C$9105/4</f>
        <v>0</v>
      </c>
      <c r="P9176" s="55" t="n">
        <f aca="false">SUM(C9176:F9176)</f>
        <v>0</v>
      </c>
      <c r="Q9176" s="55" t="n">
        <f aca="false">SUM(G9176:J9176)</f>
        <v>0</v>
      </c>
      <c r="R9176" s="55" t="n">
        <f aca="false">SUM(K9176:N9176)</f>
        <v>0</v>
      </c>
      <c r="S9176" s="56" t="n">
        <f aca="false">SUM(P9176:R9176)</f>
        <v>0</v>
      </c>
    </row>
    <row r="9177" customFormat="false" ht="15" hidden="false" customHeight="false" outlineLevel="0" collapsed="false">
      <c r="A9177" s="4" t="s">
        <v>556</v>
      </c>
      <c r="B9177" s="36" t="s">
        <v>125</v>
      </c>
      <c r="C9177" s="54" t="n">
        <f aca="false">MAX(0,(C9165-C9146*$C$9101)-C9125*$C$9106)*$C$9107*Assumptions!$D$105</f>
        <v>0</v>
      </c>
      <c r="D9177" s="54" t="n">
        <f aca="false">MAX(0,(D9165-D9146*$C$9101)-D9125*$C$9106)*$C$9107*Assumptions!$D$105</f>
        <v>6458.19654980574</v>
      </c>
      <c r="E9177" s="54" t="n">
        <f aca="false">MAX(0,(E9165-E9146*$C$9101)-E9125*$C$9106)*$C$9107*Assumptions!$D$105</f>
        <v>16204.8833573135</v>
      </c>
      <c r="F9177" s="54" t="n">
        <f aca="false">MAX(0,(F9165-F9146*$C$9101)-F9125*$C$9106)*$C$9107*Assumptions!$D$105</f>
        <v>21016.4496051307</v>
      </c>
      <c r="G9177" s="54" t="n">
        <f aca="false">MAX(0,(G9165-G9146*$C$9101)-G9125*$C$9106)*$C$9107*Assumptions!$D$105</f>
        <v>23094.8925153699</v>
      </c>
      <c r="H9177" s="54" t="n">
        <f aca="false">MAX(0,(H9165-H9146*$C$9101)-H9125*$C$9106)*$C$9107*Assumptions!$D$105</f>
        <v>27601.6677792327</v>
      </c>
      <c r="I9177" s="54" t="n">
        <f aca="false">MAX(0,(I9165-I9146*$C$9101)-I9125*$C$9106)*$C$9107*Assumptions!$D$105</f>
        <v>32863.957765234</v>
      </c>
      <c r="J9177" s="54" t="n">
        <f aca="false">MAX(0,(J9165-J9146*$C$9101)-J9125*$C$9106)*$C$9107*Assumptions!$D$105</f>
        <v>43071.5911509858</v>
      </c>
      <c r="K9177" s="54" t="n">
        <f aca="false">MAX(0,(K9165-K9146*$C$9101)-K9125*$C$9106)*$C$9107*Assumptions!$D$105</f>
        <v>55515.0330550447</v>
      </c>
      <c r="L9177" s="54" t="n">
        <f aca="false">MAX(0,(L9165-L9146*$C$9101)-L9125*$C$9106)*$C$9107*Assumptions!$D$105</f>
        <v>60232.9451908849</v>
      </c>
      <c r="M9177" s="54" t="n">
        <f aca="false">MAX(0,(M9165-M9146*$C$9101)-M9125*$C$9106)*$C$9107*Assumptions!$D$105</f>
        <v>59315.1079746954</v>
      </c>
      <c r="N9177" s="54" t="n">
        <f aca="false">MAX(0,(N9165-N9146*$C$9101)-N9125*$C$9106)*$C$9107*Assumptions!$D$105</f>
        <v>57602.0149526242</v>
      </c>
      <c r="P9177" s="55" t="n">
        <f aca="false">SUM(C9177:F9177)</f>
        <v>43679.52951225</v>
      </c>
      <c r="Q9177" s="55" t="n">
        <f aca="false">SUM(G9177:J9177)</f>
        <v>126632.109210822</v>
      </c>
      <c r="R9177" s="55" t="n">
        <f aca="false">SUM(K9177:N9177)</f>
        <v>232665.101173249</v>
      </c>
      <c r="S9177" s="56" t="n">
        <f aca="false">SUM(P9177:R9177)</f>
        <v>402976.739896322</v>
      </c>
    </row>
    <row r="9178" customFormat="false" ht="15" hidden="false" customHeight="false" outlineLevel="0" collapsed="false">
      <c r="A9178" s="4" t="s">
        <v>557</v>
      </c>
      <c r="B9178" s="36" t="s">
        <v>125</v>
      </c>
      <c r="C9178" s="54" t="n">
        <f aca="false">C9173*Assumptions!$E$71/Assumptions!$E$69/4</f>
        <v>18475.8928571429</v>
      </c>
      <c r="D9178" s="54" t="n">
        <f aca="false">D9173*Assumptions!$E$71/Assumptions!$E$69/4</f>
        <v>18475.8928571429</v>
      </c>
      <c r="E9178" s="54" t="n">
        <f aca="false">E9173*Assumptions!$E$71/Assumptions!$E$69/4</f>
        <v>18475.8928571429</v>
      </c>
      <c r="F9178" s="54" t="n">
        <f aca="false">F9173*Assumptions!$E$71/Assumptions!$E$69/4</f>
        <v>18475.8928571429</v>
      </c>
      <c r="G9178" s="54" t="n">
        <f aca="false">G9173*Assumptions!$E$71/Assumptions!$E$69/4</f>
        <v>18475.8928571429</v>
      </c>
      <c r="H9178" s="54" t="n">
        <f aca="false">H9173*Assumptions!$E$71/Assumptions!$E$69/4</f>
        <v>18475.8928571429</v>
      </c>
      <c r="I9178" s="54" t="n">
        <f aca="false">I9173*Assumptions!$E$71/Assumptions!$E$69/4</f>
        <v>18475.8928571429</v>
      </c>
      <c r="J9178" s="54" t="n">
        <f aca="false">J9173*Assumptions!$E$71/Assumptions!$E$69/4</f>
        <v>18475.8928571429</v>
      </c>
      <c r="K9178" s="54" t="n">
        <f aca="false">K9173*Assumptions!$E$71/Assumptions!$E$69/4</f>
        <v>18475.8928571429</v>
      </c>
      <c r="L9178" s="54" t="n">
        <f aca="false">L9173*Assumptions!$E$71/Assumptions!$E$69/4</f>
        <v>18475.8928571429</v>
      </c>
      <c r="M9178" s="54" t="n">
        <f aca="false">M9173*Assumptions!$E$71/Assumptions!$E$69/4</f>
        <v>18475.8928571429</v>
      </c>
      <c r="N9178" s="54" t="n">
        <f aca="false">N9173*Assumptions!$E$71/Assumptions!$E$69/4</f>
        <v>18475.8928571429</v>
      </c>
      <c r="P9178" s="55" t="n">
        <f aca="false">SUM(C9178:F9178)</f>
        <v>73903.5714285714</v>
      </c>
      <c r="Q9178" s="55" t="n">
        <f aca="false">SUM(G9178:J9178)</f>
        <v>73903.5714285714</v>
      </c>
      <c r="R9178" s="55" t="n">
        <f aca="false">SUM(K9178:N9178)</f>
        <v>73903.5714285714</v>
      </c>
      <c r="S9178" s="56" t="n">
        <f aca="false">SUM(P9178:R9178)</f>
        <v>221710.714285714</v>
      </c>
    </row>
    <row r="9179" customFormat="false" ht="15" hidden="false" customHeight="false" outlineLevel="0" collapsed="false">
      <c r="A9179" s="4" t="s">
        <v>558</v>
      </c>
      <c r="B9179" s="36" t="s">
        <v>125</v>
      </c>
      <c r="C9179" s="54" t="n">
        <f aca="false">(Assumptions!$D$103+Assumptions!$E$77*((C9110=Assumptions!$E$13)+(C9110=Assumptions!$E$14)+(C9110=Assumptions!$E$15)))*C9111</f>
        <v>65000</v>
      </c>
      <c r="D9179" s="54" t="n">
        <f aca="false">(Assumptions!$D$103+Assumptions!$E$77*((D9110=Assumptions!$E$13)+(D9110=Assumptions!$E$14)+(D9110=Assumptions!$E$15)))*D9111</f>
        <v>25000</v>
      </c>
      <c r="E9179" s="54" t="n">
        <f aca="false">(Assumptions!$D$103+Assumptions!$E$77*((E9110=Assumptions!$E$13)+(E9110=Assumptions!$E$14)+(E9110=Assumptions!$E$15)))*E9111</f>
        <v>25000</v>
      </c>
      <c r="F9179" s="54" t="n">
        <f aca="false">(Assumptions!$D$103+Assumptions!$E$77*((F9110=Assumptions!$E$13)+(F9110=Assumptions!$E$14)+(F9110=Assumptions!$E$15)))*F9111</f>
        <v>25000</v>
      </c>
      <c r="G9179" s="54" t="n">
        <f aca="false">(Assumptions!$D$103+Assumptions!$E$77*((G9110=Assumptions!$E$13)+(G9110=Assumptions!$E$14)+(G9110=Assumptions!$E$15)))*G9111</f>
        <v>65000</v>
      </c>
      <c r="H9179" s="54" t="n">
        <f aca="false">(Assumptions!$D$103+Assumptions!$E$77*((H9110=Assumptions!$E$13)+(H9110=Assumptions!$E$14)+(H9110=Assumptions!$E$15)))*H9111</f>
        <v>25000</v>
      </c>
      <c r="I9179" s="54" t="n">
        <f aca="false">(Assumptions!$D$103+Assumptions!$E$77*((I9110=Assumptions!$E$13)+(I9110=Assumptions!$E$14)+(I9110=Assumptions!$E$15)))*I9111</f>
        <v>65000</v>
      </c>
      <c r="J9179" s="54" t="n">
        <f aca="false">(Assumptions!$D$103+Assumptions!$E$77*((J9110=Assumptions!$E$13)+(J9110=Assumptions!$E$14)+(J9110=Assumptions!$E$15)))*J9111</f>
        <v>25000</v>
      </c>
      <c r="K9179" s="54" t="n">
        <f aca="false">(Assumptions!$D$103+Assumptions!$E$77*((K9110=Assumptions!$E$13)+(K9110=Assumptions!$E$14)+(K9110=Assumptions!$E$15)))*K9111</f>
        <v>25000</v>
      </c>
      <c r="L9179" s="54" t="n">
        <f aca="false">(Assumptions!$D$103+Assumptions!$E$77*((L9110=Assumptions!$E$13)+(L9110=Assumptions!$E$14)+(L9110=Assumptions!$E$15)))*L9111</f>
        <v>25000</v>
      </c>
      <c r="M9179" s="54" t="n">
        <f aca="false">(Assumptions!$D$103+Assumptions!$E$77*((M9110=Assumptions!$E$13)+(M9110=Assumptions!$E$14)+(M9110=Assumptions!$E$15)))*M9111</f>
        <v>25000</v>
      </c>
      <c r="N9179" s="54" t="n">
        <f aca="false">(Assumptions!$D$103+Assumptions!$E$77*((N9110=Assumptions!$E$13)+(N9110=Assumptions!$E$14)+(N9110=Assumptions!$E$15)))*N9111</f>
        <v>25000</v>
      </c>
      <c r="P9179" s="55" t="n">
        <f aca="false">SUM(C9179:F9179)</f>
        <v>140000</v>
      </c>
      <c r="Q9179" s="55" t="n">
        <f aca="false">SUM(G9179:J9179)</f>
        <v>180000</v>
      </c>
      <c r="R9179" s="55" t="n">
        <f aca="false">SUM(K9179:N9179)</f>
        <v>100000</v>
      </c>
      <c r="S9179" s="56" t="n">
        <f aca="false">SUM(P9179:R9179)</f>
        <v>420000</v>
      </c>
    </row>
    <row r="9180" customFormat="false" ht="15" hidden="false" customHeight="false" outlineLevel="0" collapsed="false">
      <c r="A9180" s="4" t="s">
        <v>559</v>
      </c>
      <c r="B9180" s="36" t="s">
        <v>125</v>
      </c>
      <c r="C9180" s="54" t="n">
        <f aca="false">C9165*C9145*Assumptions!$E$79</f>
        <v>0</v>
      </c>
      <c r="D9180" s="54" t="n">
        <f aca="false">D9165*D9145*Assumptions!$E$79</f>
        <v>1399.47546913557</v>
      </c>
      <c r="E9180" s="54" t="n">
        <f aca="false">E9165*E9145*Assumptions!$E$79</f>
        <v>2984.07877147926</v>
      </c>
      <c r="F9180" s="54" t="n">
        <f aca="false">F9165*F9145*Assumptions!$E$79</f>
        <v>4631.72554725854</v>
      </c>
      <c r="G9180" s="54" t="n">
        <f aca="false">G9165*G9145*Assumptions!$E$79</f>
        <v>5805.90362311049</v>
      </c>
      <c r="H9180" s="54" t="n">
        <f aca="false">H9165*H9145*Assumptions!$E$79</f>
        <v>6567.56802293713</v>
      </c>
      <c r="I9180" s="54" t="n">
        <f aca="false">I9165*I9145*Assumptions!$E$79</f>
        <v>7604.62519335463</v>
      </c>
      <c r="J9180" s="54" t="n">
        <f aca="false">J9165*J9145*Assumptions!$E$79</f>
        <v>7939.96761176267</v>
      </c>
      <c r="K9180" s="54" t="n">
        <f aca="false">K9165*K9145*Assumptions!$E$79</f>
        <v>8990.9460706587</v>
      </c>
      <c r="L9180" s="54" t="n">
        <f aca="false">L9165*L9145*Assumptions!$E$79</f>
        <v>10710.5130300179</v>
      </c>
      <c r="M9180" s="54" t="n">
        <f aca="false">M9165*M9145*Assumptions!$E$79</f>
        <v>10859.183770789</v>
      </c>
      <c r="N9180" s="54" t="n">
        <f aca="false">N9165*N9145*Assumptions!$E$79</f>
        <v>10854.0883525174</v>
      </c>
      <c r="P9180" s="55" t="n">
        <f aca="false">SUM(C9180:F9180)</f>
        <v>9015.27978787337</v>
      </c>
      <c r="Q9180" s="55" t="n">
        <f aca="false">SUM(G9180:J9180)</f>
        <v>27918.0644511649</v>
      </c>
      <c r="R9180" s="55" t="n">
        <f aca="false">SUM(K9180:N9180)</f>
        <v>41414.7312239829</v>
      </c>
      <c r="S9180" s="56" t="n">
        <f aca="false">SUM(P9180:R9180)</f>
        <v>78348.0754630212</v>
      </c>
    </row>
    <row r="9181" customFormat="false" ht="15" hidden="false" customHeight="false" outlineLevel="0" collapsed="false">
      <c r="A9181" s="4" t="s">
        <v>560</v>
      </c>
      <c r="B9181" s="36" t="s">
        <v>125</v>
      </c>
      <c r="C9181" s="54" t="n">
        <f aca="false">C9130*Assumptions!$E$80</f>
        <v>4000</v>
      </c>
      <c r="D9181" s="54" t="n">
        <f aca="false">D9130*Assumptions!$E$80</f>
        <v>6000</v>
      </c>
      <c r="E9181" s="54" t="n">
        <f aca="false">E9130*Assumptions!$E$80</f>
        <v>8000</v>
      </c>
      <c r="F9181" s="54" t="n">
        <f aca="false">F9130*Assumptions!$E$80</f>
        <v>10000</v>
      </c>
      <c r="G9181" s="54" t="n">
        <f aca="false">G9130*Assumptions!$E$80</f>
        <v>12000</v>
      </c>
      <c r="H9181" s="54" t="n">
        <f aca="false">H9130*Assumptions!$E$80</f>
        <v>14000</v>
      </c>
      <c r="I9181" s="54" t="n">
        <f aca="false">I9130*Assumptions!$E$80</f>
        <v>16000</v>
      </c>
      <c r="J9181" s="54" t="n">
        <f aca="false">J9130*Assumptions!$E$80</f>
        <v>18000</v>
      </c>
      <c r="K9181" s="54" t="n">
        <f aca="false">K9130*Assumptions!$E$80</f>
        <v>20000</v>
      </c>
      <c r="L9181" s="54" t="n">
        <f aca="false">L9130*Assumptions!$E$80</f>
        <v>20000</v>
      </c>
      <c r="M9181" s="54" t="n">
        <f aca="false">M9130*Assumptions!$E$80</f>
        <v>20000</v>
      </c>
      <c r="N9181" s="54" t="n">
        <f aca="false">N9130*Assumptions!$E$80</f>
        <v>20000</v>
      </c>
      <c r="P9181" s="55" t="n">
        <f aca="false">SUM(C9181:F9181)</f>
        <v>28000</v>
      </c>
      <c r="Q9181" s="55" t="n">
        <f aca="false">SUM(G9181:J9181)</f>
        <v>60000</v>
      </c>
      <c r="R9181" s="55" t="n">
        <f aca="false">SUM(K9181:N9181)</f>
        <v>80000</v>
      </c>
      <c r="S9181" s="56" t="n">
        <f aca="false">SUM(P9181:R9181)</f>
        <v>168000</v>
      </c>
    </row>
    <row r="9182" customFormat="false" ht="15" hidden="false" customHeight="false" outlineLevel="0" collapsed="false">
      <c r="A9182" s="4" t="s">
        <v>561</v>
      </c>
      <c r="B9182" s="36" t="s">
        <v>125</v>
      </c>
      <c r="C9182" s="54" t="n">
        <f aca="false">(C9153*$C$9102+C9154*$C$9103)*Assumptions!$E$81</f>
        <v>0</v>
      </c>
      <c r="D9182" s="54" t="n">
        <f aca="false">(D9153*$C$9102+D9154*$C$9103)*Assumptions!$E$81</f>
        <v>1589.84492091141</v>
      </c>
      <c r="E9182" s="54" t="n">
        <f aca="false">(E9153*$C$9102+E9154*$C$9103)*Assumptions!$E$81</f>
        <v>4376.35138379483</v>
      </c>
      <c r="F9182" s="54" t="n">
        <f aca="false">(F9153*$C$9102+F9154*$C$9103)*Assumptions!$E$81</f>
        <v>5837.27025526987</v>
      </c>
      <c r="G9182" s="54" t="n">
        <f aca="false">(G9153*$C$9102+G9154*$C$9103)*Assumptions!$E$81</f>
        <v>6417.54942821911</v>
      </c>
      <c r="H9182" s="54" t="n">
        <f aca="false">(H9153*$C$9102+H9154*$C$9103)*Assumptions!$E$81</f>
        <v>7577.42311179856</v>
      </c>
      <c r="I9182" s="54" t="n">
        <f aca="false">(I9153*$C$9102+I9154*$C$9103)*Assumptions!$E$81</f>
        <v>8999.32386953547</v>
      </c>
      <c r="J9182" s="54" t="n">
        <f aca="false">(J9153*$C$9102+J9154*$C$9103)*Assumptions!$E$81</f>
        <v>11528.9242420128</v>
      </c>
      <c r="K9182" s="54" t="n">
        <f aca="false">(K9153*$C$9102+K9154*$C$9103)*Assumptions!$E$81</f>
        <v>14848.9113910516</v>
      </c>
      <c r="L9182" s="54" t="n">
        <f aca="false">(L9153*$C$9102+L9154*$C$9103)*Assumptions!$E$81</f>
        <v>16344.6796455921</v>
      </c>
      <c r="M9182" s="54" t="n">
        <f aca="false">(M9153*$C$9102+M9154*$C$9103)*Assumptions!$E$81</f>
        <v>16139.0752642596</v>
      </c>
      <c r="N9182" s="54" t="n">
        <f aca="false">(N9153*$C$9102+N9154*$C$9103)*Assumptions!$E$81</f>
        <v>15671.532960115</v>
      </c>
      <c r="P9182" s="55" t="n">
        <f aca="false">SUM(C9182:F9182)</f>
        <v>11803.4665599761</v>
      </c>
      <c r="Q9182" s="55" t="n">
        <f aca="false">SUM(G9182:J9182)</f>
        <v>34523.2206515659</v>
      </c>
      <c r="R9182" s="55" t="n">
        <f aca="false">SUM(K9182:N9182)</f>
        <v>63004.1992610182</v>
      </c>
      <c r="S9182" s="56" t="n">
        <f aca="false">SUM(P9182:R9182)</f>
        <v>109330.88647256</v>
      </c>
    </row>
    <row r="9183" customFormat="false" ht="15" hidden="false" customHeight="false" outlineLevel="0" collapsed="false">
      <c r="A9183" s="9" t="s">
        <v>562</v>
      </c>
      <c r="B9183" s="36" t="s">
        <v>125</v>
      </c>
      <c r="C9183" s="55" t="n">
        <f aca="false">C9175+C9176+C9177+C9178+C9179+C9180+C9181+C9182</f>
        <v>154229.464285714</v>
      </c>
      <c r="D9183" s="55" t="n">
        <f aca="false">D9175+D9176+D9177+D9178+D9179+D9180+D9181+D9182</f>
        <v>125676.981225567</v>
      </c>
      <c r="E9183" s="55" t="n">
        <f aca="false">E9175+E9176+E9177+E9178+E9179+E9180+E9181+E9182</f>
        <v>141794.777798302</v>
      </c>
      <c r="F9183" s="55" t="n">
        <f aca="false">F9175+F9176+F9177+F9178+F9179+F9180+F9181+F9182</f>
        <v>151714.909693373</v>
      </c>
      <c r="G9183" s="55" t="n">
        <f aca="false">G9175+G9176+G9177+G9178+G9179+G9180+G9181+G9182</f>
        <v>230924.5955667</v>
      </c>
      <c r="H9183" s="55" t="n">
        <f aca="false">H9175+H9176+H9177+H9178+H9179+H9180+H9181+H9182</f>
        <v>199352.908913968</v>
      </c>
      <c r="I9183" s="55" t="n">
        <f aca="false">I9175+I9176+I9177+I9178+I9179+I9180+I9181+I9182</f>
        <v>249074.156828124</v>
      </c>
      <c r="J9183" s="55" t="n">
        <f aca="false">J9175+J9176+J9177+J9178+J9179+J9180+J9181+J9182</f>
        <v>224146.733004761</v>
      </c>
      <c r="K9183" s="55" t="n">
        <f aca="false">K9175+K9176+K9177+K9178+K9179+K9180+K9181+K9182</f>
        <v>242961.140516755</v>
      </c>
      <c r="L9183" s="55" t="n">
        <f aca="false">L9175+L9176+L9177+L9178+L9179+L9180+L9181+L9182</f>
        <v>250894.387866495</v>
      </c>
      <c r="M9183" s="55" t="n">
        <f aca="false">M9175+M9176+M9177+M9178+M9179+M9180+M9181+M9182</f>
        <v>249919.617009744</v>
      </c>
      <c r="N9183" s="55" t="n">
        <f aca="false">N9175+N9176+N9177+N9178+N9179+N9180+N9181+N9182</f>
        <v>247733.886265257</v>
      </c>
      <c r="P9183" s="55" t="n">
        <f aca="false">SUM(C9183:F9183)</f>
        <v>573416.133002957</v>
      </c>
      <c r="Q9183" s="55" t="n">
        <f aca="false">SUM(G9183:J9183)</f>
        <v>903498.394313553</v>
      </c>
      <c r="R9183" s="55" t="n">
        <f aca="false">SUM(K9183:N9183)</f>
        <v>991509.031658251</v>
      </c>
      <c r="S9183" s="56" t="n">
        <f aca="false">SUM(P9183:R9183)</f>
        <v>2468423.55897476</v>
      </c>
    </row>
    <row r="9184" customFormat="false" ht="15" hidden="false" customHeight="false" outlineLevel="0" collapsed="false">
      <c r="A9184" s="4" t="s">
        <v>563</v>
      </c>
      <c r="B9184" s="36" t="s">
        <v>125</v>
      </c>
      <c r="C9184" s="54" t="n">
        <f aca="false">C9172*Assumptions!$E$72/Assumptions!$E$69/4</f>
        <v>56535.7142857143</v>
      </c>
      <c r="D9184" s="54" t="n">
        <f aca="false">D9172*Assumptions!$E$72/Assumptions!$E$69/4</f>
        <v>56535.7142857143</v>
      </c>
      <c r="E9184" s="54" t="n">
        <f aca="false">E9172*Assumptions!$E$72/Assumptions!$E$69/4</f>
        <v>56535.7142857143</v>
      </c>
      <c r="F9184" s="54" t="n">
        <f aca="false">F9172*Assumptions!$E$72/Assumptions!$E$69/4</f>
        <v>56535.7142857143</v>
      </c>
      <c r="G9184" s="54" t="n">
        <f aca="false">G9172*Assumptions!$E$72/Assumptions!$E$69/4</f>
        <v>28267.8571428571</v>
      </c>
      <c r="H9184" s="54" t="n">
        <f aca="false">H9172*Assumptions!$E$72/Assumptions!$E$69/4</f>
        <v>28267.8571428571</v>
      </c>
      <c r="I9184" s="54" t="n">
        <f aca="false">I9172*Assumptions!$E$72/Assumptions!$E$69/4</f>
        <v>28267.8571428571</v>
      </c>
      <c r="J9184" s="54" t="n">
        <f aca="false">J9172*Assumptions!$E$72/Assumptions!$E$69/4</f>
        <v>28267.8571428571</v>
      </c>
      <c r="K9184" s="54" t="n">
        <f aca="false">K9172*Assumptions!$E$72/Assumptions!$E$69/4</f>
        <v>28267.8571428571</v>
      </c>
      <c r="L9184" s="54" t="n">
        <f aca="false">L9172*Assumptions!$E$72/Assumptions!$E$69/4</f>
        <v>28267.8571428571</v>
      </c>
      <c r="M9184" s="54" t="n">
        <f aca="false">M9172*Assumptions!$E$72/Assumptions!$E$69/4</f>
        <v>28267.8571428571</v>
      </c>
      <c r="N9184" s="54" t="n">
        <f aca="false">N9172*Assumptions!$E$72/Assumptions!$E$69/4</f>
        <v>28267.8571428571</v>
      </c>
      <c r="P9184" s="55" t="n">
        <f aca="false">SUM(C9184:F9184)</f>
        <v>226142.857142857</v>
      </c>
      <c r="Q9184" s="55" t="n">
        <f aca="false">SUM(G9184:J9184)</f>
        <v>113071.428571429</v>
      </c>
      <c r="R9184" s="55" t="n">
        <f aca="false">SUM(K9184:N9184)</f>
        <v>113071.428571429</v>
      </c>
      <c r="S9184" s="56" t="n">
        <f aca="false">SUM(P9184:R9184)</f>
        <v>452285.714285714</v>
      </c>
    </row>
    <row r="9185" customFormat="false" ht="15" hidden="false" customHeight="false" outlineLevel="0" collapsed="false">
      <c r="A9185" s="4" t="s">
        <v>564</v>
      </c>
      <c r="B9185" s="36" t="s">
        <v>125</v>
      </c>
      <c r="C9185" s="54" t="n">
        <f aca="false">IF(C9110&lt;=Assumptions!$E$83,Assumptions!$E$82*Assumptions!$D$108/Assumptions!$E$83,0)</f>
        <v>62500</v>
      </c>
      <c r="D9185" s="54" t="n">
        <f aca="false">IF(D9110&lt;=Assumptions!$E$83,Assumptions!$E$82*Assumptions!$D$108/Assumptions!$E$83,0)</f>
        <v>62500</v>
      </c>
      <c r="E9185" s="54" t="n">
        <f aca="false">IF(E9110&lt;=Assumptions!$E$83,Assumptions!$E$82*Assumptions!$D$108/Assumptions!$E$83,0)</f>
        <v>62500</v>
      </c>
      <c r="F9185" s="54" t="n">
        <f aca="false">IF(F9110&lt;=Assumptions!$E$83,Assumptions!$E$82*Assumptions!$D$108/Assumptions!$E$83,0)</f>
        <v>62500</v>
      </c>
      <c r="G9185" s="54" t="n">
        <f aca="false">IF(G9110&lt;=Assumptions!$E$83,Assumptions!$E$82*Assumptions!$D$108/Assumptions!$E$83,0)</f>
        <v>0</v>
      </c>
      <c r="H9185" s="54" t="n">
        <f aca="false">IF(H9110&lt;=Assumptions!$E$83,Assumptions!$E$82*Assumptions!$D$108/Assumptions!$E$83,0)</f>
        <v>0</v>
      </c>
      <c r="I9185" s="54" t="n">
        <f aca="false">IF(I9110&lt;=Assumptions!$E$83,Assumptions!$E$82*Assumptions!$D$108/Assumptions!$E$83,0)</f>
        <v>0</v>
      </c>
      <c r="J9185" s="54" t="n">
        <f aca="false">IF(J9110&lt;=Assumptions!$E$83,Assumptions!$E$82*Assumptions!$D$108/Assumptions!$E$83,0)</f>
        <v>0</v>
      </c>
      <c r="K9185" s="54" t="n">
        <f aca="false">IF(K9110&lt;=Assumptions!$E$83,Assumptions!$E$82*Assumptions!$D$108/Assumptions!$E$83,0)</f>
        <v>0</v>
      </c>
      <c r="L9185" s="54" t="n">
        <f aca="false">IF(L9110&lt;=Assumptions!$E$83,Assumptions!$E$82*Assumptions!$D$108/Assumptions!$E$83,0)</f>
        <v>0</v>
      </c>
      <c r="M9185" s="54" t="n">
        <f aca="false">IF(M9110&lt;=Assumptions!$E$83,Assumptions!$E$82*Assumptions!$D$108/Assumptions!$E$83,0)</f>
        <v>0</v>
      </c>
      <c r="N9185" s="54" t="n">
        <f aca="false">IF(N9110&lt;=Assumptions!$E$83,Assumptions!$E$82*Assumptions!$D$108/Assumptions!$E$83,0)</f>
        <v>0</v>
      </c>
      <c r="P9185" s="55" t="n">
        <f aca="false">SUM(C9185:F9185)</f>
        <v>250000</v>
      </c>
      <c r="Q9185" s="55" t="n">
        <f aca="false">SUM(G9185:J9185)</f>
        <v>0</v>
      </c>
      <c r="R9185" s="55" t="n">
        <f aca="false">SUM(K9185:N9185)</f>
        <v>0</v>
      </c>
      <c r="S9185" s="56" t="n">
        <f aca="false">SUM(P9185:R9185)</f>
        <v>250000</v>
      </c>
    </row>
    <row r="9186" customFormat="false" ht="15" hidden="false" customHeight="false" outlineLevel="0" collapsed="false">
      <c r="A9186" s="4" t="s">
        <v>565</v>
      </c>
      <c r="B9186" s="36" t="s">
        <v>125</v>
      </c>
      <c r="C9186" s="54" t="n">
        <f aca="false">C9174*Assumptions!$E$73/Assumptions!$E$69/4</f>
        <v>0</v>
      </c>
      <c r="D9186" s="54" t="n">
        <f aca="false">D9174*Assumptions!$E$73/Assumptions!$E$69/4</f>
        <v>575.3130595573</v>
      </c>
      <c r="E9186" s="54" t="n">
        <f aca="false">E9174*Assumptions!$E$73/Assumptions!$E$69/4</f>
        <v>1617.32906717661</v>
      </c>
      <c r="F9186" s="54" t="n">
        <f aca="false">F9174*Assumptions!$E$73/Assumptions!$E$69/4</f>
        <v>2784.46806400723</v>
      </c>
      <c r="G9186" s="54" t="n">
        <f aca="false">G9174*Assumptions!$E$73/Assumptions!$E$69/4</f>
        <v>4037.30390559473</v>
      </c>
      <c r="H9186" s="54" t="n">
        <f aca="false">H9174*Assumptions!$E$73/Assumptions!$E$69/4</f>
        <v>5588.71900339185</v>
      </c>
      <c r="I9186" s="54" t="n">
        <f aca="false">I9174*Assumptions!$E$73/Assumptions!$E$69/4</f>
        <v>7423.89520049251</v>
      </c>
      <c r="J9186" s="54" t="n">
        <f aca="false">J9174*Assumptions!$E$73/Assumptions!$E$69/4</f>
        <v>9984.21295072483</v>
      </c>
      <c r="K9186" s="54" t="n">
        <f aca="false">K9174*Assumptions!$E$73/Assumptions!$E$69/4</f>
        <v>13228.7197241336</v>
      </c>
      <c r="L9186" s="54" t="n">
        <f aca="false">L9174*Assumptions!$E$73/Assumptions!$E$69/4</f>
        <v>16471.1613499398</v>
      </c>
      <c r="M9186" s="54" t="n">
        <f aca="false">M9174*Assumptions!$E$73/Assumptions!$E$69/4</f>
        <v>19532.3193424529</v>
      </c>
      <c r="N9186" s="54" t="n">
        <f aca="false">N9174*Assumptions!$E$73/Assumptions!$E$69/4</f>
        <v>22411.7337529877</v>
      </c>
      <c r="P9186" s="55" t="n">
        <f aca="false">SUM(C9186:F9186)</f>
        <v>4977.11019074114</v>
      </c>
      <c r="Q9186" s="55" t="n">
        <f aca="false">SUM(G9186:J9186)</f>
        <v>27034.1310602039</v>
      </c>
      <c r="R9186" s="55" t="n">
        <f aca="false">SUM(K9186:N9186)</f>
        <v>71643.934169514</v>
      </c>
      <c r="S9186" s="56" t="n">
        <f aca="false">SUM(P9186:R9186)</f>
        <v>103655.175420459</v>
      </c>
    </row>
    <row r="9187" customFormat="false" ht="15" hidden="false" customHeight="false" outlineLevel="0" collapsed="false">
      <c r="A9187" s="9" t="s">
        <v>566</v>
      </c>
      <c r="B9187" s="36" t="s">
        <v>125</v>
      </c>
      <c r="C9187" s="55" t="n">
        <f aca="false">C9183+C9184+C9185+C9186</f>
        <v>273265.178571429</v>
      </c>
      <c r="D9187" s="55" t="n">
        <f aca="false">D9183+D9184+D9185+D9186</f>
        <v>245288.008570839</v>
      </c>
      <c r="E9187" s="55" t="n">
        <f aca="false">E9183+E9184+E9185+E9186</f>
        <v>262447.821151193</v>
      </c>
      <c r="F9187" s="55" t="n">
        <f aca="false">F9183+F9184+F9185+F9186</f>
        <v>273535.092043095</v>
      </c>
      <c r="G9187" s="55" t="n">
        <f aca="false">G9183+G9184+G9185+G9186</f>
        <v>263229.756615151</v>
      </c>
      <c r="H9187" s="55" t="n">
        <f aca="false">H9183+H9184+H9185+H9186</f>
        <v>233209.485060217</v>
      </c>
      <c r="I9187" s="55" t="n">
        <f aca="false">I9183+I9184+I9185+I9186</f>
        <v>284765.909171474</v>
      </c>
      <c r="J9187" s="55" t="n">
        <f aca="false">J9183+J9184+J9185+J9186</f>
        <v>262398.803098343</v>
      </c>
      <c r="K9187" s="55" t="n">
        <f aca="false">K9183+K9184+K9185+K9186</f>
        <v>284457.717383746</v>
      </c>
      <c r="L9187" s="55" t="n">
        <f aca="false">L9183+L9184+L9185+L9186</f>
        <v>295633.406359292</v>
      </c>
      <c r="M9187" s="55" t="n">
        <f aca="false">M9183+M9184+M9185+M9186</f>
        <v>297719.793495054</v>
      </c>
      <c r="N9187" s="55" t="n">
        <f aca="false">N9183+N9184+N9185+N9186</f>
        <v>298413.477161101</v>
      </c>
      <c r="P9187" s="55" t="n">
        <f aca="false">SUM(C9187:F9187)</f>
        <v>1054536.10033656</v>
      </c>
      <c r="Q9187" s="55" t="n">
        <f aca="false">SUM(G9187:J9187)</f>
        <v>1043603.95394519</v>
      </c>
      <c r="R9187" s="55" t="n">
        <f aca="false">SUM(K9187:N9187)</f>
        <v>1176224.39439919</v>
      </c>
      <c r="S9187" s="56" t="n">
        <f aca="false">SUM(P9187:R9187)</f>
        <v>3274364.44868093</v>
      </c>
    </row>
    <row r="9188" customFormat="false" ht="15" hidden="false" customHeight="false" outlineLevel="0" collapsed="false">
      <c r="A9188" s="35" t="s">
        <v>567</v>
      </c>
      <c r="B9188" s="35" t="s">
        <v>444</v>
      </c>
      <c r="C9188" s="6" t="s">
        <v>354</v>
      </c>
      <c r="D9188" s="6" t="s">
        <v>355</v>
      </c>
      <c r="E9188" s="6" t="s">
        <v>356</v>
      </c>
      <c r="F9188" s="6" t="s">
        <v>357</v>
      </c>
      <c r="G9188" s="6" t="s">
        <v>358</v>
      </c>
      <c r="H9188" s="6" t="s">
        <v>359</v>
      </c>
      <c r="I9188" s="6" t="s">
        <v>360</v>
      </c>
      <c r="J9188" s="6" t="s">
        <v>361</v>
      </c>
      <c r="K9188" s="6" t="s">
        <v>362</v>
      </c>
      <c r="L9188" s="6" t="s">
        <v>363</v>
      </c>
      <c r="M9188" s="6" t="s">
        <v>364</v>
      </c>
      <c r="N9188" s="6" t="s">
        <v>365</v>
      </c>
      <c r="P9188" s="6" t="s">
        <v>445</v>
      </c>
      <c r="Q9188" s="6" t="s">
        <v>446</v>
      </c>
      <c r="R9188" s="6" t="s">
        <v>447</v>
      </c>
      <c r="S9188" s="6" t="s">
        <v>448</v>
      </c>
    </row>
    <row r="9189" customFormat="false" ht="15" hidden="false" customHeight="false" outlineLevel="0" collapsed="false">
      <c r="A9189" s="9" t="s">
        <v>568</v>
      </c>
      <c r="B9189" s="36" t="s">
        <v>125</v>
      </c>
      <c r="C9189" s="55" t="n">
        <f aca="false">C9167-C9187</f>
        <v>-273265.178571429</v>
      </c>
      <c r="D9189" s="55" t="n">
        <f aca="false">D9167-D9187</f>
        <v>-244050.098774823</v>
      </c>
      <c r="E9189" s="55" t="n">
        <f aca="false">E9167-E9187</f>
        <v>-256943.072914221</v>
      </c>
      <c r="F9189" s="55" t="n">
        <f aca="false">F9167-F9187</f>
        <v>-261060.726036244</v>
      </c>
      <c r="G9189" s="55" t="n">
        <f aca="false">G9167-G9187</f>
        <v>-242411.493878872</v>
      </c>
      <c r="H9189" s="55" t="n">
        <f aca="false">H9167-H9187</f>
        <v>-202642.339957643</v>
      </c>
      <c r="I9189" s="55" t="n">
        <f aca="false">I9167-I9187</f>
        <v>-242422.537456182</v>
      </c>
      <c r="J9189" s="55" t="n">
        <f aca="false">J9167-J9187</f>
        <v>-205114.754919141</v>
      </c>
      <c r="K9189" s="55" t="n">
        <f aca="false">K9167-K9187</f>
        <v>-207670.6315726</v>
      </c>
      <c r="L9189" s="55" t="n">
        <f aca="false">L9167-L9187</f>
        <v>-195828.509553161</v>
      </c>
      <c r="M9189" s="55" t="n">
        <f aca="false">M9167-M9187</f>
        <v>-173806.589708247</v>
      </c>
      <c r="N9189" s="55" t="n">
        <f aca="false">N9167-N9187</f>
        <v>-150406.083759905</v>
      </c>
      <c r="P9189" s="55" t="n">
        <f aca="false">SUM(C9189:F9189)</f>
        <v>-1035319.07629672</v>
      </c>
      <c r="Q9189" s="55" t="n">
        <f aca="false">SUM(G9189:J9189)</f>
        <v>-892591.126211837</v>
      </c>
      <c r="R9189" s="55" t="n">
        <f aca="false">SUM(K9189:N9189)</f>
        <v>-727711.814593913</v>
      </c>
      <c r="S9189" s="56" t="n">
        <f aca="false">SUM(P9189:R9189)</f>
        <v>-2655622.01710247</v>
      </c>
    </row>
    <row r="9190" customFormat="false" ht="15" hidden="false" customHeight="false" outlineLevel="0" collapsed="false">
      <c r="A9190" s="9" t="s">
        <v>569</v>
      </c>
      <c r="B9190" s="36" t="s">
        <v>125</v>
      </c>
      <c r="C9190" s="55" t="n">
        <f aca="false">0+C9189</f>
        <v>-273265.178571429</v>
      </c>
      <c r="D9190" s="55" t="n">
        <f aca="false">C9190+D9189</f>
        <v>-517315.277346252</v>
      </c>
      <c r="E9190" s="55" t="n">
        <f aca="false">D9190+E9189</f>
        <v>-774258.350260473</v>
      </c>
      <c r="F9190" s="55" t="n">
        <f aca="false">E9190+F9189</f>
        <v>-1035319.07629672</v>
      </c>
      <c r="G9190" s="55" t="n">
        <f aca="false">F9190+G9189</f>
        <v>-1277730.57017559</v>
      </c>
      <c r="H9190" s="55" t="n">
        <f aca="false">G9190+H9189</f>
        <v>-1480372.91013323</v>
      </c>
      <c r="I9190" s="55" t="n">
        <f aca="false">H9190+I9189</f>
        <v>-1722795.44758941</v>
      </c>
      <c r="J9190" s="55" t="n">
        <f aca="false">I9190+J9189</f>
        <v>-1927910.20250855</v>
      </c>
      <c r="K9190" s="55" t="n">
        <f aca="false">J9190+K9189</f>
        <v>-2135580.83408115</v>
      </c>
      <c r="L9190" s="55" t="n">
        <f aca="false">K9190+L9189</f>
        <v>-2331409.34363431</v>
      </c>
      <c r="M9190" s="55" t="n">
        <f aca="false">L9190+M9189</f>
        <v>-2505215.93334256</v>
      </c>
      <c r="N9190" s="55" t="n">
        <f aca="false">M9190+N9189</f>
        <v>-2655622.01710247</v>
      </c>
      <c r="P9190" s="55" t="n">
        <f aca="false">F9190</f>
        <v>-1035319.07629672</v>
      </c>
      <c r="Q9190" s="55" t="n">
        <f aca="false">J9190</f>
        <v>-1927910.20250855</v>
      </c>
      <c r="R9190" s="55" t="n">
        <f aca="false">N9190</f>
        <v>-2655622.01710247</v>
      </c>
      <c r="S9190" s="56" t="n">
        <f aca="false">R9190</f>
        <v>-2655622.01710247</v>
      </c>
    </row>
    <row r="9191" customFormat="false" ht="15" hidden="false" customHeight="false" outlineLevel="0" collapsed="false">
      <c r="A9191" s="4" t="s">
        <v>570</v>
      </c>
      <c r="B9191" s="36" t="s">
        <v>107</v>
      </c>
      <c r="C9191" s="57" t="n">
        <f aca="false">1/(1+Assumptions!$E$87)^(C9110/4)</f>
        <v>0.972065420906982</v>
      </c>
      <c r="D9191" s="57" t="n">
        <f aca="false">1/(1+Assumptions!$E$87)^(D9110/4)</f>
        <v>0.944911182523068</v>
      </c>
      <c r="E9191" s="57" t="n">
        <f aca="false">1/(1+Assumptions!$E$87)^(E9110/4)</f>
        <v>0.918515486359</v>
      </c>
      <c r="F9191" s="57" t="n">
        <f aca="false">1/(1+Assumptions!$E$87)^(F9110/4)</f>
        <v>0.892857142857143</v>
      </c>
      <c r="G9191" s="57" t="n">
        <f aca="false">1/(1+Assumptions!$E$87)^(G9110/4)</f>
        <v>0.867915554381234</v>
      </c>
      <c r="H9191" s="57" t="n">
        <f aca="false">1/(1+Assumptions!$E$87)^(H9110/4)</f>
        <v>0.843670698681311</v>
      </c>
      <c r="I9191" s="57" t="n">
        <f aca="false">1/(1+Assumptions!$E$87)^(I9110/4)</f>
        <v>0.820103112820536</v>
      </c>
      <c r="J9191" s="57" t="n">
        <f aca="false">1/(1+Assumptions!$E$87)^(J9110/4)</f>
        <v>0.79719387755102</v>
      </c>
      <c r="K9191" s="57" t="n">
        <f aca="false">1/(1+Assumptions!$E$87)^(K9110/4)</f>
        <v>0.774924602126102</v>
      </c>
      <c r="L9191" s="57" t="n">
        <f aca="false">1/(1+Assumptions!$E$87)^(L9110/4)</f>
        <v>0.753277409536885</v>
      </c>
      <c r="M9191" s="57" t="n">
        <f aca="false">1/(1+Assumptions!$E$87)^(M9110/4)</f>
        <v>0.732234922161193</v>
      </c>
      <c r="N9191" s="57" t="n">
        <f aca="false">1/(1+Assumptions!$E$87)^(N9110/4)</f>
        <v>0.711780247813411</v>
      </c>
      <c r="P9191" s="58"/>
      <c r="Q9191" s="58"/>
      <c r="R9191" s="58"/>
      <c r="S9191" s="59"/>
    </row>
    <row r="9192" customFormat="false" ht="15" hidden="false" customHeight="false" outlineLevel="0" collapsed="false">
      <c r="A9192" s="4" t="s">
        <v>571</v>
      </c>
      <c r="B9192" s="36" t="s">
        <v>125</v>
      </c>
      <c r="C9192" s="54" t="n">
        <f aca="false">(C9167*(1-Assumptions!$E$88)-C9187)*C9191</f>
        <v>-265631.630827257</v>
      </c>
      <c r="D9192" s="54" t="n">
        <f aca="false">(D9167*(1-Assumptions!$E$88)-D9187)*D9191</f>
        <v>-230839.610390032</v>
      </c>
      <c r="E9192" s="54" t="n">
        <f aca="false">(E9167*(1-Assumptions!$E$88)-E9187)*E9191</f>
        <v>-237017.430885215</v>
      </c>
      <c r="F9192" s="54" t="n">
        <f aca="false">(F9167*(1-Assumptions!$E$88)-F9187)*F9191</f>
        <v>-235317.499319298</v>
      </c>
      <c r="G9192" s="54" t="n">
        <f aca="false">(G9167*(1-Assumptions!$E$88)-G9187)*G9191</f>
        <v>-214006.404907066</v>
      </c>
      <c r="H9192" s="54" t="n">
        <f aca="false">(H9167*(1-Assumptions!$E$88)-H9187)*H9191</f>
        <v>-176121.125467556</v>
      </c>
      <c r="I9192" s="54" t="n">
        <f aca="false">(I9167*(1-Assumptions!$E$88)-I9187)*I9191</f>
        <v>-205756.663775873</v>
      </c>
      <c r="J9192" s="54" t="n">
        <f aca="false">(J9167*(1-Assumptions!$E$88)-J9187)*J9191</f>
        <v>-172649.525314877</v>
      </c>
      <c r="K9192" s="54" t="n">
        <f aca="false">(K9167*(1-Assumptions!$E$88)-K9187)*K9191</f>
        <v>-172829.921928798</v>
      </c>
      <c r="L9192" s="54" t="n">
        <f aca="false">(L9167*(1-Assumptions!$E$88)-L9187)*L9191</f>
        <v>-162549.347214718</v>
      </c>
      <c r="M9192" s="54" t="n">
        <f aca="false">(M9167*(1-Assumptions!$E$88)-M9187)*M9191</f>
        <v>-145413.969712036</v>
      </c>
      <c r="N9192" s="54" t="n">
        <f aca="false">(N9167*(1-Assumptions!$E$88)-N9187)*N9191</f>
        <v>-128125.827401934</v>
      </c>
      <c r="P9192" s="55" t="n">
        <f aca="false">SUM(C9192:F9192)</f>
        <v>-968806.171421803</v>
      </c>
      <c r="Q9192" s="55" t="n">
        <f aca="false">SUM(G9192:J9192)</f>
        <v>-768533.719465373</v>
      </c>
      <c r="R9192" s="55" t="n">
        <f aca="false">SUM(K9192:N9192)</f>
        <v>-608919.066257486</v>
      </c>
      <c r="S9192" s="56" t="n">
        <f aca="false">SUM(P9192:R9192)</f>
        <v>-2346258.95714466</v>
      </c>
    </row>
    <row r="9193" customFormat="false" ht="15" hidden="false" customHeight="false" outlineLevel="0" collapsed="false">
      <c r="A9193" s="4" t="s">
        <v>572</v>
      </c>
      <c r="B9193" s="36" t="s">
        <v>125</v>
      </c>
      <c r="C9193" s="54" t="n">
        <f aca="false">(C9187-C9186)*12/(Assumptions!$E$89*Assumptions!$E$76)*Assumptions!$E$90</f>
        <v>189183.585164835</v>
      </c>
      <c r="D9193" s="54" t="n">
        <f aca="false">(D9187-D9186)*12/(Assumptions!$E$89*Assumptions!$E$76)*Assumptions!$E$90</f>
        <v>169416.48150781</v>
      </c>
      <c r="E9193" s="54" t="n">
        <f aca="false">(E9187-E9186)*12/(Assumptions!$E$89*Assumptions!$E$76)*Assumptions!$E$90</f>
        <v>180574.956058165</v>
      </c>
      <c r="F9193" s="54" t="n">
        <f aca="false">(F9187-F9186)*12/(Assumptions!$E$89*Assumptions!$E$76)*Assumptions!$E$90</f>
        <v>187442.73967783</v>
      </c>
      <c r="G9193" s="54" t="n">
        <f aca="false">(G9187-G9186)*12/(Assumptions!$E$89*Assumptions!$E$76)*Assumptions!$E$90</f>
        <v>179440.928798924</v>
      </c>
      <c r="H9193" s="54" t="n">
        <f aca="false">(H9187-H9186)*12/(Assumptions!$E$89*Assumptions!$E$76)*Assumptions!$E$90</f>
        <v>157583.60727011</v>
      </c>
      <c r="I9193" s="54" t="n">
        <f aca="false">(I9187-I9186)*12/(Assumptions!$E$89*Assumptions!$E$76)*Assumptions!$E$90</f>
        <v>192006.009672218</v>
      </c>
      <c r="J9193" s="54" t="n">
        <f aca="false">(J9187-J9186)*12/(Assumptions!$E$89*Assumptions!$E$76)*Assumptions!$E$90</f>
        <v>174748.56240989</v>
      </c>
      <c r="K9193" s="54" t="n">
        <f aca="false">(K9187-K9186)*12/(Assumptions!$E$89*Assumptions!$E$76)*Assumptions!$E$90</f>
        <v>187773.921456655</v>
      </c>
      <c r="L9193" s="54" t="n">
        <f aca="false">(L9187-L9186)*12/(Assumptions!$E$89*Assumptions!$E$76)*Assumptions!$E$90</f>
        <v>193266.169621859</v>
      </c>
      <c r="M9193" s="54" t="n">
        <f aca="false">(M9187-M9186)*12/(Assumptions!$E$89*Assumptions!$E$76)*Assumptions!$E$90</f>
        <v>192591.328259493</v>
      </c>
      <c r="N9193" s="54" t="n">
        <f aca="false">(N9187-N9186)*12/(Assumptions!$E$89*Assumptions!$E$76)*Assumptions!$E$90</f>
        <v>191078.130051771</v>
      </c>
      <c r="P9193" s="55" t="n">
        <f aca="false">SUM(C9193:F9193)</f>
        <v>726617.76240864</v>
      </c>
      <c r="Q9193" s="55" t="n">
        <f aca="false">SUM(G9193:J9193)</f>
        <v>703779.108151141</v>
      </c>
      <c r="R9193" s="55" t="n">
        <f aca="false">SUM(K9193:N9193)</f>
        <v>764709.549389778</v>
      </c>
      <c r="S9193" s="56" t="n">
        <f aca="false">SUM(P9193:R9193)</f>
        <v>2195106.41994956</v>
      </c>
    </row>
    <row r="9194" customFormat="false" ht="15" hidden="false" customHeight="false" outlineLevel="0" collapsed="false">
      <c r="A9194" s="4" t="s">
        <v>573</v>
      </c>
      <c r="B9194" s="36" t="s">
        <v>125</v>
      </c>
      <c r="C9194" s="54" t="n">
        <f aca="false">0*Assumptions!$E$92^(1/4)+C9193</f>
        <v>189183.585164835</v>
      </c>
      <c r="D9194" s="54" t="n">
        <f aca="false">C9194*Assumptions!$E$92^(1/4)+D9193</f>
        <v>359071.262314824</v>
      </c>
      <c r="E9194" s="54" t="n">
        <f aca="false">D9194*Assumptions!$E$92^(1/4)+E9193</f>
        <v>540540.549738404</v>
      </c>
      <c r="F9194" s="54" t="n">
        <f aca="false">E9194*Assumptions!$E$92^(1/4)+F9193</f>
        <v>729329.602582019</v>
      </c>
      <c r="G9194" s="54" t="n">
        <f aca="false">F9194*Assumptions!$E$92^(1/4)+G9193</f>
        <v>910587.057535416</v>
      </c>
      <c r="H9194" s="54" t="n">
        <f aca="false">G9194*Assumptions!$E$92^(1/4)+H9193</f>
        <v>1070438.64515362</v>
      </c>
      <c r="I9194" s="54" t="n">
        <f aca="false">H9194*Assumptions!$E$92^(1/4)+I9193</f>
        <v>1265110.77421657</v>
      </c>
      <c r="J9194" s="54" t="n">
        <f aca="false">I9194*Assumptions!$E$92^(1/4)+J9193</f>
        <v>1443010.32186213</v>
      </c>
      <c r="K9194" s="54" t="n">
        <f aca="false">J9194*Assumptions!$E$92^(1/4)+K9193</f>
        <v>1634378.31927779</v>
      </c>
      <c r="L9194" s="54" t="n">
        <f aca="false">K9194*Assumptions!$E$92^(1/4)+L9193</f>
        <v>1831715.20117125</v>
      </c>
      <c r="M9194" s="54" t="n">
        <f aca="false">L9194*Assumptions!$E$92^(1/4)+M9193</f>
        <v>2028868.74459203</v>
      </c>
      <c r="N9194" s="54" t="n">
        <f aca="false">M9194*Assumptions!$E$92^(1/4)+N9193</f>
        <v>2225000.13605743</v>
      </c>
      <c r="P9194" s="55" t="n">
        <f aca="false">F9194</f>
        <v>729329.602582019</v>
      </c>
      <c r="Q9194" s="55" t="n">
        <f aca="false">J9194</f>
        <v>1443010.32186213</v>
      </c>
      <c r="R9194" s="55" t="n">
        <f aca="false">N9194</f>
        <v>2225000.13605743</v>
      </c>
      <c r="S9194" s="56" t="n">
        <f aca="false">R9194</f>
        <v>2225000.13605743</v>
      </c>
    </row>
    <row r="9195" customFormat="false" ht="15" hidden="false" customHeight="false" outlineLevel="0" collapsed="false">
      <c r="A9195" s="4" t="s">
        <v>574</v>
      </c>
      <c r="B9195" s="36" t="s">
        <v>125</v>
      </c>
      <c r="C9195" s="54" t="n">
        <f aca="false">(0+C9194)/8*Assumptions!$E$76-(C9187-C9186)-C9194*Assumptions!$E$93/4</f>
        <v>-260258.807091346</v>
      </c>
      <c r="D9195" s="54" t="n">
        <f aca="false">(C9194+D9194)/8*Assumptions!$E$76-(D9187-D9186)-D9194*Assumptions!$E$93/4</f>
        <v>-204655.379932494</v>
      </c>
      <c r="E9195" s="54" t="n">
        <f aca="false">(D9194+E9194)/8*Assumptions!$E$76-(E9187-E9186)-E9194*Assumptions!$E$93/4</f>
        <v>-194493.789226421</v>
      </c>
      <c r="F9195" s="54" t="n">
        <f aca="false">(E9194+F9194)/8*Assumptions!$E$76-(F9187-F9186)-F9194*Assumptions!$E$93/4</f>
        <v>-176690.294135329</v>
      </c>
      <c r="G9195" s="54" t="n">
        <f aca="false">(F9194+G9194)/8*Assumptions!$E$76-(G9187-G9186)-G9194*Assumptions!$E$93/4</f>
        <v>-137331.562294208</v>
      </c>
      <c r="H9195" s="54" t="n">
        <f aca="false">(G9194+H9194)/8*Assumptions!$E$76-(H9187-H9186)-H9194*Assumptions!$E$93/4</f>
        <v>-80042.9107777617</v>
      </c>
      <c r="I9195" s="54" t="n">
        <f aca="false">(H9194+I9194)/8*Assumptions!$E$76-(I9187-I9186)-I9194*Assumptions!$E$93/4</f>
        <v>-103392.508324861</v>
      </c>
      <c r="J9195" s="54" t="n">
        <f aca="false">(I9194+J9194)/8*Assumptions!$E$76-(J9187-J9186)-J9194*Assumptions!$E$93/4</f>
        <v>-50417.3801145009</v>
      </c>
      <c r="K9195" s="54" t="n">
        <f aca="false">(J9194+K9194)/8*Assumptions!$E$76-(K9187-K9186)-K9194*Assumptions!$E$93/4</f>
        <v>-41620.8995579662</v>
      </c>
      <c r="L9195" s="54" t="n">
        <f aca="false">(K9194+L9194)/8*Assumptions!$E$76-(L9187-L9186)-L9194*Assumptions!$E$93/4</f>
        <v>-20438.5864875077</v>
      </c>
      <c r="M9195" s="54" t="n">
        <f aca="false">(L9194+M9194)/8*Assumptions!$E$76-(M9187-M9186)-M9194*Assumptions!$E$93/4</f>
        <v>10124.1121332654</v>
      </c>
      <c r="N9195" s="54" t="n">
        <f aca="false">(M9194+N9194)/8*Assumptions!$E$76-(N9187-N9186)-N9194*Assumptions!$E$93/4</f>
        <v>41812.6014439371</v>
      </c>
      <c r="P9195" s="55" t="n">
        <f aca="false">SUM(C9195:F9195)</f>
        <v>-836098.27038559</v>
      </c>
      <c r="Q9195" s="55" t="n">
        <f aca="false">SUM(G9195:J9195)</f>
        <v>-371184.361511331</v>
      </c>
      <c r="R9195" s="55" t="n">
        <f aca="false">SUM(K9195:N9195)</f>
        <v>-10122.7724682713</v>
      </c>
      <c r="S9195" s="56" t="n">
        <f aca="false">SUM(P9195:R9195)</f>
        <v>-1217405.40436519</v>
      </c>
    </row>
    <row r="9196" customFormat="false" ht="15" hidden="false" customHeight="false" outlineLevel="0" collapsed="false">
      <c r="A9196" s="4" t="s">
        <v>575</v>
      </c>
      <c r="B9196" s="36" t="s">
        <v>125</v>
      </c>
      <c r="C9196" s="54" t="n">
        <f aca="false">C9195*C9191</f>
        <v>-252988.586859998</v>
      </c>
      <c r="D9196" s="54" t="n">
        <f aca="false">D9195*D9191</f>
        <v>-193381.157061721</v>
      </c>
      <c r="E9196" s="54" t="n">
        <f aca="false">E9195*E9191</f>
        <v>-178645.557405111</v>
      </c>
      <c r="F9196" s="54" t="n">
        <f aca="false">F9195*F9191</f>
        <v>-157759.191192258</v>
      </c>
      <c r="G9196" s="54" t="n">
        <f aca="false">G9195*G9191</f>
        <v>-119192.199022618</v>
      </c>
      <c r="H9196" s="54" t="n">
        <f aca="false">H9195*H9191</f>
        <v>-67529.85846036</v>
      </c>
      <c r="I9196" s="54" t="n">
        <f aca="false">I9195*I9191</f>
        <v>-84792.5179195414</v>
      </c>
      <c r="J9196" s="54" t="n">
        <f aca="false">J9195*J9191</f>
        <v>-40192.4267494427</v>
      </c>
      <c r="K9196" s="54" t="n">
        <f aca="false">K9195*K9191</f>
        <v>-32253.0590300874</v>
      </c>
      <c r="L9196" s="54" t="n">
        <f aca="false">L9195*L9191</f>
        <v>-15395.9254839053</v>
      </c>
      <c r="M9196" s="54" t="n">
        <f aca="false">M9195*M9191</f>
        <v>7413.22845985277</v>
      </c>
      <c r="N9196" s="54" t="n">
        <f aca="false">N9195*N9191</f>
        <v>29761.383817489</v>
      </c>
      <c r="P9196" s="55" t="n">
        <f aca="false">SUM(C9196:F9196)</f>
        <v>-782774.492519088</v>
      </c>
      <c r="Q9196" s="55" t="n">
        <f aca="false">SUM(G9196:J9196)</f>
        <v>-311707.002151962</v>
      </c>
      <c r="R9196" s="55" t="n">
        <f aca="false">SUM(K9196:N9196)</f>
        <v>-10474.372236651</v>
      </c>
      <c r="S9196" s="56" t="n">
        <f aca="false">SUM(P9196:R9196)</f>
        <v>-1104955.8669077</v>
      </c>
    </row>
    <row r="9197" customFormat="false" ht="15" hidden="false" customHeight="false" outlineLevel="0" collapsed="false">
      <c r="A9197" s="4" t="s">
        <v>576</v>
      </c>
      <c r="B9197" s="36"/>
      <c r="C9197" s="37" t="n">
        <f aca="false">IFERROR((S9152*$C$9101*Assumptions!$E$59+S9153*$C$9102*Assumptions!$E$60+S9154*$C$9103*Assumptions!$E$61)/(S9152*$C$9101+S9153*$C$9102+S9154*$C$9103),0.9)</f>
        <v>0.902824737458976</v>
      </c>
    </row>
    <row r="9198" customFormat="false" ht="15" hidden="false" customHeight="false" outlineLevel="0" collapsed="false">
      <c r="A9198" s="4" t="s">
        <v>577</v>
      </c>
      <c r="B9198" s="36"/>
      <c r="C9198" s="37" t="n">
        <f aca="false">IFERROR(N9186*4/N9164,0)</f>
        <v>0.091037327662826</v>
      </c>
    </row>
    <row r="9199" customFormat="false" ht="15" hidden="false" customHeight="false" outlineLevel="0" collapsed="false">
      <c r="A9199" s="4" t="s">
        <v>578</v>
      </c>
      <c r="B9199" s="36"/>
      <c r="C9199" s="60" t="n">
        <f aca="false">$C$9197/(1+Assumptions!$E$87)</f>
        <v>0.806093515588372</v>
      </c>
    </row>
    <row r="9200" customFormat="false" ht="15" hidden="false" customHeight="false" outlineLevel="0" collapsed="false">
      <c r="A9200" s="4" t="s">
        <v>579</v>
      </c>
      <c r="B9200" s="36"/>
      <c r="C9200" s="60" t="n">
        <f aca="false">Assumptions!$E$91/(1+Assumptions!$E$87)</f>
        <v>0.803571428571429</v>
      </c>
    </row>
    <row r="9201" customFormat="false" ht="15" hidden="false" customHeight="false" outlineLevel="0" collapsed="false">
      <c r="A9201" s="35" t="s">
        <v>580</v>
      </c>
      <c r="B9201" s="35" t="s">
        <v>444</v>
      </c>
      <c r="C9201" s="6" t="s">
        <v>354</v>
      </c>
      <c r="D9201" s="6" t="s">
        <v>355</v>
      </c>
      <c r="E9201" s="6" t="s">
        <v>356</v>
      </c>
      <c r="F9201" s="6" t="s">
        <v>357</v>
      </c>
      <c r="G9201" s="6" t="s">
        <v>358</v>
      </c>
      <c r="H9201" s="6" t="s">
        <v>359</v>
      </c>
      <c r="I9201" s="6" t="s">
        <v>360</v>
      </c>
      <c r="J9201" s="6" t="s">
        <v>361</v>
      </c>
      <c r="K9201" s="6" t="s">
        <v>362</v>
      </c>
      <c r="L9201" s="6" t="s">
        <v>363</v>
      </c>
      <c r="M9201" s="6" t="s">
        <v>364</v>
      </c>
      <c r="N9201" s="6" t="s">
        <v>365</v>
      </c>
      <c r="P9201" s="6" t="s">
        <v>445</v>
      </c>
      <c r="Q9201" s="6" t="s">
        <v>446</v>
      </c>
      <c r="R9201" s="6" t="s">
        <v>447</v>
      </c>
      <c r="S9201" s="6" t="s">
        <v>448</v>
      </c>
    </row>
    <row r="9202" customFormat="false" ht="15" hidden="false" customHeight="false" outlineLevel="0" collapsed="false">
      <c r="A9202" s="9" t="s">
        <v>581</v>
      </c>
      <c r="C9202" s="61" t="n">
        <f aca="false">N9164</f>
        <v>984727.224682771</v>
      </c>
      <c r="D9202" s="61"/>
    </row>
    <row r="9203" customFormat="false" ht="15" hidden="false" customHeight="false" outlineLevel="0" collapsed="false">
      <c r="A9203" s="9" t="s">
        <v>582</v>
      </c>
      <c r="C9203" s="62" t="n">
        <f aca="false">N9160</f>
        <v>49.5280990541991</v>
      </c>
      <c r="D9203" s="62"/>
    </row>
    <row r="9204" customFormat="false" ht="15" hidden="false" customHeight="false" outlineLevel="0" collapsed="false">
      <c r="A9204" s="9" t="s">
        <v>583</v>
      </c>
      <c r="C9204" s="63" t="n">
        <f aca="false">S9155</f>
        <v>54.7491194625937</v>
      </c>
      <c r="D9204" s="63"/>
    </row>
    <row r="9205" customFormat="false" ht="15" hidden="false" customHeight="false" outlineLevel="0" collapsed="false">
      <c r="A9205" s="9" t="s">
        <v>584</v>
      </c>
      <c r="C9205" s="61" t="n">
        <f aca="false">S9166</f>
        <v>951911.433197642</v>
      </c>
      <c r="D9205" s="61"/>
    </row>
    <row r="9206" customFormat="false" ht="15" hidden="false" customHeight="false" outlineLevel="0" collapsed="false">
      <c r="A9206" s="9" t="s">
        <v>22</v>
      </c>
      <c r="C9206" s="61" t="n">
        <f aca="false">IFERROR(S9165/S9155,0)</f>
        <v>16835.7466499909</v>
      </c>
      <c r="D9206" s="61"/>
    </row>
    <row r="9207" customFormat="false" ht="15" hidden="false" customHeight="false" outlineLevel="0" collapsed="false">
      <c r="A9207" s="9" t="s">
        <v>585</v>
      </c>
      <c r="C9207" s="61" t="n">
        <f aca="false">IFERROR(S9183/S9155,0)</f>
        <v>45086.0869216584</v>
      </c>
      <c r="D9207" s="61"/>
    </row>
    <row r="9208" customFormat="false" ht="23.85" hidden="false" customHeight="false" outlineLevel="0" collapsed="false">
      <c r="A9208" s="9" t="s">
        <v>586</v>
      </c>
      <c r="C9208" s="61" t="n">
        <f aca="false">IFERROR((S9177+S9179+S9180+S9181+S9182)/S9155,0)</f>
        <v>21528.3042613534</v>
      </c>
      <c r="D9208" s="61"/>
    </row>
    <row r="9209" customFormat="false" ht="15" hidden="false" customHeight="false" outlineLevel="0" collapsed="false">
      <c r="A9209" s="9" t="s">
        <v>587</v>
      </c>
      <c r="C9209" s="64" t="n">
        <f aca="false">IFERROR('Engine Runs'!$C$9207/('Engine Runs'!$C$9206*Assumptions!$E$76/12),0)</f>
        <v>49.4399532785149</v>
      </c>
      <c r="D9209" s="64"/>
    </row>
    <row r="9210" customFormat="false" ht="15" hidden="false" customHeight="false" outlineLevel="0" collapsed="false">
      <c r="A9210" s="9" t="s">
        <v>588</v>
      </c>
      <c r="C9210" s="64" t="n">
        <f aca="false">IFERROR((R9183/R9155)/((R9165/R9155)*Assumptions!$E$76/12),0)</f>
        <v>34.373572017033</v>
      </c>
      <c r="D9210" s="64"/>
    </row>
    <row r="9211" customFormat="false" ht="15" hidden="false" customHeight="false" outlineLevel="0" collapsed="false">
      <c r="A9211" s="9" t="s">
        <v>589</v>
      </c>
      <c r="C9211" s="61" t="n">
        <f aca="false">S9187</f>
        <v>3274364.44868093</v>
      </c>
      <c r="D9211" s="61"/>
    </row>
    <row r="9212" customFormat="false" ht="15" hidden="false" customHeight="false" outlineLevel="0" collapsed="false">
      <c r="A9212" s="9" t="s">
        <v>590</v>
      </c>
      <c r="C9212" s="61" t="n">
        <f aca="false">N9190</f>
        <v>-2655622.01710247</v>
      </c>
      <c r="D9212" s="61"/>
    </row>
    <row r="9213" customFormat="false" ht="15" hidden="false" customHeight="false" outlineLevel="0" collapsed="false">
      <c r="A9213" s="9" t="s">
        <v>591</v>
      </c>
      <c r="C9213" s="61" t="n">
        <f aca="false">MIN($C$9190:$N$9190)</f>
        <v>-2655622.01710247</v>
      </c>
      <c r="D9213" s="61"/>
    </row>
    <row r="9214" customFormat="false" ht="15" hidden="false" customHeight="false" outlineLevel="0" collapsed="false">
      <c r="A9214" s="9" t="s">
        <v>592</v>
      </c>
      <c r="C9214" s="61" t="n">
        <f aca="false">N9164*(Assumptions!$E$76-$C$9198)*$C$9197*(1-$C$9197^Assumptions!$E$85)/(1-$C$9197)</f>
        <v>2046479.46701104</v>
      </c>
      <c r="D9214" s="61"/>
    </row>
    <row r="9215" customFormat="false" ht="15" hidden="false" customHeight="false" outlineLevel="0" collapsed="false">
      <c r="A9215" s="9" t="s">
        <v>593</v>
      </c>
      <c r="C9215" s="61" t="n">
        <f aca="false">N9164*(Assumptions!$E$76-$C$9198)*(1-Assumptions!$E$88)/(1+Assumptions!$E$87)^2.5*$C$9199*(1-$C$9199^Assumptions!$E$85)/(1-$C$9199)</f>
        <v>909598.279311943</v>
      </c>
      <c r="D9215" s="61"/>
    </row>
    <row r="9216" customFormat="false" ht="15" hidden="false" customHeight="false" outlineLevel="0" collapsed="false">
      <c r="A9216" s="9" t="s">
        <v>594</v>
      </c>
      <c r="C9216" s="61" t="n">
        <f aca="false">SUM($C$9192:$N$9192)+'Engine Runs'!$C$9215</f>
        <v>-1436660.67783272</v>
      </c>
      <c r="D9216" s="61"/>
    </row>
    <row r="9217" customFormat="false" ht="15" hidden="false" customHeight="false" outlineLevel="0" collapsed="false">
      <c r="A9217" s="9" t="s">
        <v>595</v>
      </c>
      <c r="C9217" s="61" t="n">
        <f aca="false">SUM($C$9196:$N$9196)+N9194*(Assumptions!$E$76-Assumptions!$E$93)/(1+Assumptions!$E$87)^2.5*$C$9200*(1-$C$9200^Assumptions!$E$85)/(1-$C$9200)</f>
        <v>1630555.9740725</v>
      </c>
      <c r="D9217" s="61"/>
    </row>
    <row r="9218" customFormat="false" ht="15" hidden="false" customHeight="false" outlineLevel="0" collapsed="false">
      <c r="A9218" s="9" t="s">
        <v>596</v>
      </c>
      <c r="C9218" s="61" t="n">
        <f aca="false">'Engine Runs'!$C$9216-'Engine Runs'!$C$9217</f>
        <v>-3067216.65190522</v>
      </c>
      <c r="D9218" s="61"/>
    </row>
    <row r="9219" customFormat="false" ht="15" hidden="false" customHeight="false" outlineLevel="0" collapsed="false">
      <c r="A9219" s="9" t="s">
        <v>597</v>
      </c>
      <c r="C9219" s="61" t="n">
        <f aca="false">S9151</f>
        <v>0</v>
      </c>
      <c r="D9219" s="61"/>
    </row>
    <row r="9220" customFormat="false" ht="15" hidden="false" customHeight="false" outlineLevel="0" collapsed="false">
      <c r="A9220" s="9" t="s">
        <v>598</v>
      </c>
      <c r="C9220" s="63" t="n">
        <f aca="false">P9135</f>
        <v>43.6188722246667</v>
      </c>
      <c r="D9220" s="63"/>
    </row>
    <row r="9221" customFormat="false" ht="15" hidden="false" customHeight="false" outlineLevel="0" collapsed="false">
      <c r="A9221" s="9" t="s">
        <v>599</v>
      </c>
      <c r="C9221" s="63" t="n">
        <f aca="false">P9155</f>
        <v>6.18260904948639</v>
      </c>
      <c r="D9221" s="63"/>
    </row>
    <row r="9222" customFormat="false" ht="15" hidden="false" customHeight="false" outlineLevel="0" collapsed="false">
      <c r="A9222" s="9" t="s">
        <v>600</v>
      </c>
      <c r="C9222" s="63" t="n">
        <f aca="false">P9131</f>
        <v>42</v>
      </c>
      <c r="D9222" s="63"/>
    </row>
    <row r="9223" customFormat="false" ht="15" hidden="false" customHeight="false" outlineLevel="0" collapsed="false">
      <c r="A9223" s="9" t="s">
        <v>601</v>
      </c>
      <c r="C9223" s="61" t="n">
        <f aca="false">IFERROR(P9165/P9155,0)</f>
        <v>16181.5777383201</v>
      </c>
      <c r="D9223" s="61"/>
    </row>
    <row r="9226" customFormat="false" ht="15" hidden="false" customHeight="true" outlineLevel="0" collapsed="false">
      <c r="A9226" s="78" t="s">
        <v>939</v>
      </c>
      <c r="B9226" s="78"/>
      <c r="C9226" s="78"/>
      <c r="D9226" s="78"/>
      <c r="E9226" s="78"/>
      <c r="F9226" s="78"/>
      <c r="G9226" s="78"/>
      <c r="H9226" s="78"/>
      <c r="I9226" s="78"/>
      <c r="J9226" s="78"/>
      <c r="K9226" s="78"/>
      <c r="L9226" s="78"/>
      <c r="M9226" s="78"/>
      <c r="N9226" s="78"/>
    </row>
    <row r="9227" customFormat="false" ht="15" hidden="false" customHeight="true" outlineLevel="0" collapsed="false">
      <c r="A9227" s="79" t="s">
        <v>940</v>
      </c>
      <c r="B9227" s="79"/>
      <c r="C9227" s="79"/>
      <c r="D9227" s="79"/>
      <c r="E9227" s="79"/>
      <c r="F9227" s="79"/>
      <c r="G9227" s="79"/>
      <c r="H9227" s="79"/>
      <c r="I9227" s="79"/>
      <c r="J9227" s="79"/>
      <c r="K9227" s="79"/>
      <c r="L9227" s="79"/>
      <c r="M9227" s="79"/>
      <c r="N9227" s="79"/>
    </row>
    <row r="9228" customFormat="false" ht="15" hidden="false" customHeight="false" outlineLevel="0" collapsed="false">
      <c r="A9228" s="35" t="s">
        <v>941</v>
      </c>
      <c r="B9228" s="35" t="s">
        <v>444</v>
      </c>
      <c r="C9228" s="6" t="s">
        <v>354</v>
      </c>
      <c r="D9228" s="6" t="s">
        <v>355</v>
      </c>
      <c r="E9228" s="6" t="s">
        <v>356</v>
      </c>
      <c r="F9228" s="6" t="s">
        <v>357</v>
      </c>
      <c r="G9228" s="6" t="s">
        <v>358</v>
      </c>
      <c r="H9228" s="6" t="s">
        <v>359</v>
      </c>
      <c r="I9228" s="6" t="s">
        <v>360</v>
      </c>
      <c r="J9228" s="6" t="s">
        <v>361</v>
      </c>
      <c r="K9228" s="6" t="s">
        <v>362</v>
      </c>
      <c r="L9228" s="6" t="s">
        <v>363</v>
      </c>
      <c r="M9228" s="6" t="s">
        <v>364</v>
      </c>
      <c r="N9228" s="6" t="s">
        <v>365</v>
      </c>
      <c r="P9228" s="6" t="s">
        <v>445</v>
      </c>
      <c r="Q9228" s="6" t="s">
        <v>446</v>
      </c>
      <c r="R9228" s="6" t="s">
        <v>447</v>
      </c>
      <c r="S9228" s="6" t="s">
        <v>448</v>
      </c>
    </row>
    <row r="9229" customFormat="false" ht="15" hidden="false" customHeight="false" outlineLevel="0" collapsed="false">
      <c r="A9229" s="4" t="s">
        <v>449</v>
      </c>
      <c r="B9229" s="36" t="s">
        <v>450</v>
      </c>
      <c r="C9229" s="34" t="n">
        <f aca="false">'Market Sizing'!$C$17*Assumptions!$E$10*Assumptions!$E$11*(1-Assumptions!$E$12)</f>
        <v>843.03944704</v>
      </c>
    </row>
    <row r="9230" customFormat="false" ht="15" hidden="false" customHeight="false" outlineLevel="0" collapsed="false">
      <c r="A9230" s="4" t="s">
        <v>451</v>
      </c>
      <c r="B9230" s="36" t="s">
        <v>450</v>
      </c>
      <c r="C9230" s="34" t="n">
        <f aca="false">'Market Sizing'!$D$17*Assumptions!$E$10*Assumptions!$E$11*(1-Assumptions!$E$12)</f>
        <v>211.19616</v>
      </c>
    </row>
    <row r="9231" customFormat="false" ht="15" hidden="false" customHeight="false" outlineLevel="0" collapsed="false">
      <c r="A9231" s="4" t="s">
        <v>452</v>
      </c>
      <c r="B9231" s="36" t="s">
        <v>450</v>
      </c>
      <c r="C9231" s="34" t="n">
        <f aca="false">'Market Sizing'!$E$17*Assumptions!$E$10*Assumptions!$E$11*(1-Assumptions!$E$12)</f>
        <v>49.53984</v>
      </c>
    </row>
    <row r="9232" customFormat="false" ht="15" hidden="false" customHeight="false" outlineLevel="0" collapsed="false">
      <c r="A9232" s="4" t="s">
        <v>453</v>
      </c>
      <c r="B9232" s="36"/>
      <c r="C9232" s="34" t="n">
        <f aca="false">$C$9229+$C$9230+$C$9231</f>
        <v>1103.77544704</v>
      </c>
    </row>
    <row r="9233" customFormat="false" ht="15" hidden="false" customHeight="false" outlineLevel="0" collapsed="false">
      <c r="A9233" s="4" t="s">
        <v>454</v>
      </c>
      <c r="B9233" s="36" t="s">
        <v>450</v>
      </c>
      <c r="C9233" s="34" t="n">
        <f aca="false">'Market Sizing'!$C$18*Assumptions!$E$10*Assumptions!$E$11*(1-Assumptions!$E$12)</f>
        <v>612.57706944</v>
      </c>
    </row>
    <row r="9234" customFormat="false" ht="15" hidden="false" customHeight="false" outlineLevel="0" collapsed="false">
      <c r="A9234" s="4" t="s">
        <v>455</v>
      </c>
      <c r="B9234" s="36" t="s">
        <v>450</v>
      </c>
      <c r="C9234" s="34" t="n">
        <f aca="false">'Market Sizing'!$D$18*Assumptions!$E$10*Assumptions!$E$11*(1-Assumptions!$E$12)</f>
        <v>142.10112</v>
      </c>
    </row>
    <row r="9235" customFormat="false" ht="15" hidden="false" customHeight="false" outlineLevel="0" collapsed="false">
      <c r="A9235" s="4" t="s">
        <v>456</v>
      </c>
      <c r="B9235" s="36" t="s">
        <v>450</v>
      </c>
      <c r="C9235" s="34" t="n">
        <f aca="false">'Market Sizing'!$E$18*Assumptions!$E$10*Assumptions!$E$11*(1-Assumptions!$E$12)</f>
        <v>24.76992</v>
      </c>
    </row>
    <row r="9236" customFormat="false" ht="15" hidden="false" customHeight="false" outlineLevel="0" collapsed="false">
      <c r="A9236" s="4" t="s">
        <v>457</v>
      </c>
      <c r="B9236" s="36"/>
      <c r="C9236" s="34" t="n">
        <f aca="false">$C$9233+$C$9234+$C$9235</f>
        <v>779.44810944</v>
      </c>
    </row>
    <row r="9237" customFormat="false" ht="15" hidden="false" customHeight="false" outlineLevel="0" collapsed="false">
      <c r="A9237" s="4" t="s">
        <v>458</v>
      </c>
      <c r="B9237" s="36" t="s">
        <v>450</v>
      </c>
      <c r="C9237" s="34" t="n">
        <f aca="false">'Market Sizing'!$C$19*Assumptions!$E$10*Assumptions!$E$11*(1-Assumptions!$E$12)</f>
        <v>2060.77303936</v>
      </c>
    </row>
    <row r="9238" customFormat="false" ht="15" hidden="false" customHeight="false" outlineLevel="0" collapsed="false">
      <c r="A9238" s="4" t="s">
        <v>459</v>
      </c>
      <c r="B9238" s="36" t="s">
        <v>450</v>
      </c>
      <c r="C9238" s="34" t="n">
        <f aca="false">'Market Sizing'!$D$19*Assumptions!$E$10*Assumptions!$E$11*(1-Assumptions!$E$12)</f>
        <v>428.47616</v>
      </c>
    </row>
    <row r="9239" customFormat="false" ht="15" hidden="false" customHeight="false" outlineLevel="0" collapsed="false">
      <c r="A9239" s="4" t="s">
        <v>460</v>
      </c>
      <c r="B9239" s="36" t="s">
        <v>450</v>
      </c>
      <c r="C9239" s="34" t="n">
        <f aca="false">'Market Sizing'!$E$19*Assumptions!$E$10*Assumptions!$E$11*(1-Assumptions!$E$12)</f>
        <v>79.52448</v>
      </c>
    </row>
    <row r="9240" customFormat="false" ht="15" hidden="false" customHeight="false" outlineLevel="0" collapsed="false">
      <c r="A9240" s="4" t="s">
        <v>461</v>
      </c>
      <c r="B9240" s="36"/>
      <c r="C9240" s="34" t="n">
        <f aca="false">$C$9237+$C$9238+$C$9239</f>
        <v>2568.77367936</v>
      </c>
    </row>
    <row r="9241" customFormat="false" ht="15" hidden="false" customHeight="false" outlineLevel="0" collapsed="false">
      <c r="A9241" s="4" t="s">
        <v>462</v>
      </c>
      <c r="B9241" s="36" t="s">
        <v>463</v>
      </c>
      <c r="C9241" s="33" t="n">
        <f aca="false">MAX((Assumptions!$E$51+Assumptions!$E$53)*12,(((('Market Sizing'!$E$25*Assumptions!$E$41*Assumptions!$E$42*0.75)*Assumptions!$E$44)*Assumptions!$E$45*Assumptions!$E$46+('Market Sizing'!$E$25*Assumptions!$E$41*Assumptions!$E$42*0.75)*Assumptions!$E$47+('Market Sizing'!$E$25*Assumptions!$E$41*Assumptions!$E$42*0.75)*Assumptions!$E$48*Assumptions!$E$49)*(Assumptions!$E$51*12/Assumptions!$E$52)+((('Market Sizing'!$E$25*Assumptions!$E$41*Assumptions!$E$42*0.75)*Assumptions!$E$44)*Assumptions!$E$45+('Market Sizing'!$E$25*Assumptions!$E$41*Assumptions!$E$42*0.75)+('Market Sizing'!$E$25*Assumptions!$E$41*Assumptions!$E$42*0.75)*Assumptions!$E$48)*Assumptions!$E$50*(Assumptions!$E$53*12/Assumptions!$E$54)))</f>
        <v>5352</v>
      </c>
    </row>
    <row r="9242" customFormat="false" ht="15" hidden="false" customHeight="false" outlineLevel="0" collapsed="false">
      <c r="A9242" s="4" t="s">
        <v>464</v>
      </c>
      <c r="B9242" s="36" t="s">
        <v>463</v>
      </c>
      <c r="C9242" s="33" t="n">
        <f aca="false">MAX((Assumptions!$E$51+Assumptions!$E$53)*12,(((('Market Sizing'!$E$26*Assumptions!$E$41*Assumptions!$E$42*0.75)*Assumptions!$E$44)*Assumptions!$E$45*Assumptions!$E$46+('Market Sizing'!$E$26*Assumptions!$E$41*Assumptions!$E$42*0.75)*Assumptions!$E$47+('Market Sizing'!$E$26*Assumptions!$E$41*Assumptions!$E$42*0.75)*Assumptions!$E$48*Assumptions!$E$49)*(Assumptions!$E$51*12/Assumptions!$E$52)+((('Market Sizing'!$E$26*Assumptions!$E$41*Assumptions!$E$42*0.75)*Assumptions!$E$44)*Assumptions!$E$45+('Market Sizing'!$E$26*Assumptions!$E$41*Assumptions!$E$42*0.75)+('Market Sizing'!$E$26*Assumptions!$E$41*Assumptions!$E$42*0.75)*Assumptions!$E$48)*Assumptions!$E$50*(Assumptions!$E$53*12/Assumptions!$E$54)))</f>
        <v>7325.04009656406</v>
      </c>
    </row>
    <row r="9243" customFormat="false" ht="15" hidden="false" customHeight="false" outlineLevel="0" collapsed="false">
      <c r="A9243" s="4" t="s">
        <v>465</v>
      </c>
      <c r="B9243" s="36" t="s">
        <v>463</v>
      </c>
      <c r="C9243" s="33" t="n">
        <f aca="false">MAX(Assumptions!$E$55*(Assumptions!$E$51*12/Assumptions!$E$52)+Assumptions!$E$56*(Assumptions!$E$53*12/Assumptions!$E$54),(((('Market Sizing'!$E$27*Assumptions!$E$41*Assumptions!$E$42*0.75)*Assumptions!$E$44)*Assumptions!$E$45*Assumptions!$E$46+('Market Sizing'!$E$27*Assumptions!$E$41*Assumptions!$E$42*0.75)*Assumptions!$E$47+('Market Sizing'!$E$27*Assumptions!$E$41*Assumptions!$E$42*0.75)*Assumptions!$E$48*Assumptions!$E$49)*(Assumptions!$E$51*12/Assumptions!$E$52)+((('Market Sizing'!$E$27*Assumptions!$E$41*Assumptions!$E$42*0.75)*Assumptions!$E$44)*Assumptions!$E$45+('Market Sizing'!$E$27*Assumptions!$E$41*Assumptions!$E$42*0.75)+('Market Sizing'!$E$27*Assumptions!$E$41*Assumptions!$E$42*0.75)*Assumptions!$E$48)*Assumptions!$E$50*(Assumptions!$E$53*12/Assumptions!$E$54)))*(1-Assumptions!$E$57)</f>
        <v>46333.6921645789</v>
      </c>
    </row>
    <row r="9244" customFormat="false" ht="23.85" hidden="false" customHeight="false" outlineLevel="0" collapsed="false">
      <c r="A9244" s="4" t="s">
        <v>466</v>
      </c>
      <c r="B9244" s="36" t="s">
        <v>467</v>
      </c>
      <c r="C9244" s="37" t="n">
        <f aca="false">Assumptions!$E$17*Assumptions!$D$106</f>
        <v>0.4</v>
      </c>
    </row>
    <row r="9245" customFormat="false" ht="23.85" hidden="false" customHeight="false" outlineLevel="0" collapsed="false">
      <c r="A9245" s="4" t="s">
        <v>468</v>
      </c>
      <c r="B9245" s="36" t="s">
        <v>469</v>
      </c>
      <c r="C9245" s="33" t="n">
        <f aca="false">Assumptions!$E$68/Assumptions!$E$69</f>
        <v>285714.285714286</v>
      </c>
    </row>
    <row r="9246" customFormat="false" ht="23.85" hidden="false" customHeight="false" outlineLevel="0" collapsed="false">
      <c r="A9246" s="4" t="s">
        <v>470</v>
      </c>
      <c r="B9246" s="36" t="s">
        <v>471</v>
      </c>
      <c r="C9246" s="33" t="n">
        <f aca="false">Assumptions!$E$66*Assumptions!$E$67/4</f>
        <v>153125</v>
      </c>
    </row>
    <row r="9247" customFormat="false" ht="15" hidden="false" customHeight="false" outlineLevel="0" collapsed="false">
      <c r="A9247" s="4" t="s">
        <v>472</v>
      </c>
      <c r="B9247" s="36"/>
      <c r="C9247" s="38" t="n">
        <f aca="false">$C$9245/Assumptions!$E$66/Assumptions!$E$67</f>
        <v>0.466472303206997</v>
      </c>
    </row>
    <row r="9248" customFormat="false" ht="15" hidden="false" customHeight="false" outlineLevel="0" collapsed="false">
      <c r="A9248" s="4" t="s">
        <v>473</v>
      </c>
      <c r="B9248" s="36"/>
      <c r="C9248" s="33" t="n">
        <f aca="false">MAX(0,Assumptions!$D$103-Assumptions!$E$78)</f>
        <v>0</v>
      </c>
    </row>
    <row r="9249" customFormat="false" ht="15" hidden="false" customHeight="false" outlineLevel="0" collapsed="false">
      <c r="A9249" s="35" t="s">
        <v>474</v>
      </c>
      <c r="B9249" s="35" t="s">
        <v>444</v>
      </c>
      <c r="C9249" s="6" t="s">
        <v>354</v>
      </c>
      <c r="D9249" s="6" t="s">
        <v>355</v>
      </c>
      <c r="E9249" s="6" t="s">
        <v>356</v>
      </c>
      <c r="F9249" s="6" t="s">
        <v>357</v>
      </c>
      <c r="G9249" s="6" t="s">
        <v>358</v>
      </c>
      <c r="H9249" s="6" t="s">
        <v>359</v>
      </c>
      <c r="I9249" s="6" t="s">
        <v>360</v>
      </c>
      <c r="J9249" s="6" t="s">
        <v>361</v>
      </c>
      <c r="K9249" s="6" t="s">
        <v>362</v>
      </c>
      <c r="L9249" s="6" t="s">
        <v>363</v>
      </c>
      <c r="M9249" s="6" t="s">
        <v>364</v>
      </c>
      <c r="N9249" s="6" t="s">
        <v>365</v>
      </c>
      <c r="P9249" s="6" t="s">
        <v>445</v>
      </c>
      <c r="Q9249" s="6" t="s">
        <v>446</v>
      </c>
      <c r="R9249" s="6" t="s">
        <v>447</v>
      </c>
      <c r="S9249" s="6" t="s">
        <v>448</v>
      </c>
    </row>
    <row r="9250" customFormat="false" ht="15" hidden="false" customHeight="false" outlineLevel="0" collapsed="false">
      <c r="A9250" s="4" t="s">
        <v>475</v>
      </c>
      <c r="B9250" s="36" t="s">
        <v>133</v>
      </c>
      <c r="C9250" s="39" t="n">
        <v>1</v>
      </c>
      <c r="D9250" s="39" t="n">
        <v>2</v>
      </c>
      <c r="E9250" s="39" t="n">
        <v>3</v>
      </c>
      <c r="F9250" s="39" t="n">
        <v>4</v>
      </c>
      <c r="G9250" s="39" t="n">
        <v>5</v>
      </c>
      <c r="H9250" s="39" t="n">
        <v>6</v>
      </c>
      <c r="I9250" s="39" t="n">
        <v>7</v>
      </c>
      <c r="J9250" s="39" t="n">
        <v>8</v>
      </c>
      <c r="K9250" s="39" t="n">
        <v>9</v>
      </c>
      <c r="L9250" s="39" t="n">
        <v>10</v>
      </c>
      <c r="M9250" s="39" t="n">
        <v>11</v>
      </c>
      <c r="N9250" s="39" t="n">
        <v>12</v>
      </c>
      <c r="P9250" s="40"/>
      <c r="Q9250" s="40"/>
      <c r="R9250" s="40"/>
      <c r="S9250" s="41"/>
    </row>
    <row r="9251" customFormat="false" ht="15" hidden="false" customHeight="false" outlineLevel="0" collapsed="false">
      <c r="A9251" s="4" t="s">
        <v>476</v>
      </c>
      <c r="B9251" s="36" t="s">
        <v>343</v>
      </c>
      <c r="C9251" s="39" t="n">
        <f aca="false">IF(C9250&lt;=Assumptions!$E$84,1,0)</f>
        <v>1</v>
      </c>
      <c r="D9251" s="39" t="n">
        <f aca="false">IF(D9250&lt;=Assumptions!$E$84,1,0)</f>
        <v>1</v>
      </c>
      <c r="E9251" s="39" t="n">
        <f aca="false">IF(E9250&lt;=Assumptions!$E$84,1,0)</f>
        <v>1</v>
      </c>
      <c r="F9251" s="39" t="n">
        <f aca="false">IF(F9250&lt;=Assumptions!$E$84,1,0)</f>
        <v>1</v>
      </c>
      <c r="G9251" s="39" t="n">
        <f aca="false">IF(G9250&lt;=Assumptions!$E$84,1,0)</f>
        <v>1</v>
      </c>
      <c r="H9251" s="39" t="n">
        <f aca="false">IF(H9250&lt;=Assumptions!$E$84,1,0)</f>
        <v>1</v>
      </c>
      <c r="I9251" s="39" t="n">
        <f aca="false">IF(I9250&lt;=Assumptions!$E$84,1,0)</f>
        <v>1</v>
      </c>
      <c r="J9251" s="39" t="n">
        <f aca="false">IF(J9250&lt;=Assumptions!$E$84,1,0)</f>
        <v>1</v>
      </c>
      <c r="K9251" s="39" t="n">
        <f aca="false">IF(K9250&lt;=Assumptions!$E$84,1,0)</f>
        <v>1</v>
      </c>
      <c r="L9251" s="39" t="n">
        <f aca="false">IF(L9250&lt;=Assumptions!$E$84,1,0)</f>
        <v>1</v>
      </c>
      <c r="M9251" s="39" t="n">
        <f aca="false">IF(M9250&lt;=Assumptions!$E$84,1,0)</f>
        <v>1</v>
      </c>
      <c r="N9251" s="39" t="n">
        <f aca="false">IF(N9250&lt;=Assumptions!$E$84,1,0)</f>
        <v>1</v>
      </c>
      <c r="P9251" s="40"/>
      <c r="Q9251" s="40"/>
      <c r="R9251" s="40"/>
      <c r="S9251" s="41"/>
    </row>
    <row r="9252" customFormat="false" ht="15" hidden="false" customHeight="false" outlineLevel="0" collapsed="false">
      <c r="A9252" s="4" t="s">
        <v>477</v>
      </c>
      <c r="B9252" s="36" t="s">
        <v>478</v>
      </c>
      <c r="C9252" s="42" t="n">
        <f aca="false">IF(C9250=Assumptions!$E$13,0.5,IF(C9250&gt;Assumptions!$E$13,1,0))</f>
        <v>0.5</v>
      </c>
      <c r="D9252" s="42" t="n">
        <f aca="false">IF(D9250=Assumptions!$E$13,0.5,IF(D9250&gt;Assumptions!$E$13,1,0))</f>
        <v>1</v>
      </c>
      <c r="E9252" s="42" t="n">
        <f aca="false">IF(E9250=Assumptions!$E$13,0.5,IF(E9250&gt;Assumptions!$E$13,1,0))</f>
        <v>1</v>
      </c>
      <c r="F9252" s="42" t="n">
        <f aca="false">IF(F9250=Assumptions!$E$13,0.5,IF(F9250&gt;Assumptions!$E$13,1,0))</f>
        <v>1</v>
      </c>
      <c r="G9252" s="42" t="n">
        <f aca="false">IF(G9250=Assumptions!$E$13,0.5,IF(G9250&gt;Assumptions!$E$13,1,0))</f>
        <v>1</v>
      </c>
      <c r="H9252" s="42" t="n">
        <f aca="false">IF(H9250=Assumptions!$E$13,0.5,IF(H9250&gt;Assumptions!$E$13,1,0))</f>
        <v>1</v>
      </c>
      <c r="I9252" s="42" t="n">
        <f aca="false">IF(I9250=Assumptions!$E$13,0.5,IF(I9250&gt;Assumptions!$E$13,1,0))</f>
        <v>1</v>
      </c>
      <c r="J9252" s="42" t="n">
        <f aca="false">IF(J9250=Assumptions!$E$13,0.5,IF(J9250&gt;Assumptions!$E$13,1,0))</f>
        <v>1</v>
      </c>
      <c r="K9252" s="42" t="n">
        <f aca="false">IF(K9250=Assumptions!$E$13,0.5,IF(K9250&gt;Assumptions!$E$13,1,0))</f>
        <v>1</v>
      </c>
      <c r="L9252" s="42" t="n">
        <f aca="false">IF(L9250=Assumptions!$E$13,0.5,IF(L9250&gt;Assumptions!$E$13,1,0))</f>
        <v>1</v>
      </c>
      <c r="M9252" s="42" t="n">
        <f aca="false">IF(M9250=Assumptions!$E$13,0.5,IF(M9250&gt;Assumptions!$E$13,1,0))</f>
        <v>1</v>
      </c>
      <c r="N9252" s="42" t="n">
        <f aca="false">IF(N9250=Assumptions!$E$13,0.5,IF(N9250&gt;Assumptions!$E$13,1,0))</f>
        <v>1</v>
      </c>
      <c r="P9252" s="43"/>
      <c r="Q9252" s="43"/>
      <c r="R9252" s="43"/>
      <c r="S9252" s="44"/>
    </row>
    <row r="9253" customFormat="false" ht="15" hidden="false" customHeight="false" outlineLevel="0" collapsed="false">
      <c r="A9253" s="4" t="s">
        <v>479</v>
      </c>
      <c r="B9253" s="36" t="s">
        <v>478</v>
      </c>
      <c r="C9253" s="42" t="n">
        <f aca="false">IF(C9250=Assumptions!$E$14,0.5,IF(C9250&gt;Assumptions!$E$14,1,0))</f>
        <v>0</v>
      </c>
      <c r="D9253" s="42" t="n">
        <f aca="false">IF(D9250=Assumptions!$E$14,0.5,IF(D9250&gt;Assumptions!$E$14,1,0))</f>
        <v>0</v>
      </c>
      <c r="E9253" s="42" t="n">
        <f aca="false">IF(E9250=Assumptions!$E$14,0.5,IF(E9250&gt;Assumptions!$E$14,1,0))</f>
        <v>0</v>
      </c>
      <c r="F9253" s="42" t="n">
        <f aca="false">IF(F9250=Assumptions!$E$14,0.5,IF(F9250&gt;Assumptions!$E$14,1,0))</f>
        <v>0</v>
      </c>
      <c r="G9253" s="42" t="n">
        <f aca="false">IF(G9250=Assumptions!$E$14,0.5,IF(G9250&gt;Assumptions!$E$14,1,0))</f>
        <v>0.5</v>
      </c>
      <c r="H9253" s="42" t="n">
        <f aca="false">IF(H9250=Assumptions!$E$14,0.5,IF(H9250&gt;Assumptions!$E$14,1,0))</f>
        <v>1</v>
      </c>
      <c r="I9253" s="42" t="n">
        <f aca="false">IF(I9250=Assumptions!$E$14,0.5,IF(I9250&gt;Assumptions!$E$14,1,0))</f>
        <v>1</v>
      </c>
      <c r="J9253" s="42" t="n">
        <f aca="false">IF(J9250=Assumptions!$E$14,0.5,IF(J9250&gt;Assumptions!$E$14,1,0))</f>
        <v>1</v>
      </c>
      <c r="K9253" s="42" t="n">
        <f aca="false">IF(K9250=Assumptions!$E$14,0.5,IF(K9250&gt;Assumptions!$E$14,1,0))</f>
        <v>1</v>
      </c>
      <c r="L9253" s="42" t="n">
        <f aca="false">IF(L9250=Assumptions!$E$14,0.5,IF(L9250&gt;Assumptions!$E$14,1,0))</f>
        <v>1</v>
      </c>
      <c r="M9253" s="42" t="n">
        <f aca="false">IF(M9250=Assumptions!$E$14,0.5,IF(M9250&gt;Assumptions!$E$14,1,0))</f>
        <v>1</v>
      </c>
      <c r="N9253" s="42" t="n">
        <f aca="false">IF(N9250=Assumptions!$E$14,0.5,IF(N9250&gt;Assumptions!$E$14,1,0))</f>
        <v>1</v>
      </c>
      <c r="P9253" s="43"/>
      <c r="Q9253" s="43"/>
      <c r="R9253" s="43"/>
      <c r="S9253" s="44"/>
    </row>
    <row r="9254" customFormat="false" ht="15" hidden="false" customHeight="false" outlineLevel="0" collapsed="false">
      <c r="A9254" s="4" t="s">
        <v>480</v>
      </c>
      <c r="B9254" s="36" t="s">
        <v>478</v>
      </c>
      <c r="C9254" s="42" t="n">
        <f aca="false">IF(C9250=Assumptions!$E$15,0.5,IF(C9250&gt;Assumptions!$E$15,1,0))</f>
        <v>0</v>
      </c>
      <c r="D9254" s="42" t="n">
        <f aca="false">IF(D9250=Assumptions!$E$15,0.5,IF(D9250&gt;Assumptions!$E$15,1,0))</f>
        <v>0</v>
      </c>
      <c r="E9254" s="42" t="n">
        <f aca="false">IF(E9250=Assumptions!$E$15,0.5,IF(E9250&gt;Assumptions!$E$15,1,0))</f>
        <v>0</v>
      </c>
      <c r="F9254" s="42" t="n">
        <f aca="false">IF(F9250=Assumptions!$E$15,0.5,IF(F9250&gt;Assumptions!$E$15,1,0))</f>
        <v>0</v>
      </c>
      <c r="G9254" s="42" t="n">
        <f aca="false">IF(G9250=Assumptions!$E$15,0.5,IF(G9250&gt;Assumptions!$E$15,1,0))</f>
        <v>0</v>
      </c>
      <c r="H9254" s="42" t="n">
        <f aca="false">IF(H9250=Assumptions!$E$15,0.5,IF(H9250&gt;Assumptions!$E$15,1,0))</f>
        <v>0</v>
      </c>
      <c r="I9254" s="42" t="n">
        <f aca="false">IF(I9250=Assumptions!$E$15,0.5,IF(I9250&gt;Assumptions!$E$15,1,0))</f>
        <v>0.5</v>
      </c>
      <c r="J9254" s="42" t="n">
        <f aca="false">IF(J9250=Assumptions!$E$15,0.5,IF(J9250&gt;Assumptions!$E$15,1,0))</f>
        <v>1</v>
      </c>
      <c r="K9254" s="42" t="n">
        <f aca="false">IF(K9250=Assumptions!$E$15,0.5,IF(K9250&gt;Assumptions!$E$15,1,0))</f>
        <v>1</v>
      </c>
      <c r="L9254" s="42" t="n">
        <f aca="false">IF(L9250=Assumptions!$E$15,0.5,IF(L9250&gt;Assumptions!$E$15,1,0))</f>
        <v>1</v>
      </c>
      <c r="M9254" s="42" t="n">
        <f aca="false">IF(M9250=Assumptions!$E$15,0.5,IF(M9250&gt;Assumptions!$E$15,1,0))</f>
        <v>1</v>
      </c>
      <c r="N9254" s="42" t="n">
        <f aca="false">IF(N9250=Assumptions!$E$15,0.5,IF(N9250&gt;Assumptions!$E$15,1,0))</f>
        <v>1</v>
      </c>
      <c r="P9254" s="43"/>
      <c r="Q9254" s="43"/>
      <c r="R9254" s="43"/>
      <c r="S9254" s="44"/>
    </row>
    <row r="9255" customFormat="false" ht="15" hidden="false" customHeight="false" outlineLevel="0" collapsed="false">
      <c r="A9255" s="4" t="s">
        <v>481</v>
      </c>
      <c r="B9255" s="36" t="s">
        <v>478</v>
      </c>
      <c r="C9255" s="45" t="n">
        <f aca="false">Assumptions!$E$21^(MAX(0,C9250-Assumptions!$E$13)/4)</f>
        <v>1</v>
      </c>
      <c r="D9255" s="45" t="n">
        <f aca="false">Assumptions!$E$21^(MAX(0,D9250-Assumptions!$E$13)/4)</f>
        <v>0.9306048591021</v>
      </c>
      <c r="E9255" s="45" t="n">
        <f aca="false">Assumptions!$E$21^(MAX(0,E9250-Assumptions!$E$13)/4)</f>
        <v>0.866025403784439</v>
      </c>
      <c r="F9255" s="45" t="n">
        <f aca="false">Assumptions!$E$21^(MAX(0,F9250-Assumptions!$E$13)/4)</f>
        <v>0.805927448867656</v>
      </c>
      <c r="G9255" s="45" t="n">
        <f aca="false">Assumptions!$E$21^(MAX(0,G9250-Assumptions!$E$13)/4)</f>
        <v>0.75</v>
      </c>
      <c r="H9255" s="45" t="n">
        <f aca="false">Assumptions!$E$21^(MAX(0,H9250-Assumptions!$E$13)/4)</f>
        <v>0.697953644326575</v>
      </c>
      <c r="I9255" s="45" t="n">
        <f aca="false">Assumptions!$E$21^(MAX(0,I9250-Assumptions!$E$13)/4)</f>
        <v>0.649519052838329</v>
      </c>
      <c r="J9255" s="45" t="n">
        <f aca="false">Assumptions!$E$21^(MAX(0,J9250-Assumptions!$E$13)/4)</f>
        <v>0.604445586650742</v>
      </c>
      <c r="K9255" s="45" t="n">
        <f aca="false">Assumptions!$E$21^(MAX(0,K9250-Assumptions!$E$13)/4)</f>
        <v>0.5625</v>
      </c>
      <c r="L9255" s="45" t="n">
        <f aca="false">Assumptions!$E$21^(MAX(0,L9250-Assumptions!$E$13)/4)</f>
        <v>0.523465233244931</v>
      </c>
      <c r="M9255" s="45" t="n">
        <f aca="false">Assumptions!$E$21^(MAX(0,M9250-Assumptions!$E$13)/4)</f>
        <v>0.487139289628747</v>
      </c>
      <c r="N9255" s="45" t="n">
        <f aca="false">Assumptions!$E$21^(MAX(0,N9250-Assumptions!$E$13)/4)</f>
        <v>0.453334189988057</v>
      </c>
      <c r="P9255" s="46"/>
      <c r="Q9255" s="46"/>
      <c r="R9255" s="46"/>
      <c r="S9255" s="47"/>
    </row>
    <row r="9256" customFormat="false" ht="15" hidden="false" customHeight="false" outlineLevel="0" collapsed="false">
      <c r="A9256" s="4" t="s">
        <v>482</v>
      </c>
      <c r="B9256" s="36" t="s">
        <v>478</v>
      </c>
      <c r="C9256" s="45" t="n">
        <f aca="false">Assumptions!$E$21^(MAX(0,C9250-Assumptions!$E$14)/4)</f>
        <v>1</v>
      </c>
      <c r="D9256" s="45" t="n">
        <f aca="false">Assumptions!$E$21^(MAX(0,D9250-Assumptions!$E$14)/4)</f>
        <v>1</v>
      </c>
      <c r="E9256" s="45" t="n">
        <f aca="false">Assumptions!$E$21^(MAX(0,E9250-Assumptions!$E$14)/4)</f>
        <v>1</v>
      </c>
      <c r="F9256" s="45" t="n">
        <f aca="false">Assumptions!$E$21^(MAX(0,F9250-Assumptions!$E$14)/4)</f>
        <v>1</v>
      </c>
      <c r="G9256" s="45" t="n">
        <f aca="false">Assumptions!$E$21^(MAX(0,G9250-Assumptions!$E$14)/4)</f>
        <v>1</v>
      </c>
      <c r="H9256" s="45" t="n">
        <f aca="false">Assumptions!$E$21^(MAX(0,H9250-Assumptions!$E$14)/4)</f>
        <v>0.9306048591021</v>
      </c>
      <c r="I9256" s="45" t="n">
        <f aca="false">Assumptions!$E$21^(MAX(0,I9250-Assumptions!$E$14)/4)</f>
        <v>0.866025403784439</v>
      </c>
      <c r="J9256" s="45" t="n">
        <f aca="false">Assumptions!$E$21^(MAX(0,J9250-Assumptions!$E$14)/4)</f>
        <v>0.805927448867656</v>
      </c>
      <c r="K9256" s="45" t="n">
        <f aca="false">Assumptions!$E$21^(MAX(0,K9250-Assumptions!$E$14)/4)</f>
        <v>0.75</v>
      </c>
      <c r="L9256" s="45" t="n">
        <f aca="false">Assumptions!$E$21^(MAX(0,L9250-Assumptions!$E$14)/4)</f>
        <v>0.697953644326575</v>
      </c>
      <c r="M9256" s="45" t="n">
        <f aca="false">Assumptions!$E$21^(MAX(0,M9250-Assumptions!$E$14)/4)</f>
        <v>0.649519052838329</v>
      </c>
      <c r="N9256" s="45" t="n">
        <f aca="false">Assumptions!$E$21^(MAX(0,N9250-Assumptions!$E$14)/4)</f>
        <v>0.604445586650742</v>
      </c>
      <c r="P9256" s="46"/>
      <c r="Q9256" s="46"/>
      <c r="R9256" s="46"/>
      <c r="S9256" s="47"/>
    </row>
    <row r="9257" customFormat="false" ht="15" hidden="false" customHeight="false" outlineLevel="0" collapsed="false">
      <c r="A9257" s="4" t="s">
        <v>483</v>
      </c>
      <c r="B9257" s="36" t="s">
        <v>478</v>
      </c>
      <c r="C9257" s="45" t="n">
        <f aca="false">Assumptions!$E$21^(MAX(0,C9250-Assumptions!$E$15)/4)</f>
        <v>1</v>
      </c>
      <c r="D9257" s="45" t="n">
        <f aca="false">Assumptions!$E$21^(MAX(0,D9250-Assumptions!$E$15)/4)</f>
        <v>1</v>
      </c>
      <c r="E9257" s="45" t="n">
        <f aca="false">Assumptions!$E$21^(MAX(0,E9250-Assumptions!$E$15)/4)</f>
        <v>1</v>
      </c>
      <c r="F9257" s="45" t="n">
        <f aca="false">Assumptions!$E$21^(MAX(0,F9250-Assumptions!$E$15)/4)</f>
        <v>1</v>
      </c>
      <c r="G9257" s="45" t="n">
        <f aca="false">Assumptions!$E$21^(MAX(0,G9250-Assumptions!$E$15)/4)</f>
        <v>1</v>
      </c>
      <c r="H9257" s="45" t="n">
        <f aca="false">Assumptions!$E$21^(MAX(0,H9250-Assumptions!$E$15)/4)</f>
        <v>1</v>
      </c>
      <c r="I9257" s="45" t="n">
        <f aca="false">Assumptions!$E$21^(MAX(0,I9250-Assumptions!$E$15)/4)</f>
        <v>1</v>
      </c>
      <c r="J9257" s="45" t="n">
        <f aca="false">Assumptions!$E$21^(MAX(0,J9250-Assumptions!$E$15)/4)</f>
        <v>0.9306048591021</v>
      </c>
      <c r="K9257" s="45" t="n">
        <f aca="false">Assumptions!$E$21^(MAX(0,K9250-Assumptions!$E$15)/4)</f>
        <v>0.866025403784439</v>
      </c>
      <c r="L9257" s="45" t="n">
        <f aca="false">Assumptions!$E$21^(MAX(0,L9250-Assumptions!$E$15)/4)</f>
        <v>0.805927448867656</v>
      </c>
      <c r="M9257" s="45" t="n">
        <f aca="false">Assumptions!$E$21^(MAX(0,M9250-Assumptions!$E$15)/4)</f>
        <v>0.75</v>
      </c>
      <c r="N9257" s="45" t="n">
        <f aca="false">Assumptions!$E$21^(MAX(0,N9250-Assumptions!$E$15)/4)</f>
        <v>0.697953644326575</v>
      </c>
      <c r="P9257" s="46"/>
      <c r="Q9257" s="46"/>
      <c r="R9257" s="46"/>
      <c r="S9257" s="47"/>
    </row>
    <row r="9258" customFormat="false" ht="15" hidden="false" customHeight="false" outlineLevel="0" collapsed="false">
      <c r="A9258" s="4" t="s">
        <v>484</v>
      </c>
      <c r="B9258" s="36" t="s">
        <v>485</v>
      </c>
      <c r="C9258" s="39" t="n">
        <f aca="false">$C$9229*C9252+$C$9233*C9253+$C$9237*C9254</f>
        <v>421.51972352</v>
      </c>
      <c r="D9258" s="39" t="n">
        <f aca="false">$C$9229*D9252+$C$9233*D9253+$C$9237*D9254</f>
        <v>843.03944704</v>
      </c>
      <c r="E9258" s="39" t="n">
        <f aca="false">$C$9229*E9252+$C$9233*E9253+$C$9237*E9254</f>
        <v>843.03944704</v>
      </c>
      <c r="F9258" s="39" t="n">
        <f aca="false">$C$9229*F9252+$C$9233*F9253+$C$9237*F9254</f>
        <v>843.03944704</v>
      </c>
      <c r="G9258" s="39" t="n">
        <f aca="false">$C$9229*G9252+$C$9233*G9253+$C$9237*G9254</f>
        <v>1149.32798176</v>
      </c>
      <c r="H9258" s="39" t="n">
        <f aca="false">$C$9229*H9252+$C$9233*H9253+$C$9237*H9254</f>
        <v>1455.61651648</v>
      </c>
      <c r="I9258" s="39" t="n">
        <f aca="false">$C$9229*I9252+$C$9233*I9253+$C$9237*I9254</f>
        <v>2486.00303616</v>
      </c>
      <c r="J9258" s="39" t="n">
        <f aca="false">$C$9229*J9252+$C$9233*J9253+$C$9237*J9254</f>
        <v>3516.38955584</v>
      </c>
      <c r="K9258" s="39" t="n">
        <f aca="false">$C$9229*K9252+$C$9233*K9253+$C$9237*K9254</f>
        <v>3516.38955584</v>
      </c>
      <c r="L9258" s="39" t="n">
        <f aca="false">$C$9229*L9252+$C$9233*L9253+$C$9237*L9254</f>
        <v>3516.38955584</v>
      </c>
      <c r="M9258" s="39" t="n">
        <f aca="false">$C$9229*M9252+$C$9233*M9253+$C$9237*M9254</f>
        <v>3516.38955584</v>
      </c>
      <c r="N9258" s="39" t="n">
        <f aca="false">$C$9229*N9252+$C$9233*N9253+$C$9237*N9254</f>
        <v>3516.38955584</v>
      </c>
      <c r="P9258" s="40" t="n">
        <f aca="false">F9258</f>
        <v>843.03944704</v>
      </c>
      <c r="Q9258" s="40" t="n">
        <f aca="false">J9258</f>
        <v>3516.38955584</v>
      </c>
      <c r="R9258" s="40" t="n">
        <f aca="false">N9258</f>
        <v>3516.38955584</v>
      </c>
      <c r="S9258" s="41" t="n">
        <f aca="false">R9258</f>
        <v>3516.38955584</v>
      </c>
    </row>
    <row r="9259" customFormat="false" ht="15" hidden="false" customHeight="false" outlineLevel="0" collapsed="false">
      <c r="A9259" s="4" t="s">
        <v>486</v>
      </c>
      <c r="B9259" s="36" t="s">
        <v>485</v>
      </c>
      <c r="C9259" s="39" t="n">
        <f aca="false">$C$9230*C9252+$C$9234*C9253+$C$9238*C9254</f>
        <v>105.59808</v>
      </c>
      <c r="D9259" s="39" t="n">
        <f aca="false">$C$9230*D9252+$C$9234*D9253+$C$9238*D9254</f>
        <v>211.19616</v>
      </c>
      <c r="E9259" s="39" t="n">
        <f aca="false">$C$9230*E9252+$C$9234*E9253+$C$9238*E9254</f>
        <v>211.19616</v>
      </c>
      <c r="F9259" s="39" t="n">
        <f aca="false">$C$9230*F9252+$C$9234*F9253+$C$9238*F9254</f>
        <v>211.19616</v>
      </c>
      <c r="G9259" s="39" t="n">
        <f aca="false">$C$9230*G9252+$C$9234*G9253+$C$9238*G9254</f>
        <v>282.24672</v>
      </c>
      <c r="H9259" s="39" t="n">
        <f aca="false">$C$9230*H9252+$C$9234*H9253+$C$9238*H9254</f>
        <v>353.29728</v>
      </c>
      <c r="I9259" s="39" t="n">
        <f aca="false">$C$9230*I9252+$C$9234*I9253+$C$9238*I9254</f>
        <v>567.53536</v>
      </c>
      <c r="J9259" s="39" t="n">
        <f aca="false">$C$9230*J9252+$C$9234*J9253+$C$9238*J9254</f>
        <v>781.77344</v>
      </c>
      <c r="K9259" s="39" t="n">
        <f aca="false">$C$9230*K9252+$C$9234*K9253+$C$9238*K9254</f>
        <v>781.77344</v>
      </c>
      <c r="L9259" s="39" t="n">
        <f aca="false">$C$9230*L9252+$C$9234*L9253+$C$9238*L9254</f>
        <v>781.77344</v>
      </c>
      <c r="M9259" s="39" t="n">
        <f aca="false">$C$9230*M9252+$C$9234*M9253+$C$9238*M9254</f>
        <v>781.77344</v>
      </c>
      <c r="N9259" s="39" t="n">
        <f aca="false">$C$9230*N9252+$C$9234*N9253+$C$9238*N9254</f>
        <v>781.77344</v>
      </c>
      <c r="P9259" s="40" t="n">
        <f aca="false">F9259</f>
        <v>211.19616</v>
      </c>
      <c r="Q9259" s="40" t="n">
        <f aca="false">J9259</f>
        <v>781.77344</v>
      </c>
      <c r="R9259" s="40" t="n">
        <f aca="false">N9259</f>
        <v>781.77344</v>
      </c>
      <c r="S9259" s="41" t="n">
        <f aca="false">R9259</f>
        <v>781.77344</v>
      </c>
    </row>
    <row r="9260" customFormat="false" ht="15" hidden="false" customHeight="false" outlineLevel="0" collapsed="false">
      <c r="A9260" s="4" t="s">
        <v>487</v>
      </c>
      <c r="B9260" s="36" t="s">
        <v>485</v>
      </c>
      <c r="C9260" s="39" t="n">
        <f aca="false">$C$9231*C9252+$C$9235*C9253+$C$9239*C9254</f>
        <v>24.76992</v>
      </c>
      <c r="D9260" s="39" t="n">
        <f aca="false">$C$9231*D9252+$C$9235*D9253+$C$9239*D9254</f>
        <v>49.53984</v>
      </c>
      <c r="E9260" s="39" t="n">
        <f aca="false">$C$9231*E9252+$C$9235*E9253+$C$9239*E9254</f>
        <v>49.53984</v>
      </c>
      <c r="F9260" s="39" t="n">
        <f aca="false">$C$9231*F9252+$C$9235*F9253+$C$9239*F9254</f>
        <v>49.53984</v>
      </c>
      <c r="G9260" s="39" t="n">
        <f aca="false">$C$9231*G9252+$C$9235*G9253+$C$9239*G9254</f>
        <v>61.9248</v>
      </c>
      <c r="H9260" s="39" t="n">
        <f aca="false">$C$9231*H9252+$C$9235*H9253+$C$9239*H9254</f>
        <v>74.30976</v>
      </c>
      <c r="I9260" s="39" t="n">
        <f aca="false">$C$9231*I9252+$C$9235*I9253+$C$9239*I9254</f>
        <v>114.072</v>
      </c>
      <c r="J9260" s="39" t="n">
        <f aca="false">$C$9231*J9252+$C$9235*J9253+$C$9239*J9254</f>
        <v>153.83424</v>
      </c>
      <c r="K9260" s="39" t="n">
        <f aca="false">$C$9231*K9252+$C$9235*K9253+$C$9239*K9254</f>
        <v>153.83424</v>
      </c>
      <c r="L9260" s="39" t="n">
        <f aca="false">$C$9231*L9252+$C$9235*L9253+$C$9239*L9254</f>
        <v>153.83424</v>
      </c>
      <c r="M9260" s="39" t="n">
        <f aca="false">$C$9231*M9252+$C$9235*M9253+$C$9239*M9254</f>
        <v>153.83424</v>
      </c>
      <c r="N9260" s="39" t="n">
        <f aca="false">$C$9231*N9252+$C$9235*N9253+$C$9239*N9254</f>
        <v>153.83424</v>
      </c>
      <c r="P9260" s="40" t="n">
        <f aca="false">F9260</f>
        <v>49.53984</v>
      </c>
      <c r="Q9260" s="40" t="n">
        <f aca="false">J9260</f>
        <v>153.83424</v>
      </c>
      <c r="R9260" s="40" t="n">
        <f aca="false">N9260</f>
        <v>153.83424</v>
      </c>
      <c r="S9260" s="41" t="n">
        <f aca="false">R9260</f>
        <v>153.83424</v>
      </c>
    </row>
    <row r="9261" customFormat="false" ht="15" hidden="false" customHeight="false" outlineLevel="0" collapsed="false">
      <c r="A9261" s="4" t="s">
        <v>488</v>
      </c>
      <c r="B9261" s="36" t="s">
        <v>485</v>
      </c>
      <c r="C9261" s="39" t="n">
        <f aca="false">C9258+C9259+C9260</f>
        <v>551.88772352</v>
      </c>
      <c r="D9261" s="39" t="n">
        <f aca="false">D9258+D9259+D9260</f>
        <v>1103.77544704</v>
      </c>
      <c r="E9261" s="39" t="n">
        <f aca="false">E9258+E9259+E9260</f>
        <v>1103.77544704</v>
      </c>
      <c r="F9261" s="39" t="n">
        <f aca="false">F9258+F9259+F9260</f>
        <v>1103.77544704</v>
      </c>
      <c r="G9261" s="39" t="n">
        <f aca="false">G9258+G9259+G9260</f>
        <v>1493.49950176</v>
      </c>
      <c r="H9261" s="39" t="n">
        <f aca="false">H9258+H9259+H9260</f>
        <v>1883.22355648</v>
      </c>
      <c r="I9261" s="39" t="n">
        <f aca="false">I9258+I9259+I9260</f>
        <v>3167.61039616</v>
      </c>
      <c r="J9261" s="39" t="n">
        <f aca="false">J9258+J9259+J9260</f>
        <v>4451.99723584</v>
      </c>
      <c r="K9261" s="39" t="n">
        <f aca="false">K9258+K9259+K9260</f>
        <v>4451.99723584</v>
      </c>
      <c r="L9261" s="39" t="n">
        <f aca="false">L9258+L9259+L9260</f>
        <v>4451.99723584</v>
      </c>
      <c r="M9261" s="39" t="n">
        <f aca="false">M9258+M9259+M9260</f>
        <v>4451.99723584</v>
      </c>
      <c r="N9261" s="39" t="n">
        <f aca="false">N9258+N9259+N9260</f>
        <v>4451.99723584</v>
      </c>
      <c r="P9261" s="40" t="n">
        <f aca="false">F9261</f>
        <v>1103.77544704</v>
      </c>
      <c r="Q9261" s="40" t="n">
        <f aca="false">J9261</f>
        <v>4451.99723584</v>
      </c>
      <c r="R9261" s="40" t="n">
        <f aca="false">N9261</f>
        <v>4451.99723584</v>
      </c>
      <c r="S9261" s="41" t="n">
        <f aca="false">R9261</f>
        <v>4451.99723584</v>
      </c>
    </row>
    <row r="9262" customFormat="false" ht="15" hidden="false" customHeight="false" outlineLevel="0" collapsed="false">
      <c r="A9262" s="4" t="s">
        <v>489</v>
      </c>
      <c r="B9262" s="36" t="s">
        <v>485</v>
      </c>
      <c r="C9262" s="39" t="n">
        <f aca="false">$C$9232*C9252*C9255+$C$9236*C9253*C9256+$C$9240*C9254*C9257</f>
        <v>551.88772352</v>
      </c>
      <c r="D9262" s="39" t="n">
        <f aca="false">$C$9232*D9252*D9255+$C$9236*D9253*D9256+$C$9240*D9254*D9257</f>
        <v>1027.17879437302</v>
      </c>
      <c r="E9262" s="39" t="n">
        <f aca="false">$C$9232*E9252*E9255+$C$9236*E9253*E9256+$C$9240*E9254*E9257</f>
        <v>955.897577210165</v>
      </c>
      <c r="F9262" s="39" t="n">
        <f aca="false">$C$9232*F9252*F9255+$C$9236*F9253*F9256+$C$9240*F9254*F9257</f>
        <v>889.562930155704</v>
      </c>
      <c r="G9262" s="39" t="n">
        <f aca="false">$C$9232*G9252*G9255+$C$9236*G9253*G9256+$C$9240*G9254*G9257</f>
        <v>1217.55564</v>
      </c>
      <c r="H9262" s="39" t="n">
        <f aca="false">$C$9232*H9252*H9255+$C$9236*H9253*H9256+$C$9240*H9254*H9257</f>
        <v>1495.74229384257</v>
      </c>
      <c r="I9262" s="39" t="n">
        <f aca="false">$C$9232*I9252*I9255+$C$9236*I9253*I9256+$C$9240*I9254*I9257</f>
        <v>2676.33188629442</v>
      </c>
      <c r="J9262" s="39" t="n">
        <f aca="false">$C$9232*J9252*J9255+$C$9236*J9253*J9256+$C$9240*J9254*J9257</f>
        <v>3685.86409192847</v>
      </c>
      <c r="K9262" s="39" t="n">
        <f aca="false">$C$9232*K9252*K9255+$C$9236*K9253*K9256+$C$9240*K9254*K9257</f>
        <v>3430.08303393858</v>
      </c>
      <c r="L9262" s="39" t="n">
        <f aca="false">$C$9232*L9252*L9255+$C$9236*L9253*L9256+$C$9240*L9254*L9257</f>
        <v>3192.05193850692</v>
      </c>
      <c r="M9262" s="39" t="n">
        <f aca="false">$C$9232*M9252*M9255+$C$9236*M9253*M9256+$C$9240*M9254*M9257</f>
        <v>2970.53904448081</v>
      </c>
      <c r="N9262" s="39" t="n">
        <f aca="false">$C$9232*N9252*N9255+$C$9236*N9253*N9256+$C$9240*N9254*N9257</f>
        <v>2764.39806894635</v>
      </c>
      <c r="P9262" s="40"/>
      <c r="Q9262" s="40"/>
      <c r="R9262" s="40"/>
      <c r="S9262" s="41"/>
    </row>
    <row r="9263" customFormat="false" ht="15" hidden="false" customHeight="false" outlineLevel="0" collapsed="false">
      <c r="A9263" s="4" t="s">
        <v>490</v>
      </c>
      <c r="B9263" s="36" t="s">
        <v>491</v>
      </c>
      <c r="C9263" s="48" t="n">
        <f aca="false">$C$9244*Assumptions!$E$20*C9251*C9262</f>
        <v>6.62265268224</v>
      </c>
      <c r="D9263" s="48" t="n">
        <f aca="false">$C$9244*Assumptions!$E$20*D9251*D9262</f>
        <v>12.3261455324762</v>
      </c>
      <c r="E9263" s="48" t="n">
        <f aca="false">$C$9244*Assumptions!$E$20*E9251*E9262</f>
        <v>11.470770926522</v>
      </c>
      <c r="F9263" s="48" t="n">
        <f aca="false">$C$9244*Assumptions!$E$20*F9251*F9262</f>
        <v>10.6747551618685</v>
      </c>
      <c r="G9263" s="48" t="n">
        <f aca="false">$C$9244*Assumptions!$E$20*G9251*G9262</f>
        <v>14.61066768</v>
      </c>
      <c r="H9263" s="48" t="n">
        <f aca="false">$C$9244*Assumptions!$E$20*H9251*H9262</f>
        <v>17.9489075261109</v>
      </c>
      <c r="I9263" s="48" t="n">
        <f aca="false">$C$9244*Assumptions!$E$20*I9251*I9262</f>
        <v>32.115982635533</v>
      </c>
      <c r="J9263" s="48" t="n">
        <f aca="false">$C$9244*Assumptions!$E$20*J9251*J9262</f>
        <v>44.2303691031417</v>
      </c>
      <c r="K9263" s="48" t="n">
        <f aca="false">$C$9244*Assumptions!$E$20*K9251*K9262</f>
        <v>41.160996407263</v>
      </c>
      <c r="L9263" s="48" t="n">
        <f aca="false">$C$9244*Assumptions!$E$20*L9251*L9262</f>
        <v>38.304623262083</v>
      </c>
      <c r="M9263" s="48" t="n">
        <f aca="false">$C$9244*Assumptions!$E$20*M9251*M9262</f>
        <v>35.6464685337698</v>
      </c>
      <c r="N9263" s="48" t="n">
        <f aca="false">$C$9244*Assumptions!$E$20*N9251*N9262</f>
        <v>33.1727768273562</v>
      </c>
      <c r="P9263" s="49" t="n">
        <f aca="false">SUM(C9263:F9263)</f>
        <v>41.0943243031066</v>
      </c>
      <c r="Q9263" s="49" t="n">
        <f aca="false">SUM(G9263:J9263)</f>
        <v>108.905926944786</v>
      </c>
      <c r="R9263" s="49" t="n">
        <f aca="false">SUM(K9263:N9263)</f>
        <v>148.284865030472</v>
      </c>
      <c r="S9263" s="50" t="n">
        <f aca="false">SUM(P9263:R9263)</f>
        <v>298.285116278364</v>
      </c>
    </row>
    <row r="9264" customFormat="false" ht="15" hidden="false" customHeight="false" outlineLevel="0" collapsed="false">
      <c r="A9264" s="4" t="s">
        <v>492</v>
      </c>
      <c r="B9264" s="36" t="s">
        <v>321</v>
      </c>
      <c r="C9264" s="48" t="n">
        <f aca="false">Assumptions!$D$111</f>
        <v>0</v>
      </c>
      <c r="D9264" s="48" t="n">
        <f aca="false">Assumptions!$E$111</f>
        <v>0</v>
      </c>
      <c r="E9264" s="48" t="n">
        <f aca="false">Assumptions!$F$111</f>
        <v>0</v>
      </c>
      <c r="F9264" s="48" t="n">
        <f aca="false">Assumptions!$G$111</f>
        <v>0</v>
      </c>
      <c r="G9264" s="48" t="n">
        <f aca="false">Assumptions!$H$111</f>
        <v>0</v>
      </c>
      <c r="H9264" s="48" t="n">
        <f aca="false">Assumptions!$I$111</f>
        <v>0</v>
      </c>
      <c r="I9264" s="48" t="n">
        <f aca="false">Assumptions!$J$111</f>
        <v>0</v>
      </c>
      <c r="J9264" s="48" t="n">
        <f aca="false">Assumptions!$K$111</f>
        <v>0</v>
      </c>
      <c r="K9264" s="48" t="n">
        <f aca="false">Assumptions!$L$111</f>
        <v>0</v>
      </c>
      <c r="L9264" s="48" t="n">
        <f aca="false">Assumptions!$M$111</f>
        <v>0</v>
      </c>
      <c r="M9264" s="48" t="n">
        <f aca="false">Assumptions!$N$111</f>
        <v>0</v>
      </c>
      <c r="N9264" s="48" t="n">
        <f aca="false">Assumptions!$O$111</f>
        <v>0</v>
      </c>
      <c r="P9264" s="49" t="n">
        <f aca="false">F9264</f>
        <v>0</v>
      </c>
      <c r="Q9264" s="49" t="n">
        <f aca="false">J9264</f>
        <v>0</v>
      </c>
      <c r="R9264" s="49" t="n">
        <f aca="false">N9264</f>
        <v>0</v>
      </c>
      <c r="S9264" s="50" t="n">
        <f aca="false">R9264</f>
        <v>0</v>
      </c>
    </row>
    <row r="9265" customFormat="false" ht="15" hidden="false" customHeight="false" outlineLevel="0" collapsed="false">
      <c r="A9265" s="4" t="s">
        <v>493</v>
      </c>
      <c r="B9265" s="36" t="s">
        <v>321</v>
      </c>
      <c r="C9265" s="48" t="n">
        <f aca="false">0</f>
        <v>0</v>
      </c>
      <c r="D9265" s="48" t="n">
        <f aca="false">0.5*C9264</f>
        <v>0</v>
      </c>
      <c r="E9265" s="48" t="n">
        <f aca="false">C9264+0.5*(D9264-C9264)</f>
        <v>0</v>
      </c>
      <c r="F9265" s="48" t="n">
        <f aca="false">D9264+0.5*(E9264-D9264)</f>
        <v>0</v>
      </c>
      <c r="G9265" s="48" t="n">
        <f aca="false">E9264+0.5*(F9264-E9264)</f>
        <v>0</v>
      </c>
      <c r="H9265" s="48" t="n">
        <f aca="false">F9264+0.5*(G9264-F9264)</f>
        <v>0</v>
      </c>
      <c r="I9265" s="48" t="n">
        <f aca="false">G9264+0.5*(H9264-G9264)</f>
        <v>0</v>
      </c>
      <c r="J9265" s="48" t="n">
        <f aca="false">H9264+0.5*(I9264-H9264)</f>
        <v>0</v>
      </c>
      <c r="K9265" s="48" t="n">
        <f aca="false">I9264+0.5*(J9264-I9264)</f>
        <v>0</v>
      </c>
      <c r="L9265" s="48" t="n">
        <f aca="false">J9264+0.5*(K9264-J9264)</f>
        <v>0</v>
      </c>
      <c r="M9265" s="48" t="n">
        <f aca="false">K9264+0.5*(L9264-K9264)</f>
        <v>0</v>
      </c>
      <c r="N9265" s="48" t="n">
        <f aca="false">L9264+0.5*(M9264-L9264)</f>
        <v>0</v>
      </c>
      <c r="P9265" s="49" t="n">
        <f aca="false">F9265</f>
        <v>0</v>
      </c>
      <c r="Q9265" s="49" t="n">
        <f aca="false">J9265</f>
        <v>0</v>
      </c>
      <c r="R9265" s="49" t="n">
        <f aca="false">N9265</f>
        <v>0</v>
      </c>
      <c r="S9265" s="50" t="n">
        <f aca="false">R9265</f>
        <v>0</v>
      </c>
    </row>
    <row r="9266" customFormat="false" ht="15" hidden="false" customHeight="false" outlineLevel="0" collapsed="false">
      <c r="A9266" s="4" t="s">
        <v>494</v>
      </c>
      <c r="B9266" s="36" t="s">
        <v>485</v>
      </c>
      <c r="C9266" s="39" t="n">
        <f aca="false">MIN(C9265*Assumptions!$E$38,C9261*(1-$C$9244))</f>
        <v>0</v>
      </c>
      <c r="D9266" s="39" t="n">
        <f aca="false">MIN(D9265*Assumptions!$E$38,D9261*(1-$C$9244))</f>
        <v>0</v>
      </c>
      <c r="E9266" s="39" t="n">
        <f aca="false">MIN(E9265*Assumptions!$E$38,E9261*(1-$C$9244))</f>
        <v>0</v>
      </c>
      <c r="F9266" s="39" t="n">
        <f aca="false">MIN(F9265*Assumptions!$E$38,F9261*(1-$C$9244))</f>
        <v>0</v>
      </c>
      <c r="G9266" s="39" t="n">
        <f aca="false">MIN(G9265*Assumptions!$E$38,G9261*(1-$C$9244))</f>
        <v>0</v>
      </c>
      <c r="H9266" s="39" t="n">
        <f aca="false">MIN(H9265*Assumptions!$E$38,H9261*(1-$C$9244))</f>
        <v>0</v>
      </c>
      <c r="I9266" s="39" t="n">
        <f aca="false">MIN(I9265*Assumptions!$E$38,I9261*(1-$C$9244))</f>
        <v>0</v>
      </c>
      <c r="J9266" s="39" t="n">
        <f aca="false">MIN(J9265*Assumptions!$E$38,J9261*(1-$C$9244))</f>
        <v>0</v>
      </c>
      <c r="K9266" s="39" t="n">
        <f aca="false">MIN(K9265*Assumptions!$E$38,K9261*(1-$C$9244))</f>
        <v>0</v>
      </c>
      <c r="L9266" s="39" t="n">
        <f aca="false">MIN(L9265*Assumptions!$E$38,L9261*(1-$C$9244))</f>
        <v>0</v>
      </c>
      <c r="M9266" s="39" t="n">
        <f aca="false">MIN(M9265*Assumptions!$E$38,M9261*(1-$C$9244))</f>
        <v>0</v>
      </c>
      <c r="N9266" s="39" t="n">
        <f aca="false">MIN(N9265*Assumptions!$E$38,N9261*(1-$C$9244))</f>
        <v>0</v>
      </c>
      <c r="P9266" s="40" t="n">
        <f aca="false">SUM(C9266:F9266)</f>
        <v>0</v>
      </c>
      <c r="Q9266" s="40" t="n">
        <f aca="false">SUM(G9266:J9266)</f>
        <v>0</v>
      </c>
      <c r="R9266" s="40" t="n">
        <f aca="false">SUM(K9266:N9266)</f>
        <v>0</v>
      </c>
      <c r="S9266" s="41" t="n">
        <f aca="false">SUM(P9266:R9266)</f>
        <v>0</v>
      </c>
    </row>
    <row r="9267" customFormat="false" ht="15" hidden="false" customHeight="false" outlineLevel="0" collapsed="false">
      <c r="A9267" s="4" t="s">
        <v>495</v>
      </c>
      <c r="B9267" s="36" t="s">
        <v>491</v>
      </c>
      <c r="C9267" s="48" t="n">
        <f aca="false">C9266*Assumptions!$E$20*Assumptions!$E$39*IF(C9261&gt;0,C9262/C9261,0)*C9251</f>
        <v>0</v>
      </c>
      <c r="D9267" s="48" t="n">
        <f aca="false">D9266*Assumptions!$E$20*Assumptions!$E$39*IF(D9261&gt;0,D9262/D9261,0)*D9251</f>
        <v>0</v>
      </c>
      <c r="E9267" s="48" t="n">
        <f aca="false">E9266*Assumptions!$E$20*Assumptions!$E$39*IF(E9261&gt;0,E9262/E9261,0)*E9251</f>
        <v>0</v>
      </c>
      <c r="F9267" s="48" t="n">
        <f aca="false">F9266*Assumptions!$E$20*Assumptions!$E$39*IF(F9261&gt;0,F9262/F9261,0)*F9251</f>
        <v>0</v>
      </c>
      <c r="G9267" s="48" t="n">
        <f aca="false">G9266*Assumptions!$E$20*Assumptions!$E$39*IF(G9261&gt;0,G9262/G9261,0)*G9251</f>
        <v>0</v>
      </c>
      <c r="H9267" s="48" t="n">
        <f aca="false">H9266*Assumptions!$E$20*Assumptions!$E$39*IF(H9261&gt;0,H9262/H9261,0)*H9251</f>
        <v>0</v>
      </c>
      <c r="I9267" s="48" t="n">
        <f aca="false">I9266*Assumptions!$E$20*Assumptions!$E$39*IF(I9261&gt;0,I9262/I9261,0)*I9251</f>
        <v>0</v>
      </c>
      <c r="J9267" s="48" t="n">
        <f aca="false">J9266*Assumptions!$E$20*Assumptions!$E$39*IF(J9261&gt;0,J9262/J9261,0)*J9251</f>
        <v>0</v>
      </c>
      <c r="K9267" s="48" t="n">
        <f aca="false">K9266*Assumptions!$E$20*Assumptions!$E$39*IF(K9261&gt;0,K9262/K9261,0)*K9251</f>
        <v>0</v>
      </c>
      <c r="L9267" s="48" t="n">
        <f aca="false">L9266*Assumptions!$E$20*Assumptions!$E$39*IF(L9261&gt;0,L9262/L9261,0)*L9251</f>
        <v>0</v>
      </c>
      <c r="M9267" s="48" t="n">
        <f aca="false">M9266*Assumptions!$E$20*Assumptions!$E$39*IF(M9261&gt;0,M9262/M9261,0)*M9251</f>
        <v>0</v>
      </c>
      <c r="N9267" s="48" t="n">
        <f aca="false">N9266*Assumptions!$E$20*Assumptions!$E$39*IF(N9261&gt;0,N9262/N9261,0)*N9251</f>
        <v>0</v>
      </c>
      <c r="P9267" s="49" t="n">
        <f aca="false">SUM(C9267:F9267)</f>
        <v>0</v>
      </c>
      <c r="Q9267" s="49" t="n">
        <f aca="false">SUM(G9267:J9267)</f>
        <v>0</v>
      </c>
      <c r="R9267" s="49" t="n">
        <f aca="false">SUM(K9267:N9267)</f>
        <v>0</v>
      </c>
      <c r="S9267" s="50" t="n">
        <f aca="false">SUM(P9267:R9267)</f>
        <v>0</v>
      </c>
    </row>
    <row r="9268" customFormat="false" ht="15" hidden="false" customHeight="false" outlineLevel="0" collapsed="false">
      <c r="A9268" s="4" t="s">
        <v>496</v>
      </c>
      <c r="B9268" s="36" t="s">
        <v>497</v>
      </c>
      <c r="C9268" s="48" t="n">
        <f aca="false">IF(AND(C9261&gt;0,$C$9248&gt;0),C9261*Assumptions!$E$24*(1-EXP(-$C$9248/(Assumptions!$E$23*C9261*Assumptions!$E$24))),0)</f>
        <v>0</v>
      </c>
      <c r="D9268" s="48" t="n">
        <f aca="false">IF(AND(D9261&gt;0,$C$9248&gt;0),D9261*Assumptions!$E$24*(1-EXP(-$C$9248/(Assumptions!$E$23*D9261*Assumptions!$E$24))),0)</f>
        <v>0</v>
      </c>
      <c r="E9268" s="48" t="n">
        <f aca="false">IF(AND(E9261&gt;0,$C$9248&gt;0),E9261*Assumptions!$E$24*(1-EXP(-$C$9248/(Assumptions!$E$23*E9261*Assumptions!$E$24))),0)</f>
        <v>0</v>
      </c>
      <c r="F9268" s="48" t="n">
        <f aca="false">IF(AND(F9261&gt;0,$C$9248&gt;0),F9261*Assumptions!$E$24*(1-EXP(-$C$9248/(Assumptions!$E$23*F9261*Assumptions!$E$24))),0)</f>
        <v>0</v>
      </c>
      <c r="G9268" s="48" t="n">
        <f aca="false">IF(AND(G9261&gt;0,$C$9248&gt;0),G9261*Assumptions!$E$24*(1-EXP(-$C$9248/(Assumptions!$E$23*G9261*Assumptions!$E$24))),0)</f>
        <v>0</v>
      </c>
      <c r="H9268" s="48" t="n">
        <f aca="false">IF(AND(H9261&gt;0,$C$9248&gt;0),H9261*Assumptions!$E$24*(1-EXP(-$C$9248/(Assumptions!$E$23*H9261*Assumptions!$E$24))),0)</f>
        <v>0</v>
      </c>
      <c r="I9268" s="48" t="n">
        <f aca="false">IF(AND(I9261&gt;0,$C$9248&gt;0),I9261*Assumptions!$E$24*(1-EXP(-$C$9248/(Assumptions!$E$23*I9261*Assumptions!$E$24))),0)</f>
        <v>0</v>
      </c>
      <c r="J9268" s="48" t="n">
        <f aca="false">IF(AND(J9261&gt;0,$C$9248&gt;0),J9261*Assumptions!$E$24*(1-EXP(-$C$9248/(Assumptions!$E$23*J9261*Assumptions!$E$24))),0)</f>
        <v>0</v>
      </c>
      <c r="K9268" s="48" t="n">
        <f aca="false">IF(AND(K9261&gt;0,$C$9248&gt;0),K9261*Assumptions!$E$24*(1-EXP(-$C$9248/(Assumptions!$E$23*K9261*Assumptions!$E$24))),0)</f>
        <v>0</v>
      </c>
      <c r="L9268" s="48" t="n">
        <f aca="false">IF(AND(L9261&gt;0,$C$9248&gt;0),L9261*Assumptions!$E$24*(1-EXP(-$C$9248/(Assumptions!$E$23*L9261*Assumptions!$E$24))),0)</f>
        <v>0</v>
      </c>
      <c r="M9268" s="48" t="n">
        <f aca="false">IF(AND(M9261&gt;0,$C$9248&gt;0),M9261*Assumptions!$E$24*(1-EXP(-$C$9248/(Assumptions!$E$23*M9261*Assumptions!$E$24))),0)</f>
        <v>0</v>
      </c>
      <c r="N9268" s="48" t="n">
        <f aca="false">IF(AND(N9261&gt;0,$C$9248&gt;0),N9261*Assumptions!$E$24*(1-EXP(-$C$9248/(Assumptions!$E$23*N9261*Assumptions!$E$24))),0)</f>
        <v>0</v>
      </c>
      <c r="P9268" s="49" t="n">
        <f aca="false">SUM(C9268:F9268)</f>
        <v>0</v>
      </c>
      <c r="Q9268" s="49" t="n">
        <f aca="false">SUM(G9268:J9268)</f>
        <v>0</v>
      </c>
      <c r="R9268" s="49" t="n">
        <f aca="false">SUM(K9268:N9268)</f>
        <v>0</v>
      </c>
      <c r="S9268" s="50" t="n">
        <f aca="false">SUM(P9268:R9268)</f>
        <v>0</v>
      </c>
    </row>
    <row r="9269" customFormat="false" ht="15" hidden="false" customHeight="false" outlineLevel="0" collapsed="false">
      <c r="A9269" s="4" t="s">
        <v>498</v>
      </c>
      <c r="B9269" s="36" t="s">
        <v>497</v>
      </c>
      <c r="C9269" s="48" t="n">
        <f aca="false">(C9261*Assumptions!$E$22*MIN(1,Assumptions!$D$103/Assumptions!$E$78)+C9268)*C9251</f>
        <v>5.5188772352</v>
      </c>
      <c r="D9269" s="48" t="n">
        <f aca="false">(D9261*Assumptions!$E$22*MIN(1,Assumptions!$D$103/Assumptions!$E$78)+D9268)*D9251</f>
        <v>11.0377544704</v>
      </c>
      <c r="E9269" s="48" t="n">
        <f aca="false">(E9261*Assumptions!$E$22*MIN(1,Assumptions!$D$103/Assumptions!$E$78)+E9268)*E9251</f>
        <v>11.0377544704</v>
      </c>
      <c r="F9269" s="48" t="n">
        <f aca="false">(F9261*Assumptions!$E$22*MIN(1,Assumptions!$D$103/Assumptions!$E$78)+F9268)*F9251</f>
        <v>11.0377544704</v>
      </c>
      <c r="G9269" s="48" t="n">
        <f aca="false">(G9261*Assumptions!$E$22*MIN(1,Assumptions!$D$103/Assumptions!$E$78)+G9268)*G9251</f>
        <v>14.9349950176</v>
      </c>
      <c r="H9269" s="48" t="n">
        <f aca="false">(H9261*Assumptions!$E$22*MIN(1,Assumptions!$D$103/Assumptions!$E$78)+H9268)*H9251</f>
        <v>18.8322355648</v>
      </c>
      <c r="I9269" s="48" t="n">
        <f aca="false">(I9261*Assumptions!$E$22*MIN(1,Assumptions!$D$103/Assumptions!$E$78)+I9268)*I9251</f>
        <v>31.6761039616</v>
      </c>
      <c r="J9269" s="48" t="n">
        <f aca="false">(J9261*Assumptions!$E$22*MIN(1,Assumptions!$D$103/Assumptions!$E$78)+J9268)*J9251</f>
        <v>44.5199723584</v>
      </c>
      <c r="K9269" s="48" t="n">
        <f aca="false">(K9261*Assumptions!$E$22*MIN(1,Assumptions!$D$103/Assumptions!$E$78)+K9268)*K9251</f>
        <v>44.5199723584</v>
      </c>
      <c r="L9269" s="48" t="n">
        <f aca="false">(L9261*Assumptions!$E$22*MIN(1,Assumptions!$D$103/Assumptions!$E$78)+L9268)*L9251</f>
        <v>44.5199723584</v>
      </c>
      <c r="M9269" s="48" t="n">
        <f aca="false">(M9261*Assumptions!$E$22*MIN(1,Assumptions!$D$103/Assumptions!$E$78)+M9268)*M9251</f>
        <v>44.5199723584</v>
      </c>
      <c r="N9269" s="48" t="n">
        <f aca="false">(N9261*Assumptions!$E$22*MIN(1,Assumptions!$D$103/Assumptions!$E$78)+N9268)*N9251</f>
        <v>44.5199723584</v>
      </c>
      <c r="P9269" s="49" t="n">
        <f aca="false">SUM(C9269:F9269)</f>
        <v>38.6321406464</v>
      </c>
      <c r="Q9269" s="49" t="n">
        <f aca="false">SUM(G9269:J9269)</f>
        <v>109.9633069024</v>
      </c>
      <c r="R9269" s="49" t="n">
        <f aca="false">SUM(K9269:N9269)</f>
        <v>178.0798894336</v>
      </c>
      <c r="S9269" s="50" t="n">
        <f aca="false">SUM(P9269:R9269)</f>
        <v>326.6753369824</v>
      </c>
    </row>
    <row r="9270" customFormat="false" ht="15" hidden="false" customHeight="false" outlineLevel="0" collapsed="false">
      <c r="A9270" s="4" t="s">
        <v>499</v>
      </c>
      <c r="B9270" s="36" t="s">
        <v>500</v>
      </c>
      <c r="C9270" s="48" t="n">
        <f aca="false">C9251*MIN(Assumptions!$E$27,Assumptions!$E$25+Assumptions!$E$26*(C9250-1))*Assumptions!$D$107</f>
        <v>2</v>
      </c>
      <c r="D9270" s="48" t="n">
        <f aca="false">D9251*MIN(Assumptions!$E$27,Assumptions!$E$25+Assumptions!$E$26*(D9250-1))*Assumptions!$D$107</f>
        <v>3</v>
      </c>
      <c r="E9270" s="48" t="n">
        <f aca="false">E9251*MIN(Assumptions!$E$27,Assumptions!$E$25+Assumptions!$E$26*(E9250-1))*Assumptions!$D$107</f>
        <v>4</v>
      </c>
      <c r="F9270" s="48" t="n">
        <f aca="false">F9251*MIN(Assumptions!$E$27,Assumptions!$E$25+Assumptions!$E$26*(F9250-1))*Assumptions!$D$107</f>
        <v>5</v>
      </c>
      <c r="G9270" s="48" t="n">
        <f aca="false">G9251*MIN(Assumptions!$E$27,Assumptions!$E$25+Assumptions!$E$26*(G9250-1))*Assumptions!$D$107</f>
        <v>6</v>
      </c>
      <c r="H9270" s="48" t="n">
        <f aca="false">H9251*MIN(Assumptions!$E$27,Assumptions!$E$25+Assumptions!$E$26*(H9250-1))*Assumptions!$D$107</f>
        <v>7</v>
      </c>
      <c r="I9270" s="48" t="n">
        <f aca="false">I9251*MIN(Assumptions!$E$27,Assumptions!$E$25+Assumptions!$E$26*(I9250-1))*Assumptions!$D$107</f>
        <v>8</v>
      </c>
      <c r="J9270" s="48" t="n">
        <f aca="false">J9251*MIN(Assumptions!$E$27,Assumptions!$E$25+Assumptions!$E$26*(J9250-1))*Assumptions!$D$107</f>
        <v>9</v>
      </c>
      <c r="K9270" s="48" t="n">
        <f aca="false">K9251*MIN(Assumptions!$E$27,Assumptions!$E$25+Assumptions!$E$26*(K9250-1))*Assumptions!$D$107</f>
        <v>10</v>
      </c>
      <c r="L9270" s="48" t="n">
        <f aca="false">L9251*MIN(Assumptions!$E$27,Assumptions!$E$25+Assumptions!$E$26*(L9250-1))*Assumptions!$D$107</f>
        <v>10</v>
      </c>
      <c r="M9270" s="48" t="n">
        <f aca="false">M9251*MIN(Assumptions!$E$27,Assumptions!$E$25+Assumptions!$E$26*(M9250-1))*Assumptions!$D$107</f>
        <v>10</v>
      </c>
      <c r="N9270" s="48" t="n">
        <f aca="false">N9251*MIN(Assumptions!$E$27,Assumptions!$E$25+Assumptions!$E$26*(N9250-1))*Assumptions!$D$107</f>
        <v>10</v>
      </c>
      <c r="P9270" s="49" t="n">
        <f aca="false">F9270</f>
        <v>5</v>
      </c>
      <c r="Q9270" s="49" t="n">
        <f aca="false">J9270</f>
        <v>9</v>
      </c>
      <c r="R9270" s="49" t="n">
        <f aca="false">N9270</f>
        <v>10</v>
      </c>
      <c r="S9270" s="50" t="n">
        <f aca="false">R9270</f>
        <v>10</v>
      </c>
    </row>
    <row r="9271" customFormat="false" ht="15" hidden="false" customHeight="false" outlineLevel="0" collapsed="false">
      <c r="A9271" s="4" t="s">
        <v>501</v>
      </c>
      <c r="B9271" s="36" t="s">
        <v>502</v>
      </c>
      <c r="C9271" s="48" t="n">
        <f aca="false">C9270*Assumptions!$E$28</f>
        <v>6</v>
      </c>
      <c r="D9271" s="48" t="n">
        <f aca="false">D9270*Assumptions!$E$28</f>
        <v>9</v>
      </c>
      <c r="E9271" s="48" t="n">
        <f aca="false">E9270*Assumptions!$E$28</f>
        <v>12</v>
      </c>
      <c r="F9271" s="48" t="n">
        <f aca="false">F9270*Assumptions!$E$28</f>
        <v>15</v>
      </c>
      <c r="G9271" s="48" t="n">
        <f aca="false">G9270*Assumptions!$E$28</f>
        <v>18</v>
      </c>
      <c r="H9271" s="48" t="n">
        <f aca="false">H9270*Assumptions!$E$28</f>
        <v>21</v>
      </c>
      <c r="I9271" s="48" t="n">
        <f aca="false">I9270*Assumptions!$E$28</f>
        <v>24</v>
      </c>
      <c r="J9271" s="48" t="n">
        <f aca="false">J9270*Assumptions!$E$28</f>
        <v>27</v>
      </c>
      <c r="K9271" s="48" t="n">
        <f aca="false">K9270*Assumptions!$E$28</f>
        <v>30</v>
      </c>
      <c r="L9271" s="48" t="n">
        <f aca="false">L9270*Assumptions!$E$28</f>
        <v>30</v>
      </c>
      <c r="M9271" s="48" t="n">
        <f aca="false">M9270*Assumptions!$E$28</f>
        <v>30</v>
      </c>
      <c r="N9271" s="48" t="n">
        <f aca="false">N9270*Assumptions!$E$28</f>
        <v>30</v>
      </c>
      <c r="P9271" s="49" t="n">
        <f aca="false">SUM(C9271:F9271)</f>
        <v>42</v>
      </c>
      <c r="Q9271" s="49" t="n">
        <f aca="false">SUM(G9271:J9271)</f>
        <v>90</v>
      </c>
      <c r="R9271" s="49" t="n">
        <f aca="false">SUM(K9271:N9271)</f>
        <v>120</v>
      </c>
      <c r="S9271" s="50" t="n">
        <f aca="false">SUM(P9271:R9271)</f>
        <v>252</v>
      </c>
    </row>
    <row r="9272" customFormat="false" ht="15" hidden="false" customHeight="false" outlineLevel="0" collapsed="false">
      <c r="A9272" s="4" t="s">
        <v>503</v>
      </c>
      <c r="B9272" s="36" t="s">
        <v>504</v>
      </c>
      <c r="C9272" s="48" t="n">
        <f aca="false">(C9263+C9267)*Assumptions!$E$29</f>
        <v>2.649061072896</v>
      </c>
      <c r="D9272" s="48" t="n">
        <f aca="false">(D9263+D9267)*Assumptions!$E$29</f>
        <v>4.93045821299048</v>
      </c>
      <c r="E9272" s="48" t="n">
        <f aca="false">(E9263+E9267)*Assumptions!$E$29</f>
        <v>4.58830837060879</v>
      </c>
      <c r="F9272" s="48" t="n">
        <f aca="false">(F9263+F9267)*Assumptions!$E$29</f>
        <v>4.26990206474738</v>
      </c>
      <c r="G9272" s="48" t="n">
        <f aca="false">(G9263+G9267)*Assumptions!$E$29</f>
        <v>5.844267072</v>
      </c>
      <c r="H9272" s="48" t="n">
        <f aca="false">(H9263+H9267)*Assumptions!$E$29</f>
        <v>7.17956301044434</v>
      </c>
      <c r="I9272" s="48" t="n">
        <f aca="false">(I9263+I9267)*Assumptions!$E$29</f>
        <v>12.8463930542132</v>
      </c>
      <c r="J9272" s="48" t="n">
        <f aca="false">(J9263+J9267)*Assumptions!$E$29</f>
        <v>17.6921476412567</v>
      </c>
      <c r="K9272" s="48" t="n">
        <f aca="false">(K9263+K9267)*Assumptions!$E$29</f>
        <v>16.4643985629052</v>
      </c>
      <c r="L9272" s="48" t="n">
        <f aca="false">(L9263+L9267)*Assumptions!$E$29</f>
        <v>15.3218493048332</v>
      </c>
      <c r="M9272" s="48" t="n">
        <f aca="false">(M9263+M9267)*Assumptions!$E$29</f>
        <v>14.2585874135079</v>
      </c>
      <c r="N9272" s="48" t="n">
        <f aca="false">(N9263+N9267)*Assumptions!$E$29</f>
        <v>13.2691107309425</v>
      </c>
      <c r="P9272" s="49" t="n">
        <f aca="false">SUM(C9272:F9272)</f>
        <v>16.4377297212427</v>
      </c>
      <c r="Q9272" s="49" t="n">
        <f aca="false">SUM(G9272:J9272)</f>
        <v>43.5623707779142</v>
      </c>
      <c r="R9272" s="49" t="n">
        <f aca="false">SUM(K9272:N9272)</f>
        <v>59.3139460121888</v>
      </c>
      <c r="S9272" s="50" t="n">
        <f aca="false">SUM(P9272:R9272)</f>
        <v>119.314046511346</v>
      </c>
    </row>
    <row r="9273" customFormat="false" ht="15" hidden="false" customHeight="false" outlineLevel="0" collapsed="false">
      <c r="A9273" s="4" t="s">
        <v>505</v>
      </c>
      <c r="B9273" s="36" t="s">
        <v>504</v>
      </c>
      <c r="C9273" s="48" t="n">
        <f aca="false">C9269*Assumptions!$E$31</f>
        <v>0.883020357632</v>
      </c>
      <c r="D9273" s="48" t="n">
        <f aca="false">D9269*Assumptions!$E$31</f>
        <v>1.766040715264</v>
      </c>
      <c r="E9273" s="48" t="n">
        <f aca="false">E9269*Assumptions!$E$31</f>
        <v>1.766040715264</v>
      </c>
      <c r="F9273" s="48" t="n">
        <f aca="false">F9269*Assumptions!$E$31</f>
        <v>1.766040715264</v>
      </c>
      <c r="G9273" s="48" t="n">
        <f aca="false">G9269*Assumptions!$E$31</f>
        <v>2.389599202816</v>
      </c>
      <c r="H9273" s="48" t="n">
        <f aca="false">H9269*Assumptions!$E$31</f>
        <v>3.013157690368</v>
      </c>
      <c r="I9273" s="48" t="n">
        <f aca="false">I9269*Assumptions!$E$31</f>
        <v>5.068176633856</v>
      </c>
      <c r="J9273" s="48" t="n">
        <f aca="false">J9269*Assumptions!$E$31</f>
        <v>7.123195577344</v>
      </c>
      <c r="K9273" s="48" t="n">
        <f aca="false">K9269*Assumptions!$E$31</f>
        <v>7.123195577344</v>
      </c>
      <c r="L9273" s="48" t="n">
        <f aca="false">L9269*Assumptions!$E$31</f>
        <v>7.123195577344</v>
      </c>
      <c r="M9273" s="48" t="n">
        <f aca="false">M9269*Assumptions!$E$31</f>
        <v>7.123195577344</v>
      </c>
      <c r="N9273" s="48" t="n">
        <f aca="false">N9269*Assumptions!$E$31</f>
        <v>7.123195577344</v>
      </c>
      <c r="P9273" s="49" t="n">
        <f aca="false">SUM(C9273:F9273)</f>
        <v>6.181142503424</v>
      </c>
      <c r="Q9273" s="49" t="n">
        <f aca="false">SUM(G9273:J9273)</f>
        <v>17.594129104384</v>
      </c>
      <c r="R9273" s="49" t="n">
        <f aca="false">SUM(K9273:N9273)</f>
        <v>28.492782309376</v>
      </c>
      <c r="S9273" s="50" t="n">
        <f aca="false">SUM(P9273:R9273)</f>
        <v>52.268053917184</v>
      </c>
    </row>
    <row r="9274" customFormat="false" ht="15" hidden="false" customHeight="false" outlineLevel="0" collapsed="false">
      <c r="A9274" s="4" t="s">
        <v>506</v>
      </c>
      <c r="B9274" s="36" t="s">
        <v>504</v>
      </c>
      <c r="C9274" s="48" t="n">
        <f aca="false">C9271*Assumptions!$E$30</f>
        <v>3</v>
      </c>
      <c r="D9274" s="48" t="n">
        <f aca="false">D9271*Assumptions!$E$30</f>
        <v>4.5</v>
      </c>
      <c r="E9274" s="48" t="n">
        <f aca="false">E9271*Assumptions!$E$30</f>
        <v>6</v>
      </c>
      <c r="F9274" s="48" t="n">
        <f aca="false">F9271*Assumptions!$E$30</f>
        <v>7.5</v>
      </c>
      <c r="G9274" s="48" t="n">
        <f aca="false">G9271*Assumptions!$E$30</f>
        <v>9</v>
      </c>
      <c r="H9274" s="48" t="n">
        <f aca="false">H9271*Assumptions!$E$30</f>
        <v>10.5</v>
      </c>
      <c r="I9274" s="48" t="n">
        <f aca="false">I9271*Assumptions!$E$30</f>
        <v>12</v>
      </c>
      <c r="J9274" s="48" t="n">
        <f aca="false">J9271*Assumptions!$E$30</f>
        <v>13.5</v>
      </c>
      <c r="K9274" s="48" t="n">
        <f aca="false">K9271*Assumptions!$E$30</f>
        <v>15</v>
      </c>
      <c r="L9274" s="48" t="n">
        <f aca="false">L9271*Assumptions!$E$30</f>
        <v>15</v>
      </c>
      <c r="M9274" s="48" t="n">
        <f aca="false">M9271*Assumptions!$E$30</f>
        <v>15</v>
      </c>
      <c r="N9274" s="48" t="n">
        <f aca="false">N9271*Assumptions!$E$30</f>
        <v>15</v>
      </c>
      <c r="P9274" s="49" t="n">
        <f aca="false">SUM(C9274:F9274)</f>
        <v>21</v>
      </c>
      <c r="Q9274" s="49" t="n">
        <f aca="false">SUM(G9274:J9274)</f>
        <v>45</v>
      </c>
      <c r="R9274" s="49" t="n">
        <f aca="false">SUM(K9274:N9274)</f>
        <v>60</v>
      </c>
      <c r="S9274" s="50" t="n">
        <f aca="false">SUM(P9274:R9274)</f>
        <v>126</v>
      </c>
    </row>
    <row r="9275" customFormat="false" ht="15" hidden="false" customHeight="false" outlineLevel="0" collapsed="false">
      <c r="A9275" s="9" t="s">
        <v>507</v>
      </c>
      <c r="B9275" s="36" t="s">
        <v>504</v>
      </c>
      <c r="C9275" s="49" t="n">
        <f aca="false">C9272+C9273+C9274</f>
        <v>6.532081430528</v>
      </c>
      <c r="D9275" s="49" t="n">
        <f aca="false">D9272+D9273+D9274</f>
        <v>11.1964989282545</v>
      </c>
      <c r="E9275" s="49" t="n">
        <f aca="false">E9272+E9273+E9274</f>
        <v>12.3543490858728</v>
      </c>
      <c r="F9275" s="49" t="n">
        <f aca="false">F9272+F9273+F9274</f>
        <v>13.5359427800114</v>
      </c>
      <c r="G9275" s="49" t="n">
        <f aca="false">G9272+G9273+G9274</f>
        <v>17.233866274816</v>
      </c>
      <c r="H9275" s="49" t="n">
        <f aca="false">H9272+H9273+H9274</f>
        <v>20.6927207008123</v>
      </c>
      <c r="I9275" s="49" t="n">
        <f aca="false">I9272+I9273+I9274</f>
        <v>29.9145696880692</v>
      </c>
      <c r="J9275" s="49" t="n">
        <f aca="false">J9272+J9273+J9274</f>
        <v>38.3153432186007</v>
      </c>
      <c r="K9275" s="49" t="n">
        <f aca="false">K9272+K9273+K9274</f>
        <v>38.5875941402492</v>
      </c>
      <c r="L9275" s="49" t="n">
        <f aca="false">L9272+L9273+L9274</f>
        <v>37.4450448821772</v>
      </c>
      <c r="M9275" s="49" t="n">
        <f aca="false">M9272+M9273+M9274</f>
        <v>36.3817829908519</v>
      </c>
      <c r="N9275" s="49" t="n">
        <f aca="false">N9272+N9273+N9274</f>
        <v>35.3923063082865</v>
      </c>
      <c r="P9275" s="49" t="n">
        <f aca="false">SUM(C9275:F9275)</f>
        <v>43.6188722246667</v>
      </c>
      <c r="Q9275" s="49" t="n">
        <f aca="false">SUM(G9275:J9275)</f>
        <v>106.156499882298</v>
      </c>
      <c r="R9275" s="49" t="n">
        <f aca="false">SUM(K9275:N9275)</f>
        <v>147.806728321565</v>
      </c>
      <c r="S9275" s="50" t="n">
        <f aca="false">SUM(P9275:R9275)</f>
        <v>297.58210042853</v>
      </c>
    </row>
    <row r="9276" customFormat="false" ht="15" hidden="false" customHeight="false" outlineLevel="0" collapsed="false">
      <c r="A9276" s="4" t="s">
        <v>508</v>
      </c>
      <c r="B9276" s="36" t="s">
        <v>509</v>
      </c>
      <c r="C9276" s="48" t="n">
        <f aca="false">C9258</f>
        <v>421.51972352</v>
      </c>
      <c r="D9276" s="48" t="n">
        <f aca="false">D9258</f>
        <v>843.03944704</v>
      </c>
      <c r="E9276" s="48" t="n">
        <f aca="false">E9258</f>
        <v>843.03944704</v>
      </c>
      <c r="F9276" s="48" t="n">
        <f aca="false">F9258</f>
        <v>843.03944704</v>
      </c>
      <c r="G9276" s="48" t="n">
        <f aca="false">G9258</f>
        <v>1149.32798176</v>
      </c>
      <c r="H9276" s="48" t="n">
        <f aca="false">H9258</f>
        <v>1455.61651648</v>
      </c>
      <c r="I9276" s="48" t="n">
        <f aca="false">I9258</f>
        <v>2486.00303616</v>
      </c>
      <c r="J9276" s="48" t="n">
        <f aca="false">J9258</f>
        <v>3516.38955584</v>
      </c>
      <c r="K9276" s="48" t="n">
        <f aca="false">K9258</f>
        <v>3516.38955584</v>
      </c>
      <c r="L9276" s="48" t="n">
        <f aca="false">L9258</f>
        <v>3516.38955584</v>
      </c>
      <c r="M9276" s="48" t="n">
        <f aca="false">M9258</f>
        <v>3516.38955584</v>
      </c>
      <c r="N9276" s="48" t="n">
        <f aca="false">N9258</f>
        <v>3516.38955584</v>
      </c>
      <c r="P9276" s="49"/>
      <c r="Q9276" s="49"/>
      <c r="R9276" s="49"/>
      <c r="S9276" s="50"/>
    </row>
    <row r="9277" customFormat="false" ht="15" hidden="false" customHeight="false" outlineLevel="0" collapsed="false">
      <c r="A9277" s="4" t="s">
        <v>510</v>
      </c>
      <c r="B9277" s="36" t="s">
        <v>509</v>
      </c>
      <c r="C9277" s="48" t="n">
        <f aca="false">C9259*Assumptions!$E$18*Assumptions!$E$33</f>
        <v>211.19616</v>
      </c>
      <c r="D9277" s="48" t="n">
        <f aca="false">D9259*Assumptions!$E$18*Assumptions!$E$33</f>
        <v>422.39232</v>
      </c>
      <c r="E9277" s="48" t="n">
        <f aca="false">E9259*Assumptions!$E$18*Assumptions!$E$33</f>
        <v>422.39232</v>
      </c>
      <c r="F9277" s="48" t="n">
        <f aca="false">F9259*Assumptions!$E$18*Assumptions!$E$33</f>
        <v>422.39232</v>
      </c>
      <c r="G9277" s="48" t="n">
        <f aca="false">G9259*Assumptions!$E$18*Assumptions!$E$33</f>
        <v>564.49344</v>
      </c>
      <c r="H9277" s="48" t="n">
        <f aca="false">H9259*Assumptions!$E$18*Assumptions!$E$33</f>
        <v>706.59456</v>
      </c>
      <c r="I9277" s="48" t="n">
        <f aca="false">I9259*Assumptions!$E$18*Assumptions!$E$33</f>
        <v>1135.07072</v>
      </c>
      <c r="J9277" s="48" t="n">
        <f aca="false">J9259*Assumptions!$E$18*Assumptions!$E$33</f>
        <v>1563.54688</v>
      </c>
      <c r="K9277" s="48" t="n">
        <f aca="false">K9259*Assumptions!$E$18*Assumptions!$E$33</f>
        <v>1563.54688</v>
      </c>
      <c r="L9277" s="48" t="n">
        <f aca="false">L9259*Assumptions!$E$18*Assumptions!$E$33</f>
        <v>1563.54688</v>
      </c>
      <c r="M9277" s="48" t="n">
        <f aca="false">M9259*Assumptions!$E$18*Assumptions!$E$33</f>
        <v>1563.54688</v>
      </c>
      <c r="N9277" s="48" t="n">
        <f aca="false">N9259*Assumptions!$E$18*Assumptions!$E$33</f>
        <v>1563.54688</v>
      </c>
      <c r="P9277" s="49"/>
      <c r="Q9277" s="49"/>
      <c r="R9277" s="49"/>
      <c r="S9277" s="50"/>
    </row>
    <row r="9278" customFormat="false" ht="15" hidden="false" customHeight="false" outlineLevel="0" collapsed="false">
      <c r="A9278" s="4" t="s">
        <v>511</v>
      </c>
      <c r="B9278" s="36" t="s">
        <v>509</v>
      </c>
      <c r="C9278" s="48" t="n">
        <f aca="false">C9260*Assumptions!$E$19*Assumptions!$E$34</f>
        <v>34.677888</v>
      </c>
      <c r="D9278" s="48" t="n">
        <f aca="false">D9260*Assumptions!$E$19*Assumptions!$E$34</f>
        <v>69.355776</v>
      </c>
      <c r="E9278" s="48" t="n">
        <f aca="false">E9260*Assumptions!$E$19*Assumptions!$E$34</f>
        <v>69.355776</v>
      </c>
      <c r="F9278" s="48" t="n">
        <f aca="false">F9260*Assumptions!$E$19*Assumptions!$E$34</f>
        <v>69.355776</v>
      </c>
      <c r="G9278" s="48" t="n">
        <f aca="false">G9260*Assumptions!$E$19*Assumptions!$E$34</f>
        <v>86.69472</v>
      </c>
      <c r="H9278" s="48" t="n">
        <f aca="false">H9260*Assumptions!$E$19*Assumptions!$E$34</f>
        <v>104.033664</v>
      </c>
      <c r="I9278" s="48" t="n">
        <f aca="false">I9260*Assumptions!$E$19*Assumptions!$E$34</f>
        <v>159.7008</v>
      </c>
      <c r="J9278" s="48" t="n">
        <f aca="false">J9260*Assumptions!$E$19*Assumptions!$E$34</f>
        <v>215.367936</v>
      </c>
      <c r="K9278" s="48" t="n">
        <f aca="false">K9260*Assumptions!$E$19*Assumptions!$E$34</f>
        <v>215.367936</v>
      </c>
      <c r="L9278" s="48" t="n">
        <f aca="false">L9260*Assumptions!$E$19*Assumptions!$E$34</f>
        <v>215.367936</v>
      </c>
      <c r="M9278" s="48" t="n">
        <f aca="false">M9260*Assumptions!$E$19*Assumptions!$E$34</f>
        <v>215.367936</v>
      </c>
      <c r="N9278" s="48" t="n">
        <f aca="false">N9260*Assumptions!$E$19*Assumptions!$E$34</f>
        <v>215.367936</v>
      </c>
      <c r="P9278" s="49"/>
      <c r="Q9278" s="49"/>
      <c r="R9278" s="49"/>
      <c r="S9278" s="50"/>
    </row>
    <row r="9279" customFormat="false" ht="15" hidden="false" customHeight="false" outlineLevel="0" collapsed="false">
      <c r="A9279" s="4" t="s">
        <v>512</v>
      </c>
      <c r="B9279" s="36" t="s">
        <v>77</v>
      </c>
      <c r="C9279" s="51" t="n">
        <f aca="false">IFERROR(C9276/(C9276+C9277+C9278),0)</f>
        <v>0.631590736245533</v>
      </c>
      <c r="D9279" s="51" t="n">
        <f aca="false">IFERROR(D9276/(D9276+D9277+D9278),0)</f>
        <v>0.631590736245533</v>
      </c>
      <c r="E9279" s="51" t="n">
        <f aca="false">IFERROR(E9276/(E9276+E9277+E9278),0)</f>
        <v>0.631590736245533</v>
      </c>
      <c r="F9279" s="51" t="n">
        <f aca="false">IFERROR(F9276/(F9276+F9277+F9278),0)</f>
        <v>0.631590736245533</v>
      </c>
      <c r="G9279" s="51" t="n">
        <f aca="false">IFERROR(G9276/(G9276+G9277+G9278),0)</f>
        <v>0.638332506498128</v>
      </c>
      <c r="H9279" s="51" t="n">
        <f aca="false">IFERROR(H9276/(H9276+H9277+H9278),0)</f>
        <v>0.642303318118984</v>
      </c>
      <c r="I9279" s="51" t="n">
        <f aca="false">IFERROR(I9276/(I9276+I9277+I9278),0)</f>
        <v>0.657538025405288</v>
      </c>
      <c r="J9279" s="51" t="n">
        <f aca="false">IFERROR(J9276/(J9276+J9277+J9278),0)</f>
        <v>0.664058061428891</v>
      </c>
      <c r="K9279" s="51" t="n">
        <f aca="false">IFERROR(K9276/(K9276+K9277+K9278),0)</f>
        <v>0.664058061428891</v>
      </c>
      <c r="L9279" s="51" t="n">
        <f aca="false">IFERROR(L9276/(L9276+L9277+L9278),0)</f>
        <v>0.664058061428891</v>
      </c>
      <c r="M9279" s="51" t="n">
        <f aca="false">IFERROR(M9276/(M9276+M9277+M9278),0)</f>
        <v>0.664058061428891</v>
      </c>
      <c r="N9279" s="51" t="n">
        <f aca="false">IFERROR(N9276/(N9276+N9277+N9278),0)</f>
        <v>0.664058061428891</v>
      </c>
      <c r="P9279" s="52"/>
      <c r="Q9279" s="52"/>
      <c r="R9279" s="52"/>
      <c r="S9279" s="53"/>
    </row>
    <row r="9280" customFormat="false" ht="15" hidden="false" customHeight="false" outlineLevel="0" collapsed="false">
      <c r="A9280" s="4" t="s">
        <v>513</v>
      </c>
      <c r="B9280" s="36" t="s">
        <v>77</v>
      </c>
      <c r="C9280" s="51" t="n">
        <f aca="false">IFERROR(C9277/(C9276+C9277+C9278),0)</f>
        <v>0.316449102482628</v>
      </c>
      <c r="D9280" s="51" t="n">
        <f aca="false">IFERROR(D9277/(D9276+D9277+D9278),0)</f>
        <v>0.316449102482628</v>
      </c>
      <c r="E9280" s="51" t="n">
        <f aca="false">IFERROR(E9277/(E9276+E9277+E9278),0)</f>
        <v>0.316449102482628</v>
      </c>
      <c r="F9280" s="51" t="n">
        <f aca="false">IFERROR(F9277/(F9276+F9277+F9278),0)</f>
        <v>0.316449102482628</v>
      </c>
      <c r="G9280" s="51" t="n">
        <f aca="false">IFERROR(G9277/(G9276+G9277+G9278),0)</f>
        <v>0.313517566939561</v>
      </c>
      <c r="H9280" s="51" t="n">
        <f aca="false">IFERROR(H9277/(H9276+H9277+H9278),0)</f>
        <v>0.311790932099567</v>
      </c>
      <c r="I9280" s="51" t="n">
        <f aca="false">IFERROR(I9277/(I9276+I9277+I9278),0)</f>
        <v>0.300221741111391</v>
      </c>
      <c r="J9280" s="51" t="n">
        <f aca="false">IFERROR(J9277/(J9276+J9277+J9278),0)</f>
        <v>0.295270445324128</v>
      </c>
      <c r="K9280" s="51" t="n">
        <f aca="false">IFERROR(K9277/(K9276+K9277+K9278),0)</f>
        <v>0.295270445324128</v>
      </c>
      <c r="L9280" s="51" t="n">
        <f aca="false">IFERROR(L9277/(L9276+L9277+L9278),0)</f>
        <v>0.295270445324128</v>
      </c>
      <c r="M9280" s="51" t="n">
        <f aca="false">IFERROR(M9277/(M9276+M9277+M9278),0)</f>
        <v>0.295270445324128</v>
      </c>
      <c r="N9280" s="51" t="n">
        <f aca="false">IFERROR(N9277/(N9276+N9277+N9278),0)</f>
        <v>0.295270445324128</v>
      </c>
      <c r="P9280" s="52"/>
      <c r="Q9280" s="52"/>
      <c r="R9280" s="52"/>
      <c r="S9280" s="53"/>
    </row>
    <row r="9281" customFormat="false" ht="15" hidden="false" customHeight="false" outlineLevel="0" collapsed="false">
      <c r="A9281" s="4" t="s">
        <v>514</v>
      </c>
      <c r="B9281" s="36" t="s">
        <v>77</v>
      </c>
      <c r="C9281" s="51" t="n">
        <f aca="false">IFERROR(C9278/(C9276+C9277+C9278),0)</f>
        <v>0.0519601612718389</v>
      </c>
      <c r="D9281" s="51" t="n">
        <f aca="false">IFERROR(D9278/(D9276+D9277+D9278),0)</f>
        <v>0.0519601612718389</v>
      </c>
      <c r="E9281" s="51" t="n">
        <f aca="false">IFERROR(E9278/(E9276+E9277+E9278),0)</f>
        <v>0.0519601612718389</v>
      </c>
      <c r="F9281" s="51" t="n">
        <f aca="false">IFERROR(F9278/(F9276+F9277+F9278),0)</f>
        <v>0.0519601612718389</v>
      </c>
      <c r="G9281" s="51" t="n">
        <f aca="false">IFERROR(G9278/(G9276+G9277+G9278),0)</f>
        <v>0.0481499265623113</v>
      </c>
      <c r="H9281" s="51" t="n">
        <f aca="false">IFERROR(H9278/(H9276+H9277+H9278),0)</f>
        <v>0.0459057497814491</v>
      </c>
      <c r="I9281" s="51" t="n">
        <f aca="false">IFERROR(I9278/(I9276+I9277+I9278),0)</f>
        <v>0.0422402334833216</v>
      </c>
      <c r="J9281" s="51" t="n">
        <f aca="false">IFERROR(J9278/(J9276+J9277+J9278),0)</f>
        <v>0.0406714932469811</v>
      </c>
      <c r="K9281" s="51" t="n">
        <f aca="false">IFERROR(K9278/(K9276+K9277+K9278),0)</f>
        <v>0.0406714932469811</v>
      </c>
      <c r="L9281" s="51" t="n">
        <f aca="false">IFERROR(L9278/(L9276+L9277+L9278),0)</f>
        <v>0.0406714932469811</v>
      </c>
      <c r="M9281" s="51" t="n">
        <f aca="false">IFERROR(M9278/(M9276+M9277+M9278),0)</f>
        <v>0.0406714932469811</v>
      </c>
      <c r="N9281" s="51" t="n">
        <f aca="false">IFERROR(N9278/(N9276+N9277+N9278),0)</f>
        <v>0.0406714932469811</v>
      </c>
      <c r="P9281" s="52"/>
      <c r="Q9281" s="52"/>
      <c r="R9281" s="52"/>
      <c r="S9281" s="53"/>
    </row>
    <row r="9282" customFormat="false" ht="15" hidden="false" customHeight="false" outlineLevel="0" collapsed="false">
      <c r="A9282" s="4" t="s">
        <v>515</v>
      </c>
      <c r="B9282" s="36" t="s">
        <v>516</v>
      </c>
      <c r="C9282" s="48" t="n">
        <f aca="false">IF(C9250-Assumptions!$E$35&lt;1,0,INDEX($C$9275:$N$9275,1,C9250-Assumptions!$E$35)*INDEX($C$9279:$N$9279,1,C9250-Assumptions!$E$35)*0.3)</f>
        <v>0</v>
      </c>
      <c r="D9282" s="48" t="n">
        <f aca="false">IF(D9250-Assumptions!$E$35&lt;1,0,INDEX($C$9275:$N$9275,1,D9250-Assumptions!$E$35)*INDEX($C$9279:$N$9279,1,D9250-Assumptions!$E$35)*0.3)</f>
        <v>1.23768063597689</v>
      </c>
      <c r="E9282" s="48" t="n">
        <f aca="false">IF(E9250-Assumptions!$E$35&lt;1,0,INDEX($C$9275:$N$9275,1,E9250-Assumptions!$E$35)*INDEX($C$9279:$N$9279,1,E9250-Assumptions!$E$35)*0.3)</f>
        <v>2.12148150044057</v>
      </c>
      <c r="F9282" s="48" t="n">
        <f aca="false">IF(F9250-Assumptions!$E$35&lt;1,0,INDEX($C$9275:$N$9275,1,F9250-Assumptions!$E$35)*INDEX($C$9279:$N$9279,1,F9250-Assumptions!$E$35)*0.3)</f>
        <v>2.34086773049422</v>
      </c>
      <c r="G9282" s="48" t="n">
        <f aca="false">IF(G9250-Assumptions!$E$35&lt;1,0,INDEX($C$9275:$N$9275,1,G9250-Assumptions!$E$35)*INDEX($C$9279:$N$9279,1,G9250-Assumptions!$E$35)*0.3)</f>
        <v>2.56475281986144</v>
      </c>
      <c r="H9282" s="48" t="n">
        <f aca="false">IF(H9250-Assumptions!$E$35&lt;1,0,INDEX($C$9275:$N$9275,1,H9250-Assumptions!$E$35)*INDEX($C$9279:$N$9279,1,H9250-Assumptions!$E$35)*0.3)</f>
        <v>3.30028111675706</v>
      </c>
      <c r="I9282" s="48" t="n">
        <f aca="false">IF(I9250-Assumptions!$E$35&lt;1,0,INDEX($C$9275:$N$9275,1,I9250-Assumptions!$E$35)*INDEX($C$9279:$N$9279,1,I9250-Assumptions!$E$35)*0.3)</f>
        <v>3.98730095011235</v>
      </c>
      <c r="J9282" s="48" t="n">
        <f aca="false">IF(J9250-Assumptions!$E$35&lt;1,0,INDEX($C$9275:$N$9275,1,J9250-Assumptions!$E$35)*INDEX($C$9279:$N$9279,1,J9250-Assumptions!$E$35)*0.3)</f>
        <v>5.90099012506257</v>
      </c>
      <c r="K9282" s="48" t="n">
        <f aca="false">IF(K9250-Assumptions!$E$35&lt;1,0,INDEX($C$9275:$N$9275,1,K9250-Assumptions!$E$35)*INDEX($C$9279:$N$9279,1,K9250-Assumptions!$E$35)*0.3)</f>
        <v>7.63308376221796</v>
      </c>
      <c r="L9282" s="48" t="n">
        <f aca="false">IF(L9250-Assumptions!$E$35&lt;1,0,INDEX($C$9275:$N$9275,1,L9250-Assumptions!$E$35)*INDEX($C$9279:$N$9279,1,L9250-Assumptions!$E$35)*0.3)</f>
        <v>7.68732088799361</v>
      </c>
      <c r="M9282" s="48" t="n">
        <f aca="false">IF(M9250-Assumptions!$E$35&lt;1,0,INDEX($C$9275:$N$9275,1,M9250-Assumptions!$E$35)*INDEX($C$9279:$N$9279,1,M9250-Assumptions!$E$35)*0.3)</f>
        <v>7.45970517437292</v>
      </c>
      <c r="N9282" s="48" t="n">
        <f aca="false">IF(N9250-Assumptions!$E$35&lt;1,0,INDEX($C$9275:$N$9275,1,N9250-Assumptions!$E$35)*INDEX($C$9279:$N$9279,1,N9250-Assumptions!$E$35)*0.3)</f>
        <v>7.24788488526951</v>
      </c>
      <c r="P9282" s="49" t="n">
        <f aca="false">SUM(C9282:F9282)</f>
        <v>5.70002986691168</v>
      </c>
      <c r="Q9282" s="49" t="n">
        <f aca="false">SUM(G9282:J9282)</f>
        <v>15.7533250117934</v>
      </c>
      <c r="R9282" s="49" t="n">
        <f aca="false">SUM(K9282:N9282)</f>
        <v>30.027994709854</v>
      </c>
      <c r="S9282" s="50" t="n">
        <f aca="false">SUM(P9282:R9282)</f>
        <v>51.4813495885591</v>
      </c>
    </row>
    <row r="9283" customFormat="false" ht="15" hidden="false" customHeight="false" outlineLevel="0" collapsed="false">
      <c r="A9283" s="4" t="s">
        <v>517</v>
      </c>
      <c r="B9283" s="36" t="s">
        <v>516</v>
      </c>
      <c r="C9283" s="48" t="n">
        <f aca="false">IF(C9250-Assumptions!$E$35&lt;1,0,INDEX($C$9275:$N$9275,1,C9250-Assumptions!$E$35)*INDEX($C$9280:$N$9280,1,C9250-Assumptions!$E$35)*0.3)</f>
        <v>0</v>
      </c>
      <c r="D9283" s="48" t="n">
        <f aca="false">IF(D9250-Assumptions!$E$35&lt;1,0,INDEX($C$9275:$N$9275,1,D9250-Assumptions!$E$35)*INDEX($C$9280:$N$9280,1,D9250-Assumptions!$E$35)*0.3)</f>
        <v>0.620121391810208</v>
      </c>
      <c r="E9283" s="48" t="n">
        <f aca="false">IF(E9250-Assumptions!$E$35&lt;1,0,INDEX($C$9275:$N$9275,1,E9250-Assumptions!$E$35)*INDEX($C$9280:$N$9280,1,E9250-Assumptions!$E$35)*0.3)</f>
        <v>1.06293661103815</v>
      </c>
      <c r="F9283" s="48" t="n">
        <f aca="false">IF(F9250-Assumptions!$E$35&lt;1,0,INDEX($C$9275:$N$9275,1,F9250-Assumptions!$E$35)*INDEX($C$9280:$N$9280,1,F9250-Assumptions!$E$35)*0.3)</f>
        <v>1.17285680399446</v>
      </c>
      <c r="G9283" s="48" t="n">
        <f aca="false">IF(G9250-Assumptions!$E$35&lt;1,0,INDEX($C$9275:$N$9275,1,G9250-Assumptions!$E$35)*INDEX($C$9280:$N$9280,1,G9250-Assumptions!$E$35)*0.3)</f>
        <v>1.28503108319724</v>
      </c>
      <c r="H9283" s="48" t="n">
        <f aca="false">IF(H9250-Assumptions!$E$35&lt;1,0,INDEX($C$9275:$N$9275,1,H9250-Assumptions!$E$35)*INDEX($C$9280:$N$9280,1,H9250-Assumptions!$E$35)*0.3)</f>
        <v>1.62093594703262</v>
      </c>
      <c r="I9283" s="48" t="n">
        <f aca="false">IF(I9250-Assumptions!$E$35&lt;1,0,INDEX($C$9275:$N$9275,1,I9250-Assumptions!$E$35)*INDEX($C$9280:$N$9280,1,I9250-Assumptions!$E$35)*0.3)</f>
        <v>1.93554080249468</v>
      </c>
      <c r="J9283" s="48" t="n">
        <f aca="false">IF(J9250-Assumptions!$E$35&lt;1,0,INDEX($C$9275:$N$9275,1,J9250-Assumptions!$E$35)*INDEX($C$9280:$N$9280,1,J9250-Assumptions!$E$35)*0.3)</f>
        <v>2.69430125890505</v>
      </c>
      <c r="K9283" s="48" t="n">
        <f aca="false">IF(K9250-Assumptions!$E$35&lt;1,0,INDEX($C$9275:$N$9275,1,K9250-Assumptions!$E$35)*INDEX($C$9280:$N$9280,1,K9250-Assumptions!$E$35)*0.3)</f>
        <v>3.39401653647091</v>
      </c>
      <c r="L9283" s="48" t="n">
        <f aca="false">IF(L9250-Assumptions!$E$35&lt;1,0,INDEX($C$9275:$N$9275,1,L9250-Assumptions!$E$35)*INDEX($C$9280:$N$9280,1,L9250-Assumptions!$E$35)*0.3)</f>
        <v>3.41813283173343</v>
      </c>
      <c r="M9283" s="48" t="n">
        <f aca="false">IF(M9250-Assumptions!$E$35&lt;1,0,INDEX($C$9275:$N$9275,1,M9250-Assumptions!$E$35)*INDEX($C$9280:$N$9280,1,M9250-Assumptions!$E$35)*0.3)</f>
        <v>3.31692452326273</v>
      </c>
      <c r="N9283" s="48" t="n">
        <f aca="false">IF(N9250-Assumptions!$E$35&lt;1,0,INDEX($C$9275:$N$9275,1,N9250-Assumptions!$E$35)*INDEX($C$9280:$N$9280,1,N9250-Assumptions!$E$35)*0.3)</f>
        <v>3.22273957961839</v>
      </c>
      <c r="P9283" s="49" t="n">
        <f aca="false">SUM(C9283:F9283)</f>
        <v>2.85591480684281</v>
      </c>
      <c r="Q9283" s="49" t="n">
        <f aca="false">SUM(G9283:J9283)</f>
        <v>7.53580909162959</v>
      </c>
      <c r="R9283" s="49" t="n">
        <f aca="false">SUM(K9283:N9283)</f>
        <v>13.3518134710855</v>
      </c>
      <c r="S9283" s="50" t="n">
        <f aca="false">SUM(P9283:R9283)</f>
        <v>23.7435373695579</v>
      </c>
    </row>
    <row r="9284" customFormat="false" ht="15" hidden="false" customHeight="false" outlineLevel="0" collapsed="false">
      <c r="A9284" s="4" t="s">
        <v>518</v>
      </c>
      <c r="B9284" s="36" t="s">
        <v>516</v>
      </c>
      <c r="C9284" s="48" t="n">
        <f aca="false">IF(C9250-Assumptions!$E$36&lt;1,0,INDEX($C$9275:$N$9275,1,C9250-Assumptions!$E$36)*INDEX($C$9281:$N$9281,1,C9250-Assumptions!$E$36)*0.3)</f>
        <v>0</v>
      </c>
      <c r="D9284" s="48" t="n">
        <f aca="false">IF(D9250-Assumptions!$E$36&lt;1,0,INDEX($C$9275:$N$9275,1,D9250-Assumptions!$E$36)*INDEX($C$9281:$N$9281,1,D9250-Assumptions!$E$36)*0.3)</f>
        <v>0</v>
      </c>
      <c r="E9284" s="48" t="n">
        <f aca="false">IF(E9250-Assumptions!$E$36&lt;1,0,INDEX($C$9275:$N$9275,1,E9250-Assumptions!$E$36)*INDEX($C$9281:$N$9281,1,E9250-Assumptions!$E$36)*0.3)</f>
        <v>0.101822401371306</v>
      </c>
      <c r="F9284" s="48" t="n">
        <f aca="false">IF(F9250-Assumptions!$E$36&lt;1,0,INDEX($C$9275:$N$9275,1,F9250-Assumptions!$E$36)*INDEX($C$9281:$N$9281,1,F9250-Assumptions!$E$36)*0.3)</f>
        <v>0.174531566997622</v>
      </c>
      <c r="G9284" s="48" t="n">
        <f aca="false">IF(G9250-Assumptions!$E$36&lt;1,0,INDEX($C$9275:$N$9275,1,G9250-Assumptions!$E$36)*INDEX($C$9281:$N$9281,1,G9250-Assumptions!$E$36)*0.3)</f>
        <v>0.192580191273164</v>
      </c>
      <c r="H9284" s="48" t="n">
        <f aca="false">IF(H9250-Assumptions!$E$36&lt;1,0,INDEX($C$9275:$N$9275,1,H9250-Assumptions!$E$36)*INDEX($C$9281:$N$9281,1,H9250-Assumptions!$E$36)*0.3)</f>
        <v>0.210998930944732</v>
      </c>
      <c r="I9284" s="48" t="n">
        <f aca="false">IF(I9250-Assumptions!$E$36&lt;1,0,INDEX($C$9275:$N$9275,1,I9250-Assumptions!$E$36)*INDEX($C$9281:$N$9281,1,I9250-Assumptions!$E$36)*0.3)</f>
        <v>0.248942818655125</v>
      </c>
      <c r="J9284" s="48" t="n">
        <f aca="false">IF(J9250-Assumptions!$E$36&lt;1,0,INDEX($C$9275:$N$9275,1,J9250-Assumptions!$E$36)*INDEX($C$9281:$N$9281,1,J9250-Assumptions!$E$36)*0.3)</f>
        <v>0.284974457636671</v>
      </c>
      <c r="K9284" s="48" t="n">
        <f aca="false">IF(K9250-Assumptions!$E$36&lt;1,0,INDEX($C$9275:$N$9275,1,K9250-Assumptions!$E$36)*INDEX($C$9281:$N$9281,1,K9250-Assumptions!$E$36)*0.3)</f>
        <v>0.379079522453141</v>
      </c>
      <c r="L9284" s="48" t="n">
        <f aca="false">IF(L9250-Assumptions!$E$36&lt;1,0,INDEX($C$9275:$N$9275,1,L9250-Assumptions!$E$36)*INDEX($C$9281:$N$9281,1,L9250-Assumptions!$E$36)*0.3)</f>
        <v>0.467502666891324</v>
      </c>
      <c r="M9284" s="48" t="n">
        <f aca="false">IF(M9250-Assumptions!$E$36&lt;1,0,INDEX($C$9275:$N$9275,1,M9250-Assumptions!$E$36)*INDEX($C$9281:$N$9281,1,M9250-Assumptions!$E$36)*0.3)</f>
        <v>0.470824522347718</v>
      </c>
      <c r="N9284" s="48" t="n">
        <f aca="false">IF(N9250-Assumptions!$E$36&lt;1,0,INDEX($C$9275:$N$9275,1,N9250-Assumptions!$E$36)*INDEX($C$9281:$N$9281,1,N9250-Assumptions!$E$36)*0.3)</f>
        <v>0.456883767017512</v>
      </c>
      <c r="P9284" s="49" t="n">
        <f aca="false">SUM(C9284:F9284)</f>
        <v>0.276353968368928</v>
      </c>
      <c r="Q9284" s="49" t="n">
        <f aca="false">SUM(G9284:J9284)</f>
        <v>0.937496398509692</v>
      </c>
      <c r="R9284" s="49" t="n">
        <f aca="false">SUM(K9284:N9284)</f>
        <v>1.7742904787097</v>
      </c>
      <c r="S9284" s="50" t="n">
        <f aca="false">SUM(P9284:R9284)</f>
        <v>2.98814084558832</v>
      </c>
    </row>
    <row r="9285" customFormat="false" ht="15" hidden="false" customHeight="false" outlineLevel="0" collapsed="false">
      <c r="A9285" s="4" t="s">
        <v>519</v>
      </c>
      <c r="B9285" s="36" t="s">
        <v>77</v>
      </c>
      <c r="C9285" s="51" t="n">
        <f aca="false">IF(C9250-Assumptions!$E$35&lt;1,0,IFERROR(INDEX($C$9274:$N$9274,1,C9250-Assumptions!$E$35)/INDEX($C$9275:$N$9275,1,C9250-Assumptions!$E$35),0))</f>
        <v>0</v>
      </c>
      <c r="D9285" s="51" t="n">
        <f aca="false">IF(D9250-Assumptions!$E$35&lt;1,0,IFERROR(INDEX($C$9274:$N$9274,1,D9250-Assumptions!$E$35)/INDEX($C$9275:$N$9275,1,D9250-Assumptions!$E$35),0))</f>
        <v>0.459271678087073</v>
      </c>
      <c r="E9285" s="51" t="n">
        <f aca="false">IF(E9250-Assumptions!$E$35&lt;1,0,IFERROR(INDEX($C$9274:$N$9274,1,E9250-Assumptions!$E$35)/INDEX($C$9275:$N$9275,1,E9250-Assumptions!$E$35),0))</f>
        <v>0.401911350042128</v>
      </c>
      <c r="F9285" s="51" t="n">
        <f aca="false">IF(F9250-Assumptions!$E$35&lt;1,0,IFERROR(INDEX($C$9274:$N$9274,1,F9250-Assumptions!$E$35)/INDEX($C$9275:$N$9275,1,F9250-Assumptions!$E$35),0))</f>
        <v>0.485658933408398</v>
      </c>
      <c r="G9285" s="51" t="n">
        <f aca="false">IF(G9250-Assumptions!$E$35&lt;1,0,IFERROR(INDEX($C$9274:$N$9274,1,G9250-Assumptions!$E$35)/INDEX($C$9275:$N$9275,1,G9250-Assumptions!$E$35),0))</f>
        <v>0.554080356417826</v>
      </c>
      <c r="H9285" s="51" t="n">
        <f aca="false">IF(H9250-Assumptions!$E$35&lt;1,0,IFERROR(INDEX($C$9274:$N$9274,1,H9250-Assumptions!$E$35)/INDEX($C$9275:$N$9275,1,H9250-Assumptions!$E$35),0))</f>
        <v>0.522227563825987</v>
      </c>
      <c r="I9285" s="51" t="n">
        <f aca="false">IF(I9250-Assumptions!$E$35&lt;1,0,IFERROR(INDEX($C$9274:$N$9274,1,I9250-Assumptions!$E$35)/INDEX($C$9275:$N$9275,1,I9250-Assumptions!$E$35),0))</f>
        <v>0.507424816282752</v>
      </c>
      <c r="J9285" s="51" t="n">
        <f aca="false">IF(J9250-Assumptions!$E$35&lt;1,0,IFERROR(INDEX($C$9274:$N$9274,1,J9250-Assumptions!$E$35)/INDEX($C$9275:$N$9275,1,J9250-Assumptions!$E$35),0))</f>
        <v>0.401142323795015</v>
      </c>
      <c r="K9285" s="51" t="n">
        <f aca="false">IF(K9250-Assumptions!$E$35&lt;1,0,IFERROR(INDEX($C$9274:$N$9274,1,K9250-Assumptions!$E$35)/INDEX($C$9275:$N$9275,1,K9250-Assumptions!$E$35),0))</f>
        <v>0.352339268448632</v>
      </c>
      <c r="L9285" s="51" t="n">
        <f aca="false">IF(L9250-Assumptions!$E$35&lt;1,0,IFERROR(INDEX($C$9274:$N$9274,1,L9250-Assumptions!$E$35)/INDEX($C$9275:$N$9275,1,L9250-Assumptions!$E$35),0))</f>
        <v>0.388725970981282</v>
      </c>
      <c r="M9285" s="51" t="n">
        <f aca="false">IF(M9250-Assumptions!$E$35&lt;1,0,IFERROR(INDEX($C$9274:$N$9274,1,M9250-Assumptions!$E$35)/INDEX($C$9275:$N$9275,1,M9250-Assumptions!$E$35),0))</f>
        <v>0.400587048224893</v>
      </c>
      <c r="N9285" s="51" t="n">
        <f aca="false">IF(N9250-Assumptions!$E$35&lt;1,0,IFERROR(INDEX($C$9274:$N$9274,1,N9250-Assumptions!$E$35)/INDEX($C$9275:$N$9275,1,N9250-Assumptions!$E$35),0))</f>
        <v>0.412294251872474</v>
      </c>
      <c r="P9285" s="52"/>
      <c r="Q9285" s="52"/>
      <c r="R9285" s="52"/>
      <c r="S9285" s="53"/>
    </row>
    <row r="9286" customFormat="false" ht="15" hidden="false" customHeight="false" outlineLevel="0" collapsed="false">
      <c r="A9286" s="4" t="s">
        <v>520</v>
      </c>
      <c r="B9286" s="36" t="s">
        <v>516</v>
      </c>
      <c r="C9286" s="48" t="n">
        <f aca="false">C9282*Assumptions!$E$37</f>
        <v>0</v>
      </c>
      <c r="D9286" s="48" t="n">
        <f aca="false">D9282*Assumptions!$E$37</f>
        <v>0.371304190793066</v>
      </c>
      <c r="E9286" s="48" t="n">
        <f aca="false">E9282*Assumptions!$E$37</f>
        <v>0.636444450132171</v>
      </c>
      <c r="F9286" s="48" t="n">
        <f aca="false">F9282*Assumptions!$E$37</f>
        <v>0.702260319148266</v>
      </c>
      <c r="G9286" s="48" t="n">
        <f aca="false">G9282*Assumptions!$E$37</f>
        <v>0.769425845958432</v>
      </c>
      <c r="H9286" s="48" t="n">
        <f aca="false">H9282*Assumptions!$E$37</f>
        <v>0.990084335027117</v>
      </c>
      <c r="I9286" s="48" t="n">
        <f aca="false">I9282*Assumptions!$E$37</f>
        <v>1.1961902850337</v>
      </c>
      <c r="J9286" s="48" t="n">
        <f aca="false">J9282*Assumptions!$E$37</f>
        <v>1.77029703751877</v>
      </c>
      <c r="K9286" s="48" t="n">
        <f aca="false">K9282*Assumptions!$E$37</f>
        <v>2.28992512866539</v>
      </c>
      <c r="L9286" s="48" t="n">
        <f aca="false">L9282*Assumptions!$E$37</f>
        <v>2.30619626639808</v>
      </c>
      <c r="M9286" s="48" t="n">
        <f aca="false">M9282*Assumptions!$E$37</f>
        <v>2.23791155231188</v>
      </c>
      <c r="N9286" s="48" t="n">
        <f aca="false">N9282*Assumptions!$E$37</f>
        <v>2.17436546558085</v>
      </c>
      <c r="P9286" s="49" t="n">
        <f aca="false">SUM(C9286:F9286)</f>
        <v>1.7100089600735</v>
      </c>
      <c r="Q9286" s="49" t="n">
        <f aca="false">SUM(G9286:J9286)</f>
        <v>4.72599750353802</v>
      </c>
      <c r="R9286" s="49" t="n">
        <f aca="false">SUM(K9286:N9286)</f>
        <v>9.0083984129562</v>
      </c>
      <c r="S9286" s="50" t="n">
        <f aca="false">SUM(P9286:R9286)</f>
        <v>15.4444048765677</v>
      </c>
    </row>
    <row r="9287" customFormat="false" ht="15" hidden="false" customHeight="false" outlineLevel="0" collapsed="false">
      <c r="A9287" s="4" t="s">
        <v>521</v>
      </c>
      <c r="B9287" s="36" t="s">
        <v>516</v>
      </c>
      <c r="C9287" s="48" t="n">
        <f aca="false">C9282*(1-Assumptions!$E$37)</f>
        <v>0</v>
      </c>
      <c r="D9287" s="48" t="n">
        <f aca="false">D9282*(1-Assumptions!$E$37)</f>
        <v>0.866376445183821</v>
      </c>
      <c r="E9287" s="48" t="n">
        <f aca="false">E9282*(1-Assumptions!$E$37)</f>
        <v>1.4850370503084</v>
      </c>
      <c r="F9287" s="48" t="n">
        <f aca="false">F9282*(1-Assumptions!$E$37)</f>
        <v>1.63860741134595</v>
      </c>
      <c r="G9287" s="48" t="n">
        <f aca="false">G9282*(1-Assumptions!$E$37)</f>
        <v>1.79532697390301</v>
      </c>
      <c r="H9287" s="48" t="n">
        <f aca="false">H9282*(1-Assumptions!$E$37)</f>
        <v>2.31019678172994</v>
      </c>
      <c r="I9287" s="48" t="n">
        <f aca="false">I9282*(1-Assumptions!$E$37)</f>
        <v>2.79111066507864</v>
      </c>
      <c r="J9287" s="48" t="n">
        <f aca="false">J9282*(1-Assumptions!$E$37)</f>
        <v>4.1306930875438</v>
      </c>
      <c r="K9287" s="48" t="n">
        <f aca="false">K9282*(1-Assumptions!$E$37)</f>
        <v>5.34315863355258</v>
      </c>
      <c r="L9287" s="48" t="n">
        <f aca="false">L9282*(1-Assumptions!$E$37)</f>
        <v>5.38112462159553</v>
      </c>
      <c r="M9287" s="48" t="n">
        <f aca="false">M9282*(1-Assumptions!$E$37)</f>
        <v>5.22179362206104</v>
      </c>
      <c r="N9287" s="48" t="n">
        <f aca="false">N9282*(1-Assumptions!$E$37)</f>
        <v>5.07351941968866</v>
      </c>
      <c r="P9287" s="49" t="n">
        <f aca="false">SUM(C9287:F9287)</f>
        <v>3.99002090683817</v>
      </c>
      <c r="Q9287" s="49" t="n">
        <f aca="false">SUM(G9287:J9287)</f>
        <v>11.0273275082554</v>
      </c>
      <c r="R9287" s="49" t="n">
        <f aca="false">SUM(K9287:N9287)</f>
        <v>21.0195962968978</v>
      </c>
      <c r="S9287" s="50" t="n">
        <f aca="false">SUM(P9287:R9287)</f>
        <v>36.0369447119914</v>
      </c>
    </row>
    <row r="9288" customFormat="false" ht="15" hidden="false" customHeight="false" outlineLevel="0" collapsed="false">
      <c r="A9288" s="4" t="s">
        <v>522</v>
      </c>
      <c r="B9288" s="36" t="s">
        <v>125</v>
      </c>
      <c r="C9288" s="54" t="n">
        <f aca="false">C9287*$C$9241+C9283*$C$9242+C9284*$C$9243</f>
        <v>0</v>
      </c>
      <c r="D9288" s="54" t="n">
        <f aca="false">D9287*$C$9241+D9283*$C$9242+D9284*$C$9243</f>
        <v>9179.26079437069</v>
      </c>
      <c r="E9288" s="54" t="n">
        <f aca="false">E9287*$C$9241+E9283*$C$9242+E9284*$C$9243</f>
        <v>20451.7793898072</v>
      </c>
      <c r="F9288" s="54" t="n">
        <f aca="false">F9287*$C$9241+F9283*$C$9242+F9284*$C$9243</f>
        <v>25447.7418805803</v>
      </c>
      <c r="G9288" s="54" t="n">
        <f aca="false">G9287*$C$9241+G9283*$C$9242+G9284*$C$9243</f>
        <v>27944.4454735263</v>
      </c>
      <c r="H9288" s="54" t="n">
        <f aca="false">H9287*$C$9241+H9283*$C$9242+H9284*$C$9243</f>
        <v>34013.9534952431</v>
      </c>
      <c r="I9288" s="54" t="n">
        <f aca="false">I9287*$C$9241+I9283*$C$9242+I9284*$C$9243</f>
        <v>40650.3781924594</v>
      </c>
      <c r="J9288" s="54" t="n">
        <f aca="false">J9287*$C$9241+J9283*$C$9242+J9284*$C$9243</f>
        <v>55047.2529531423</v>
      </c>
      <c r="K9288" s="54" t="n">
        <f aca="false">K9287*$C$9241+K9283*$C$9242+K9284*$C$9243</f>
        <v>71022.0461240637</v>
      </c>
      <c r="L9288" s="54" t="n">
        <f aca="false">L9287*$C$9241+L9283*$C$9242+L9284*$C$9243</f>
        <v>75498.863676471</v>
      </c>
      <c r="M9288" s="54" t="n">
        <f aca="false">M9287*$C$9241+M9283*$C$9242+M9284*$C$9243</f>
        <v>74058.6830774409</v>
      </c>
      <c r="N9288" s="54" t="n">
        <f aca="false">N9287*$C$9241+N9283*$C$9242+N9284*$C$9243</f>
        <v>71929.284391645</v>
      </c>
      <c r="P9288" s="55" t="n">
        <f aca="false">SUM(C9288:F9288)</f>
        <v>55078.7820647582</v>
      </c>
      <c r="Q9288" s="55" t="n">
        <f aca="false">SUM(G9288:J9288)</f>
        <v>157656.030114371</v>
      </c>
      <c r="R9288" s="55" t="n">
        <f aca="false">SUM(K9288:N9288)</f>
        <v>292508.877269621</v>
      </c>
      <c r="S9288" s="56" t="n">
        <f aca="false">SUM(P9288:R9288)</f>
        <v>505243.68944875</v>
      </c>
    </row>
    <row r="9289" customFormat="false" ht="15" hidden="false" customHeight="false" outlineLevel="0" collapsed="false">
      <c r="A9289" s="4" t="s">
        <v>523</v>
      </c>
      <c r="B9289" s="36" t="s">
        <v>125</v>
      </c>
      <c r="C9289" s="54" t="n">
        <f aca="false">(C9265+Assumptions!$D$104*C9251)*$C$9246</f>
        <v>306250</v>
      </c>
      <c r="D9289" s="54" t="n">
        <f aca="false">(D9265+Assumptions!$D$104*D9251)*$C$9246</f>
        <v>306250</v>
      </c>
      <c r="E9289" s="54" t="n">
        <f aca="false">(E9265+Assumptions!$D$104*E9251)*$C$9246</f>
        <v>306250</v>
      </c>
      <c r="F9289" s="54" t="n">
        <f aca="false">(F9265+Assumptions!$D$104*F9251)*$C$9246</f>
        <v>306250</v>
      </c>
      <c r="G9289" s="54" t="n">
        <f aca="false">(G9265+Assumptions!$D$104*G9251)*$C$9246</f>
        <v>306250</v>
      </c>
      <c r="H9289" s="54" t="n">
        <f aca="false">(H9265+Assumptions!$D$104*H9251)*$C$9246</f>
        <v>306250</v>
      </c>
      <c r="I9289" s="54" t="n">
        <f aca="false">(I9265+Assumptions!$D$104*I9251)*$C$9246</f>
        <v>306250</v>
      </c>
      <c r="J9289" s="54" t="n">
        <f aca="false">(J9265+Assumptions!$D$104*J9251)*$C$9246</f>
        <v>306250</v>
      </c>
      <c r="K9289" s="54" t="n">
        <f aca="false">(K9265+Assumptions!$D$104*K9251)*$C$9246</f>
        <v>306250</v>
      </c>
      <c r="L9289" s="54" t="n">
        <f aca="false">(L9265+Assumptions!$D$104*L9251)*$C$9246</f>
        <v>306250</v>
      </c>
      <c r="M9289" s="54" t="n">
        <f aca="false">(M9265+Assumptions!$D$104*M9251)*$C$9246</f>
        <v>306250</v>
      </c>
      <c r="N9289" s="54" t="n">
        <f aca="false">(N9265+Assumptions!$D$104*N9251)*$C$9246</f>
        <v>306250</v>
      </c>
      <c r="P9289" s="55" t="n">
        <f aca="false">SUM(C9289:F9289)</f>
        <v>1225000</v>
      </c>
      <c r="Q9289" s="55" t="n">
        <f aca="false">SUM(G9289:J9289)</f>
        <v>1225000</v>
      </c>
      <c r="R9289" s="55" t="n">
        <f aca="false">SUM(K9289:N9289)</f>
        <v>1225000</v>
      </c>
      <c r="S9289" s="56" t="n">
        <f aca="false">SUM(P9289:R9289)</f>
        <v>3675000</v>
      </c>
    </row>
    <row r="9290" customFormat="false" ht="15" hidden="false" customHeight="false" outlineLevel="0" collapsed="false">
      <c r="A9290" s="4" t="s">
        <v>524</v>
      </c>
      <c r="B9290" s="36" t="s">
        <v>77</v>
      </c>
      <c r="C9290" s="51" t="n">
        <f aca="false">IF(C9288&gt;0,MIN(1,C9289/C9288),1)</f>
        <v>1</v>
      </c>
      <c r="D9290" s="51" t="n">
        <f aca="false">IF(D9288&gt;0,MIN(1,D9289/D9288),1)</f>
        <v>1</v>
      </c>
      <c r="E9290" s="51" t="n">
        <f aca="false">IF(E9288&gt;0,MIN(1,E9289/E9288),1)</f>
        <v>1</v>
      </c>
      <c r="F9290" s="51" t="n">
        <f aca="false">IF(F9288&gt;0,MIN(1,F9289/F9288),1)</f>
        <v>1</v>
      </c>
      <c r="G9290" s="51" t="n">
        <f aca="false">IF(G9288&gt;0,MIN(1,G9289/G9288),1)</f>
        <v>1</v>
      </c>
      <c r="H9290" s="51" t="n">
        <f aca="false">IF(H9288&gt;0,MIN(1,H9289/H9288),1)</f>
        <v>1</v>
      </c>
      <c r="I9290" s="51" t="n">
        <f aca="false">IF(I9288&gt;0,MIN(1,I9289/I9288),1)</f>
        <v>1</v>
      </c>
      <c r="J9290" s="51" t="n">
        <f aca="false">IF(J9288&gt;0,MIN(1,J9289/J9288),1)</f>
        <v>1</v>
      </c>
      <c r="K9290" s="51" t="n">
        <f aca="false">IF(K9288&gt;0,MIN(1,K9289/K9288),1)</f>
        <v>1</v>
      </c>
      <c r="L9290" s="51" t="n">
        <f aca="false">IF(L9288&gt;0,MIN(1,L9289/L9288),1)</f>
        <v>1</v>
      </c>
      <c r="M9290" s="51" t="n">
        <f aca="false">IF(M9288&gt;0,MIN(1,M9289/M9288),1)</f>
        <v>1</v>
      </c>
      <c r="N9290" s="51" t="n">
        <f aca="false">IF(N9288&gt;0,MIN(1,N9289/N9288),1)</f>
        <v>1</v>
      </c>
      <c r="P9290" s="52"/>
      <c r="Q9290" s="52"/>
      <c r="R9290" s="52"/>
      <c r="S9290" s="53"/>
    </row>
    <row r="9291" customFormat="false" ht="15" hidden="false" customHeight="false" outlineLevel="0" collapsed="false">
      <c r="A9291" s="4" t="s">
        <v>525</v>
      </c>
      <c r="B9291" s="36" t="s">
        <v>125</v>
      </c>
      <c r="C9291" s="54" t="n">
        <f aca="false">C9288*(1-C9290)</f>
        <v>0</v>
      </c>
      <c r="D9291" s="54" t="n">
        <f aca="false">D9288*(1-D9290)</f>
        <v>0</v>
      </c>
      <c r="E9291" s="54" t="n">
        <f aca="false">E9288*(1-E9290)</f>
        <v>0</v>
      </c>
      <c r="F9291" s="54" t="n">
        <f aca="false">F9288*(1-F9290)</f>
        <v>0</v>
      </c>
      <c r="G9291" s="54" t="n">
        <f aca="false">G9288*(1-G9290)</f>
        <v>0</v>
      </c>
      <c r="H9291" s="54" t="n">
        <f aca="false">H9288*(1-H9290)</f>
        <v>0</v>
      </c>
      <c r="I9291" s="54" t="n">
        <f aca="false">I9288*(1-I9290)</f>
        <v>0</v>
      </c>
      <c r="J9291" s="54" t="n">
        <f aca="false">J9288*(1-J9290)</f>
        <v>0</v>
      </c>
      <c r="K9291" s="54" t="n">
        <f aca="false">K9288*(1-K9290)</f>
        <v>0</v>
      </c>
      <c r="L9291" s="54" t="n">
        <f aca="false">L9288*(1-L9290)</f>
        <v>0</v>
      </c>
      <c r="M9291" s="54" t="n">
        <f aca="false">M9288*(1-M9290)</f>
        <v>0</v>
      </c>
      <c r="N9291" s="54" t="n">
        <f aca="false">N9288*(1-N9290)</f>
        <v>0</v>
      </c>
      <c r="P9291" s="55" t="n">
        <f aca="false">SUM(C9291:F9291)</f>
        <v>0</v>
      </c>
      <c r="Q9291" s="55" t="n">
        <f aca="false">SUM(G9291:J9291)</f>
        <v>0</v>
      </c>
      <c r="R9291" s="55" t="n">
        <f aca="false">SUM(K9291:N9291)</f>
        <v>0</v>
      </c>
      <c r="S9291" s="56" t="n">
        <f aca="false">SUM(P9291:R9291)</f>
        <v>0</v>
      </c>
    </row>
    <row r="9292" customFormat="false" ht="15" hidden="false" customHeight="false" outlineLevel="0" collapsed="false">
      <c r="A9292" s="4" t="s">
        <v>526</v>
      </c>
      <c r="B9292" s="36" t="s">
        <v>527</v>
      </c>
      <c r="C9292" s="48" t="n">
        <f aca="false">C9286+C9287*C9290</f>
        <v>0</v>
      </c>
      <c r="D9292" s="48" t="n">
        <f aca="false">D9286+D9287*D9290</f>
        <v>1.23768063597689</v>
      </c>
      <c r="E9292" s="48" t="n">
        <f aca="false">E9286+E9287*E9290</f>
        <v>2.12148150044057</v>
      </c>
      <c r="F9292" s="48" t="n">
        <f aca="false">F9286+F9287*F9290</f>
        <v>2.34086773049422</v>
      </c>
      <c r="G9292" s="48" t="n">
        <f aca="false">G9286+G9287*G9290</f>
        <v>2.56475281986144</v>
      </c>
      <c r="H9292" s="48" t="n">
        <f aca="false">H9286+H9287*H9290</f>
        <v>3.30028111675706</v>
      </c>
      <c r="I9292" s="48" t="n">
        <f aca="false">I9286+I9287*I9290</f>
        <v>3.98730095011235</v>
      </c>
      <c r="J9292" s="48" t="n">
        <f aca="false">J9286+J9287*J9290</f>
        <v>5.90099012506257</v>
      </c>
      <c r="K9292" s="48" t="n">
        <f aca="false">K9286+K9287*K9290</f>
        <v>7.63308376221796</v>
      </c>
      <c r="L9292" s="48" t="n">
        <f aca="false">L9286+L9287*L9290</f>
        <v>7.68732088799361</v>
      </c>
      <c r="M9292" s="48" t="n">
        <f aca="false">M9286+M9287*M9290</f>
        <v>7.45970517437292</v>
      </c>
      <c r="N9292" s="48" t="n">
        <f aca="false">N9286+N9287*N9290</f>
        <v>7.24788488526951</v>
      </c>
      <c r="P9292" s="49" t="n">
        <f aca="false">SUM(C9292:F9292)</f>
        <v>5.70002986691168</v>
      </c>
      <c r="Q9292" s="49" t="n">
        <f aca="false">SUM(G9292:J9292)</f>
        <v>15.7533250117934</v>
      </c>
      <c r="R9292" s="49" t="n">
        <f aca="false">SUM(K9292:N9292)</f>
        <v>30.027994709854</v>
      </c>
      <c r="S9292" s="50" t="n">
        <f aca="false">SUM(P9292:R9292)</f>
        <v>51.4813495885591</v>
      </c>
    </row>
    <row r="9293" customFormat="false" ht="15" hidden="false" customHeight="false" outlineLevel="0" collapsed="false">
      <c r="A9293" s="4" t="s">
        <v>528</v>
      </c>
      <c r="B9293" s="36" t="s">
        <v>527</v>
      </c>
      <c r="C9293" s="48" t="n">
        <f aca="false">C9283*C9290</f>
        <v>0</v>
      </c>
      <c r="D9293" s="48" t="n">
        <f aca="false">D9283*D9290</f>
        <v>0.620121391810208</v>
      </c>
      <c r="E9293" s="48" t="n">
        <f aca="false">E9283*E9290</f>
        <v>1.06293661103815</v>
      </c>
      <c r="F9293" s="48" t="n">
        <f aca="false">F9283*F9290</f>
        <v>1.17285680399446</v>
      </c>
      <c r="G9293" s="48" t="n">
        <f aca="false">G9283*G9290</f>
        <v>1.28503108319724</v>
      </c>
      <c r="H9293" s="48" t="n">
        <f aca="false">H9283*H9290</f>
        <v>1.62093594703262</v>
      </c>
      <c r="I9293" s="48" t="n">
        <f aca="false">I9283*I9290</f>
        <v>1.93554080249468</v>
      </c>
      <c r="J9293" s="48" t="n">
        <f aca="false">J9283*J9290</f>
        <v>2.69430125890505</v>
      </c>
      <c r="K9293" s="48" t="n">
        <f aca="false">K9283*K9290</f>
        <v>3.39401653647091</v>
      </c>
      <c r="L9293" s="48" t="n">
        <f aca="false">L9283*L9290</f>
        <v>3.41813283173343</v>
      </c>
      <c r="M9293" s="48" t="n">
        <f aca="false">M9283*M9290</f>
        <v>3.31692452326273</v>
      </c>
      <c r="N9293" s="48" t="n">
        <f aca="false">N9283*N9290</f>
        <v>3.22273957961839</v>
      </c>
      <c r="P9293" s="49" t="n">
        <f aca="false">SUM(C9293:F9293)</f>
        <v>2.85591480684281</v>
      </c>
      <c r="Q9293" s="49" t="n">
        <f aca="false">SUM(G9293:J9293)</f>
        <v>7.53580909162959</v>
      </c>
      <c r="R9293" s="49" t="n">
        <f aca="false">SUM(K9293:N9293)</f>
        <v>13.3518134710855</v>
      </c>
      <c r="S9293" s="50" t="n">
        <f aca="false">SUM(P9293:R9293)</f>
        <v>23.7435373695579</v>
      </c>
    </row>
    <row r="9294" customFormat="false" ht="15" hidden="false" customHeight="false" outlineLevel="0" collapsed="false">
      <c r="A9294" s="4" t="s">
        <v>529</v>
      </c>
      <c r="B9294" s="36" t="s">
        <v>527</v>
      </c>
      <c r="C9294" s="48" t="n">
        <f aca="false">C9284*C9290</f>
        <v>0</v>
      </c>
      <c r="D9294" s="48" t="n">
        <f aca="false">D9284*D9290</f>
        <v>0</v>
      </c>
      <c r="E9294" s="48" t="n">
        <f aca="false">E9284*E9290</f>
        <v>0.101822401371306</v>
      </c>
      <c r="F9294" s="48" t="n">
        <f aca="false">F9284*F9290</f>
        <v>0.174531566997622</v>
      </c>
      <c r="G9294" s="48" t="n">
        <f aca="false">G9284*G9290</f>
        <v>0.192580191273164</v>
      </c>
      <c r="H9294" s="48" t="n">
        <f aca="false">H9284*H9290</f>
        <v>0.210998930944732</v>
      </c>
      <c r="I9294" s="48" t="n">
        <f aca="false">I9284*I9290</f>
        <v>0.248942818655125</v>
      </c>
      <c r="J9294" s="48" t="n">
        <f aca="false">J9284*J9290</f>
        <v>0.284974457636671</v>
      </c>
      <c r="K9294" s="48" t="n">
        <f aca="false">K9284*K9290</f>
        <v>0.379079522453141</v>
      </c>
      <c r="L9294" s="48" t="n">
        <f aca="false">L9284*L9290</f>
        <v>0.467502666891324</v>
      </c>
      <c r="M9294" s="48" t="n">
        <f aca="false">M9284*M9290</f>
        <v>0.470824522347718</v>
      </c>
      <c r="N9294" s="48" t="n">
        <f aca="false">N9284*N9290</f>
        <v>0.456883767017512</v>
      </c>
      <c r="P9294" s="49" t="n">
        <f aca="false">SUM(C9294:F9294)</f>
        <v>0.276353968368928</v>
      </c>
      <c r="Q9294" s="49" t="n">
        <f aca="false">SUM(G9294:J9294)</f>
        <v>0.937496398509692</v>
      </c>
      <c r="R9294" s="49" t="n">
        <f aca="false">SUM(K9294:N9294)</f>
        <v>1.7742904787097</v>
      </c>
      <c r="S9294" s="50" t="n">
        <f aca="false">SUM(P9294:R9294)</f>
        <v>2.98814084558832</v>
      </c>
    </row>
    <row r="9295" customFormat="false" ht="15" hidden="false" customHeight="false" outlineLevel="0" collapsed="false">
      <c r="A9295" s="9" t="s">
        <v>530</v>
      </c>
      <c r="B9295" s="36" t="s">
        <v>527</v>
      </c>
      <c r="C9295" s="49" t="n">
        <f aca="false">C9292+C9293+C9294</f>
        <v>0</v>
      </c>
      <c r="D9295" s="49" t="n">
        <f aca="false">D9292+D9293+D9294</f>
        <v>1.85780202778709</v>
      </c>
      <c r="E9295" s="49" t="n">
        <f aca="false">E9292+E9293+E9294</f>
        <v>3.28624051285003</v>
      </c>
      <c r="F9295" s="49" t="n">
        <f aca="false">F9292+F9293+F9294</f>
        <v>3.6882561014863</v>
      </c>
      <c r="G9295" s="49" t="n">
        <f aca="false">G9292+G9293+G9294</f>
        <v>4.04236409433185</v>
      </c>
      <c r="H9295" s="49" t="n">
        <f aca="false">H9292+H9293+H9294</f>
        <v>5.13221599473441</v>
      </c>
      <c r="I9295" s="49" t="n">
        <f aca="false">I9292+I9293+I9294</f>
        <v>6.17178457126216</v>
      </c>
      <c r="J9295" s="49" t="n">
        <f aca="false">J9292+J9293+J9294</f>
        <v>8.88026584160429</v>
      </c>
      <c r="K9295" s="49" t="n">
        <f aca="false">K9292+K9293+K9294</f>
        <v>11.406179821142</v>
      </c>
      <c r="L9295" s="49" t="n">
        <f aca="false">L9292+L9293+L9294</f>
        <v>11.5729563866184</v>
      </c>
      <c r="M9295" s="49" t="n">
        <f aca="false">M9292+M9293+M9294</f>
        <v>11.2474542199834</v>
      </c>
      <c r="N9295" s="49" t="n">
        <f aca="false">N9292+N9293+N9294</f>
        <v>10.9275082319054</v>
      </c>
      <c r="P9295" s="49" t="n">
        <f aca="false">SUM(C9295:F9295)</f>
        <v>8.83229864212342</v>
      </c>
      <c r="Q9295" s="49" t="n">
        <f aca="false">SUM(G9295:J9295)</f>
        <v>24.2266305019327</v>
      </c>
      <c r="R9295" s="49" t="n">
        <f aca="false">SUM(K9295:N9295)</f>
        <v>45.1540986596492</v>
      </c>
      <c r="S9295" s="50" t="n">
        <f aca="false">SUM(P9295:R9295)</f>
        <v>78.2130278037053</v>
      </c>
    </row>
    <row r="9296" customFormat="false" ht="15" hidden="false" customHeight="false" outlineLevel="0" collapsed="false">
      <c r="A9296" s="35" t="s">
        <v>533</v>
      </c>
      <c r="B9296" s="35" t="s">
        <v>444</v>
      </c>
      <c r="C9296" s="6" t="s">
        <v>354</v>
      </c>
      <c r="D9296" s="6" t="s">
        <v>355</v>
      </c>
      <c r="E9296" s="6" t="s">
        <v>356</v>
      </c>
      <c r="F9296" s="6" t="s">
        <v>357</v>
      </c>
      <c r="G9296" s="6" t="s">
        <v>358</v>
      </c>
      <c r="H9296" s="6" t="s">
        <v>359</v>
      </c>
      <c r="I9296" s="6" t="s">
        <v>360</v>
      </c>
      <c r="J9296" s="6" t="s">
        <v>361</v>
      </c>
      <c r="K9296" s="6" t="s">
        <v>362</v>
      </c>
      <c r="L9296" s="6" t="s">
        <v>363</v>
      </c>
      <c r="M9296" s="6" t="s">
        <v>364</v>
      </c>
      <c r="N9296" s="6" t="s">
        <v>365</v>
      </c>
      <c r="P9296" s="6" t="s">
        <v>445</v>
      </c>
      <c r="Q9296" s="6" t="s">
        <v>446</v>
      </c>
      <c r="R9296" s="6" t="s">
        <v>447</v>
      </c>
      <c r="S9296" s="6" t="s">
        <v>448</v>
      </c>
    </row>
    <row r="9297" customFormat="false" ht="15" hidden="false" customHeight="false" outlineLevel="0" collapsed="false">
      <c r="A9297" s="4" t="s">
        <v>534</v>
      </c>
      <c r="B9297" s="36" t="s">
        <v>527</v>
      </c>
      <c r="C9297" s="48" t="n">
        <f aca="false">0*Assumptions!$E$59^(1/4)+C9292</f>
        <v>0</v>
      </c>
      <c r="D9297" s="48" t="n">
        <f aca="false">C9297*Assumptions!$E$59^(1/4)+D9292</f>
        <v>1.23768063597689</v>
      </c>
      <c r="E9297" s="48" t="n">
        <f aca="false">D9297*Assumptions!$E$59^(1/4)+E9292</f>
        <v>3.32023327840576</v>
      </c>
      <c r="F9297" s="48" t="n">
        <f aca="false">E9297*Assumptions!$E$59^(1/4)+F9292</f>
        <v>5.55666947292562</v>
      </c>
      <c r="G9297" s="48" t="n">
        <f aca="false">F9297*Assumptions!$E$59^(1/4)+G9292</f>
        <v>7.94664796842451</v>
      </c>
      <c r="H9297" s="48" t="n">
        <f aca="false">G9297*Assumptions!$E$59^(1/4)+H9292</f>
        <v>10.996982595401</v>
      </c>
      <c r="I9297" s="48" t="n">
        <f aca="false">H9297*Assumptions!$E$59^(1/4)+I9292</f>
        <v>14.638394661443</v>
      </c>
      <c r="J9297" s="48" t="n">
        <f aca="false">I9297*Assumptions!$E$59^(1/4)+J9292</f>
        <v>20.0789623069661</v>
      </c>
      <c r="K9297" s="48" t="n">
        <f aca="false">J9297*Assumptions!$E$59^(1/4)+K9292</f>
        <v>27.080501024405</v>
      </c>
      <c r="L9297" s="48" t="n">
        <f aca="false">K9297*Assumptions!$E$59^(1/4)+L9292</f>
        <v>33.9160569670477</v>
      </c>
      <c r="M9297" s="48" t="n">
        <f aca="false">L9297*Assumptions!$E$59^(1/4)+M9292</f>
        <v>40.3089979636448</v>
      </c>
      <c r="N9297" s="48" t="n">
        <f aca="false">M9297*Assumptions!$E$59^(1/4)+N9292</f>
        <v>46.2890410384281</v>
      </c>
      <c r="P9297" s="49" t="n">
        <f aca="false">F9297</f>
        <v>5.55666947292562</v>
      </c>
      <c r="Q9297" s="49" t="n">
        <f aca="false">J9297</f>
        <v>20.0789623069661</v>
      </c>
      <c r="R9297" s="49" t="n">
        <f aca="false">N9297</f>
        <v>46.2890410384281</v>
      </c>
      <c r="S9297" s="50" t="n">
        <f aca="false">R9297</f>
        <v>46.2890410384281</v>
      </c>
    </row>
    <row r="9298" customFormat="false" ht="15" hidden="false" customHeight="false" outlineLevel="0" collapsed="false">
      <c r="A9298" s="4" t="s">
        <v>535</v>
      </c>
      <c r="B9298" s="36" t="s">
        <v>527</v>
      </c>
      <c r="C9298" s="48" t="n">
        <f aca="false">0*Assumptions!$E$60^(1/4)+C9293</f>
        <v>0</v>
      </c>
      <c r="D9298" s="48" t="n">
        <f aca="false">C9298*Assumptions!$E$60^(1/4)+D9293</f>
        <v>0.620121391810208</v>
      </c>
      <c r="E9298" s="48" t="n">
        <f aca="false">D9298*Assumptions!$E$60^(1/4)+E9293</f>
        <v>1.66693716989976</v>
      </c>
      <c r="F9298" s="48" t="n">
        <f aca="false">E9298*Assumptions!$E$60^(1/4)+F9293</f>
        <v>2.79645985253241</v>
      </c>
      <c r="G9298" s="48" t="n">
        <f aca="false">F9298*Assumptions!$E$60^(1/4)+G9293</f>
        <v>4.00879345629174</v>
      </c>
      <c r="H9298" s="48" t="n">
        <f aca="false">G9298*Assumptions!$E$60^(1/4)+H9293</f>
        <v>5.52551579210599</v>
      </c>
      <c r="I9298" s="48" t="n">
        <f aca="false">H9298*Assumptions!$E$60^(1/4)+I9293</f>
        <v>7.31741388493806</v>
      </c>
      <c r="J9298" s="48" t="n">
        <f aca="false">I9298*Assumptions!$E$60^(1/4)+J9293</f>
        <v>9.8214897969792</v>
      </c>
      <c r="K9298" s="48" t="n">
        <f aca="false">J9298*Assumptions!$E$60^(1/4)+K9293</f>
        <v>12.9601843942065</v>
      </c>
      <c r="L9298" s="48" t="n">
        <f aca="false">K9298*Assumptions!$E$60^(1/4)+L9293</f>
        <v>16.0414009860532</v>
      </c>
      <c r="M9298" s="48" t="n">
        <f aca="false">L9298*Assumptions!$E$60^(1/4)+M9293</f>
        <v>18.941309181589</v>
      </c>
      <c r="N9298" s="48" t="n">
        <f aca="false">M9298*Assumptions!$E$60^(1/4)+N9293</f>
        <v>21.671645684686</v>
      </c>
      <c r="P9298" s="49" t="n">
        <f aca="false">F9298</f>
        <v>2.79645985253241</v>
      </c>
      <c r="Q9298" s="49" t="n">
        <f aca="false">J9298</f>
        <v>9.8214897969792</v>
      </c>
      <c r="R9298" s="49" t="n">
        <f aca="false">N9298</f>
        <v>21.671645684686</v>
      </c>
      <c r="S9298" s="50" t="n">
        <f aca="false">R9298</f>
        <v>21.671645684686</v>
      </c>
    </row>
    <row r="9299" customFormat="false" ht="15" hidden="false" customHeight="false" outlineLevel="0" collapsed="false">
      <c r="A9299" s="4" t="s">
        <v>536</v>
      </c>
      <c r="B9299" s="36" t="s">
        <v>527</v>
      </c>
      <c r="C9299" s="48" t="n">
        <f aca="false">0*Assumptions!$E$61^(1/4)+C9294</f>
        <v>0</v>
      </c>
      <c r="D9299" s="48" t="n">
        <f aca="false">C9299*Assumptions!$E$61^(1/4)+D9294</f>
        <v>0</v>
      </c>
      <c r="E9299" s="48" t="n">
        <f aca="false">D9299*Assumptions!$E$61^(1/4)+E9294</f>
        <v>0.101822401371306</v>
      </c>
      <c r="F9299" s="48" t="n">
        <f aca="false">E9299*Assumptions!$E$61^(1/4)+F9294</f>
        <v>0.274253409020692</v>
      </c>
      <c r="G9299" s="48" t="n">
        <f aca="false">F9299*Assumptions!$E$61^(1/4)+G9294</f>
        <v>0.461175851563268</v>
      </c>
      <c r="H9299" s="48" t="n">
        <f aca="false">G9299*Assumptions!$E$61^(1/4)+H9294</f>
        <v>0.662660891329484</v>
      </c>
      <c r="I9299" s="48" t="n">
        <f aca="false">H9299*Assumptions!$E$61^(1/4)+I9294</f>
        <v>0.897933255239426</v>
      </c>
      <c r="J9299" s="48" t="n">
        <f aca="false">I9299*Assumptions!$E$61^(1/4)+J9294</f>
        <v>1.16438367427572</v>
      </c>
      <c r="K9299" s="48" t="n">
        <f aca="false">J9299*Assumptions!$E$61^(1/4)+K9294</f>
        <v>1.51944238226178</v>
      </c>
      <c r="L9299" s="48" t="n">
        <f aca="false">K9299*Assumptions!$E$61^(1/4)+L9294</f>
        <v>1.95559950183561</v>
      </c>
      <c r="M9299" s="48" t="n">
        <f aca="false">L9299*Assumptions!$E$61^(1/4)+M9294</f>
        <v>2.3860807130881</v>
      </c>
      <c r="N9299" s="48" t="n">
        <f aca="false">M9299*Assumptions!$E$61^(1/4)+N9294</f>
        <v>2.79374049717041</v>
      </c>
      <c r="P9299" s="49" t="n">
        <f aca="false">F9299</f>
        <v>0.274253409020692</v>
      </c>
      <c r="Q9299" s="49" t="n">
        <f aca="false">J9299</f>
        <v>1.16438367427572</v>
      </c>
      <c r="R9299" s="49" t="n">
        <f aca="false">N9299</f>
        <v>2.79374049717041</v>
      </c>
      <c r="S9299" s="50" t="n">
        <f aca="false">R9299</f>
        <v>2.79374049717041</v>
      </c>
    </row>
    <row r="9300" customFormat="false" ht="15" hidden="false" customHeight="false" outlineLevel="0" collapsed="false">
      <c r="A9300" s="9" t="s">
        <v>537</v>
      </c>
      <c r="B9300" s="36" t="s">
        <v>527</v>
      </c>
      <c r="C9300" s="49" t="n">
        <f aca="false">C9297+C9298+C9299</f>
        <v>0</v>
      </c>
      <c r="D9300" s="49" t="n">
        <f aca="false">D9297+D9298+D9299</f>
        <v>1.85780202778709</v>
      </c>
      <c r="E9300" s="49" t="n">
        <f aca="false">E9297+E9298+E9299</f>
        <v>5.08899284967682</v>
      </c>
      <c r="F9300" s="49" t="n">
        <f aca="false">F9297+F9298+F9299</f>
        <v>8.62738273447872</v>
      </c>
      <c r="G9300" s="49" t="n">
        <f aca="false">G9297+G9298+G9299</f>
        <v>12.4166172762795</v>
      </c>
      <c r="H9300" s="49" t="n">
        <f aca="false">H9297+H9298+H9299</f>
        <v>17.1851592788365</v>
      </c>
      <c r="I9300" s="49" t="n">
        <f aca="false">I9297+I9298+I9299</f>
        <v>22.8537418016205</v>
      </c>
      <c r="J9300" s="49" t="n">
        <f aca="false">J9297+J9298+J9299</f>
        <v>31.064835778221</v>
      </c>
      <c r="K9300" s="49" t="n">
        <f aca="false">K9297+K9298+K9299</f>
        <v>41.5601278008733</v>
      </c>
      <c r="L9300" s="49" t="n">
        <f aca="false">L9297+L9298+L9299</f>
        <v>51.9130574549365</v>
      </c>
      <c r="M9300" s="49" t="n">
        <f aca="false">M9297+M9298+M9299</f>
        <v>61.6363878583219</v>
      </c>
      <c r="N9300" s="49" t="n">
        <f aca="false">N9297+N9298+N9299</f>
        <v>70.7544272202844</v>
      </c>
      <c r="P9300" s="49" t="n">
        <f aca="false">F9300</f>
        <v>8.62738273447872</v>
      </c>
      <c r="Q9300" s="49" t="n">
        <f aca="false">J9300</f>
        <v>31.064835778221</v>
      </c>
      <c r="R9300" s="49" t="n">
        <f aca="false">N9300</f>
        <v>70.7544272202844</v>
      </c>
      <c r="S9300" s="50" t="n">
        <f aca="false">R9300</f>
        <v>70.7544272202844</v>
      </c>
    </row>
    <row r="9301" customFormat="false" ht="15" hidden="false" customHeight="false" outlineLevel="0" collapsed="false">
      <c r="A9301" s="4" t="s">
        <v>538</v>
      </c>
      <c r="B9301" s="36" t="s">
        <v>125</v>
      </c>
      <c r="C9301" s="54" t="n">
        <f aca="false">0*Assumptions!$E$62^(1/4)+C9292*$C$9241</f>
        <v>0</v>
      </c>
      <c r="D9301" s="54" t="n">
        <f aca="false">C9301*Assumptions!$E$62^(1/4)+D9292*$C$9241</f>
        <v>6624.0667637483</v>
      </c>
      <c r="E9301" s="54" t="n">
        <f aca="false">D9301*Assumptions!$E$62^(1/4)+E9292*$C$9241</f>
        <v>17978.2357541062</v>
      </c>
      <c r="F9301" s="54" t="n">
        <f aca="false">E9301*Assumptions!$E$62^(1/4)+F9292*$C$9241</f>
        <v>30506.5598477113</v>
      </c>
      <c r="G9301" s="54" t="n">
        <f aca="false">F9301*Assumptions!$E$62^(1/4)+G9292*$C$9241</f>
        <v>44233.1169396097</v>
      </c>
      <c r="H9301" s="54" t="n">
        <f aca="false">G9301*Assumptions!$E$62^(1/4)+H9292*$C$9241</f>
        <v>61896.2214764935</v>
      </c>
      <c r="I9301" s="54" t="n">
        <f aca="false">H9301*Assumptions!$E$62^(1/4)+I9292*$C$9241</f>
        <v>83236.2561614948</v>
      </c>
      <c r="J9301" s="54" t="n">
        <f aca="false">I9301*Assumptions!$E$62^(1/4)+J9292*$C$9241</f>
        <v>114818.35531083</v>
      </c>
      <c r="K9301" s="54" t="n">
        <f aca="false">J9301*Assumptions!$E$62^(1/4)+K9292*$C$9241</f>
        <v>155670.61960622</v>
      </c>
      <c r="L9301" s="54" t="n">
        <f aca="false">K9301*Assumptions!$E$62^(1/4)+L9292*$C$9241</f>
        <v>196813.160998762</v>
      </c>
      <c r="M9301" s="54" t="n">
        <f aca="false">L9301*Assumptions!$E$62^(1/4)+M9292*$C$9241</f>
        <v>236737.503092006</v>
      </c>
      <c r="N9301" s="54" t="n">
        <f aca="false">M9301*Assumptions!$E$62^(1/4)+N9292*$C$9241</f>
        <v>275528.182997968</v>
      </c>
      <c r="P9301" s="55" t="n">
        <f aca="false">F9301</f>
        <v>30506.5598477113</v>
      </c>
      <c r="Q9301" s="55" t="n">
        <f aca="false">J9301</f>
        <v>114818.35531083</v>
      </c>
      <c r="R9301" s="55" t="n">
        <f aca="false">N9301</f>
        <v>275528.182997968</v>
      </c>
      <c r="S9301" s="56" t="n">
        <f aca="false">R9301</f>
        <v>275528.182997968</v>
      </c>
    </row>
    <row r="9302" customFormat="false" ht="15" hidden="false" customHeight="false" outlineLevel="0" collapsed="false">
      <c r="A9302" s="4" t="s">
        <v>539</v>
      </c>
      <c r="B9302" s="36" t="s">
        <v>125</v>
      </c>
      <c r="C9302" s="54" t="n">
        <f aca="false">0*Assumptions!$E$63^(1/4)+C9293*$C$9242</f>
        <v>0</v>
      </c>
      <c r="D9302" s="54" t="n">
        <f aca="false">C9302*Assumptions!$E$63^(1/4)+D9293*$C$9242</f>
        <v>4542.41405974688</v>
      </c>
      <c r="E9302" s="54" t="n">
        <f aca="false">D9302*Assumptions!$E$63^(1/4)+E9293*$C$9242</f>
        <v>12395.1220408543</v>
      </c>
      <c r="F9302" s="54" t="n">
        <f aca="false">E9302*Assumptions!$E$63^(1/4)+F9293*$C$9242</f>
        <v>21168.229271711</v>
      </c>
      <c r="G9302" s="54" t="n">
        <f aca="false">F9302*Assumptions!$E$63^(1/4)+G9293*$C$9242</f>
        <v>30891.7528214579</v>
      </c>
      <c r="H9302" s="54" t="n">
        <f aca="false">G9302*Assumptions!$E$63^(1/4)+H9293*$C$9242</f>
        <v>43218.4744562162</v>
      </c>
      <c r="I9302" s="54" t="n">
        <f aca="false">H9302*Assumptions!$E$63^(1/4)+I9293*$C$9242</f>
        <v>58030.5696888402</v>
      </c>
      <c r="J9302" s="54" t="n">
        <f aca="false">I9302*Assumptions!$E$63^(1/4)+J9293*$C$9242</f>
        <v>78617.9660952364</v>
      </c>
      <c r="K9302" s="54" t="n">
        <f aca="false">J9302*Assumptions!$E$63^(1/4)+K9293*$C$9242</f>
        <v>104632.901253862</v>
      </c>
      <c r="L9302" s="54" t="n">
        <f aca="false">K9302*Assumptions!$E$63^(1/4)+L9293*$C$9242</f>
        <v>131206.228398871</v>
      </c>
      <c r="M9302" s="54" t="n">
        <f aca="false">L9302*Assumptions!$E$63^(1/4)+M9293*$C$9242</f>
        <v>157428.133540942</v>
      </c>
      <c r="N9302" s="54" t="n">
        <f aca="false">M9302*Assumptions!$E$63^(1/4)+N9293*$C$9242</f>
        <v>183344.90639663</v>
      </c>
      <c r="P9302" s="55" t="n">
        <f aca="false">F9302</f>
        <v>21168.229271711</v>
      </c>
      <c r="Q9302" s="55" t="n">
        <f aca="false">J9302</f>
        <v>78617.9660952364</v>
      </c>
      <c r="R9302" s="55" t="n">
        <f aca="false">N9302</f>
        <v>183344.90639663</v>
      </c>
      <c r="S9302" s="56" t="n">
        <f aca="false">R9302</f>
        <v>183344.90639663</v>
      </c>
    </row>
    <row r="9303" customFormat="false" ht="15" hidden="false" customHeight="false" outlineLevel="0" collapsed="false">
      <c r="A9303" s="4" t="s">
        <v>540</v>
      </c>
      <c r="B9303" s="36" t="s">
        <v>125</v>
      </c>
      <c r="C9303" s="54" t="n">
        <f aca="false">0*Assumptions!$E$64^(1/4)+C9294*$C$9243</f>
        <v>0</v>
      </c>
      <c r="D9303" s="54" t="n">
        <f aca="false">C9303*Assumptions!$E$64^(1/4)+D9294*$C$9243</f>
        <v>0</v>
      </c>
      <c r="E9303" s="54" t="n">
        <f aca="false">D9303*Assumptions!$E$64^(1/4)+E9294*$C$9243</f>
        <v>4717.80780059628</v>
      </c>
      <c r="F9303" s="54" t="n">
        <f aca="false">E9303*Assumptions!$E$64^(1/4)+F9294*$C$9243</f>
        <v>12972.2558688044</v>
      </c>
      <c r="G9303" s="54" t="n">
        <f aca="false">F9303*Assumptions!$E$64^(1/4)+G9294*$C$9243</f>
        <v>22356.4756327569</v>
      </c>
      <c r="H9303" s="54" t="n">
        <f aca="false">G9303*Assumptions!$E$64^(1/4)+H9294*$C$9243</f>
        <v>32927.7884134845</v>
      </c>
      <c r="I9303" s="54" t="n">
        <f aca="false">H9303*Assumptions!$E$64^(1/4)+I9294*$C$9243</f>
        <v>45633.0771538012</v>
      </c>
      <c r="J9303" s="54" t="n">
        <f aca="false">I9303*Assumptions!$E$64^(1/4)+J9294*$C$9243</f>
        <v>60459.6203898445</v>
      </c>
      <c r="K9303" s="54" t="n">
        <f aca="false">J9303*Assumptions!$E$64^(1/4)+K9294*$C$9243</f>
        <v>80173.6020864915</v>
      </c>
      <c r="L9303" s="54" t="n">
        <f aca="false">K9303*Assumptions!$E$64^(1/4)+L9294*$C$9243</f>
        <v>104685.545803928</v>
      </c>
      <c r="M9303" s="54" t="n">
        <f aca="false">L9303*Assumptions!$E$64^(1/4)+M9294*$C$9243</f>
        <v>130223.000915483</v>
      </c>
      <c r="N9303" s="54" t="n">
        <f aca="false">M9303*Assumptions!$E$64^(1/4)+N9294*$C$9243</f>
        <v>156022.592139453</v>
      </c>
      <c r="P9303" s="55" t="n">
        <f aca="false">F9303</f>
        <v>12972.2558688044</v>
      </c>
      <c r="Q9303" s="55" t="n">
        <f aca="false">J9303</f>
        <v>60459.6203898445</v>
      </c>
      <c r="R9303" s="55" t="n">
        <f aca="false">N9303</f>
        <v>156022.592139453</v>
      </c>
      <c r="S9303" s="56" t="n">
        <f aca="false">R9303</f>
        <v>156022.592139453</v>
      </c>
    </row>
    <row r="9304" customFormat="false" ht="15" hidden="false" customHeight="false" outlineLevel="0" collapsed="false">
      <c r="A9304" s="9" t="s">
        <v>541</v>
      </c>
      <c r="B9304" s="36" t="s">
        <v>125</v>
      </c>
      <c r="C9304" s="55" t="n">
        <f aca="false">C9301+C9302+C9303</f>
        <v>0</v>
      </c>
      <c r="D9304" s="55" t="n">
        <f aca="false">D9301+D9302+D9303</f>
        <v>11166.4808234952</v>
      </c>
      <c r="E9304" s="55" t="n">
        <f aca="false">E9301+E9302+E9303</f>
        <v>35091.1655955568</v>
      </c>
      <c r="F9304" s="55" t="n">
        <f aca="false">F9301+F9302+F9303</f>
        <v>64647.0449882266</v>
      </c>
      <c r="G9304" s="55" t="n">
        <f aca="false">G9301+G9302+G9303</f>
        <v>97481.3453938245</v>
      </c>
      <c r="H9304" s="55" t="n">
        <f aca="false">H9301+H9302+H9303</f>
        <v>138042.484346194</v>
      </c>
      <c r="I9304" s="55" t="n">
        <f aca="false">I9301+I9302+I9303</f>
        <v>186899.903004136</v>
      </c>
      <c r="J9304" s="55" t="n">
        <f aca="false">J9301+J9302+J9303</f>
        <v>253895.941795911</v>
      </c>
      <c r="K9304" s="55" t="n">
        <f aca="false">K9301+K9302+K9303</f>
        <v>340477.122946573</v>
      </c>
      <c r="L9304" s="55" t="n">
        <f aca="false">L9301+L9302+L9303</f>
        <v>432704.935201561</v>
      </c>
      <c r="M9304" s="55" t="n">
        <f aca="false">M9301+M9302+M9303</f>
        <v>524388.63754843</v>
      </c>
      <c r="N9304" s="55" t="n">
        <f aca="false">N9301+N9302+N9303</f>
        <v>614895.681534051</v>
      </c>
      <c r="P9304" s="55" t="n">
        <f aca="false">F9304</f>
        <v>64647.0449882266</v>
      </c>
      <c r="Q9304" s="55" t="n">
        <f aca="false">J9304</f>
        <v>253895.941795911</v>
      </c>
      <c r="R9304" s="55" t="n">
        <f aca="false">N9304</f>
        <v>614895.681534051</v>
      </c>
      <c r="S9304" s="56" t="n">
        <f aca="false">R9304</f>
        <v>614895.681534051</v>
      </c>
    </row>
    <row r="9305" customFormat="false" ht="15" hidden="false" customHeight="false" outlineLevel="0" collapsed="false">
      <c r="A9305" s="4" t="s">
        <v>542</v>
      </c>
      <c r="B9305" s="36" t="s">
        <v>125</v>
      </c>
      <c r="C9305" s="54" t="n">
        <f aca="false">C9292*$C$9241+C9293*$C$9242+C9294*$C$9243</f>
        <v>0</v>
      </c>
      <c r="D9305" s="54" t="n">
        <f aca="false">D9292*$C$9241+D9293*$C$9242+D9294*$C$9243</f>
        <v>11166.4808234952</v>
      </c>
      <c r="E9305" s="54" t="n">
        <f aca="false">E9292*$C$9241+E9293*$C$9242+E9294*$C$9243</f>
        <v>23858.0300869146</v>
      </c>
      <c r="F9305" s="54" t="n">
        <f aca="false">F9292*$C$9241+F9293*$C$9242+F9294*$C$9243</f>
        <v>29206.2391086618</v>
      </c>
      <c r="G9305" s="54" t="n">
        <f aca="false">G9292*$C$9241+G9293*$C$9242+G9294*$C$9243</f>
        <v>32062.4126010959</v>
      </c>
      <c r="H9305" s="54" t="n">
        <f aca="false">H9292*$C$9241+H9293*$C$9242+H9294*$C$9243</f>
        <v>39312.8848563082</v>
      </c>
      <c r="I9305" s="54" t="n">
        <f aca="false">I9292*$C$9241+I9293*$C$9242+I9294*$C$9243</f>
        <v>47052.3885979598</v>
      </c>
      <c r="J9305" s="54" t="n">
        <f aca="false">J9292*$C$9241+J9293*$C$9242+J9294*$C$9243</f>
        <v>64521.8826979427</v>
      </c>
      <c r="K9305" s="54" t="n">
        <f aca="false">K9292*$C$9241+K9293*$C$9242+K9294*$C$9243</f>
        <v>83277.7254126809</v>
      </c>
      <c r="L9305" s="54" t="n">
        <f aca="false">L9292*$C$9241+L9293*$C$9242+L9294*$C$9243</f>
        <v>87841.6260942335</v>
      </c>
      <c r="M9305" s="54" t="n">
        <f aca="false">M9292*$C$9241+M9293*$C$9242+M9294*$C$9243</f>
        <v>86035.985705414</v>
      </c>
      <c r="N9305" s="54" t="n">
        <f aca="false">N9292*$C$9241+N9293*$C$9242+N9294*$C$9243</f>
        <v>83566.4883634337</v>
      </c>
      <c r="P9305" s="55" t="n">
        <f aca="false">SUM(C9305:F9305)</f>
        <v>64230.7500190716</v>
      </c>
      <c r="Q9305" s="55" t="n">
        <f aca="false">SUM(G9305:J9305)</f>
        <v>182949.568753307</v>
      </c>
      <c r="R9305" s="55" t="n">
        <f aca="false">SUM(K9305:N9305)</f>
        <v>340721.825575762</v>
      </c>
      <c r="S9305" s="56" t="n">
        <f aca="false">SUM(P9305:R9305)</f>
        <v>587902.14434814</v>
      </c>
    </row>
    <row r="9306" customFormat="false" ht="15" hidden="false" customHeight="false" outlineLevel="0" collapsed="false">
      <c r="A9306" s="9" t="s">
        <v>543</v>
      </c>
      <c r="B9306" s="36" t="s">
        <v>125</v>
      </c>
      <c r="C9306" s="55" t="n">
        <f aca="false">(0+C9304)/8</f>
        <v>0</v>
      </c>
      <c r="D9306" s="55" t="n">
        <f aca="false">(C9304+D9304)/8</f>
        <v>1395.8101029369</v>
      </c>
      <c r="E9306" s="55" t="n">
        <f aca="false">(D9304+E9304)/8</f>
        <v>5782.2058023815</v>
      </c>
      <c r="F9306" s="55" t="n">
        <f aca="false">(E9304+F9304)/8</f>
        <v>12467.2763229729</v>
      </c>
      <c r="G9306" s="55" t="n">
        <f aca="false">(F9304+G9304)/8</f>
        <v>20266.0487977564</v>
      </c>
      <c r="H9306" s="55" t="n">
        <f aca="false">(G9304+H9304)/8</f>
        <v>29440.4787175023</v>
      </c>
      <c r="I9306" s="55" t="n">
        <f aca="false">(H9304+I9304)/8</f>
        <v>40617.7984187913</v>
      </c>
      <c r="J9306" s="55" t="n">
        <f aca="false">(I9304+J9304)/8</f>
        <v>55099.4806000058</v>
      </c>
      <c r="K9306" s="55" t="n">
        <f aca="false">(J9304+K9304)/8</f>
        <v>74296.6330928105</v>
      </c>
      <c r="L9306" s="55" t="n">
        <f aca="false">(K9304+L9304)/8</f>
        <v>96647.7572685168</v>
      </c>
      <c r="M9306" s="55" t="n">
        <f aca="false">(L9304+M9304)/8</f>
        <v>119636.696593749</v>
      </c>
      <c r="N9306" s="55" t="n">
        <f aca="false">(M9304+N9304)/8</f>
        <v>142410.53988531</v>
      </c>
      <c r="P9306" s="55" t="n">
        <f aca="false">SUM(C9306:F9306)</f>
        <v>19645.2922282913</v>
      </c>
      <c r="Q9306" s="55" t="n">
        <f aca="false">SUM(G9306:J9306)</f>
        <v>145423.806534056</v>
      </c>
      <c r="R9306" s="55" t="n">
        <f aca="false">SUM(K9306:N9306)</f>
        <v>432991.626840386</v>
      </c>
      <c r="S9306" s="56" t="n">
        <f aca="false">SUM(P9306:R9306)</f>
        <v>598060.725602734</v>
      </c>
    </row>
    <row r="9307" customFormat="false" ht="15" hidden="false" customHeight="false" outlineLevel="0" collapsed="false">
      <c r="A9307" s="4" t="s">
        <v>544</v>
      </c>
      <c r="B9307" s="36" t="s">
        <v>125</v>
      </c>
      <c r="C9307" s="54" t="n">
        <f aca="false">C9306*Assumptions!$E$76</f>
        <v>0</v>
      </c>
      <c r="D9307" s="54" t="n">
        <f aca="false">D9306*Assumptions!$E$76</f>
        <v>907.276566908984</v>
      </c>
      <c r="E9307" s="54" t="n">
        <f aca="false">E9306*Assumptions!$E$76</f>
        <v>3758.43377154798</v>
      </c>
      <c r="F9307" s="54" t="n">
        <f aca="false">F9306*Assumptions!$E$76</f>
        <v>8103.72960993241</v>
      </c>
      <c r="G9307" s="54" t="n">
        <f aca="false">G9306*Assumptions!$E$76</f>
        <v>13172.9317185417</v>
      </c>
      <c r="H9307" s="54" t="n">
        <f aca="false">H9306*Assumptions!$E$76</f>
        <v>19136.3111663765</v>
      </c>
      <c r="I9307" s="54" t="n">
        <f aca="false">I9306*Assumptions!$E$76</f>
        <v>26401.5689722143</v>
      </c>
      <c r="J9307" s="54" t="n">
        <f aca="false">J9306*Assumptions!$E$76</f>
        <v>35814.6623900038</v>
      </c>
      <c r="K9307" s="54" t="n">
        <f aca="false">K9306*Assumptions!$E$76</f>
        <v>48292.8115103268</v>
      </c>
      <c r="L9307" s="54" t="n">
        <f aca="false">L9306*Assumptions!$E$76</f>
        <v>62821.0422245359</v>
      </c>
      <c r="M9307" s="54" t="n">
        <f aca="false">M9306*Assumptions!$E$76</f>
        <v>77763.8527859368</v>
      </c>
      <c r="N9307" s="54" t="n">
        <f aca="false">N9306*Assumptions!$E$76</f>
        <v>92566.8509254516</v>
      </c>
      <c r="P9307" s="55" t="n">
        <f aca="false">SUM(C9307:F9307)</f>
        <v>12769.4399483894</v>
      </c>
      <c r="Q9307" s="55" t="n">
        <f aca="false">SUM(G9307:J9307)</f>
        <v>94525.4742471363</v>
      </c>
      <c r="R9307" s="55" t="n">
        <f aca="false">SUM(K9307:N9307)</f>
        <v>281444.557446251</v>
      </c>
      <c r="S9307" s="56" t="n">
        <f aca="false">SUM(P9307:R9307)</f>
        <v>388739.471641777</v>
      </c>
    </row>
    <row r="9308" customFormat="false" ht="15" hidden="false" customHeight="false" outlineLevel="0" collapsed="false">
      <c r="A9308" s="35" t="s">
        <v>547</v>
      </c>
      <c r="B9308" s="35" t="s">
        <v>444</v>
      </c>
      <c r="C9308" s="6" t="s">
        <v>354</v>
      </c>
      <c r="D9308" s="6" t="s">
        <v>355</v>
      </c>
      <c r="E9308" s="6" t="s">
        <v>356</v>
      </c>
      <c r="F9308" s="6" t="s">
        <v>357</v>
      </c>
      <c r="G9308" s="6" t="s">
        <v>358</v>
      </c>
      <c r="H9308" s="6" t="s">
        <v>359</v>
      </c>
      <c r="I9308" s="6" t="s">
        <v>360</v>
      </c>
      <c r="J9308" s="6" t="s">
        <v>361</v>
      </c>
      <c r="K9308" s="6" t="s">
        <v>362</v>
      </c>
      <c r="L9308" s="6" t="s">
        <v>363</v>
      </c>
      <c r="M9308" s="6" t="s">
        <v>364</v>
      </c>
      <c r="N9308" s="6" t="s">
        <v>365</v>
      </c>
      <c r="P9308" s="6" t="s">
        <v>445</v>
      </c>
      <c r="Q9308" s="6" t="s">
        <v>446</v>
      </c>
      <c r="R9308" s="6" t="s">
        <v>447</v>
      </c>
      <c r="S9308" s="6" t="s">
        <v>448</v>
      </c>
    </row>
    <row r="9309" customFormat="false" ht="15" hidden="false" customHeight="false" outlineLevel="0" collapsed="false">
      <c r="A9309" s="4" t="s">
        <v>548</v>
      </c>
      <c r="B9309" s="36" t="s">
        <v>321</v>
      </c>
      <c r="C9309" s="48" t="n">
        <f aca="false">Assumptions!$D$97*C9251</f>
        <v>1</v>
      </c>
      <c r="D9309" s="48" t="n">
        <f aca="false">Assumptions!$D$97*D9251</f>
        <v>1</v>
      </c>
      <c r="E9309" s="48" t="n">
        <f aca="false">Assumptions!$D$97*E9251</f>
        <v>1</v>
      </c>
      <c r="F9309" s="48" t="n">
        <f aca="false">Assumptions!$D$97*F9251</f>
        <v>1</v>
      </c>
      <c r="G9309" s="48" t="n">
        <f aca="false">Assumptions!$D$97*G9251</f>
        <v>1</v>
      </c>
      <c r="H9309" s="48" t="n">
        <f aca="false">Assumptions!$D$97*H9251</f>
        <v>1</v>
      </c>
      <c r="I9309" s="48" t="n">
        <f aca="false">Assumptions!$D$97*I9251</f>
        <v>1</v>
      </c>
      <c r="J9309" s="48" t="n">
        <f aca="false">Assumptions!$D$97*J9251</f>
        <v>1</v>
      </c>
      <c r="K9309" s="48" t="n">
        <f aca="false">Assumptions!$D$97*K9251</f>
        <v>1</v>
      </c>
      <c r="L9309" s="48" t="n">
        <f aca="false">Assumptions!$D$97*L9251</f>
        <v>1</v>
      </c>
      <c r="M9309" s="48" t="n">
        <f aca="false">Assumptions!$D$97*M9251</f>
        <v>1</v>
      </c>
      <c r="N9309" s="48" t="n">
        <f aca="false">Assumptions!$D$97*N9251</f>
        <v>1</v>
      </c>
      <c r="P9309" s="49" t="n">
        <f aca="false">AVERAGE(C9309:F9309)</f>
        <v>1</v>
      </c>
      <c r="Q9309" s="49" t="n">
        <f aca="false">AVERAGE(G9309:J9309)</f>
        <v>1</v>
      </c>
      <c r="R9309" s="49" t="n">
        <f aca="false">AVERAGE(K9309:N9309)</f>
        <v>1</v>
      </c>
      <c r="S9309" s="50"/>
    </row>
    <row r="9310" customFormat="false" ht="15" hidden="false" customHeight="false" outlineLevel="0" collapsed="false">
      <c r="A9310" s="4" t="s">
        <v>549</v>
      </c>
      <c r="B9310" s="36" t="s">
        <v>321</v>
      </c>
      <c r="C9310" s="48" t="n">
        <f aca="false">C9264*C9251</f>
        <v>0</v>
      </c>
      <c r="D9310" s="48" t="n">
        <f aca="false">D9264*D9251</f>
        <v>0</v>
      </c>
      <c r="E9310" s="48" t="n">
        <f aca="false">E9264*E9251</f>
        <v>0</v>
      </c>
      <c r="F9310" s="48" t="n">
        <f aca="false">F9264*F9251</f>
        <v>0</v>
      </c>
      <c r="G9310" s="48" t="n">
        <f aca="false">G9264*G9251</f>
        <v>0</v>
      </c>
      <c r="H9310" s="48" t="n">
        <f aca="false">H9264*H9251</f>
        <v>0</v>
      </c>
      <c r="I9310" s="48" t="n">
        <f aca="false">I9264*I9251</f>
        <v>0</v>
      </c>
      <c r="J9310" s="48" t="n">
        <f aca="false">J9264*J9251</f>
        <v>0</v>
      </c>
      <c r="K9310" s="48" t="n">
        <f aca="false">K9264*K9251</f>
        <v>0</v>
      </c>
      <c r="L9310" s="48" t="n">
        <f aca="false">L9264*L9251</f>
        <v>0</v>
      </c>
      <c r="M9310" s="48" t="n">
        <f aca="false">M9264*M9251</f>
        <v>0</v>
      </c>
      <c r="N9310" s="48" t="n">
        <f aca="false">N9264*N9251</f>
        <v>0</v>
      </c>
      <c r="P9310" s="49" t="n">
        <f aca="false">AVERAGE(C9310:F9310)</f>
        <v>0</v>
      </c>
      <c r="Q9310" s="49" t="n">
        <f aca="false">AVERAGE(G9310:J9310)</f>
        <v>0</v>
      </c>
      <c r="R9310" s="49" t="n">
        <f aca="false">AVERAGE(K9310:N9310)</f>
        <v>0</v>
      </c>
      <c r="S9310" s="50"/>
    </row>
    <row r="9311" customFormat="false" ht="15" hidden="false" customHeight="false" outlineLevel="0" collapsed="false">
      <c r="A9311" s="4" t="s">
        <v>550</v>
      </c>
      <c r="B9311" s="36" t="s">
        <v>321</v>
      </c>
      <c r="C9311" s="48" t="n">
        <f aca="false">IF(C9250&lt;=4,Assumptions!$D$98,Assumptions!$D$99)*C9251</f>
        <v>0</v>
      </c>
      <c r="D9311" s="48" t="n">
        <f aca="false">IF(D9250&lt;=4,Assumptions!$D$98,Assumptions!$D$99)*D9251</f>
        <v>0</v>
      </c>
      <c r="E9311" s="48" t="n">
        <f aca="false">IF(E9250&lt;=4,Assumptions!$D$98,Assumptions!$D$99)*E9251</f>
        <v>0</v>
      </c>
      <c r="F9311" s="48" t="n">
        <f aca="false">IF(F9250&lt;=4,Assumptions!$D$98,Assumptions!$D$99)*F9251</f>
        <v>0</v>
      </c>
      <c r="G9311" s="48" t="n">
        <f aca="false">IF(G9250&lt;=4,Assumptions!$D$98,Assumptions!$D$99)*G9251</f>
        <v>0.5</v>
      </c>
      <c r="H9311" s="48" t="n">
        <f aca="false">IF(H9250&lt;=4,Assumptions!$D$98,Assumptions!$D$99)*H9251</f>
        <v>0.5</v>
      </c>
      <c r="I9311" s="48" t="n">
        <f aca="false">IF(I9250&lt;=4,Assumptions!$D$98,Assumptions!$D$99)*I9251</f>
        <v>0.5</v>
      </c>
      <c r="J9311" s="48" t="n">
        <f aca="false">IF(J9250&lt;=4,Assumptions!$D$98,Assumptions!$D$99)*J9251</f>
        <v>0.5</v>
      </c>
      <c r="K9311" s="48" t="n">
        <f aca="false">IF(K9250&lt;=4,Assumptions!$D$98,Assumptions!$D$99)*K9251</f>
        <v>0.5</v>
      </c>
      <c r="L9311" s="48" t="n">
        <f aca="false">IF(L9250&lt;=4,Assumptions!$D$98,Assumptions!$D$99)*L9251</f>
        <v>0.5</v>
      </c>
      <c r="M9311" s="48" t="n">
        <f aca="false">IF(M9250&lt;=4,Assumptions!$D$98,Assumptions!$D$99)*M9251</f>
        <v>0.5</v>
      </c>
      <c r="N9311" s="48" t="n">
        <f aca="false">IF(N9250&lt;=4,Assumptions!$D$98,Assumptions!$D$99)*N9251</f>
        <v>0.5</v>
      </c>
      <c r="P9311" s="49" t="n">
        <f aca="false">AVERAGE(C9311:F9311)</f>
        <v>0</v>
      </c>
      <c r="Q9311" s="49" t="n">
        <f aca="false">AVERAGE(G9311:J9311)</f>
        <v>0.5</v>
      </c>
      <c r="R9311" s="49" t="n">
        <f aca="false">AVERAGE(K9311:N9311)</f>
        <v>0.5</v>
      </c>
      <c r="S9311" s="50"/>
    </row>
    <row r="9312" customFormat="false" ht="15" hidden="false" customHeight="false" outlineLevel="0" collapsed="false">
      <c r="A9312" s="4" t="s">
        <v>551</v>
      </c>
      <c r="B9312" s="36" t="s">
        <v>321</v>
      </c>
      <c r="C9312" s="48" t="n">
        <f aca="false">IF(C9250&lt;=4,Assumptions!$D$100,Assumptions!$D$101)*C9251</f>
        <v>1</v>
      </c>
      <c r="D9312" s="48" t="n">
        <f aca="false">IF(D9250&lt;=4,Assumptions!$D$100,Assumptions!$D$101)*D9251</f>
        <v>1</v>
      </c>
      <c r="E9312" s="48" t="n">
        <f aca="false">IF(E9250&lt;=4,Assumptions!$D$100,Assumptions!$D$101)*E9251</f>
        <v>1</v>
      </c>
      <c r="F9312" s="48" t="n">
        <f aca="false">IF(F9250&lt;=4,Assumptions!$D$100,Assumptions!$D$101)*F9251</f>
        <v>1</v>
      </c>
      <c r="G9312" s="48" t="n">
        <f aca="false">IF(G9250&lt;=4,Assumptions!$D$100,Assumptions!$D$101)*G9251</f>
        <v>0.5</v>
      </c>
      <c r="H9312" s="48" t="n">
        <f aca="false">IF(H9250&lt;=4,Assumptions!$D$100,Assumptions!$D$101)*H9251</f>
        <v>0.5</v>
      </c>
      <c r="I9312" s="48" t="n">
        <f aca="false">IF(I9250&lt;=4,Assumptions!$D$100,Assumptions!$D$101)*I9251</f>
        <v>0.5</v>
      </c>
      <c r="J9312" s="48" t="n">
        <f aca="false">IF(J9250&lt;=4,Assumptions!$D$100,Assumptions!$D$101)*J9251</f>
        <v>0.5</v>
      </c>
      <c r="K9312" s="48" t="n">
        <f aca="false">IF(K9250&lt;=4,Assumptions!$D$100,Assumptions!$D$101)*K9251</f>
        <v>0.5</v>
      </c>
      <c r="L9312" s="48" t="n">
        <f aca="false">IF(L9250&lt;=4,Assumptions!$D$100,Assumptions!$D$101)*L9251</f>
        <v>0.5</v>
      </c>
      <c r="M9312" s="48" t="n">
        <f aca="false">IF(M9250&lt;=4,Assumptions!$D$100,Assumptions!$D$101)*M9251</f>
        <v>0.5</v>
      </c>
      <c r="N9312" s="48" t="n">
        <f aca="false">IF(N9250&lt;=4,Assumptions!$D$100,Assumptions!$D$101)*N9251</f>
        <v>0.5</v>
      </c>
      <c r="P9312" s="49" t="n">
        <f aca="false">AVERAGE(C9312:F9312)</f>
        <v>1</v>
      </c>
      <c r="Q9312" s="49" t="n">
        <f aca="false">AVERAGE(G9312:J9312)</f>
        <v>0.5</v>
      </c>
      <c r="R9312" s="49" t="n">
        <f aca="false">AVERAGE(K9312:N9312)</f>
        <v>0.5</v>
      </c>
      <c r="S9312" s="50"/>
    </row>
    <row r="9313" customFormat="false" ht="15" hidden="false" customHeight="false" outlineLevel="0" collapsed="false">
      <c r="A9313" s="4" t="s">
        <v>552</v>
      </c>
      <c r="B9313" s="36" t="s">
        <v>321</v>
      </c>
      <c r="C9313" s="48" t="n">
        <f aca="false">Assumptions!$D$102*C9251</f>
        <v>0.25</v>
      </c>
      <c r="D9313" s="48" t="n">
        <f aca="false">Assumptions!$D$102*D9251</f>
        <v>0.25</v>
      </c>
      <c r="E9313" s="48" t="n">
        <f aca="false">Assumptions!$D$102*E9251</f>
        <v>0.25</v>
      </c>
      <c r="F9313" s="48" t="n">
        <f aca="false">Assumptions!$D$102*F9251</f>
        <v>0.25</v>
      </c>
      <c r="G9313" s="48" t="n">
        <f aca="false">Assumptions!$D$102*G9251</f>
        <v>0.25</v>
      </c>
      <c r="H9313" s="48" t="n">
        <f aca="false">Assumptions!$D$102*H9251</f>
        <v>0.25</v>
      </c>
      <c r="I9313" s="48" t="n">
        <f aca="false">Assumptions!$D$102*I9251</f>
        <v>0.25</v>
      </c>
      <c r="J9313" s="48" t="n">
        <f aca="false">Assumptions!$D$102*J9251</f>
        <v>0.25</v>
      </c>
      <c r="K9313" s="48" t="n">
        <f aca="false">Assumptions!$D$102*K9251</f>
        <v>0.25</v>
      </c>
      <c r="L9313" s="48" t="n">
        <f aca="false">Assumptions!$D$102*L9251</f>
        <v>0.25</v>
      </c>
      <c r="M9313" s="48" t="n">
        <f aca="false">Assumptions!$D$102*M9251</f>
        <v>0.25</v>
      </c>
      <c r="N9313" s="48" t="n">
        <f aca="false">Assumptions!$D$102*N9251</f>
        <v>0.25</v>
      </c>
      <c r="P9313" s="49" t="n">
        <f aca="false">AVERAGE(C9313:F9313)</f>
        <v>0.25</v>
      </c>
      <c r="Q9313" s="49" t="n">
        <f aca="false">AVERAGE(G9313:J9313)</f>
        <v>0.25</v>
      </c>
      <c r="R9313" s="49" t="n">
        <f aca="false">AVERAGE(K9313:N9313)</f>
        <v>0.25</v>
      </c>
      <c r="S9313" s="50"/>
    </row>
    <row r="9314" customFormat="false" ht="15" hidden="false" customHeight="false" outlineLevel="0" collapsed="false">
      <c r="A9314" s="4" t="s">
        <v>553</v>
      </c>
      <c r="B9314" s="36" t="s">
        <v>321</v>
      </c>
      <c r="C9314" s="48" t="n">
        <f aca="false">(C9298+C9299)/Assumptions!$E$74+C9297/Assumptions!$E$75</f>
        <v>0</v>
      </c>
      <c r="D9314" s="48" t="n">
        <f aca="false">(D9298+D9299)/Assumptions!$E$74+D9297/Assumptions!$E$75</f>
        <v>0.0204537573391627</v>
      </c>
      <c r="E9314" s="48" t="n">
        <f aca="false">(E9298+E9299)/Assumptions!$E$74+E9297/Assumptions!$E$75</f>
        <v>0.0574999223953997</v>
      </c>
      <c r="F9314" s="48" t="n">
        <f aca="false">(F9298+F9299)/Assumptions!$E$74+F9297/Assumptions!$E$75</f>
        <v>0.0989945094305299</v>
      </c>
      <c r="G9314" s="48" t="n">
        <f aca="false">(G9298+G9299)/Assumptions!$E$74+G9297/Assumptions!$E$75</f>
        <v>0.143535824570073</v>
      </c>
      <c r="H9314" s="48" t="n">
        <f aca="false">(H9298+H9299)/Assumptions!$E$74+H9297/Assumptions!$E$75</f>
        <v>0.198692347467491</v>
      </c>
      <c r="I9314" s="48" t="n">
        <f aca="false">(I9298+I9299)/Assumptions!$E$74+I9297/Assumptions!$E$75</f>
        <v>0.263937257150209</v>
      </c>
      <c r="J9314" s="48" t="n">
        <f aca="false">(J9298+J9299)/Assumptions!$E$74+J9297/Assumptions!$E$75</f>
        <v>0.354962686009237</v>
      </c>
      <c r="K9314" s="48" t="n">
        <f aca="false">(K9298+K9299)/Assumptions!$E$74+K9297/Assumptions!$E$75</f>
        <v>0.470312673509327</v>
      </c>
      <c r="L9314" s="48" t="n">
        <f aca="false">(L9298+L9299)/Assumptions!$E$74+L9297/Assumptions!$E$75</f>
        <v>0.585589240065411</v>
      </c>
      <c r="M9314" s="48" t="n">
        <f aca="false">(M9298+M9299)/Assumptions!$E$74+M9297/Assumptions!$E$75</f>
        <v>0.694420739221507</v>
      </c>
      <c r="N9314" s="48" t="n">
        <f aca="false">(N9298+N9299)/Assumptions!$E$74+N9297/Assumptions!$E$75</f>
        <v>0.796790818700121</v>
      </c>
      <c r="P9314" s="49" t="n">
        <f aca="false">AVERAGE(C9314:F9314)</f>
        <v>0.0442370472912731</v>
      </c>
      <c r="Q9314" s="49" t="n">
        <f aca="false">AVERAGE(G9314:J9314)</f>
        <v>0.240282028799253</v>
      </c>
      <c r="R9314" s="49" t="n">
        <f aca="false">AVERAGE(K9314:N9314)</f>
        <v>0.636778367874091</v>
      </c>
      <c r="S9314" s="50"/>
    </row>
    <row r="9315" customFormat="false" ht="15" hidden="false" customHeight="false" outlineLevel="0" collapsed="false">
      <c r="A9315" s="4" t="s">
        <v>554</v>
      </c>
      <c r="B9315" s="36" t="s">
        <v>125</v>
      </c>
      <c r="C9315" s="54" t="n">
        <f aca="false">(C9309+C9311)*Assumptions!$E$70/Assumptions!$E$69/4</f>
        <v>66753.5714285714</v>
      </c>
      <c r="D9315" s="54" t="n">
        <f aca="false">(D9309+D9311)*Assumptions!$E$70/Assumptions!$E$69/4</f>
        <v>66753.5714285714</v>
      </c>
      <c r="E9315" s="54" t="n">
        <f aca="false">(E9309+E9311)*Assumptions!$E$70/Assumptions!$E$69/4</f>
        <v>66753.5714285714</v>
      </c>
      <c r="F9315" s="54" t="n">
        <f aca="false">(F9309+F9311)*Assumptions!$E$70/Assumptions!$E$69/4</f>
        <v>66753.5714285714</v>
      </c>
      <c r="G9315" s="54" t="n">
        <f aca="false">(G9309+G9311)*Assumptions!$E$70/Assumptions!$E$69/4</f>
        <v>100130.357142857</v>
      </c>
      <c r="H9315" s="54" t="n">
        <f aca="false">(H9309+H9311)*Assumptions!$E$70/Assumptions!$E$69/4</f>
        <v>100130.357142857</v>
      </c>
      <c r="I9315" s="54" t="n">
        <f aca="false">(I9309+I9311)*Assumptions!$E$70/Assumptions!$E$69/4</f>
        <v>100130.357142857</v>
      </c>
      <c r="J9315" s="54" t="n">
        <f aca="false">(J9309+J9311)*Assumptions!$E$70/Assumptions!$E$69/4</f>
        <v>100130.357142857</v>
      </c>
      <c r="K9315" s="54" t="n">
        <f aca="false">(K9309+K9311)*Assumptions!$E$70/Assumptions!$E$69/4</f>
        <v>100130.357142857</v>
      </c>
      <c r="L9315" s="54" t="n">
        <f aca="false">(L9309+L9311)*Assumptions!$E$70/Assumptions!$E$69/4</f>
        <v>100130.357142857</v>
      </c>
      <c r="M9315" s="54" t="n">
        <f aca="false">(M9309+M9311)*Assumptions!$E$70/Assumptions!$E$69/4</f>
        <v>100130.357142857</v>
      </c>
      <c r="N9315" s="54" t="n">
        <f aca="false">(N9309+N9311)*Assumptions!$E$70/Assumptions!$E$69/4</f>
        <v>100130.357142857</v>
      </c>
      <c r="P9315" s="55" t="n">
        <f aca="false">SUM(C9315:F9315)</f>
        <v>267014.285714286</v>
      </c>
      <c r="Q9315" s="55" t="n">
        <f aca="false">SUM(G9315:J9315)</f>
        <v>400521.428571429</v>
      </c>
      <c r="R9315" s="55" t="n">
        <f aca="false">SUM(K9315:N9315)</f>
        <v>400521.428571429</v>
      </c>
      <c r="S9315" s="56" t="n">
        <f aca="false">SUM(P9315:R9315)</f>
        <v>1068057.14285714</v>
      </c>
    </row>
    <row r="9316" customFormat="false" ht="15" hidden="false" customHeight="false" outlineLevel="0" collapsed="false">
      <c r="A9316" s="4" t="s">
        <v>555</v>
      </c>
      <c r="B9316" s="36" t="s">
        <v>125</v>
      </c>
      <c r="C9316" s="54" t="n">
        <f aca="false">C9310*$C$9245/4</f>
        <v>0</v>
      </c>
      <c r="D9316" s="54" t="n">
        <f aca="false">D9310*$C$9245/4</f>
        <v>0</v>
      </c>
      <c r="E9316" s="54" t="n">
        <f aca="false">E9310*$C$9245/4</f>
        <v>0</v>
      </c>
      <c r="F9316" s="54" t="n">
        <f aca="false">F9310*$C$9245/4</f>
        <v>0</v>
      </c>
      <c r="G9316" s="54" t="n">
        <f aca="false">G9310*$C$9245/4</f>
        <v>0</v>
      </c>
      <c r="H9316" s="54" t="n">
        <f aca="false">H9310*$C$9245/4</f>
        <v>0</v>
      </c>
      <c r="I9316" s="54" t="n">
        <f aca="false">I9310*$C$9245/4</f>
        <v>0</v>
      </c>
      <c r="J9316" s="54" t="n">
        <f aca="false">J9310*$C$9245/4</f>
        <v>0</v>
      </c>
      <c r="K9316" s="54" t="n">
        <f aca="false">K9310*$C$9245/4</f>
        <v>0</v>
      </c>
      <c r="L9316" s="54" t="n">
        <f aca="false">L9310*$C$9245/4</f>
        <v>0</v>
      </c>
      <c r="M9316" s="54" t="n">
        <f aca="false">M9310*$C$9245/4</f>
        <v>0</v>
      </c>
      <c r="N9316" s="54" t="n">
        <f aca="false">N9310*$C$9245/4</f>
        <v>0</v>
      </c>
      <c r="P9316" s="55" t="n">
        <f aca="false">SUM(C9316:F9316)</f>
        <v>0</v>
      </c>
      <c r="Q9316" s="55" t="n">
        <f aca="false">SUM(G9316:J9316)</f>
        <v>0</v>
      </c>
      <c r="R9316" s="55" t="n">
        <f aca="false">SUM(K9316:N9316)</f>
        <v>0</v>
      </c>
      <c r="S9316" s="56" t="n">
        <f aca="false">SUM(P9316:R9316)</f>
        <v>0</v>
      </c>
    </row>
    <row r="9317" customFormat="false" ht="15" hidden="false" customHeight="false" outlineLevel="0" collapsed="false">
      <c r="A9317" s="4" t="s">
        <v>556</v>
      </c>
      <c r="B9317" s="36" t="s">
        <v>125</v>
      </c>
      <c r="C9317" s="54" t="n">
        <f aca="false">MAX(0,(C9305-C9286*$C$9241)-C9265*$C$9246)*$C$9247*Assumptions!$D$105</f>
        <v>0</v>
      </c>
      <c r="D9317" s="54" t="n">
        <f aca="false">MAX(0,(D9305-D9286*$C$9241)-D9265*$C$9246)*$C$9247*Assumptions!$D$105</f>
        <v>4281.87092448779</v>
      </c>
      <c r="E9317" s="54" t="n">
        <f aca="false">MAX(0,(E9305-E9286*$C$9241)-E9265*$C$9246)*$C$9247*Assumptions!$D$105</f>
        <v>9540.18863664476</v>
      </c>
      <c r="F9317" s="54" t="n">
        <f aca="false">MAX(0,(F9305-F9286*$C$9241)-F9265*$C$9246)*$C$9247*Assumptions!$D$105</f>
        <v>11870.6667664515</v>
      </c>
      <c r="G9317" s="54" t="n">
        <f aca="false">MAX(0,(G9305-G9286*$C$9241)-G9265*$C$9246)*$C$9247*Assumptions!$D$105</f>
        <v>13035.3098418782</v>
      </c>
      <c r="H9317" s="54" t="n">
        <f aca="false">MAX(0,(H9305-H9286*$C$9241)-H9265*$C$9246)*$C$9247*Assumptions!$D$105</f>
        <v>15866.5672281017</v>
      </c>
      <c r="I9317" s="54" t="n">
        <f aca="false">MAX(0,(I9305-I9286*$C$9241)-I9265*$C$9246)*$C$9247*Assumptions!$D$105</f>
        <v>18962.275541672</v>
      </c>
      <c r="J9317" s="54" t="n">
        <f aca="false">MAX(0,(J9305-J9286*$C$9241)-J9265*$C$9246)*$C$9247*Assumptions!$D$105</f>
        <v>25678.0188702705</v>
      </c>
      <c r="K9317" s="54" t="n">
        <f aca="false">MAX(0,(K9305-K9286*$C$9241)-K9265*$C$9246)*$C$9247*Assumptions!$D$105</f>
        <v>33129.8174339656</v>
      </c>
      <c r="L9317" s="54" t="n">
        <f aca="false">MAX(0,(L9305-L9286*$C$9241)-L9265*$C$9246)*$C$9247*Assumptions!$D$105</f>
        <v>35218.1288286745</v>
      </c>
      <c r="M9317" s="54" t="n">
        <f aca="false">MAX(0,(M9305-M9286*$C$9241)-M9265*$C$9246)*$C$9247*Assumptions!$D$105</f>
        <v>34546.3244676109</v>
      </c>
      <c r="N9317" s="54" t="n">
        <f aca="false">MAX(0,(N9305-N9286*$C$9241)-N9265*$C$9246)*$C$9247*Assumptions!$D$105</f>
        <v>33553.0189582018</v>
      </c>
      <c r="P9317" s="55" t="n">
        <f aca="false">SUM(C9317:F9317)</f>
        <v>25692.726327584</v>
      </c>
      <c r="Q9317" s="55" t="n">
        <f aca="false">SUM(G9317:J9317)</f>
        <v>73542.1714819224</v>
      </c>
      <c r="R9317" s="55" t="n">
        <f aca="false">SUM(K9317:N9317)</f>
        <v>136447.289688453</v>
      </c>
      <c r="S9317" s="56" t="n">
        <f aca="false">SUM(P9317:R9317)</f>
        <v>235682.187497959</v>
      </c>
    </row>
    <row r="9318" customFormat="false" ht="15" hidden="false" customHeight="false" outlineLevel="0" collapsed="false">
      <c r="A9318" s="4" t="s">
        <v>557</v>
      </c>
      <c r="B9318" s="36" t="s">
        <v>125</v>
      </c>
      <c r="C9318" s="54" t="n">
        <f aca="false">C9313*Assumptions!$E$71/Assumptions!$E$69/4</f>
        <v>18475.8928571429</v>
      </c>
      <c r="D9318" s="54" t="n">
        <f aca="false">D9313*Assumptions!$E$71/Assumptions!$E$69/4</f>
        <v>18475.8928571429</v>
      </c>
      <c r="E9318" s="54" t="n">
        <f aca="false">E9313*Assumptions!$E$71/Assumptions!$E$69/4</f>
        <v>18475.8928571429</v>
      </c>
      <c r="F9318" s="54" t="n">
        <f aca="false">F9313*Assumptions!$E$71/Assumptions!$E$69/4</f>
        <v>18475.8928571429</v>
      </c>
      <c r="G9318" s="54" t="n">
        <f aca="false">G9313*Assumptions!$E$71/Assumptions!$E$69/4</f>
        <v>18475.8928571429</v>
      </c>
      <c r="H9318" s="54" t="n">
        <f aca="false">H9313*Assumptions!$E$71/Assumptions!$E$69/4</f>
        <v>18475.8928571429</v>
      </c>
      <c r="I9318" s="54" t="n">
        <f aca="false">I9313*Assumptions!$E$71/Assumptions!$E$69/4</f>
        <v>18475.8928571429</v>
      </c>
      <c r="J9318" s="54" t="n">
        <f aca="false">J9313*Assumptions!$E$71/Assumptions!$E$69/4</f>
        <v>18475.8928571429</v>
      </c>
      <c r="K9318" s="54" t="n">
        <f aca="false">K9313*Assumptions!$E$71/Assumptions!$E$69/4</f>
        <v>18475.8928571429</v>
      </c>
      <c r="L9318" s="54" t="n">
        <f aca="false">L9313*Assumptions!$E$71/Assumptions!$E$69/4</f>
        <v>18475.8928571429</v>
      </c>
      <c r="M9318" s="54" t="n">
        <f aca="false">M9313*Assumptions!$E$71/Assumptions!$E$69/4</f>
        <v>18475.8928571429</v>
      </c>
      <c r="N9318" s="54" t="n">
        <f aca="false">N9313*Assumptions!$E$71/Assumptions!$E$69/4</f>
        <v>18475.8928571429</v>
      </c>
      <c r="P9318" s="55" t="n">
        <f aca="false">SUM(C9318:F9318)</f>
        <v>73903.5714285714</v>
      </c>
      <c r="Q9318" s="55" t="n">
        <f aca="false">SUM(G9318:J9318)</f>
        <v>73903.5714285714</v>
      </c>
      <c r="R9318" s="55" t="n">
        <f aca="false">SUM(K9318:N9318)</f>
        <v>73903.5714285714</v>
      </c>
      <c r="S9318" s="56" t="n">
        <f aca="false">SUM(P9318:R9318)</f>
        <v>221710.714285714</v>
      </c>
    </row>
    <row r="9319" customFormat="false" ht="15" hidden="false" customHeight="false" outlineLevel="0" collapsed="false">
      <c r="A9319" s="4" t="s">
        <v>558</v>
      </c>
      <c r="B9319" s="36" t="s">
        <v>125</v>
      </c>
      <c r="C9319" s="54" t="n">
        <f aca="false">(Assumptions!$D$103+Assumptions!$E$77*((C9250=Assumptions!$E$13)+(C9250=Assumptions!$E$14)+(C9250=Assumptions!$E$15)))*C9251</f>
        <v>65000</v>
      </c>
      <c r="D9319" s="54" t="n">
        <f aca="false">(Assumptions!$D$103+Assumptions!$E$77*((D9250=Assumptions!$E$13)+(D9250=Assumptions!$E$14)+(D9250=Assumptions!$E$15)))*D9251</f>
        <v>25000</v>
      </c>
      <c r="E9319" s="54" t="n">
        <f aca="false">(Assumptions!$D$103+Assumptions!$E$77*((E9250=Assumptions!$E$13)+(E9250=Assumptions!$E$14)+(E9250=Assumptions!$E$15)))*E9251</f>
        <v>25000</v>
      </c>
      <c r="F9319" s="54" t="n">
        <f aca="false">(Assumptions!$D$103+Assumptions!$E$77*((F9250=Assumptions!$E$13)+(F9250=Assumptions!$E$14)+(F9250=Assumptions!$E$15)))*F9251</f>
        <v>25000</v>
      </c>
      <c r="G9319" s="54" t="n">
        <f aca="false">(Assumptions!$D$103+Assumptions!$E$77*((G9250=Assumptions!$E$13)+(G9250=Assumptions!$E$14)+(G9250=Assumptions!$E$15)))*G9251</f>
        <v>65000</v>
      </c>
      <c r="H9319" s="54" t="n">
        <f aca="false">(Assumptions!$D$103+Assumptions!$E$77*((H9250=Assumptions!$E$13)+(H9250=Assumptions!$E$14)+(H9250=Assumptions!$E$15)))*H9251</f>
        <v>25000</v>
      </c>
      <c r="I9319" s="54" t="n">
        <f aca="false">(Assumptions!$D$103+Assumptions!$E$77*((I9250=Assumptions!$E$13)+(I9250=Assumptions!$E$14)+(I9250=Assumptions!$E$15)))*I9251</f>
        <v>65000</v>
      </c>
      <c r="J9319" s="54" t="n">
        <f aca="false">(Assumptions!$D$103+Assumptions!$E$77*((J9250=Assumptions!$E$13)+(J9250=Assumptions!$E$14)+(J9250=Assumptions!$E$15)))*J9251</f>
        <v>25000</v>
      </c>
      <c r="K9319" s="54" t="n">
        <f aca="false">(Assumptions!$D$103+Assumptions!$E$77*((K9250=Assumptions!$E$13)+(K9250=Assumptions!$E$14)+(K9250=Assumptions!$E$15)))*K9251</f>
        <v>25000</v>
      </c>
      <c r="L9319" s="54" t="n">
        <f aca="false">(Assumptions!$D$103+Assumptions!$E$77*((L9250=Assumptions!$E$13)+(L9250=Assumptions!$E$14)+(L9250=Assumptions!$E$15)))*L9251</f>
        <v>25000</v>
      </c>
      <c r="M9319" s="54" t="n">
        <f aca="false">(Assumptions!$D$103+Assumptions!$E$77*((M9250=Assumptions!$E$13)+(M9250=Assumptions!$E$14)+(M9250=Assumptions!$E$15)))*M9251</f>
        <v>25000</v>
      </c>
      <c r="N9319" s="54" t="n">
        <f aca="false">(Assumptions!$D$103+Assumptions!$E$77*((N9250=Assumptions!$E$13)+(N9250=Assumptions!$E$14)+(N9250=Assumptions!$E$15)))*N9251</f>
        <v>25000</v>
      </c>
      <c r="P9319" s="55" t="n">
        <f aca="false">SUM(C9319:F9319)</f>
        <v>140000</v>
      </c>
      <c r="Q9319" s="55" t="n">
        <f aca="false">SUM(G9319:J9319)</f>
        <v>180000</v>
      </c>
      <c r="R9319" s="55" t="n">
        <f aca="false">SUM(K9319:N9319)</f>
        <v>100000</v>
      </c>
      <c r="S9319" s="56" t="n">
        <f aca="false">SUM(P9319:R9319)</f>
        <v>420000</v>
      </c>
    </row>
    <row r="9320" customFormat="false" ht="15" hidden="false" customHeight="false" outlineLevel="0" collapsed="false">
      <c r="A9320" s="4" t="s">
        <v>559</v>
      </c>
      <c r="B9320" s="36" t="s">
        <v>125</v>
      </c>
      <c r="C9320" s="54" t="n">
        <f aca="false">C9305*C9285*Assumptions!$E$79</f>
        <v>0</v>
      </c>
      <c r="D9320" s="54" t="n">
        <f aca="false">D9305*D9285*Assumptions!$E$79</f>
        <v>1025.68967722675</v>
      </c>
      <c r="E9320" s="54" t="n">
        <f aca="false">E9305*E9285*Assumptions!$E$79</f>
        <v>1917.76261631551</v>
      </c>
      <c r="F9320" s="54" t="n">
        <f aca="false">F9305*F9285*Assumptions!$E$79</f>
        <v>2836.85418687667</v>
      </c>
      <c r="G9320" s="54" t="n">
        <f aca="false">G9305*G9285*Assumptions!$E$79</f>
        <v>3553.03060032612</v>
      </c>
      <c r="H9320" s="54" t="n">
        <f aca="false">H9305*H9285*Assumptions!$E$79</f>
        <v>4106.05441709628</v>
      </c>
      <c r="I9320" s="54" t="n">
        <f aca="false">I9305*I9285*Assumptions!$E$79</f>
        <v>4775.10992799688</v>
      </c>
      <c r="J9320" s="54" t="n">
        <f aca="false">J9305*J9285*Assumptions!$E$79</f>
        <v>5176.49159221643</v>
      </c>
      <c r="K9320" s="54" t="n">
        <f aca="false">K9305*K9285*Assumptions!$E$79</f>
        <v>5868.402569994</v>
      </c>
      <c r="L9320" s="54" t="n">
        <f aca="false">L9305*L9285*Assumptions!$E$79</f>
        <v>6829.26427921113</v>
      </c>
      <c r="M9320" s="54" t="n">
        <f aca="false">M9305*M9285*Assumptions!$E$79</f>
        <v>6892.98031097018</v>
      </c>
      <c r="N9320" s="54" t="n">
        <f aca="false">N9305*N9285*Assumptions!$E$79</f>
        <v>6890.79656028235</v>
      </c>
      <c r="P9320" s="55" t="n">
        <f aca="false">SUM(C9320:F9320)</f>
        <v>5780.30648041893</v>
      </c>
      <c r="Q9320" s="55" t="n">
        <f aca="false">SUM(G9320:J9320)</f>
        <v>17610.6865376357</v>
      </c>
      <c r="R9320" s="55" t="n">
        <f aca="false">SUM(K9320:N9320)</f>
        <v>26481.4437204577</v>
      </c>
      <c r="S9320" s="56" t="n">
        <f aca="false">SUM(P9320:R9320)</f>
        <v>49872.4367385123</v>
      </c>
    </row>
    <row r="9321" customFormat="false" ht="15" hidden="false" customHeight="false" outlineLevel="0" collapsed="false">
      <c r="A9321" s="4" t="s">
        <v>560</v>
      </c>
      <c r="B9321" s="36" t="s">
        <v>125</v>
      </c>
      <c r="C9321" s="54" t="n">
        <f aca="false">C9270*Assumptions!$E$80</f>
        <v>4000</v>
      </c>
      <c r="D9321" s="54" t="n">
        <f aca="false">D9270*Assumptions!$E$80</f>
        <v>6000</v>
      </c>
      <c r="E9321" s="54" t="n">
        <f aca="false">E9270*Assumptions!$E$80</f>
        <v>8000</v>
      </c>
      <c r="F9321" s="54" t="n">
        <f aca="false">F9270*Assumptions!$E$80</f>
        <v>10000</v>
      </c>
      <c r="G9321" s="54" t="n">
        <f aca="false">G9270*Assumptions!$E$80</f>
        <v>12000</v>
      </c>
      <c r="H9321" s="54" t="n">
        <f aca="false">H9270*Assumptions!$E$80</f>
        <v>14000</v>
      </c>
      <c r="I9321" s="54" t="n">
        <f aca="false">I9270*Assumptions!$E$80</f>
        <v>16000</v>
      </c>
      <c r="J9321" s="54" t="n">
        <f aca="false">J9270*Assumptions!$E$80</f>
        <v>18000</v>
      </c>
      <c r="K9321" s="54" t="n">
        <f aca="false">K9270*Assumptions!$E$80</f>
        <v>20000</v>
      </c>
      <c r="L9321" s="54" t="n">
        <f aca="false">L9270*Assumptions!$E$80</f>
        <v>20000</v>
      </c>
      <c r="M9321" s="54" t="n">
        <f aca="false">M9270*Assumptions!$E$80</f>
        <v>20000</v>
      </c>
      <c r="N9321" s="54" t="n">
        <f aca="false">N9270*Assumptions!$E$80</f>
        <v>20000</v>
      </c>
      <c r="P9321" s="55" t="n">
        <f aca="false">SUM(C9321:F9321)</f>
        <v>28000</v>
      </c>
      <c r="Q9321" s="55" t="n">
        <f aca="false">SUM(G9321:J9321)</f>
        <v>60000</v>
      </c>
      <c r="R9321" s="55" t="n">
        <f aca="false">SUM(K9321:N9321)</f>
        <v>80000</v>
      </c>
      <c r="S9321" s="56" t="n">
        <f aca="false">SUM(P9321:R9321)</f>
        <v>168000</v>
      </c>
    </row>
    <row r="9322" customFormat="false" ht="15" hidden="false" customHeight="false" outlineLevel="0" collapsed="false">
      <c r="A9322" s="4" t="s">
        <v>561</v>
      </c>
      <c r="B9322" s="36" t="s">
        <v>125</v>
      </c>
      <c r="C9322" s="54" t="n">
        <f aca="false">(C9293*$C$9242+C9294*$C$9243)*Assumptions!$E$81</f>
        <v>0</v>
      </c>
      <c r="D9322" s="54" t="n">
        <f aca="false">(D9293*$C$9242+D9294*$C$9243)*Assumptions!$E$81</f>
        <v>681.362108962033</v>
      </c>
      <c r="E9322" s="54" t="n">
        <f aca="false">(E9293*$C$9242+E9294*$C$9243)*Assumptions!$E$81</f>
        <v>1875.5791644835</v>
      </c>
      <c r="F9322" s="54" t="n">
        <f aca="false">(F9293*$C$9242+F9294*$C$9243)*Assumptions!$E$81</f>
        <v>2501.68725225852</v>
      </c>
      <c r="G9322" s="54" t="n">
        <f aca="false">(G9293*$C$9242+G9294*$C$9243)*Assumptions!$E$81</f>
        <v>2750.37832637962</v>
      </c>
      <c r="H9322" s="54" t="n">
        <f aca="false">(H9293*$C$9242+H9294*$C$9243)*Assumptions!$E$81</f>
        <v>3247.46704791367</v>
      </c>
      <c r="I9322" s="54" t="n">
        <f aca="false">(I9293*$C$9242+I9294*$C$9243)*Assumptions!$E$81</f>
        <v>3856.85308694377</v>
      </c>
      <c r="J9322" s="54" t="n">
        <f aca="false">(J9293*$C$9242+J9294*$C$9243)*Assumptions!$E$81</f>
        <v>4940.96753229118</v>
      </c>
      <c r="K9322" s="54" t="n">
        <f aca="false">(K9293*$C$9242+K9294*$C$9243)*Assumptions!$E$81</f>
        <v>6363.81916759355</v>
      </c>
      <c r="L9322" s="54" t="n">
        <f aca="false">(L9293*$C$9242+L9294*$C$9243)*Assumptions!$E$81</f>
        <v>7004.86270525376</v>
      </c>
      <c r="M9322" s="54" t="n">
        <f aca="false">(M9293*$C$9242+M9294*$C$9243)*Assumptions!$E$81</f>
        <v>6916.74654182553</v>
      </c>
      <c r="N9322" s="54" t="n">
        <f aca="false">(N9293*$C$9242+N9294*$C$9243)*Assumptions!$E$81</f>
        <v>6716.3712686207</v>
      </c>
      <c r="P9322" s="55" t="n">
        <f aca="false">SUM(C9322:F9322)</f>
        <v>5058.62852570404</v>
      </c>
      <c r="Q9322" s="55" t="n">
        <f aca="false">SUM(G9322:J9322)</f>
        <v>14795.6659935282</v>
      </c>
      <c r="R9322" s="55" t="n">
        <f aca="false">SUM(K9322:N9322)</f>
        <v>27001.7996832935</v>
      </c>
      <c r="S9322" s="56" t="n">
        <f aca="false">SUM(P9322:R9322)</f>
        <v>46856.0942025258</v>
      </c>
    </row>
    <row r="9323" customFormat="false" ht="15" hidden="false" customHeight="false" outlineLevel="0" collapsed="false">
      <c r="A9323" s="9" t="s">
        <v>562</v>
      </c>
      <c r="B9323" s="36" t="s">
        <v>125</v>
      </c>
      <c r="C9323" s="55" t="n">
        <f aca="false">C9315+C9316+C9317+C9318+C9319+C9320+C9321+C9322</f>
        <v>154229.464285714</v>
      </c>
      <c r="D9323" s="55" t="n">
        <f aca="false">D9315+D9316+D9317+D9318+D9319+D9320+D9321+D9322</f>
        <v>122218.386996391</v>
      </c>
      <c r="E9323" s="55" t="n">
        <f aca="false">E9315+E9316+E9317+E9318+E9319+E9320+E9321+E9322</f>
        <v>131562.994703158</v>
      </c>
      <c r="F9323" s="55" t="n">
        <f aca="false">F9315+F9316+F9317+F9318+F9319+F9320+F9321+F9322</f>
        <v>137438.672491301</v>
      </c>
      <c r="G9323" s="55" t="n">
        <f aca="false">G9315+G9316+G9317+G9318+G9319+G9320+G9321+G9322</f>
        <v>214944.968768584</v>
      </c>
      <c r="H9323" s="55" t="n">
        <f aca="false">H9315+H9316+H9317+H9318+H9319+H9320+H9321+H9322</f>
        <v>180826.338693112</v>
      </c>
      <c r="I9323" s="55" t="n">
        <f aca="false">I9315+I9316+I9317+I9318+I9319+I9320+I9321+I9322</f>
        <v>227200.488556613</v>
      </c>
      <c r="J9323" s="55" t="n">
        <f aca="false">J9315+J9316+J9317+J9318+J9319+J9320+J9321+J9322</f>
        <v>197401.727994778</v>
      </c>
      <c r="K9323" s="55" t="n">
        <f aca="false">K9315+K9316+K9317+K9318+K9319+K9320+K9321+K9322</f>
        <v>208968.289171553</v>
      </c>
      <c r="L9323" s="55" t="n">
        <f aca="false">L9315+L9316+L9317+L9318+L9319+L9320+L9321+L9322</f>
        <v>212658.505813139</v>
      </c>
      <c r="M9323" s="55" t="n">
        <f aca="false">M9315+M9316+M9317+M9318+M9319+M9320+M9321+M9322</f>
        <v>211962.301320407</v>
      </c>
      <c r="N9323" s="55" t="n">
        <f aca="false">N9315+N9316+N9317+N9318+N9319+N9320+N9321+N9322</f>
        <v>210766.436787105</v>
      </c>
      <c r="P9323" s="55" t="n">
        <f aca="false">SUM(C9323:F9323)</f>
        <v>545449.518476564</v>
      </c>
      <c r="Q9323" s="55" t="n">
        <f aca="false">SUM(G9323:J9323)</f>
        <v>820373.524013086</v>
      </c>
      <c r="R9323" s="55" t="n">
        <f aca="false">SUM(K9323:N9323)</f>
        <v>844355.533092204</v>
      </c>
      <c r="S9323" s="56" t="n">
        <f aca="false">SUM(P9323:R9323)</f>
        <v>2210178.57558185</v>
      </c>
    </row>
    <row r="9324" customFormat="false" ht="15" hidden="false" customHeight="false" outlineLevel="0" collapsed="false">
      <c r="A9324" s="4" t="s">
        <v>563</v>
      </c>
      <c r="B9324" s="36" t="s">
        <v>125</v>
      </c>
      <c r="C9324" s="54" t="n">
        <f aca="false">C9312*Assumptions!$E$72/Assumptions!$E$69/4</f>
        <v>56535.7142857143</v>
      </c>
      <c r="D9324" s="54" t="n">
        <f aca="false">D9312*Assumptions!$E$72/Assumptions!$E$69/4</f>
        <v>56535.7142857143</v>
      </c>
      <c r="E9324" s="54" t="n">
        <f aca="false">E9312*Assumptions!$E$72/Assumptions!$E$69/4</f>
        <v>56535.7142857143</v>
      </c>
      <c r="F9324" s="54" t="n">
        <f aca="false">F9312*Assumptions!$E$72/Assumptions!$E$69/4</f>
        <v>56535.7142857143</v>
      </c>
      <c r="G9324" s="54" t="n">
        <f aca="false">G9312*Assumptions!$E$72/Assumptions!$E$69/4</f>
        <v>28267.8571428571</v>
      </c>
      <c r="H9324" s="54" t="n">
        <f aca="false">H9312*Assumptions!$E$72/Assumptions!$E$69/4</f>
        <v>28267.8571428571</v>
      </c>
      <c r="I9324" s="54" t="n">
        <f aca="false">I9312*Assumptions!$E$72/Assumptions!$E$69/4</f>
        <v>28267.8571428571</v>
      </c>
      <c r="J9324" s="54" t="n">
        <f aca="false">J9312*Assumptions!$E$72/Assumptions!$E$69/4</f>
        <v>28267.8571428571</v>
      </c>
      <c r="K9324" s="54" t="n">
        <f aca="false">K9312*Assumptions!$E$72/Assumptions!$E$69/4</f>
        <v>28267.8571428571</v>
      </c>
      <c r="L9324" s="54" t="n">
        <f aca="false">L9312*Assumptions!$E$72/Assumptions!$E$69/4</f>
        <v>28267.8571428571</v>
      </c>
      <c r="M9324" s="54" t="n">
        <f aca="false">M9312*Assumptions!$E$72/Assumptions!$E$69/4</f>
        <v>28267.8571428571</v>
      </c>
      <c r="N9324" s="54" t="n">
        <f aca="false">N9312*Assumptions!$E$72/Assumptions!$E$69/4</f>
        <v>28267.8571428571</v>
      </c>
      <c r="P9324" s="55" t="n">
        <f aca="false">SUM(C9324:F9324)</f>
        <v>226142.857142857</v>
      </c>
      <c r="Q9324" s="55" t="n">
        <f aca="false">SUM(G9324:J9324)</f>
        <v>113071.428571429</v>
      </c>
      <c r="R9324" s="55" t="n">
        <f aca="false">SUM(K9324:N9324)</f>
        <v>113071.428571429</v>
      </c>
      <c r="S9324" s="56" t="n">
        <f aca="false">SUM(P9324:R9324)</f>
        <v>452285.714285714</v>
      </c>
    </row>
    <row r="9325" customFormat="false" ht="15" hidden="false" customHeight="false" outlineLevel="0" collapsed="false">
      <c r="A9325" s="4" t="s">
        <v>564</v>
      </c>
      <c r="B9325" s="36" t="s">
        <v>125</v>
      </c>
      <c r="C9325" s="54" t="n">
        <f aca="false">IF(C9250&lt;=Assumptions!$E$83,Assumptions!$E$82*Assumptions!$D$108/Assumptions!$E$83,0)</f>
        <v>62500</v>
      </c>
      <c r="D9325" s="54" t="n">
        <f aca="false">IF(D9250&lt;=Assumptions!$E$83,Assumptions!$E$82*Assumptions!$D$108/Assumptions!$E$83,0)</f>
        <v>62500</v>
      </c>
      <c r="E9325" s="54" t="n">
        <f aca="false">IF(E9250&lt;=Assumptions!$E$83,Assumptions!$E$82*Assumptions!$D$108/Assumptions!$E$83,0)</f>
        <v>62500</v>
      </c>
      <c r="F9325" s="54" t="n">
        <f aca="false">IF(F9250&lt;=Assumptions!$E$83,Assumptions!$E$82*Assumptions!$D$108/Assumptions!$E$83,0)</f>
        <v>62500</v>
      </c>
      <c r="G9325" s="54" t="n">
        <f aca="false">IF(G9250&lt;=Assumptions!$E$83,Assumptions!$E$82*Assumptions!$D$108/Assumptions!$E$83,0)</f>
        <v>0</v>
      </c>
      <c r="H9325" s="54" t="n">
        <f aca="false">IF(H9250&lt;=Assumptions!$E$83,Assumptions!$E$82*Assumptions!$D$108/Assumptions!$E$83,0)</f>
        <v>0</v>
      </c>
      <c r="I9325" s="54" t="n">
        <f aca="false">IF(I9250&lt;=Assumptions!$E$83,Assumptions!$E$82*Assumptions!$D$108/Assumptions!$E$83,0)</f>
        <v>0</v>
      </c>
      <c r="J9325" s="54" t="n">
        <f aca="false">IF(J9250&lt;=Assumptions!$E$83,Assumptions!$E$82*Assumptions!$D$108/Assumptions!$E$83,0)</f>
        <v>0</v>
      </c>
      <c r="K9325" s="54" t="n">
        <f aca="false">IF(K9250&lt;=Assumptions!$E$83,Assumptions!$E$82*Assumptions!$D$108/Assumptions!$E$83,0)</f>
        <v>0</v>
      </c>
      <c r="L9325" s="54" t="n">
        <f aca="false">IF(L9250&lt;=Assumptions!$E$83,Assumptions!$E$82*Assumptions!$D$108/Assumptions!$E$83,0)</f>
        <v>0</v>
      </c>
      <c r="M9325" s="54" t="n">
        <f aca="false">IF(M9250&lt;=Assumptions!$E$83,Assumptions!$E$82*Assumptions!$D$108/Assumptions!$E$83,0)</f>
        <v>0</v>
      </c>
      <c r="N9325" s="54" t="n">
        <f aca="false">IF(N9250&lt;=Assumptions!$E$83,Assumptions!$E$82*Assumptions!$D$108/Assumptions!$E$83,0)</f>
        <v>0</v>
      </c>
      <c r="P9325" s="55" t="n">
        <f aca="false">SUM(C9325:F9325)</f>
        <v>250000</v>
      </c>
      <c r="Q9325" s="55" t="n">
        <f aca="false">SUM(G9325:J9325)</f>
        <v>0</v>
      </c>
      <c r="R9325" s="55" t="n">
        <f aca="false">SUM(K9325:N9325)</f>
        <v>0</v>
      </c>
      <c r="S9325" s="56" t="n">
        <f aca="false">SUM(P9325:R9325)</f>
        <v>250000</v>
      </c>
    </row>
    <row r="9326" customFormat="false" ht="15" hidden="false" customHeight="false" outlineLevel="0" collapsed="false">
      <c r="A9326" s="4" t="s">
        <v>565</v>
      </c>
      <c r="B9326" s="36" t="s">
        <v>125</v>
      </c>
      <c r="C9326" s="54" t="n">
        <f aca="false">C9314*Assumptions!$E$73/Assumptions!$E$69/4</f>
        <v>0</v>
      </c>
      <c r="D9326" s="54" t="n">
        <f aca="false">D9314*Assumptions!$E$73/Assumptions!$E$69/4</f>
        <v>821.875799367571</v>
      </c>
      <c r="E9326" s="54" t="n">
        <f aca="false">E9314*Assumptions!$E$73/Assumptions!$E$69/4</f>
        <v>2310.47009596658</v>
      </c>
      <c r="F9326" s="54" t="n">
        <f aca="false">F9314*Assumptions!$E$73/Assumptions!$E$69/4</f>
        <v>3977.81152001033</v>
      </c>
      <c r="G9326" s="54" t="n">
        <f aca="false">G9314*Assumptions!$E$73/Assumptions!$E$69/4</f>
        <v>5767.57700799248</v>
      </c>
      <c r="H9326" s="54" t="n">
        <f aca="false">H9314*Assumptions!$E$73/Assumptions!$E$69/4</f>
        <v>7983.88429055979</v>
      </c>
      <c r="I9326" s="54" t="n">
        <f aca="false">I9314*Assumptions!$E$73/Assumptions!$E$69/4</f>
        <v>10605.5645721322</v>
      </c>
      <c r="J9326" s="54" t="n">
        <f aca="false">J9314*Assumptions!$E$73/Assumptions!$E$69/4</f>
        <v>14263.1613581783</v>
      </c>
      <c r="K9326" s="54" t="n">
        <f aca="false">K9314*Assumptions!$E$73/Assumptions!$E$69/4</f>
        <v>18898.1710344765</v>
      </c>
      <c r="L9326" s="54" t="n">
        <f aca="false">L9314*Assumptions!$E$73/Assumptions!$E$69/4</f>
        <v>23530.2304999141</v>
      </c>
      <c r="M9326" s="54" t="n">
        <f aca="false">M9314*Assumptions!$E$73/Assumptions!$E$69/4</f>
        <v>27903.3133463613</v>
      </c>
      <c r="N9326" s="54" t="n">
        <f aca="false">N9314*Assumptions!$E$73/Assumptions!$E$69/4</f>
        <v>32016.7625042681</v>
      </c>
      <c r="P9326" s="55" t="n">
        <f aca="false">SUM(C9326:F9326)</f>
        <v>7110.15741534448</v>
      </c>
      <c r="Q9326" s="55" t="n">
        <f aca="false">SUM(G9326:J9326)</f>
        <v>38620.1872288627</v>
      </c>
      <c r="R9326" s="55" t="n">
        <f aca="false">SUM(K9326:N9326)</f>
        <v>102348.47738502</v>
      </c>
      <c r="S9326" s="56" t="n">
        <f aca="false">SUM(P9326:R9326)</f>
        <v>148078.822029227</v>
      </c>
    </row>
    <row r="9327" customFormat="false" ht="15" hidden="false" customHeight="false" outlineLevel="0" collapsed="false">
      <c r="A9327" s="9" t="s">
        <v>566</v>
      </c>
      <c r="B9327" s="36" t="s">
        <v>125</v>
      </c>
      <c r="C9327" s="55" t="n">
        <f aca="false">C9323+C9324+C9325+C9326</f>
        <v>273265.178571429</v>
      </c>
      <c r="D9327" s="55" t="n">
        <f aca="false">D9323+D9324+D9325+D9326</f>
        <v>242075.977081473</v>
      </c>
      <c r="E9327" s="55" t="n">
        <f aca="false">E9323+E9324+E9325+E9326</f>
        <v>252909.179084839</v>
      </c>
      <c r="F9327" s="55" t="n">
        <f aca="false">F9323+F9324+F9325+F9326</f>
        <v>260452.198297026</v>
      </c>
      <c r="G9327" s="55" t="n">
        <f aca="false">G9323+G9324+G9325+G9326</f>
        <v>248980.402919434</v>
      </c>
      <c r="H9327" s="55" t="n">
        <f aca="false">H9323+H9324+H9325+H9326</f>
        <v>217078.080126529</v>
      </c>
      <c r="I9327" s="55" t="n">
        <f aca="false">I9323+I9324+I9325+I9326</f>
        <v>266073.910271602</v>
      </c>
      <c r="J9327" s="55" t="n">
        <f aca="false">J9323+J9324+J9325+J9326</f>
        <v>239932.746495814</v>
      </c>
      <c r="K9327" s="55" t="n">
        <f aca="false">K9323+K9324+K9325+K9326</f>
        <v>256134.317348887</v>
      </c>
      <c r="L9327" s="55" t="n">
        <f aca="false">L9323+L9324+L9325+L9326</f>
        <v>264456.593455911</v>
      </c>
      <c r="M9327" s="55" t="n">
        <f aca="false">M9323+M9324+M9325+M9326</f>
        <v>268133.471809625</v>
      </c>
      <c r="N9327" s="55" t="n">
        <f aca="false">N9323+N9324+N9325+N9326</f>
        <v>271051.05643423</v>
      </c>
      <c r="P9327" s="55" t="n">
        <f aca="false">SUM(C9327:F9327)</f>
        <v>1028702.53303477</v>
      </c>
      <c r="Q9327" s="55" t="n">
        <f aca="false">SUM(G9327:J9327)</f>
        <v>972065.139813378</v>
      </c>
      <c r="R9327" s="55" t="n">
        <f aca="false">SUM(K9327:N9327)</f>
        <v>1059775.43904865</v>
      </c>
      <c r="S9327" s="56" t="n">
        <f aca="false">SUM(P9327:R9327)</f>
        <v>3060543.1118968</v>
      </c>
    </row>
    <row r="9328" customFormat="false" ht="15" hidden="false" customHeight="false" outlineLevel="0" collapsed="false">
      <c r="A9328" s="35" t="s">
        <v>567</v>
      </c>
      <c r="B9328" s="35" t="s">
        <v>444</v>
      </c>
      <c r="C9328" s="6" t="s">
        <v>354</v>
      </c>
      <c r="D9328" s="6" t="s">
        <v>355</v>
      </c>
      <c r="E9328" s="6" t="s">
        <v>356</v>
      </c>
      <c r="F9328" s="6" t="s">
        <v>357</v>
      </c>
      <c r="G9328" s="6" t="s">
        <v>358</v>
      </c>
      <c r="H9328" s="6" t="s">
        <v>359</v>
      </c>
      <c r="I9328" s="6" t="s">
        <v>360</v>
      </c>
      <c r="J9328" s="6" t="s">
        <v>361</v>
      </c>
      <c r="K9328" s="6" t="s">
        <v>362</v>
      </c>
      <c r="L9328" s="6" t="s">
        <v>363</v>
      </c>
      <c r="M9328" s="6" t="s">
        <v>364</v>
      </c>
      <c r="N9328" s="6" t="s">
        <v>365</v>
      </c>
      <c r="P9328" s="6" t="s">
        <v>445</v>
      </c>
      <c r="Q9328" s="6" t="s">
        <v>446</v>
      </c>
      <c r="R9328" s="6" t="s">
        <v>447</v>
      </c>
      <c r="S9328" s="6" t="s">
        <v>448</v>
      </c>
    </row>
    <row r="9329" customFormat="false" ht="15" hidden="false" customHeight="false" outlineLevel="0" collapsed="false">
      <c r="A9329" s="9" t="s">
        <v>568</v>
      </c>
      <c r="B9329" s="36" t="s">
        <v>125</v>
      </c>
      <c r="C9329" s="55" t="n">
        <f aca="false">C9307-C9327</f>
        <v>-273265.178571429</v>
      </c>
      <c r="D9329" s="55" t="n">
        <f aca="false">D9307-D9327</f>
        <v>-241168.700514564</v>
      </c>
      <c r="E9329" s="55" t="n">
        <f aca="false">E9307-E9327</f>
        <v>-249150.745313291</v>
      </c>
      <c r="F9329" s="55" t="n">
        <f aca="false">F9307-F9327</f>
        <v>-252348.468687093</v>
      </c>
      <c r="G9329" s="55" t="n">
        <f aca="false">G9307-G9327</f>
        <v>-235807.471200892</v>
      </c>
      <c r="H9329" s="55" t="n">
        <f aca="false">H9307-H9327</f>
        <v>-197941.768960152</v>
      </c>
      <c r="I9329" s="55" t="n">
        <f aca="false">I9307-I9327</f>
        <v>-239672.341299388</v>
      </c>
      <c r="J9329" s="55" t="n">
        <f aca="false">J9307-J9327</f>
        <v>-204118.08410581</v>
      </c>
      <c r="K9329" s="55" t="n">
        <f aca="false">K9307-K9327</f>
        <v>-207841.50583856</v>
      </c>
      <c r="L9329" s="55" t="n">
        <f aca="false">L9307-L9327</f>
        <v>-201635.551231375</v>
      </c>
      <c r="M9329" s="55" t="n">
        <f aca="false">M9307-M9327</f>
        <v>-190369.619023688</v>
      </c>
      <c r="N9329" s="55" t="n">
        <f aca="false">N9307-N9327</f>
        <v>-178484.205508778</v>
      </c>
      <c r="P9329" s="55" t="n">
        <f aca="false">SUM(C9329:F9329)</f>
        <v>-1015933.09308638</v>
      </c>
      <c r="Q9329" s="55" t="n">
        <f aca="false">SUM(G9329:J9329)</f>
        <v>-877539.665566241</v>
      </c>
      <c r="R9329" s="55" t="n">
        <f aca="false">SUM(K9329:N9329)</f>
        <v>-778330.881602402</v>
      </c>
      <c r="S9329" s="56" t="n">
        <f aca="false">SUM(P9329:R9329)</f>
        <v>-2671803.64025502</v>
      </c>
    </row>
    <row r="9330" customFormat="false" ht="15" hidden="false" customHeight="false" outlineLevel="0" collapsed="false">
      <c r="A9330" s="9" t="s">
        <v>569</v>
      </c>
      <c r="B9330" s="36" t="s">
        <v>125</v>
      </c>
      <c r="C9330" s="55" t="n">
        <f aca="false">0+C9329</f>
        <v>-273265.178571429</v>
      </c>
      <c r="D9330" s="55" t="n">
        <f aca="false">C9330+D9329</f>
        <v>-514433.879085992</v>
      </c>
      <c r="E9330" s="55" t="n">
        <f aca="false">D9330+E9329</f>
        <v>-763584.624399283</v>
      </c>
      <c r="F9330" s="55" t="n">
        <f aca="false">E9330+F9329</f>
        <v>-1015933.09308638</v>
      </c>
      <c r="G9330" s="55" t="n">
        <f aca="false">F9330+G9329</f>
        <v>-1251740.56428727</v>
      </c>
      <c r="H9330" s="55" t="n">
        <f aca="false">G9330+H9329</f>
        <v>-1449682.33324742</v>
      </c>
      <c r="I9330" s="55" t="n">
        <f aca="false">H9330+I9329</f>
        <v>-1689354.67454681</v>
      </c>
      <c r="J9330" s="55" t="n">
        <f aca="false">I9330+J9329</f>
        <v>-1893472.75865262</v>
      </c>
      <c r="K9330" s="55" t="n">
        <f aca="false">J9330+K9329</f>
        <v>-2101314.26449118</v>
      </c>
      <c r="L9330" s="55" t="n">
        <f aca="false">K9330+L9329</f>
        <v>-2302949.81572255</v>
      </c>
      <c r="M9330" s="55" t="n">
        <f aca="false">L9330+M9329</f>
        <v>-2493319.43474624</v>
      </c>
      <c r="N9330" s="55" t="n">
        <f aca="false">M9330+N9329</f>
        <v>-2671803.64025502</v>
      </c>
      <c r="P9330" s="55" t="n">
        <f aca="false">F9330</f>
        <v>-1015933.09308638</v>
      </c>
      <c r="Q9330" s="55" t="n">
        <f aca="false">J9330</f>
        <v>-1893472.75865262</v>
      </c>
      <c r="R9330" s="55" t="n">
        <f aca="false">N9330</f>
        <v>-2671803.64025502</v>
      </c>
      <c r="S9330" s="56" t="n">
        <f aca="false">R9330</f>
        <v>-2671803.64025502</v>
      </c>
    </row>
    <row r="9331" customFormat="false" ht="15" hidden="false" customHeight="false" outlineLevel="0" collapsed="false">
      <c r="A9331" s="4" t="s">
        <v>570</v>
      </c>
      <c r="B9331" s="36" t="s">
        <v>107</v>
      </c>
      <c r="C9331" s="57" t="n">
        <f aca="false">1/(1+Assumptions!$E$87)^(C9250/4)</f>
        <v>0.972065420906982</v>
      </c>
      <c r="D9331" s="57" t="n">
        <f aca="false">1/(1+Assumptions!$E$87)^(D9250/4)</f>
        <v>0.944911182523068</v>
      </c>
      <c r="E9331" s="57" t="n">
        <f aca="false">1/(1+Assumptions!$E$87)^(E9250/4)</f>
        <v>0.918515486359</v>
      </c>
      <c r="F9331" s="57" t="n">
        <f aca="false">1/(1+Assumptions!$E$87)^(F9250/4)</f>
        <v>0.892857142857143</v>
      </c>
      <c r="G9331" s="57" t="n">
        <f aca="false">1/(1+Assumptions!$E$87)^(G9250/4)</f>
        <v>0.867915554381234</v>
      </c>
      <c r="H9331" s="57" t="n">
        <f aca="false">1/(1+Assumptions!$E$87)^(H9250/4)</f>
        <v>0.843670698681311</v>
      </c>
      <c r="I9331" s="57" t="n">
        <f aca="false">1/(1+Assumptions!$E$87)^(I9250/4)</f>
        <v>0.820103112820536</v>
      </c>
      <c r="J9331" s="57" t="n">
        <f aca="false">1/(1+Assumptions!$E$87)^(J9250/4)</f>
        <v>0.79719387755102</v>
      </c>
      <c r="K9331" s="57" t="n">
        <f aca="false">1/(1+Assumptions!$E$87)^(K9250/4)</f>
        <v>0.774924602126102</v>
      </c>
      <c r="L9331" s="57" t="n">
        <f aca="false">1/(1+Assumptions!$E$87)^(L9250/4)</f>
        <v>0.753277409536885</v>
      </c>
      <c r="M9331" s="57" t="n">
        <f aca="false">1/(1+Assumptions!$E$87)^(M9250/4)</f>
        <v>0.732234922161193</v>
      </c>
      <c r="N9331" s="57" t="n">
        <f aca="false">1/(1+Assumptions!$E$87)^(N9250/4)</f>
        <v>0.711780247813411</v>
      </c>
      <c r="P9331" s="58"/>
      <c r="Q9331" s="58"/>
      <c r="R9331" s="58"/>
      <c r="S9331" s="59"/>
    </row>
    <row r="9332" customFormat="false" ht="15" hidden="false" customHeight="false" outlineLevel="0" collapsed="false">
      <c r="A9332" s="4" t="s">
        <v>571</v>
      </c>
      <c r="B9332" s="36" t="s">
        <v>125</v>
      </c>
      <c r="C9332" s="54" t="n">
        <f aca="false">(C9307*(1-Assumptions!$E$88)-C9327)*C9331</f>
        <v>-265631.630827257</v>
      </c>
      <c r="D9332" s="54" t="n">
        <f aca="false">(D9307*(1-Assumptions!$E$88)-D9327)*D9331</f>
        <v>-228054.461145511</v>
      </c>
      <c r="E9332" s="54" t="n">
        <f aca="false">(E9307*(1-Assumptions!$E$88)-E9327)*E9331</f>
        <v>-229539.253932869</v>
      </c>
      <c r="F9332" s="54" t="n">
        <f aca="false">(F9307*(1-Assumptions!$E$88)-F9327)*F9331</f>
        <v>-226758.227329535</v>
      </c>
      <c r="G9332" s="54" t="n">
        <f aca="false">(G9307*(1-Assumptions!$E$88)-G9327)*G9331</f>
        <v>-206947.570561624</v>
      </c>
      <c r="H9332" s="54" t="n">
        <f aca="false">(H9307*(1-Assumptions!$E$88)-H9327)*H9331</f>
        <v>-170226.61951921</v>
      </c>
      <c r="I9332" s="54" t="n">
        <f aca="false">(I9307*(1-Assumptions!$E$88)-I9327)*I9331</f>
        <v>-200886.434936105</v>
      </c>
      <c r="J9332" s="54" t="n">
        <f aca="false">(J9307*(1-Assumptions!$E$88)-J9327)*J9331</f>
        <v>-168431.932863369</v>
      </c>
      <c r="K9332" s="54" t="n">
        <f aca="false">(K9307*(1-Assumptions!$E$88)-K9327)*K9331</f>
        <v>-168546.153766274</v>
      </c>
      <c r="L9332" s="54" t="n">
        <f aca="false">(L9307*(1-Assumptions!$E$88)-L9327)*L9331</f>
        <v>-161351.840092373</v>
      </c>
      <c r="M9332" s="54" t="n">
        <f aca="false">(M9307*(1-Assumptions!$E$88)-M9327)*M9331</f>
        <v>-150783.564905999</v>
      </c>
      <c r="N9332" s="54" t="n">
        <f aca="false">(N9307*(1-Assumptions!$E$88)-N9327)*N9331</f>
        <v>-140218.983246023</v>
      </c>
      <c r="P9332" s="55" t="n">
        <f aca="false">SUM(C9332:F9332)</f>
        <v>-949983.573235173</v>
      </c>
      <c r="Q9332" s="55" t="n">
        <f aca="false">SUM(G9332:J9332)</f>
        <v>-746492.557880309</v>
      </c>
      <c r="R9332" s="55" t="n">
        <f aca="false">SUM(K9332:N9332)</f>
        <v>-620900.542010669</v>
      </c>
      <c r="S9332" s="56" t="n">
        <f aca="false">SUM(P9332:R9332)</f>
        <v>-2317376.67312615</v>
      </c>
    </row>
    <row r="9333" customFormat="false" ht="15" hidden="false" customHeight="false" outlineLevel="0" collapsed="false">
      <c r="A9333" s="4" t="s">
        <v>572</v>
      </c>
      <c r="B9333" s="36" t="s">
        <v>125</v>
      </c>
      <c r="C9333" s="54" t="n">
        <f aca="false">(C9327-C9326)*12/(Assumptions!$E$89*Assumptions!$E$76)*Assumptions!$E$90</f>
        <v>189183.585164835</v>
      </c>
      <c r="D9333" s="54" t="n">
        <f aca="false">(D9327-D9326)*12/(Assumptions!$E$89*Assumptions!$E$76)*Assumptions!$E$90</f>
        <v>167022.070118381</v>
      </c>
      <c r="E9333" s="54" t="n">
        <f aca="false">(E9327-E9326)*12/(Assumptions!$E$89*Assumptions!$E$76)*Assumptions!$E$90</f>
        <v>173491.413915373</v>
      </c>
      <c r="F9333" s="54" t="n">
        <f aca="false">(F9327-F9326)*12/(Assumptions!$E$89*Assumptions!$E$76)*Assumptions!$E$90</f>
        <v>177559.190845626</v>
      </c>
      <c r="G9333" s="54" t="n">
        <f aca="false">(G9327-G9326)*12/(Assumptions!$E$89*Assumptions!$E$76)*Assumptions!$E$90</f>
        <v>168378.110246382</v>
      </c>
      <c r="H9333" s="54" t="n">
        <f aca="false">(H9327-H9326)*12/(Assumptions!$E$89*Assumptions!$E$76)*Assumptions!$E$90</f>
        <v>144757.520194132</v>
      </c>
      <c r="I9333" s="54" t="n">
        <f aca="false">(I9327-I9326)*12/(Assumptions!$E$89*Assumptions!$E$76)*Assumptions!$E$90</f>
        <v>176862.700868864</v>
      </c>
      <c r="J9333" s="54" t="n">
        <f aca="false">(J9327-J9326)*12/(Assumptions!$E$89*Assumptions!$E$76)*Assumptions!$E$90</f>
        <v>156232.789710671</v>
      </c>
      <c r="K9333" s="54" t="n">
        <f aca="false">(K9327-K9326)*12/(Assumptions!$E$89*Assumptions!$E$76)*Assumptions!$E$90</f>
        <v>164240.408986899</v>
      </c>
      <c r="L9333" s="54" t="n">
        <f aca="false">(L9327-L9326)*12/(Assumptions!$E$89*Assumptions!$E$76)*Assumptions!$E$90</f>
        <v>166795.174354151</v>
      </c>
      <c r="M9333" s="54" t="n">
        <f aca="false">(M9327-M9326)*12/(Assumptions!$E$89*Assumptions!$E$76)*Assumptions!$E$90</f>
        <v>166313.186628413</v>
      </c>
      <c r="N9333" s="54" t="n">
        <f aca="false">(N9327-N9326)*12/(Assumptions!$E$89*Assumptions!$E$76)*Assumptions!$E$90</f>
        <v>165485.280413051</v>
      </c>
      <c r="P9333" s="55" t="n">
        <f aca="false">SUM(C9333:F9333)</f>
        <v>707256.260044215</v>
      </c>
      <c r="Q9333" s="55" t="n">
        <f aca="false">SUM(G9333:J9333)</f>
        <v>646231.121020049</v>
      </c>
      <c r="R9333" s="55" t="n">
        <f aca="false">SUM(K9333:N9333)</f>
        <v>662834.050382515</v>
      </c>
      <c r="S9333" s="56" t="n">
        <f aca="false">SUM(P9333:R9333)</f>
        <v>2016321.43144678</v>
      </c>
    </row>
    <row r="9334" customFormat="false" ht="15" hidden="false" customHeight="false" outlineLevel="0" collapsed="false">
      <c r="A9334" s="4" t="s">
        <v>573</v>
      </c>
      <c r="B9334" s="36" t="s">
        <v>125</v>
      </c>
      <c r="C9334" s="54" t="n">
        <f aca="false">0*Assumptions!$E$92^(1/4)+C9333</f>
        <v>189183.585164835</v>
      </c>
      <c r="D9334" s="54" t="n">
        <f aca="false">C9334*Assumptions!$E$92^(1/4)+D9333</f>
        <v>356676.850925395</v>
      </c>
      <c r="E9334" s="54" t="n">
        <f aca="false">D9334*Assumptions!$E$92^(1/4)+E9333</f>
        <v>531056.632495265</v>
      </c>
      <c r="F9334" s="54" t="n">
        <f aca="false">E9334*Assumptions!$E$92^(1/4)+F9333</f>
        <v>709938.51511018</v>
      </c>
      <c r="G9334" s="54" t="n">
        <f aca="false">F9334*Assumptions!$E$92^(1/4)+G9333</f>
        <v>880084.854530587</v>
      </c>
      <c r="H9334" s="54" t="n">
        <f aca="false">G9334*Assumptions!$E$92^(1/4)+H9333</f>
        <v>1027034.38386675</v>
      </c>
      <c r="I9334" s="54" t="n">
        <f aca="false">H9334*Assumptions!$E$92^(1/4)+I9333</f>
        <v>1206455.0980306</v>
      </c>
      <c r="J9334" s="54" t="n">
        <f aca="false">I9334*Assumptions!$E$92^(1/4)+J9333</f>
        <v>1365692.7804976</v>
      </c>
      <c r="K9334" s="54" t="n">
        <f aca="false">J9334*Assumptions!$E$92^(1/4)+K9333</f>
        <v>1533334.6922426</v>
      </c>
      <c r="L9334" s="54" t="n">
        <f aca="false">K9334*Assumptions!$E$92^(1/4)+L9333</f>
        <v>1703948.91159665</v>
      </c>
      <c r="M9334" s="54" t="n">
        <f aca="false">L9334*Assumptions!$E$92^(1/4)+M9333</f>
        <v>1874506.08853184</v>
      </c>
      <c r="N9334" s="54" t="n">
        <f aca="false">M9334*Assumptions!$E$92^(1/4)+N9333</f>
        <v>2044660.16248416</v>
      </c>
      <c r="P9334" s="55" t="n">
        <f aca="false">F9334</f>
        <v>709938.51511018</v>
      </c>
      <c r="Q9334" s="55" t="n">
        <f aca="false">J9334</f>
        <v>1365692.7804976</v>
      </c>
      <c r="R9334" s="55" t="n">
        <f aca="false">N9334</f>
        <v>2044660.16248416</v>
      </c>
      <c r="S9334" s="56" t="n">
        <f aca="false">R9334</f>
        <v>2044660.16248416</v>
      </c>
    </row>
    <row r="9335" customFormat="false" ht="15" hidden="false" customHeight="false" outlineLevel="0" collapsed="false">
      <c r="A9335" s="4" t="s">
        <v>574</v>
      </c>
      <c r="B9335" s="36" t="s">
        <v>125</v>
      </c>
      <c r="C9335" s="54" t="n">
        <f aca="false">(0+C9334)/8*Assumptions!$E$76-(C9327-C9326)-C9334*Assumptions!$E$93/4</f>
        <v>-260258.807091346</v>
      </c>
      <c r="D9335" s="54" t="n">
        <f aca="false">(C9334+D9334)/8*Assumptions!$E$76-(D9327-D9326)-D9334*Assumptions!$E$93/4</f>
        <v>-201361.401486341</v>
      </c>
      <c r="E9335" s="54" t="n">
        <f aca="false">(D9334+E9334)/8*Assumptions!$E$76-(E9327-E9326)-E9334*Assumptions!$E$93/4</f>
        <v>-185108.571367135</v>
      </c>
      <c r="F9335" s="54" t="n">
        <f aca="false">(E9334+F9334)/8*Assumptions!$E$76-(F9327-F9326)-F9334*Assumptions!$E$93/4</f>
        <v>-164517.76247295</v>
      </c>
      <c r="G9335" s="54" t="n">
        <f aca="false">(F9334+G9334)/8*Assumptions!$E$76-(G9327-G9326)-G9334*Assumptions!$E$93/4</f>
        <v>-125024.487809761</v>
      </c>
      <c r="H9335" s="54" t="n">
        <f aca="false">(G9334+H9334)/8*Assumptions!$E$76-(H9327-H9326)-H9334*Assumptions!$E$93/4</f>
        <v>-66978.6875145199</v>
      </c>
      <c r="I9335" s="54" t="n">
        <f aca="false">(H9334+I9334)/8*Assumptions!$E$76-(I9327-I9326)-I9334*Assumptions!$E$93/4</f>
        <v>-89078.0140206927</v>
      </c>
      <c r="J9335" s="54" t="n">
        <f aca="false">(I9334+J9334)/8*Assumptions!$E$76-(J9327-J9326)-J9334*Assumptions!$E$93/4</f>
        <v>-33753.7297634391</v>
      </c>
      <c r="K9335" s="54" t="n">
        <f aca="false">(J9334+K9334)/8*Assumptions!$E$76-(K9327-K9326)-K9334*Assumptions!$E$93/4</f>
        <v>-20856.8478073021</v>
      </c>
      <c r="L9335" s="54" t="n">
        <f aca="false">(K9334+L9334)/8*Assumptions!$E$76-(L9327-L9326)-L9334*Assumptions!$E$93/4</f>
        <v>803.568460984119</v>
      </c>
      <c r="M9335" s="54" t="n">
        <f aca="false">(L9334+M9334)/8*Assumptions!$E$76-(M9327-M9326)-M9334*Assumptions!$E$93/4</f>
        <v>27087.9841905277</v>
      </c>
      <c r="N9335" s="54" t="n">
        <f aca="false">(M9334+N9334)/8*Assumptions!$E$76-(N9327-N9326)-N9334*Assumptions!$E$93/4</f>
        <v>53839.7119340358</v>
      </c>
      <c r="P9335" s="55" t="n">
        <f aca="false">SUM(C9335:F9335)</f>
        <v>-811246.542417772</v>
      </c>
      <c r="Q9335" s="55" t="n">
        <f aca="false">SUM(G9335:J9335)</f>
        <v>-314834.919108413</v>
      </c>
      <c r="R9335" s="55" t="n">
        <f aca="false">SUM(K9335:N9335)</f>
        <v>60874.4167782455</v>
      </c>
      <c r="S9335" s="56" t="n">
        <f aca="false">SUM(P9335:R9335)</f>
        <v>-1065207.04474794</v>
      </c>
    </row>
    <row r="9336" customFormat="false" ht="15" hidden="false" customHeight="false" outlineLevel="0" collapsed="false">
      <c r="A9336" s="4" t="s">
        <v>575</v>
      </c>
      <c r="B9336" s="36" t="s">
        <v>125</v>
      </c>
      <c r="C9336" s="54" t="n">
        <f aca="false">C9335*C9331</f>
        <v>-252988.586859998</v>
      </c>
      <c r="D9336" s="54" t="n">
        <f aca="false">D9335*D9331</f>
        <v>-190268.639992961</v>
      </c>
      <c r="E9336" s="54" t="n">
        <f aca="false">E9335*E9331</f>
        <v>-170025.089458503</v>
      </c>
      <c r="F9336" s="54" t="n">
        <f aca="false">F9335*F9331</f>
        <v>-146890.859350848</v>
      </c>
      <c r="G9336" s="54" t="n">
        <f aca="false">G9335*G9331</f>
        <v>-108510.697648639</v>
      </c>
      <c r="H9336" s="54" t="n">
        <f aca="false">H9335*H9331</f>
        <v>-56507.9560921322</v>
      </c>
      <c r="I9336" s="54" t="n">
        <f aca="false">I9335*I9331</f>
        <v>-73053.1565822414</v>
      </c>
      <c r="J9336" s="54" t="n">
        <f aca="false">J9335*J9331</f>
        <v>-26908.2667119253</v>
      </c>
      <c r="K9336" s="54" t="n">
        <f aca="false">K9335*K9331</f>
        <v>-16162.4844886782</v>
      </c>
      <c r="L9336" s="54" t="n">
        <f aca="false">L9335*L9331</f>
        <v>605.309968675658</v>
      </c>
      <c r="M9336" s="54" t="n">
        <f aca="false">M9335*M9331</f>
        <v>19834.7679952546</v>
      </c>
      <c r="N9336" s="54" t="n">
        <f aca="false">N9335*N9331</f>
        <v>38322.0435026107</v>
      </c>
      <c r="P9336" s="55" t="n">
        <f aca="false">SUM(C9336:F9336)</f>
        <v>-760173.175662311</v>
      </c>
      <c r="Q9336" s="55" t="n">
        <f aca="false">SUM(G9336:J9336)</f>
        <v>-264980.077034938</v>
      </c>
      <c r="R9336" s="55" t="n">
        <f aca="false">SUM(K9336:N9336)</f>
        <v>42599.6369778628</v>
      </c>
      <c r="S9336" s="56" t="n">
        <f aca="false">SUM(P9336:R9336)</f>
        <v>-982553.615719386</v>
      </c>
    </row>
    <row r="9337" customFormat="false" ht="15" hidden="false" customHeight="false" outlineLevel="0" collapsed="false">
      <c r="A9337" s="4" t="s">
        <v>576</v>
      </c>
      <c r="B9337" s="36"/>
      <c r="C9337" s="37" t="n">
        <f aca="false">IFERROR((S9292*$C$9241*Assumptions!$E$59+S9293*$C$9242*Assumptions!$E$60+S9294*$C$9243*Assumptions!$E$61)/(S9292*$C$9241+S9293*$C$9242+S9294*$C$9243),0.9)</f>
        <v>0.895336755062662</v>
      </c>
    </row>
    <row r="9338" customFormat="false" ht="15" hidden="false" customHeight="false" outlineLevel="0" collapsed="false">
      <c r="A9338" s="4" t="s">
        <v>577</v>
      </c>
      <c r="B9338" s="36"/>
      <c r="C9338" s="37" t="n">
        <f aca="false">IFERROR(N9326*4/N9304,0)</f>
        <v>0.208274433961821</v>
      </c>
    </row>
    <row r="9339" customFormat="false" ht="15" hidden="false" customHeight="false" outlineLevel="0" collapsed="false">
      <c r="A9339" s="4" t="s">
        <v>578</v>
      </c>
      <c r="B9339" s="36"/>
      <c r="C9339" s="60" t="n">
        <f aca="false">$C$9337/(1+Assumptions!$E$87)</f>
        <v>0.799407817020234</v>
      </c>
    </row>
    <row r="9340" customFormat="false" ht="15" hidden="false" customHeight="false" outlineLevel="0" collapsed="false">
      <c r="A9340" s="4" t="s">
        <v>579</v>
      </c>
      <c r="B9340" s="36"/>
      <c r="C9340" s="60" t="n">
        <f aca="false">Assumptions!$E$91/(1+Assumptions!$E$87)</f>
        <v>0.803571428571429</v>
      </c>
    </row>
    <row r="9341" customFormat="false" ht="15" hidden="false" customHeight="false" outlineLevel="0" collapsed="false">
      <c r="A9341" s="35" t="s">
        <v>580</v>
      </c>
      <c r="B9341" s="35" t="s">
        <v>444</v>
      </c>
      <c r="C9341" s="6" t="s">
        <v>354</v>
      </c>
      <c r="D9341" s="6" t="s">
        <v>355</v>
      </c>
      <c r="E9341" s="6" t="s">
        <v>356</v>
      </c>
      <c r="F9341" s="6" t="s">
        <v>357</v>
      </c>
      <c r="G9341" s="6" t="s">
        <v>358</v>
      </c>
      <c r="H9341" s="6" t="s">
        <v>359</v>
      </c>
      <c r="I9341" s="6" t="s">
        <v>360</v>
      </c>
      <c r="J9341" s="6" t="s">
        <v>361</v>
      </c>
      <c r="K9341" s="6" t="s">
        <v>362</v>
      </c>
      <c r="L9341" s="6" t="s">
        <v>363</v>
      </c>
      <c r="M9341" s="6" t="s">
        <v>364</v>
      </c>
      <c r="N9341" s="6" t="s">
        <v>365</v>
      </c>
      <c r="P9341" s="6" t="s">
        <v>445</v>
      </c>
      <c r="Q9341" s="6" t="s">
        <v>446</v>
      </c>
      <c r="R9341" s="6" t="s">
        <v>447</v>
      </c>
      <c r="S9341" s="6" t="s">
        <v>448</v>
      </c>
    </row>
    <row r="9342" customFormat="false" ht="15" hidden="false" customHeight="false" outlineLevel="0" collapsed="false">
      <c r="A9342" s="9" t="s">
        <v>581</v>
      </c>
      <c r="C9342" s="61" t="n">
        <f aca="false">N9304</f>
        <v>614895.681534051</v>
      </c>
      <c r="D9342" s="61"/>
    </row>
    <row r="9343" customFormat="false" ht="15" hidden="false" customHeight="false" outlineLevel="0" collapsed="false">
      <c r="A9343" s="9" t="s">
        <v>582</v>
      </c>
      <c r="C9343" s="62" t="n">
        <f aca="false">N9300</f>
        <v>70.7544272202844</v>
      </c>
      <c r="D9343" s="62"/>
    </row>
    <row r="9344" customFormat="false" ht="15" hidden="false" customHeight="false" outlineLevel="0" collapsed="false">
      <c r="A9344" s="9" t="s">
        <v>583</v>
      </c>
      <c r="C9344" s="63" t="n">
        <f aca="false">S9295</f>
        <v>78.2130278037053</v>
      </c>
      <c r="D9344" s="63"/>
    </row>
    <row r="9345" customFormat="false" ht="15" hidden="false" customHeight="false" outlineLevel="0" collapsed="false">
      <c r="A9345" s="9" t="s">
        <v>584</v>
      </c>
      <c r="C9345" s="61" t="n">
        <f aca="false">S9306</f>
        <v>598060.725602734</v>
      </c>
      <c r="D9345" s="61"/>
    </row>
    <row r="9346" customFormat="false" ht="15" hidden="false" customHeight="false" outlineLevel="0" collapsed="false">
      <c r="A9346" s="9" t="s">
        <v>22</v>
      </c>
      <c r="C9346" s="61" t="n">
        <f aca="false">IFERROR(S9305/S9295,0)</f>
        <v>7516.67798648103</v>
      </c>
      <c r="D9346" s="61"/>
    </row>
    <row r="9347" customFormat="false" ht="15" hidden="false" customHeight="false" outlineLevel="0" collapsed="false">
      <c r="A9347" s="9" t="s">
        <v>585</v>
      </c>
      <c r="C9347" s="61" t="n">
        <f aca="false">IFERROR(S9323/S9295,0)</f>
        <v>28258.4453977263</v>
      </c>
      <c r="D9347" s="61"/>
    </row>
    <row r="9348" customFormat="false" ht="23.85" hidden="false" customHeight="false" outlineLevel="0" collapsed="false">
      <c r="A9348" s="9" t="s">
        <v>586</v>
      </c>
      <c r="C9348" s="61" t="n">
        <f aca="false">IFERROR((S9317+S9319+S9320+S9321+S9322)/S9295,0)</f>
        <v>11767.9975355128</v>
      </c>
      <c r="D9348" s="61"/>
    </row>
    <row r="9349" customFormat="false" ht="15" hidden="false" customHeight="false" outlineLevel="0" collapsed="false">
      <c r="A9349" s="9" t="s">
        <v>587</v>
      </c>
      <c r="C9349" s="64" t="n">
        <f aca="false">IFERROR('Engine Runs'!$C$9347/('Engine Runs'!$C$9346*Assumptions!$E$76/12),0)</f>
        <v>69.4049123178738</v>
      </c>
      <c r="D9349" s="64"/>
    </row>
    <row r="9350" customFormat="false" ht="15" hidden="false" customHeight="false" outlineLevel="0" collapsed="false">
      <c r="A9350" s="9" t="s">
        <v>588</v>
      </c>
      <c r="C9350" s="64" t="n">
        <f aca="false">IFERROR((R9323/R9295)/((R9305/R9295)*Assumptions!$E$76/12),0)</f>
        <v>45.7502307727228</v>
      </c>
      <c r="D9350" s="64"/>
    </row>
    <row r="9351" customFormat="false" ht="15" hidden="false" customHeight="false" outlineLevel="0" collapsed="false">
      <c r="A9351" s="9" t="s">
        <v>589</v>
      </c>
      <c r="C9351" s="61" t="n">
        <f aca="false">S9327</f>
        <v>3060543.1118968</v>
      </c>
      <c r="D9351" s="61"/>
    </row>
    <row r="9352" customFormat="false" ht="15" hidden="false" customHeight="false" outlineLevel="0" collapsed="false">
      <c r="A9352" s="9" t="s">
        <v>590</v>
      </c>
      <c r="C9352" s="61" t="n">
        <f aca="false">N9330</f>
        <v>-2671803.64025502</v>
      </c>
      <c r="D9352" s="61"/>
    </row>
    <row r="9353" customFormat="false" ht="15" hidden="false" customHeight="false" outlineLevel="0" collapsed="false">
      <c r="A9353" s="9" t="s">
        <v>591</v>
      </c>
      <c r="C9353" s="61" t="n">
        <f aca="false">MIN($C$9330:$N$9330)</f>
        <v>-2671803.64025502</v>
      </c>
      <c r="D9353" s="61"/>
    </row>
    <row r="9354" customFormat="false" ht="15" hidden="false" customHeight="false" outlineLevel="0" collapsed="false">
      <c r="A9354" s="9" t="s">
        <v>592</v>
      </c>
      <c r="C9354" s="61" t="n">
        <f aca="false">N9304*(Assumptions!$E$76-$C$9338)*$C$9337*(1-$C$9337^Assumptions!$E$85)/(1-$C$9337)</f>
        <v>986682.42816218</v>
      </c>
      <c r="D9354" s="61"/>
    </row>
    <row r="9355" customFormat="false" ht="15" hidden="false" customHeight="false" outlineLevel="0" collapsed="false">
      <c r="A9355" s="9" t="s">
        <v>593</v>
      </c>
      <c r="C9355" s="61" t="n">
        <f aca="false">N9304*(Assumptions!$E$76-$C$9338)*(1-Assumptions!$E$88)/(1+Assumptions!$E$87)^2.5*$C$9339*(1-$C$9339^Assumptions!$E$85)/(1-$C$9339)</f>
        <v>439350.254619909</v>
      </c>
      <c r="D9355" s="61"/>
    </row>
    <row r="9356" customFormat="false" ht="15" hidden="false" customHeight="false" outlineLevel="0" collapsed="false">
      <c r="A9356" s="9" t="s">
        <v>594</v>
      </c>
      <c r="C9356" s="61" t="n">
        <f aca="false">SUM($C$9332:$N$9332)+'Engine Runs'!$C$9355</f>
        <v>-1878026.41850624</v>
      </c>
      <c r="D9356" s="61"/>
    </row>
    <row r="9357" customFormat="false" ht="15" hidden="false" customHeight="false" outlineLevel="0" collapsed="false">
      <c r="A9357" s="9" t="s">
        <v>595</v>
      </c>
      <c r="C9357" s="61" t="n">
        <f aca="false">SUM($C$9336:$N$9336)+N9334*(Assumptions!$E$76-Assumptions!$E$93)/(1+Assumptions!$E$87)^2.5*$C$9340*(1-$C$9340^Assumptions!$E$85)/(1-$C$9340)</f>
        <v>1531240.42618424</v>
      </c>
      <c r="D9357" s="61"/>
    </row>
    <row r="9358" customFormat="false" ht="15" hidden="false" customHeight="false" outlineLevel="0" collapsed="false">
      <c r="A9358" s="9" t="s">
        <v>596</v>
      </c>
      <c r="C9358" s="61" t="n">
        <f aca="false">'Engine Runs'!$C$9356-'Engine Runs'!$C$9357</f>
        <v>-3409266.84469048</v>
      </c>
      <c r="D9358" s="61"/>
    </row>
    <row r="9359" customFormat="false" ht="15" hidden="false" customHeight="false" outlineLevel="0" collapsed="false">
      <c r="A9359" s="9" t="s">
        <v>597</v>
      </c>
      <c r="C9359" s="61" t="n">
        <f aca="false">S9291</f>
        <v>0</v>
      </c>
      <c r="D9359" s="61"/>
    </row>
    <row r="9360" customFormat="false" ht="15" hidden="false" customHeight="false" outlineLevel="0" collapsed="false">
      <c r="A9360" s="9" t="s">
        <v>598</v>
      </c>
      <c r="C9360" s="63" t="n">
        <f aca="false">P9275</f>
        <v>43.6188722246667</v>
      </c>
      <c r="D9360" s="63"/>
    </row>
    <row r="9361" customFormat="false" ht="15" hidden="false" customHeight="false" outlineLevel="0" collapsed="false">
      <c r="A9361" s="9" t="s">
        <v>599</v>
      </c>
      <c r="C9361" s="63" t="n">
        <f aca="false">P9295</f>
        <v>8.83229864212342</v>
      </c>
      <c r="D9361" s="63"/>
    </row>
    <row r="9362" customFormat="false" ht="15" hidden="false" customHeight="false" outlineLevel="0" collapsed="false">
      <c r="A9362" s="9" t="s">
        <v>600</v>
      </c>
      <c r="C9362" s="63" t="n">
        <f aca="false">P9271</f>
        <v>42</v>
      </c>
      <c r="D9362" s="63"/>
    </row>
    <row r="9363" customFormat="false" ht="15" hidden="false" customHeight="false" outlineLevel="0" collapsed="false">
      <c r="A9363" s="9" t="s">
        <v>601</v>
      </c>
      <c r="C9363" s="61" t="n">
        <f aca="false">IFERROR(P9305/P9295,0)</f>
        <v>7272.25749735627</v>
      </c>
      <c r="D9363" s="61"/>
    </row>
    <row r="9366" customFormat="false" ht="15" hidden="false" customHeight="true" outlineLevel="0" collapsed="false">
      <c r="A9366" s="78" t="s">
        <v>942</v>
      </c>
      <c r="B9366" s="78"/>
      <c r="C9366" s="78"/>
      <c r="D9366" s="78"/>
      <c r="E9366" s="78"/>
      <c r="F9366" s="78"/>
      <c r="G9366" s="78"/>
      <c r="H9366" s="78"/>
      <c r="I9366" s="78"/>
      <c r="J9366" s="78"/>
      <c r="K9366" s="78"/>
      <c r="L9366" s="78"/>
      <c r="M9366" s="78"/>
      <c r="N9366" s="78"/>
    </row>
    <row r="9367" customFormat="false" ht="15" hidden="false" customHeight="true" outlineLevel="0" collapsed="false">
      <c r="A9367" s="79" t="s">
        <v>943</v>
      </c>
      <c r="B9367" s="79"/>
      <c r="C9367" s="79"/>
      <c r="D9367" s="79"/>
      <c r="E9367" s="79"/>
      <c r="F9367" s="79"/>
      <c r="G9367" s="79"/>
      <c r="H9367" s="79"/>
      <c r="I9367" s="79"/>
      <c r="J9367" s="79"/>
      <c r="K9367" s="79"/>
      <c r="L9367" s="79"/>
      <c r="M9367" s="79"/>
      <c r="N9367" s="79"/>
    </row>
    <row r="9368" customFormat="false" ht="15" hidden="false" customHeight="false" outlineLevel="0" collapsed="false">
      <c r="A9368" s="35" t="s">
        <v>944</v>
      </c>
      <c r="B9368" s="35" t="s">
        <v>444</v>
      </c>
      <c r="C9368" s="6" t="s">
        <v>354</v>
      </c>
      <c r="D9368" s="6" t="s">
        <v>355</v>
      </c>
      <c r="E9368" s="6" t="s">
        <v>356</v>
      </c>
      <c r="F9368" s="6" t="s">
        <v>357</v>
      </c>
      <c r="G9368" s="6" t="s">
        <v>358</v>
      </c>
      <c r="H9368" s="6" t="s">
        <v>359</v>
      </c>
      <c r="I9368" s="6" t="s">
        <v>360</v>
      </c>
      <c r="J9368" s="6" t="s">
        <v>361</v>
      </c>
      <c r="K9368" s="6" t="s">
        <v>362</v>
      </c>
      <c r="L9368" s="6" t="s">
        <v>363</v>
      </c>
      <c r="M9368" s="6" t="s">
        <v>364</v>
      </c>
      <c r="N9368" s="6" t="s">
        <v>365</v>
      </c>
      <c r="P9368" s="6" t="s">
        <v>445</v>
      </c>
      <c r="Q9368" s="6" t="s">
        <v>446</v>
      </c>
      <c r="R9368" s="6" t="s">
        <v>447</v>
      </c>
      <c r="S9368" s="6" t="s">
        <v>448</v>
      </c>
    </row>
    <row r="9369" customFormat="false" ht="15" hidden="false" customHeight="false" outlineLevel="0" collapsed="false">
      <c r="A9369" s="4" t="s">
        <v>449</v>
      </c>
      <c r="B9369" s="36" t="s">
        <v>450</v>
      </c>
      <c r="C9369" s="34" t="n">
        <f aca="false">'Market Sizing'!$C$17*Assumptions!$E$10*Assumptions!$E$11*(1-Assumptions!$E$12)</f>
        <v>843.03944704</v>
      </c>
    </row>
    <row r="9370" customFormat="false" ht="15" hidden="false" customHeight="false" outlineLevel="0" collapsed="false">
      <c r="A9370" s="4" t="s">
        <v>451</v>
      </c>
      <c r="B9370" s="36" t="s">
        <v>450</v>
      </c>
      <c r="C9370" s="34" t="n">
        <f aca="false">'Market Sizing'!$D$17*Assumptions!$E$10*Assumptions!$E$11*(1-Assumptions!$E$12)</f>
        <v>211.19616</v>
      </c>
    </row>
    <row r="9371" customFormat="false" ht="15" hidden="false" customHeight="false" outlineLevel="0" collapsed="false">
      <c r="A9371" s="4" t="s">
        <v>452</v>
      </c>
      <c r="B9371" s="36" t="s">
        <v>450</v>
      </c>
      <c r="C9371" s="34" t="n">
        <f aca="false">'Market Sizing'!$E$17*Assumptions!$E$10*Assumptions!$E$11*(1-Assumptions!$E$12)</f>
        <v>49.53984</v>
      </c>
    </row>
    <row r="9372" customFormat="false" ht="15" hidden="false" customHeight="false" outlineLevel="0" collapsed="false">
      <c r="A9372" s="4" t="s">
        <v>453</v>
      </c>
      <c r="B9372" s="36"/>
      <c r="C9372" s="34" t="n">
        <f aca="false">$C$9369+$C$9370+$C$9371</f>
        <v>1103.77544704</v>
      </c>
    </row>
    <row r="9373" customFormat="false" ht="15" hidden="false" customHeight="false" outlineLevel="0" collapsed="false">
      <c r="A9373" s="4" t="s">
        <v>454</v>
      </c>
      <c r="B9373" s="36" t="s">
        <v>450</v>
      </c>
      <c r="C9373" s="34" t="n">
        <f aca="false">'Market Sizing'!$C$18*Assumptions!$E$10*Assumptions!$E$11*(1-Assumptions!$E$12)</f>
        <v>612.57706944</v>
      </c>
    </row>
    <row r="9374" customFormat="false" ht="15" hidden="false" customHeight="false" outlineLevel="0" collapsed="false">
      <c r="A9374" s="4" t="s">
        <v>455</v>
      </c>
      <c r="B9374" s="36" t="s">
        <v>450</v>
      </c>
      <c r="C9374" s="34" t="n">
        <f aca="false">'Market Sizing'!$D$18*Assumptions!$E$10*Assumptions!$E$11*(1-Assumptions!$E$12)</f>
        <v>142.10112</v>
      </c>
    </row>
    <row r="9375" customFormat="false" ht="15" hidden="false" customHeight="false" outlineLevel="0" collapsed="false">
      <c r="A9375" s="4" t="s">
        <v>456</v>
      </c>
      <c r="B9375" s="36" t="s">
        <v>450</v>
      </c>
      <c r="C9375" s="34" t="n">
        <f aca="false">'Market Sizing'!$E$18*Assumptions!$E$10*Assumptions!$E$11*(1-Assumptions!$E$12)</f>
        <v>24.76992</v>
      </c>
    </row>
    <row r="9376" customFormat="false" ht="15" hidden="false" customHeight="false" outlineLevel="0" collapsed="false">
      <c r="A9376" s="4" t="s">
        <v>457</v>
      </c>
      <c r="B9376" s="36"/>
      <c r="C9376" s="34" t="n">
        <f aca="false">$C$9373+$C$9374+$C$9375</f>
        <v>779.44810944</v>
      </c>
    </row>
    <row r="9377" customFormat="false" ht="15" hidden="false" customHeight="false" outlineLevel="0" collapsed="false">
      <c r="A9377" s="4" t="s">
        <v>458</v>
      </c>
      <c r="B9377" s="36" t="s">
        <v>450</v>
      </c>
      <c r="C9377" s="34" t="n">
        <f aca="false">'Market Sizing'!$C$19*Assumptions!$E$10*Assumptions!$E$11*(1-Assumptions!$E$12)</f>
        <v>2060.77303936</v>
      </c>
    </row>
    <row r="9378" customFormat="false" ht="15" hidden="false" customHeight="false" outlineLevel="0" collapsed="false">
      <c r="A9378" s="4" t="s">
        <v>459</v>
      </c>
      <c r="B9378" s="36" t="s">
        <v>450</v>
      </c>
      <c r="C9378" s="34" t="n">
        <f aca="false">'Market Sizing'!$D$19*Assumptions!$E$10*Assumptions!$E$11*(1-Assumptions!$E$12)</f>
        <v>428.47616</v>
      </c>
    </row>
    <row r="9379" customFormat="false" ht="15" hidden="false" customHeight="false" outlineLevel="0" collapsed="false">
      <c r="A9379" s="4" t="s">
        <v>460</v>
      </c>
      <c r="B9379" s="36" t="s">
        <v>450</v>
      </c>
      <c r="C9379" s="34" t="n">
        <f aca="false">'Market Sizing'!$E$19*Assumptions!$E$10*Assumptions!$E$11*(1-Assumptions!$E$12)</f>
        <v>79.52448</v>
      </c>
    </row>
    <row r="9380" customFormat="false" ht="15" hidden="false" customHeight="false" outlineLevel="0" collapsed="false">
      <c r="A9380" s="4" t="s">
        <v>461</v>
      </c>
      <c r="B9380" s="36"/>
      <c r="C9380" s="34" t="n">
        <f aca="false">$C$9377+$C$9378+$C$9379</f>
        <v>2568.77367936</v>
      </c>
    </row>
    <row r="9381" customFormat="false" ht="15" hidden="false" customHeight="false" outlineLevel="0" collapsed="false">
      <c r="A9381" s="4" t="s">
        <v>462</v>
      </c>
      <c r="B9381" s="36" t="s">
        <v>463</v>
      </c>
      <c r="C9381" s="33" t="n">
        <f aca="false">MAX((Assumptions!$E$51+Assumptions!$E$53)*12,(((('Market Sizing'!$E$25*Assumptions!$E$41*Assumptions!$E$42*1)*Assumptions!$E$44)*Assumptions!$E$45*Assumptions!$E$46+('Market Sizing'!$E$25*Assumptions!$E$41*Assumptions!$E$42*1)*Assumptions!$E$47+('Market Sizing'!$E$25*Assumptions!$E$41*Assumptions!$E$42*1)*Assumptions!$E$48*Assumptions!$E$49)*(Assumptions!$E$51*12/Assumptions!$E$52)+((('Market Sizing'!$E$25*Assumptions!$E$41*Assumptions!$E$42*1)*Assumptions!$E$44)*Assumptions!$E$45+('Market Sizing'!$E$25*Assumptions!$E$41*Assumptions!$E$42*1)+('Market Sizing'!$E$25*Assumptions!$E$41*Assumptions!$E$42*1)*Assumptions!$E$48)*Assumptions!$E$50*(Assumptions!$E$53*12/Assumptions!$E$54)))</f>
        <v>5352</v>
      </c>
    </row>
    <row r="9382" customFormat="false" ht="15" hidden="false" customHeight="false" outlineLevel="0" collapsed="false">
      <c r="A9382" s="4" t="s">
        <v>464</v>
      </c>
      <c r="B9382" s="36" t="s">
        <v>463</v>
      </c>
      <c r="C9382" s="33" t="n">
        <f aca="false">MAX((Assumptions!$E$51+Assumptions!$E$53)*12,(((('Market Sizing'!$E$26*Assumptions!$E$41*Assumptions!$E$42*1)*Assumptions!$E$44)*Assumptions!$E$45*Assumptions!$E$46+('Market Sizing'!$E$26*Assumptions!$E$41*Assumptions!$E$42*1)*Assumptions!$E$47+('Market Sizing'!$E$26*Assumptions!$E$41*Assumptions!$E$42*1)*Assumptions!$E$48*Assumptions!$E$49)*(Assumptions!$E$51*12/Assumptions!$E$52)+((('Market Sizing'!$E$26*Assumptions!$E$41*Assumptions!$E$42*1)*Assumptions!$E$44)*Assumptions!$E$45+('Market Sizing'!$E$26*Assumptions!$E$41*Assumptions!$E$42*1)+('Market Sizing'!$E$26*Assumptions!$E$41*Assumptions!$E$42*1)*Assumptions!$E$48)*Assumptions!$E$50*(Assumptions!$E$53*12/Assumptions!$E$54)))</f>
        <v>9766.72012875208</v>
      </c>
    </row>
    <row r="9383" customFormat="false" ht="15" hidden="false" customHeight="false" outlineLevel="0" collapsed="false">
      <c r="A9383" s="4" t="s">
        <v>465</v>
      </c>
      <c r="B9383" s="36" t="s">
        <v>463</v>
      </c>
      <c r="C9383" s="33" t="n">
        <f aca="false">MAX(Assumptions!$E$55*(Assumptions!$E$51*12/Assumptions!$E$52)+Assumptions!$E$56*(Assumptions!$E$53*12/Assumptions!$E$54),(((('Market Sizing'!$E$27*Assumptions!$E$41*Assumptions!$E$42*1)*Assumptions!$E$44)*Assumptions!$E$45*Assumptions!$E$46+('Market Sizing'!$E$27*Assumptions!$E$41*Assumptions!$E$42*1)*Assumptions!$E$47+('Market Sizing'!$E$27*Assumptions!$E$41*Assumptions!$E$42*1)*Assumptions!$E$48*Assumptions!$E$49)*(Assumptions!$E$51*12/Assumptions!$E$52)+((('Market Sizing'!$E$27*Assumptions!$E$41*Assumptions!$E$42*1)*Assumptions!$E$44)*Assumptions!$E$45+('Market Sizing'!$E$27*Assumptions!$E$41*Assumptions!$E$42*1)+('Market Sizing'!$E$27*Assumptions!$E$41*Assumptions!$E$42*1)*Assumptions!$E$48)*Assumptions!$E$50*(Assumptions!$E$53*12/Assumptions!$E$54)))*(1-Assumptions!$E$57)</f>
        <v>61778.2562194386</v>
      </c>
    </row>
    <row r="9384" customFormat="false" ht="23.85" hidden="false" customHeight="false" outlineLevel="0" collapsed="false">
      <c r="A9384" s="4" t="s">
        <v>466</v>
      </c>
      <c r="B9384" s="36" t="s">
        <v>467</v>
      </c>
      <c r="C9384" s="37" t="n">
        <f aca="false">Assumptions!$E$17*Assumptions!$D$106</f>
        <v>0.4</v>
      </c>
    </row>
    <row r="9385" customFormat="false" ht="23.85" hidden="false" customHeight="false" outlineLevel="0" collapsed="false">
      <c r="A9385" s="4" t="s">
        <v>468</v>
      </c>
      <c r="B9385" s="36" t="s">
        <v>469</v>
      </c>
      <c r="C9385" s="33" t="n">
        <f aca="false">Assumptions!$E$68/Assumptions!$E$69</f>
        <v>285714.285714286</v>
      </c>
    </row>
    <row r="9386" customFormat="false" ht="23.85" hidden="false" customHeight="false" outlineLevel="0" collapsed="false">
      <c r="A9386" s="4" t="s">
        <v>470</v>
      </c>
      <c r="B9386" s="36" t="s">
        <v>471</v>
      </c>
      <c r="C9386" s="33" t="n">
        <f aca="false">Assumptions!$E$66*Assumptions!$E$67/4</f>
        <v>153125</v>
      </c>
    </row>
    <row r="9387" customFormat="false" ht="15" hidden="false" customHeight="false" outlineLevel="0" collapsed="false">
      <c r="A9387" s="4" t="s">
        <v>472</v>
      </c>
      <c r="B9387" s="36"/>
      <c r="C9387" s="38" t="n">
        <f aca="false">$C$9385/Assumptions!$E$66/Assumptions!$E$67</f>
        <v>0.466472303206997</v>
      </c>
    </row>
    <row r="9388" customFormat="false" ht="15" hidden="false" customHeight="false" outlineLevel="0" collapsed="false">
      <c r="A9388" s="4" t="s">
        <v>473</v>
      </c>
      <c r="B9388" s="36"/>
      <c r="C9388" s="33" t="n">
        <f aca="false">MAX(0,Assumptions!$D$103-Assumptions!$E$78)</f>
        <v>0</v>
      </c>
    </row>
    <row r="9389" customFormat="false" ht="15" hidden="false" customHeight="false" outlineLevel="0" collapsed="false">
      <c r="A9389" s="35" t="s">
        <v>474</v>
      </c>
      <c r="B9389" s="35" t="s">
        <v>444</v>
      </c>
      <c r="C9389" s="6" t="s">
        <v>354</v>
      </c>
      <c r="D9389" s="6" t="s">
        <v>355</v>
      </c>
      <c r="E9389" s="6" t="s">
        <v>356</v>
      </c>
      <c r="F9389" s="6" t="s">
        <v>357</v>
      </c>
      <c r="G9389" s="6" t="s">
        <v>358</v>
      </c>
      <c r="H9389" s="6" t="s">
        <v>359</v>
      </c>
      <c r="I9389" s="6" t="s">
        <v>360</v>
      </c>
      <c r="J9389" s="6" t="s">
        <v>361</v>
      </c>
      <c r="K9389" s="6" t="s">
        <v>362</v>
      </c>
      <c r="L9389" s="6" t="s">
        <v>363</v>
      </c>
      <c r="M9389" s="6" t="s">
        <v>364</v>
      </c>
      <c r="N9389" s="6" t="s">
        <v>365</v>
      </c>
      <c r="P9389" s="6" t="s">
        <v>445</v>
      </c>
      <c r="Q9389" s="6" t="s">
        <v>446</v>
      </c>
      <c r="R9389" s="6" t="s">
        <v>447</v>
      </c>
      <c r="S9389" s="6" t="s">
        <v>448</v>
      </c>
    </row>
    <row r="9390" customFormat="false" ht="15" hidden="false" customHeight="false" outlineLevel="0" collapsed="false">
      <c r="A9390" s="4" t="s">
        <v>475</v>
      </c>
      <c r="B9390" s="36" t="s">
        <v>133</v>
      </c>
      <c r="C9390" s="39" t="n">
        <v>1</v>
      </c>
      <c r="D9390" s="39" t="n">
        <v>2</v>
      </c>
      <c r="E9390" s="39" t="n">
        <v>3</v>
      </c>
      <c r="F9390" s="39" t="n">
        <v>4</v>
      </c>
      <c r="G9390" s="39" t="n">
        <v>5</v>
      </c>
      <c r="H9390" s="39" t="n">
        <v>6</v>
      </c>
      <c r="I9390" s="39" t="n">
        <v>7</v>
      </c>
      <c r="J9390" s="39" t="n">
        <v>8</v>
      </c>
      <c r="K9390" s="39" t="n">
        <v>9</v>
      </c>
      <c r="L9390" s="39" t="n">
        <v>10</v>
      </c>
      <c r="M9390" s="39" t="n">
        <v>11</v>
      </c>
      <c r="N9390" s="39" t="n">
        <v>12</v>
      </c>
      <c r="P9390" s="40"/>
      <c r="Q9390" s="40"/>
      <c r="R9390" s="40"/>
      <c r="S9390" s="41"/>
    </row>
    <row r="9391" customFormat="false" ht="15" hidden="false" customHeight="false" outlineLevel="0" collapsed="false">
      <c r="A9391" s="4" t="s">
        <v>476</v>
      </c>
      <c r="B9391" s="36" t="s">
        <v>343</v>
      </c>
      <c r="C9391" s="39" t="n">
        <f aca="false">IF(C9390&lt;=Assumptions!$E$84,1,0)</f>
        <v>1</v>
      </c>
      <c r="D9391" s="39" t="n">
        <f aca="false">IF(D9390&lt;=Assumptions!$E$84,1,0)</f>
        <v>1</v>
      </c>
      <c r="E9391" s="39" t="n">
        <f aca="false">IF(E9390&lt;=Assumptions!$E$84,1,0)</f>
        <v>1</v>
      </c>
      <c r="F9391" s="39" t="n">
        <f aca="false">IF(F9390&lt;=Assumptions!$E$84,1,0)</f>
        <v>1</v>
      </c>
      <c r="G9391" s="39" t="n">
        <f aca="false">IF(G9390&lt;=Assumptions!$E$84,1,0)</f>
        <v>1</v>
      </c>
      <c r="H9391" s="39" t="n">
        <f aca="false">IF(H9390&lt;=Assumptions!$E$84,1,0)</f>
        <v>1</v>
      </c>
      <c r="I9391" s="39" t="n">
        <f aca="false">IF(I9390&lt;=Assumptions!$E$84,1,0)</f>
        <v>1</v>
      </c>
      <c r="J9391" s="39" t="n">
        <f aca="false">IF(J9390&lt;=Assumptions!$E$84,1,0)</f>
        <v>1</v>
      </c>
      <c r="K9391" s="39" t="n">
        <f aca="false">IF(K9390&lt;=Assumptions!$E$84,1,0)</f>
        <v>1</v>
      </c>
      <c r="L9391" s="39" t="n">
        <f aca="false">IF(L9390&lt;=Assumptions!$E$84,1,0)</f>
        <v>1</v>
      </c>
      <c r="M9391" s="39" t="n">
        <f aca="false">IF(M9390&lt;=Assumptions!$E$84,1,0)</f>
        <v>1</v>
      </c>
      <c r="N9391" s="39" t="n">
        <f aca="false">IF(N9390&lt;=Assumptions!$E$84,1,0)</f>
        <v>1</v>
      </c>
      <c r="P9391" s="40"/>
      <c r="Q9391" s="40"/>
      <c r="R9391" s="40"/>
      <c r="S9391" s="41"/>
    </row>
    <row r="9392" customFormat="false" ht="15" hidden="false" customHeight="false" outlineLevel="0" collapsed="false">
      <c r="A9392" s="4" t="s">
        <v>477</v>
      </c>
      <c r="B9392" s="36" t="s">
        <v>478</v>
      </c>
      <c r="C9392" s="42" t="n">
        <f aca="false">IF(C9390=Assumptions!$E$13,0.5,IF(C9390&gt;Assumptions!$E$13,1,0))</f>
        <v>0.5</v>
      </c>
      <c r="D9392" s="42" t="n">
        <f aca="false">IF(D9390=Assumptions!$E$13,0.5,IF(D9390&gt;Assumptions!$E$13,1,0))</f>
        <v>1</v>
      </c>
      <c r="E9392" s="42" t="n">
        <f aca="false">IF(E9390=Assumptions!$E$13,0.5,IF(E9390&gt;Assumptions!$E$13,1,0))</f>
        <v>1</v>
      </c>
      <c r="F9392" s="42" t="n">
        <f aca="false">IF(F9390=Assumptions!$E$13,0.5,IF(F9390&gt;Assumptions!$E$13,1,0))</f>
        <v>1</v>
      </c>
      <c r="G9392" s="42" t="n">
        <f aca="false">IF(G9390=Assumptions!$E$13,0.5,IF(G9390&gt;Assumptions!$E$13,1,0))</f>
        <v>1</v>
      </c>
      <c r="H9392" s="42" t="n">
        <f aca="false">IF(H9390=Assumptions!$E$13,0.5,IF(H9390&gt;Assumptions!$E$13,1,0))</f>
        <v>1</v>
      </c>
      <c r="I9392" s="42" t="n">
        <f aca="false">IF(I9390=Assumptions!$E$13,0.5,IF(I9390&gt;Assumptions!$E$13,1,0))</f>
        <v>1</v>
      </c>
      <c r="J9392" s="42" t="n">
        <f aca="false">IF(J9390=Assumptions!$E$13,0.5,IF(J9390&gt;Assumptions!$E$13,1,0))</f>
        <v>1</v>
      </c>
      <c r="K9392" s="42" t="n">
        <f aca="false">IF(K9390=Assumptions!$E$13,0.5,IF(K9390&gt;Assumptions!$E$13,1,0))</f>
        <v>1</v>
      </c>
      <c r="L9392" s="42" t="n">
        <f aca="false">IF(L9390=Assumptions!$E$13,0.5,IF(L9390&gt;Assumptions!$E$13,1,0))</f>
        <v>1</v>
      </c>
      <c r="M9392" s="42" t="n">
        <f aca="false">IF(M9390=Assumptions!$E$13,0.5,IF(M9390&gt;Assumptions!$E$13,1,0))</f>
        <v>1</v>
      </c>
      <c r="N9392" s="42" t="n">
        <f aca="false">IF(N9390=Assumptions!$E$13,0.5,IF(N9390&gt;Assumptions!$E$13,1,0))</f>
        <v>1</v>
      </c>
      <c r="P9392" s="43"/>
      <c r="Q9392" s="43"/>
      <c r="R9392" s="43"/>
      <c r="S9392" s="44"/>
    </row>
    <row r="9393" customFormat="false" ht="15" hidden="false" customHeight="false" outlineLevel="0" collapsed="false">
      <c r="A9393" s="4" t="s">
        <v>479</v>
      </c>
      <c r="B9393" s="36" t="s">
        <v>478</v>
      </c>
      <c r="C9393" s="42" t="n">
        <f aca="false">IF(C9390=Assumptions!$E$14,0.5,IF(C9390&gt;Assumptions!$E$14,1,0))</f>
        <v>0</v>
      </c>
      <c r="D9393" s="42" t="n">
        <f aca="false">IF(D9390=Assumptions!$E$14,0.5,IF(D9390&gt;Assumptions!$E$14,1,0))</f>
        <v>0</v>
      </c>
      <c r="E9393" s="42" t="n">
        <f aca="false">IF(E9390=Assumptions!$E$14,0.5,IF(E9390&gt;Assumptions!$E$14,1,0))</f>
        <v>0</v>
      </c>
      <c r="F9393" s="42" t="n">
        <f aca="false">IF(F9390=Assumptions!$E$14,0.5,IF(F9390&gt;Assumptions!$E$14,1,0))</f>
        <v>0</v>
      </c>
      <c r="G9393" s="42" t="n">
        <f aca="false">IF(G9390=Assumptions!$E$14,0.5,IF(G9390&gt;Assumptions!$E$14,1,0))</f>
        <v>0.5</v>
      </c>
      <c r="H9393" s="42" t="n">
        <f aca="false">IF(H9390=Assumptions!$E$14,0.5,IF(H9390&gt;Assumptions!$E$14,1,0))</f>
        <v>1</v>
      </c>
      <c r="I9393" s="42" t="n">
        <f aca="false">IF(I9390=Assumptions!$E$14,0.5,IF(I9390&gt;Assumptions!$E$14,1,0))</f>
        <v>1</v>
      </c>
      <c r="J9393" s="42" t="n">
        <f aca="false">IF(J9390=Assumptions!$E$14,0.5,IF(J9390&gt;Assumptions!$E$14,1,0))</f>
        <v>1</v>
      </c>
      <c r="K9393" s="42" t="n">
        <f aca="false">IF(K9390=Assumptions!$E$14,0.5,IF(K9390&gt;Assumptions!$E$14,1,0))</f>
        <v>1</v>
      </c>
      <c r="L9393" s="42" t="n">
        <f aca="false">IF(L9390=Assumptions!$E$14,0.5,IF(L9390&gt;Assumptions!$E$14,1,0))</f>
        <v>1</v>
      </c>
      <c r="M9393" s="42" t="n">
        <f aca="false">IF(M9390=Assumptions!$E$14,0.5,IF(M9390&gt;Assumptions!$E$14,1,0))</f>
        <v>1</v>
      </c>
      <c r="N9393" s="42" t="n">
        <f aca="false">IF(N9390=Assumptions!$E$14,0.5,IF(N9390&gt;Assumptions!$E$14,1,0))</f>
        <v>1</v>
      </c>
      <c r="P9393" s="43"/>
      <c r="Q9393" s="43"/>
      <c r="R9393" s="43"/>
      <c r="S9393" s="44"/>
    </row>
    <row r="9394" customFormat="false" ht="15" hidden="false" customHeight="false" outlineLevel="0" collapsed="false">
      <c r="A9394" s="4" t="s">
        <v>480</v>
      </c>
      <c r="B9394" s="36" t="s">
        <v>478</v>
      </c>
      <c r="C9394" s="42" t="n">
        <f aca="false">IF(C9390=Assumptions!$E$15,0.5,IF(C9390&gt;Assumptions!$E$15,1,0))</f>
        <v>0</v>
      </c>
      <c r="D9394" s="42" t="n">
        <f aca="false">IF(D9390=Assumptions!$E$15,0.5,IF(D9390&gt;Assumptions!$E$15,1,0))</f>
        <v>0</v>
      </c>
      <c r="E9394" s="42" t="n">
        <f aca="false">IF(E9390=Assumptions!$E$15,0.5,IF(E9390&gt;Assumptions!$E$15,1,0))</f>
        <v>0</v>
      </c>
      <c r="F9394" s="42" t="n">
        <f aca="false">IF(F9390=Assumptions!$E$15,0.5,IF(F9390&gt;Assumptions!$E$15,1,0))</f>
        <v>0</v>
      </c>
      <c r="G9394" s="42" t="n">
        <f aca="false">IF(G9390=Assumptions!$E$15,0.5,IF(G9390&gt;Assumptions!$E$15,1,0))</f>
        <v>0</v>
      </c>
      <c r="H9394" s="42" t="n">
        <f aca="false">IF(H9390=Assumptions!$E$15,0.5,IF(H9390&gt;Assumptions!$E$15,1,0))</f>
        <v>0</v>
      </c>
      <c r="I9394" s="42" t="n">
        <f aca="false">IF(I9390=Assumptions!$E$15,0.5,IF(I9390&gt;Assumptions!$E$15,1,0))</f>
        <v>0.5</v>
      </c>
      <c r="J9394" s="42" t="n">
        <f aca="false">IF(J9390=Assumptions!$E$15,0.5,IF(J9390&gt;Assumptions!$E$15,1,0))</f>
        <v>1</v>
      </c>
      <c r="K9394" s="42" t="n">
        <f aca="false">IF(K9390=Assumptions!$E$15,0.5,IF(K9390&gt;Assumptions!$E$15,1,0))</f>
        <v>1</v>
      </c>
      <c r="L9394" s="42" t="n">
        <f aca="false">IF(L9390=Assumptions!$E$15,0.5,IF(L9390&gt;Assumptions!$E$15,1,0))</f>
        <v>1</v>
      </c>
      <c r="M9394" s="42" t="n">
        <f aca="false">IF(M9390=Assumptions!$E$15,0.5,IF(M9390&gt;Assumptions!$E$15,1,0))</f>
        <v>1</v>
      </c>
      <c r="N9394" s="42" t="n">
        <f aca="false">IF(N9390=Assumptions!$E$15,0.5,IF(N9390&gt;Assumptions!$E$15,1,0))</f>
        <v>1</v>
      </c>
      <c r="P9394" s="43"/>
      <c r="Q9394" s="43"/>
      <c r="R9394" s="43"/>
      <c r="S9394" s="44"/>
    </row>
    <row r="9395" customFormat="false" ht="15" hidden="false" customHeight="false" outlineLevel="0" collapsed="false">
      <c r="A9395" s="4" t="s">
        <v>481</v>
      </c>
      <c r="B9395" s="36" t="s">
        <v>478</v>
      </c>
      <c r="C9395" s="45" t="n">
        <f aca="false">Assumptions!$E$21^(MAX(0,C9390-Assumptions!$E$13)/4)</f>
        <v>1</v>
      </c>
      <c r="D9395" s="45" t="n">
        <f aca="false">Assumptions!$E$21^(MAX(0,D9390-Assumptions!$E$13)/4)</f>
        <v>0.9306048591021</v>
      </c>
      <c r="E9395" s="45" t="n">
        <f aca="false">Assumptions!$E$21^(MAX(0,E9390-Assumptions!$E$13)/4)</f>
        <v>0.866025403784439</v>
      </c>
      <c r="F9395" s="45" t="n">
        <f aca="false">Assumptions!$E$21^(MAX(0,F9390-Assumptions!$E$13)/4)</f>
        <v>0.805927448867656</v>
      </c>
      <c r="G9395" s="45" t="n">
        <f aca="false">Assumptions!$E$21^(MAX(0,G9390-Assumptions!$E$13)/4)</f>
        <v>0.75</v>
      </c>
      <c r="H9395" s="45" t="n">
        <f aca="false">Assumptions!$E$21^(MAX(0,H9390-Assumptions!$E$13)/4)</f>
        <v>0.697953644326575</v>
      </c>
      <c r="I9395" s="45" t="n">
        <f aca="false">Assumptions!$E$21^(MAX(0,I9390-Assumptions!$E$13)/4)</f>
        <v>0.649519052838329</v>
      </c>
      <c r="J9395" s="45" t="n">
        <f aca="false">Assumptions!$E$21^(MAX(0,J9390-Assumptions!$E$13)/4)</f>
        <v>0.604445586650742</v>
      </c>
      <c r="K9395" s="45" t="n">
        <f aca="false">Assumptions!$E$21^(MAX(0,K9390-Assumptions!$E$13)/4)</f>
        <v>0.5625</v>
      </c>
      <c r="L9395" s="45" t="n">
        <f aca="false">Assumptions!$E$21^(MAX(0,L9390-Assumptions!$E$13)/4)</f>
        <v>0.523465233244931</v>
      </c>
      <c r="M9395" s="45" t="n">
        <f aca="false">Assumptions!$E$21^(MAX(0,M9390-Assumptions!$E$13)/4)</f>
        <v>0.487139289628747</v>
      </c>
      <c r="N9395" s="45" t="n">
        <f aca="false">Assumptions!$E$21^(MAX(0,N9390-Assumptions!$E$13)/4)</f>
        <v>0.453334189988057</v>
      </c>
      <c r="P9395" s="46"/>
      <c r="Q9395" s="46"/>
      <c r="R9395" s="46"/>
      <c r="S9395" s="47"/>
    </row>
    <row r="9396" customFormat="false" ht="15" hidden="false" customHeight="false" outlineLevel="0" collapsed="false">
      <c r="A9396" s="4" t="s">
        <v>482</v>
      </c>
      <c r="B9396" s="36" t="s">
        <v>478</v>
      </c>
      <c r="C9396" s="45" t="n">
        <f aca="false">Assumptions!$E$21^(MAX(0,C9390-Assumptions!$E$14)/4)</f>
        <v>1</v>
      </c>
      <c r="D9396" s="45" t="n">
        <f aca="false">Assumptions!$E$21^(MAX(0,D9390-Assumptions!$E$14)/4)</f>
        <v>1</v>
      </c>
      <c r="E9396" s="45" t="n">
        <f aca="false">Assumptions!$E$21^(MAX(0,E9390-Assumptions!$E$14)/4)</f>
        <v>1</v>
      </c>
      <c r="F9396" s="45" t="n">
        <f aca="false">Assumptions!$E$21^(MAX(0,F9390-Assumptions!$E$14)/4)</f>
        <v>1</v>
      </c>
      <c r="G9396" s="45" t="n">
        <f aca="false">Assumptions!$E$21^(MAX(0,G9390-Assumptions!$E$14)/4)</f>
        <v>1</v>
      </c>
      <c r="H9396" s="45" t="n">
        <f aca="false">Assumptions!$E$21^(MAX(0,H9390-Assumptions!$E$14)/4)</f>
        <v>0.9306048591021</v>
      </c>
      <c r="I9396" s="45" t="n">
        <f aca="false">Assumptions!$E$21^(MAX(0,I9390-Assumptions!$E$14)/4)</f>
        <v>0.866025403784439</v>
      </c>
      <c r="J9396" s="45" t="n">
        <f aca="false">Assumptions!$E$21^(MAX(0,J9390-Assumptions!$E$14)/4)</f>
        <v>0.805927448867656</v>
      </c>
      <c r="K9396" s="45" t="n">
        <f aca="false">Assumptions!$E$21^(MAX(0,K9390-Assumptions!$E$14)/4)</f>
        <v>0.75</v>
      </c>
      <c r="L9396" s="45" t="n">
        <f aca="false">Assumptions!$E$21^(MAX(0,L9390-Assumptions!$E$14)/4)</f>
        <v>0.697953644326575</v>
      </c>
      <c r="M9396" s="45" t="n">
        <f aca="false">Assumptions!$E$21^(MAX(0,M9390-Assumptions!$E$14)/4)</f>
        <v>0.649519052838329</v>
      </c>
      <c r="N9396" s="45" t="n">
        <f aca="false">Assumptions!$E$21^(MAX(0,N9390-Assumptions!$E$14)/4)</f>
        <v>0.604445586650742</v>
      </c>
      <c r="P9396" s="46"/>
      <c r="Q9396" s="46"/>
      <c r="R9396" s="46"/>
      <c r="S9396" s="47"/>
    </row>
    <row r="9397" customFormat="false" ht="15" hidden="false" customHeight="false" outlineLevel="0" collapsed="false">
      <c r="A9397" s="4" t="s">
        <v>483</v>
      </c>
      <c r="B9397" s="36" t="s">
        <v>478</v>
      </c>
      <c r="C9397" s="45" t="n">
        <f aca="false">Assumptions!$E$21^(MAX(0,C9390-Assumptions!$E$15)/4)</f>
        <v>1</v>
      </c>
      <c r="D9397" s="45" t="n">
        <f aca="false">Assumptions!$E$21^(MAX(0,D9390-Assumptions!$E$15)/4)</f>
        <v>1</v>
      </c>
      <c r="E9397" s="45" t="n">
        <f aca="false">Assumptions!$E$21^(MAX(0,E9390-Assumptions!$E$15)/4)</f>
        <v>1</v>
      </c>
      <c r="F9397" s="45" t="n">
        <f aca="false">Assumptions!$E$21^(MAX(0,F9390-Assumptions!$E$15)/4)</f>
        <v>1</v>
      </c>
      <c r="G9397" s="45" t="n">
        <f aca="false">Assumptions!$E$21^(MAX(0,G9390-Assumptions!$E$15)/4)</f>
        <v>1</v>
      </c>
      <c r="H9397" s="45" t="n">
        <f aca="false">Assumptions!$E$21^(MAX(0,H9390-Assumptions!$E$15)/4)</f>
        <v>1</v>
      </c>
      <c r="I9397" s="45" t="n">
        <f aca="false">Assumptions!$E$21^(MAX(0,I9390-Assumptions!$E$15)/4)</f>
        <v>1</v>
      </c>
      <c r="J9397" s="45" t="n">
        <f aca="false">Assumptions!$E$21^(MAX(0,J9390-Assumptions!$E$15)/4)</f>
        <v>0.9306048591021</v>
      </c>
      <c r="K9397" s="45" t="n">
        <f aca="false">Assumptions!$E$21^(MAX(0,K9390-Assumptions!$E$15)/4)</f>
        <v>0.866025403784439</v>
      </c>
      <c r="L9397" s="45" t="n">
        <f aca="false">Assumptions!$E$21^(MAX(0,L9390-Assumptions!$E$15)/4)</f>
        <v>0.805927448867656</v>
      </c>
      <c r="M9397" s="45" t="n">
        <f aca="false">Assumptions!$E$21^(MAX(0,M9390-Assumptions!$E$15)/4)</f>
        <v>0.75</v>
      </c>
      <c r="N9397" s="45" t="n">
        <f aca="false">Assumptions!$E$21^(MAX(0,N9390-Assumptions!$E$15)/4)</f>
        <v>0.697953644326575</v>
      </c>
      <c r="P9397" s="46"/>
      <c r="Q9397" s="46"/>
      <c r="R9397" s="46"/>
      <c r="S9397" s="47"/>
    </row>
    <row r="9398" customFormat="false" ht="15" hidden="false" customHeight="false" outlineLevel="0" collapsed="false">
      <c r="A9398" s="4" t="s">
        <v>484</v>
      </c>
      <c r="B9398" s="36" t="s">
        <v>485</v>
      </c>
      <c r="C9398" s="39" t="n">
        <f aca="false">$C$9369*C9392+$C$9373*C9393+$C$9377*C9394</f>
        <v>421.51972352</v>
      </c>
      <c r="D9398" s="39" t="n">
        <f aca="false">$C$9369*D9392+$C$9373*D9393+$C$9377*D9394</f>
        <v>843.03944704</v>
      </c>
      <c r="E9398" s="39" t="n">
        <f aca="false">$C$9369*E9392+$C$9373*E9393+$C$9377*E9394</f>
        <v>843.03944704</v>
      </c>
      <c r="F9398" s="39" t="n">
        <f aca="false">$C$9369*F9392+$C$9373*F9393+$C$9377*F9394</f>
        <v>843.03944704</v>
      </c>
      <c r="G9398" s="39" t="n">
        <f aca="false">$C$9369*G9392+$C$9373*G9393+$C$9377*G9394</f>
        <v>1149.32798176</v>
      </c>
      <c r="H9398" s="39" t="n">
        <f aca="false">$C$9369*H9392+$C$9373*H9393+$C$9377*H9394</f>
        <v>1455.61651648</v>
      </c>
      <c r="I9398" s="39" t="n">
        <f aca="false">$C$9369*I9392+$C$9373*I9393+$C$9377*I9394</f>
        <v>2486.00303616</v>
      </c>
      <c r="J9398" s="39" t="n">
        <f aca="false">$C$9369*J9392+$C$9373*J9393+$C$9377*J9394</f>
        <v>3516.38955584</v>
      </c>
      <c r="K9398" s="39" t="n">
        <f aca="false">$C$9369*K9392+$C$9373*K9393+$C$9377*K9394</f>
        <v>3516.38955584</v>
      </c>
      <c r="L9398" s="39" t="n">
        <f aca="false">$C$9369*L9392+$C$9373*L9393+$C$9377*L9394</f>
        <v>3516.38955584</v>
      </c>
      <c r="M9398" s="39" t="n">
        <f aca="false">$C$9369*M9392+$C$9373*M9393+$C$9377*M9394</f>
        <v>3516.38955584</v>
      </c>
      <c r="N9398" s="39" t="n">
        <f aca="false">$C$9369*N9392+$C$9373*N9393+$C$9377*N9394</f>
        <v>3516.38955584</v>
      </c>
      <c r="P9398" s="40" t="n">
        <f aca="false">F9398</f>
        <v>843.03944704</v>
      </c>
      <c r="Q9398" s="40" t="n">
        <f aca="false">J9398</f>
        <v>3516.38955584</v>
      </c>
      <c r="R9398" s="40" t="n">
        <f aca="false">N9398</f>
        <v>3516.38955584</v>
      </c>
      <c r="S9398" s="41" t="n">
        <f aca="false">R9398</f>
        <v>3516.38955584</v>
      </c>
    </row>
    <row r="9399" customFormat="false" ht="15" hidden="false" customHeight="false" outlineLevel="0" collapsed="false">
      <c r="A9399" s="4" t="s">
        <v>486</v>
      </c>
      <c r="B9399" s="36" t="s">
        <v>485</v>
      </c>
      <c r="C9399" s="39" t="n">
        <f aca="false">$C$9370*C9392+$C$9374*C9393+$C$9378*C9394</f>
        <v>105.59808</v>
      </c>
      <c r="D9399" s="39" t="n">
        <f aca="false">$C$9370*D9392+$C$9374*D9393+$C$9378*D9394</f>
        <v>211.19616</v>
      </c>
      <c r="E9399" s="39" t="n">
        <f aca="false">$C$9370*E9392+$C$9374*E9393+$C$9378*E9394</f>
        <v>211.19616</v>
      </c>
      <c r="F9399" s="39" t="n">
        <f aca="false">$C$9370*F9392+$C$9374*F9393+$C$9378*F9394</f>
        <v>211.19616</v>
      </c>
      <c r="G9399" s="39" t="n">
        <f aca="false">$C$9370*G9392+$C$9374*G9393+$C$9378*G9394</f>
        <v>282.24672</v>
      </c>
      <c r="H9399" s="39" t="n">
        <f aca="false">$C$9370*H9392+$C$9374*H9393+$C$9378*H9394</f>
        <v>353.29728</v>
      </c>
      <c r="I9399" s="39" t="n">
        <f aca="false">$C$9370*I9392+$C$9374*I9393+$C$9378*I9394</f>
        <v>567.53536</v>
      </c>
      <c r="J9399" s="39" t="n">
        <f aca="false">$C$9370*J9392+$C$9374*J9393+$C$9378*J9394</f>
        <v>781.77344</v>
      </c>
      <c r="K9399" s="39" t="n">
        <f aca="false">$C$9370*K9392+$C$9374*K9393+$C$9378*K9394</f>
        <v>781.77344</v>
      </c>
      <c r="L9399" s="39" t="n">
        <f aca="false">$C$9370*L9392+$C$9374*L9393+$C$9378*L9394</f>
        <v>781.77344</v>
      </c>
      <c r="M9399" s="39" t="n">
        <f aca="false">$C$9370*M9392+$C$9374*M9393+$C$9378*M9394</f>
        <v>781.77344</v>
      </c>
      <c r="N9399" s="39" t="n">
        <f aca="false">$C$9370*N9392+$C$9374*N9393+$C$9378*N9394</f>
        <v>781.77344</v>
      </c>
      <c r="P9399" s="40" t="n">
        <f aca="false">F9399</f>
        <v>211.19616</v>
      </c>
      <c r="Q9399" s="40" t="n">
        <f aca="false">J9399</f>
        <v>781.77344</v>
      </c>
      <c r="R9399" s="40" t="n">
        <f aca="false">N9399</f>
        <v>781.77344</v>
      </c>
      <c r="S9399" s="41" t="n">
        <f aca="false">R9399</f>
        <v>781.77344</v>
      </c>
    </row>
    <row r="9400" customFormat="false" ht="15" hidden="false" customHeight="false" outlineLevel="0" collapsed="false">
      <c r="A9400" s="4" t="s">
        <v>487</v>
      </c>
      <c r="B9400" s="36" t="s">
        <v>485</v>
      </c>
      <c r="C9400" s="39" t="n">
        <f aca="false">$C$9371*C9392+$C$9375*C9393+$C$9379*C9394</f>
        <v>24.76992</v>
      </c>
      <c r="D9400" s="39" t="n">
        <f aca="false">$C$9371*D9392+$C$9375*D9393+$C$9379*D9394</f>
        <v>49.53984</v>
      </c>
      <c r="E9400" s="39" t="n">
        <f aca="false">$C$9371*E9392+$C$9375*E9393+$C$9379*E9394</f>
        <v>49.53984</v>
      </c>
      <c r="F9400" s="39" t="n">
        <f aca="false">$C$9371*F9392+$C$9375*F9393+$C$9379*F9394</f>
        <v>49.53984</v>
      </c>
      <c r="G9400" s="39" t="n">
        <f aca="false">$C$9371*G9392+$C$9375*G9393+$C$9379*G9394</f>
        <v>61.9248</v>
      </c>
      <c r="H9400" s="39" t="n">
        <f aca="false">$C$9371*H9392+$C$9375*H9393+$C$9379*H9394</f>
        <v>74.30976</v>
      </c>
      <c r="I9400" s="39" t="n">
        <f aca="false">$C$9371*I9392+$C$9375*I9393+$C$9379*I9394</f>
        <v>114.072</v>
      </c>
      <c r="J9400" s="39" t="n">
        <f aca="false">$C$9371*J9392+$C$9375*J9393+$C$9379*J9394</f>
        <v>153.83424</v>
      </c>
      <c r="K9400" s="39" t="n">
        <f aca="false">$C$9371*K9392+$C$9375*K9393+$C$9379*K9394</f>
        <v>153.83424</v>
      </c>
      <c r="L9400" s="39" t="n">
        <f aca="false">$C$9371*L9392+$C$9375*L9393+$C$9379*L9394</f>
        <v>153.83424</v>
      </c>
      <c r="M9400" s="39" t="n">
        <f aca="false">$C$9371*M9392+$C$9375*M9393+$C$9379*M9394</f>
        <v>153.83424</v>
      </c>
      <c r="N9400" s="39" t="n">
        <f aca="false">$C$9371*N9392+$C$9375*N9393+$C$9379*N9394</f>
        <v>153.83424</v>
      </c>
      <c r="P9400" s="40" t="n">
        <f aca="false">F9400</f>
        <v>49.53984</v>
      </c>
      <c r="Q9400" s="40" t="n">
        <f aca="false">J9400</f>
        <v>153.83424</v>
      </c>
      <c r="R9400" s="40" t="n">
        <f aca="false">N9400</f>
        <v>153.83424</v>
      </c>
      <c r="S9400" s="41" t="n">
        <f aca="false">R9400</f>
        <v>153.83424</v>
      </c>
    </row>
    <row r="9401" customFormat="false" ht="15" hidden="false" customHeight="false" outlineLevel="0" collapsed="false">
      <c r="A9401" s="4" t="s">
        <v>488</v>
      </c>
      <c r="B9401" s="36" t="s">
        <v>485</v>
      </c>
      <c r="C9401" s="39" t="n">
        <f aca="false">C9398+C9399+C9400</f>
        <v>551.88772352</v>
      </c>
      <c r="D9401" s="39" t="n">
        <f aca="false">D9398+D9399+D9400</f>
        <v>1103.77544704</v>
      </c>
      <c r="E9401" s="39" t="n">
        <f aca="false">E9398+E9399+E9400</f>
        <v>1103.77544704</v>
      </c>
      <c r="F9401" s="39" t="n">
        <f aca="false">F9398+F9399+F9400</f>
        <v>1103.77544704</v>
      </c>
      <c r="G9401" s="39" t="n">
        <f aca="false">G9398+G9399+G9400</f>
        <v>1493.49950176</v>
      </c>
      <c r="H9401" s="39" t="n">
        <f aca="false">H9398+H9399+H9400</f>
        <v>1883.22355648</v>
      </c>
      <c r="I9401" s="39" t="n">
        <f aca="false">I9398+I9399+I9400</f>
        <v>3167.61039616</v>
      </c>
      <c r="J9401" s="39" t="n">
        <f aca="false">J9398+J9399+J9400</f>
        <v>4451.99723584</v>
      </c>
      <c r="K9401" s="39" t="n">
        <f aca="false">K9398+K9399+K9400</f>
        <v>4451.99723584</v>
      </c>
      <c r="L9401" s="39" t="n">
        <f aca="false">L9398+L9399+L9400</f>
        <v>4451.99723584</v>
      </c>
      <c r="M9401" s="39" t="n">
        <f aca="false">M9398+M9399+M9400</f>
        <v>4451.99723584</v>
      </c>
      <c r="N9401" s="39" t="n">
        <f aca="false">N9398+N9399+N9400</f>
        <v>4451.99723584</v>
      </c>
      <c r="P9401" s="40" t="n">
        <f aca="false">F9401</f>
        <v>1103.77544704</v>
      </c>
      <c r="Q9401" s="40" t="n">
        <f aca="false">J9401</f>
        <v>4451.99723584</v>
      </c>
      <c r="R9401" s="40" t="n">
        <f aca="false">N9401</f>
        <v>4451.99723584</v>
      </c>
      <c r="S9401" s="41" t="n">
        <f aca="false">R9401</f>
        <v>4451.99723584</v>
      </c>
    </row>
    <row r="9402" customFormat="false" ht="15" hidden="false" customHeight="false" outlineLevel="0" collapsed="false">
      <c r="A9402" s="4" t="s">
        <v>489</v>
      </c>
      <c r="B9402" s="36" t="s">
        <v>485</v>
      </c>
      <c r="C9402" s="39" t="n">
        <f aca="false">$C$9372*C9392*C9395+$C$9376*C9393*C9396+$C$9380*C9394*C9397</f>
        <v>551.88772352</v>
      </c>
      <c r="D9402" s="39" t="n">
        <f aca="false">$C$9372*D9392*D9395+$C$9376*D9393*D9396+$C$9380*D9394*D9397</f>
        <v>1027.17879437302</v>
      </c>
      <c r="E9402" s="39" t="n">
        <f aca="false">$C$9372*E9392*E9395+$C$9376*E9393*E9396+$C$9380*E9394*E9397</f>
        <v>955.897577210165</v>
      </c>
      <c r="F9402" s="39" t="n">
        <f aca="false">$C$9372*F9392*F9395+$C$9376*F9393*F9396+$C$9380*F9394*F9397</f>
        <v>889.562930155704</v>
      </c>
      <c r="G9402" s="39" t="n">
        <f aca="false">$C$9372*G9392*G9395+$C$9376*G9393*G9396+$C$9380*G9394*G9397</f>
        <v>1217.55564</v>
      </c>
      <c r="H9402" s="39" t="n">
        <f aca="false">$C$9372*H9392*H9395+$C$9376*H9393*H9396+$C$9380*H9394*H9397</f>
        <v>1495.74229384257</v>
      </c>
      <c r="I9402" s="39" t="n">
        <f aca="false">$C$9372*I9392*I9395+$C$9376*I9393*I9396+$C$9380*I9394*I9397</f>
        <v>2676.33188629442</v>
      </c>
      <c r="J9402" s="39" t="n">
        <f aca="false">$C$9372*J9392*J9395+$C$9376*J9393*J9396+$C$9380*J9394*J9397</f>
        <v>3685.86409192847</v>
      </c>
      <c r="K9402" s="39" t="n">
        <f aca="false">$C$9372*K9392*K9395+$C$9376*K9393*K9396+$C$9380*K9394*K9397</f>
        <v>3430.08303393858</v>
      </c>
      <c r="L9402" s="39" t="n">
        <f aca="false">$C$9372*L9392*L9395+$C$9376*L9393*L9396+$C$9380*L9394*L9397</f>
        <v>3192.05193850692</v>
      </c>
      <c r="M9402" s="39" t="n">
        <f aca="false">$C$9372*M9392*M9395+$C$9376*M9393*M9396+$C$9380*M9394*M9397</f>
        <v>2970.53904448081</v>
      </c>
      <c r="N9402" s="39" t="n">
        <f aca="false">$C$9372*N9392*N9395+$C$9376*N9393*N9396+$C$9380*N9394*N9397</f>
        <v>2764.39806894635</v>
      </c>
      <c r="P9402" s="40"/>
      <c r="Q9402" s="40"/>
      <c r="R9402" s="40"/>
      <c r="S9402" s="41"/>
    </row>
    <row r="9403" customFormat="false" ht="15" hidden="false" customHeight="false" outlineLevel="0" collapsed="false">
      <c r="A9403" s="4" t="s">
        <v>490</v>
      </c>
      <c r="B9403" s="36" t="s">
        <v>491</v>
      </c>
      <c r="C9403" s="48" t="n">
        <f aca="false">$C$9384*Assumptions!$E$20*C9391*C9402</f>
        <v>6.62265268224</v>
      </c>
      <c r="D9403" s="48" t="n">
        <f aca="false">$C$9384*Assumptions!$E$20*D9391*D9402</f>
        <v>12.3261455324762</v>
      </c>
      <c r="E9403" s="48" t="n">
        <f aca="false">$C$9384*Assumptions!$E$20*E9391*E9402</f>
        <v>11.470770926522</v>
      </c>
      <c r="F9403" s="48" t="n">
        <f aca="false">$C$9384*Assumptions!$E$20*F9391*F9402</f>
        <v>10.6747551618685</v>
      </c>
      <c r="G9403" s="48" t="n">
        <f aca="false">$C$9384*Assumptions!$E$20*G9391*G9402</f>
        <v>14.61066768</v>
      </c>
      <c r="H9403" s="48" t="n">
        <f aca="false">$C$9384*Assumptions!$E$20*H9391*H9402</f>
        <v>17.9489075261109</v>
      </c>
      <c r="I9403" s="48" t="n">
        <f aca="false">$C$9384*Assumptions!$E$20*I9391*I9402</f>
        <v>32.115982635533</v>
      </c>
      <c r="J9403" s="48" t="n">
        <f aca="false">$C$9384*Assumptions!$E$20*J9391*J9402</f>
        <v>44.2303691031417</v>
      </c>
      <c r="K9403" s="48" t="n">
        <f aca="false">$C$9384*Assumptions!$E$20*K9391*K9402</f>
        <v>41.160996407263</v>
      </c>
      <c r="L9403" s="48" t="n">
        <f aca="false">$C$9384*Assumptions!$E$20*L9391*L9402</f>
        <v>38.304623262083</v>
      </c>
      <c r="M9403" s="48" t="n">
        <f aca="false">$C$9384*Assumptions!$E$20*M9391*M9402</f>
        <v>35.6464685337698</v>
      </c>
      <c r="N9403" s="48" t="n">
        <f aca="false">$C$9384*Assumptions!$E$20*N9391*N9402</f>
        <v>33.1727768273562</v>
      </c>
      <c r="P9403" s="49" t="n">
        <f aca="false">SUM(C9403:F9403)</f>
        <v>41.0943243031066</v>
      </c>
      <c r="Q9403" s="49" t="n">
        <f aca="false">SUM(G9403:J9403)</f>
        <v>108.905926944786</v>
      </c>
      <c r="R9403" s="49" t="n">
        <f aca="false">SUM(K9403:N9403)</f>
        <v>148.284865030472</v>
      </c>
      <c r="S9403" s="50" t="n">
        <f aca="false">SUM(P9403:R9403)</f>
        <v>298.285116278364</v>
      </c>
    </row>
    <row r="9404" customFormat="false" ht="15" hidden="false" customHeight="false" outlineLevel="0" collapsed="false">
      <c r="A9404" s="4" t="s">
        <v>492</v>
      </c>
      <c r="B9404" s="36" t="s">
        <v>321</v>
      </c>
      <c r="C9404" s="48" t="n">
        <f aca="false">Assumptions!$D$111</f>
        <v>0</v>
      </c>
      <c r="D9404" s="48" t="n">
        <f aca="false">Assumptions!$E$111</f>
        <v>0</v>
      </c>
      <c r="E9404" s="48" t="n">
        <f aca="false">Assumptions!$F$111</f>
        <v>0</v>
      </c>
      <c r="F9404" s="48" t="n">
        <f aca="false">Assumptions!$G$111</f>
        <v>0</v>
      </c>
      <c r="G9404" s="48" t="n">
        <f aca="false">Assumptions!$H$111</f>
        <v>0</v>
      </c>
      <c r="H9404" s="48" t="n">
        <f aca="false">Assumptions!$I$111</f>
        <v>0</v>
      </c>
      <c r="I9404" s="48" t="n">
        <f aca="false">Assumptions!$J$111</f>
        <v>0</v>
      </c>
      <c r="J9404" s="48" t="n">
        <f aca="false">Assumptions!$K$111</f>
        <v>0</v>
      </c>
      <c r="K9404" s="48" t="n">
        <f aca="false">Assumptions!$L$111</f>
        <v>0</v>
      </c>
      <c r="L9404" s="48" t="n">
        <f aca="false">Assumptions!$M$111</f>
        <v>0</v>
      </c>
      <c r="M9404" s="48" t="n">
        <f aca="false">Assumptions!$N$111</f>
        <v>0</v>
      </c>
      <c r="N9404" s="48" t="n">
        <f aca="false">Assumptions!$O$111</f>
        <v>0</v>
      </c>
      <c r="P9404" s="49" t="n">
        <f aca="false">F9404</f>
        <v>0</v>
      </c>
      <c r="Q9404" s="49" t="n">
        <f aca="false">J9404</f>
        <v>0</v>
      </c>
      <c r="R9404" s="49" t="n">
        <f aca="false">N9404</f>
        <v>0</v>
      </c>
      <c r="S9404" s="50" t="n">
        <f aca="false">R9404</f>
        <v>0</v>
      </c>
    </row>
    <row r="9405" customFormat="false" ht="15" hidden="false" customHeight="false" outlineLevel="0" collapsed="false">
      <c r="A9405" s="4" t="s">
        <v>493</v>
      </c>
      <c r="B9405" s="36" t="s">
        <v>321</v>
      </c>
      <c r="C9405" s="48" t="n">
        <f aca="false">0</f>
        <v>0</v>
      </c>
      <c r="D9405" s="48" t="n">
        <f aca="false">0.5*C9404</f>
        <v>0</v>
      </c>
      <c r="E9405" s="48" t="n">
        <f aca="false">C9404+0.5*(D9404-C9404)</f>
        <v>0</v>
      </c>
      <c r="F9405" s="48" t="n">
        <f aca="false">D9404+0.5*(E9404-D9404)</f>
        <v>0</v>
      </c>
      <c r="G9405" s="48" t="n">
        <f aca="false">E9404+0.5*(F9404-E9404)</f>
        <v>0</v>
      </c>
      <c r="H9405" s="48" t="n">
        <f aca="false">F9404+0.5*(G9404-F9404)</f>
        <v>0</v>
      </c>
      <c r="I9405" s="48" t="n">
        <f aca="false">G9404+0.5*(H9404-G9404)</f>
        <v>0</v>
      </c>
      <c r="J9405" s="48" t="n">
        <f aca="false">H9404+0.5*(I9404-H9404)</f>
        <v>0</v>
      </c>
      <c r="K9405" s="48" t="n">
        <f aca="false">I9404+0.5*(J9404-I9404)</f>
        <v>0</v>
      </c>
      <c r="L9405" s="48" t="n">
        <f aca="false">J9404+0.5*(K9404-J9404)</f>
        <v>0</v>
      </c>
      <c r="M9405" s="48" t="n">
        <f aca="false">K9404+0.5*(L9404-K9404)</f>
        <v>0</v>
      </c>
      <c r="N9405" s="48" t="n">
        <f aca="false">L9404+0.5*(M9404-L9404)</f>
        <v>0</v>
      </c>
      <c r="P9405" s="49" t="n">
        <f aca="false">F9405</f>
        <v>0</v>
      </c>
      <c r="Q9405" s="49" t="n">
        <f aca="false">J9405</f>
        <v>0</v>
      </c>
      <c r="R9405" s="49" t="n">
        <f aca="false">N9405</f>
        <v>0</v>
      </c>
      <c r="S9405" s="50" t="n">
        <f aca="false">R9405</f>
        <v>0</v>
      </c>
    </row>
    <row r="9406" customFormat="false" ht="15" hidden="false" customHeight="false" outlineLevel="0" collapsed="false">
      <c r="A9406" s="4" t="s">
        <v>494</v>
      </c>
      <c r="B9406" s="36" t="s">
        <v>485</v>
      </c>
      <c r="C9406" s="39" t="n">
        <f aca="false">MIN(C9405*Assumptions!$E$38,C9401*(1-$C$9384))</f>
        <v>0</v>
      </c>
      <c r="D9406" s="39" t="n">
        <f aca="false">MIN(D9405*Assumptions!$E$38,D9401*(1-$C$9384))</f>
        <v>0</v>
      </c>
      <c r="E9406" s="39" t="n">
        <f aca="false">MIN(E9405*Assumptions!$E$38,E9401*(1-$C$9384))</f>
        <v>0</v>
      </c>
      <c r="F9406" s="39" t="n">
        <f aca="false">MIN(F9405*Assumptions!$E$38,F9401*(1-$C$9384))</f>
        <v>0</v>
      </c>
      <c r="G9406" s="39" t="n">
        <f aca="false">MIN(G9405*Assumptions!$E$38,G9401*(1-$C$9384))</f>
        <v>0</v>
      </c>
      <c r="H9406" s="39" t="n">
        <f aca="false">MIN(H9405*Assumptions!$E$38,H9401*(1-$C$9384))</f>
        <v>0</v>
      </c>
      <c r="I9406" s="39" t="n">
        <f aca="false">MIN(I9405*Assumptions!$E$38,I9401*(1-$C$9384))</f>
        <v>0</v>
      </c>
      <c r="J9406" s="39" t="n">
        <f aca="false">MIN(J9405*Assumptions!$E$38,J9401*(1-$C$9384))</f>
        <v>0</v>
      </c>
      <c r="K9406" s="39" t="n">
        <f aca="false">MIN(K9405*Assumptions!$E$38,K9401*(1-$C$9384))</f>
        <v>0</v>
      </c>
      <c r="L9406" s="39" t="n">
        <f aca="false">MIN(L9405*Assumptions!$E$38,L9401*(1-$C$9384))</f>
        <v>0</v>
      </c>
      <c r="M9406" s="39" t="n">
        <f aca="false">MIN(M9405*Assumptions!$E$38,M9401*(1-$C$9384))</f>
        <v>0</v>
      </c>
      <c r="N9406" s="39" t="n">
        <f aca="false">MIN(N9405*Assumptions!$E$38,N9401*(1-$C$9384))</f>
        <v>0</v>
      </c>
      <c r="P9406" s="40" t="n">
        <f aca="false">SUM(C9406:F9406)</f>
        <v>0</v>
      </c>
      <c r="Q9406" s="40" t="n">
        <f aca="false">SUM(G9406:J9406)</f>
        <v>0</v>
      </c>
      <c r="R9406" s="40" t="n">
        <f aca="false">SUM(K9406:N9406)</f>
        <v>0</v>
      </c>
      <c r="S9406" s="41" t="n">
        <f aca="false">SUM(P9406:R9406)</f>
        <v>0</v>
      </c>
    </row>
    <row r="9407" customFormat="false" ht="15" hidden="false" customHeight="false" outlineLevel="0" collapsed="false">
      <c r="A9407" s="4" t="s">
        <v>495</v>
      </c>
      <c r="B9407" s="36" t="s">
        <v>491</v>
      </c>
      <c r="C9407" s="48" t="n">
        <f aca="false">C9406*Assumptions!$E$20*Assumptions!$E$39*IF(C9401&gt;0,C9402/C9401,0)*C9391</f>
        <v>0</v>
      </c>
      <c r="D9407" s="48" t="n">
        <f aca="false">D9406*Assumptions!$E$20*Assumptions!$E$39*IF(D9401&gt;0,D9402/D9401,0)*D9391</f>
        <v>0</v>
      </c>
      <c r="E9407" s="48" t="n">
        <f aca="false">E9406*Assumptions!$E$20*Assumptions!$E$39*IF(E9401&gt;0,E9402/E9401,0)*E9391</f>
        <v>0</v>
      </c>
      <c r="F9407" s="48" t="n">
        <f aca="false">F9406*Assumptions!$E$20*Assumptions!$E$39*IF(F9401&gt;0,F9402/F9401,0)*F9391</f>
        <v>0</v>
      </c>
      <c r="G9407" s="48" t="n">
        <f aca="false">G9406*Assumptions!$E$20*Assumptions!$E$39*IF(G9401&gt;0,G9402/G9401,0)*G9391</f>
        <v>0</v>
      </c>
      <c r="H9407" s="48" t="n">
        <f aca="false">H9406*Assumptions!$E$20*Assumptions!$E$39*IF(H9401&gt;0,H9402/H9401,0)*H9391</f>
        <v>0</v>
      </c>
      <c r="I9407" s="48" t="n">
        <f aca="false">I9406*Assumptions!$E$20*Assumptions!$E$39*IF(I9401&gt;0,I9402/I9401,0)*I9391</f>
        <v>0</v>
      </c>
      <c r="J9407" s="48" t="n">
        <f aca="false">J9406*Assumptions!$E$20*Assumptions!$E$39*IF(J9401&gt;0,J9402/J9401,0)*J9391</f>
        <v>0</v>
      </c>
      <c r="K9407" s="48" t="n">
        <f aca="false">K9406*Assumptions!$E$20*Assumptions!$E$39*IF(K9401&gt;0,K9402/K9401,0)*K9391</f>
        <v>0</v>
      </c>
      <c r="L9407" s="48" t="n">
        <f aca="false">L9406*Assumptions!$E$20*Assumptions!$E$39*IF(L9401&gt;0,L9402/L9401,0)*L9391</f>
        <v>0</v>
      </c>
      <c r="M9407" s="48" t="n">
        <f aca="false">M9406*Assumptions!$E$20*Assumptions!$E$39*IF(M9401&gt;0,M9402/M9401,0)*M9391</f>
        <v>0</v>
      </c>
      <c r="N9407" s="48" t="n">
        <f aca="false">N9406*Assumptions!$E$20*Assumptions!$E$39*IF(N9401&gt;0,N9402/N9401,0)*N9391</f>
        <v>0</v>
      </c>
      <c r="P9407" s="49" t="n">
        <f aca="false">SUM(C9407:F9407)</f>
        <v>0</v>
      </c>
      <c r="Q9407" s="49" t="n">
        <f aca="false">SUM(G9407:J9407)</f>
        <v>0</v>
      </c>
      <c r="R9407" s="49" t="n">
        <f aca="false">SUM(K9407:N9407)</f>
        <v>0</v>
      </c>
      <c r="S9407" s="50" t="n">
        <f aca="false">SUM(P9407:R9407)</f>
        <v>0</v>
      </c>
    </row>
    <row r="9408" customFormat="false" ht="15" hidden="false" customHeight="false" outlineLevel="0" collapsed="false">
      <c r="A9408" s="4" t="s">
        <v>496</v>
      </c>
      <c r="B9408" s="36" t="s">
        <v>497</v>
      </c>
      <c r="C9408" s="48" t="n">
        <f aca="false">IF(AND(C9401&gt;0,$C$9388&gt;0),C9401*Assumptions!$E$24*(1-EXP(-$C$9388/(Assumptions!$E$23*C9401*Assumptions!$E$24))),0)</f>
        <v>0</v>
      </c>
      <c r="D9408" s="48" t="n">
        <f aca="false">IF(AND(D9401&gt;0,$C$9388&gt;0),D9401*Assumptions!$E$24*(1-EXP(-$C$9388/(Assumptions!$E$23*D9401*Assumptions!$E$24))),0)</f>
        <v>0</v>
      </c>
      <c r="E9408" s="48" t="n">
        <f aca="false">IF(AND(E9401&gt;0,$C$9388&gt;0),E9401*Assumptions!$E$24*(1-EXP(-$C$9388/(Assumptions!$E$23*E9401*Assumptions!$E$24))),0)</f>
        <v>0</v>
      </c>
      <c r="F9408" s="48" t="n">
        <f aca="false">IF(AND(F9401&gt;0,$C$9388&gt;0),F9401*Assumptions!$E$24*(1-EXP(-$C$9388/(Assumptions!$E$23*F9401*Assumptions!$E$24))),0)</f>
        <v>0</v>
      </c>
      <c r="G9408" s="48" t="n">
        <f aca="false">IF(AND(G9401&gt;0,$C$9388&gt;0),G9401*Assumptions!$E$24*(1-EXP(-$C$9388/(Assumptions!$E$23*G9401*Assumptions!$E$24))),0)</f>
        <v>0</v>
      </c>
      <c r="H9408" s="48" t="n">
        <f aca="false">IF(AND(H9401&gt;0,$C$9388&gt;0),H9401*Assumptions!$E$24*(1-EXP(-$C$9388/(Assumptions!$E$23*H9401*Assumptions!$E$24))),0)</f>
        <v>0</v>
      </c>
      <c r="I9408" s="48" t="n">
        <f aca="false">IF(AND(I9401&gt;0,$C$9388&gt;0),I9401*Assumptions!$E$24*(1-EXP(-$C$9388/(Assumptions!$E$23*I9401*Assumptions!$E$24))),0)</f>
        <v>0</v>
      </c>
      <c r="J9408" s="48" t="n">
        <f aca="false">IF(AND(J9401&gt;0,$C$9388&gt;0),J9401*Assumptions!$E$24*(1-EXP(-$C$9388/(Assumptions!$E$23*J9401*Assumptions!$E$24))),0)</f>
        <v>0</v>
      </c>
      <c r="K9408" s="48" t="n">
        <f aca="false">IF(AND(K9401&gt;0,$C$9388&gt;0),K9401*Assumptions!$E$24*(1-EXP(-$C$9388/(Assumptions!$E$23*K9401*Assumptions!$E$24))),0)</f>
        <v>0</v>
      </c>
      <c r="L9408" s="48" t="n">
        <f aca="false">IF(AND(L9401&gt;0,$C$9388&gt;0),L9401*Assumptions!$E$24*(1-EXP(-$C$9388/(Assumptions!$E$23*L9401*Assumptions!$E$24))),0)</f>
        <v>0</v>
      </c>
      <c r="M9408" s="48" t="n">
        <f aca="false">IF(AND(M9401&gt;0,$C$9388&gt;0),M9401*Assumptions!$E$24*(1-EXP(-$C$9388/(Assumptions!$E$23*M9401*Assumptions!$E$24))),0)</f>
        <v>0</v>
      </c>
      <c r="N9408" s="48" t="n">
        <f aca="false">IF(AND(N9401&gt;0,$C$9388&gt;0),N9401*Assumptions!$E$24*(1-EXP(-$C$9388/(Assumptions!$E$23*N9401*Assumptions!$E$24))),0)</f>
        <v>0</v>
      </c>
      <c r="P9408" s="49" t="n">
        <f aca="false">SUM(C9408:F9408)</f>
        <v>0</v>
      </c>
      <c r="Q9408" s="49" t="n">
        <f aca="false">SUM(G9408:J9408)</f>
        <v>0</v>
      </c>
      <c r="R9408" s="49" t="n">
        <f aca="false">SUM(K9408:N9408)</f>
        <v>0</v>
      </c>
      <c r="S9408" s="50" t="n">
        <f aca="false">SUM(P9408:R9408)</f>
        <v>0</v>
      </c>
    </row>
    <row r="9409" customFormat="false" ht="15" hidden="false" customHeight="false" outlineLevel="0" collapsed="false">
      <c r="A9409" s="4" t="s">
        <v>498</v>
      </c>
      <c r="B9409" s="36" t="s">
        <v>497</v>
      </c>
      <c r="C9409" s="48" t="n">
        <f aca="false">(C9401*Assumptions!$E$22*MIN(1,Assumptions!$D$103/Assumptions!$E$78)+C9408)*C9391</f>
        <v>5.5188772352</v>
      </c>
      <c r="D9409" s="48" t="n">
        <f aca="false">(D9401*Assumptions!$E$22*MIN(1,Assumptions!$D$103/Assumptions!$E$78)+D9408)*D9391</f>
        <v>11.0377544704</v>
      </c>
      <c r="E9409" s="48" t="n">
        <f aca="false">(E9401*Assumptions!$E$22*MIN(1,Assumptions!$D$103/Assumptions!$E$78)+E9408)*E9391</f>
        <v>11.0377544704</v>
      </c>
      <c r="F9409" s="48" t="n">
        <f aca="false">(F9401*Assumptions!$E$22*MIN(1,Assumptions!$D$103/Assumptions!$E$78)+F9408)*F9391</f>
        <v>11.0377544704</v>
      </c>
      <c r="G9409" s="48" t="n">
        <f aca="false">(G9401*Assumptions!$E$22*MIN(1,Assumptions!$D$103/Assumptions!$E$78)+G9408)*G9391</f>
        <v>14.9349950176</v>
      </c>
      <c r="H9409" s="48" t="n">
        <f aca="false">(H9401*Assumptions!$E$22*MIN(1,Assumptions!$D$103/Assumptions!$E$78)+H9408)*H9391</f>
        <v>18.8322355648</v>
      </c>
      <c r="I9409" s="48" t="n">
        <f aca="false">(I9401*Assumptions!$E$22*MIN(1,Assumptions!$D$103/Assumptions!$E$78)+I9408)*I9391</f>
        <v>31.6761039616</v>
      </c>
      <c r="J9409" s="48" t="n">
        <f aca="false">(J9401*Assumptions!$E$22*MIN(1,Assumptions!$D$103/Assumptions!$E$78)+J9408)*J9391</f>
        <v>44.5199723584</v>
      </c>
      <c r="K9409" s="48" t="n">
        <f aca="false">(K9401*Assumptions!$E$22*MIN(1,Assumptions!$D$103/Assumptions!$E$78)+K9408)*K9391</f>
        <v>44.5199723584</v>
      </c>
      <c r="L9409" s="48" t="n">
        <f aca="false">(L9401*Assumptions!$E$22*MIN(1,Assumptions!$D$103/Assumptions!$E$78)+L9408)*L9391</f>
        <v>44.5199723584</v>
      </c>
      <c r="M9409" s="48" t="n">
        <f aca="false">(M9401*Assumptions!$E$22*MIN(1,Assumptions!$D$103/Assumptions!$E$78)+M9408)*M9391</f>
        <v>44.5199723584</v>
      </c>
      <c r="N9409" s="48" t="n">
        <f aca="false">(N9401*Assumptions!$E$22*MIN(1,Assumptions!$D$103/Assumptions!$E$78)+N9408)*N9391</f>
        <v>44.5199723584</v>
      </c>
      <c r="P9409" s="49" t="n">
        <f aca="false">SUM(C9409:F9409)</f>
        <v>38.6321406464</v>
      </c>
      <c r="Q9409" s="49" t="n">
        <f aca="false">SUM(G9409:J9409)</f>
        <v>109.9633069024</v>
      </c>
      <c r="R9409" s="49" t="n">
        <f aca="false">SUM(K9409:N9409)</f>
        <v>178.0798894336</v>
      </c>
      <c r="S9409" s="50" t="n">
        <f aca="false">SUM(P9409:R9409)</f>
        <v>326.6753369824</v>
      </c>
    </row>
    <row r="9410" customFormat="false" ht="15" hidden="false" customHeight="false" outlineLevel="0" collapsed="false">
      <c r="A9410" s="4" t="s">
        <v>499</v>
      </c>
      <c r="B9410" s="36" t="s">
        <v>500</v>
      </c>
      <c r="C9410" s="48" t="n">
        <f aca="false">C9391*MIN(Assumptions!$E$27,Assumptions!$E$25+Assumptions!$E$26*(C9390-1))*Assumptions!$D$107</f>
        <v>2</v>
      </c>
      <c r="D9410" s="48" t="n">
        <f aca="false">D9391*MIN(Assumptions!$E$27,Assumptions!$E$25+Assumptions!$E$26*(D9390-1))*Assumptions!$D$107</f>
        <v>3</v>
      </c>
      <c r="E9410" s="48" t="n">
        <f aca="false">E9391*MIN(Assumptions!$E$27,Assumptions!$E$25+Assumptions!$E$26*(E9390-1))*Assumptions!$D$107</f>
        <v>4</v>
      </c>
      <c r="F9410" s="48" t="n">
        <f aca="false">F9391*MIN(Assumptions!$E$27,Assumptions!$E$25+Assumptions!$E$26*(F9390-1))*Assumptions!$D$107</f>
        <v>5</v>
      </c>
      <c r="G9410" s="48" t="n">
        <f aca="false">G9391*MIN(Assumptions!$E$27,Assumptions!$E$25+Assumptions!$E$26*(G9390-1))*Assumptions!$D$107</f>
        <v>6</v>
      </c>
      <c r="H9410" s="48" t="n">
        <f aca="false">H9391*MIN(Assumptions!$E$27,Assumptions!$E$25+Assumptions!$E$26*(H9390-1))*Assumptions!$D$107</f>
        <v>7</v>
      </c>
      <c r="I9410" s="48" t="n">
        <f aca="false">I9391*MIN(Assumptions!$E$27,Assumptions!$E$25+Assumptions!$E$26*(I9390-1))*Assumptions!$D$107</f>
        <v>8</v>
      </c>
      <c r="J9410" s="48" t="n">
        <f aca="false">J9391*MIN(Assumptions!$E$27,Assumptions!$E$25+Assumptions!$E$26*(J9390-1))*Assumptions!$D$107</f>
        <v>9</v>
      </c>
      <c r="K9410" s="48" t="n">
        <f aca="false">K9391*MIN(Assumptions!$E$27,Assumptions!$E$25+Assumptions!$E$26*(K9390-1))*Assumptions!$D$107</f>
        <v>10</v>
      </c>
      <c r="L9410" s="48" t="n">
        <f aca="false">L9391*MIN(Assumptions!$E$27,Assumptions!$E$25+Assumptions!$E$26*(L9390-1))*Assumptions!$D$107</f>
        <v>10</v>
      </c>
      <c r="M9410" s="48" t="n">
        <f aca="false">M9391*MIN(Assumptions!$E$27,Assumptions!$E$25+Assumptions!$E$26*(M9390-1))*Assumptions!$D$107</f>
        <v>10</v>
      </c>
      <c r="N9410" s="48" t="n">
        <f aca="false">N9391*MIN(Assumptions!$E$27,Assumptions!$E$25+Assumptions!$E$26*(N9390-1))*Assumptions!$D$107</f>
        <v>10</v>
      </c>
      <c r="P9410" s="49" t="n">
        <f aca="false">F9410</f>
        <v>5</v>
      </c>
      <c r="Q9410" s="49" t="n">
        <f aca="false">J9410</f>
        <v>9</v>
      </c>
      <c r="R9410" s="49" t="n">
        <f aca="false">N9410</f>
        <v>10</v>
      </c>
      <c r="S9410" s="50" t="n">
        <f aca="false">R9410</f>
        <v>10</v>
      </c>
    </row>
    <row r="9411" customFormat="false" ht="15" hidden="false" customHeight="false" outlineLevel="0" collapsed="false">
      <c r="A9411" s="4" t="s">
        <v>501</v>
      </c>
      <c r="B9411" s="36" t="s">
        <v>502</v>
      </c>
      <c r="C9411" s="48" t="n">
        <f aca="false">C9410*Assumptions!$E$28</f>
        <v>6</v>
      </c>
      <c r="D9411" s="48" t="n">
        <f aca="false">D9410*Assumptions!$E$28</f>
        <v>9</v>
      </c>
      <c r="E9411" s="48" t="n">
        <f aca="false">E9410*Assumptions!$E$28</f>
        <v>12</v>
      </c>
      <c r="F9411" s="48" t="n">
        <f aca="false">F9410*Assumptions!$E$28</f>
        <v>15</v>
      </c>
      <c r="G9411" s="48" t="n">
        <f aca="false">G9410*Assumptions!$E$28</f>
        <v>18</v>
      </c>
      <c r="H9411" s="48" t="n">
        <f aca="false">H9410*Assumptions!$E$28</f>
        <v>21</v>
      </c>
      <c r="I9411" s="48" t="n">
        <f aca="false">I9410*Assumptions!$E$28</f>
        <v>24</v>
      </c>
      <c r="J9411" s="48" t="n">
        <f aca="false">J9410*Assumptions!$E$28</f>
        <v>27</v>
      </c>
      <c r="K9411" s="48" t="n">
        <f aca="false">K9410*Assumptions!$E$28</f>
        <v>30</v>
      </c>
      <c r="L9411" s="48" t="n">
        <f aca="false">L9410*Assumptions!$E$28</f>
        <v>30</v>
      </c>
      <c r="M9411" s="48" t="n">
        <f aca="false">M9410*Assumptions!$E$28</f>
        <v>30</v>
      </c>
      <c r="N9411" s="48" t="n">
        <f aca="false">N9410*Assumptions!$E$28</f>
        <v>30</v>
      </c>
      <c r="P9411" s="49" t="n">
        <f aca="false">SUM(C9411:F9411)</f>
        <v>42</v>
      </c>
      <c r="Q9411" s="49" t="n">
        <f aca="false">SUM(G9411:J9411)</f>
        <v>90</v>
      </c>
      <c r="R9411" s="49" t="n">
        <f aca="false">SUM(K9411:N9411)</f>
        <v>120</v>
      </c>
      <c r="S9411" s="50" t="n">
        <f aca="false">SUM(P9411:R9411)</f>
        <v>252</v>
      </c>
    </row>
    <row r="9412" customFormat="false" ht="15" hidden="false" customHeight="false" outlineLevel="0" collapsed="false">
      <c r="A9412" s="4" t="s">
        <v>503</v>
      </c>
      <c r="B9412" s="36" t="s">
        <v>504</v>
      </c>
      <c r="C9412" s="48" t="n">
        <f aca="false">(C9403+C9407)*Assumptions!$E$29</f>
        <v>2.649061072896</v>
      </c>
      <c r="D9412" s="48" t="n">
        <f aca="false">(D9403+D9407)*Assumptions!$E$29</f>
        <v>4.93045821299048</v>
      </c>
      <c r="E9412" s="48" t="n">
        <f aca="false">(E9403+E9407)*Assumptions!$E$29</f>
        <v>4.58830837060879</v>
      </c>
      <c r="F9412" s="48" t="n">
        <f aca="false">(F9403+F9407)*Assumptions!$E$29</f>
        <v>4.26990206474738</v>
      </c>
      <c r="G9412" s="48" t="n">
        <f aca="false">(G9403+G9407)*Assumptions!$E$29</f>
        <v>5.844267072</v>
      </c>
      <c r="H9412" s="48" t="n">
        <f aca="false">(H9403+H9407)*Assumptions!$E$29</f>
        <v>7.17956301044434</v>
      </c>
      <c r="I9412" s="48" t="n">
        <f aca="false">(I9403+I9407)*Assumptions!$E$29</f>
        <v>12.8463930542132</v>
      </c>
      <c r="J9412" s="48" t="n">
        <f aca="false">(J9403+J9407)*Assumptions!$E$29</f>
        <v>17.6921476412567</v>
      </c>
      <c r="K9412" s="48" t="n">
        <f aca="false">(K9403+K9407)*Assumptions!$E$29</f>
        <v>16.4643985629052</v>
      </c>
      <c r="L9412" s="48" t="n">
        <f aca="false">(L9403+L9407)*Assumptions!$E$29</f>
        <v>15.3218493048332</v>
      </c>
      <c r="M9412" s="48" t="n">
        <f aca="false">(M9403+M9407)*Assumptions!$E$29</f>
        <v>14.2585874135079</v>
      </c>
      <c r="N9412" s="48" t="n">
        <f aca="false">(N9403+N9407)*Assumptions!$E$29</f>
        <v>13.2691107309425</v>
      </c>
      <c r="P9412" s="49" t="n">
        <f aca="false">SUM(C9412:F9412)</f>
        <v>16.4377297212427</v>
      </c>
      <c r="Q9412" s="49" t="n">
        <f aca="false">SUM(G9412:J9412)</f>
        <v>43.5623707779142</v>
      </c>
      <c r="R9412" s="49" t="n">
        <f aca="false">SUM(K9412:N9412)</f>
        <v>59.3139460121888</v>
      </c>
      <c r="S9412" s="50" t="n">
        <f aca="false">SUM(P9412:R9412)</f>
        <v>119.314046511346</v>
      </c>
    </row>
    <row r="9413" customFormat="false" ht="15" hidden="false" customHeight="false" outlineLevel="0" collapsed="false">
      <c r="A9413" s="4" t="s">
        <v>505</v>
      </c>
      <c r="B9413" s="36" t="s">
        <v>504</v>
      </c>
      <c r="C9413" s="48" t="n">
        <f aca="false">C9409*Assumptions!$E$31</f>
        <v>0.883020357632</v>
      </c>
      <c r="D9413" s="48" t="n">
        <f aca="false">D9409*Assumptions!$E$31</f>
        <v>1.766040715264</v>
      </c>
      <c r="E9413" s="48" t="n">
        <f aca="false">E9409*Assumptions!$E$31</f>
        <v>1.766040715264</v>
      </c>
      <c r="F9413" s="48" t="n">
        <f aca="false">F9409*Assumptions!$E$31</f>
        <v>1.766040715264</v>
      </c>
      <c r="G9413" s="48" t="n">
        <f aca="false">G9409*Assumptions!$E$31</f>
        <v>2.389599202816</v>
      </c>
      <c r="H9413" s="48" t="n">
        <f aca="false">H9409*Assumptions!$E$31</f>
        <v>3.013157690368</v>
      </c>
      <c r="I9413" s="48" t="n">
        <f aca="false">I9409*Assumptions!$E$31</f>
        <v>5.068176633856</v>
      </c>
      <c r="J9413" s="48" t="n">
        <f aca="false">J9409*Assumptions!$E$31</f>
        <v>7.123195577344</v>
      </c>
      <c r="K9413" s="48" t="n">
        <f aca="false">K9409*Assumptions!$E$31</f>
        <v>7.123195577344</v>
      </c>
      <c r="L9413" s="48" t="n">
        <f aca="false">L9409*Assumptions!$E$31</f>
        <v>7.123195577344</v>
      </c>
      <c r="M9413" s="48" t="n">
        <f aca="false">M9409*Assumptions!$E$31</f>
        <v>7.123195577344</v>
      </c>
      <c r="N9413" s="48" t="n">
        <f aca="false">N9409*Assumptions!$E$31</f>
        <v>7.123195577344</v>
      </c>
      <c r="P9413" s="49" t="n">
        <f aca="false">SUM(C9413:F9413)</f>
        <v>6.181142503424</v>
      </c>
      <c r="Q9413" s="49" t="n">
        <f aca="false">SUM(G9413:J9413)</f>
        <v>17.594129104384</v>
      </c>
      <c r="R9413" s="49" t="n">
        <f aca="false">SUM(K9413:N9413)</f>
        <v>28.492782309376</v>
      </c>
      <c r="S9413" s="50" t="n">
        <f aca="false">SUM(P9413:R9413)</f>
        <v>52.268053917184</v>
      </c>
    </row>
    <row r="9414" customFormat="false" ht="15" hidden="false" customHeight="false" outlineLevel="0" collapsed="false">
      <c r="A9414" s="4" t="s">
        <v>506</v>
      </c>
      <c r="B9414" s="36" t="s">
        <v>504</v>
      </c>
      <c r="C9414" s="48" t="n">
        <f aca="false">C9411*Assumptions!$E$30</f>
        <v>3</v>
      </c>
      <c r="D9414" s="48" t="n">
        <f aca="false">D9411*Assumptions!$E$30</f>
        <v>4.5</v>
      </c>
      <c r="E9414" s="48" t="n">
        <f aca="false">E9411*Assumptions!$E$30</f>
        <v>6</v>
      </c>
      <c r="F9414" s="48" t="n">
        <f aca="false">F9411*Assumptions!$E$30</f>
        <v>7.5</v>
      </c>
      <c r="G9414" s="48" t="n">
        <f aca="false">G9411*Assumptions!$E$30</f>
        <v>9</v>
      </c>
      <c r="H9414" s="48" t="n">
        <f aca="false">H9411*Assumptions!$E$30</f>
        <v>10.5</v>
      </c>
      <c r="I9414" s="48" t="n">
        <f aca="false">I9411*Assumptions!$E$30</f>
        <v>12</v>
      </c>
      <c r="J9414" s="48" t="n">
        <f aca="false">J9411*Assumptions!$E$30</f>
        <v>13.5</v>
      </c>
      <c r="K9414" s="48" t="n">
        <f aca="false">K9411*Assumptions!$E$30</f>
        <v>15</v>
      </c>
      <c r="L9414" s="48" t="n">
        <f aca="false">L9411*Assumptions!$E$30</f>
        <v>15</v>
      </c>
      <c r="M9414" s="48" t="n">
        <f aca="false">M9411*Assumptions!$E$30</f>
        <v>15</v>
      </c>
      <c r="N9414" s="48" t="n">
        <f aca="false">N9411*Assumptions!$E$30</f>
        <v>15</v>
      </c>
      <c r="P9414" s="49" t="n">
        <f aca="false">SUM(C9414:F9414)</f>
        <v>21</v>
      </c>
      <c r="Q9414" s="49" t="n">
        <f aca="false">SUM(G9414:J9414)</f>
        <v>45</v>
      </c>
      <c r="R9414" s="49" t="n">
        <f aca="false">SUM(K9414:N9414)</f>
        <v>60</v>
      </c>
      <c r="S9414" s="50" t="n">
        <f aca="false">SUM(P9414:R9414)</f>
        <v>126</v>
      </c>
    </row>
    <row r="9415" customFormat="false" ht="15" hidden="false" customHeight="false" outlineLevel="0" collapsed="false">
      <c r="A9415" s="9" t="s">
        <v>507</v>
      </c>
      <c r="B9415" s="36" t="s">
        <v>504</v>
      </c>
      <c r="C9415" s="49" t="n">
        <f aca="false">C9412+C9413+C9414</f>
        <v>6.532081430528</v>
      </c>
      <c r="D9415" s="49" t="n">
        <f aca="false">D9412+D9413+D9414</f>
        <v>11.1964989282545</v>
      </c>
      <c r="E9415" s="49" t="n">
        <f aca="false">E9412+E9413+E9414</f>
        <v>12.3543490858728</v>
      </c>
      <c r="F9415" s="49" t="n">
        <f aca="false">F9412+F9413+F9414</f>
        <v>13.5359427800114</v>
      </c>
      <c r="G9415" s="49" t="n">
        <f aca="false">G9412+G9413+G9414</f>
        <v>17.233866274816</v>
      </c>
      <c r="H9415" s="49" t="n">
        <f aca="false">H9412+H9413+H9414</f>
        <v>20.6927207008123</v>
      </c>
      <c r="I9415" s="49" t="n">
        <f aca="false">I9412+I9413+I9414</f>
        <v>29.9145696880692</v>
      </c>
      <c r="J9415" s="49" t="n">
        <f aca="false">J9412+J9413+J9414</f>
        <v>38.3153432186007</v>
      </c>
      <c r="K9415" s="49" t="n">
        <f aca="false">K9412+K9413+K9414</f>
        <v>38.5875941402492</v>
      </c>
      <c r="L9415" s="49" t="n">
        <f aca="false">L9412+L9413+L9414</f>
        <v>37.4450448821772</v>
      </c>
      <c r="M9415" s="49" t="n">
        <f aca="false">M9412+M9413+M9414</f>
        <v>36.3817829908519</v>
      </c>
      <c r="N9415" s="49" t="n">
        <f aca="false">N9412+N9413+N9414</f>
        <v>35.3923063082865</v>
      </c>
      <c r="P9415" s="49" t="n">
        <f aca="false">SUM(C9415:F9415)</f>
        <v>43.6188722246667</v>
      </c>
      <c r="Q9415" s="49" t="n">
        <f aca="false">SUM(G9415:J9415)</f>
        <v>106.156499882298</v>
      </c>
      <c r="R9415" s="49" t="n">
        <f aca="false">SUM(K9415:N9415)</f>
        <v>147.806728321565</v>
      </c>
      <c r="S9415" s="50" t="n">
        <f aca="false">SUM(P9415:R9415)</f>
        <v>297.58210042853</v>
      </c>
    </row>
    <row r="9416" customFormat="false" ht="15" hidden="false" customHeight="false" outlineLevel="0" collapsed="false">
      <c r="A9416" s="4" t="s">
        <v>508</v>
      </c>
      <c r="B9416" s="36" t="s">
        <v>509</v>
      </c>
      <c r="C9416" s="48" t="n">
        <f aca="false">C9398</f>
        <v>421.51972352</v>
      </c>
      <c r="D9416" s="48" t="n">
        <f aca="false">D9398</f>
        <v>843.03944704</v>
      </c>
      <c r="E9416" s="48" t="n">
        <f aca="false">E9398</f>
        <v>843.03944704</v>
      </c>
      <c r="F9416" s="48" t="n">
        <f aca="false">F9398</f>
        <v>843.03944704</v>
      </c>
      <c r="G9416" s="48" t="n">
        <f aca="false">G9398</f>
        <v>1149.32798176</v>
      </c>
      <c r="H9416" s="48" t="n">
        <f aca="false">H9398</f>
        <v>1455.61651648</v>
      </c>
      <c r="I9416" s="48" t="n">
        <f aca="false">I9398</f>
        <v>2486.00303616</v>
      </c>
      <c r="J9416" s="48" t="n">
        <f aca="false">J9398</f>
        <v>3516.38955584</v>
      </c>
      <c r="K9416" s="48" t="n">
        <f aca="false">K9398</f>
        <v>3516.38955584</v>
      </c>
      <c r="L9416" s="48" t="n">
        <f aca="false">L9398</f>
        <v>3516.38955584</v>
      </c>
      <c r="M9416" s="48" t="n">
        <f aca="false">M9398</f>
        <v>3516.38955584</v>
      </c>
      <c r="N9416" s="48" t="n">
        <f aca="false">N9398</f>
        <v>3516.38955584</v>
      </c>
      <c r="P9416" s="49"/>
      <c r="Q9416" s="49"/>
      <c r="R9416" s="49"/>
      <c r="S9416" s="50"/>
    </row>
    <row r="9417" customFormat="false" ht="15" hidden="false" customHeight="false" outlineLevel="0" collapsed="false">
      <c r="A9417" s="4" t="s">
        <v>510</v>
      </c>
      <c r="B9417" s="36" t="s">
        <v>509</v>
      </c>
      <c r="C9417" s="48" t="n">
        <f aca="false">C9399*Assumptions!$E$18*Assumptions!$E$33</f>
        <v>211.19616</v>
      </c>
      <c r="D9417" s="48" t="n">
        <f aca="false">D9399*Assumptions!$E$18*Assumptions!$E$33</f>
        <v>422.39232</v>
      </c>
      <c r="E9417" s="48" t="n">
        <f aca="false">E9399*Assumptions!$E$18*Assumptions!$E$33</f>
        <v>422.39232</v>
      </c>
      <c r="F9417" s="48" t="n">
        <f aca="false">F9399*Assumptions!$E$18*Assumptions!$E$33</f>
        <v>422.39232</v>
      </c>
      <c r="G9417" s="48" t="n">
        <f aca="false">G9399*Assumptions!$E$18*Assumptions!$E$33</f>
        <v>564.49344</v>
      </c>
      <c r="H9417" s="48" t="n">
        <f aca="false">H9399*Assumptions!$E$18*Assumptions!$E$33</f>
        <v>706.59456</v>
      </c>
      <c r="I9417" s="48" t="n">
        <f aca="false">I9399*Assumptions!$E$18*Assumptions!$E$33</f>
        <v>1135.07072</v>
      </c>
      <c r="J9417" s="48" t="n">
        <f aca="false">J9399*Assumptions!$E$18*Assumptions!$E$33</f>
        <v>1563.54688</v>
      </c>
      <c r="K9417" s="48" t="n">
        <f aca="false">K9399*Assumptions!$E$18*Assumptions!$E$33</f>
        <v>1563.54688</v>
      </c>
      <c r="L9417" s="48" t="n">
        <f aca="false">L9399*Assumptions!$E$18*Assumptions!$E$33</f>
        <v>1563.54688</v>
      </c>
      <c r="M9417" s="48" t="n">
        <f aca="false">M9399*Assumptions!$E$18*Assumptions!$E$33</f>
        <v>1563.54688</v>
      </c>
      <c r="N9417" s="48" t="n">
        <f aca="false">N9399*Assumptions!$E$18*Assumptions!$E$33</f>
        <v>1563.54688</v>
      </c>
      <c r="P9417" s="49"/>
      <c r="Q9417" s="49"/>
      <c r="R9417" s="49"/>
      <c r="S9417" s="50"/>
    </row>
    <row r="9418" customFormat="false" ht="15" hidden="false" customHeight="false" outlineLevel="0" collapsed="false">
      <c r="A9418" s="4" t="s">
        <v>511</v>
      </c>
      <c r="B9418" s="36" t="s">
        <v>509</v>
      </c>
      <c r="C9418" s="48" t="n">
        <f aca="false">C9400*Assumptions!$E$19*Assumptions!$E$34</f>
        <v>34.677888</v>
      </c>
      <c r="D9418" s="48" t="n">
        <f aca="false">D9400*Assumptions!$E$19*Assumptions!$E$34</f>
        <v>69.355776</v>
      </c>
      <c r="E9418" s="48" t="n">
        <f aca="false">E9400*Assumptions!$E$19*Assumptions!$E$34</f>
        <v>69.355776</v>
      </c>
      <c r="F9418" s="48" t="n">
        <f aca="false">F9400*Assumptions!$E$19*Assumptions!$E$34</f>
        <v>69.355776</v>
      </c>
      <c r="G9418" s="48" t="n">
        <f aca="false">G9400*Assumptions!$E$19*Assumptions!$E$34</f>
        <v>86.69472</v>
      </c>
      <c r="H9418" s="48" t="n">
        <f aca="false">H9400*Assumptions!$E$19*Assumptions!$E$34</f>
        <v>104.033664</v>
      </c>
      <c r="I9418" s="48" t="n">
        <f aca="false">I9400*Assumptions!$E$19*Assumptions!$E$34</f>
        <v>159.7008</v>
      </c>
      <c r="J9418" s="48" t="n">
        <f aca="false">J9400*Assumptions!$E$19*Assumptions!$E$34</f>
        <v>215.367936</v>
      </c>
      <c r="K9418" s="48" t="n">
        <f aca="false">K9400*Assumptions!$E$19*Assumptions!$E$34</f>
        <v>215.367936</v>
      </c>
      <c r="L9418" s="48" t="n">
        <f aca="false">L9400*Assumptions!$E$19*Assumptions!$E$34</f>
        <v>215.367936</v>
      </c>
      <c r="M9418" s="48" t="n">
        <f aca="false">M9400*Assumptions!$E$19*Assumptions!$E$34</f>
        <v>215.367936</v>
      </c>
      <c r="N9418" s="48" t="n">
        <f aca="false">N9400*Assumptions!$E$19*Assumptions!$E$34</f>
        <v>215.367936</v>
      </c>
      <c r="P9418" s="49"/>
      <c r="Q9418" s="49"/>
      <c r="R9418" s="49"/>
      <c r="S9418" s="50"/>
    </row>
    <row r="9419" customFormat="false" ht="15" hidden="false" customHeight="false" outlineLevel="0" collapsed="false">
      <c r="A9419" s="4" t="s">
        <v>512</v>
      </c>
      <c r="B9419" s="36" t="s">
        <v>77</v>
      </c>
      <c r="C9419" s="51" t="n">
        <f aca="false">IFERROR(C9416/(C9416+C9417+C9418),0)</f>
        <v>0.631590736245533</v>
      </c>
      <c r="D9419" s="51" t="n">
        <f aca="false">IFERROR(D9416/(D9416+D9417+D9418),0)</f>
        <v>0.631590736245533</v>
      </c>
      <c r="E9419" s="51" t="n">
        <f aca="false">IFERROR(E9416/(E9416+E9417+E9418),0)</f>
        <v>0.631590736245533</v>
      </c>
      <c r="F9419" s="51" t="n">
        <f aca="false">IFERROR(F9416/(F9416+F9417+F9418),0)</f>
        <v>0.631590736245533</v>
      </c>
      <c r="G9419" s="51" t="n">
        <f aca="false">IFERROR(G9416/(G9416+G9417+G9418),0)</f>
        <v>0.638332506498128</v>
      </c>
      <c r="H9419" s="51" t="n">
        <f aca="false">IFERROR(H9416/(H9416+H9417+H9418),0)</f>
        <v>0.642303318118984</v>
      </c>
      <c r="I9419" s="51" t="n">
        <f aca="false">IFERROR(I9416/(I9416+I9417+I9418),0)</f>
        <v>0.657538025405288</v>
      </c>
      <c r="J9419" s="51" t="n">
        <f aca="false">IFERROR(J9416/(J9416+J9417+J9418),0)</f>
        <v>0.664058061428891</v>
      </c>
      <c r="K9419" s="51" t="n">
        <f aca="false">IFERROR(K9416/(K9416+K9417+K9418),0)</f>
        <v>0.664058061428891</v>
      </c>
      <c r="L9419" s="51" t="n">
        <f aca="false">IFERROR(L9416/(L9416+L9417+L9418),0)</f>
        <v>0.664058061428891</v>
      </c>
      <c r="M9419" s="51" t="n">
        <f aca="false">IFERROR(M9416/(M9416+M9417+M9418),0)</f>
        <v>0.664058061428891</v>
      </c>
      <c r="N9419" s="51" t="n">
        <f aca="false">IFERROR(N9416/(N9416+N9417+N9418),0)</f>
        <v>0.664058061428891</v>
      </c>
      <c r="P9419" s="52"/>
      <c r="Q9419" s="52"/>
      <c r="R9419" s="52"/>
      <c r="S9419" s="53"/>
    </row>
    <row r="9420" customFormat="false" ht="15" hidden="false" customHeight="false" outlineLevel="0" collapsed="false">
      <c r="A9420" s="4" t="s">
        <v>513</v>
      </c>
      <c r="B9420" s="36" t="s">
        <v>77</v>
      </c>
      <c r="C9420" s="51" t="n">
        <f aca="false">IFERROR(C9417/(C9416+C9417+C9418),0)</f>
        <v>0.316449102482628</v>
      </c>
      <c r="D9420" s="51" t="n">
        <f aca="false">IFERROR(D9417/(D9416+D9417+D9418),0)</f>
        <v>0.316449102482628</v>
      </c>
      <c r="E9420" s="51" t="n">
        <f aca="false">IFERROR(E9417/(E9416+E9417+E9418),0)</f>
        <v>0.316449102482628</v>
      </c>
      <c r="F9420" s="51" t="n">
        <f aca="false">IFERROR(F9417/(F9416+F9417+F9418),0)</f>
        <v>0.316449102482628</v>
      </c>
      <c r="G9420" s="51" t="n">
        <f aca="false">IFERROR(G9417/(G9416+G9417+G9418),0)</f>
        <v>0.313517566939561</v>
      </c>
      <c r="H9420" s="51" t="n">
        <f aca="false">IFERROR(H9417/(H9416+H9417+H9418),0)</f>
        <v>0.311790932099567</v>
      </c>
      <c r="I9420" s="51" t="n">
        <f aca="false">IFERROR(I9417/(I9416+I9417+I9418),0)</f>
        <v>0.300221741111391</v>
      </c>
      <c r="J9420" s="51" t="n">
        <f aca="false">IFERROR(J9417/(J9416+J9417+J9418),0)</f>
        <v>0.295270445324128</v>
      </c>
      <c r="K9420" s="51" t="n">
        <f aca="false">IFERROR(K9417/(K9416+K9417+K9418),0)</f>
        <v>0.295270445324128</v>
      </c>
      <c r="L9420" s="51" t="n">
        <f aca="false">IFERROR(L9417/(L9416+L9417+L9418),0)</f>
        <v>0.295270445324128</v>
      </c>
      <c r="M9420" s="51" t="n">
        <f aca="false">IFERROR(M9417/(M9416+M9417+M9418),0)</f>
        <v>0.295270445324128</v>
      </c>
      <c r="N9420" s="51" t="n">
        <f aca="false">IFERROR(N9417/(N9416+N9417+N9418),0)</f>
        <v>0.295270445324128</v>
      </c>
      <c r="P9420" s="52"/>
      <c r="Q9420" s="52"/>
      <c r="R9420" s="52"/>
      <c r="S9420" s="53"/>
    </row>
    <row r="9421" customFormat="false" ht="15" hidden="false" customHeight="false" outlineLevel="0" collapsed="false">
      <c r="A9421" s="4" t="s">
        <v>514</v>
      </c>
      <c r="B9421" s="36" t="s">
        <v>77</v>
      </c>
      <c r="C9421" s="51" t="n">
        <f aca="false">IFERROR(C9418/(C9416+C9417+C9418),0)</f>
        <v>0.0519601612718389</v>
      </c>
      <c r="D9421" s="51" t="n">
        <f aca="false">IFERROR(D9418/(D9416+D9417+D9418),0)</f>
        <v>0.0519601612718389</v>
      </c>
      <c r="E9421" s="51" t="n">
        <f aca="false">IFERROR(E9418/(E9416+E9417+E9418),0)</f>
        <v>0.0519601612718389</v>
      </c>
      <c r="F9421" s="51" t="n">
        <f aca="false">IFERROR(F9418/(F9416+F9417+F9418),0)</f>
        <v>0.0519601612718389</v>
      </c>
      <c r="G9421" s="51" t="n">
        <f aca="false">IFERROR(G9418/(G9416+G9417+G9418),0)</f>
        <v>0.0481499265623113</v>
      </c>
      <c r="H9421" s="51" t="n">
        <f aca="false">IFERROR(H9418/(H9416+H9417+H9418),0)</f>
        <v>0.0459057497814491</v>
      </c>
      <c r="I9421" s="51" t="n">
        <f aca="false">IFERROR(I9418/(I9416+I9417+I9418),0)</f>
        <v>0.0422402334833216</v>
      </c>
      <c r="J9421" s="51" t="n">
        <f aca="false">IFERROR(J9418/(J9416+J9417+J9418),0)</f>
        <v>0.0406714932469811</v>
      </c>
      <c r="K9421" s="51" t="n">
        <f aca="false">IFERROR(K9418/(K9416+K9417+K9418),0)</f>
        <v>0.0406714932469811</v>
      </c>
      <c r="L9421" s="51" t="n">
        <f aca="false">IFERROR(L9418/(L9416+L9417+L9418),0)</f>
        <v>0.0406714932469811</v>
      </c>
      <c r="M9421" s="51" t="n">
        <f aca="false">IFERROR(M9418/(M9416+M9417+M9418),0)</f>
        <v>0.0406714932469811</v>
      </c>
      <c r="N9421" s="51" t="n">
        <f aca="false">IFERROR(N9418/(N9416+N9417+N9418),0)</f>
        <v>0.0406714932469811</v>
      </c>
      <c r="P9421" s="52"/>
      <c r="Q9421" s="52"/>
      <c r="R9421" s="52"/>
      <c r="S9421" s="53"/>
    </row>
    <row r="9422" customFormat="false" ht="15" hidden="false" customHeight="false" outlineLevel="0" collapsed="false">
      <c r="A9422" s="4" t="s">
        <v>515</v>
      </c>
      <c r="B9422" s="36" t="s">
        <v>516</v>
      </c>
      <c r="C9422" s="48" t="n">
        <f aca="false">IF(C9390-Assumptions!$E$35&lt;1,0,INDEX($C$9415:$N$9415,1,C9390-Assumptions!$E$35)*INDEX($C$9419:$N$9419,1,C9390-Assumptions!$E$35)*0.3)</f>
        <v>0</v>
      </c>
      <c r="D9422" s="48" t="n">
        <f aca="false">IF(D9390-Assumptions!$E$35&lt;1,0,INDEX($C$9415:$N$9415,1,D9390-Assumptions!$E$35)*INDEX($C$9419:$N$9419,1,D9390-Assumptions!$E$35)*0.3)</f>
        <v>1.23768063597689</v>
      </c>
      <c r="E9422" s="48" t="n">
        <f aca="false">IF(E9390-Assumptions!$E$35&lt;1,0,INDEX($C$9415:$N$9415,1,E9390-Assumptions!$E$35)*INDEX($C$9419:$N$9419,1,E9390-Assumptions!$E$35)*0.3)</f>
        <v>2.12148150044057</v>
      </c>
      <c r="F9422" s="48" t="n">
        <f aca="false">IF(F9390-Assumptions!$E$35&lt;1,0,INDEX($C$9415:$N$9415,1,F9390-Assumptions!$E$35)*INDEX($C$9419:$N$9419,1,F9390-Assumptions!$E$35)*0.3)</f>
        <v>2.34086773049422</v>
      </c>
      <c r="G9422" s="48" t="n">
        <f aca="false">IF(G9390-Assumptions!$E$35&lt;1,0,INDEX($C$9415:$N$9415,1,G9390-Assumptions!$E$35)*INDEX($C$9419:$N$9419,1,G9390-Assumptions!$E$35)*0.3)</f>
        <v>2.56475281986144</v>
      </c>
      <c r="H9422" s="48" t="n">
        <f aca="false">IF(H9390-Assumptions!$E$35&lt;1,0,INDEX($C$9415:$N$9415,1,H9390-Assumptions!$E$35)*INDEX($C$9419:$N$9419,1,H9390-Assumptions!$E$35)*0.3)</f>
        <v>3.30028111675706</v>
      </c>
      <c r="I9422" s="48" t="n">
        <f aca="false">IF(I9390-Assumptions!$E$35&lt;1,0,INDEX($C$9415:$N$9415,1,I9390-Assumptions!$E$35)*INDEX($C$9419:$N$9419,1,I9390-Assumptions!$E$35)*0.3)</f>
        <v>3.98730095011235</v>
      </c>
      <c r="J9422" s="48" t="n">
        <f aca="false">IF(J9390-Assumptions!$E$35&lt;1,0,INDEX($C$9415:$N$9415,1,J9390-Assumptions!$E$35)*INDEX($C$9419:$N$9419,1,J9390-Assumptions!$E$35)*0.3)</f>
        <v>5.90099012506257</v>
      </c>
      <c r="K9422" s="48" t="n">
        <f aca="false">IF(K9390-Assumptions!$E$35&lt;1,0,INDEX($C$9415:$N$9415,1,K9390-Assumptions!$E$35)*INDEX($C$9419:$N$9419,1,K9390-Assumptions!$E$35)*0.3)</f>
        <v>7.63308376221796</v>
      </c>
      <c r="L9422" s="48" t="n">
        <f aca="false">IF(L9390-Assumptions!$E$35&lt;1,0,INDEX($C$9415:$N$9415,1,L9390-Assumptions!$E$35)*INDEX($C$9419:$N$9419,1,L9390-Assumptions!$E$35)*0.3)</f>
        <v>7.68732088799361</v>
      </c>
      <c r="M9422" s="48" t="n">
        <f aca="false">IF(M9390-Assumptions!$E$35&lt;1,0,INDEX($C$9415:$N$9415,1,M9390-Assumptions!$E$35)*INDEX($C$9419:$N$9419,1,M9390-Assumptions!$E$35)*0.3)</f>
        <v>7.45970517437292</v>
      </c>
      <c r="N9422" s="48" t="n">
        <f aca="false">IF(N9390-Assumptions!$E$35&lt;1,0,INDEX($C$9415:$N$9415,1,N9390-Assumptions!$E$35)*INDEX($C$9419:$N$9419,1,N9390-Assumptions!$E$35)*0.3)</f>
        <v>7.24788488526951</v>
      </c>
      <c r="P9422" s="49" t="n">
        <f aca="false">SUM(C9422:F9422)</f>
        <v>5.70002986691168</v>
      </c>
      <c r="Q9422" s="49" t="n">
        <f aca="false">SUM(G9422:J9422)</f>
        <v>15.7533250117934</v>
      </c>
      <c r="R9422" s="49" t="n">
        <f aca="false">SUM(K9422:N9422)</f>
        <v>30.027994709854</v>
      </c>
      <c r="S9422" s="50" t="n">
        <f aca="false">SUM(P9422:R9422)</f>
        <v>51.4813495885591</v>
      </c>
    </row>
    <row r="9423" customFormat="false" ht="15" hidden="false" customHeight="false" outlineLevel="0" collapsed="false">
      <c r="A9423" s="4" t="s">
        <v>517</v>
      </c>
      <c r="B9423" s="36" t="s">
        <v>516</v>
      </c>
      <c r="C9423" s="48" t="n">
        <f aca="false">IF(C9390-Assumptions!$E$35&lt;1,0,INDEX($C$9415:$N$9415,1,C9390-Assumptions!$E$35)*INDEX($C$9420:$N$9420,1,C9390-Assumptions!$E$35)*0.3)</f>
        <v>0</v>
      </c>
      <c r="D9423" s="48" t="n">
        <f aca="false">IF(D9390-Assumptions!$E$35&lt;1,0,INDEX($C$9415:$N$9415,1,D9390-Assumptions!$E$35)*INDEX($C$9420:$N$9420,1,D9390-Assumptions!$E$35)*0.3)</f>
        <v>0.620121391810208</v>
      </c>
      <c r="E9423" s="48" t="n">
        <f aca="false">IF(E9390-Assumptions!$E$35&lt;1,0,INDEX($C$9415:$N$9415,1,E9390-Assumptions!$E$35)*INDEX($C$9420:$N$9420,1,E9390-Assumptions!$E$35)*0.3)</f>
        <v>1.06293661103815</v>
      </c>
      <c r="F9423" s="48" t="n">
        <f aca="false">IF(F9390-Assumptions!$E$35&lt;1,0,INDEX($C$9415:$N$9415,1,F9390-Assumptions!$E$35)*INDEX($C$9420:$N$9420,1,F9390-Assumptions!$E$35)*0.3)</f>
        <v>1.17285680399446</v>
      </c>
      <c r="G9423" s="48" t="n">
        <f aca="false">IF(G9390-Assumptions!$E$35&lt;1,0,INDEX($C$9415:$N$9415,1,G9390-Assumptions!$E$35)*INDEX($C$9420:$N$9420,1,G9390-Assumptions!$E$35)*0.3)</f>
        <v>1.28503108319724</v>
      </c>
      <c r="H9423" s="48" t="n">
        <f aca="false">IF(H9390-Assumptions!$E$35&lt;1,0,INDEX($C$9415:$N$9415,1,H9390-Assumptions!$E$35)*INDEX($C$9420:$N$9420,1,H9390-Assumptions!$E$35)*0.3)</f>
        <v>1.62093594703262</v>
      </c>
      <c r="I9423" s="48" t="n">
        <f aca="false">IF(I9390-Assumptions!$E$35&lt;1,0,INDEX($C$9415:$N$9415,1,I9390-Assumptions!$E$35)*INDEX($C$9420:$N$9420,1,I9390-Assumptions!$E$35)*0.3)</f>
        <v>1.93554080249468</v>
      </c>
      <c r="J9423" s="48" t="n">
        <f aca="false">IF(J9390-Assumptions!$E$35&lt;1,0,INDEX($C$9415:$N$9415,1,J9390-Assumptions!$E$35)*INDEX($C$9420:$N$9420,1,J9390-Assumptions!$E$35)*0.3)</f>
        <v>2.69430125890505</v>
      </c>
      <c r="K9423" s="48" t="n">
        <f aca="false">IF(K9390-Assumptions!$E$35&lt;1,0,INDEX($C$9415:$N$9415,1,K9390-Assumptions!$E$35)*INDEX($C$9420:$N$9420,1,K9390-Assumptions!$E$35)*0.3)</f>
        <v>3.39401653647091</v>
      </c>
      <c r="L9423" s="48" t="n">
        <f aca="false">IF(L9390-Assumptions!$E$35&lt;1,0,INDEX($C$9415:$N$9415,1,L9390-Assumptions!$E$35)*INDEX($C$9420:$N$9420,1,L9390-Assumptions!$E$35)*0.3)</f>
        <v>3.41813283173343</v>
      </c>
      <c r="M9423" s="48" t="n">
        <f aca="false">IF(M9390-Assumptions!$E$35&lt;1,0,INDEX($C$9415:$N$9415,1,M9390-Assumptions!$E$35)*INDEX($C$9420:$N$9420,1,M9390-Assumptions!$E$35)*0.3)</f>
        <v>3.31692452326273</v>
      </c>
      <c r="N9423" s="48" t="n">
        <f aca="false">IF(N9390-Assumptions!$E$35&lt;1,0,INDEX($C$9415:$N$9415,1,N9390-Assumptions!$E$35)*INDEX($C$9420:$N$9420,1,N9390-Assumptions!$E$35)*0.3)</f>
        <v>3.22273957961839</v>
      </c>
      <c r="P9423" s="49" t="n">
        <f aca="false">SUM(C9423:F9423)</f>
        <v>2.85591480684281</v>
      </c>
      <c r="Q9423" s="49" t="n">
        <f aca="false">SUM(G9423:J9423)</f>
        <v>7.53580909162959</v>
      </c>
      <c r="R9423" s="49" t="n">
        <f aca="false">SUM(K9423:N9423)</f>
        <v>13.3518134710855</v>
      </c>
      <c r="S9423" s="50" t="n">
        <f aca="false">SUM(P9423:R9423)</f>
        <v>23.7435373695579</v>
      </c>
    </row>
    <row r="9424" customFormat="false" ht="15" hidden="false" customHeight="false" outlineLevel="0" collapsed="false">
      <c r="A9424" s="4" t="s">
        <v>518</v>
      </c>
      <c r="B9424" s="36" t="s">
        <v>516</v>
      </c>
      <c r="C9424" s="48" t="n">
        <f aca="false">IF(C9390-Assumptions!$E$36&lt;1,0,INDEX($C$9415:$N$9415,1,C9390-Assumptions!$E$36)*INDEX($C$9421:$N$9421,1,C9390-Assumptions!$E$36)*0.3)</f>
        <v>0</v>
      </c>
      <c r="D9424" s="48" t="n">
        <f aca="false">IF(D9390-Assumptions!$E$36&lt;1,0,INDEX($C$9415:$N$9415,1,D9390-Assumptions!$E$36)*INDEX($C$9421:$N$9421,1,D9390-Assumptions!$E$36)*0.3)</f>
        <v>0</v>
      </c>
      <c r="E9424" s="48" t="n">
        <f aca="false">IF(E9390-Assumptions!$E$36&lt;1,0,INDEX($C$9415:$N$9415,1,E9390-Assumptions!$E$36)*INDEX($C$9421:$N$9421,1,E9390-Assumptions!$E$36)*0.3)</f>
        <v>0.101822401371306</v>
      </c>
      <c r="F9424" s="48" t="n">
        <f aca="false">IF(F9390-Assumptions!$E$36&lt;1,0,INDEX($C$9415:$N$9415,1,F9390-Assumptions!$E$36)*INDEX($C$9421:$N$9421,1,F9390-Assumptions!$E$36)*0.3)</f>
        <v>0.174531566997622</v>
      </c>
      <c r="G9424" s="48" t="n">
        <f aca="false">IF(G9390-Assumptions!$E$36&lt;1,0,INDEX($C$9415:$N$9415,1,G9390-Assumptions!$E$36)*INDEX($C$9421:$N$9421,1,G9390-Assumptions!$E$36)*0.3)</f>
        <v>0.192580191273164</v>
      </c>
      <c r="H9424" s="48" t="n">
        <f aca="false">IF(H9390-Assumptions!$E$36&lt;1,0,INDEX($C$9415:$N$9415,1,H9390-Assumptions!$E$36)*INDEX($C$9421:$N$9421,1,H9390-Assumptions!$E$36)*0.3)</f>
        <v>0.210998930944732</v>
      </c>
      <c r="I9424" s="48" t="n">
        <f aca="false">IF(I9390-Assumptions!$E$36&lt;1,0,INDEX($C$9415:$N$9415,1,I9390-Assumptions!$E$36)*INDEX($C$9421:$N$9421,1,I9390-Assumptions!$E$36)*0.3)</f>
        <v>0.248942818655125</v>
      </c>
      <c r="J9424" s="48" t="n">
        <f aca="false">IF(J9390-Assumptions!$E$36&lt;1,0,INDEX($C$9415:$N$9415,1,J9390-Assumptions!$E$36)*INDEX($C$9421:$N$9421,1,J9390-Assumptions!$E$36)*0.3)</f>
        <v>0.284974457636671</v>
      </c>
      <c r="K9424" s="48" t="n">
        <f aca="false">IF(K9390-Assumptions!$E$36&lt;1,0,INDEX($C$9415:$N$9415,1,K9390-Assumptions!$E$36)*INDEX($C$9421:$N$9421,1,K9390-Assumptions!$E$36)*0.3)</f>
        <v>0.379079522453141</v>
      </c>
      <c r="L9424" s="48" t="n">
        <f aca="false">IF(L9390-Assumptions!$E$36&lt;1,0,INDEX($C$9415:$N$9415,1,L9390-Assumptions!$E$36)*INDEX($C$9421:$N$9421,1,L9390-Assumptions!$E$36)*0.3)</f>
        <v>0.467502666891324</v>
      </c>
      <c r="M9424" s="48" t="n">
        <f aca="false">IF(M9390-Assumptions!$E$36&lt;1,0,INDEX($C$9415:$N$9415,1,M9390-Assumptions!$E$36)*INDEX($C$9421:$N$9421,1,M9390-Assumptions!$E$36)*0.3)</f>
        <v>0.470824522347718</v>
      </c>
      <c r="N9424" s="48" t="n">
        <f aca="false">IF(N9390-Assumptions!$E$36&lt;1,0,INDEX($C$9415:$N$9415,1,N9390-Assumptions!$E$36)*INDEX($C$9421:$N$9421,1,N9390-Assumptions!$E$36)*0.3)</f>
        <v>0.456883767017512</v>
      </c>
      <c r="P9424" s="49" t="n">
        <f aca="false">SUM(C9424:F9424)</f>
        <v>0.276353968368928</v>
      </c>
      <c r="Q9424" s="49" t="n">
        <f aca="false">SUM(G9424:J9424)</f>
        <v>0.937496398509692</v>
      </c>
      <c r="R9424" s="49" t="n">
        <f aca="false">SUM(K9424:N9424)</f>
        <v>1.7742904787097</v>
      </c>
      <c r="S9424" s="50" t="n">
        <f aca="false">SUM(P9424:R9424)</f>
        <v>2.98814084558832</v>
      </c>
    </row>
    <row r="9425" customFormat="false" ht="15" hidden="false" customHeight="false" outlineLevel="0" collapsed="false">
      <c r="A9425" s="4" t="s">
        <v>519</v>
      </c>
      <c r="B9425" s="36" t="s">
        <v>77</v>
      </c>
      <c r="C9425" s="51" t="n">
        <f aca="false">IF(C9390-Assumptions!$E$35&lt;1,0,IFERROR(INDEX($C$9414:$N$9414,1,C9390-Assumptions!$E$35)/INDEX($C$9415:$N$9415,1,C9390-Assumptions!$E$35),0))</f>
        <v>0</v>
      </c>
      <c r="D9425" s="51" t="n">
        <f aca="false">IF(D9390-Assumptions!$E$35&lt;1,0,IFERROR(INDEX($C$9414:$N$9414,1,D9390-Assumptions!$E$35)/INDEX($C$9415:$N$9415,1,D9390-Assumptions!$E$35),0))</f>
        <v>0.459271678087073</v>
      </c>
      <c r="E9425" s="51" t="n">
        <f aca="false">IF(E9390-Assumptions!$E$35&lt;1,0,IFERROR(INDEX($C$9414:$N$9414,1,E9390-Assumptions!$E$35)/INDEX($C$9415:$N$9415,1,E9390-Assumptions!$E$35),0))</f>
        <v>0.401911350042128</v>
      </c>
      <c r="F9425" s="51" t="n">
        <f aca="false">IF(F9390-Assumptions!$E$35&lt;1,0,IFERROR(INDEX($C$9414:$N$9414,1,F9390-Assumptions!$E$35)/INDEX($C$9415:$N$9415,1,F9390-Assumptions!$E$35),0))</f>
        <v>0.485658933408398</v>
      </c>
      <c r="G9425" s="51" t="n">
        <f aca="false">IF(G9390-Assumptions!$E$35&lt;1,0,IFERROR(INDEX($C$9414:$N$9414,1,G9390-Assumptions!$E$35)/INDEX($C$9415:$N$9415,1,G9390-Assumptions!$E$35),0))</f>
        <v>0.554080356417826</v>
      </c>
      <c r="H9425" s="51" t="n">
        <f aca="false">IF(H9390-Assumptions!$E$35&lt;1,0,IFERROR(INDEX($C$9414:$N$9414,1,H9390-Assumptions!$E$35)/INDEX($C$9415:$N$9415,1,H9390-Assumptions!$E$35),0))</f>
        <v>0.522227563825987</v>
      </c>
      <c r="I9425" s="51" t="n">
        <f aca="false">IF(I9390-Assumptions!$E$35&lt;1,0,IFERROR(INDEX($C$9414:$N$9414,1,I9390-Assumptions!$E$35)/INDEX($C$9415:$N$9415,1,I9390-Assumptions!$E$35),0))</f>
        <v>0.507424816282752</v>
      </c>
      <c r="J9425" s="51" t="n">
        <f aca="false">IF(J9390-Assumptions!$E$35&lt;1,0,IFERROR(INDEX($C$9414:$N$9414,1,J9390-Assumptions!$E$35)/INDEX($C$9415:$N$9415,1,J9390-Assumptions!$E$35),0))</f>
        <v>0.401142323795015</v>
      </c>
      <c r="K9425" s="51" t="n">
        <f aca="false">IF(K9390-Assumptions!$E$35&lt;1,0,IFERROR(INDEX($C$9414:$N$9414,1,K9390-Assumptions!$E$35)/INDEX($C$9415:$N$9415,1,K9390-Assumptions!$E$35),0))</f>
        <v>0.352339268448632</v>
      </c>
      <c r="L9425" s="51" t="n">
        <f aca="false">IF(L9390-Assumptions!$E$35&lt;1,0,IFERROR(INDEX($C$9414:$N$9414,1,L9390-Assumptions!$E$35)/INDEX($C$9415:$N$9415,1,L9390-Assumptions!$E$35),0))</f>
        <v>0.388725970981282</v>
      </c>
      <c r="M9425" s="51" t="n">
        <f aca="false">IF(M9390-Assumptions!$E$35&lt;1,0,IFERROR(INDEX($C$9414:$N$9414,1,M9390-Assumptions!$E$35)/INDEX($C$9415:$N$9415,1,M9390-Assumptions!$E$35),0))</f>
        <v>0.400587048224893</v>
      </c>
      <c r="N9425" s="51" t="n">
        <f aca="false">IF(N9390-Assumptions!$E$35&lt;1,0,IFERROR(INDEX($C$9414:$N$9414,1,N9390-Assumptions!$E$35)/INDEX($C$9415:$N$9415,1,N9390-Assumptions!$E$35),0))</f>
        <v>0.412294251872474</v>
      </c>
      <c r="P9425" s="52"/>
      <c r="Q9425" s="52"/>
      <c r="R9425" s="52"/>
      <c r="S9425" s="53"/>
    </row>
    <row r="9426" customFormat="false" ht="15" hidden="false" customHeight="false" outlineLevel="0" collapsed="false">
      <c r="A9426" s="4" t="s">
        <v>520</v>
      </c>
      <c r="B9426" s="36" t="s">
        <v>516</v>
      </c>
      <c r="C9426" s="48" t="n">
        <f aca="false">C9422*Assumptions!$E$37</f>
        <v>0</v>
      </c>
      <c r="D9426" s="48" t="n">
        <f aca="false">D9422*Assumptions!$E$37</f>
        <v>0.371304190793066</v>
      </c>
      <c r="E9426" s="48" t="n">
        <f aca="false">E9422*Assumptions!$E$37</f>
        <v>0.636444450132171</v>
      </c>
      <c r="F9426" s="48" t="n">
        <f aca="false">F9422*Assumptions!$E$37</f>
        <v>0.702260319148266</v>
      </c>
      <c r="G9426" s="48" t="n">
        <f aca="false">G9422*Assumptions!$E$37</f>
        <v>0.769425845958432</v>
      </c>
      <c r="H9426" s="48" t="n">
        <f aca="false">H9422*Assumptions!$E$37</f>
        <v>0.990084335027117</v>
      </c>
      <c r="I9426" s="48" t="n">
        <f aca="false">I9422*Assumptions!$E$37</f>
        <v>1.1961902850337</v>
      </c>
      <c r="J9426" s="48" t="n">
        <f aca="false">J9422*Assumptions!$E$37</f>
        <v>1.77029703751877</v>
      </c>
      <c r="K9426" s="48" t="n">
        <f aca="false">K9422*Assumptions!$E$37</f>
        <v>2.28992512866539</v>
      </c>
      <c r="L9426" s="48" t="n">
        <f aca="false">L9422*Assumptions!$E$37</f>
        <v>2.30619626639808</v>
      </c>
      <c r="M9426" s="48" t="n">
        <f aca="false">M9422*Assumptions!$E$37</f>
        <v>2.23791155231188</v>
      </c>
      <c r="N9426" s="48" t="n">
        <f aca="false">N9422*Assumptions!$E$37</f>
        <v>2.17436546558085</v>
      </c>
      <c r="P9426" s="49" t="n">
        <f aca="false">SUM(C9426:F9426)</f>
        <v>1.7100089600735</v>
      </c>
      <c r="Q9426" s="49" t="n">
        <f aca="false">SUM(G9426:J9426)</f>
        <v>4.72599750353802</v>
      </c>
      <c r="R9426" s="49" t="n">
        <f aca="false">SUM(K9426:N9426)</f>
        <v>9.0083984129562</v>
      </c>
      <c r="S9426" s="50" t="n">
        <f aca="false">SUM(P9426:R9426)</f>
        <v>15.4444048765677</v>
      </c>
    </row>
    <row r="9427" customFormat="false" ht="15" hidden="false" customHeight="false" outlineLevel="0" collapsed="false">
      <c r="A9427" s="4" t="s">
        <v>521</v>
      </c>
      <c r="B9427" s="36" t="s">
        <v>516</v>
      </c>
      <c r="C9427" s="48" t="n">
        <f aca="false">C9422*(1-Assumptions!$E$37)</f>
        <v>0</v>
      </c>
      <c r="D9427" s="48" t="n">
        <f aca="false">D9422*(1-Assumptions!$E$37)</f>
        <v>0.866376445183821</v>
      </c>
      <c r="E9427" s="48" t="n">
        <f aca="false">E9422*(1-Assumptions!$E$37)</f>
        <v>1.4850370503084</v>
      </c>
      <c r="F9427" s="48" t="n">
        <f aca="false">F9422*(1-Assumptions!$E$37)</f>
        <v>1.63860741134595</v>
      </c>
      <c r="G9427" s="48" t="n">
        <f aca="false">G9422*(1-Assumptions!$E$37)</f>
        <v>1.79532697390301</v>
      </c>
      <c r="H9427" s="48" t="n">
        <f aca="false">H9422*(1-Assumptions!$E$37)</f>
        <v>2.31019678172994</v>
      </c>
      <c r="I9427" s="48" t="n">
        <f aca="false">I9422*(1-Assumptions!$E$37)</f>
        <v>2.79111066507864</v>
      </c>
      <c r="J9427" s="48" t="n">
        <f aca="false">J9422*(1-Assumptions!$E$37)</f>
        <v>4.1306930875438</v>
      </c>
      <c r="K9427" s="48" t="n">
        <f aca="false">K9422*(1-Assumptions!$E$37)</f>
        <v>5.34315863355258</v>
      </c>
      <c r="L9427" s="48" t="n">
        <f aca="false">L9422*(1-Assumptions!$E$37)</f>
        <v>5.38112462159553</v>
      </c>
      <c r="M9427" s="48" t="n">
        <f aca="false">M9422*(1-Assumptions!$E$37)</f>
        <v>5.22179362206104</v>
      </c>
      <c r="N9427" s="48" t="n">
        <f aca="false">N9422*(1-Assumptions!$E$37)</f>
        <v>5.07351941968866</v>
      </c>
      <c r="P9427" s="49" t="n">
        <f aca="false">SUM(C9427:F9427)</f>
        <v>3.99002090683817</v>
      </c>
      <c r="Q9427" s="49" t="n">
        <f aca="false">SUM(G9427:J9427)</f>
        <v>11.0273275082554</v>
      </c>
      <c r="R9427" s="49" t="n">
        <f aca="false">SUM(K9427:N9427)</f>
        <v>21.0195962968978</v>
      </c>
      <c r="S9427" s="50" t="n">
        <f aca="false">SUM(P9427:R9427)</f>
        <v>36.0369447119914</v>
      </c>
    </row>
    <row r="9428" customFormat="false" ht="15" hidden="false" customHeight="false" outlineLevel="0" collapsed="false">
      <c r="A9428" s="4" t="s">
        <v>522</v>
      </c>
      <c r="B9428" s="36" t="s">
        <v>125</v>
      </c>
      <c r="C9428" s="54" t="n">
        <f aca="false">C9427*$C$9381+C9423*$C$9382+C9424*$C$9383</f>
        <v>0</v>
      </c>
      <c r="D9428" s="54" t="n">
        <f aca="false">D9427*$C$9381+D9423*$C$9382+D9424*$C$9383</f>
        <v>10693.3988142863</v>
      </c>
      <c r="E9428" s="54" t="n">
        <f aca="false">E9427*$C$9381+E9423*$C$9382+E9424*$C$9383</f>
        <v>24619.7330886594</v>
      </c>
      <c r="F9428" s="54" t="n">
        <f aca="false">F9427*$C$9381+F9423*$C$9382+F9424*$C$9383</f>
        <v>31007.0468855992</v>
      </c>
      <c r="G9428" s="54" t="n">
        <f aca="false">G9427*$C$9381+G9423*$C$9382+G9424*$C$9383</f>
        <v>34056.3973099255</v>
      </c>
      <c r="H9428" s="54" t="n">
        <f aca="false">H9427*$C$9381+H9423*$C$9382+H9424*$C$9383</f>
        <v>41230.5469350512</v>
      </c>
      <c r="I9428" s="54" t="n">
        <f aca="false">I9427*$C$9381+I9423*$C$9382+I9424*$C$9383</f>
        <v>49221.1628301122</v>
      </c>
      <c r="J9428" s="54" t="n">
        <f aca="false">J9427*$C$9381+J9423*$C$9382+J9424*$C$9383</f>
        <v>66027.1808026782</v>
      </c>
      <c r="K9428" s="54" t="n">
        <f aca="false">K9427*$C$9381+K9423*$C$9382+K9424*$C$9383</f>
        <v>85163.8664964938</v>
      </c>
      <c r="L9428" s="54" t="n">
        <f aca="false">L9427*$C$9381+L9423*$C$9382+L9424*$C$9383</f>
        <v>91065.2252437016</v>
      </c>
      <c r="M9428" s="54" t="n">
        <f aca="false">M9427*$C$9381+M9423*$C$9382+M9424*$C$9383</f>
        <v>89429.2309481643</v>
      </c>
      <c r="N9428" s="54" t="n">
        <f aca="false">N9427*$C$9381+N9423*$C$9382+N9424*$C$9383</f>
        <v>86854.5538774688</v>
      </c>
      <c r="P9428" s="55" t="n">
        <f aca="false">SUM(C9428:F9428)</f>
        <v>66320.178788545</v>
      </c>
      <c r="Q9428" s="55" t="n">
        <f aca="false">SUM(G9428:J9428)</f>
        <v>190535.287877767</v>
      </c>
      <c r="R9428" s="55" t="n">
        <f aca="false">SUM(K9428:N9428)</f>
        <v>352512.876565828</v>
      </c>
      <c r="S9428" s="56" t="n">
        <f aca="false">SUM(P9428:R9428)</f>
        <v>609368.343232141</v>
      </c>
    </row>
    <row r="9429" customFormat="false" ht="15" hidden="false" customHeight="false" outlineLevel="0" collapsed="false">
      <c r="A9429" s="4" t="s">
        <v>523</v>
      </c>
      <c r="B9429" s="36" t="s">
        <v>125</v>
      </c>
      <c r="C9429" s="54" t="n">
        <f aca="false">(C9405+Assumptions!$D$104*C9391)*$C$9386</f>
        <v>306250</v>
      </c>
      <c r="D9429" s="54" t="n">
        <f aca="false">(D9405+Assumptions!$D$104*D9391)*$C$9386</f>
        <v>306250</v>
      </c>
      <c r="E9429" s="54" t="n">
        <f aca="false">(E9405+Assumptions!$D$104*E9391)*$C$9386</f>
        <v>306250</v>
      </c>
      <c r="F9429" s="54" t="n">
        <f aca="false">(F9405+Assumptions!$D$104*F9391)*$C$9386</f>
        <v>306250</v>
      </c>
      <c r="G9429" s="54" t="n">
        <f aca="false">(G9405+Assumptions!$D$104*G9391)*$C$9386</f>
        <v>306250</v>
      </c>
      <c r="H9429" s="54" t="n">
        <f aca="false">(H9405+Assumptions!$D$104*H9391)*$C$9386</f>
        <v>306250</v>
      </c>
      <c r="I9429" s="54" t="n">
        <f aca="false">(I9405+Assumptions!$D$104*I9391)*$C$9386</f>
        <v>306250</v>
      </c>
      <c r="J9429" s="54" t="n">
        <f aca="false">(J9405+Assumptions!$D$104*J9391)*$C$9386</f>
        <v>306250</v>
      </c>
      <c r="K9429" s="54" t="n">
        <f aca="false">(K9405+Assumptions!$D$104*K9391)*$C$9386</f>
        <v>306250</v>
      </c>
      <c r="L9429" s="54" t="n">
        <f aca="false">(L9405+Assumptions!$D$104*L9391)*$C$9386</f>
        <v>306250</v>
      </c>
      <c r="M9429" s="54" t="n">
        <f aca="false">(M9405+Assumptions!$D$104*M9391)*$C$9386</f>
        <v>306250</v>
      </c>
      <c r="N9429" s="54" t="n">
        <f aca="false">(N9405+Assumptions!$D$104*N9391)*$C$9386</f>
        <v>306250</v>
      </c>
      <c r="P9429" s="55" t="n">
        <f aca="false">SUM(C9429:F9429)</f>
        <v>1225000</v>
      </c>
      <c r="Q9429" s="55" t="n">
        <f aca="false">SUM(G9429:J9429)</f>
        <v>1225000</v>
      </c>
      <c r="R9429" s="55" t="n">
        <f aca="false">SUM(K9429:N9429)</f>
        <v>1225000</v>
      </c>
      <c r="S9429" s="56" t="n">
        <f aca="false">SUM(P9429:R9429)</f>
        <v>3675000</v>
      </c>
    </row>
    <row r="9430" customFormat="false" ht="15" hidden="false" customHeight="false" outlineLevel="0" collapsed="false">
      <c r="A9430" s="4" t="s">
        <v>524</v>
      </c>
      <c r="B9430" s="36" t="s">
        <v>77</v>
      </c>
      <c r="C9430" s="51" t="n">
        <f aca="false">IF(C9428&gt;0,MIN(1,C9429/C9428),1)</f>
        <v>1</v>
      </c>
      <c r="D9430" s="51" t="n">
        <f aca="false">IF(D9428&gt;0,MIN(1,D9429/D9428),1)</f>
        <v>1</v>
      </c>
      <c r="E9430" s="51" t="n">
        <f aca="false">IF(E9428&gt;0,MIN(1,E9429/E9428),1)</f>
        <v>1</v>
      </c>
      <c r="F9430" s="51" t="n">
        <f aca="false">IF(F9428&gt;0,MIN(1,F9429/F9428),1)</f>
        <v>1</v>
      </c>
      <c r="G9430" s="51" t="n">
        <f aca="false">IF(G9428&gt;0,MIN(1,G9429/G9428),1)</f>
        <v>1</v>
      </c>
      <c r="H9430" s="51" t="n">
        <f aca="false">IF(H9428&gt;0,MIN(1,H9429/H9428),1)</f>
        <v>1</v>
      </c>
      <c r="I9430" s="51" t="n">
        <f aca="false">IF(I9428&gt;0,MIN(1,I9429/I9428),1)</f>
        <v>1</v>
      </c>
      <c r="J9430" s="51" t="n">
        <f aca="false">IF(J9428&gt;0,MIN(1,J9429/J9428),1)</f>
        <v>1</v>
      </c>
      <c r="K9430" s="51" t="n">
        <f aca="false">IF(K9428&gt;0,MIN(1,K9429/K9428),1)</f>
        <v>1</v>
      </c>
      <c r="L9430" s="51" t="n">
        <f aca="false">IF(L9428&gt;0,MIN(1,L9429/L9428),1)</f>
        <v>1</v>
      </c>
      <c r="M9430" s="51" t="n">
        <f aca="false">IF(M9428&gt;0,MIN(1,M9429/M9428),1)</f>
        <v>1</v>
      </c>
      <c r="N9430" s="51" t="n">
        <f aca="false">IF(N9428&gt;0,MIN(1,N9429/N9428),1)</f>
        <v>1</v>
      </c>
      <c r="P9430" s="52"/>
      <c r="Q9430" s="52"/>
      <c r="R9430" s="52"/>
      <c r="S9430" s="53"/>
    </row>
    <row r="9431" customFormat="false" ht="15" hidden="false" customHeight="false" outlineLevel="0" collapsed="false">
      <c r="A9431" s="4" t="s">
        <v>525</v>
      </c>
      <c r="B9431" s="36" t="s">
        <v>125</v>
      </c>
      <c r="C9431" s="54" t="n">
        <f aca="false">C9428*(1-C9430)</f>
        <v>0</v>
      </c>
      <c r="D9431" s="54" t="n">
        <f aca="false">D9428*(1-D9430)</f>
        <v>0</v>
      </c>
      <c r="E9431" s="54" t="n">
        <f aca="false">E9428*(1-E9430)</f>
        <v>0</v>
      </c>
      <c r="F9431" s="54" t="n">
        <f aca="false">F9428*(1-F9430)</f>
        <v>0</v>
      </c>
      <c r="G9431" s="54" t="n">
        <f aca="false">G9428*(1-G9430)</f>
        <v>0</v>
      </c>
      <c r="H9431" s="54" t="n">
        <f aca="false">H9428*(1-H9430)</f>
        <v>0</v>
      </c>
      <c r="I9431" s="54" t="n">
        <f aca="false">I9428*(1-I9430)</f>
        <v>0</v>
      </c>
      <c r="J9431" s="54" t="n">
        <f aca="false">J9428*(1-J9430)</f>
        <v>0</v>
      </c>
      <c r="K9431" s="54" t="n">
        <f aca="false">K9428*(1-K9430)</f>
        <v>0</v>
      </c>
      <c r="L9431" s="54" t="n">
        <f aca="false">L9428*(1-L9430)</f>
        <v>0</v>
      </c>
      <c r="M9431" s="54" t="n">
        <f aca="false">M9428*(1-M9430)</f>
        <v>0</v>
      </c>
      <c r="N9431" s="54" t="n">
        <f aca="false">N9428*(1-N9430)</f>
        <v>0</v>
      </c>
      <c r="P9431" s="55" t="n">
        <f aca="false">SUM(C9431:F9431)</f>
        <v>0</v>
      </c>
      <c r="Q9431" s="55" t="n">
        <f aca="false">SUM(G9431:J9431)</f>
        <v>0</v>
      </c>
      <c r="R9431" s="55" t="n">
        <f aca="false">SUM(K9431:N9431)</f>
        <v>0</v>
      </c>
      <c r="S9431" s="56" t="n">
        <f aca="false">SUM(P9431:R9431)</f>
        <v>0</v>
      </c>
    </row>
    <row r="9432" customFormat="false" ht="15" hidden="false" customHeight="false" outlineLevel="0" collapsed="false">
      <c r="A9432" s="4" t="s">
        <v>526</v>
      </c>
      <c r="B9432" s="36" t="s">
        <v>527</v>
      </c>
      <c r="C9432" s="48" t="n">
        <f aca="false">C9426+C9427*C9430</f>
        <v>0</v>
      </c>
      <c r="D9432" s="48" t="n">
        <f aca="false">D9426+D9427*D9430</f>
        <v>1.23768063597689</v>
      </c>
      <c r="E9432" s="48" t="n">
        <f aca="false">E9426+E9427*E9430</f>
        <v>2.12148150044057</v>
      </c>
      <c r="F9432" s="48" t="n">
        <f aca="false">F9426+F9427*F9430</f>
        <v>2.34086773049422</v>
      </c>
      <c r="G9432" s="48" t="n">
        <f aca="false">G9426+G9427*G9430</f>
        <v>2.56475281986144</v>
      </c>
      <c r="H9432" s="48" t="n">
        <f aca="false">H9426+H9427*H9430</f>
        <v>3.30028111675706</v>
      </c>
      <c r="I9432" s="48" t="n">
        <f aca="false">I9426+I9427*I9430</f>
        <v>3.98730095011235</v>
      </c>
      <c r="J9432" s="48" t="n">
        <f aca="false">J9426+J9427*J9430</f>
        <v>5.90099012506257</v>
      </c>
      <c r="K9432" s="48" t="n">
        <f aca="false">K9426+K9427*K9430</f>
        <v>7.63308376221796</v>
      </c>
      <c r="L9432" s="48" t="n">
        <f aca="false">L9426+L9427*L9430</f>
        <v>7.68732088799361</v>
      </c>
      <c r="M9432" s="48" t="n">
        <f aca="false">M9426+M9427*M9430</f>
        <v>7.45970517437292</v>
      </c>
      <c r="N9432" s="48" t="n">
        <f aca="false">N9426+N9427*N9430</f>
        <v>7.24788488526951</v>
      </c>
      <c r="P9432" s="49" t="n">
        <f aca="false">SUM(C9432:F9432)</f>
        <v>5.70002986691168</v>
      </c>
      <c r="Q9432" s="49" t="n">
        <f aca="false">SUM(G9432:J9432)</f>
        <v>15.7533250117934</v>
      </c>
      <c r="R9432" s="49" t="n">
        <f aca="false">SUM(K9432:N9432)</f>
        <v>30.027994709854</v>
      </c>
      <c r="S9432" s="50" t="n">
        <f aca="false">SUM(P9432:R9432)</f>
        <v>51.4813495885591</v>
      </c>
    </row>
    <row r="9433" customFormat="false" ht="15" hidden="false" customHeight="false" outlineLevel="0" collapsed="false">
      <c r="A9433" s="4" t="s">
        <v>528</v>
      </c>
      <c r="B9433" s="36" t="s">
        <v>527</v>
      </c>
      <c r="C9433" s="48" t="n">
        <f aca="false">C9423*C9430</f>
        <v>0</v>
      </c>
      <c r="D9433" s="48" t="n">
        <f aca="false">D9423*D9430</f>
        <v>0.620121391810208</v>
      </c>
      <c r="E9433" s="48" t="n">
        <f aca="false">E9423*E9430</f>
        <v>1.06293661103815</v>
      </c>
      <c r="F9433" s="48" t="n">
        <f aca="false">F9423*F9430</f>
        <v>1.17285680399446</v>
      </c>
      <c r="G9433" s="48" t="n">
        <f aca="false">G9423*G9430</f>
        <v>1.28503108319724</v>
      </c>
      <c r="H9433" s="48" t="n">
        <f aca="false">H9423*H9430</f>
        <v>1.62093594703262</v>
      </c>
      <c r="I9433" s="48" t="n">
        <f aca="false">I9423*I9430</f>
        <v>1.93554080249468</v>
      </c>
      <c r="J9433" s="48" t="n">
        <f aca="false">J9423*J9430</f>
        <v>2.69430125890505</v>
      </c>
      <c r="K9433" s="48" t="n">
        <f aca="false">K9423*K9430</f>
        <v>3.39401653647091</v>
      </c>
      <c r="L9433" s="48" t="n">
        <f aca="false">L9423*L9430</f>
        <v>3.41813283173343</v>
      </c>
      <c r="M9433" s="48" t="n">
        <f aca="false">M9423*M9430</f>
        <v>3.31692452326273</v>
      </c>
      <c r="N9433" s="48" t="n">
        <f aca="false">N9423*N9430</f>
        <v>3.22273957961839</v>
      </c>
      <c r="P9433" s="49" t="n">
        <f aca="false">SUM(C9433:F9433)</f>
        <v>2.85591480684281</v>
      </c>
      <c r="Q9433" s="49" t="n">
        <f aca="false">SUM(G9433:J9433)</f>
        <v>7.53580909162959</v>
      </c>
      <c r="R9433" s="49" t="n">
        <f aca="false">SUM(K9433:N9433)</f>
        <v>13.3518134710855</v>
      </c>
      <c r="S9433" s="50" t="n">
        <f aca="false">SUM(P9433:R9433)</f>
        <v>23.7435373695579</v>
      </c>
    </row>
    <row r="9434" customFormat="false" ht="15" hidden="false" customHeight="false" outlineLevel="0" collapsed="false">
      <c r="A9434" s="4" t="s">
        <v>529</v>
      </c>
      <c r="B9434" s="36" t="s">
        <v>527</v>
      </c>
      <c r="C9434" s="48" t="n">
        <f aca="false">C9424*C9430</f>
        <v>0</v>
      </c>
      <c r="D9434" s="48" t="n">
        <f aca="false">D9424*D9430</f>
        <v>0</v>
      </c>
      <c r="E9434" s="48" t="n">
        <f aca="false">E9424*E9430</f>
        <v>0.101822401371306</v>
      </c>
      <c r="F9434" s="48" t="n">
        <f aca="false">F9424*F9430</f>
        <v>0.174531566997622</v>
      </c>
      <c r="G9434" s="48" t="n">
        <f aca="false">G9424*G9430</f>
        <v>0.192580191273164</v>
      </c>
      <c r="H9434" s="48" t="n">
        <f aca="false">H9424*H9430</f>
        <v>0.210998930944732</v>
      </c>
      <c r="I9434" s="48" t="n">
        <f aca="false">I9424*I9430</f>
        <v>0.248942818655125</v>
      </c>
      <c r="J9434" s="48" t="n">
        <f aca="false">J9424*J9430</f>
        <v>0.284974457636671</v>
      </c>
      <c r="K9434" s="48" t="n">
        <f aca="false">K9424*K9430</f>
        <v>0.379079522453141</v>
      </c>
      <c r="L9434" s="48" t="n">
        <f aca="false">L9424*L9430</f>
        <v>0.467502666891324</v>
      </c>
      <c r="M9434" s="48" t="n">
        <f aca="false">M9424*M9430</f>
        <v>0.470824522347718</v>
      </c>
      <c r="N9434" s="48" t="n">
        <f aca="false">N9424*N9430</f>
        <v>0.456883767017512</v>
      </c>
      <c r="P9434" s="49" t="n">
        <f aca="false">SUM(C9434:F9434)</f>
        <v>0.276353968368928</v>
      </c>
      <c r="Q9434" s="49" t="n">
        <f aca="false">SUM(G9434:J9434)</f>
        <v>0.937496398509692</v>
      </c>
      <c r="R9434" s="49" t="n">
        <f aca="false">SUM(K9434:N9434)</f>
        <v>1.7742904787097</v>
      </c>
      <c r="S9434" s="50" t="n">
        <f aca="false">SUM(P9434:R9434)</f>
        <v>2.98814084558832</v>
      </c>
    </row>
    <row r="9435" customFormat="false" ht="15" hidden="false" customHeight="false" outlineLevel="0" collapsed="false">
      <c r="A9435" s="9" t="s">
        <v>530</v>
      </c>
      <c r="B9435" s="36" t="s">
        <v>527</v>
      </c>
      <c r="C9435" s="49" t="n">
        <f aca="false">C9432+C9433+C9434</f>
        <v>0</v>
      </c>
      <c r="D9435" s="49" t="n">
        <f aca="false">D9432+D9433+D9434</f>
        <v>1.85780202778709</v>
      </c>
      <c r="E9435" s="49" t="n">
        <f aca="false">E9432+E9433+E9434</f>
        <v>3.28624051285003</v>
      </c>
      <c r="F9435" s="49" t="n">
        <f aca="false">F9432+F9433+F9434</f>
        <v>3.6882561014863</v>
      </c>
      <c r="G9435" s="49" t="n">
        <f aca="false">G9432+G9433+G9434</f>
        <v>4.04236409433185</v>
      </c>
      <c r="H9435" s="49" t="n">
        <f aca="false">H9432+H9433+H9434</f>
        <v>5.13221599473441</v>
      </c>
      <c r="I9435" s="49" t="n">
        <f aca="false">I9432+I9433+I9434</f>
        <v>6.17178457126216</v>
      </c>
      <c r="J9435" s="49" t="n">
        <f aca="false">J9432+J9433+J9434</f>
        <v>8.88026584160429</v>
      </c>
      <c r="K9435" s="49" t="n">
        <f aca="false">K9432+K9433+K9434</f>
        <v>11.406179821142</v>
      </c>
      <c r="L9435" s="49" t="n">
        <f aca="false">L9432+L9433+L9434</f>
        <v>11.5729563866184</v>
      </c>
      <c r="M9435" s="49" t="n">
        <f aca="false">M9432+M9433+M9434</f>
        <v>11.2474542199834</v>
      </c>
      <c r="N9435" s="49" t="n">
        <f aca="false">N9432+N9433+N9434</f>
        <v>10.9275082319054</v>
      </c>
      <c r="P9435" s="49" t="n">
        <f aca="false">SUM(C9435:F9435)</f>
        <v>8.83229864212342</v>
      </c>
      <c r="Q9435" s="49" t="n">
        <f aca="false">SUM(G9435:J9435)</f>
        <v>24.2266305019327</v>
      </c>
      <c r="R9435" s="49" t="n">
        <f aca="false">SUM(K9435:N9435)</f>
        <v>45.1540986596492</v>
      </c>
      <c r="S9435" s="50" t="n">
        <f aca="false">SUM(P9435:R9435)</f>
        <v>78.2130278037053</v>
      </c>
    </row>
    <row r="9436" customFormat="false" ht="15" hidden="false" customHeight="false" outlineLevel="0" collapsed="false">
      <c r="A9436" s="35" t="s">
        <v>533</v>
      </c>
      <c r="B9436" s="35" t="s">
        <v>444</v>
      </c>
      <c r="C9436" s="6" t="s">
        <v>354</v>
      </c>
      <c r="D9436" s="6" t="s">
        <v>355</v>
      </c>
      <c r="E9436" s="6" t="s">
        <v>356</v>
      </c>
      <c r="F9436" s="6" t="s">
        <v>357</v>
      </c>
      <c r="G9436" s="6" t="s">
        <v>358</v>
      </c>
      <c r="H9436" s="6" t="s">
        <v>359</v>
      </c>
      <c r="I9436" s="6" t="s">
        <v>360</v>
      </c>
      <c r="J9436" s="6" t="s">
        <v>361</v>
      </c>
      <c r="K9436" s="6" t="s">
        <v>362</v>
      </c>
      <c r="L9436" s="6" t="s">
        <v>363</v>
      </c>
      <c r="M9436" s="6" t="s">
        <v>364</v>
      </c>
      <c r="N9436" s="6" t="s">
        <v>365</v>
      </c>
      <c r="P9436" s="6" t="s">
        <v>445</v>
      </c>
      <c r="Q9436" s="6" t="s">
        <v>446</v>
      </c>
      <c r="R9436" s="6" t="s">
        <v>447</v>
      </c>
      <c r="S9436" s="6" t="s">
        <v>448</v>
      </c>
    </row>
    <row r="9437" customFormat="false" ht="15" hidden="false" customHeight="false" outlineLevel="0" collapsed="false">
      <c r="A9437" s="4" t="s">
        <v>534</v>
      </c>
      <c r="B9437" s="36" t="s">
        <v>527</v>
      </c>
      <c r="C9437" s="48" t="n">
        <f aca="false">0*Assumptions!$E$59^(1/4)+C9432</f>
        <v>0</v>
      </c>
      <c r="D9437" s="48" t="n">
        <f aca="false">C9437*Assumptions!$E$59^(1/4)+D9432</f>
        <v>1.23768063597689</v>
      </c>
      <c r="E9437" s="48" t="n">
        <f aca="false">D9437*Assumptions!$E$59^(1/4)+E9432</f>
        <v>3.32023327840576</v>
      </c>
      <c r="F9437" s="48" t="n">
        <f aca="false">E9437*Assumptions!$E$59^(1/4)+F9432</f>
        <v>5.55666947292562</v>
      </c>
      <c r="G9437" s="48" t="n">
        <f aca="false">F9437*Assumptions!$E$59^(1/4)+G9432</f>
        <v>7.94664796842451</v>
      </c>
      <c r="H9437" s="48" t="n">
        <f aca="false">G9437*Assumptions!$E$59^(1/4)+H9432</f>
        <v>10.996982595401</v>
      </c>
      <c r="I9437" s="48" t="n">
        <f aca="false">H9437*Assumptions!$E$59^(1/4)+I9432</f>
        <v>14.638394661443</v>
      </c>
      <c r="J9437" s="48" t="n">
        <f aca="false">I9437*Assumptions!$E$59^(1/4)+J9432</f>
        <v>20.0789623069661</v>
      </c>
      <c r="K9437" s="48" t="n">
        <f aca="false">J9437*Assumptions!$E$59^(1/4)+K9432</f>
        <v>27.080501024405</v>
      </c>
      <c r="L9437" s="48" t="n">
        <f aca="false">K9437*Assumptions!$E$59^(1/4)+L9432</f>
        <v>33.9160569670477</v>
      </c>
      <c r="M9437" s="48" t="n">
        <f aca="false">L9437*Assumptions!$E$59^(1/4)+M9432</f>
        <v>40.3089979636448</v>
      </c>
      <c r="N9437" s="48" t="n">
        <f aca="false">M9437*Assumptions!$E$59^(1/4)+N9432</f>
        <v>46.2890410384281</v>
      </c>
      <c r="P9437" s="49" t="n">
        <f aca="false">F9437</f>
        <v>5.55666947292562</v>
      </c>
      <c r="Q9437" s="49" t="n">
        <f aca="false">J9437</f>
        <v>20.0789623069661</v>
      </c>
      <c r="R9437" s="49" t="n">
        <f aca="false">N9437</f>
        <v>46.2890410384281</v>
      </c>
      <c r="S9437" s="50" t="n">
        <f aca="false">R9437</f>
        <v>46.2890410384281</v>
      </c>
    </row>
    <row r="9438" customFormat="false" ht="15" hidden="false" customHeight="false" outlineLevel="0" collapsed="false">
      <c r="A9438" s="4" t="s">
        <v>535</v>
      </c>
      <c r="B9438" s="36" t="s">
        <v>527</v>
      </c>
      <c r="C9438" s="48" t="n">
        <f aca="false">0*Assumptions!$E$60^(1/4)+C9433</f>
        <v>0</v>
      </c>
      <c r="D9438" s="48" t="n">
        <f aca="false">C9438*Assumptions!$E$60^(1/4)+D9433</f>
        <v>0.620121391810208</v>
      </c>
      <c r="E9438" s="48" t="n">
        <f aca="false">D9438*Assumptions!$E$60^(1/4)+E9433</f>
        <v>1.66693716989976</v>
      </c>
      <c r="F9438" s="48" t="n">
        <f aca="false">E9438*Assumptions!$E$60^(1/4)+F9433</f>
        <v>2.79645985253241</v>
      </c>
      <c r="G9438" s="48" t="n">
        <f aca="false">F9438*Assumptions!$E$60^(1/4)+G9433</f>
        <v>4.00879345629174</v>
      </c>
      <c r="H9438" s="48" t="n">
        <f aca="false">G9438*Assumptions!$E$60^(1/4)+H9433</f>
        <v>5.52551579210599</v>
      </c>
      <c r="I9438" s="48" t="n">
        <f aca="false">H9438*Assumptions!$E$60^(1/4)+I9433</f>
        <v>7.31741388493806</v>
      </c>
      <c r="J9438" s="48" t="n">
        <f aca="false">I9438*Assumptions!$E$60^(1/4)+J9433</f>
        <v>9.8214897969792</v>
      </c>
      <c r="K9438" s="48" t="n">
        <f aca="false">J9438*Assumptions!$E$60^(1/4)+K9433</f>
        <v>12.9601843942065</v>
      </c>
      <c r="L9438" s="48" t="n">
        <f aca="false">K9438*Assumptions!$E$60^(1/4)+L9433</f>
        <v>16.0414009860532</v>
      </c>
      <c r="M9438" s="48" t="n">
        <f aca="false">L9438*Assumptions!$E$60^(1/4)+M9433</f>
        <v>18.941309181589</v>
      </c>
      <c r="N9438" s="48" t="n">
        <f aca="false">M9438*Assumptions!$E$60^(1/4)+N9433</f>
        <v>21.671645684686</v>
      </c>
      <c r="P9438" s="49" t="n">
        <f aca="false">F9438</f>
        <v>2.79645985253241</v>
      </c>
      <c r="Q9438" s="49" t="n">
        <f aca="false">J9438</f>
        <v>9.8214897969792</v>
      </c>
      <c r="R9438" s="49" t="n">
        <f aca="false">N9438</f>
        <v>21.671645684686</v>
      </c>
      <c r="S9438" s="50" t="n">
        <f aca="false">R9438</f>
        <v>21.671645684686</v>
      </c>
    </row>
    <row r="9439" customFormat="false" ht="15" hidden="false" customHeight="false" outlineLevel="0" collapsed="false">
      <c r="A9439" s="4" t="s">
        <v>536</v>
      </c>
      <c r="B9439" s="36" t="s">
        <v>527</v>
      </c>
      <c r="C9439" s="48" t="n">
        <f aca="false">0*Assumptions!$E$61^(1/4)+C9434</f>
        <v>0</v>
      </c>
      <c r="D9439" s="48" t="n">
        <f aca="false">C9439*Assumptions!$E$61^(1/4)+D9434</f>
        <v>0</v>
      </c>
      <c r="E9439" s="48" t="n">
        <f aca="false">D9439*Assumptions!$E$61^(1/4)+E9434</f>
        <v>0.101822401371306</v>
      </c>
      <c r="F9439" s="48" t="n">
        <f aca="false">E9439*Assumptions!$E$61^(1/4)+F9434</f>
        <v>0.274253409020692</v>
      </c>
      <c r="G9439" s="48" t="n">
        <f aca="false">F9439*Assumptions!$E$61^(1/4)+G9434</f>
        <v>0.461175851563268</v>
      </c>
      <c r="H9439" s="48" t="n">
        <f aca="false">G9439*Assumptions!$E$61^(1/4)+H9434</f>
        <v>0.662660891329484</v>
      </c>
      <c r="I9439" s="48" t="n">
        <f aca="false">H9439*Assumptions!$E$61^(1/4)+I9434</f>
        <v>0.897933255239426</v>
      </c>
      <c r="J9439" s="48" t="n">
        <f aca="false">I9439*Assumptions!$E$61^(1/4)+J9434</f>
        <v>1.16438367427572</v>
      </c>
      <c r="K9439" s="48" t="n">
        <f aca="false">J9439*Assumptions!$E$61^(1/4)+K9434</f>
        <v>1.51944238226178</v>
      </c>
      <c r="L9439" s="48" t="n">
        <f aca="false">K9439*Assumptions!$E$61^(1/4)+L9434</f>
        <v>1.95559950183561</v>
      </c>
      <c r="M9439" s="48" t="n">
        <f aca="false">L9439*Assumptions!$E$61^(1/4)+M9434</f>
        <v>2.3860807130881</v>
      </c>
      <c r="N9439" s="48" t="n">
        <f aca="false">M9439*Assumptions!$E$61^(1/4)+N9434</f>
        <v>2.79374049717041</v>
      </c>
      <c r="P9439" s="49" t="n">
        <f aca="false">F9439</f>
        <v>0.274253409020692</v>
      </c>
      <c r="Q9439" s="49" t="n">
        <f aca="false">J9439</f>
        <v>1.16438367427572</v>
      </c>
      <c r="R9439" s="49" t="n">
        <f aca="false">N9439</f>
        <v>2.79374049717041</v>
      </c>
      <c r="S9439" s="50" t="n">
        <f aca="false">R9439</f>
        <v>2.79374049717041</v>
      </c>
    </row>
    <row r="9440" customFormat="false" ht="15" hidden="false" customHeight="false" outlineLevel="0" collapsed="false">
      <c r="A9440" s="9" t="s">
        <v>537</v>
      </c>
      <c r="B9440" s="36" t="s">
        <v>527</v>
      </c>
      <c r="C9440" s="49" t="n">
        <f aca="false">C9437+C9438+C9439</f>
        <v>0</v>
      </c>
      <c r="D9440" s="49" t="n">
        <f aca="false">D9437+D9438+D9439</f>
        <v>1.85780202778709</v>
      </c>
      <c r="E9440" s="49" t="n">
        <f aca="false">E9437+E9438+E9439</f>
        <v>5.08899284967682</v>
      </c>
      <c r="F9440" s="49" t="n">
        <f aca="false">F9437+F9438+F9439</f>
        <v>8.62738273447872</v>
      </c>
      <c r="G9440" s="49" t="n">
        <f aca="false">G9437+G9438+G9439</f>
        <v>12.4166172762795</v>
      </c>
      <c r="H9440" s="49" t="n">
        <f aca="false">H9437+H9438+H9439</f>
        <v>17.1851592788365</v>
      </c>
      <c r="I9440" s="49" t="n">
        <f aca="false">I9437+I9438+I9439</f>
        <v>22.8537418016205</v>
      </c>
      <c r="J9440" s="49" t="n">
        <f aca="false">J9437+J9438+J9439</f>
        <v>31.064835778221</v>
      </c>
      <c r="K9440" s="49" t="n">
        <f aca="false">K9437+K9438+K9439</f>
        <v>41.5601278008733</v>
      </c>
      <c r="L9440" s="49" t="n">
        <f aca="false">L9437+L9438+L9439</f>
        <v>51.9130574549365</v>
      </c>
      <c r="M9440" s="49" t="n">
        <f aca="false">M9437+M9438+M9439</f>
        <v>61.6363878583219</v>
      </c>
      <c r="N9440" s="49" t="n">
        <f aca="false">N9437+N9438+N9439</f>
        <v>70.7544272202844</v>
      </c>
      <c r="P9440" s="49" t="n">
        <f aca="false">F9440</f>
        <v>8.62738273447872</v>
      </c>
      <c r="Q9440" s="49" t="n">
        <f aca="false">J9440</f>
        <v>31.064835778221</v>
      </c>
      <c r="R9440" s="49" t="n">
        <f aca="false">N9440</f>
        <v>70.7544272202844</v>
      </c>
      <c r="S9440" s="50" t="n">
        <f aca="false">R9440</f>
        <v>70.7544272202844</v>
      </c>
    </row>
    <row r="9441" customFormat="false" ht="15" hidden="false" customHeight="false" outlineLevel="0" collapsed="false">
      <c r="A9441" s="4" t="s">
        <v>538</v>
      </c>
      <c r="B9441" s="36" t="s">
        <v>125</v>
      </c>
      <c r="C9441" s="54" t="n">
        <f aca="false">0*Assumptions!$E$62^(1/4)+C9432*$C$9381</f>
        <v>0</v>
      </c>
      <c r="D9441" s="54" t="n">
        <f aca="false">C9441*Assumptions!$E$62^(1/4)+D9432*$C$9381</f>
        <v>6624.0667637483</v>
      </c>
      <c r="E9441" s="54" t="n">
        <f aca="false">D9441*Assumptions!$E$62^(1/4)+E9432*$C$9381</f>
        <v>17978.2357541062</v>
      </c>
      <c r="F9441" s="54" t="n">
        <f aca="false">E9441*Assumptions!$E$62^(1/4)+F9432*$C$9381</f>
        <v>30506.5598477113</v>
      </c>
      <c r="G9441" s="54" t="n">
        <f aca="false">F9441*Assumptions!$E$62^(1/4)+G9432*$C$9381</f>
        <v>44233.1169396097</v>
      </c>
      <c r="H9441" s="54" t="n">
        <f aca="false">G9441*Assumptions!$E$62^(1/4)+H9432*$C$9381</f>
        <v>61896.2214764935</v>
      </c>
      <c r="I9441" s="54" t="n">
        <f aca="false">H9441*Assumptions!$E$62^(1/4)+I9432*$C$9381</f>
        <v>83236.2561614948</v>
      </c>
      <c r="J9441" s="54" t="n">
        <f aca="false">I9441*Assumptions!$E$62^(1/4)+J9432*$C$9381</f>
        <v>114818.35531083</v>
      </c>
      <c r="K9441" s="54" t="n">
        <f aca="false">J9441*Assumptions!$E$62^(1/4)+K9432*$C$9381</f>
        <v>155670.61960622</v>
      </c>
      <c r="L9441" s="54" t="n">
        <f aca="false">K9441*Assumptions!$E$62^(1/4)+L9432*$C$9381</f>
        <v>196813.160998762</v>
      </c>
      <c r="M9441" s="54" t="n">
        <f aca="false">L9441*Assumptions!$E$62^(1/4)+M9432*$C$9381</f>
        <v>236737.503092006</v>
      </c>
      <c r="N9441" s="54" t="n">
        <f aca="false">M9441*Assumptions!$E$62^(1/4)+N9432*$C$9381</f>
        <v>275528.182997968</v>
      </c>
      <c r="P9441" s="55" t="n">
        <f aca="false">F9441</f>
        <v>30506.5598477113</v>
      </c>
      <c r="Q9441" s="55" t="n">
        <f aca="false">J9441</f>
        <v>114818.35531083</v>
      </c>
      <c r="R9441" s="55" t="n">
        <f aca="false">N9441</f>
        <v>275528.182997968</v>
      </c>
      <c r="S9441" s="56" t="n">
        <f aca="false">R9441</f>
        <v>275528.182997968</v>
      </c>
    </row>
    <row r="9442" customFormat="false" ht="15" hidden="false" customHeight="false" outlineLevel="0" collapsed="false">
      <c r="A9442" s="4" t="s">
        <v>539</v>
      </c>
      <c r="B9442" s="36" t="s">
        <v>125</v>
      </c>
      <c r="C9442" s="54" t="n">
        <f aca="false">0*Assumptions!$E$63^(1/4)+C9433*$C$9382</f>
        <v>0</v>
      </c>
      <c r="D9442" s="54" t="n">
        <f aca="false">C9442*Assumptions!$E$63^(1/4)+D9433*$C$9382</f>
        <v>6056.55207966251</v>
      </c>
      <c r="E9442" s="54" t="n">
        <f aca="false">D9442*Assumptions!$E$63^(1/4)+E9433*$C$9382</f>
        <v>16526.8293878058</v>
      </c>
      <c r="F9442" s="54" t="n">
        <f aca="false">E9442*Assumptions!$E$63^(1/4)+F9433*$C$9382</f>
        <v>28224.3056956146</v>
      </c>
      <c r="G9442" s="54" t="n">
        <f aca="false">F9442*Assumptions!$E$63^(1/4)+G9433*$C$9382</f>
        <v>41189.0037619439</v>
      </c>
      <c r="H9442" s="54" t="n">
        <f aca="false">G9442*Assumptions!$E$63^(1/4)+H9433*$C$9382</f>
        <v>57624.6326082883</v>
      </c>
      <c r="I9442" s="54" t="n">
        <f aca="false">H9442*Assumptions!$E$63^(1/4)+I9433*$C$9382</f>
        <v>77374.0929184536</v>
      </c>
      <c r="J9442" s="54" t="n">
        <f aca="false">I9442*Assumptions!$E$63^(1/4)+J9433*$C$9382</f>
        <v>104823.954793649</v>
      </c>
      <c r="K9442" s="54" t="n">
        <f aca="false">J9442*Assumptions!$E$63^(1/4)+K9433*$C$9382</f>
        <v>139510.535005149</v>
      </c>
      <c r="L9442" s="54" t="n">
        <f aca="false">K9442*Assumptions!$E$63^(1/4)+L9433*$C$9382</f>
        <v>174941.637865161</v>
      </c>
      <c r="M9442" s="54" t="n">
        <f aca="false">L9442*Assumptions!$E$63^(1/4)+M9433*$C$9382</f>
        <v>209904.178054589</v>
      </c>
      <c r="N9442" s="54" t="n">
        <f aca="false">M9442*Assumptions!$E$63^(1/4)+N9433*$C$9382</f>
        <v>244459.875195506</v>
      </c>
      <c r="P9442" s="55" t="n">
        <f aca="false">F9442</f>
        <v>28224.3056956146</v>
      </c>
      <c r="Q9442" s="55" t="n">
        <f aca="false">J9442</f>
        <v>104823.954793649</v>
      </c>
      <c r="R9442" s="55" t="n">
        <f aca="false">N9442</f>
        <v>244459.875195506</v>
      </c>
      <c r="S9442" s="56" t="n">
        <f aca="false">R9442</f>
        <v>244459.875195506</v>
      </c>
    </row>
    <row r="9443" customFormat="false" ht="15" hidden="false" customHeight="false" outlineLevel="0" collapsed="false">
      <c r="A9443" s="4" t="s">
        <v>540</v>
      </c>
      <c r="B9443" s="36" t="s">
        <v>125</v>
      </c>
      <c r="C9443" s="54" t="n">
        <f aca="false">0*Assumptions!$E$64^(1/4)+C9434*$C$9383</f>
        <v>0</v>
      </c>
      <c r="D9443" s="54" t="n">
        <f aca="false">C9443*Assumptions!$E$64^(1/4)+D9434*$C$9383</f>
        <v>0</v>
      </c>
      <c r="E9443" s="54" t="n">
        <f aca="false">D9443*Assumptions!$E$64^(1/4)+E9434*$C$9383</f>
        <v>6290.41040079504</v>
      </c>
      <c r="F9443" s="54" t="n">
        <f aca="false">E9443*Assumptions!$E$64^(1/4)+F9434*$C$9383</f>
        <v>17296.3411584059</v>
      </c>
      <c r="G9443" s="54" t="n">
        <f aca="false">F9443*Assumptions!$E$64^(1/4)+G9434*$C$9383</f>
        <v>29808.6341770092</v>
      </c>
      <c r="H9443" s="54" t="n">
        <f aca="false">G9443*Assumptions!$E$64^(1/4)+H9434*$C$9383</f>
        <v>43903.7178846461</v>
      </c>
      <c r="I9443" s="54" t="n">
        <f aca="false">H9443*Assumptions!$E$64^(1/4)+I9434*$C$9383</f>
        <v>60844.1028717349</v>
      </c>
      <c r="J9443" s="54" t="n">
        <f aca="false">I9443*Assumptions!$E$64^(1/4)+J9434*$C$9383</f>
        <v>80612.8271864594</v>
      </c>
      <c r="K9443" s="54" t="n">
        <f aca="false">J9443*Assumptions!$E$64^(1/4)+K9434*$C$9383</f>
        <v>106898.136115322</v>
      </c>
      <c r="L9443" s="54" t="n">
        <f aca="false">K9443*Assumptions!$E$64^(1/4)+L9434*$C$9383</f>
        <v>139580.727738571</v>
      </c>
      <c r="M9443" s="54" t="n">
        <f aca="false">L9443*Assumptions!$E$64^(1/4)+M9434*$C$9383</f>
        <v>173630.66788731</v>
      </c>
      <c r="N9443" s="54" t="n">
        <f aca="false">M9443*Assumptions!$E$64^(1/4)+N9434*$C$9383</f>
        <v>208030.122852604</v>
      </c>
      <c r="P9443" s="55" t="n">
        <f aca="false">F9443</f>
        <v>17296.3411584059</v>
      </c>
      <c r="Q9443" s="55" t="n">
        <f aca="false">J9443</f>
        <v>80612.8271864594</v>
      </c>
      <c r="R9443" s="55" t="n">
        <f aca="false">N9443</f>
        <v>208030.122852604</v>
      </c>
      <c r="S9443" s="56" t="n">
        <f aca="false">R9443</f>
        <v>208030.122852604</v>
      </c>
    </row>
    <row r="9444" customFormat="false" ht="15" hidden="false" customHeight="false" outlineLevel="0" collapsed="false">
      <c r="A9444" s="9" t="s">
        <v>541</v>
      </c>
      <c r="B9444" s="36" t="s">
        <v>125</v>
      </c>
      <c r="C9444" s="55" t="n">
        <f aca="false">C9441+C9442+C9443</f>
        <v>0</v>
      </c>
      <c r="D9444" s="55" t="n">
        <f aca="false">D9441+D9442+D9443</f>
        <v>12680.6188434108</v>
      </c>
      <c r="E9444" s="55" t="n">
        <f aca="false">E9441+E9442+E9443</f>
        <v>40795.4755427071</v>
      </c>
      <c r="F9444" s="55" t="n">
        <f aca="false">F9441+F9442+F9443</f>
        <v>76027.2067017318</v>
      </c>
      <c r="G9444" s="55" t="n">
        <f aca="false">G9441+G9442+G9443</f>
        <v>115230.754878563</v>
      </c>
      <c r="H9444" s="55" t="n">
        <f aca="false">H9441+H9442+H9443</f>
        <v>163424.571969428</v>
      </c>
      <c r="I9444" s="55" t="n">
        <f aca="false">I9441+I9442+I9443</f>
        <v>221454.451951683</v>
      </c>
      <c r="J9444" s="55" t="n">
        <f aca="false">J9441+J9442+J9443</f>
        <v>300255.137290938</v>
      </c>
      <c r="K9444" s="55" t="n">
        <f aca="false">K9441+K9442+K9443</f>
        <v>402079.290726691</v>
      </c>
      <c r="L9444" s="55" t="n">
        <f aca="false">L9441+L9442+L9443</f>
        <v>511335.526602494</v>
      </c>
      <c r="M9444" s="55" t="n">
        <f aca="false">M9441+M9442+M9443</f>
        <v>620272.349033905</v>
      </c>
      <c r="N9444" s="55" t="n">
        <f aca="false">N9441+N9442+N9443</f>
        <v>728018.181046078</v>
      </c>
      <c r="P9444" s="55" t="n">
        <f aca="false">F9444</f>
        <v>76027.2067017318</v>
      </c>
      <c r="Q9444" s="55" t="n">
        <f aca="false">J9444</f>
        <v>300255.137290938</v>
      </c>
      <c r="R9444" s="55" t="n">
        <f aca="false">N9444</f>
        <v>728018.181046078</v>
      </c>
      <c r="S9444" s="56" t="n">
        <f aca="false">R9444</f>
        <v>728018.181046078</v>
      </c>
    </row>
    <row r="9445" customFormat="false" ht="15" hidden="false" customHeight="false" outlineLevel="0" collapsed="false">
      <c r="A9445" s="4" t="s">
        <v>542</v>
      </c>
      <c r="B9445" s="36" t="s">
        <v>125</v>
      </c>
      <c r="C9445" s="54" t="n">
        <f aca="false">C9432*$C$9381+C9433*$C$9382+C9434*$C$9383</f>
        <v>0</v>
      </c>
      <c r="D9445" s="54" t="n">
        <f aca="false">D9432*$C$9381+D9433*$C$9382+D9434*$C$9383</f>
        <v>12680.6188434108</v>
      </c>
      <c r="E9445" s="54" t="n">
        <f aca="false">E9432*$C$9381+E9433*$C$9382+E9434*$C$9383</f>
        <v>28025.9837857668</v>
      </c>
      <c r="F9445" s="54" t="n">
        <f aca="false">F9432*$C$9381+F9433*$C$9382+F9434*$C$9383</f>
        <v>34765.5441136808</v>
      </c>
      <c r="G9445" s="54" t="n">
        <f aca="false">G9432*$C$9381+G9433*$C$9382+G9434*$C$9383</f>
        <v>38174.364437495</v>
      </c>
      <c r="H9445" s="54" t="n">
        <f aca="false">H9432*$C$9381+H9433*$C$9382+H9434*$C$9383</f>
        <v>46529.4782961164</v>
      </c>
      <c r="I9445" s="54" t="n">
        <f aca="false">I9432*$C$9381+I9433*$C$9382+I9434*$C$9383</f>
        <v>55623.1732356126</v>
      </c>
      <c r="J9445" s="54" t="n">
        <f aca="false">J9432*$C$9381+J9433*$C$9382+J9434*$C$9383</f>
        <v>75501.8105474787</v>
      </c>
      <c r="K9445" s="54" t="n">
        <f aca="false">K9432*$C$9381+K9433*$C$9382+K9434*$C$9383</f>
        <v>97419.545785111</v>
      </c>
      <c r="L9445" s="54" t="n">
        <f aca="false">L9432*$C$9381+L9433*$C$9382+L9434*$C$9383</f>
        <v>103407.987661464</v>
      </c>
      <c r="M9445" s="54" t="n">
        <f aca="false">M9432*$C$9381+M9433*$C$9382+M9434*$C$9383</f>
        <v>101406.533576137</v>
      </c>
      <c r="N9445" s="54" t="n">
        <f aca="false">N9432*$C$9381+N9433*$C$9382+N9434*$C$9383</f>
        <v>98491.7578492575</v>
      </c>
      <c r="P9445" s="55" t="n">
        <f aca="false">SUM(C9445:F9445)</f>
        <v>75472.1467428584</v>
      </c>
      <c r="Q9445" s="55" t="n">
        <f aca="false">SUM(G9445:J9445)</f>
        <v>215828.826516703</v>
      </c>
      <c r="R9445" s="55" t="n">
        <f aca="false">SUM(K9445:N9445)</f>
        <v>400725.82487197</v>
      </c>
      <c r="S9445" s="56" t="n">
        <f aca="false">SUM(P9445:R9445)</f>
        <v>692026.798131531</v>
      </c>
    </row>
    <row r="9446" customFormat="false" ht="15" hidden="false" customHeight="false" outlineLevel="0" collapsed="false">
      <c r="A9446" s="9" t="s">
        <v>543</v>
      </c>
      <c r="B9446" s="36" t="s">
        <v>125</v>
      </c>
      <c r="C9446" s="55" t="n">
        <f aca="false">(0+C9444)/8</f>
        <v>0</v>
      </c>
      <c r="D9446" s="55" t="n">
        <f aca="false">(C9444+D9444)/8</f>
        <v>1585.07735542635</v>
      </c>
      <c r="E9446" s="55" t="n">
        <f aca="false">(D9444+E9444)/8</f>
        <v>6684.51179826473</v>
      </c>
      <c r="F9446" s="55" t="n">
        <f aca="false">(E9444+F9444)/8</f>
        <v>14602.8352805549</v>
      </c>
      <c r="G9446" s="55" t="n">
        <f aca="false">(F9444+G9444)/8</f>
        <v>23907.2451975368</v>
      </c>
      <c r="H9446" s="55" t="n">
        <f aca="false">(G9444+H9444)/8</f>
        <v>34831.9158559988</v>
      </c>
      <c r="I9446" s="55" t="n">
        <f aca="false">(H9444+I9444)/8</f>
        <v>48109.8779901389</v>
      </c>
      <c r="J9446" s="55" t="n">
        <f aca="false">(I9444+J9444)/8</f>
        <v>65213.6986553276</v>
      </c>
      <c r="K9446" s="55" t="n">
        <f aca="false">(J9444+K9444)/8</f>
        <v>87791.8035022036</v>
      </c>
      <c r="L9446" s="55" t="n">
        <f aca="false">(K9444+L9444)/8</f>
        <v>114176.852166148</v>
      </c>
      <c r="M9446" s="55" t="n">
        <f aca="false">(L9444+M9444)/8</f>
        <v>141450.98445455</v>
      </c>
      <c r="N9446" s="55" t="n">
        <f aca="false">(M9444+N9444)/8</f>
        <v>168536.316259998</v>
      </c>
      <c r="P9446" s="55" t="n">
        <f aca="false">SUM(C9446:F9446)</f>
        <v>22872.4244342459</v>
      </c>
      <c r="Q9446" s="55" t="n">
        <f aca="false">SUM(G9446:J9446)</f>
        <v>172062.737699002</v>
      </c>
      <c r="R9446" s="55" t="n">
        <f aca="false">SUM(K9446:N9446)</f>
        <v>511955.9563829</v>
      </c>
      <c r="S9446" s="56" t="n">
        <f aca="false">SUM(P9446:R9446)</f>
        <v>706891.118516148</v>
      </c>
    </row>
    <row r="9447" customFormat="false" ht="15" hidden="false" customHeight="false" outlineLevel="0" collapsed="false">
      <c r="A9447" s="4" t="s">
        <v>544</v>
      </c>
      <c r="B9447" s="36" t="s">
        <v>125</v>
      </c>
      <c r="C9447" s="54" t="n">
        <f aca="false">C9446*Assumptions!$E$76</f>
        <v>0</v>
      </c>
      <c r="D9447" s="54" t="n">
        <f aca="false">D9446*Assumptions!$E$76</f>
        <v>1030.30028102713</v>
      </c>
      <c r="E9447" s="54" t="n">
        <f aca="false">E9446*Assumptions!$E$76</f>
        <v>4344.93266887208</v>
      </c>
      <c r="F9447" s="54" t="n">
        <f aca="false">F9446*Assumptions!$E$76</f>
        <v>9491.84293236065</v>
      </c>
      <c r="G9447" s="54" t="n">
        <f aca="false">G9446*Assumptions!$E$76</f>
        <v>15539.7093783989</v>
      </c>
      <c r="H9447" s="54" t="n">
        <f aca="false">H9446*Assumptions!$E$76</f>
        <v>22640.7453063992</v>
      </c>
      <c r="I9447" s="54" t="n">
        <f aca="false">I9446*Assumptions!$E$76</f>
        <v>31271.4206935903</v>
      </c>
      <c r="J9447" s="54" t="n">
        <f aca="false">J9446*Assumptions!$E$76</f>
        <v>42388.9041259629</v>
      </c>
      <c r="K9447" s="54" t="n">
        <f aca="false">K9446*Assumptions!$E$76</f>
        <v>57064.6722764323</v>
      </c>
      <c r="L9447" s="54" t="n">
        <f aca="false">L9446*Assumptions!$E$76</f>
        <v>74214.9539079963</v>
      </c>
      <c r="M9447" s="54" t="n">
        <f aca="false">M9446*Assumptions!$E$76</f>
        <v>91943.1398954574</v>
      </c>
      <c r="N9447" s="54" t="n">
        <f aca="false">N9446*Assumptions!$E$76</f>
        <v>109548.605568999</v>
      </c>
      <c r="P9447" s="55" t="n">
        <f aca="false">SUM(C9447:F9447)</f>
        <v>14867.0758822599</v>
      </c>
      <c r="Q9447" s="55" t="n">
        <f aca="false">SUM(G9447:J9447)</f>
        <v>111840.779504351</v>
      </c>
      <c r="R9447" s="55" t="n">
        <f aca="false">SUM(K9447:N9447)</f>
        <v>332771.371648885</v>
      </c>
      <c r="S9447" s="56" t="n">
        <f aca="false">SUM(P9447:R9447)</f>
        <v>459479.227035496</v>
      </c>
    </row>
    <row r="9448" customFormat="false" ht="15" hidden="false" customHeight="false" outlineLevel="0" collapsed="false">
      <c r="A9448" s="35" t="s">
        <v>547</v>
      </c>
      <c r="B9448" s="35" t="s">
        <v>444</v>
      </c>
      <c r="C9448" s="6" t="s">
        <v>354</v>
      </c>
      <c r="D9448" s="6" t="s">
        <v>355</v>
      </c>
      <c r="E9448" s="6" t="s">
        <v>356</v>
      </c>
      <c r="F9448" s="6" t="s">
        <v>357</v>
      </c>
      <c r="G9448" s="6" t="s">
        <v>358</v>
      </c>
      <c r="H9448" s="6" t="s">
        <v>359</v>
      </c>
      <c r="I9448" s="6" t="s">
        <v>360</v>
      </c>
      <c r="J9448" s="6" t="s">
        <v>361</v>
      </c>
      <c r="K9448" s="6" t="s">
        <v>362</v>
      </c>
      <c r="L9448" s="6" t="s">
        <v>363</v>
      </c>
      <c r="M9448" s="6" t="s">
        <v>364</v>
      </c>
      <c r="N9448" s="6" t="s">
        <v>365</v>
      </c>
      <c r="P9448" s="6" t="s">
        <v>445</v>
      </c>
      <c r="Q9448" s="6" t="s">
        <v>446</v>
      </c>
      <c r="R9448" s="6" t="s">
        <v>447</v>
      </c>
      <c r="S9448" s="6" t="s">
        <v>448</v>
      </c>
    </row>
    <row r="9449" customFormat="false" ht="15" hidden="false" customHeight="false" outlineLevel="0" collapsed="false">
      <c r="A9449" s="4" t="s">
        <v>548</v>
      </c>
      <c r="B9449" s="36" t="s">
        <v>321</v>
      </c>
      <c r="C9449" s="48" t="n">
        <f aca="false">Assumptions!$D$97*C9391</f>
        <v>1</v>
      </c>
      <c r="D9449" s="48" t="n">
        <f aca="false">Assumptions!$D$97*D9391</f>
        <v>1</v>
      </c>
      <c r="E9449" s="48" t="n">
        <f aca="false">Assumptions!$D$97*E9391</f>
        <v>1</v>
      </c>
      <c r="F9449" s="48" t="n">
        <f aca="false">Assumptions!$D$97*F9391</f>
        <v>1</v>
      </c>
      <c r="G9449" s="48" t="n">
        <f aca="false">Assumptions!$D$97*G9391</f>
        <v>1</v>
      </c>
      <c r="H9449" s="48" t="n">
        <f aca="false">Assumptions!$D$97*H9391</f>
        <v>1</v>
      </c>
      <c r="I9449" s="48" t="n">
        <f aca="false">Assumptions!$D$97*I9391</f>
        <v>1</v>
      </c>
      <c r="J9449" s="48" t="n">
        <f aca="false">Assumptions!$D$97*J9391</f>
        <v>1</v>
      </c>
      <c r="K9449" s="48" t="n">
        <f aca="false">Assumptions!$D$97*K9391</f>
        <v>1</v>
      </c>
      <c r="L9449" s="48" t="n">
        <f aca="false">Assumptions!$D$97*L9391</f>
        <v>1</v>
      </c>
      <c r="M9449" s="48" t="n">
        <f aca="false">Assumptions!$D$97*M9391</f>
        <v>1</v>
      </c>
      <c r="N9449" s="48" t="n">
        <f aca="false">Assumptions!$D$97*N9391</f>
        <v>1</v>
      </c>
      <c r="P9449" s="49" t="n">
        <f aca="false">AVERAGE(C9449:F9449)</f>
        <v>1</v>
      </c>
      <c r="Q9449" s="49" t="n">
        <f aca="false">AVERAGE(G9449:J9449)</f>
        <v>1</v>
      </c>
      <c r="R9449" s="49" t="n">
        <f aca="false">AVERAGE(K9449:N9449)</f>
        <v>1</v>
      </c>
      <c r="S9449" s="50"/>
    </row>
    <row r="9450" customFormat="false" ht="15" hidden="false" customHeight="false" outlineLevel="0" collapsed="false">
      <c r="A9450" s="4" t="s">
        <v>549</v>
      </c>
      <c r="B9450" s="36" t="s">
        <v>321</v>
      </c>
      <c r="C9450" s="48" t="n">
        <f aca="false">C9404*C9391</f>
        <v>0</v>
      </c>
      <c r="D9450" s="48" t="n">
        <f aca="false">D9404*D9391</f>
        <v>0</v>
      </c>
      <c r="E9450" s="48" t="n">
        <f aca="false">E9404*E9391</f>
        <v>0</v>
      </c>
      <c r="F9450" s="48" t="n">
        <f aca="false">F9404*F9391</f>
        <v>0</v>
      </c>
      <c r="G9450" s="48" t="n">
        <f aca="false">G9404*G9391</f>
        <v>0</v>
      </c>
      <c r="H9450" s="48" t="n">
        <f aca="false">H9404*H9391</f>
        <v>0</v>
      </c>
      <c r="I9450" s="48" t="n">
        <f aca="false">I9404*I9391</f>
        <v>0</v>
      </c>
      <c r="J9450" s="48" t="n">
        <f aca="false">J9404*J9391</f>
        <v>0</v>
      </c>
      <c r="K9450" s="48" t="n">
        <f aca="false">K9404*K9391</f>
        <v>0</v>
      </c>
      <c r="L9450" s="48" t="n">
        <f aca="false">L9404*L9391</f>
        <v>0</v>
      </c>
      <c r="M9450" s="48" t="n">
        <f aca="false">M9404*M9391</f>
        <v>0</v>
      </c>
      <c r="N9450" s="48" t="n">
        <f aca="false">N9404*N9391</f>
        <v>0</v>
      </c>
      <c r="P9450" s="49" t="n">
        <f aca="false">AVERAGE(C9450:F9450)</f>
        <v>0</v>
      </c>
      <c r="Q9450" s="49" t="n">
        <f aca="false">AVERAGE(G9450:J9450)</f>
        <v>0</v>
      </c>
      <c r="R9450" s="49" t="n">
        <f aca="false">AVERAGE(K9450:N9450)</f>
        <v>0</v>
      </c>
      <c r="S9450" s="50"/>
    </row>
    <row r="9451" customFormat="false" ht="15" hidden="false" customHeight="false" outlineLevel="0" collapsed="false">
      <c r="A9451" s="4" t="s">
        <v>550</v>
      </c>
      <c r="B9451" s="36" t="s">
        <v>321</v>
      </c>
      <c r="C9451" s="48" t="n">
        <f aca="false">IF(C9390&lt;=4,Assumptions!$D$98,Assumptions!$D$99)*C9391</f>
        <v>0</v>
      </c>
      <c r="D9451" s="48" t="n">
        <f aca="false">IF(D9390&lt;=4,Assumptions!$D$98,Assumptions!$D$99)*D9391</f>
        <v>0</v>
      </c>
      <c r="E9451" s="48" t="n">
        <f aca="false">IF(E9390&lt;=4,Assumptions!$D$98,Assumptions!$D$99)*E9391</f>
        <v>0</v>
      </c>
      <c r="F9451" s="48" t="n">
        <f aca="false">IF(F9390&lt;=4,Assumptions!$D$98,Assumptions!$D$99)*F9391</f>
        <v>0</v>
      </c>
      <c r="G9451" s="48" t="n">
        <f aca="false">IF(G9390&lt;=4,Assumptions!$D$98,Assumptions!$D$99)*G9391</f>
        <v>0.5</v>
      </c>
      <c r="H9451" s="48" t="n">
        <f aca="false">IF(H9390&lt;=4,Assumptions!$D$98,Assumptions!$D$99)*H9391</f>
        <v>0.5</v>
      </c>
      <c r="I9451" s="48" t="n">
        <f aca="false">IF(I9390&lt;=4,Assumptions!$D$98,Assumptions!$D$99)*I9391</f>
        <v>0.5</v>
      </c>
      <c r="J9451" s="48" t="n">
        <f aca="false">IF(J9390&lt;=4,Assumptions!$D$98,Assumptions!$D$99)*J9391</f>
        <v>0.5</v>
      </c>
      <c r="K9451" s="48" t="n">
        <f aca="false">IF(K9390&lt;=4,Assumptions!$D$98,Assumptions!$D$99)*K9391</f>
        <v>0.5</v>
      </c>
      <c r="L9451" s="48" t="n">
        <f aca="false">IF(L9390&lt;=4,Assumptions!$D$98,Assumptions!$D$99)*L9391</f>
        <v>0.5</v>
      </c>
      <c r="M9451" s="48" t="n">
        <f aca="false">IF(M9390&lt;=4,Assumptions!$D$98,Assumptions!$D$99)*M9391</f>
        <v>0.5</v>
      </c>
      <c r="N9451" s="48" t="n">
        <f aca="false">IF(N9390&lt;=4,Assumptions!$D$98,Assumptions!$D$99)*N9391</f>
        <v>0.5</v>
      </c>
      <c r="P9451" s="49" t="n">
        <f aca="false">AVERAGE(C9451:F9451)</f>
        <v>0</v>
      </c>
      <c r="Q9451" s="49" t="n">
        <f aca="false">AVERAGE(G9451:J9451)</f>
        <v>0.5</v>
      </c>
      <c r="R9451" s="49" t="n">
        <f aca="false">AVERAGE(K9451:N9451)</f>
        <v>0.5</v>
      </c>
      <c r="S9451" s="50"/>
    </row>
    <row r="9452" customFormat="false" ht="15" hidden="false" customHeight="false" outlineLevel="0" collapsed="false">
      <c r="A9452" s="4" t="s">
        <v>551</v>
      </c>
      <c r="B9452" s="36" t="s">
        <v>321</v>
      </c>
      <c r="C9452" s="48" t="n">
        <f aca="false">IF(C9390&lt;=4,Assumptions!$D$100,Assumptions!$D$101)*C9391</f>
        <v>1</v>
      </c>
      <c r="D9452" s="48" t="n">
        <f aca="false">IF(D9390&lt;=4,Assumptions!$D$100,Assumptions!$D$101)*D9391</f>
        <v>1</v>
      </c>
      <c r="E9452" s="48" t="n">
        <f aca="false">IF(E9390&lt;=4,Assumptions!$D$100,Assumptions!$D$101)*E9391</f>
        <v>1</v>
      </c>
      <c r="F9452" s="48" t="n">
        <f aca="false">IF(F9390&lt;=4,Assumptions!$D$100,Assumptions!$D$101)*F9391</f>
        <v>1</v>
      </c>
      <c r="G9452" s="48" t="n">
        <f aca="false">IF(G9390&lt;=4,Assumptions!$D$100,Assumptions!$D$101)*G9391</f>
        <v>0.5</v>
      </c>
      <c r="H9452" s="48" t="n">
        <f aca="false">IF(H9390&lt;=4,Assumptions!$D$100,Assumptions!$D$101)*H9391</f>
        <v>0.5</v>
      </c>
      <c r="I9452" s="48" t="n">
        <f aca="false">IF(I9390&lt;=4,Assumptions!$D$100,Assumptions!$D$101)*I9391</f>
        <v>0.5</v>
      </c>
      <c r="J9452" s="48" t="n">
        <f aca="false">IF(J9390&lt;=4,Assumptions!$D$100,Assumptions!$D$101)*J9391</f>
        <v>0.5</v>
      </c>
      <c r="K9452" s="48" t="n">
        <f aca="false">IF(K9390&lt;=4,Assumptions!$D$100,Assumptions!$D$101)*K9391</f>
        <v>0.5</v>
      </c>
      <c r="L9452" s="48" t="n">
        <f aca="false">IF(L9390&lt;=4,Assumptions!$D$100,Assumptions!$D$101)*L9391</f>
        <v>0.5</v>
      </c>
      <c r="M9452" s="48" t="n">
        <f aca="false">IF(M9390&lt;=4,Assumptions!$D$100,Assumptions!$D$101)*M9391</f>
        <v>0.5</v>
      </c>
      <c r="N9452" s="48" t="n">
        <f aca="false">IF(N9390&lt;=4,Assumptions!$D$100,Assumptions!$D$101)*N9391</f>
        <v>0.5</v>
      </c>
      <c r="P9452" s="49" t="n">
        <f aca="false">AVERAGE(C9452:F9452)</f>
        <v>1</v>
      </c>
      <c r="Q9452" s="49" t="n">
        <f aca="false">AVERAGE(G9452:J9452)</f>
        <v>0.5</v>
      </c>
      <c r="R9452" s="49" t="n">
        <f aca="false">AVERAGE(K9452:N9452)</f>
        <v>0.5</v>
      </c>
      <c r="S9452" s="50"/>
    </row>
    <row r="9453" customFormat="false" ht="15" hidden="false" customHeight="false" outlineLevel="0" collapsed="false">
      <c r="A9453" s="4" t="s">
        <v>552</v>
      </c>
      <c r="B9453" s="36" t="s">
        <v>321</v>
      </c>
      <c r="C9453" s="48" t="n">
        <f aca="false">Assumptions!$D$102*C9391</f>
        <v>0.25</v>
      </c>
      <c r="D9453" s="48" t="n">
        <f aca="false">Assumptions!$D$102*D9391</f>
        <v>0.25</v>
      </c>
      <c r="E9453" s="48" t="n">
        <f aca="false">Assumptions!$D$102*E9391</f>
        <v>0.25</v>
      </c>
      <c r="F9453" s="48" t="n">
        <f aca="false">Assumptions!$D$102*F9391</f>
        <v>0.25</v>
      </c>
      <c r="G9453" s="48" t="n">
        <f aca="false">Assumptions!$D$102*G9391</f>
        <v>0.25</v>
      </c>
      <c r="H9453" s="48" t="n">
        <f aca="false">Assumptions!$D$102*H9391</f>
        <v>0.25</v>
      </c>
      <c r="I9453" s="48" t="n">
        <f aca="false">Assumptions!$D$102*I9391</f>
        <v>0.25</v>
      </c>
      <c r="J9453" s="48" t="n">
        <f aca="false">Assumptions!$D$102*J9391</f>
        <v>0.25</v>
      </c>
      <c r="K9453" s="48" t="n">
        <f aca="false">Assumptions!$D$102*K9391</f>
        <v>0.25</v>
      </c>
      <c r="L9453" s="48" t="n">
        <f aca="false">Assumptions!$D$102*L9391</f>
        <v>0.25</v>
      </c>
      <c r="M9453" s="48" t="n">
        <f aca="false">Assumptions!$D$102*M9391</f>
        <v>0.25</v>
      </c>
      <c r="N9453" s="48" t="n">
        <f aca="false">Assumptions!$D$102*N9391</f>
        <v>0.25</v>
      </c>
      <c r="P9453" s="49" t="n">
        <f aca="false">AVERAGE(C9453:F9453)</f>
        <v>0.25</v>
      </c>
      <c r="Q9453" s="49" t="n">
        <f aca="false">AVERAGE(G9453:J9453)</f>
        <v>0.25</v>
      </c>
      <c r="R9453" s="49" t="n">
        <f aca="false">AVERAGE(K9453:N9453)</f>
        <v>0.25</v>
      </c>
      <c r="S9453" s="50"/>
    </row>
    <row r="9454" customFormat="false" ht="15" hidden="false" customHeight="false" outlineLevel="0" collapsed="false">
      <c r="A9454" s="4" t="s">
        <v>553</v>
      </c>
      <c r="B9454" s="36" t="s">
        <v>321</v>
      </c>
      <c r="C9454" s="48" t="n">
        <f aca="false">(C9438+C9439)/Assumptions!$E$74+C9437/Assumptions!$E$75</f>
        <v>0</v>
      </c>
      <c r="D9454" s="48" t="n">
        <f aca="false">(D9438+D9439)/Assumptions!$E$74+D9437/Assumptions!$E$75</f>
        <v>0.0204537573391627</v>
      </c>
      <c r="E9454" s="48" t="n">
        <f aca="false">(E9438+E9439)/Assumptions!$E$74+E9437/Assumptions!$E$75</f>
        <v>0.0574999223953997</v>
      </c>
      <c r="F9454" s="48" t="n">
        <f aca="false">(F9438+F9439)/Assumptions!$E$74+F9437/Assumptions!$E$75</f>
        <v>0.0989945094305299</v>
      </c>
      <c r="G9454" s="48" t="n">
        <f aca="false">(G9438+G9439)/Assumptions!$E$74+G9437/Assumptions!$E$75</f>
        <v>0.143535824570073</v>
      </c>
      <c r="H9454" s="48" t="n">
        <f aca="false">(H9438+H9439)/Assumptions!$E$74+H9437/Assumptions!$E$75</f>
        <v>0.198692347467491</v>
      </c>
      <c r="I9454" s="48" t="n">
        <f aca="false">(I9438+I9439)/Assumptions!$E$74+I9437/Assumptions!$E$75</f>
        <v>0.263937257150209</v>
      </c>
      <c r="J9454" s="48" t="n">
        <f aca="false">(J9438+J9439)/Assumptions!$E$74+J9437/Assumptions!$E$75</f>
        <v>0.354962686009237</v>
      </c>
      <c r="K9454" s="48" t="n">
        <f aca="false">(K9438+K9439)/Assumptions!$E$74+K9437/Assumptions!$E$75</f>
        <v>0.470312673509327</v>
      </c>
      <c r="L9454" s="48" t="n">
        <f aca="false">(L9438+L9439)/Assumptions!$E$74+L9437/Assumptions!$E$75</f>
        <v>0.585589240065411</v>
      </c>
      <c r="M9454" s="48" t="n">
        <f aca="false">(M9438+M9439)/Assumptions!$E$74+M9437/Assumptions!$E$75</f>
        <v>0.694420739221507</v>
      </c>
      <c r="N9454" s="48" t="n">
        <f aca="false">(N9438+N9439)/Assumptions!$E$74+N9437/Assumptions!$E$75</f>
        <v>0.796790818700121</v>
      </c>
      <c r="P9454" s="49" t="n">
        <f aca="false">AVERAGE(C9454:F9454)</f>
        <v>0.0442370472912731</v>
      </c>
      <c r="Q9454" s="49" t="n">
        <f aca="false">AVERAGE(G9454:J9454)</f>
        <v>0.240282028799253</v>
      </c>
      <c r="R9454" s="49" t="n">
        <f aca="false">AVERAGE(K9454:N9454)</f>
        <v>0.636778367874091</v>
      </c>
      <c r="S9454" s="50"/>
    </row>
    <row r="9455" customFormat="false" ht="15" hidden="false" customHeight="false" outlineLevel="0" collapsed="false">
      <c r="A9455" s="4" t="s">
        <v>554</v>
      </c>
      <c r="B9455" s="36" t="s">
        <v>125</v>
      </c>
      <c r="C9455" s="54" t="n">
        <f aca="false">(C9449+C9451)*Assumptions!$E$70/Assumptions!$E$69/4</f>
        <v>66753.5714285714</v>
      </c>
      <c r="D9455" s="54" t="n">
        <f aca="false">(D9449+D9451)*Assumptions!$E$70/Assumptions!$E$69/4</f>
        <v>66753.5714285714</v>
      </c>
      <c r="E9455" s="54" t="n">
        <f aca="false">(E9449+E9451)*Assumptions!$E$70/Assumptions!$E$69/4</f>
        <v>66753.5714285714</v>
      </c>
      <c r="F9455" s="54" t="n">
        <f aca="false">(F9449+F9451)*Assumptions!$E$70/Assumptions!$E$69/4</f>
        <v>66753.5714285714</v>
      </c>
      <c r="G9455" s="54" t="n">
        <f aca="false">(G9449+G9451)*Assumptions!$E$70/Assumptions!$E$69/4</f>
        <v>100130.357142857</v>
      </c>
      <c r="H9455" s="54" t="n">
        <f aca="false">(H9449+H9451)*Assumptions!$E$70/Assumptions!$E$69/4</f>
        <v>100130.357142857</v>
      </c>
      <c r="I9455" s="54" t="n">
        <f aca="false">(I9449+I9451)*Assumptions!$E$70/Assumptions!$E$69/4</f>
        <v>100130.357142857</v>
      </c>
      <c r="J9455" s="54" t="n">
        <f aca="false">(J9449+J9451)*Assumptions!$E$70/Assumptions!$E$69/4</f>
        <v>100130.357142857</v>
      </c>
      <c r="K9455" s="54" t="n">
        <f aca="false">(K9449+K9451)*Assumptions!$E$70/Assumptions!$E$69/4</f>
        <v>100130.357142857</v>
      </c>
      <c r="L9455" s="54" t="n">
        <f aca="false">(L9449+L9451)*Assumptions!$E$70/Assumptions!$E$69/4</f>
        <v>100130.357142857</v>
      </c>
      <c r="M9455" s="54" t="n">
        <f aca="false">(M9449+M9451)*Assumptions!$E$70/Assumptions!$E$69/4</f>
        <v>100130.357142857</v>
      </c>
      <c r="N9455" s="54" t="n">
        <f aca="false">(N9449+N9451)*Assumptions!$E$70/Assumptions!$E$69/4</f>
        <v>100130.357142857</v>
      </c>
      <c r="P9455" s="55" t="n">
        <f aca="false">SUM(C9455:F9455)</f>
        <v>267014.285714286</v>
      </c>
      <c r="Q9455" s="55" t="n">
        <f aca="false">SUM(G9455:J9455)</f>
        <v>400521.428571429</v>
      </c>
      <c r="R9455" s="55" t="n">
        <f aca="false">SUM(K9455:N9455)</f>
        <v>400521.428571429</v>
      </c>
      <c r="S9455" s="56" t="n">
        <f aca="false">SUM(P9455:R9455)</f>
        <v>1068057.14285714</v>
      </c>
    </row>
    <row r="9456" customFormat="false" ht="15" hidden="false" customHeight="false" outlineLevel="0" collapsed="false">
      <c r="A9456" s="4" t="s">
        <v>555</v>
      </c>
      <c r="B9456" s="36" t="s">
        <v>125</v>
      </c>
      <c r="C9456" s="54" t="n">
        <f aca="false">C9450*$C$9385/4</f>
        <v>0</v>
      </c>
      <c r="D9456" s="54" t="n">
        <f aca="false">D9450*$C$9385/4</f>
        <v>0</v>
      </c>
      <c r="E9456" s="54" t="n">
        <f aca="false">E9450*$C$9385/4</f>
        <v>0</v>
      </c>
      <c r="F9456" s="54" t="n">
        <f aca="false">F9450*$C$9385/4</f>
        <v>0</v>
      </c>
      <c r="G9456" s="54" t="n">
        <f aca="false">G9450*$C$9385/4</f>
        <v>0</v>
      </c>
      <c r="H9456" s="54" t="n">
        <f aca="false">H9450*$C$9385/4</f>
        <v>0</v>
      </c>
      <c r="I9456" s="54" t="n">
        <f aca="false">I9450*$C$9385/4</f>
        <v>0</v>
      </c>
      <c r="J9456" s="54" t="n">
        <f aca="false">J9450*$C$9385/4</f>
        <v>0</v>
      </c>
      <c r="K9456" s="54" t="n">
        <f aca="false">K9450*$C$9385/4</f>
        <v>0</v>
      </c>
      <c r="L9456" s="54" t="n">
        <f aca="false">L9450*$C$9385/4</f>
        <v>0</v>
      </c>
      <c r="M9456" s="54" t="n">
        <f aca="false">M9450*$C$9385/4</f>
        <v>0</v>
      </c>
      <c r="N9456" s="54" t="n">
        <f aca="false">N9450*$C$9385/4</f>
        <v>0</v>
      </c>
      <c r="P9456" s="55" t="n">
        <f aca="false">SUM(C9456:F9456)</f>
        <v>0</v>
      </c>
      <c r="Q9456" s="55" t="n">
        <f aca="false">SUM(G9456:J9456)</f>
        <v>0</v>
      </c>
      <c r="R9456" s="55" t="n">
        <f aca="false">SUM(K9456:N9456)</f>
        <v>0</v>
      </c>
      <c r="S9456" s="56" t="n">
        <f aca="false">SUM(P9456:R9456)</f>
        <v>0</v>
      </c>
    </row>
    <row r="9457" customFormat="false" ht="15" hidden="false" customHeight="false" outlineLevel="0" collapsed="false">
      <c r="A9457" s="4" t="s">
        <v>556</v>
      </c>
      <c r="B9457" s="36" t="s">
        <v>125</v>
      </c>
      <c r="C9457" s="54" t="n">
        <f aca="false">MAX(0,(C9445-C9426*$C$9381)-C9405*$C$9386)*$C$9387*Assumptions!$D$105</f>
        <v>0</v>
      </c>
      <c r="D9457" s="54" t="n">
        <f aca="false">MAX(0,(D9445-D9426*$C$9381)-D9405*$C$9386)*$C$9387*Assumptions!$D$105</f>
        <v>4988.17437401111</v>
      </c>
      <c r="E9457" s="54" t="n">
        <f aca="false">MAX(0,(E9445-E9426*$C$9381)-E9405*$C$9386)*$C$9387*Assumptions!$D$105</f>
        <v>11484.4235982085</v>
      </c>
      <c r="F9457" s="54" t="n">
        <f aca="false">MAX(0,(F9445-F9426*$C$9381)-F9405*$C$9386)*$C$9387*Assumptions!$D$105</f>
        <v>14463.9285763728</v>
      </c>
      <c r="G9457" s="54" t="n">
        <f aca="false">MAX(0,(G9445-G9426*$C$9381)-G9405*$C$9386)*$C$9387*Assumptions!$D$105</f>
        <v>15886.3660920935</v>
      </c>
      <c r="H9457" s="54" t="n">
        <f aca="false">MAX(0,(H9445-H9426*$C$9381)-H9405*$C$9386)*$C$9387*Assumptions!$D$105</f>
        <v>19232.9081912775</v>
      </c>
      <c r="I9457" s="54" t="n">
        <f aca="false">MAX(0,(I9445-I9426*$C$9381)-I9405*$C$9386)*$C$9387*Assumptions!$D$105</f>
        <v>22960.3091918891</v>
      </c>
      <c r="J9457" s="54" t="n">
        <f aca="false">MAX(0,(J9445-J9426*$C$9381)-J9405*$C$9386)*$C$9387*Assumptions!$D$105</f>
        <v>30799.8511032901</v>
      </c>
      <c r="K9457" s="54" t="n">
        <f aca="false">MAX(0,(K9445-K9426*$C$9381)-K9405*$C$9386)*$C$9387*Assumptions!$D$105</f>
        <v>39726.5849546327</v>
      </c>
      <c r="L9457" s="54" t="n">
        <f aca="false">MAX(0,(L9445-L9426*$C$9381)-L9405*$C$9386)*$C$9387*Assumptions!$D$105</f>
        <v>42479.4053614934</v>
      </c>
      <c r="M9457" s="54" t="n">
        <f aca="false">MAX(0,(M9445-M9426*$C$9381)-M9405*$C$9386)*$C$9387*Assumptions!$D$105</f>
        <v>41716.2593344207</v>
      </c>
      <c r="N9457" s="54" t="n">
        <f aca="false">MAX(0,(N9445-N9426*$C$9381)-N9405*$C$9386)*$C$9387*Assumptions!$D$105</f>
        <v>40515.2437912391</v>
      </c>
      <c r="P9457" s="55" t="n">
        <f aca="false">SUM(C9457:F9457)</f>
        <v>30936.5265485924</v>
      </c>
      <c r="Q9457" s="55" t="n">
        <f aca="false">SUM(G9457:J9457)</f>
        <v>88879.4345785503</v>
      </c>
      <c r="R9457" s="55" t="n">
        <f aca="false">SUM(K9457:N9457)</f>
        <v>164437.493441786</v>
      </c>
      <c r="S9457" s="56" t="n">
        <f aca="false">SUM(P9457:R9457)</f>
        <v>284253.454568929</v>
      </c>
    </row>
    <row r="9458" customFormat="false" ht="15" hidden="false" customHeight="false" outlineLevel="0" collapsed="false">
      <c r="A9458" s="4" t="s">
        <v>557</v>
      </c>
      <c r="B9458" s="36" t="s">
        <v>125</v>
      </c>
      <c r="C9458" s="54" t="n">
        <f aca="false">C9453*Assumptions!$E$71/Assumptions!$E$69/4</f>
        <v>18475.8928571429</v>
      </c>
      <c r="D9458" s="54" t="n">
        <f aca="false">D9453*Assumptions!$E$71/Assumptions!$E$69/4</f>
        <v>18475.8928571429</v>
      </c>
      <c r="E9458" s="54" t="n">
        <f aca="false">E9453*Assumptions!$E$71/Assumptions!$E$69/4</f>
        <v>18475.8928571429</v>
      </c>
      <c r="F9458" s="54" t="n">
        <f aca="false">F9453*Assumptions!$E$71/Assumptions!$E$69/4</f>
        <v>18475.8928571429</v>
      </c>
      <c r="G9458" s="54" t="n">
        <f aca="false">G9453*Assumptions!$E$71/Assumptions!$E$69/4</f>
        <v>18475.8928571429</v>
      </c>
      <c r="H9458" s="54" t="n">
        <f aca="false">H9453*Assumptions!$E$71/Assumptions!$E$69/4</f>
        <v>18475.8928571429</v>
      </c>
      <c r="I9458" s="54" t="n">
        <f aca="false">I9453*Assumptions!$E$71/Assumptions!$E$69/4</f>
        <v>18475.8928571429</v>
      </c>
      <c r="J9458" s="54" t="n">
        <f aca="false">J9453*Assumptions!$E$71/Assumptions!$E$69/4</f>
        <v>18475.8928571429</v>
      </c>
      <c r="K9458" s="54" t="n">
        <f aca="false">K9453*Assumptions!$E$71/Assumptions!$E$69/4</f>
        <v>18475.8928571429</v>
      </c>
      <c r="L9458" s="54" t="n">
        <f aca="false">L9453*Assumptions!$E$71/Assumptions!$E$69/4</f>
        <v>18475.8928571429</v>
      </c>
      <c r="M9458" s="54" t="n">
        <f aca="false">M9453*Assumptions!$E$71/Assumptions!$E$69/4</f>
        <v>18475.8928571429</v>
      </c>
      <c r="N9458" s="54" t="n">
        <f aca="false">N9453*Assumptions!$E$71/Assumptions!$E$69/4</f>
        <v>18475.8928571429</v>
      </c>
      <c r="P9458" s="55" t="n">
        <f aca="false">SUM(C9458:F9458)</f>
        <v>73903.5714285714</v>
      </c>
      <c r="Q9458" s="55" t="n">
        <f aca="false">SUM(G9458:J9458)</f>
        <v>73903.5714285714</v>
      </c>
      <c r="R9458" s="55" t="n">
        <f aca="false">SUM(K9458:N9458)</f>
        <v>73903.5714285714</v>
      </c>
      <c r="S9458" s="56" t="n">
        <f aca="false">SUM(P9458:R9458)</f>
        <v>221710.714285714</v>
      </c>
    </row>
    <row r="9459" customFormat="false" ht="15" hidden="false" customHeight="false" outlineLevel="0" collapsed="false">
      <c r="A9459" s="4" t="s">
        <v>558</v>
      </c>
      <c r="B9459" s="36" t="s">
        <v>125</v>
      </c>
      <c r="C9459" s="54" t="n">
        <f aca="false">(Assumptions!$D$103+Assumptions!$E$77*((C9390=Assumptions!$E$13)+(C9390=Assumptions!$E$14)+(C9390=Assumptions!$E$15)))*C9391</f>
        <v>65000</v>
      </c>
      <c r="D9459" s="54" t="n">
        <f aca="false">(Assumptions!$D$103+Assumptions!$E$77*((D9390=Assumptions!$E$13)+(D9390=Assumptions!$E$14)+(D9390=Assumptions!$E$15)))*D9391</f>
        <v>25000</v>
      </c>
      <c r="E9459" s="54" t="n">
        <f aca="false">(Assumptions!$D$103+Assumptions!$E$77*((E9390=Assumptions!$E$13)+(E9390=Assumptions!$E$14)+(E9390=Assumptions!$E$15)))*E9391</f>
        <v>25000</v>
      </c>
      <c r="F9459" s="54" t="n">
        <f aca="false">(Assumptions!$D$103+Assumptions!$E$77*((F9390=Assumptions!$E$13)+(F9390=Assumptions!$E$14)+(F9390=Assumptions!$E$15)))*F9391</f>
        <v>25000</v>
      </c>
      <c r="G9459" s="54" t="n">
        <f aca="false">(Assumptions!$D$103+Assumptions!$E$77*((G9390=Assumptions!$E$13)+(G9390=Assumptions!$E$14)+(G9390=Assumptions!$E$15)))*G9391</f>
        <v>65000</v>
      </c>
      <c r="H9459" s="54" t="n">
        <f aca="false">(Assumptions!$D$103+Assumptions!$E$77*((H9390=Assumptions!$E$13)+(H9390=Assumptions!$E$14)+(H9390=Assumptions!$E$15)))*H9391</f>
        <v>25000</v>
      </c>
      <c r="I9459" s="54" t="n">
        <f aca="false">(Assumptions!$D$103+Assumptions!$E$77*((I9390=Assumptions!$E$13)+(I9390=Assumptions!$E$14)+(I9390=Assumptions!$E$15)))*I9391</f>
        <v>65000</v>
      </c>
      <c r="J9459" s="54" t="n">
        <f aca="false">(Assumptions!$D$103+Assumptions!$E$77*((J9390=Assumptions!$E$13)+(J9390=Assumptions!$E$14)+(J9390=Assumptions!$E$15)))*J9391</f>
        <v>25000</v>
      </c>
      <c r="K9459" s="54" t="n">
        <f aca="false">(Assumptions!$D$103+Assumptions!$E$77*((K9390=Assumptions!$E$13)+(K9390=Assumptions!$E$14)+(K9390=Assumptions!$E$15)))*K9391</f>
        <v>25000</v>
      </c>
      <c r="L9459" s="54" t="n">
        <f aca="false">(Assumptions!$D$103+Assumptions!$E$77*((L9390=Assumptions!$E$13)+(L9390=Assumptions!$E$14)+(L9390=Assumptions!$E$15)))*L9391</f>
        <v>25000</v>
      </c>
      <c r="M9459" s="54" t="n">
        <f aca="false">(Assumptions!$D$103+Assumptions!$E$77*((M9390=Assumptions!$E$13)+(M9390=Assumptions!$E$14)+(M9390=Assumptions!$E$15)))*M9391</f>
        <v>25000</v>
      </c>
      <c r="N9459" s="54" t="n">
        <f aca="false">(Assumptions!$D$103+Assumptions!$E$77*((N9390=Assumptions!$E$13)+(N9390=Assumptions!$E$14)+(N9390=Assumptions!$E$15)))*N9391</f>
        <v>25000</v>
      </c>
      <c r="P9459" s="55" t="n">
        <f aca="false">SUM(C9459:F9459)</f>
        <v>140000</v>
      </c>
      <c r="Q9459" s="55" t="n">
        <f aca="false">SUM(G9459:J9459)</f>
        <v>180000</v>
      </c>
      <c r="R9459" s="55" t="n">
        <f aca="false">SUM(K9459:N9459)</f>
        <v>100000</v>
      </c>
      <c r="S9459" s="56" t="n">
        <f aca="false">SUM(P9459:R9459)</f>
        <v>420000</v>
      </c>
    </row>
    <row r="9460" customFormat="false" ht="15" hidden="false" customHeight="false" outlineLevel="0" collapsed="false">
      <c r="A9460" s="4" t="s">
        <v>559</v>
      </c>
      <c r="B9460" s="36" t="s">
        <v>125</v>
      </c>
      <c r="C9460" s="54" t="n">
        <f aca="false">C9445*C9425*Assumptions!$E$79</f>
        <v>0</v>
      </c>
      <c r="D9460" s="54" t="n">
        <f aca="false">D9445*D9425*Assumptions!$E$79</f>
        <v>1164.76981907917</v>
      </c>
      <c r="E9460" s="54" t="n">
        <f aca="false">E9445*E9425*Assumptions!$E$79</f>
        <v>2252.79219591927</v>
      </c>
      <c r="F9460" s="54" t="n">
        <f aca="false">F9445*F9425*Assumptions!$E$79</f>
        <v>3376.83941472256</v>
      </c>
      <c r="G9460" s="54" t="n">
        <f aca="false">G9445*G9425*Assumptions!$E$79</f>
        <v>4230.33309071024</v>
      </c>
      <c r="H9460" s="54" t="n">
        <f aca="false">H9445*H9425*Assumptions!$E$79</f>
        <v>4859.795219335</v>
      </c>
      <c r="I9460" s="54" t="n">
        <f aca="false">I9445*I9425*Assumptions!$E$79</f>
        <v>5644.91569202888</v>
      </c>
      <c r="J9460" s="54" t="n">
        <f aca="false">J9445*J9425*Assumptions!$E$79</f>
        <v>6057.39434674932</v>
      </c>
      <c r="K9460" s="54" t="n">
        <f aca="false">K9445*K9425*Assumptions!$E$79</f>
        <v>6864.9462989048</v>
      </c>
      <c r="L9460" s="54" t="n">
        <f aca="false">L9445*L9425*Assumptions!$E$79</f>
        <v>8039.47408218461</v>
      </c>
      <c r="M9460" s="54" t="n">
        <f aca="false">M9445*M9425*Assumptions!$E$79</f>
        <v>8124.42879119668</v>
      </c>
      <c r="N9460" s="54" t="n">
        <f aca="false">N9445*N9425*Assumptions!$E$79</f>
        <v>8121.51712361291</v>
      </c>
      <c r="P9460" s="55" t="n">
        <f aca="false">SUM(C9460:F9460)</f>
        <v>6794.401429721</v>
      </c>
      <c r="Q9460" s="55" t="n">
        <f aca="false">SUM(G9460:J9460)</f>
        <v>20792.4383488234</v>
      </c>
      <c r="R9460" s="55" t="n">
        <f aca="false">SUM(K9460:N9460)</f>
        <v>31150.366295899</v>
      </c>
      <c r="S9460" s="56" t="n">
        <f aca="false">SUM(P9460:R9460)</f>
        <v>58737.2060744434</v>
      </c>
    </row>
    <row r="9461" customFormat="false" ht="15" hidden="false" customHeight="false" outlineLevel="0" collapsed="false">
      <c r="A9461" s="4" t="s">
        <v>560</v>
      </c>
      <c r="B9461" s="36" t="s">
        <v>125</v>
      </c>
      <c r="C9461" s="54" t="n">
        <f aca="false">C9410*Assumptions!$E$80</f>
        <v>4000</v>
      </c>
      <c r="D9461" s="54" t="n">
        <f aca="false">D9410*Assumptions!$E$80</f>
        <v>6000</v>
      </c>
      <c r="E9461" s="54" t="n">
        <f aca="false">E9410*Assumptions!$E$80</f>
        <v>8000</v>
      </c>
      <c r="F9461" s="54" t="n">
        <f aca="false">F9410*Assumptions!$E$80</f>
        <v>10000</v>
      </c>
      <c r="G9461" s="54" t="n">
        <f aca="false">G9410*Assumptions!$E$80</f>
        <v>12000</v>
      </c>
      <c r="H9461" s="54" t="n">
        <f aca="false">H9410*Assumptions!$E$80</f>
        <v>14000</v>
      </c>
      <c r="I9461" s="54" t="n">
        <f aca="false">I9410*Assumptions!$E$80</f>
        <v>16000</v>
      </c>
      <c r="J9461" s="54" t="n">
        <f aca="false">J9410*Assumptions!$E$80</f>
        <v>18000</v>
      </c>
      <c r="K9461" s="54" t="n">
        <f aca="false">K9410*Assumptions!$E$80</f>
        <v>20000</v>
      </c>
      <c r="L9461" s="54" t="n">
        <f aca="false">L9410*Assumptions!$E$80</f>
        <v>20000</v>
      </c>
      <c r="M9461" s="54" t="n">
        <f aca="false">M9410*Assumptions!$E$80</f>
        <v>20000</v>
      </c>
      <c r="N9461" s="54" t="n">
        <f aca="false">N9410*Assumptions!$E$80</f>
        <v>20000</v>
      </c>
      <c r="P9461" s="55" t="n">
        <f aca="false">SUM(C9461:F9461)</f>
        <v>28000</v>
      </c>
      <c r="Q9461" s="55" t="n">
        <f aca="false">SUM(G9461:J9461)</f>
        <v>60000</v>
      </c>
      <c r="R9461" s="55" t="n">
        <f aca="false">SUM(K9461:N9461)</f>
        <v>80000</v>
      </c>
      <c r="S9461" s="56" t="n">
        <f aca="false">SUM(P9461:R9461)</f>
        <v>168000</v>
      </c>
    </row>
    <row r="9462" customFormat="false" ht="15" hidden="false" customHeight="false" outlineLevel="0" collapsed="false">
      <c r="A9462" s="4" t="s">
        <v>561</v>
      </c>
      <c r="B9462" s="36" t="s">
        <v>125</v>
      </c>
      <c r="C9462" s="54" t="n">
        <f aca="false">(C9433*$C$9382+C9434*$C$9383)*Assumptions!$E$81</f>
        <v>0</v>
      </c>
      <c r="D9462" s="54" t="n">
        <f aca="false">(D9433*$C$9382+D9434*$C$9383)*Assumptions!$E$81</f>
        <v>908.482811949377</v>
      </c>
      <c r="E9462" s="54" t="n">
        <f aca="false">(E9433*$C$9382+E9434*$C$9383)*Assumptions!$E$81</f>
        <v>2500.77221931133</v>
      </c>
      <c r="F9462" s="54" t="n">
        <f aca="false">(F9433*$C$9382+F9434*$C$9383)*Assumptions!$E$81</f>
        <v>3335.58300301136</v>
      </c>
      <c r="G9462" s="54" t="n">
        <f aca="false">(G9433*$C$9382+G9434*$C$9383)*Assumptions!$E$81</f>
        <v>3667.17110183949</v>
      </c>
      <c r="H9462" s="54" t="n">
        <f aca="false">(H9433*$C$9382+H9434*$C$9383)*Assumptions!$E$81</f>
        <v>4329.95606388489</v>
      </c>
      <c r="I9462" s="54" t="n">
        <f aca="false">(I9433*$C$9382+I9434*$C$9383)*Assumptions!$E$81</f>
        <v>5142.4707825917</v>
      </c>
      <c r="J9462" s="54" t="n">
        <f aca="false">(J9433*$C$9382+J9434*$C$9383)*Assumptions!$E$81</f>
        <v>6587.95670972157</v>
      </c>
      <c r="K9462" s="54" t="n">
        <f aca="false">(K9433*$C$9382+K9434*$C$9383)*Assumptions!$E$81</f>
        <v>8485.09222345807</v>
      </c>
      <c r="L9462" s="54" t="n">
        <f aca="false">(L9433*$C$9382+L9434*$C$9383)*Assumptions!$E$81</f>
        <v>9339.81694033834</v>
      </c>
      <c r="M9462" s="54" t="n">
        <f aca="false">(M9433*$C$9382+M9434*$C$9383)*Assumptions!$E$81</f>
        <v>9222.32872243404</v>
      </c>
      <c r="N9462" s="54" t="n">
        <f aca="false">(N9433*$C$9382+N9434*$C$9383)*Assumptions!$E$81</f>
        <v>8955.16169149426</v>
      </c>
      <c r="P9462" s="55" t="n">
        <f aca="false">SUM(C9462:F9462)</f>
        <v>6744.83803427206</v>
      </c>
      <c r="Q9462" s="55" t="n">
        <f aca="false">SUM(G9462:J9462)</f>
        <v>19727.5546580377</v>
      </c>
      <c r="R9462" s="55" t="n">
        <f aca="false">SUM(K9462:N9462)</f>
        <v>36002.3995777247</v>
      </c>
      <c r="S9462" s="56" t="n">
        <f aca="false">SUM(P9462:R9462)</f>
        <v>62474.7922700344</v>
      </c>
    </row>
    <row r="9463" customFormat="false" ht="15" hidden="false" customHeight="false" outlineLevel="0" collapsed="false">
      <c r="A9463" s="9" t="s">
        <v>562</v>
      </c>
      <c r="B9463" s="36" t="s">
        <v>125</v>
      </c>
      <c r="C9463" s="55" t="n">
        <f aca="false">C9455+C9456+C9457+C9458+C9459+C9460+C9461+C9462</f>
        <v>154229.464285714</v>
      </c>
      <c r="D9463" s="55" t="n">
        <f aca="false">D9455+D9456+D9457+D9458+D9459+D9460+D9461+D9462</f>
        <v>123290.891290754</v>
      </c>
      <c r="E9463" s="55" t="n">
        <f aca="false">E9455+E9456+E9457+E9458+E9459+E9460+E9461+E9462</f>
        <v>134467.452299153</v>
      </c>
      <c r="F9463" s="55" t="n">
        <f aca="false">F9455+F9456+F9457+F9458+F9459+F9460+F9461+F9462</f>
        <v>141405.815279821</v>
      </c>
      <c r="G9463" s="55" t="n">
        <f aca="false">G9455+G9456+G9457+G9458+G9459+G9460+G9461+G9462</f>
        <v>219390.120284643</v>
      </c>
      <c r="H9463" s="55" t="n">
        <f aca="false">H9455+H9456+H9457+H9458+H9459+H9460+H9461+H9462</f>
        <v>186028.909474497</v>
      </c>
      <c r="I9463" s="55" t="n">
        <f aca="false">I9455+I9456+I9457+I9458+I9459+I9460+I9461+I9462</f>
        <v>233353.94566651</v>
      </c>
      <c r="J9463" s="55" t="n">
        <f aca="false">J9455+J9456+J9457+J9458+J9459+J9460+J9461+J9462</f>
        <v>205051.452159761</v>
      </c>
      <c r="K9463" s="55" t="n">
        <f aca="false">K9455+K9456+K9457+K9458+K9459+K9460+K9461+K9462</f>
        <v>218682.873476996</v>
      </c>
      <c r="L9463" s="55" t="n">
        <f aca="false">L9455+L9456+L9457+L9458+L9459+L9460+L9461+L9462</f>
        <v>223464.946384016</v>
      </c>
      <c r="M9463" s="55" t="n">
        <f aca="false">M9455+M9456+M9457+M9458+M9459+M9460+M9461+M9462</f>
        <v>222669.266848051</v>
      </c>
      <c r="N9463" s="55" t="n">
        <f aca="false">N9455+N9456+N9457+N9458+N9459+N9460+N9461+N9462</f>
        <v>221198.172606346</v>
      </c>
      <c r="P9463" s="55" t="n">
        <f aca="false">SUM(C9463:F9463)</f>
        <v>553393.623155443</v>
      </c>
      <c r="Q9463" s="55" t="n">
        <f aca="false">SUM(G9463:J9463)</f>
        <v>843824.427585411</v>
      </c>
      <c r="R9463" s="55" t="n">
        <f aca="false">SUM(K9463:N9463)</f>
        <v>886015.25931541</v>
      </c>
      <c r="S9463" s="56" t="n">
        <f aca="false">SUM(P9463:R9463)</f>
        <v>2283233.31005626</v>
      </c>
    </row>
    <row r="9464" customFormat="false" ht="15" hidden="false" customHeight="false" outlineLevel="0" collapsed="false">
      <c r="A9464" s="4" t="s">
        <v>563</v>
      </c>
      <c r="B9464" s="36" t="s">
        <v>125</v>
      </c>
      <c r="C9464" s="54" t="n">
        <f aca="false">C9452*Assumptions!$E$72/Assumptions!$E$69/4</f>
        <v>56535.7142857143</v>
      </c>
      <c r="D9464" s="54" t="n">
        <f aca="false">D9452*Assumptions!$E$72/Assumptions!$E$69/4</f>
        <v>56535.7142857143</v>
      </c>
      <c r="E9464" s="54" t="n">
        <f aca="false">E9452*Assumptions!$E$72/Assumptions!$E$69/4</f>
        <v>56535.7142857143</v>
      </c>
      <c r="F9464" s="54" t="n">
        <f aca="false">F9452*Assumptions!$E$72/Assumptions!$E$69/4</f>
        <v>56535.7142857143</v>
      </c>
      <c r="G9464" s="54" t="n">
        <f aca="false">G9452*Assumptions!$E$72/Assumptions!$E$69/4</f>
        <v>28267.8571428571</v>
      </c>
      <c r="H9464" s="54" t="n">
        <f aca="false">H9452*Assumptions!$E$72/Assumptions!$E$69/4</f>
        <v>28267.8571428571</v>
      </c>
      <c r="I9464" s="54" t="n">
        <f aca="false">I9452*Assumptions!$E$72/Assumptions!$E$69/4</f>
        <v>28267.8571428571</v>
      </c>
      <c r="J9464" s="54" t="n">
        <f aca="false">J9452*Assumptions!$E$72/Assumptions!$E$69/4</f>
        <v>28267.8571428571</v>
      </c>
      <c r="K9464" s="54" t="n">
        <f aca="false">K9452*Assumptions!$E$72/Assumptions!$E$69/4</f>
        <v>28267.8571428571</v>
      </c>
      <c r="L9464" s="54" t="n">
        <f aca="false">L9452*Assumptions!$E$72/Assumptions!$E$69/4</f>
        <v>28267.8571428571</v>
      </c>
      <c r="M9464" s="54" t="n">
        <f aca="false">M9452*Assumptions!$E$72/Assumptions!$E$69/4</f>
        <v>28267.8571428571</v>
      </c>
      <c r="N9464" s="54" t="n">
        <f aca="false">N9452*Assumptions!$E$72/Assumptions!$E$69/4</f>
        <v>28267.8571428571</v>
      </c>
      <c r="P9464" s="55" t="n">
        <f aca="false">SUM(C9464:F9464)</f>
        <v>226142.857142857</v>
      </c>
      <c r="Q9464" s="55" t="n">
        <f aca="false">SUM(G9464:J9464)</f>
        <v>113071.428571429</v>
      </c>
      <c r="R9464" s="55" t="n">
        <f aca="false">SUM(K9464:N9464)</f>
        <v>113071.428571429</v>
      </c>
      <c r="S9464" s="56" t="n">
        <f aca="false">SUM(P9464:R9464)</f>
        <v>452285.714285714</v>
      </c>
    </row>
    <row r="9465" customFormat="false" ht="15" hidden="false" customHeight="false" outlineLevel="0" collapsed="false">
      <c r="A9465" s="4" t="s">
        <v>564</v>
      </c>
      <c r="B9465" s="36" t="s">
        <v>125</v>
      </c>
      <c r="C9465" s="54" t="n">
        <f aca="false">IF(C9390&lt;=Assumptions!$E$83,Assumptions!$E$82*Assumptions!$D$108/Assumptions!$E$83,0)</f>
        <v>62500</v>
      </c>
      <c r="D9465" s="54" t="n">
        <f aca="false">IF(D9390&lt;=Assumptions!$E$83,Assumptions!$E$82*Assumptions!$D$108/Assumptions!$E$83,0)</f>
        <v>62500</v>
      </c>
      <c r="E9465" s="54" t="n">
        <f aca="false">IF(E9390&lt;=Assumptions!$E$83,Assumptions!$E$82*Assumptions!$D$108/Assumptions!$E$83,0)</f>
        <v>62500</v>
      </c>
      <c r="F9465" s="54" t="n">
        <f aca="false">IF(F9390&lt;=Assumptions!$E$83,Assumptions!$E$82*Assumptions!$D$108/Assumptions!$E$83,0)</f>
        <v>62500</v>
      </c>
      <c r="G9465" s="54" t="n">
        <f aca="false">IF(G9390&lt;=Assumptions!$E$83,Assumptions!$E$82*Assumptions!$D$108/Assumptions!$E$83,0)</f>
        <v>0</v>
      </c>
      <c r="H9465" s="54" t="n">
        <f aca="false">IF(H9390&lt;=Assumptions!$E$83,Assumptions!$E$82*Assumptions!$D$108/Assumptions!$E$83,0)</f>
        <v>0</v>
      </c>
      <c r="I9465" s="54" t="n">
        <f aca="false">IF(I9390&lt;=Assumptions!$E$83,Assumptions!$E$82*Assumptions!$D$108/Assumptions!$E$83,0)</f>
        <v>0</v>
      </c>
      <c r="J9465" s="54" t="n">
        <f aca="false">IF(J9390&lt;=Assumptions!$E$83,Assumptions!$E$82*Assumptions!$D$108/Assumptions!$E$83,0)</f>
        <v>0</v>
      </c>
      <c r="K9465" s="54" t="n">
        <f aca="false">IF(K9390&lt;=Assumptions!$E$83,Assumptions!$E$82*Assumptions!$D$108/Assumptions!$E$83,0)</f>
        <v>0</v>
      </c>
      <c r="L9465" s="54" t="n">
        <f aca="false">IF(L9390&lt;=Assumptions!$E$83,Assumptions!$E$82*Assumptions!$D$108/Assumptions!$E$83,0)</f>
        <v>0</v>
      </c>
      <c r="M9465" s="54" t="n">
        <f aca="false">IF(M9390&lt;=Assumptions!$E$83,Assumptions!$E$82*Assumptions!$D$108/Assumptions!$E$83,0)</f>
        <v>0</v>
      </c>
      <c r="N9465" s="54" t="n">
        <f aca="false">IF(N9390&lt;=Assumptions!$E$83,Assumptions!$E$82*Assumptions!$D$108/Assumptions!$E$83,0)</f>
        <v>0</v>
      </c>
      <c r="P9465" s="55" t="n">
        <f aca="false">SUM(C9465:F9465)</f>
        <v>250000</v>
      </c>
      <c r="Q9465" s="55" t="n">
        <f aca="false">SUM(G9465:J9465)</f>
        <v>0</v>
      </c>
      <c r="R9465" s="55" t="n">
        <f aca="false">SUM(K9465:N9465)</f>
        <v>0</v>
      </c>
      <c r="S9465" s="56" t="n">
        <f aca="false">SUM(P9465:R9465)</f>
        <v>250000</v>
      </c>
    </row>
    <row r="9466" customFormat="false" ht="15" hidden="false" customHeight="false" outlineLevel="0" collapsed="false">
      <c r="A9466" s="4" t="s">
        <v>565</v>
      </c>
      <c r="B9466" s="36" t="s">
        <v>125</v>
      </c>
      <c r="C9466" s="54" t="n">
        <f aca="false">C9454*Assumptions!$E$73/Assumptions!$E$69/4</f>
        <v>0</v>
      </c>
      <c r="D9466" s="54" t="n">
        <f aca="false">D9454*Assumptions!$E$73/Assumptions!$E$69/4</f>
        <v>821.875799367571</v>
      </c>
      <c r="E9466" s="54" t="n">
        <f aca="false">E9454*Assumptions!$E$73/Assumptions!$E$69/4</f>
        <v>2310.47009596658</v>
      </c>
      <c r="F9466" s="54" t="n">
        <f aca="false">F9454*Assumptions!$E$73/Assumptions!$E$69/4</f>
        <v>3977.81152001033</v>
      </c>
      <c r="G9466" s="54" t="n">
        <f aca="false">G9454*Assumptions!$E$73/Assumptions!$E$69/4</f>
        <v>5767.57700799248</v>
      </c>
      <c r="H9466" s="54" t="n">
        <f aca="false">H9454*Assumptions!$E$73/Assumptions!$E$69/4</f>
        <v>7983.88429055979</v>
      </c>
      <c r="I9466" s="54" t="n">
        <f aca="false">I9454*Assumptions!$E$73/Assumptions!$E$69/4</f>
        <v>10605.5645721322</v>
      </c>
      <c r="J9466" s="54" t="n">
        <f aca="false">J9454*Assumptions!$E$73/Assumptions!$E$69/4</f>
        <v>14263.1613581783</v>
      </c>
      <c r="K9466" s="54" t="n">
        <f aca="false">K9454*Assumptions!$E$73/Assumptions!$E$69/4</f>
        <v>18898.1710344765</v>
      </c>
      <c r="L9466" s="54" t="n">
        <f aca="false">L9454*Assumptions!$E$73/Assumptions!$E$69/4</f>
        <v>23530.2304999141</v>
      </c>
      <c r="M9466" s="54" t="n">
        <f aca="false">M9454*Assumptions!$E$73/Assumptions!$E$69/4</f>
        <v>27903.3133463613</v>
      </c>
      <c r="N9466" s="54" t="n">
        <f aca="false">N9454*Assumptions!$E$73/Assumptions!$E$69/4</f>
        <v>32016.7625042681</v>
      </c>
      <c r="P9466" s="55" t="n">
        <f aca="false">SUM(C9466:F9466)</f>
        <v>7110.15741534448</v>
      </c>
      <c r="Q9466" s="55" t="n">
        <f aca="false">SUM(G9466:J9466)</f>
        <v>38620.1872288627</v>
      </c>
      <c r="R9466" s="55" t="n">
        <f aca="false">SUM(K9466:N9466)</f>
        <v>102348.47738502</v>
      </c>
      <c r="S9466" s="56" t="n">
        <f aca="false">SUM(P9466:R9466)</f>
        <v>148078.822029227</v>
      </c>
    </row>
    <row r="9467" customFormat="false" ht="15" hidden="false" customHeight="false" outlineLevel="0" collapsed="false">
      <c r="A9467" s="9" t="s">
        <v>566</v>
      </c>
      <c r="B9467" s="36" t="s">
        <v>125</v>
      </c>
      <c r="C9467" s="55" t="n">
        <f aca="false">C9463+C9464+C9465+C9466</f>
        <v>273265.178571429</v>
      </c>
      <c r="D9467" s="55" t="n">
        <f aca="false">D9463+D9464+D9465+D9466</f>
        <v>243148.481375836</v>
      </c>
      <c r="E9467" s="55" t="n">
        <f aca="false">E9463+E9464+E9465+E9466</f>
        <v>255813.636680834</v>
      </c>
      <c r="F9467" s="55" t="n">
        <f aca="false">F9463+F9464+F9465+F9466</f>
        <v>264419.341085546</v>
      </c>
      <c r="G9467" s="55" t="n">
        <f aca="false">G9463+G9464+G9465+G9466</f>
        <v>253425.554435493</v>
      </c>
      <c r="H9467" s="55" t="n">
        <f aca="false">H9463+H9464+H9465+H9466</f>
        <v>222280.650907914</v>
      </c>
      <c r="I9467" s="55" t="n">
        <f aca="false">I9463+I9464+I9465+I9466</f>
        <v>272227.367381499</v>
      </c>
      <c r="J9467" s="55" t="n">
        <f aca="false">J9463+J9464+J9465+J9466</f>
        <v>247582.470660797</v>
      </c>
      <c r="K9467" s="55" t="n">
        <f aca="false">K9463+K9464+K9465+K9466</f>
        <v>265848.901654329</v>
      </c>
      <c r="L9467" s="55" t="n">
        <f aca="false">L9463+L9464+L9465+L9466</f>
        <v>275263.034026788</v>
      </c>
      <c r="M9467" s="55" t="n">
        <f aca="false">M9463+M9464+M9465+M9466</f>
        <v>278840.43733727</v>
      </c>
      <c r="N9467" s="55" t="n">
        <f aca="false">N9463+N9464+N9465+N9466</f>
        <v>281482.792253472</v>
      </c>
      <c r="P9467" s="55" t="n">
        <f aca="false">SUM(C9467:F9467)</f>
        <v>1036646.63771364</v>
      </c>
      <c r="Q9467" s="55" t="n">
        <f aca="false">SUM(G9467:J9467)</f>
        <v>995516.043385703</v>
      </c>
      <c r="R9467" s="55" t="n">
        <f aca="false">SUM(K9467:N9467)</f>
        <v>1101435.16527186</v>
      </c>
      <c r="S9467" s="56" t="n">
        <f aca="false">SUM(P9467:R9467)</f>
        <v>3133597.84637121</v>
      </c>
    </row>
    <row r="9468" customFormat="false" ht="15" hidden="false" customHeight="false" outlineLevel="0" collapsed="false">
      <c r="A9468" s="35" t="s">
        <v>567</v>
      </c>
      <c r="B9468" s="35" t="s">
        <v>444</v>
      </c>
      <c r="C9468" s="6" t="s">
        <v>354</v>
      </c>
      <c r="D9468" s="6" t="s">
        <v>355</v>
      </c>
      <c r="E9468" s="6" t="s">
        <v>356</v>
      </c>
      <c r="F9468" s="6" t="s">
        <v>357</v>
      </c>
      <c r="G9468" s="6" t="s">
        <v>358</v>
      </c>
      <c r="H9468" s="6" t="s">
        <v>359</v>
      </c>
      <c r="I9468" s="6" t="s">
        <v>360</v>
      </c>
      <c r="J9468" s="6" t="s">
        <v>361</v>
      </c>
      <c r="K9468" s="6" t="s">
        <v>362</v>
      </c>
      <c r="L9468" s="6" t="s">
        <v>363</v>
      </c>
      <c r="M9468" s="6" t="s">
        <v>364</v>
      </c>
      <c r="N9468" s="6" t="s">
        <v>365</v>
      </c>
      <c r="P9468" s="6" t="s">
        <v>445</v>
      </c>
      <c r="Q9468" s="6" t="s">
        <v>446</v>
      </c>
      <c r="R9468" s="6" t="s">
        <v>447</v>
      </c>
      <c r="S9468" s="6" t="s">
        <v>448</v>
      </c>
    </row>
    <row r="9469" customFormat="false" ht="15" hidden="false" customHeight="false" outlineLevel="0" collapsed="false">
      <c r="A9469" s="9" t="s">
        <v>568</v>
      </c>
      <c r="B9469" s="36" t="s">
        <v>125</v>
      </c>
      <c r="C9469" s="55" t="n">
        <f aca="false">C9447-C9467</f>
        <v>-273265.178571429</v>
      </c>
      <c r="D9469" s="55" t="n">
        <f aca="false">D9447-D9467</f>
        <v>-242118.181094809</v>
      </c>
      <c r="E9469" s="55" t="n">
        <f aca="false">E9447-E9467</f>
        <v>-251468.704011962</v>
      </c>
      <c r="F9469" s="55" t="n">
        <f aca="false">F9447-F9467</f>
        <v>-254927.498153185</v>
      </c>
      <c r="G9469" s="55" t="n">
        <f aca="false">G9447-G9467</f>
        <v>-237885.845057094</v>
      </c>
      <c r="H9469" s="55" t="n">
        <f aca="false">H9447-H9467</f>
        <v>-199639.905601515</v>
      </c>
      <c r="I9469" s="55" t="n">
        <f aca="false">I9447-I9467</f>
        <v>-240955.946687909</v>
      </c>
      <c r="J9469" s="55" t="n">
        <f aca="false">J9447-J9467</f>
        <v>-205193.566534834</v>
      </c>
      <c r="K9469" s="55" t="n">
        <f aca="false">K9447-K9467</f>
        <v>-208784.229377897</v>
      </c>
      <c r="L9469" s="55" t="n">
        <f aca="false">L9447-L9467</f>
        <v>-201048.080118791</v>
      </c>
      <c r="M9469" s="55" t="n">
        <f aca="false">M9447-M9467</f>
        <v>-186897.297441812</v>
      </c>
      <c r="N9469" s="55" t="n">
        <f aca="false">N9447-N9467</f>
        <v>-171934.186684473</v>
      </c>
      <c r="P9469" s="55" t="n">
        <f aca="false">SUM(C9469:F9469)</f>
        <v>-1021779.56183138</v>
      </c>
      <c r="Q9469" s="55" t="n">
        <f aca="false">SUM(G9469:J9469)</f>
        <v>-883675.263881351</v>
      </c>
      <c r="R9469" s="55" t="n">
        <f aca="false">SUM(K9469:N9469)</f>
        <v>-768663.793622974</v>
      </c>
      <c r="S9469" s="56" t="n">
        <f aca="false">SUM(P9469:R9469)</f>
        <v>-2674118.61933571</v>
      </c>
    </row>
    <row r="9470" customFormat="false" ht="15" hidden="false" customHeight="false" outlineLevel="0" collapsed="false">
      <c r="A9470" s="9" t="s">
        <v>569</v>
      </c>
      <c r="B9470" s="36" t="s">
        <v>125</v>
      </c>
      <c r="C9470" s="55" t="n">
        <f aca="false">0+C9469</f>
        <v>-273265.178571429</v>
      </c>
      <c r="D9470" s="55" t="n">
        <f aca="false">C9470+D9469</f>
        <v>-515383.359666237</v>
      </c>
      <c r="E9470" s="55" t="n">
        <f aca="false">D9470+E9469</f>
        <v>-766852.063678199</v>
      </c>
      <c r="F9470" s="55" t="n">
        <f aca="false">E9470+F9469</f>
        <v>-1021779.56183138</v>
      </c>
      <c r="G9470" s="55" t="n">
        <f aca="false">F9470+G9469</f>
        <v>-1259665.40688848</v>
      </c>
      <c r="H9470" s="55" t="n">
        <f aca="false">G9470+H9469</f>
        <v>-1459305.31248999</v>
      </c>
      <c r="I9470" s="55" t="n">
        <f aca="false">H9470+I9469</f>
        <v>-1700261.2591779</v>
      </c>
      <c r="J9470" s="55" t="n">
        <f aca="false">I9470+J9469</f>
        <v>-1905454.82571274</v>
      </c>
      <c r="K9470" s="55" t="n">
        <f aca="false">J9470+K9469</f>
        <v>-2114239.05509063</v>
      </c>
      <c r="L9470" s="55" t="n">
        <f aca="false">K9470+L9469</f>
        <v>-2315287.13520942</v>
      </c>
      <c r="M9470" s="55" t="n">
        <f aca="false">L9470+M9469</f>
        <v>-2502184.43265124</v>
      </c>
      <c r="N9470" s="55" t="n">
        <f aca="false">M9470+N9469</f>
        <v>-2674118.61933571</v>
      </c>
      <c r="P9470" s="55" t="n">
        <f aca="false">F9470</f>
        <v>-1021779.56183138</v>
      </c>
      <c r="Q9470" s="55" t="n">
        <f aca="false">J9470</f>
        <v>-1905454.82571274</v>
      </c>
      <c r="R9470" s="55" t="n">
        <f aca="false">N9470</f>
        <v>-2674118.61933571</v>
      </c>
      <c r="S9470" s="56" t="n">
        <f aca="false">R9470</f>
        <v>-2674118.61933571</v>
      </c>
    </row>
    <row r="9471" customFormat="false" ht="15" hidden="false" customHeight="false" outlineLevel="0" collapsed="false">
      <c r="A9471" s="4" t="s">
        <v>570</v>
      </c>
      <c r="B9471" s="36" t="s">
        <v>107</v>
      </c>
      <c r="C9471" s="57" t="n">
        <f aca="false">1/(1+Assumptions!$E$87)^(C9390/4)</f>
        <v>0.972065420906982</v>
      </c>
      <c r="D9471" s="57" t="n">
        <f aca="false">1/(1+Assumptions!$E$87)^(D9390/4)</f>
        <v>0.944911182523068</v>
      </c>
      <c r="E9471" s="57" t="n">
        <f aca="false">1/(1+Assumptions!$E$87)^(E9390/4)</f>
        <v>0.918515486359</v>
      </c>
      <c r="F9471" s="57" t="n">
        <f aca="false">1/(1+Assumptions!$E$87)^(F9390/4)</f>
        <v>0.892857142857143</v>
      </c>
      <c r="G9471" s="57" t="n">
        <f aca="false">1/(1+Assumptions!$E$87)^(G9390/4)</f>
        <v>0.867915554381234</v>
      </c>
      <c r="H9471" s="57" t="n">
        <f aca="false">1/(1+Assumptions!$E$87)^(H9390/4)</f>
        <v>0.843670698681311</v>
      </c>
      <c r="I9471" s="57" t="n">
        <f aca="false">1/(1+Assumptions!$E$87)^(I9390/4)</f>
        <v>0.820103112820536</v>
      </c>
      <c r="J9471" s="57" t="n">
        <f aca="false">1/(1+Assumptions!$E$87)^(J9390/4)</f>
        <v>0.79719387755102</v>
      </c>
      <c r="K9471" s="57" t="n">
        <f aca="false">1/(1+Assumptions!$E$87)^(K9390/4)</f>
        <v>0.774924602126102</v>
      </c>
      <c r="L9471" s="57" t="n">
        <f aca="false">1/(1+Assumptions!$E$87)^(L9390/4)</f>
        <v>0.753277409536885</v>
      </c>
      <c r="M9471" s="57" t="n">
        <f aca="false">1/(1+Assumptions!$E$87)^(M9390/4)</f>
        <v>0.732234922161193</v>
      </c>
      <c r="N9471" s="57" t="n">
        <f aca="false">1/(1+Assumptions!$E$87)^(N9390/4)</f>
        <v>0.711780247813411</v>
      </c>
      <c r="P9471" s="58"/>
      <c r="Q9471" s="58"/>
      <c r="R9471" s="58"/>
      <c r="S9471" s="59"/>
    </row>
    <row r="9472" customFormat="false" ht="15" hidden="false" customHeight="false" outlineLevel="0" collapsed="false">
      <c r="A9472" s="4" t="s">
        <v>571</v>
      </c>
      <c r="B9472" s="36" t="s">
        <v>125</v>
      </c>
      <c r="C9472" s="54" t="n">
        <f aca="false">(C9447*(1-Assumptions!$E$88)-C9467)*C9471</f>
        <v>-265631.630827257</v>
      </c>
      <c r="D9472" s="54" t="n">
        <f aca="false">(D9447*(1-Assumptions!$E$88)-D9467)*D9471</f>
        <v>-228974.88526001</v>
      </c>
      <c r="E9472" s="54" t="n">
        <f aca="false">(E9447*(1-Assumptions!$E$88)-E9467)*E9471</f>
        <v>-231776.076558324</v>
      </c>
      <c r="F9472" s="54" t="n">
        <f aca="false">(F9447*(1-Assumptions!$E$88)-F9467)*F9471</f>
        <v>-229308.80958898</v>
      </c>
      <c r="G9472" s="54" t="n">
        <f aca="false">(G9447*(1-Assumptions!$E$88)-G9467)*G9471</f>
        <v>-209162.256188191</v>
      </c>
      <c r="H9472" s="54" t="n">
        <f aca="false">(H9447*(1-Assumptions!$E$88)-H9467)*H9471</f>
        <v>-172250.605325764</v>
      </c>
      <c r="I9472" s="54" t="n">
        <f aca="false">(I9447*(1-Assumptions!$E$88)-I9467)*I9471</f>
        <v>-202737.879822</v>
      </c>
      <c r="J9472" s="54" t="n">
        <f aca="false">(J9447*(1-Assumptions!$E$88)-J9467)*J9471</f>
        <v>-170337.48992349</v>
      </c>
      <c r="K9472" s="54" t="n">
        <f aca="false">(K9447*(1-Assumptions!$E$88)-K9467)*K9471</f>
        <v>-170636.199572726</v>
      </c>
      <c r="L9472" s="54" t="n">
        <f aca="false">(L9447*(1-Assumptions!$E$88)-L9467)*L9471</f>
        <v>-162625.86662999</v>
      </c>
      <c r="M9472" s="54" t="n">
        <f aca="false">(M9447*(1-Assumptions!$E$88)-M9467)*M9471</f>
        <v>-150317.523621364</v>
      </c>
      <c r="N9472" s="54" t="n">
        <f aca="false">(N9447*(1-Assumptions!$E$88)-N9467)*N9471</f>
        <v>-137974.264729774</v>
      </c>
      <c r="P9472" s="55" t="n">
        <f aca="false">SUM(C9472:F9472)</f>
        <v>-955691.402234571</v>
      </c>
      <c r="Q9472" s="55" t="n">
        <f aca="false">SUM(G9472:J9472)</f>
        <v>-754488.231259446</v>
      </c>
      <c r="R9472" s="55" t="n">
        <f aca="false">SUM(K9472:N9472)</f>
        <v>-621553.854553854</v>
      </c>
      <c r="S9472" s="56" t="n">
        <f aca="false">SUM(P9472:R9472)</f>
        <v>-2331733.48804787</v>
      </c>
    </row>
    <row r="9473" customFormat="false" ht="15" hidden="false" customHeight="false" outlineLevel="0" collapsed="false">
      <c r="A9473" s="4" t="s">
        <v>572</v>
      </c>
      <c r="B9473" s="36" t="s">
        <v>125</v>
      </c>
      <c r="C9473" s="54" t="n">
        <f aca="false">(C9467-C9466)*12/(Assumptions!$E$89*Assumptions!$E$76)*Assumptions!$E$90</f>
        <v>189183.585164835</v>
      </c>
      <c r="D9473" s="54" t="n">
        <f aca="false">(D9467-D9466)*12/(Assumptions!$E$89*Assumptions!$E$76)*Assumptions!$E$90</f>
        <v>167764.573091401</v>
      </c>
      <c r="E9473" s="54" t="n">
        <f aca="false">(E9467-E9466)*12/(Assumptions!$E$89*Assumptions!$E$76)*Assumptions!$E$90</f>
        <v>175502.192251062</v>
      </c>
      <c r="F9473" s="54" t="n">
        <f aca="false">(F9467-F9466)*12/(Assumptions!$E$89*Assumptions!$E$76)*Assumptions!$E$90</f>
        <v>180305.674314601</v>
      </c>
      <c r="G9473" s="54" t="n">
        <f aca="false">(G9467-G9466)*12/(Assumptions!$E$89*Assumptions!$E$76)*Assumptions!$E$90</f>
        <v>171455.522834423</v>
      </c>
      <c r="H9473" s="54" t="n">
        <f aca="false">(H9467-H9466)*12/(Assumptions!$E$89*Assumptions!$E$76)*Assumptions!$E$90</f>
        <v>148359.299965861</v>
      </c>
      <c r="I9473" s="54" t="n">
        <f aca="false">(I9467-I9466)*12/(Assumptions!$E$89*Assumptions!$E$76)*Assumptions!$E$90</f>
        <v>181122.786560331</v>
      </c>
      <c r="J9473" s="54" t="n">
        <f aca="false">(J9467-J9466)*12/(Assumptions!$E$89*Assumptions!$E$76)*Assumptions!$E$90</f>
        <v>161528.75259412</v>
      </c>
      <c r="K9473" s="54" t="n">
        <f aca="false">(K9467-K9466)*12/(Assumptions!$E$89*Assumptions!$E$76)*Assumptions!$E$90</f>
        <v>170965.890429129</v>
      </c>
      <c r="L9473" s="54" t="n">
        <f aca="false">(L9467-L9466)*12/(Assumptions!$E$89*Assumptions!$E$76)*Assumptions!$E$90</f>
        <v>174276.556287836</v>
      </c>
      <c r="M9473" s="54" t="n">
        <f aca="false">(M9467-M9466)*12/(Assumptions!$E$89*Assumptions!$E$76)*Assumptions!$E$90</f>
        <v>173725.701224475</v>
      </c>
      <c r="N9473" s="54" t="n">
        <f aca="false">(N9467-N9466)*12/(Assumptions!$E$89*Assumptions!$E$76)*Assumptions!$E$90</f>
        <v>172707.251364833</v>
      </c>
      <c r="P9473" s="55" t="n">
        <f aca="false">SUM(C9473:F9473)</f>
        <v>712756.0248219</v>
      </c>
      <c r="Q9473" s="55" t="n">
        <f aca="false">SUM(G9473:J9473)</f>
        <v>662466.361954735</v>
      </c>
      <c r="R9473" s="55" t="n">
        <f aca="false">SUM(K9473:N9473)</f>
        <v>691675.399306273</v>
      </c>
      <c r="S9473" s="56" t="n">
        <f aca="false">SUM(P9473:R9473)</f>
        <v>2066897.78608291</v>
      </c>
    </row>
    <row r="9474" customFormat="false" ht="15" hidden="false" customHeight="false" outlineLevel="0" collapsed="false">
      <c r="A9474" s="4" t="s">
        <v>573</v>
      </c>
      <c r="B9474" s="36" t="s">
        <v>125</v>
      </c>
      <c r="C9474" s="54" t="n">
        <f aca="false">0*Assumptions!$E$92^(1/4)+C9473</f>
        <v>189183.585164835</v>
      </c>
      <c r="D9474" s="54" t="n">
        <f aca="false">C9474*Assumptions!$E$92^(1/4)+D9473</f>
        <v>357419.353898415</v>
      </c>
      <c r="E9474" s="54" t="n">
        <f aca="false">D9474*Assumptions!$E$92^(1/4)+E9473</f>
        <v>533811.76314077</v>
      </c>
      <c r="F9474" s="54" t="n">
        <f aca="false">E9474*Assumptions!$E$92^(1/4)+F9473</f>
        <v>715446.991371568</v>
      </c>
      <c r="G9474" s="54" t="n">
        <f aca="false">F9474*Assumptions!$E$92^(1/4)+G9473</f>
        <v>888684.463227894</v>
      </c>
      <c r="H9474" s="54" t="n">
        <f aca="false">G9474*Assumptions!$E$92^(1/4)+H9473</f>
        <v>1039257.19120327</v>
      </c>
      <c r="I9474" s="54" t="n">
        <f aca="false">H9474*Assumptions!$E$92^(1/4)+I9473</f>
        <v>1222968.43415199</v>
      </c>
      <c r="J9474" s="54" t="n">
        <f aca="false">I9474*Assumptions!$E$92^(1/4)+J9473</f>
        <v>1387543.20892713</v>
      </c>
      <c r="K9474" s="54" t="n">
        <f aca="false">J9474*Assumptions!$E$92^(1/4)+K9473</f>
        <v>1561965.02452446</v>
      </c>
      <c r="L9474" s="54" t="n">
        <f aca="false">K9474*Assumptions!$E$92^(1/4)+L9473</f>
        <v>1740131.93478857</v>
      </c>
      <c r="M9474" s="54" t="n">
        <f aca="false">L9474*Assumptions!$E$92^(1/4)+M9473</f>
        <v>1918191.74662721</v>
      </c>
      <c r="N9474" s="54" t="n">
        <f aca="false">M9474*Assumptions!$E$92^(1/4)+N9473</f>
        <v>2095676.59849627</v>
      </c>
      <c r="P9474" s="55" t="n">
        <f aca="false">F9474</f>
        <v>715446.991371568</v>
      </c>
      <c r="Q9474" s="55" t="n">
        <f aca="false">J9474</f>
        <v>1387543.20892713</v>
      </c>
      <c r="R9474" s="55" t="n">
        <f aca="false">N9474</f>
        <v>2095676.59849627</v>
      </c>
      <c r="S9474" s="56" t="n">
        <f aca="false">R9474</f>
        <v>2095676.59849627</v>
      </c>
    </row>
    <row r="9475" customFormat="false" ht="15" hidden="false" customHeight="false" outlineLevel="0" collapsed="false">
      <c r="A9475" s="4" t="s">
        <v>574</v>
      </c>
      <c r="B9475" s="36" t="s">
        <v>125</v>
      </c>
      <c r="C9475" s="54" t="n">
        <f aca="false">(0+C9474)/8*Assumptions!$E$76-(C9467-C9466)-C9474*Assumptions!$E$93/4</f>
        <v>-260258.807091346</v>
      </c>
      <c r="D9475" s="54" t="n">
        <f aca="false">(C9474+D9474)/8*Assumptions!$E$76-(D9467-D9466)-D9474*Assumptions!$E$93/4</f>
        <v>-202382.858701309</v>
      </c>
      <c r="E9475" s="54" t="n">
        <f aca="false">(D9474+E9474)/8*Assumptions!$E$76-(E9467-E9466)-E9474*Assumptions!$E$93/4</f>
        <v>-187763.285364693</v>
      </c>
      <c r="F9475" s="54" t="n">
        <f aca="false">(E9474+F9474)/8*Assumptions!$E$76-(F9467-F9466)-F9474*Assumptions!$E$93/4</f>
        <v>-167882.343153553</v>
      </c>
      <c r="G9475" s="54" t="n">
        <f aca="false">(F9474+G9474)/8*Assumptions!$E$76-(G9467-G9466)-G9474*Assumptions!$E$93/4</f>
        <v>-128430.852531643</v>
      </c>
      <c r="H9475" s="54" t="n">
        <f aca="false">(G9474+H9474)/8*Assumptions!$E$76-(H9467-H9466)-H9474*Assumptions!$E$93/4</f>
        <v>-70642.2220848631</v>
      </c>
      <c r="I9475" s="54" t="n">
        <f aca="false">(H9474+I9474)/8*Assumptions!$E$76-(I9467-I9466)-I9474*Assumptions!$E$93/4</f>
        <v>-93103.0761761511</v>
      </c>
      <c r="J9475" s="54" t="n">
        <f aca="false">(I9474+J9474)/8*Assumptions!$E$76-(J9467-J9466)-J9474*Assumptions!$E$93/4</f>
        <v>-38559.5284140288</v>
      </c>
      <c r="K9475" s="54" t="n">
        <f aca="false">(J9474+K9474)/8*Assumptions!$E$76-(K9467-K9466)-K9474*Assumptions!$E$93/4</f>
        <v>-26827.7494584675</v>
      </c>
      <c r="L9475" s="54" t="n">
        <f aca="false">(K9474+L9474)/8*Assumptions!$E$76-(L9467-L9466)-L9474*Assumptions!$E$93/4</f>
        <v>-5189.07476754758</v>
      </c>
      <c r="M9475" s="54" t="n">
        <f aca="false">(L9474+M9474)/8*Assumptions!$E$76-(M9467-M9466)-M9474*Assumptions!$E$93/4</f>
        <v>22324.2782912833</v>
      </c>
      <c r="N9475" s="54" t="n">
        <f aca="false">(M9474+N9474)/8*Assumptions!$E$76-(N9467-N9466)-N9474*Assumptions!$E$93/4</f>
        <v>50464.8158108759</v>
      </c>
      <c r="P9475" s="55" t="n">
        <f aca="false">SUM(C9475:F9475)</f>
        <v>-818287.294310901</v>
      </c>
      <c r="Q9475" s="55" t="n">
        <f aca="false">SUM(G9475:J9475)</f>
        <v>-330735.679206686</v>
      </c>
      <c r="R9475" s="55" t="n">
        <f aca="false">SUM(K9475:N9475)</f>
        <v>40772.2698761441</v>
      </c>
      <c r="S9475" s="56" t="n">
        <f aca="false">SUM(P9475:R9475)</f>
        <v>-1108250.70364144</v>
      </c>
    </row>
    <row r="9476" customFormat="false" ht="15" hidden="false" customHeight="false" outlineLevel="0" collapsed="false">
      <c r="A9476" s="4" t="s">
        <v>575</v>
      </c>
      <c r="B9476" s="36" t="s">
        <v>125</v>
      </c>
      <c r="C9476" s="54" t="n">
        <f aca="false">C9475*C9471</f>
        <v>-252988.586859998</v>
      </c>
      <c r="D9476" s="54" t="n">
        <f aca="false">D9475*D9471</f>
        <v>-191233.826337853</v>
      </c>
      <c r="E9476" s="54" t="n">
        <f aca="false">E9475*E9471</f>
        <v>-172463.485377115</v>
      </c>
      <c r="F9476" s="54" t="n">
        <f aca="false">F9475*F9471</f>
        <v>-149894.949244243</v>
      </c>
      <c r="G9476" s="54" t="n">
        <f aca="false">G9475*G9471</f>
        <v>-111467.134574655</v>
      </c>
      <c r="H9476" s="54" t="n">
        <f aca="false">H9475*H9471</f>
        <v>-59598.7728627368</v>
      </c>
      <c r="I9476" s="54" t="n">
        <f aca="false">I9475*I9471</f>
        <v>-76354.122585229</v>
      </c>
      <c r="J9476" s="54" t="n">
        <f aca="false">J9475*J9471</f>
        <v>-30739.4199729184</v>
      </c>
      <c r="K9476" s="54" t="n">
        <f aca="false">K9475*K9471</f>
        <v>-20789.4830750417</v>
      </c>
      <c r="L9476" s="54" t="n">
        <f aca="false">L9475*L9471</f>
        <v>-3908.81279879145</v>
      </c>
      <c r="M9476" s="54" t="n">
        <f aca="false">M9475*M9471</f>
        <v>16346.6161769226</v>
      </c>
      <c r="N9476" s="54" t="n">
        <f aca="false">N9475*N9471</f>
        <v>35919.8591037234</v>
      </c>
      <c r="P9476" s="55" t="n">
        <f aca="false">SUM(C9476:F9476)</f>
        <v>-766580.84781921</v>
      </c>
      <c r="Q9476" s="55" t="n">
        <f aca="false">SUM(G9476:J9476)</f>
        <v>-278159.449995539</v>
      </c>
      <c r="R9476" s="55" t="n">
        <f aca="false">SUM(K9476:N9476)</f>
        <v>27568.1794068129</v>
      </c>
      <c r="S9476" s="56" t="n">
        <f aca="false">SUM(P9476:R9476)</f>
        <v>-1017172.11840794</v>
      </c>
    </row>
    <row r="9477" customFormat="false" ht="15" hidden="false" customHeight="false" outlineLevel="0" collapsed="false">
      <c r="A9477" s="4" t="s">
        <v>576</v>
      </c>
      <c r="B9477" s="36"/>
      <c r="C9477" s="37" t="n">
        <f aca="false">IFERROR((S9432*$C$9381*Assumptions!$E$59+S9433*$C$9382*Assumptions!$E$60+S9434*$C$9383*Assumptions!$E$61)/(S9432*$C$9381+S9433*$C$9382+S9434*$C$9383),0.9)</f>
        <v>0.897372181179546</v>
      </c>
    </row>
    <row r="9478" customFormat="false" ht="15" hidden="false" customHeight="false" outlineLevel="0" collapsed="false">
      <c r="A9478" s="4" t="s">
        <v>577</v>
      </c>
      <c r="B9478" s="36"/>
      <c r="C9478" s="37" t="n">
        <f aca="false">IFERROR(N9466*4/N9444,0)</f>
        <v>0.175911884278844</v>
      </c>
    </row>
    <row r="9479" customFormat="false" ht="15" hidden="false" customHeight="false" outlineLevel="0" collapsed="false">
      <c r="A9479" s="4" t="s">
        <v>578</v>
      </c>
      <c r="B9479" s="36"/>
      <c r="C9479" s="60" t="n">
        <f aca="false">$C$9477/(1+Assumptions!$E$87)</f>
        <v>0.801225161767451</v>
      </c>
    </row>
    <row r="9480" customFormat="false" ht="15" hidden="false" customHeight="false" outlineLevel="0" collapsed="false">
      <c r="A9480" s="4" t="s">
        <v>579</v>
      </c>
      <c r="B9480" s="36"/>
      <c r="C9480" s="60" t="n">
        <f aca="false">Assumptions!$E$91/(1+Assumptions!$E$87)</f>
        <v>0.803571428571429</v>
      </c>
    </row>
    <row r="9481" customFormat="false" ht="15" hidden="false" customHeight="false" outlineLevel="0" collapsed="false">
      <c r="A9481" s="35" t="s">
        <v>580</v>
      </c>
      <c r="B9481" s="35" t="s">
        <v>444</v>
      </c>
      <c r="C9481" s="6" t="s">
        <v>354</v>
      </c>
      <c r="D9481" s="6" t="s">
        <v>355</v>
      </c>
      <c r="E9481" s="6" t="s">
        <v>356</v>
      </c>
      <c r="F9481" s="6" t="s">
        <v>357</v>
      </c>
      <c r="G9481" s="6" t="s">
        <v>358</v>
      </c>
      <c r="H9481" s="6" t="s">
        <v>359</v>
      </c>
      <c r="I9481" s="6" t="s">
        <v>360</v>
      </c>
      <c r="J9481" s="6" t="s">
        <v>361</v>
      </c>
      <c r="K9481" s="6" t="s">
        <v>362</v>
      </c>
      <c r="L9481" s="6" t="s">
        <v>363</v>
      </c>
      <c r="M9481" s="6" t="s">
        <v>364</v>
      </c>
      <c r="N9481" s="6" t="s">
        <v>365</v>
      </c>
      <c r="P9481" s="6" t="s">
        <v>445</v>
      </c>
      <c r="Q9481" s="6" t="s">
        <v>446</v>
      </c>
      <c r="R9481" s="6" t="s">
        <v>447</v>
      </c>
      <c r="S9481" s="6" t="s">
        <v>448</v>
      </c>
    </row>
    <row r="9482" customFormat="false" ht="15" hidden="false" customHeight="false" outlineLevel="0" collapsed="false">
      <c r="A9482" s="9" t="s">
        <v>581</v>
      </c>
      <c r="C9482" s="61" t="n">
        <f aca="false">N9444</f>
        <v>728018.181046078</v>
      </c>
      <c r="D9482" s="61"/>
    </row>
    <row r="9483" customFormat="false" ht="15" hidden="false" customHeight="false" outlineLevel="0" collapsed="false">
      <c r="A9483" s="9" t="s">
        <v>582</v>
      </c>
      <c r="C9483" s="62" t="n">
        <f aca="false">N9440</f>
        <v>70.7544272202844</v>
      </c>
      <c r="D9483" s="62"/>
    </row>
    <row r="9484" customFormat="false" ht="15" hidden="false" customHeight="false" outlineLevel="0" collapsed="false">
      <c r="A9484" s="9" t="s">
        <v>583</v>
      </c>
      <c r="C9484" s="63" t="n">
        <f aca="false">S9435</f>
        <v>78.2130278037053</v>
      </c>
      <c r="D9484" s="63"/>
    </row>
    <row r="9485" customFormat="false" ht="15" hidden="false" customHeight="false" outlineLevel="0" collapsed="false">
      <c r="A9485" s="9" t="s">
        <v>584</v>
      </c>
      <c r="C9485" s="61" t="n">
        <f aca="false">S9446</f>
        <v>706891.118516148</v>
      </c>
      <c r="D9485" s="61"/>
    </row>
    <row r="9486" customFormat="false" ht="15" hidden="false" customHeight="false" outlineLevel="0" collapsed="false">
      <c r="A9486" s="9" t="s">
        <v>22</v>
      </c>
      <c r="C9486" s="61" t="n">
        <f aca="false">IFERROR(S9445/S9435,0)</f>
        <v>8847.97350983958</v>
      </c>
      <c r="D9486" s="61"/>
    </row>
    <row r="9487" customFormat="false" ht="15" hidden="false" customHeight="false" outlineLevel="0" collapsed="false">
      <c r="A9487" s="9" t="s">
        <v>585</v>
      </c>
      <c r="C9487" s="61" t="n">
        <f aca="false">IFERROR(S9463/S9435,0)</f>
        <v>29192.4935547387</v>
      </c>
      <c r="D9487" s="61"/>
    </row>
    <row r="9488" customFormat="false" ht="23.85" hidden="false" customHeight="false" outlineLevel="0" collapsed="false">
      <c r="A9488" s="9" t="s">
        <v>586</v>
      </c>
      <c r="C9488" s="61" t="n">
        <f aca="false">IFERROR((S9457+S9459+S9460+S9461+S9462)/S9435,0)</f>
        <v>12702.0456925252</v>
      </c>
      <c r="D9488" s="61"/>
    </row>
    <row r="9489" customFormat="false" ht="15" hidden="false" customHeight="false" outlineLevel="0" collapsed="false">
      <c r="A9489" s="9" t="s">
        <v>587</v>
      </c>
      <c r="C9489" s="64" t="n">
        <f aca="false">IFERROR('Engine Runs'!$C$9487/('Engine Runs'!$C$9486*Assumptions!$E$76/12),0)</f>
        <v>60.910935362734</v>
      </c>
      <c r="D9489" s="64"/>
    </row>
    <row r="9490" customFormat="false" ht="15" hidden="false" customHeight="false" outlineLevel="0" collapsed="false">
      <c r="A9490" s="9" t="s">
        <v>588</v>
      </c>
      <c r="C9490" s="64" t="n">
        <f aca="false">IFERROR((R9463/R9435)/((R9445/R9435)*Assumptions!$E$76/12),0)</f>
        <v>40.8189434573813</v>
      </c>
      <c r="D9490" s="64"/>
    </row>
    <row r="9491" customFormat="false" ht="15" hidden="false" customHeight="false" outlineLevel="0" collapsed="false">
      <c r="A9491" s="9" t="s">
        <v>589</v>
      </c>
      <c r="C9491" s="61" t="n">
        <f aca="false">S9467</f>
        <v>3133597.84637121</v>
      </c>
      <c r="D9491" s="61"/>
    </row>
    <row r="9492" customFormat="false" ht="15" hidden="false" customHeight="false" outlineLevel="0" collapsed="false">
      <c r="A9492" s="9" t="s">
        <v>590</v>
      </c>
      <c r="C9492" s="61" t="n">
        <f aca="false">N9470</f>
        <v>-2674118.61933571</v>
      </c>
      <c r="D9492" s="61"/>
    </row>
    <row r="9493" customFormat="false" ht="15" hidden="false" customHeight="false" outlineLevel="0" collapsed="false">
      <c r="A9493" s="9" t="s">
        <v>591</v>
      </c>
      <c r="C9493" s="61" t="n">
        <f aca="false">MIN($C$9470:$N$9470)</f>
        <v>-2674118.61933571</v>
      </c>
      <c r="D9493" s="61"/>
    </row>
    <row r="9494" customFormat="false" ht="15" hidden="false" customHeight="false" outlineLevel="0" collapsed="false">
      <c r="A9494" s="9" t="s">
        <v>592</v>
      </c>
      <c r="C9494" s="61" t="n">
        <f aca="false">N9444*(Assumptions!$E$76-$C$9478)*$C$9477*(1-$C$9477^Assumptions!$E$85)/(1-$C$9477)</f>
        <v>1261736.21811224</v>
      </c>
      <c r="D9494" s="61"/>
    </row>
    <row r="9495" customFormat="false" ht="15" hidden="false" customHeight="false" outlineLevel="0" collapsed="false">
      <c r="A9495" s="9" t="s">
        <v>593</v>
      </c>
      <c r="C9495" s="61" t="n">
        <f aca="false">N9444*(Assumptions!$E$76-$C$9478)*(1-Assumptions!$E$88)/(1+Assumptions!$E$87)^2.5*$C$9479*(1-$C$9479^Assumptions!$E$85)/(1-$C$9479)</f>
        <v>561547.624943179</v>
      </c>
      <c r="D9495" s="61"/>
    </row>
    <row r="9496" customFormat="false" ht="15" hidden="false" customHeight="false" outlineLevel="0" collapsed="false">
      <c r="A9496" s="9" t="s">
        <v>594</v>
      </c>
      <c r="C9496" s="61" t="n">
        <f aca="false">SUM($C$9472:$N$9472)+'Engine Runs'!$C$9495</f>
        <v>-1770185.86310469</v>
      </c>
      <c r="D9496" s="61"/>
    </row>
    <row r="9497" customFormat="false" ht="15" hidden="false" customHeight="false" outlineLevel="0" collapsed="false">
      <c r="A9497" s="9" t="s">
        <v>595</v>
      </c>
      <c r="C9497" s="61" t="n">
        <f aca="false">SUM($C$9476:$N$9476)+N9474*(Assumptions!$E$76-Assumptions!$E$93)/(1+Assumptions!$E$87)^2.5*$C$9480*(1-$C$9480^Assumptions!$E$85)/(1-$C$9480)</f>
        <v>1559343.74653477</v>
      </c>
      <c r="D9497" s="61"/>
    </row>
    <row r="9498" customFormat="false" ht="15" hidden="false" customHeight="false" outlineLevel="0" collapsed="false">
      <c r="A9498" s="9" t="s">
        <v>596</v>
      </c>
      <c r="C9498" s="61" t="n">
        <f aca="false">'Engine Runs'!$C$9496-'Engine Runs'!$C$9497</f>
        <v>-3329529.60963946</v>
      </c>
      <c r="D9498" s="61"/>
    </row>
    <row r="9499" customFormat="false" ht="15" hidden="false" customHeight="false" outlineLevel="0" collapsed="false">
      <c r="A9499" s="9" t="s">
        <v>597</v>
      </c>
      <c r="C9499" s="61" t="n">
        <f aca="false">S9431</f>
        <v>0</v>
      </c>
      <c r="D9499" s="61"/>
    </row>
    <row r="9500" customFormat="false" ht="15" hidden="false" customHeight="false" outlineLevel="0" collapsed="false">
      <c r="A9500" s="9" t="s">
        <v>598</v>
      </c>
      <c r="C9500" s="63" t="n">
        <f aca="false">P9415</f>
        <v>43.6188722246667</v>
      </c>
      <c r="D9500" s="63"/>
    </row>
    <row r="9501" customFormat="false" ht="15" hidden="false" customHeight="false" outlineLevel="0" collapsed="false">
      <c r="A9501" s="9" t="s">
        <v>599</v>
      </c>
      <c r="C9501" s="63" t="n">
        <f aca="false">P9435</f>
        <v>8.83229864212342</v>
      </c>
      <c r="D9501" s="63"/>
    </row>
    <row r="9502" customFormat="false" ht="15" hidden="false" customHeight="false" outlineLevel="0" collapsed="false">
      <c r="A9502" s="9" t="s">
        <v>600</v>
      </c>
      <c r="C9502" s="63" t="n">
        <f aca="false">P9411</f>
        <v>42</v>
      </c>
      <c r="D9502" s="63"/>
    </row>
    <row r="9503" customFormat="false" ht="15" hidden="false" customHeight="false" outlineLevel="0" collapsed="false">
      <c r="A9503" s="9" t="s">
        <v>601</v>
      </c>
      <c r="C9503" s="61" t="n">
        <f aca="false">IFERROR(P9445/P9435,0)</f>
        <v>8545.01753177967</v>
      </c>
      <c r="D9503" s="61"/>
    </row>
    <row r="9506" customFormat="false" ht="15" hidden="false" customHeight="true" outlineLevel="0" collapsed="false">
      <c r="A9506" s="78" t="s">
        <v>945</v>
      </c>
      <c r="B9506" s="78"/>
      <c r="C9506" s="78"/>
      <c r="D9506" s="78"/>
      <c r="E9506" s="78"/>
      <c r="F9506" s="78"/>
      <c r="G9506" s="78"/>
      <c r="H9506" s="78"/>
      <c r="I9506" s="78"/>
      <c r="J9506" s="78"/>
      <c r="K9506" s="78"/>
      <c r="L9506" s="78"/>
      <c r="M9506" s="78"/>
      <c r="N9506" s="78"/>
    </row>
    <row r="9507" customFormat="false" ht="15" hidden="false" customHeight="true" outlineLevel="0" collapsed="false">
      <c r="A9507" s="79" t="s">
        <v>946</v>
      </c>
      <c r="B9507" s="79"/>
      <c r="C9507" s="79"/>
      <c r="D9507" s="79"/>
      <c r="E9507" s="79"/>
      <c r="F9507" s="79"/>
      <c r="G9507" s="79"/>
      <c r="H9507" s="79"/>
      <c r="I9507" s="79"/>
      <c r="J9507" s="79"/>
      <c r="K9507" s="79"/>
      <c r="L9507" s="79"/>
      <c r="M9507" s="79"/>
      <c r="N9507" s="79"/>
    </row>
    <row r="9508" customFormat="false" ht="15" hidden="false" customHeight="false" outlineLevel="0" collapsed="false">
      <c r="A9508" s="35" t="s">
        <v>947</v>
      </c>
      <c r="B9508" s="35" t="s">
        <v>444</v>
      </c>
      <c r="C9508" s="6" t="s">
        <v>354</v>
      </c>
      <c r="D9508" s="6" t="s">
        <v>355</v>
      </c>
      <c r="E9508" s="6" t="s">
        <v>356</v>
      </c>
      <c r="F9508" s="6" t="s">
        <v>357</v>
      </c>
      <c r="G9508" s="6" t="s">
        <v>358</v>
      </c>
      <c r="H9508" s="6" t="s">
        <v>359</v>
      </c>
      <c r="I9508" s="6" t="s">
        <v>360</v>
      </c>
      <c r="J9508" s="6" t="s">
        <v>361</v>
      </c>
      <c r="K9508" s="6" t="s">
        <v>362</v>
      </c>
      <c r="L9508" s="6" t="s">
        <v>363</v>
      </c>
      <c r="M9508" s="6" t="s">
        <v>364</v>
      </c>
      <c r="N9508" s="6" t="s">
        <v>365</v>
      </c>
      <c r="P9508" s="6" t="s">
        <v>445</v>
      </c>
      <c r="Q9508" s="6" t="s">
        <v>446</v>
      </c>
      <c r="R9508" s="6" t="s">
        <v>447</v>
      </c>
      <c r="S9508" s="6" t="s">
        <v>448</v>
      </c>
    </row>
    <row r="9509" customFormat="false" ht="15" hidden="false" customHeight="false" outlineLevel="0" collapsed="false">
      <c r="A9509" s="4" t="s">
        <v>449</v>
      </c>
      <c r="B9509" s="36" t="s">
        <v>450</v>
      </c>
      <c r="C9509" s="34" t="n">
        <f aca="false">'Market Sizing'!$C$17*Assumptions!$E$10*Assumptions!$E$11*(1-Assumptions!$E$12)</f>
        <v>843.03944704</v>
      </c>
    </row>
    <row r="9510" customFormat="false" ht="15" hidden="false" customHeight="false" outlineLevel="0" collapsed="false">
      <c r="A9510" s="4" t="s">
        <v>451</v>
      </c>
      <c r="B9510" s="36" t="s">
        <v>450</v>
      </c>
      <c r="C9510" s="34" t="n">
        <f aca="false">'Market Sizing'!$D$17*Assumptions!$E$10*Assumptions!$E$11*(1-Assumptions!$E$12)</f>
        <v>211.19616</v>
      </c>
    </row>
    <row r="9511" customFormat="false" ht="15" hidden="false" customHeight="false" outlineLevel="0" collapsed="false">
      <c r="A9511" s="4" t="s">
        <v>452</v>
      </c>
      <c r="B9511" s="36" t="s">
        <v>450</v>
      </c>
      <c r="C9511" s="34" t="n">
        <f aca="false">'Market Sizing'!$E$17*Assumptions!$E$10*Assumptions!$E$11*(1-Assumptions!$E$12)</f>
        <v>49.53984</v>
      </c>
    </row>
    <row r="9512" customFormat="false" ht="15" hidden="false" customHeight="false" outlineLevel="0" collapsed="false">
      <c r="A9512" s="4" t="s">
        <v>453</v>
      </c>
      <c r="B9512" s="36"/>
      <c r="C9512" s="34" t="n">
        <f aca="false">$C$9509+$C$9510+$C$9511</f>
        <v>1103.77544704</v>
      </c>
    </row>
    <row r="9513" customFormat="false" ht="15" hidden="false" customHeight="false" outlineLevel="0" collapsed="false">
      <c r="A9513" s="4" t="s">
        <v>454</v>
      </c>
      <c r="B9513" s="36" t="s">
        <v>450</v>
      </c>
      <c r="C9513" s="34" t="n">
        <f aca="false">'Market Sizing'!$C$18*Assumptions!$E$10*Assumptions!$E$11*(1-Assumptions!$E$12)</f>
        <v>612.57706944</v>
      </c>
    </row>
    <row r="9514" customFormat="false" ht="15" hidden="false" customHeight="false" outlineLevel="0" collapsed="false">
      <c r="A9514" s="4" t="s">
        <v>455</v>
      </c>
      <c r="B9514" s="36" t="s">
        <v>450</v>
      </c>
      <c r="C9514" s="34" t="n">
        <f aca="false">'Market Sizing'!$D$18*Assumptions!$E$10*Assumptions!$E$11*(1-Assumptions!$E$12)</f>
        <v>142.10112</v>
      </c>
    </row>
    <row r="9515" customFormat="false" ht="15" hidden="false" customHeight="false" outlineLevel="0" collapsed="false">
      <c r="A9515" s="4" t="s">
        <v>456</v>
      </c>
      <c r="B9515" s="36" t="s">
        <v>450</v>
      </c>
      <c r="C9515" s="34" t="n">
        <f aca="false">'Market Sizing'!$E$18*Assumptions!$E$10*Assumptions!$E$11*(1-Assumptions!$E$12)</f>
        <v>24.76992</v>
      </c>
    </row>
    <row r="9516" customFormat="false" ht="15" hidden="false" customHeight="false" outlineLevel="0" collapsed="false">
      <c r="A9516" s="4" t="s">
        <v>457</v>
      </c>
      <c r="B9516" s="36"/>
      <c r="C9516" s="34" t="n">
        <f aca="false">$C$9513+$C$9514+$C$9515</f>
        <v>779.44810944</v>
      </c>
    </row>
    <row r="9517" customFormat="false" ht="15" hidden="false" customHeight="false" outlineLevel="0" collapsed="false">
      <c r="A9517" s="4" t="s">
        <v>458</v>
      </c>
      <c r="B9517" s="36" t="s">
        <v>450</v>
      </c>
      <c r="C9517" s="34" t="n">
        <f aca="false">'Market Sizing'!$C$19*Assumptions!$E$10*Assumptions!$E$11*(1-Assumptions!$E$12)</f>
        <v>2060.77303936</v>
      </c>
    </row>
    <row r="9518" customFormat="false" ht="15" hidden="false" customHeight="false" outlineLevel="0" collapsed="false">
      <c r="A9518" s="4" t="s">
        <v>459</v>
      </c>
      <c r="B9518" s="36" t="s">
        <v>450</v>
      </c>
      <c r="C9518" s="34" t="n">
        <f aca="false">'Market Sizing'!$D$19*Assumptions!$E$10*Assumptions!$E$11*(1-Assumptions!$E$12)</f>
        <v>428.47616</v>
      </c>
    </row>
    <row r="9519" customFormat="false" ht="15" hidden="false" customHeight="false" outlineLevel="0" collapsed="false">
      <c r="A9519" s="4" t="s">
        <v>460</v>
      </c>
      <c r="B9519" s="36" t="s">
        <v>450</v>
      </c>
      <c r="C9519" s="34" t="n">
        <f aca="false">'Market Sizing'!$E$19*Assumptions!$E$10*Assumptions!$E$11*(1-Assumptions!$E$12)</f>
        <v>79.52448</v>
      </c>
    </row>
    <row r="9520" customFormat="false" ht="15" hidden="false" customHeight="false" outlineLevel="0" collapsed="false">
      <c r="A9520" s="4" t="s">
        <v>461</v>
      </c>
      <c r="B9520" s="36"/>
      <c r="C9520" s="34" t="n">
        <f aca="false">$C$9517+$C$9518+$C$9519</f>
        <v>2568.77367936</v>
      </c>
    </row>
    <row r="9521" customFormat="false" ht="15" hidden="false" customHeight="false" outlineLevel="0" collapsed="false">
      <c r="A9521" s="4" t="s">
        <v>462</v>
      </c>
      <c r="B9521" s="36" t="s">
        <v>463</v>
      </c>
      <c r="C9521" s="33" t="n">
        <f aca="false">MAX((Assumptions!$E$51+Assumptions!$E$53)*12,(((('Market Sizing'!$E$25*Assumptions!$E$41*Assumptions!$E$42*1.5)*Assumptions!$E$44)*Assumptions!$E$45*Assumptions!$E$46+('Market Sizing'!$E$25*Assumptions!$E$41*Assumptions!$E$42*1.5)*Assumptions!$E$47+('Market Sizing'!$E$25*Assumptions!$E$41*Assumptions!$E$42*1.5)*Assumptions!$E$48*Assumptions!$E$49)*(Assumptions!$E$51*12/Assumptions!$E$52)+((('Market Sizing'!$E$25*Assumptions!$E$41*Assumptions!$E$42*1.5)*Assumptions!$E$44)*Assumptions!$E$45+('Market Sizing'!$E$25*Assumptions!$E$41*Assumptions!$E$42*1.5)+('Market Sizing'!$E$25*Assumptions!$E$41*Assumptions!$E$42*1.5)*Assumptions!$E$48)*Assumptions!$E$50*(Assumptions!$E$53*12/Assumptions!$E$54)))</f>
        <v>5352</v>
      </c>
    </row>
    <row r="9522" customFormat="false" ht="15" hidden="false" customHeight="false" outlineLevel="0" collapsed="false">
      <c r="A9522" s="4" t="s">
        <v>464</v>
      </c>
      <c r="B9522" s="36" t="s">
        <v>463</v>
      </c>
      <c r="C9522" s="33" t="n">
        <f aca="false">MAX((Assumptions!$E$51+Assumptions!$E$53)*12,(((('Market Sizing'!$E$26*Assumptions!$E$41*Assumptions!$E$42*1.5)*Assumptions!$E$44)*Assumptions!$E$45*Assumptions!$E$46+('Market Sizing'!$E$26*Assumptions!$E$41*Assumptions!$E$42*1.5)*Assumptions!$E$47+('Market Sizing'!$E$26*Assumptions!$E$41*Assumptions!$E$42*1.5)*Assumptions!$E$48*Assumptions!$E$49)*(Assumptions!$E$51*12/Assumptions!$E$52)+((('Market Sizing'!$E$26*Assumptions!$E$41*Assumptions!$E$42*1.5)*Assumptions!$E$44)*Assumptions!$E$45+('Market Sizing'!$E$26*Assumptions!$E$41*Assumptions!$E$42*1.5)+('Market Sizing'!$E$26*Assumptions!$E$41*Assumptions!$E$42*1.5)*Assumptions!$E$48)*Assumptions!$E$50*(Assumptions!$E$53*12/Assumptions!$E$54)))</f>
        <v>14650.0801931281</v>
      </c>
    </row>
    <row r="9523" customFormat="false" ht="15" hidden="false" customHeight="false" outlineLevel="0" collapsed="false">
      <c r="A9523" s="4" t="s">
        <v>465</v>
      </c>
      <c r="B9523" s="36" t="s">
        <v>463</v>
      </c>
      <c r="C9523" s="33" t="n">
        <f aca="false">MAX(Assumptions!$E$55*(Assumptions!$E$51*12/Assumptions!$E$52)+Assumptions!$E$56*(Assumptions!$E$53*12/Assumptions!$E$54),(((('Market Sizing'!$E$27*Assumptions!$E$41*Assumptions!$E$42*1.5)*Assumptions!$E$44)*Assumptions!$E$45*Assumptions!$E$46+('Market Sizing'!$E$27*Assumptions!$E$41*Assumptions!$E$42*1.5)*Assumptions!$E$47+('Market Sizing'!$E$27*Assumptions!$E$41*Assumptions!$E$42*1.5)*Assumptions!$E$48*Assumptions!$E$49)*(Assumptions!$E$51*12/Assumptions!$E$52)+((('Market Sizing'!$E$27*Assumptions!$E$41*Assumptions!$E$42*1.5)*Assumptions!$E$44)*Assumptions!$E$45+('Market Sizing'!$E$27*Assumptions!$E$41*Assumptions!$E$42*1.5)+('Market Sizing'!$E$27*Assumptions!$E$41*Assumptions!$E$42*1.5)*Assumptions!$E$48)*Assumptions!$E$50*(Assumptions!$E$53*12/Assumptions!$E$54)))*(1-Assumptions!$E$57)</f>
        <v>92667.3843291578</v>
      </c>
    </row>
    <row r="9524" customFormat="false" ht="23.85" hidden="false" customHeight="false" outlineLevel="0" collapsed="false">
      <c r="A9524" s="4" t="s">
        <v>466</v>
      </c>
      <c r="B9524" s="36" t="s">
        <v>467</v>
      </c>
      <c r="C9524" s="37" t="n">
        <f aca="false">Assumptions!$E$17*Assumptions!$D$106</f>
        <v>0.4</v>
      </c>
    </row>
    <row r="9525" customFormat="false" ht="23.85" hidden="false" customHeight="false" outlineLevel="0" collapsed="false">
      <c r="A9525" s="4" t="s">
        <v>468</v>
      </c>
      <c r="B9525" s="36" t="s">
        <v>469</v>
      </c>
      <c r="C9525" s="33" t="n">
        <f aca="false">Assumptions!$E$68/Assumptions!$E$69</f>
        <v>285714.285714286</v>
      </c>
    </row>
    <row r="9526" customFormat="false" ht="23.85" hidden="false" customHeight="false" outlineLevel="0" collapsed="false">
      <c r="A9526" s="4" t="s">
        <v>470</v>
      </c>
      <c r="B9526" s="36" t="s">
        <v>471</v>
      </c>
      <c r="C9526" s="33" t="n">
        <f aca="false">Assumptions!$E$66*Assumptions!$E$67/4</f>
        <v>153125</v>
      </c>
    </row>
    <row r="9527" customFormat="false" ht="15" hidden="false" customHeight="false" outlineLevel="0" collapsed="false">
      <c r="A9527" s="4" t="s">
        <v>472</v>
      </c>
      <c r="B9527" s="36"/>
      <c r="C9527" s="38" t="n">
        <f aca="false">$C$9525/Assumptions!$E$66/Assumptions!$E$67</f>
        <v>0.466472303206997</v>
      </c>
    </row>
    <row r="9528" customFormat="false" ht="15" hidden="false" customHeight="false" outlineLevel="0" collapsed="false">
      <c r="A9528" s="4" t="s">
        <v>473</v>
      </c>
      <c r="B9528" s="36"/>
      <c r="C9528" s="33" t="n">
        <f aca="false">MAX(0,Assumptions!$D$103-Assumptions!$E$78)</f>
        <v>0</v>
      </c>
    </row>
    <row r="9529" customFormat="false" ht="15" hidden="false" customHeight="false" outlineLevel="0" collapsed="false">
      <c r="A9529" s="35" t="s">
        <v>474</v>
      </c>
      <c r="B9529" s="35" t="s">
        <v>444</v>
      </c>
      <c r="C9529" s="6" t="s">
        <v>354</v>
      </c>
      <c r="D9529" s="6" t="s">
        <v>355</v>
      </c>
      <c r="E9529" s="6" t="s">
        <v>356</v>
      </c>
      <c r="F9529" s="6" t="s">
        <v>357</v>
      </c>
      <c r="G9529" s="6" t="s">
        <v>358</v>
      </c>
      <c r="H9529" s="6" t="s">
        <v>359</v>
      </c>
      <c r="I9529" s="6" t="s">
        <v>360</v>
      </c>
      <c r="J9529" s="6" t="s">
        <v>361</v>
      </c>
      <c r="K9529" s="6" t="s">
        <v>362</v>
      </c>
      <c r="L9529" s="6" t="s">
        <v>363</v>
      </c>
      <c r="M9529" s="6" t="s">
        <v>364</v>
      </c>
      <c r="N9529" s="6" t="s">
        <v>365</v>
      </c>
      <c r="P9529" s="6" t="s">
        <v>445</v>
      </c>
      <c r="Q9529" s="6" t="s">
        <v>446</v>
      </c>
      <c r="R9529" s="6" t="s">
        <v>447</v>
      </c>
      <c r="S9529" s="6" t="s">
        <v>448</v>
      </c>
    </row>
    <row r="9530" customFormat="false" ht="15" hidden="false" customHeight="false" outlineLevel="0" collapsed="false">
      <c r="A9530" s="4" t="s">
        <v>475</v>
      </c>
      <c r="B9530" s="36" t="s">
        <v>133</v>
      </c>
      <c r="C9530" s="39" t="n">
        <v>1</v>
      </c>
      <c r="D9530" s="39" t="n">
        <v>2</v>
      </c>
      <c r="E9530" s="39" t="n">
        <v>3</v>
      </c>
      <c r="F9530" s="39" t="n">
        <v>4</v>
      </c>
      <c r="G9530" s="39" t="n">
        <v>5</v>
      </c>
      <c r="H9530" s="39" t="n">
        <v>6</v>
      </c>
      <c r="I9530" s="39" t="n">
        <v>7</v>
      </c>
      <c r="J9530" s="39" t="n">
        <v>8</v>
      </c>
      <c r="K9530" s="39" t="n">
        <v>9</v>
      </c>
      <c r="L9530" s="39" t="n">
        <v>10</v>
      </c>
      <c r="M9530" s="39" t="n">
        <v>11</v>
      </c>
      <c r="N9530" s="39" t="n">
        <v>12</v>
      </c>
      <c r="P9530" s="40"/>
      <c r="Q9530" s="40"/>
      <c r="R9530" s="40"/>
      <c r="S9530" s="41"/>
    </row>
    <row r="9531" customFormat="false" ht="15" hidden="false" customHeight="false" outlineLevel="0" collapsed="false">
      <c r="A9531" s="4" t="s">
        <v>476</v>
      </c>
      <c r="B9531" s="36" t="s">
        <v>343</v>
      </c>
      <c r="C9531" s="39" t="n">
        <f aca="false">IF(C9530&lt;=Assumptions!$E$84,1,0)</f>
        <v>1</v>
      </c>
      <c r="D9531" s="39" t="n">
        <f aca="false">IF(D9530&lt;=Assumptions!$E$84,1,0)</f>
        <v>1</v>
      </c>
      <c r="E9531" s="39" t="n">
        <f aca="false">IF(E9530&lt;=Assumptions!$E$84,1,0)</f>
        <v>1</v>
      </c>
      <c r="F9531" s="39" t="n">
        <f aca="false">IF(F9530&lt;=Assumptions!$E$84,1,0)</f>
        <v>1</v>
      </c>
      <c r="G9531" s="39" t="n">
        <f aca="false">IF(G9530&lt;=Assumptions!$E$84,1,0)</f>
        <v>1</v>
      </c>
      <c r="H9531" s="39" t="n">
        <f aca="false">IF(H9530&lt;=Assumptions!$E$84,1,0)</f>
        <v>1</v>
      </c>
      <c r="I9531" s="39" t="n">
        <f aca="false">IF(I9530&lt;=Assumptions!$E$84,1,0)</f>
        <v>1</v>
      </c>
      <c r="J9531" s="39" t="n">
        <f aca="false">IF(J9530&lt;=Assumptions!$E$84,1,0)</f>
        <v>1</v>
      </c>
      <c r="K9531" s="39" t="n">
        <f aca="false">IF(K9530&lt;=Assumptions!$E$84,1,0)</f>
        <v>1</v>
      </c>
      <c r="L9531" s="39" t="n">
        <f aca="false">IF(L9530&lt;=Assumptions!$E$84,1,0)</f>
        <v>1</v>
      </c>
      <c r="M9531" s="39" t="n">
        <f aca="false">IF(M9530&lt;=Assumptions!$E$84,1,0)</f>
        <v>1</v>
      </c>
      <c r="N9531" s="39" t="n">
        <f aca="false">IF(N9530&lt;=Assumptions!$E$84,1,0)</f>
        <v>1</v>
      </c>
      <c r="P9531" s="40"/>
      <c r="Q9531" s="40"/>
      <c r="R9531" s="40"/>
      <c r="S9531" s="41"/>
    </row>
    <row r="9532" customFormat="false" ht="15" hidden="false" customHeight="false" outlineLevel="0" collapsed="false">
      <c r="A9532" s="4" t="s">
        <v>477</v>
      </c>
      <c r="B9532" s="36" t="s">
        <v>478</v>
      </c>
      <c r="C9532" s="42" t="n">
        <f aca="false">IF(C9530=Assumptions!$E$13,0.5,IF(C9530&gt;Assumptions!$E$13,1,0))</f>
        <v>0.5</v>
      </c>
      <c r="D9532" s="42" t="n">
        <f aca="false">IF(D9530=Assumptions!$E$13,0.5,IF(D9530&gt;Assumptions!$E$13,1,0))</f>
        <v>1</v>
      </c>
      <c r="E9532" s="42" t="n">
        <f aca="false">IF(E9530=Assumptions!$E$13,0.5,IF(E9530&gt;Assumptions!$E$13,1,0))</f>
        <v>1</v>
      </c>
      <c r="F9532" s="42" t="n">
        <f aca="false">IF(F9530=Assumptions!$E$13,0.5,IF(F9530&gt;Assumptions!$E$13,1,0))</f>
        <v>1</v>
      </c>
      <c r="G9532" s="42" t="n">
        <f aca="false">IF(G9530=Assumptions!$E$13,0.5,IF(G9530&gt;Assumptions!$E$13,1,0))</f>
        <v>1</v>
      </c>
      <c r="H9532" s="42" t="n">
        <f aca="false">IF(H9530=Assumptions!$E$13,0.5,IF(H9530&gt;Assumptions!$E$13,1,0))</f>
        <v>1</v>
      </c>
      <c r="I9532" s="42" t="n">
        <f aca="false">IF(I9530=Assumptions!$E$13,0.5,IF(I9530&gt;Assumptions!$E$13,1,0))</f>
        <v>1</v>
      </c>
      <c r="J9532" s="42" t="n">
        <f aca="false">IF(J9530=Assumptions!$E$13,0.5,IF(J9530&gt;Assumptions!$E$13,1,0))</f>
        <v>1</v>
      </c>
      <c r="K9532" s="42" t="n">
        <f aca="false">IF(K9530=Assumptions!$E$13,0.5,IF(K9530&gt;Assumptions!$E$13,1,0))</f>
        <v>1</v>
      </c>
      <c r="L9532" s="42" t="n">
        <f aca="false">IF(L9530=Assumptions!$E$13,0.5,IF(L9530&gt;Assumptions!$E$13,1,0))</f>
        <v>1</v>
      </c>
      <c r="M9532" s="42" t="n">
        <f aca="false">IF(M9530=Assumptions!$E$13,0.5,IF(M9530&gt;Assumptions!$E$13,1,0))</f>
        <v>1</v>
      </c>
      <c r="N9532" s="42" t="n">
        <f aca="false">IF(N9530=Assumptions!$E$13,0.5,IF(N9530&gt;Assumptions!$E$13,1,0))</f>
        <v>1</v>
      </c>
      <c r="P9532" s="43"/>
      <c r="Q9532" s="43"/>
      <c r="R9532" s="43"/>
      <c r="S9532" s="44"/>
    </row>
    <row r="9533" customFormat="false" ht="15" hidden="false" customHeight="false" outlineLevel="0" collapsed="false">
      <c r="A9533" s="4" t="s">
        <v>479</v>
      </c>
      <c r="B9533" s="36" t="s">
        <v>478</v>
      </c>
      <c r="C9533" s="42" t="n">
        <f aca="false">IF(C9530=Assumptions!$E$14,0.5,IF(C9530&gt;Assumptions!$E$14,1,0))</f>
        <v>0</v>
      </c>
      <c r="D9533" s="42" t="n">
        <f aca="false">IF(D9530=Assumptions!$E$14,0.5,IF(D9530&gt;Assumptions!$E$14,1,0))</f>
        <v>0</v>
      </c>
      <c r="E9533" s="42" t="n">
        <f aca="false">IF(E9530=Assumptions!$E$14,0.5,IF(E9530&gt;Assumptions!$E$14,1,0))</f>
        <v>0</v>
      </c>
      <c r="F9533" s="42" t="n">
        <f aca="false">IF(F9530=Assumptions!$E$14,0.5,IF(F9530&gt;Assumptions!$E$14,1,0))</f>
        <v>0</v>
      </c>
      <c r="G9533" s="42" t="n">
        <f aca="false">IF(G9530=Assumptions!$E$14,0.5,IF(G9530&gt;Assumptions!$E$14,1,0))</f>
        <v>0.5</v>
      </c>
      <c r="H9533" s="42" t="n">
        <f aca="false">IF(H9530=Assumptions!$E$14,0.5,IF(H9530&gt;Assumptions!$E$14,1,0))</f>
        <v>1</v>
      </c>
      <c r="I9533" s="42" t="n">
        <f aca="false">IF(I9530=Assumptions!$E$14,0.5,IF(I9530&gt;Assumptions!$E$14,1,0))</f>
        <v>1</v>
      </c>
      <c r="J9533" s="42" t="n">
        <f aca="false">IF(J9530=Assumptions!$E$14,0.5,IF(J9530&gt;Assumptions!$E$14,1,0))</f>
        <v>1</v>
      </c>
      <c r="K9533" s="42" t="n">
        <f aca="false">IF(K9530=Assumptions!$E$14,0.5,IF(K9530&gt;Assumptions!$E$14,1,0))</f>
        <v>1</v>
      </c>
      <c r="L9533" s="42" t="n">
        <f aca="false">IF(L9530=Assumptions!$E$14,0.5,IF(L9530&gt;Assumptions!$E$14,1,0))</f>
        <v>1</v>
      </c>
      <c r="M9533" s="42" t="n">
        <f aca="false">IF(M9530=Assumptions!$E$14,0.5,IF(M9530&gt;Assumptions!$E$14,1,0))</f>
        <v>1</v>
      </c>
      <c r="N9533" s="42" t="n">
        <f aca="false">IF(N9530=Assumptions!$E$14,0.5,IF(N9530&gt;Assumptions!$E$14,1,0))</f>
        <v>1</v>
      </c>
      <c r="P9533" s="43"/>
      <c r="Q9533" s="43"/>
      <c r="R9533" s="43"/>
      <c r="S9533" s="44"/>
    </row>
    <row r="9534" customFormat="false" ht="15" hidden="false" customHeight="false" outlineLevel="0" collapsed="false">
      <c r="A9534" s="4" t="s">
        <v>480</v>
      </c>
      <c r="B9534" s="36" t="s">
        <v>478</v>
      </c>
      <c r="C9534" s="42" t="n">
        <f aca="false">IF(C9530=Assumptions!$E$15,0.5,IF(C9530&gt;Assumptions!$E$15,1,0))</f>
        <v>0</v>
      </c>
      <c r="D9534" s="42" t="n">
        <f aca="false">IF(D9530=Assumptions!$E$15,0.5,IF(D9530&gt;Assumptions!$E$15,1,0))</f>
        <v>0</v>
      </c>
      <c r="E9534" s="42" t="n">
        <f aca="false">IF(E9530=Assumptions!$E$15,0.5,IF(E9530&gt;Assumptions!$E$15,1,0))</f>
        <v>0</v>
      </c>
      <c r="F9534" s="42" t="n">
        <f aca="false">IF(F9530=Assumptions!$E$15,0.5,IF(F9530&gt;Assumptions!$E$15,1,0))</f>
        <v>0</v>
      </c>
      <c r="G9534" s="42" t="n">
        <f aca="false">IF(G9530=Assumptions!$E$15,0.5,IF(G9530&gt;Assumptions!$E$15,1,0))</f>
        <v>0</v>
      </c>
      <c r="H9534" s="42" t="n">
        <f aca="false">IF(H9530=Assumptions!$E$15,0.5,IF(H9530&gt;Assumptions!$E$15,1,0))</f>
        <v>0</v>
      </c>
      <c r="I9534" s="42" t="n">
        <f aca="false">IF(I9530=Assumptions!$E$15,0.5,IF(I9530&gt;Assumptions!$E$15,1,0))</f>
        <v>0.5</v>
      </c>
      <c r="J9534" s="42" t="n">
        <f aca="false">IF(J9530=Assumptions!$E$15,0.5,IF(J9530&gt;Assumptions!$E$15,1,0))</f>
        <v>1</v>
      </c>
      <c r="K9534" s="42" t="n">
        <f aca="false">IF(K9530=Assumptions!$E$15,0.5,IF(K9530&gt;Assumptions!$E$15,1,0))</f>
        <v>1</v>
      </c>
      <c r="L9534" s="42" t="n">
        <f aca="false">IF(L9530=Assumptions!$E$15,0.5,IF(L9530&gt;Assumptions!$E$15,1,0))</f>
        <v>1</v>
      </c>
      <c r="M9534" s="42" t="n">
        <f aca="false">IF(M9530=Assumptions!$E$15,0.5,IF(M9530&gt;Assumptions!$E$15,1,0))</f>
        <v>1</v>
      </c>
      <c r="N9534" s="42" t="n">
        <f aca="false">IF(N9530=Assumptions!$E$15,0.5,IF(N9530&gt;Assumptions!$E$15,1,0))</f>
        <v>1</v>
      </c>
      <c r="P9534" s="43"/>
      <c r="Q9534" s="43"/>
      <c r="R9534" s="43"/>
      <c r="S9534" s="44"/>
    </row>
    <row r="9535" customFormat="false" ht="15" hidden="false" customHeight="false" outlineLevel="0" collapsed="false">
      <c r="A9535" s="4" t="s">
        <v>481</v>
      </c>
      <c r="B9535" s="36" t="s">
        <v>478</v>
      </c>
      <c r="C9535" s="45" t="n">
        <f aca="false">Assumptions!$E$21^(MAX(0,C9530-Assumptions!$E$13)/4)</f>
        <v>1</v>
      </c>
      <c r="D9535" s="45" t="n">
        <f aca="false">Assumptions!$E$21^(MAX(0,D9530-Assumptions!$E$13)/4)</f>
        <v>0.9306048591021</v>
      </c>
      <c r="E9535" s="45" t="n">
        <f aca="false">Assumptions!$E$21^(MAX(0,E9530-Assumptions!$E$13)/4)</f>
        <v>0.866025403784439</v>
      </c>
      <c r="F9535" s="45" t="n">
        <f aca="false">Assumptions!$E$21^(MAX(0,F9530-Assumptions!$E$13)/4)</f>
        <v>0.805927448867656</v>
      </c>
      <c r="G9535" s="45" t="n">
        <f aca="false">Assumptions!$E$21^(MAX(0,G9530-Assumptions!$E$13)/4)</f>
        <v>0.75</v>
      </c>
      <c r="H9535" s="45" t="n">
        <f aca="false">Assumptions!$E$21^(MAX(0,H9530-Assumptions!$E$13)/4)</f>
        <v>0.697953644326575</v>
      </c>
      <c r="I9535" s="45" t="n">
        <f aca="false">Assumptions!$E$21^(MAX(0,I9530-Assumptions!$E$13)/4)</f>
        <v>0.649519052838329</v>
      </c>
      <c r="J9535" s="45" t="n">
        <f aca="false">Assumptions!$E$21^(MAX(0,J9530-Assumptions!$E$13)/4)</f>
        <v>0.604445586650742</v>
      </c>
      <c r="K9535" s="45" t="n">
        <f aca="false">Assumptions!$E$21^(MAX(0,K9530-Assumptions!$E$13)/4)</f>
        <v>0.5625</v>
      </c>
      <c r="L9535" s="45" t="n">
        <f aca="false">Assumptions!$E$21^(MAX(0,L9530-Assumptions!$E$13)/4)</f>
        <v>0.523465233244931</v>
      </c>
      <c r="M9535" s="45" t="n">
        <f aca="false">Assumptions!$E$21^(MAX(0,M9530-Assumptions!$E$13)/4)</f>
        <v>0.487139289628747</v>
      </c>
      <c r="N9535" s="45" t="n">
        <f aca="false">Assumptions!$E$21^(MAX(0,N9530-Assumptions!$E$13)/4)</f>
        <v>0.453334189988057</v>
      </c>
      <c r="P9535" s="46"/>
      <c r="Q9535" s="46"/>
      <c r="R9535" s="46"/>
      <c r="S9535" s="47"/>
    </row>
    <row r="9536" customFormat="false" ht="15" hidden="false" customHeight="false" outlineLevel="0" collapsed="false">
      <c r="A9536" s="4" t="s">
        <v>482</v>
      </c>
      <c r="B9536" s="36" t="s">
        <v>478</v>
      </c>
      <c r="C9536" s="45" t="n">
        <f aca="false">Assumptions!$E$21^(MAX(0,C9530-Assumptions!$E$14)/4)</f>
        <v>1</v>
      </c>
      <c r="D9536" s="45" t="n">
        <f aca="false">Assumptions!$E$21^(MAX(0,D9530-Assumptions!$E$14)/4)</f>
        <v>1</v>
      </c>
      <c r="E9536" s="45" t="n">
        <f aca="false">Assumptions!$E$21^(MAX(0,E9530-Assumptions!$E$14)/4)</f>
        <v>1</v>
      </c>
      <c r="F9536" s="45" t="n">
        <f aca="false">Assumptions!$E$21^(MAX(0,F9530-Assumptions!$E$14)/4)</f>
        <v>1</v>
      </c>
      <c r="G9536" s="45" t="n">
        <f aca="false">Assumptions!$E$21^(MAX(0,G9530-Assumptions!$E$14)/4)</f>
        <v>1</v>
      </c>
      <c r="H9536" s="45" t="n">
        <f aca="false">Assumptions!$E$21^(MAX(0,H9530-Assumptions!$E$14)/4)</f>
        <v>0.9306048591021</v>
      </c>
      <c r="I9536" s="45" t="n">
        <f aca="false">Assumptions!$E$21^(MAX(0,I9530-Assumptions!$E$14)/4)</f>
        <v>0.866025403784439</v>
      </c>
      <c r="J9536" s="45" t="n">
        <f aca="false">Assumptions!$E$21^(MAX(0,J9530-Assumptions!$E$14)/4)</f>
        <v>0.805927448867656</v>
      </c>
      <c r="K9536" s="45" t="n">
        <f aca="false">Assumptions!$E$21^(MAX(0,K9530-Assumptions!$E$14)/4)</f>
        <v>0.75</v>
      </c>
      <c r="L9536" s="45" t="n">
        <f aca="false">Assumptions!$E$21^(MAX(0,L9530-Assumptions!$E$14)/4)</f>
        <v>0.697953644326575</v>
      </c>
      <c r="M9536" s="45" t="n">
        <f aca="false">Assumptions!$E$21^(MAX(0,M9530-Assumptions!$E$14)/4)</f>
        <v>0.649519052838329</v>
      </c>
      <c r="N9536" s="45" t="n">
        <f aca="false">Assumptions!$E$21^(MAX(0,N9530-Assumptions!$E$14)/4)</f>
        <v>0.604445586650742</v>
      </c>
      <c r="P9536" s="46"/>
      <c r="Q9536" s="46"/>
      <c r="R9536" s="46"/>
      <c r="S9536" s="47"/>
    </row>
    <row r="9537" customFormat="false" ht="15" hidden="false" customHeight="false" outlineLevel="0" collapsed="false">
      <c r="A9537" s="4" t="s">
        <v>483</v>
      </c>
      <c r="B9537" s="36" t="s">
        <v>478</v>
      </c>
      <c r="C9537" s="45" t="n">
        <f aca="false">Assumptions!$E$21^(MAX(0,C9530-Assumptions!$E$15)/4)</f>
        <v>1</v>
      </c>
      <c r="D9537" s="45" t="n">
        <f aca="false">Assumptions!$E$21^(MAX(0,D9530-Assumptions!$E$15)/4)</f>
        <v>1</v>
      </c>
      <c r="E9537" s="45" t="n">
        <f aca="false">Assumptions!$E$21^(MAX(0,E9530-Assumptions!$E$15)/4)</f>
        <v>1</v>
      </c>
      <c r="F9537" s="45" t="n">
        <f aca="false">Assumptions!$E$21^(MAX(0,F9530-Assumptions!$E$15)/4)</f>
        <v>1</v>
      </c>
      <c r="G9537" s="45" t="n">
        <f aca="false">Assumptions!$E$21^(MAX(0,G9530-Assumptions!$E$15)/4)</f>
        <v>1</v>
      </c>
      <c r="H9537" s="45" t="n">
        <f aca="false">Assumptions!$E$21^(MAX(0,H9530-Assumptions!$E$15)/4)</f>
        <v>1</v>
      </c>
      <c r="I9537" s="45" t="n">
        <f aca="false">Assumptions!$E$21^(MAX(0,I9530-Assumptions!$E$15)/4)</f>
        <v>1</v>
      </c>
      <c r="J9537" s="45" t="n">
        <f aca="false">Assumptions!$E$21^(MAX(0,J9530-Assumptions!$E$15)/4)</f>
        <v>0.9306048591021</v>
      </c>
      <c r="K9537" s="45" t="n">
        <f aca="false">Assumptions!$E$21^(MAX(0,K9530-Assumptions!$E$15)/4)</f>
        <v>0.866025403784439</v>
      </c>
      <c r="L9537" s="45" t="n">
        <f aca="false">Assumptions!$E$21^(MAX(0,L9530-Assumptions!$E$15)/4)</f>
        <v>0.805927448867656</v>
      </c>
      <c r="M9537" s="45" t="n">
        <f aca="false">Assumptions!$E$21^(MAX(0,M9530-Assumptions!$E$15)/4)</f>
        <v>0.75</v>
      </c>
      <c r="N9537" s="45" t="n">
        <f aca="false">Assumptions!$E$21^(MAX(0,N9530-Assumptions!$E$15)/4)</f>
        <v>0.697953644326575</v>
      </c>
      <c r="P9537" s="46"/>
      <c r="Q9537" s="46"/>
      <c r="R9537" s="46"/>
      <c r="S9537" s="47"/>
    </row>
    <row r="9538" customFormat="false" ht="15" hidden="false" customHeight="false" outlineLevel="0" collapsed="false">
      <c r="A9538" s="4" t="s">
        <v>484</v>
      </c>
      <c r="B9538" s="36" t="s">
        <v>485</v>
      </c>
      <c r="C9538" s="39" t="n">
        <f aca="false">$C$9509*C9532+$C$9513*C9533+$C$9517*C9534</f>
        <v>421.51972352</v>
      </c>
      <c r="D9538" s="39" t="n">
        <f aca="false">$C$9509*D9532+$C$9513*D9533+$C$9517*D9534</f>
        <v>843.03944704</v>
      </c>
      <c r="E9538" s="39" t="n">
        <f aca="false">$C$9509*E9532+$C$9513*E9533+$C$9517*E9534</f>
        <v>843.03944704</v>
      </c>
      <c r="F9538" s="39" t="n">
        <f aca="false">$C$9509*F9532+$C$9513*F9533+$C$9517*F9534</f>
        <v>843.03944704</v>
      </c>
      <c r="G9538" s="39" t="n">
        <f aca="false">$C$9509*G9532+$C$9513*G9533+$C$9517*G9534</f>
        <v>1149.32798176</v>
      </c>
      <c r="H9538" s="39" t="n">
        <f aca="false">$C$9509*H9532+$C$9513*H9533+$C$9517*H9534</f>
        <v>1455.61651648</v>
      </c>
      <c r="I9538" s="39" t="n">
        <f aca="false">$C$9509*I9532+$C$9513*I9533+$C$9517*I9534</f>
        <v>2486.00303616</v>
      </c>
      <c r="J9538" s="39" t="n">
        <f aca="false">$C$9509*J9532+$C$9513*J9533+$C$9517*J9534</f>
        <v>3516.38955584</v>
      </c>
      <c r="K9538" s="39" t="n">
        <f aca="false">$C$9509*K9532+$C$9513*K9533+$C$9517*K9534</f>
        <v>3516.38955584</v>
      </c>
      <c r="L9538" s="39" t="n">
        <f aca="false">$C$9509*L9532+$C$9513*L9533+$C$9517*L9534</f>
        <v>3516.38955584</v>
      </c>
      <c r="M9538" s="39" t="n">
        <f aca="false">$C$9509*M9532+$C$9513*M9533+$C$9517*M9534</f>
        <v>3516.38955584</v>
      </c>
      <c r="N9538" s="39" t="n">
        <f aca="false">$C$9509*N9532+$C$9513*N9533+$C$9517*N9534</f>
        <v>3516.38955584</v>
      </c>
      <c r="P9538" s="40" t="n">
        <f aca="false">F9538</f>
        <v>843.03944704</v>
      </c>
      <c r="Q9538" s="40" t="n">
        <f aca="false">J9538</f>
        <v>3516.38955584</v>
      </c>
      <c r="R9538" s="40" t="n">
        <f aca="false">N9538</f>
        <v>3516.38955584</v>
      </c>
      <c r="S9538" s="41" t="n">
        <f aca="false">R9538</f>
        <v>3516.38955584</v>
      </c>
    </row>
    <row r="9539" customFormat="false" ht="15" hidden="false" customHeight="false" outlineLevel="0" collapsed="false">
      <c r="A9539" s="4" t="s">
        <v>486</v>
      </c>
      <c r="B9539" s="36" t="s">
        <v>485</v>
      </c>
      <c r="C9539" s="39" t="n">
        <f aca="false">$C$9510*C9532+$C$9514*C9533+$C$9518*C9534</f>
        <v>105.59808</v>
      </c>
      <c r="D9539" s="39" t="n">
        <f aca="false">$C$9510*D9532+$C$9514*D9533+$C$9518*D9534</f>
        <v>211.19616</v>
      </c>
      <c r="E9539" s="39" t="n">
        <f aca="false">$C$9510*E9532+$C$9514*E9533+$C$9518*E9534</f>
        <v>211.19616</v>
      </c>
      <c r="F9539" s="39" t="n">
        <f aca="false">$C$9510*F9532+$C$9514*F9533+$C$9518*F9534</f>
        <v>211.19616</v>
      </c>
      <c r="G9539" s="39" t="n">
        <f aca="false">$C$9510*G9532+$C$9514*G9533+$C$9518*G9534</f>
        <v>282.24672</v>
      </c>
      <c r="H9539" s="39" t="n">
        <f aca="false">$C$9510*H9532+$C$9514*H9533+$C$9518*H9534</f>
        <v>353.29728</v>
      </c>
      <c r="I9539" s="39" t="n">
        <f aca="false">$C$9510*I9532+$C$9514*I9533+$C$9518*I9534</f>
        <v>567.53536</v>
      </c>
      <c r="J9539" s="39" t="n">
        <f aca="false">$C$9510*J9532+$C$9514*J9533+$C$9518*J9534</f>
        <v>781.77344</v>
      </c>
      <c r="K9539" s="39" t="n">
        <f aca="false">$C$9510*K9532+$C$9514*K9533+$C$9518*K9534</f>
        <v>781.77344</v>
      </c>
      <c r="L9539" s="39" t="n">
        <f aca="false">$C$9510*L9532+$C$9514*L9533+$C$9518*L9534</f>
        <v>781.77344</v>
      </c>
      <c r="M9539" s="39" t="n">
        <f aca="false">$C$9510*M9532+$C$9514*M9533+$C$9518*M9534</f>
        <v>781.77344</v>
      </c>
      <c r="N9539" s="39" t="n">
        <f aca="false">$C$9510*N9532+$C$9514*N9533+$C$9518*N9534</f>
        <v>781.77344</v>
      </c>
      <c r="P9539" s="40" t="n">
        <f aca="false">F9539</f>
        <v>211.19616</v>
      </c>
      <c r="Q9539" s="40" t="n">
        <f aca="false">J9539</f>
        <v>781.77344</v>
      </c>
      <c r="R9539" s="40" t="n">
        <f aca="false">N9539</f>
        <v>781.77344</v>
      </c>
      <c r="S9539" s="41" t="n">
        <f aca="false">R9539</f>
        <v>781.77344</v>
      </c>
    </row>
    <row r="9540" customFormat="false" ht="15" hidden="false" customHeight="false" outlineLevel="0" collapsed="false">
      <c r="A9540" s="4" t="s">
        <v>487</v>
      </c>
      <c r="B9540" s="36" t="s">
        <v>485</v>
      </c>
      <c r="C9540" s="39" t="n">
        <f aca="false">$C$9511*C9532+$C$9515*C9533+$C$9519*C9534</f>
        <v>24.76992</v>
      </c>
      <c r="D9540" s="39" t="n">
        <f aca="false">$C$9511*D9532+$C$9515*D9533+$C$9519*D9534</f>
        <v>49.53984</v>
      </c>
      <c r="E9540" s="39" t="n">
        <f aca="false">$C$9511*E9532+$C$9515*E9533+$C$9519*E9534</f>
        <v>49.53984</v>
      </c>
      <c r="F9540" s="39" t="n">
        <f aca="false">$C$9511*F9532+$C$9515*F9533+$C$9519*F9534</f>
        <v>49.53984</v>
      </c>
      <c r="G9540" s="39" t="n">
        <f aca="false">$C$9511*G9532+$C$9515*G9533+$C$9519*G9534</f>
        <v>61.9248</v>
      </c>
      <c r="H9540" s="39" t="n">
        <f aca="false">$C$9511*H9532+$C$9515*H9533+$C$9519*H9534</f>
        <v>74.30976</v>
      </c>
      <c r="I9540" s="39" t="n">
        <f aca="false">$C$9511*I9532+$C$9515*I9533+$C$9519*I9534</f>
        <v>114.072</v>
      </c>
      <c r="J9540" s="39" t="n">
        <f aca="false">$C$9511*J9532+$C$9515*J9533+$C$9519*J9534</f>
        <v>153.83424</v>
      </c>
      <c r="K9540" s="39" t="n">
        <f aca="false">$C$9511*K9532+$C$9515*K9533+$C$9519*K9534</f>
        <v>153.83424</v>
      </c>
      <c r="L9540" s="39" t="n">
        <f aca="false">$C$9511*L9532+$C$9515*L9533+$C$9519*L9534</f>
        <v>153.83424</v>
      </c>
      <c r="M9540" s="39" t="n">
        <f aca="false">$C$9511*M9532+$C$9515*M9533+$C$9519*M9534</f>
        <v>153.83424</v>
      </c>
      <c r="N9540" s="39" t="n">
        <f aca="false">$C$9511*N9532+$C$9515*N9533+$C$9519*N9534</f>
        <v>153.83424</v>
      </c>
      <c r="P9540" s="40" t="n">
        <f aca="false">F9540</f>
        <v>49.53984</v>
      </c>
      <c r="Q9540" s="40" t="n">
        <f aca="false">J9540</f>
        <v>153.83424</v>
      </c>
      <c r="R9540" s="40" t="n">
        <f aca="false">N9540</f>
        <v>153.83424</v>
      </c>
      <c r="S9540" s="41" t="n">
        <f aca="false">R9540</f>
        <v>153.83424</v>
      </c>
    </row>
    <row r="9541" customFormat="false" ht="15" hidden="false" customHeight="false" outlineLevel="0" collapsed="false">
      <c r="A9541" s="4" t="s">
        <v>488</v>
      </c>
      <c r="B9541" s="36" t="s">
        <v>485</v>
      </c>
      <c r="C9541" s="39" t="n">
        <f aca="false">C9538+C9539+C9540</f>
        <v>551.88772352</v>
      </c>
      <c r="D9541" s="39" t="n">
        <f aca="false">D9538+D9539+D9540</f>
        <v>1103.77544704</v>
      </c>
      <c r="E9541" s="39" t="n">
        <f aca="false">E9538+E9539+E9540</f>
        <v>1103.77544704</v>
      </c>
      <c r="F9541" s="39" t="n">
        <f aca="false">F9538+F9539+F9540</f>
        <v>1103.77544704</v>
      </c>
      <c r="G9541" s="39" t="n">
        <f aca="false">G9538+G9539+G9540</f>
        <v>1493.49950176</v>
      </c>
      <c r="H9541" s="39" t="n">
        <f aca="false">H9538+H9539+H9540</f>
        <v>1883.22355648</v>
      </c>
      <c r="I9541" s="39" t="n">
        <f aca="false">I9538+I9539+I9540</f>
        <v>3167.61039616</v>
      </c>
      <c r="J9541" s="39" t="n">
        <f aca="false">J9538+J9539+J9540</f>
        <v>4451.99723584</v>
      </c>
      <c r="K9541" s="39" t="n">
        <f aca="false">K9538+K9539+K9540</f>
        <v>4451.99723584</v>
      </c>
      <c r="L9541" s="39" t="n">
        <f aca="false">L9538+L9539+L9540</f>
        <v>4451.99723584</v>
      </c>
      <c r="M9541" s="39" t="n">
        <f aca="false">M9538+M9539+M9540</f>
        <v>4451.99723584</v>
      </c>
      <c r="N9541" s="39" t="n">
        <f aca="false">N9538+N9539+N9540</f>
        <v>4451.99723584</v>
      </c>
      <c r="P9541" s="40" t="n">
        <f aca="false">F9541</f>
        <v>1103.77544704</v>
      </c>
      <c r="Q9541" s="40" t="n">
        <f aca="false">J9541</f>
        <v>4451.99723584</v>
      </c>
      <c r="R9541" s="40" t="n">
        <f aca="false">N9541</f>
        <v>4451.99723584</v>
      </c>
      <c r="S9541" s="41" t="n">
        <f aca="false">R9541</f>
        <v>4451.99723584</v>
      </c>
    </row>
    <row r="9542" customFormat="false" ht="15" hidden="false" customHeight="false" outlineLevel="0" collapsed="false">
      <c r="A9542" s="4" t="s">
        <v>489</v>
      </c>
      <c r="B9542" s="36" t="s">
        <v>485</v>
      </c>
      <c r="C9542" s="39" t="n">
        <f aca="false">$C$9512*C9532*C9535+$C$9516*C9533*C9536+$C$9520*C9534*C9537</f>
        <v>551.88772352</v>
      </c>
      <c r="D9542" s="39" t="n">
        <f aca="false">$C$9512*D9532*D9535+$C$9516*D9533*D9536+$C$9520*D9534*D9537</f>
        <v>1027.17879437302</v>
      </c>
      <c r="E9542" s="39" t="n">
        <f aca="false">$C$9512*E9532*E9535+$C$9516*E9533*E9536+$C$9520*E9534*E9537</f>
        <v>955.897577210165</v>
      </c>
      <c r="F9542" s="39" t="n">
        <f aca="false">$C$9512*F9532*F9535+$C$9516*F9533*F9536+$C$9520*F9534*F9537</f>
        <v>889.562930155704</v>
      </c>
      <c r="G9542" s="39" t="n">
        <f aca="false">$C$9512*G9532*G9535+$C$9516*G9533*G9536+$C$9520*G9534*G9537</f>
        <v>1217.55564</v>
      </c>
      <c r="H9542" s="39" t="n">
        <f aca="false">$C$9512*H9532*H9535+$C$9516*H9533*H9536+$C$9520*H9534*H9537</f>
        <v>1495.74229384257</v>
      </c>
      <c r="I9542" s="39" t="n">
        <f aca="false">$C$9512*I9532*I9535+$C$9516*I9533*I9536+$C$9520*I9534*I9537</f>
        <v>2676.33188629442</v>
      </c>
      <c r="J9542" s="39" t="n">
        <f aca="false">$C$9512*J9532*J9535+$C$9516*J9533*J9536+$C$9520*J9534*J9537</f>
        <v>3685.86409192847</v>
      </c>
      <c r="K9542" s="39" t="n">
        <f aca="false">$C$9512*K9532*K9535+$C$9516*K9533*K9536+$C$9520*K9534*K9537</f>
        <v>3430.08303393858</v>
      </c>
      <c r="L9542" s="39" t="n">
        <f aca="false">$C$9512*L9532*L9535+$C$9516*L9533*L9536+$C$9520*L9534*L9537</f>
        <v>3192.05193850692</v>
      </c>
      <c r="M9542" s="39" t="n">
        <f aca="false">$C$9512*M9532*M9535+$C$9516*M9533*M9536+$C$9520*M9534*M9537</f>
        <v>2970.53904448081</v>
      </c>
      <c r="N9542" s="39" t="n">
        <f aca="false">$C$9512*N9532*N9535+$C$9516*N9533*N9536+$C$9520*N9534*N9537</f>
        <v>2764.39806894635</v>
      </c>
      <c r="P9542" s="40"/>
      <c r="Q9542" s="40"/>
      <c r="R9542" s="40"/>
      <c r="S9542" s="41"/>
    </row>
    <row r="9543" customFormat="false" ht="15" hidden="false" customHeight="false" outlineLevel="0" collapsed="false">
      <c r="A9543" s="4" t="s">
        <v>490</v>
      </c>
      <c r="B9543" s="36" t="s">
        <v>491</v>
      </c>
      <c r="C9543" s="48" t="n">
        <f aca="false">$C$9524*Assumptions!$E$20*C9531*C9542</f>
        <v>6.62265268224</v>
      </c>
      <c r="D9543" s="48" t="n">
        <f aca="false">$C$9524*Assumptions!$E$20*D9531*D9542</f>
        <v>12.3261455324762</v>
      </c>
      <c r="E9543" s="48" t="n">
        <f aca="false">$C$9524*Assumptions!$E$20*E9531*E9542</f>
        <v>11.470770926522</v>
      </c>
      <c r="F9543" s="48" t="n">
        <f aca="false">$C$9524*Assumptions!$E$20*F9531*F9542</f>
        <v>10.6747551618685</v>
      </c>
      <c r="G9543" s="48" t="n">
        <f aca="false">$C$9524*Assumptions!$E$20*G9531*G9542</f>
        <v>14.61066768</v>
      </c>
      <c r="H9543" s="48" t="n">
        <f aca="false">$C$9524*Assumptions!$E$20*H9531*H9542</f>
        <v>17.9489075261109</v>
      </c>
      <c r="I9543" s="48" t="n">
        <f aca="false">$C$9524*Assumptions!$E$20*I9531*I9542</f>
        <v>32.115982635533</v>
      </c>
      <c r="J9543" s="48" t="n">
        <f aca="false">$C$9524*Assumptions!$E$20*J9531*J9542</f>
        <v>44.2303691031417</v>
      </c>
      <c r="K9543" s="48" t="n">
        <f aca="false">$C$9524*Assumptions!$E$20*K9531*K9542</f>
        <v>41.160996407263</v>
      </c>
      <c r="L9543" s="48" t="n">
        <f aca="false">$C$9524*Assumptions!$E$20*L9531*L9542</f>
        <v>38.304623262083</v>
      </c>
      <c r="M9543" s="48" t="n">
        <f aca="false">$C$9524*Assumptions!$E$20*M9531*M9542</f>
        <v>35.6464685337698</v>
      </c>
      <c r="N9543" s="48" t="n">
        <f aca="false">$C$9524*Assumptions!$E$20*N9531*N9542</f>
        <v>33.1727768273562</v>
      </c>
      <c r="P9543" s="49" t="n">
        <f aca="false">SUM(C9543:F9543)</f>
        <v>41.0943243031066</v>
      </c>
      <c r="Q9543" s="49" t="n">
        <f aca="false">SUM(G9543:J9543)</f>
        <v>108.905926944786</v>
      </c>
      <c r="R9543" s="49" t="n">
        <f aca="false">SUM(K9543:N9543)</f>
        <v>148.284865030472</v>
      </c>
      <c r="S9543" s="50" t="n">
        <f aca="false">SUM(P9543:R9543)</f>
        <v>298.285116278364</v>
      </c>
    </row>
    <row r="9544" customFormat="false" ht="15" hidden="false" customHeight="false" outlineLevel="0" collapsed="false">
      <c r="A9544" s="4" t="s">
        <v>492</v>
      </c>
      <c r="B9544" s="36" t="s">
        <v>321</v>
      </c>
      <c r="C9544" s="48" t="n">
        <f aca="false">Assumptions!$D$111</f>
        <v>0</v>
      </c>
      <c r="D9544" s="48" t="n">
        <f aca="false">Assumptions!$E$111</f>
        <v>0</v>
      </c>
      <c r="E9544" s="48" t="n">
        <f aca="false">Assumptions!$F$111</f>
        <v>0</v>
      </c>
      <c r="F9544" s="48" t="n">
        <f aca="false">Assumptions!$G$111</f>
        <v>0</v>
      </c>
      <c r="G9544" s="48" t="n">
        <f aca="false">Assumptions!$H$111</f>
        <v>0</v>
      </c>
      <c r="H9544" s="48" t="n">
        <f aca="false">Assumptions!$I$111</f>
        <v>0</v>
      </c>
      <c r="I9544" s="48" t="n">
        <f aca="false">Assumptions!$J$111</f>
        <v>0</v>
      </c>
      <c r="J9544" s="48" t="n">
        <f aca="false">Assumptions!$K$111</f>
        <v>0</v>
      </c>
      <c r="K9544" s="48" t="n">
        <f aca="false">Assumptions!$L$111</f>
        <v>0</v>
      </c>
      <c r="L9544" s="48" t="n">
        <f aca="false">Assumptions!$M$111</f>
        <v>0</v>
      </c>
      <c r="M9544" s="48" t="n">
        <f aca="false">Assumptions!$N$111</f>
        <v>0</v>
      </c>
      <c r="N9544" s="48" t="n">
        <f aca="false">Assumptions!$O$111</f>
        <v>0</v>
      </c>
      <c r="P9544" s="49" t="n">
        <f aca="false">F9544</f>
        <v>0</v>
      </c>
      <c r="Q9544" s="49" t="n">
        <f aca="false">J9544</f>
        <v>0</v>
      </c>
      <c r="R9544" s="49" t="n">
        <f aca="false">N9544</f>
        <v>0</v>
      </c>
      <c r="S9544" s="50" t="n">
        <f aca="false">R9544</f>
        <v>0</v>
      </c>
    </row>
    <row r="9545" customFormat="false" ht="15" hidden="false" customHeight="false" outlineLevel="0" collapsed="false">
      <c r="A9545" s="4" t="s">
        <v>493</v>
      </c>
      <c r="B9545" s="36" t="s">
        <v>321</v>
      </c>
      <c r="C9545" s="48" t="n">
        <f aca="false">0</f>
        <v>0</v>
      </c>
      <c r="D9545" s="48" t="n">
        <f aca="false">0.5*C9544</f>
        <v>0</v>
      </c>
      <c r="E9545" s="48" t="n">
        <f aca="false">C9544+0.5*(D9544-C9544)</f>
        <v>0</v>
      </c>
      <c r="F9545" s="48" t="n">
        <f aca="false">D9544+0.5*(E9544-D9544)</f>
        <v>0</v>
      </c>
      <c r="G9545" s="48" t="n">
        <f aca="false">E9544+0.5*(F9544-E9544)</f>
        <v>0</v>
      </c>
      <c r="H9545" s="48" t="n">
        <f aca="false">F9544+0.5*(G9544-F9544)</f>
        <v>0</v>
      </c>
      <c r="I9545" s="48" t="n">
        <f aca="false">G9544+0.5*(H9544-G9544)</f>
        <v>0</v>
      </c>
      <c r="J9545" s="48" t="n">
        <f aca="false">H9544+0.5*(I9544-H9544)</f>
        <v>0</v>
      </c>
      <c r="K9545" s="48" t="n">
        <f aca="false">I9544+0.5*(J9544-I9544)</f>
        <v>0</v>
      </c>
      <c r="L9545" s="48" t="n">
        <f aca="false">J9544+0.5*(K9544-J9544)</f>
        <v>0</v>
      </c>
      <c r="M9545" s="48" t="n">
        <f aca="false">K9544+0.5*(L9544-K9544)</f>
        <v>0</v>
      </c>
      <c r="N9545" s="48" t="n">
        <f aca="false">L9544+0.5*(M9544-L9544)</f>
        <v>0</v>
      </c>
      <c r="P9545" s="49" t="n">
        <f aca="false">F9545</f>
        <v>0</v>
      </c>
      <c r="Q9545" s="49" t="n">
        <f aca="false">J9545</f>
        <v>0</v>
      </c>
      <c r="R9545" s="49" t="n">
        <f aca="false">N9545</f>
        <v>0</v>
      </c>
      <c r="S9545" s="50" t="n">
        <f aca="false">R9545</f>
        <v>0</v>
      </c>
    </row>
    <row r="9546" customFormat="false" ht="15" hidden="false" customHeight="false" outlineLevel="0" collapsed="false">
      <c r="A9546" s="4" t="s">
        <v>494</v>
      </c>
      <c r="B9546" s="36" t="s">
        <v>485</v>
      </c>
      <c r="C9546" s="39" t="n">
        <f aca="false">MIN(C9545*Assumptions!$E$38,C9541*(1-$C$9524))</f>
        <v>0</v>
      </c>
      <c r="D9546" s="39" t="n">
        <f aca="false">MIN(D9545*Assumptions!$E$38,D9541*(1-$C$9524))</f>
        <v>0</v>
      </c>
      <c r="E9546" s="39" t="n">
        <f aca="false">MIN(E9545*Assumptions!$E$38,E9541*(1-$C$9524))</f>
        <v>0</v>
      </c>
      <c r="F9546" s="39" t="n">
        <f aca="false">MIN(F9545*Assumptions!$E$38,F9541*(1-$C$9524))</f>
        <v>0</v>
      </c>
      <c r="G9546" s="39" t="n">
        <f aca="false">MIN(G9545*Assumptions!$E$38,G9541*(1-$C$9524))</f>
        <v>0</v>
      </c>
      <c r="H9546" s="39" t="n">
        <f aca="false">MIN(H9545*Assumptions!$E$38,H9541*(1-$C$9524))</f>
        <v>0</v>
      </c>
      <c r="I9546" s="39" t="n">
        <f aca="false">MIN(I9545*Assumptions!$E$38,I9541*(1-$C$9524))</f>
        <v>0</v>
      </c>
      <c r="J9546" s="39" t="n">
        <f aca="false">MIN(J9545*Assumptions!$E$38,J9541*(1-$C$9524))</f>
        <v>0</v>
      </c>
      <c r="K9546" s="39" t="n">
        <f aca="false">MIN(K9545*Assumptions!$E$38,K9541*(1-$C$9524))</f>
        <v>0</v>
      </c>
      <c r="L9546" s="39" t="n">
        <f aca="false">MIN(L9545*Assumptions!$E$38,L9541*(1-$C$9524))</f>
        <v>0</v>
      </c>
      <c r="M9546" s="39" t="n">
        <f aca="false">MIN(M9545*Assumptions!$E$38,M9541*(1-$C$9524))</f>
        <v>0</v>
      </c>
      <c r="N9546" s="39" t="n">
        <f aca="false">MIN(N9545*Assumptions!$E$38,N9541*(1-$C$9524))</f>
        <v>0</v>
      </c>
      <c r="P9546" s="40" t="n">
        <f aca="false">SUM(C9546:F9546)</f>
        <v>0</v>
      </c>
      <c r="Q9546" s="40" t="n">
        <f aca="false">SUM(G9546:J9546)</f>
        <v>0</v>
      </c>
      <c r="R9546" s="40" t="n">
        <f aca="false">SUM(K9546:N9546)</f>
        <v>0</v>
      </c>
      <c r="S9546" s="41" t="n">
        <f aca="false">SUM(P9546:R9546)</f>
        <v>0</v>
      </c>
    </row>
    <row r="9547" customFormat="false" ht="15" hidden="false" customHeight="false" outlineLevel="0" collapsed="false">
      <c r="A9547" s="4" t="s">
        <v>495</v>
      </c>
      <c r="B9547" s="36" t="s">
        <v>491</v>
      </c>
      <c r="C9547" s="48" t="n">
        <f aca="false">C9546*Assumptions!$E$20*Assumptions!$E$39*IF(C9541&gt;0,C9542/C9541,0)*C9531</f>
        <v>0</v>
      </c>
      <c r="D9547" s="48" t="n">
        <f aca="false">D9546*Assumptions!$E$20*Assumptions!$E$39*IF(D9541&gt;0,D9542/D9541,0)*D9531</f>
        <v>0</v>
      </c>
      <c r="E9547" s="48" t="n">
        <f aca="false">E9546*Assumptions!$E$20*Assumptions!$E$39*IF(E9541&gt;0,E9542/E9541,0)*E9531</f>
        <v>0</v>
      </c>
      <c r="F9547" s="48" t="n">
        <f aca="false">F9546*Assumptions!$E$20*Assumptions!$E$39*IF(F9541&gt;0,F9542/F9541,0)*F9531</f>
        <v>0</v>
      </c>
      <c r="G9547" s="48" t="n">
        <f aca="false">G9546*Assumptions!$E$20*Assumptions!$E$39*IF(G9541&gt;0,G9542/G9541,0)*G9531</f>
        <v>0</v>
      </c>
      <c r="H9547" s="48" t="n">
        <f aca="false">H9546*Assumptions!$E$20*Assumptions!$E$39*IF(H9541&gt;0,H9542/H9541,0)*H9531</f>
        <v>0</v>
      </c>
      <c r="I9547" s="48" t="n">
        <f aca="false">I9546*Assumptions!$E$20*Assumptions!$E$39*IF(I9541&gt;0,I9542/I9541,0)*I9531</f>
        <v>0</v>
      </c>
      <c r="J9547" s="48" t="n">
        <f aca="false">J9546*Assumptions!$E$20*Assumptions!$E$39*IF(J9541&gt;0,J9542/J9541,0)*J9531</f>
        <v>0</v>
      </c>
      <c r="K9547" s="48" t="n">
        <f aca="false">K9546*Assumptions!$E$20*Assumptions!$E$39*IF(K9541&gt;0,K9542/K9541,0)*K9531</f>
        <v>0</v>
      </c>
      <c r="L9547" s="48" t="n">
        <f aca="false">L9546*Assumptions!$E$20*Assumptions!$E$39*IF(L9541&gt;0,L9542/L9541,0)*L9531</f>
        <v>0</v>
      </c>
      <c r="M9547" s="48" t="n">
        <f aca="false">M9546*Assumptions!$E$20*Assumptions!$E$39*IF(M9541&gt;0,M9542/M9541,0)*M9531</f>
        <v>0</v>
      </c>
      <c r="N9547" s="48" t="n">
        <f aca="false">N9546*Assumptions!$E$20*Assumptions!$E$39*IF(N9541&gt;0,N9542/N9541,0)*N9531</f>
        <v>0</v>
      </c>
      <c r="P9547" s="49" t="n">
        <f aca="false">SUM(C9547:F9547)</f>
        <v>0</v>
      </c>
      <c r="Q9547" s="49" t="n">
        <f aca="false">SUM(G9547:J9547)</f>
        <v>0</v>
      </c>
      <c r="R9547" s="49" t="n">
        <f aca="false">SUM(K9547:N9547)</f>
        <v>0</v>
      </c>
      <c r="S9547" s="50" t="n">
        <f aca="false">SUM(P9547:R9547)</f>
        <v>0</v>
      </c>
    </row>
    <row r="9548" customFormat="false" ht="15" hidden="false" customHeight="false" outlineLevel="0" collapsed="false">
      <c r="A9548" s="4" t="s">
        <v>496</v>
      </c>
      <c r="B9548" s="36" t="s">
        <v>497</v>
      </c>
      <c r="C9548" s="48" t="n">
        <f aca="false">IF(AND(C9541&gt;0,$C$9528&gt;0),C9541*Assumptions!$E$24*(1-EXP(-$C$9528/(Assumptions!$E$23*C9541*Assumptions!$E$24))),0)</f>
        <v>0</v>
      </c>
      <c r="D9548" s="48" t="n">
        <f aca="false">IF(AND(D9541&gt;0,$C$9528&gt;0),D9541*Assumptions!$E$24*(1-EXP(-$C$9528/(Assumptions!$E$23*D9541*Assumptions!$E$24))),0)</f>
        <v>0</v>
      </c>
      <c r="E9548" s="48" t="n">
        <f aca="false">IF(AND(E9541&gt;0,$C$9528&gt;0),E9541*Assumptions!$E$24*(1-EXP(-$C$9528/(Assumptions!$E$23*E9541*Assumptions!$E$24))),0)</f>
        <v>0</v>
      </c>
      <c r="F9548" s="48" t="n">
        <f aca="false">IF(AND(F9541&gt;0,$C$9528&gt;0),F9541*Assumptions!$E$24*(1-EXP(-$C$9528/(Assumptions!$E$23*F9541*Assumptions!$E$24))),0)</f>
        <v>0</v>
      </c>
      <c r="G9548" s="48" t="n">
        <f aca="false">IF(AND(G9541&gt;0,$C$9528&gt;0),G9541*Assumptions!$E$24*(1-EXP(-$C$9528/(Assumptions!$E$23*G9541*Assumptions!$E$24))),0)</f>
        <v>0</v>
      </c>
      <c r="H9548" s="48" t="n">
        <f aca="false">IF(AND(H9541&gt;0,$C$9528&gt;0),H9541*Assumptions!$E$24*(1-EXP(-$C$9528/(Assumptions!$E$23*H9541*Assumptions!$E$24))),0)</f>
        <v>0</v>
      </c>
      <c r="I9548" s="48" t="n">
        <f aca="false">IF(AND(I9541&gt;0,$C$9528&gt;0),I9541*Assumptions!$E$24*(1-EXP(-$C$9528/(Assumptions!$E$23*I9541*Assumptions!$E$24))),0)</f>
        <v>0</v>
      </c>
      <c r="J9548" s="48" t="n">
        <f aca="false">IF(AND(J9541&gt;0,$C$9528&gt;0),J9541*Assumptions!$E$24*(1-EXP(-$C$9528/(Assumptions!$E$23*J9541*Assumptions!$E$24))),0)</f>
        <v>0</v>
      </c>
      <c r="K9548" s="48" t="n">
        <f aca="false">IF(AND(K9541&gt;0,$C$9528&gt;0),K9541*Assumptions!$E$24*(1-EXP(-$C$9528/(Assumptions!$E$23*K9541*Assumptions!$E$24))),0)</f>
        <v>0</v>
      </c>
      <c r="L9548" s="48" t="n">
        <f aca="false">IF(AND(L9541&gt;0,$C$9528&gt;0),L9541*Assumptions!$E$24*(1-EXP(-$C$9528/(Assumptions!$E$23*L9541*Assumptions!$E$24))),0)</f>
        <v>0</v>
      </c>
      <c r="M9548" s="48" t="n">
        <f aca="false">IF(AND(M9541&gt;0,$C$9528&gt;0),M9541*Assumptions!$E$24*(1-EXP(-$C$9528/(Assumptions!$E$23*M9541*Assumptions!$E$24))),0)</f>
        <v>0</v>
      </c>
      <c r="N9548" s="48" t="n">
        <f aca="false">IF(AND(N9541&gt;0,$C$9528&gt;0),N9541*Assumptions!$E$24*(1-EXP(-$C$9528/(Assumptions!$E$23*N9541*Assumptions!$E$24))),0)</f>
        <v>0</v>
      </c>
      <c r="P9548" s="49" t="n">
        <f aca="false">SUM(C9548:F9548)</f>
        <v>0</v>
      </c>
      <c r="Q9548" s="49" t="n">
        <f aca="false">SUM(G9548:J9548)</f>
        <v>0</v>
      </c>
      <c r="R9548" s="49" t="n">
        <f aca="false">SUM(K9548:N9548)</f>
        <v>0</v>
      </c>
      <c r="S9548" s="50" t="n">
        <f aca="false">SUM(P9548:R9548)</f>
        <v>0</v>
      </c>
    </row>
    <row r="9549" customFormat="false" ht="15" hidden="false" customHeight="false" outlineLevel="0" collapsed="false">
      <c r="A9549" s="4" t="s">
        <v>498</v>
      </c>
      <c r="B9549" s="36" t="s">
        <v>497</v>
      </c>
      <c r="C9549" s="48" t="n">
        <f aca="false">(C9541*Assumptions!$E$22*MIN(1,Assumptions!$D$103/Assumptions!$E$78)+C9548)*C9531</f>
        <v>5.5188772352</v>
      </c>
      <c r="D9549" s="48" t="n">
        <f aca="false">(D9541*Assumptions!$E$22*MIN(1,Assumptions!$D$103/Assumptions!$E$78)+D9548)*D9531</f>
        <v>11.0377544704</v>
      </c>
      <c r="E9549" s="48" t="n">
        <f aca="false">(E9541*Assumptions!$E$22*MIN(1,Assumptions!$D$103/Assumptions!$E$78)+E9548)*E9531</f>
        <v>11.0377544704</v>
      </c>
      <c r="F9549" s="48" t="n">
        <f aca="false">(F9541*Assumptions!$E$22*MIN(1,Assumptions!$D$103/Assumptions!$E$78)+F9548)*F9531</f>
        <v>11.0377544704</v>
      </c>
      <c r="G9549" s="48" t="n">
        <f aca="false">(G9541*Assumptions!$E$22*MIN(1,Assumptions!$D$103/Assumptions!$E$78)+G9548)*G9531</f>
        <v>14.9349950176</v>
      </c>
      <c r="H9549" s="48" t="n">
        <f aca="false">(H9541*Assumptions!$E$22*MIN(1,Assumptions!$D$103/Assumptions!$E$78)+H9548)*H9531</f>
        <v>18.8322355648</v>
      </c>
      <c r="I9549" s="48" t="n">
        <f aca="false">(I9541*Assumptions!$E$22*MIN(1,Assumptions!$D$103/Assumptions!$E$78)+I9548)*I9531</f>
        <v>31.6761039616</v>
      </c>
      <c r="J9549" s="48" t="n">
        <f aca="false">(J9541*Assumptions!$E$22*MIN(1,Assumptions!$D$103/Assumptions!$E$78)+J9548)*J9531</f>
        <v>44.5199723584</v>
      </c>
      <c r="K9549" s="48" t="n">
        <f aca="false">(K9541*Assumptions!$E$22*MIN(1,Assumptions!$D$103/Assumptions!$E$78)+K9548)*K9531</f>
        <v>44.5199723584</v>
      </c>
      <c r="L9549" s="48" t="n">
        <f aca="false">(L9541*Assumptions!$E$22*MIN(1,Assumptions!$D$103/Assumptions!$E$78)+L9548)*L9531</f>
        <v>44.5199723584</v>
      </c>
      <c r="M9549" s="48" t="n">
        <f aca="false">(M9541*Assumptions!$E$22*MIN(1,Assumptions!$D$103/Assumptions!$E$78)+M9548)*M9531</f>
        <v>44.5199723584</v>
      </c>
      <c r="N9549" s="48" t="n">
        <f aca="false">(N9541*Assumptions!$E$22*MIN(1,Assumptions!$D$103/Assumptions!$E$78)+N9548)*N9531</f>
        <v>44.5199723584</v>
      </c>
      <c r="P9549" s="49" t="n">
        <f aca="false">SUM(C9549:F9549)</f>
        <v>38.6321406464</v>
      </c>
      <c r="Q9549" s="49" t="n">
        <f aca="false">SUM(G9549:J9549)</f>
        <v>109.9633069024</v>
      </c>
      <c r="R9549" s="49" t="n">
        <f aca="false">SUM(K9549:N9549)</f>
        <v>178.0798894336</v>
      </c>
      <c r="S9549" s="50" t="n">
        <f aca="false">SUM(P9549:R9549)</f>
        <v>326.6753369824</v>
      </c>
    </row>
    <row r="9550" customFormat="false" ht="15" hidden="false" customHeight="false" outlineLevel="0" collapsed="false">
      <c r="A9550" s="4" t="s">
        <v>499</v>
      </c>
      <c r="B9550" s="36" t="s">
        <v>500</v>
      </c>
      <c r="C9550" s="48" t="n">
        <f aca="false">C9531*MIN(Assumptions!$E$27,Assumptions!$E$25+Assumptions!$E$26*(C9530-1))*Assumptions!$D$107</f>
        <v>2</v>
      </c>
      <c r="D9550" s="48" t="n">
        <f aca="false">D9531*MIN(Assumptions!$E$27,Assumptions!$E$25+Assumptions!$E$26*(D9530-1))*Assumptions!$D$107</f>
        <v>3</v>
      </c>
      <c r="E9550" s="48" t="n">
        <f aca="false">E9531*MIN(Assumptions!$E$27,Assumptions!$E$25+Assumptions!$E$26*(E9530-1))*Assumptions!$D$107</f>
        <v>4</v>
      </c>
      <c r="F9550" s="48" t="n">
        <f aca="false">F9531*MIN(Assumptions!$E$27,Assumptions!$E$25+Assumptions!$E$26*(F9530-1))*Assumptions!$D$107</f>
        <v>5</v>
      </c>
      <c r="G9550" s="48" t="n">
        <f aca="false">G9531*MIN(Assumptions!$E$27,Assumptions!$E$25+Assumptions!$E$26*(G9530-1))*Assumptions!$D$107</f>
        <v>6</v>
      </c>
      <c r="H9550" s="48" t="n">
        <f aca="false">H9531*MIN(Assumptions!$E$27,Assumptions!$E$25+Assumptions!$E$26*(H9530-1))*Assumptions!$D$107</f>
        <v>7</v>
      </c>
      <c r="I9550" s="48" t="n">
        <f aca="false">I9531*MIN(Assumptions!$E$27,Assumptions!$E$25+Assumptions!$E$26*(I9530-1))*Assumptions!$D$107</f>
        <v>8</v>
      </c>
      <c r="J9550" s="48" t="n">
        <f aca="false">J9531*MIN(Assumptions!$E$27,Assumptions!$E$25+Assumptions!$E$26*(J9530-1))*Assumptions!$D$107</f>
        <v>9</v>
      </c>
      <c r="K9550" s="48" t="n">
        <f aca="false">K9531*MIN(Assumptions!$E$27,Assumptions!$E$25+Assumptions!$E$26*(K9530-1))*Assumptions!$D$107</f>
        <v>10</v>
      </c>
      <c r="L9550" s="48" t="n">
        <f aca="false">L9531*MIN(Assumptions!$E$27,Assumptions!$E$25+Assumptions!$E$26*(L9530-1))*Assumptions!$D$107</f>
        <v>10</v>
      </c>
      <c r="M9550" s="48" t="n">
        <f aca="false">M9531*MIN(Assumptions!$E$27,Assumptions!$E$25+Assumptions!$E$26*(M9530-1))*Assumptions!$D$107</f>
        <v>10</v>
      </c>
      <c r="N9550" s="48" t="n">
        <f aca="false">N9531*MIN(Assumptions!$E$27,Assumptions!$E$25+Assumptions!$E$26*(N9530-1))*Assumptions!$D$107</f>
        <v>10</v>
      </c>
      <c r="P9550" s="49" t="n">
        <f aca="false">F9550</f>
        <v>5</v>
      </c>
      <c r="Q9550" s="49" t="n">
        <f aca="false">J9550</f>
        <v>9</v>
      </c>
      <c r="R9550" s="49" t="n">
        <f aca="false">N9550</f>
        <v>10</v>
      </c>
      <c r="S9550" s="50" t="n">
        <f aca="false">R9550</f>
        <v>10</v>
      </c>
    </row>
    <row r="9551" customFormat="false" ht="15" hidden="false" customHeight="false" outlineLevel="0" collapsed="false">
      <c r="A9551" s="4" t="s">
        <v>501</v>
      </c>
      <c r="B9551" s="36" t="s">
        <v>502</v>
      </c>
      <c r="C9551" s="48" t="n">
        <f aca="false">C9550*Assumptions!$E$28</f>
        <v>6</v>
      </c>
      <c r="D9551" s="48" t="n">
        <f aca="false">D9550*Assumptions!$E$28</f>
        <v>9</v>
      </c>
      <c r="E9551" s="48" t="n">
        <f aca="false">E9550*Assumptions!$E$28</f>
        <v>12</v>
      </c>
      <c r="F9551" s="48" t="n">
        <f aca="false">F9550*Assumptions!$E$28</f>
        <v>15</v>
      </c>
      <c r="G9551" s="48" t="n">
        <f aca="false">G9550*Assumptions!$E$28</f>
        <v>18</v>
      </c>
      <c r="H9551" s="48" t="n">
        <f aca="false">H9550*Assumptions!$E$28</f>
        <v>21</v>
      </c>
      <c r="I9551" s="48" t="n">
        <f aca="false">I9550*Assumptions!$E$28</f>
        <v>24</v>
      </c>
      <c r="J9551" s="48" t="n">
        <f aca="false">J9550*Assumptions!$E$28</f>
        <v>27</v>
      </c>
      <c r="K9551" s="48" t="n">
        <f aca="false">K9550*Assumptions!$E$28</f>
        <v>30</v>
      </c>
      <c r="L9551" s="48" t="n">
        <f aca="false">L9550*Assumptions!$E$28</f>
        <v>30</v>
      </c>
      <c r="M9551" s="48" t="n">
        <f aca="false">M9550*Assumptions!$E$28</f>
        <v>30</v>
      </c>
      <c r="N9551" s="48" t="n">
        <f aca="false">N9550*Assumptions!$E$28</f>
        <v>30</v>
      </c>
      <c r="P9551" s="49" t="n">
        <f aca="false">SUM(C9551:F9551)</f>
        <v>42</v>
      </c>
      <c r="Q9551" s="49" t="n">
        <f aca="false">SUM(G9551:J9551)</f>
        <v>90</v>
      </c>
      <c r="R9551" s="49" t="n">
        <f aca="false">SUM(K9551:N9551)</f>
        <v>120</v>
      </c>
      <c r="S9551" s="50" t="n">
        <f aca="false">SUM(P9551:R9551)</f>
        <v>252</v>
      </c>
    </row>
    <row r="9552" customFormat="false" ht="15" hidden="false" customHeight="false" outlineLevel="0" collapsed="false">
      <c r="A9552" s="4" t="s">
        <v>503</v>
      </c>
      <c r="B9552" s="36" t="s">
        <v>504</v>
      </c>
      <c r="C9552" s="48" t="n">
        <f aca="false">(C9543+C9547)*Assumptions!$E$29</f>
        <v>2.649061072896</v>
      </c>
      <c r="D9552" s="48" t="n">
        <f aca="false">(D9543+D9547)*Assumptions!$E$29</f>
        <v>4.93045821299048</v>
      </c>
      <c r="E9552" s="48" t="n">
        <f aca="false">(E9543+E9547)*Assumptions!$E$29</f>
        <v>4.58830837060879</v>
      </c>
      <c r="F9552" s="48" t="n">
        <f aca="false">(F9543+F9547)*Assumptions!$E$29</f>
        <v>4.26990206474738</v>
      </c>
      <c r="G9552" s="48" t="n">
        <f aca="false">(G9543+G9547)*Assumptions!$E$29</f>
        <v>5.844267072</v>
      </c>
      <c r="H9552" s="48" t="n">
        <f aca="false">(H9543+H9547)*Assumptions!$E$29</f>
        <v>7.17956301044434</v>
      </c>
      <c r="I9552" s="48" t="n">
        <f aca="false">(I9543+I9547)*Assumptions!$E$29</f>
        <v>12.8463930542132</v>
      </c>
      <c r="J9552" s="48" t="n">
        <f aca="false">(J9543+J9547)*Assumptions!$E$29</f>
        <v>17.6921476412567</v>
      </c>
      <c r="K9552" s="48" t="n">
        <f aca="false">(K9543+K9547)*Assumptions!$E$29</f>
        <v>16.4643985629052</v>
      </c>
      <c r="L9552" s="48" t="n">
        <f aca="false">(L9543+L9547)*Assumptions!$E$29</f>
        <v>15.3218493048332</v>
      </c>
      <c r="M9552" s="48" t="n">
        <f aca="false">(M9543+M9547)*Assumptions!$E$29</f>
        <v>14.2585874135079</v>
      </c>
      <c r="N9552" s="48" t="n">
        <f aca="false">(N9543+N9547)*Assumptions!$E$29</f>
        <v>13.2691107309425</v>
      </c>
      <c r="P9552" s="49" t="n">
        <f aca="false">SUM(C9552:F9552)</f>
        <v>16.4377297212427</v>
      </c>
      <c r="Q9552" s="49" t="n">
        <f aca="false">SUM(G9552:J9552)</f>
        <v>43.5623707779142</v>
      </c>
      <c r="R9552" s="49" t="n">
        <f aca="false">SUM(K9552:N9552)</f>
        <v>59.3139460121888</v>
      </c>
      <c r="S9552" s="50" t="n">
        <f aca="false">SUM(P9552:R9552)</f>
        <v>119.314046511346</v>
      </c>
    </row>
    <row r="9553" customFormat="false" ht="15" hidden="false" customHeight="false" outlineLevel="0" collapsed="false">
      <c r="A9553" s="4" t="s">
        <v>505</v>
      </c>
      <c r="B9553" s="36" t="s">
        <v>504</v>
      </c>
      <c r="C9553" s="48" t="n">
        <f aca="false">C9549*Assumptions!$E$31</f>
        <v>0.883020357632</v>
      </c>
      <c r="D9553" s="48" t="n">
        <f aca="false">D9549*Assumptions!$E$31</f>
        <v>1.766040715264</v>
      </c>
      <c r="E9553" s="48" t="n">
        <f aca="false">E9549*Assumptions!$E$31</f>
        <v>1.766040715264</v>
      </c>
      <c r="F9553" s="48" t="n">
        <f aca="false">F9549*Assumptions!$E$31</f>
        <v>1.766040715264</v>
      </c>
      <c r="G9553" s="48" t="n">
        <f aca="false">G9549*Assumptions!$E$31</f>
        <v>2.389599202816</v>
      </c>
      <c r="H9553" s="48" t="n">
        <f aca="false">H9549*Assumptions!$E$31</f>
        <v>3.013157690368</v>
      </c>
      <c r="I9553" s="48" t="n">
        <f aca="false">I9549*Assumptions!$E$31</f>
        <v>5.068176633856</v>
      </c>
      <c r="J9553" s="48" t="n">
        <f aca="false">J9549*Assumptions!$E$31</f>
        <v>7.123195577344</v>
      </c>
      <c r="K9553" s="48" t="n">
        <f aca="false">K9549*Assumptions!$E$31</f>
        <v>7.123195577344</v>
      </c>
      <c r="L9553" s="48" t="n">
        <f aca="false">L9549*Assumptions!$E$31</f>
        <v>7.123195577344</v>
      </c>
      <c r="M9553" s="48" t="n">
        <f aca="false">M9549*Assumptions!$E$31</f>
        <v>7.123195577344</v>
      </c>
      <c r="N9553" s="48" t="n">
        <f aca="false">N9549*Assumptions!$E$31</f>
        <v>7.123195577344</v>
      </c>
      <c r="P9553" s="49" t="n">
        <f aca="false">SUM(C9553:F9553)</f>
        <v>6.181142503424</v>
      </c>
      <c r="Q9553" s="49" t="n">
        <f aca="false">SUM(G9553:J9553)</f>
        <v>17.594129104384</v>
      </c>
      <c r="R9553" s="49" t="n">
        <f aca="false">SUM(K9553:N9553)</f>
        <v>28.492782309376</v>
      </c>
      <c r="S9553" s="50" t="n">
        <f aca="false">SUM(P9553:R9553)</f>
        <v>52.268053917184</v>
      </c>
    </row>
    <row r="9554" customFormat="false" ht="15" hidden="false" customHeight="false" outlineLevel="0" collapsed="false">
      <c r="A9554" s="4" t="s">
        <v>506</v>
      </c>
      <c r="B9554" s="36" t="s">
        <v>504</v>
      </c>
      <c r="C9554" s="48" t="n">
        <f aca="false">C9551*Assumptions!$E$30</f>
        <v>3</v>
      </c>
      <c r="D9554" s="48" t="n">
        <f aca="false">D9551*Assumptions!$E$30</f>
        <v>4.5</v>
      </c>
      <c r="E9554" s="48" t="n">
        <f aca="false">E9551*Assumptions!$E$30</f>
        <v>6</v>
      </c>
      <c r="F9554" s="48" t="n">
        <f aca="false">F9551*Assumptions!$E$30</f>
        <v>7.5</v>
      </c>
      <c r="G9554" s="48" t="n">
        <f aca="false">G9551*Assumptions!$E$30</f>
        <v>9</v>
      </c>
      <c r="H9554" s="48" t="n">
        <f aca="false">H9551*Assumptions!$E$30</f>
        <v>10.5</v>
      </c>
      <c r="I9554" s="48" t="n">
        <f aca="false">I9551*Assumptions!$E$30</f>
        <v>12</v>
      </c>
      <c r="J9554" s="48" t="n">
        <f aca="false">J9551*Assumptions!$E$30</f>
        <v>13.5</v>
      </c>
      <c r="K9554" s="48" t="n">
        <f aca="false">K9551*Assumptions!$E$30</f>
        <v>15</v>
      </c>
      <c r="L9554" s="48" t="n">
        <f aca="false">L9551*Assumptions!$E$30</f>
        <v>15</v>
      </c>
      <c r="M9554" s="48" t="n">
        <f aca="false">M9551*Assumptions!$E$30</f>
        <v>15</v>
      </c>
      <c r="N9554" s="48" t="n">
        <f aca="false">N9551*Assumptions!$E$30</f>
        <v>15</v>
      </c>
      <c r="P9554" s="49" t="n">
        <f aca="false">SUM(C9554:F9554)</f>
        <v>21</v>
      </c>
      <c r="Q9554" s="49" t="n">
        <f aca="false">SUM(G9554:J9554)</f>
        <v>45</v>
      </c>
      <c r="R9554" s="49" t="n">
        <f aca="false">SUM(K9554:N9554)</f>
        <v>60</v>
      </c>
      <c r="S9554" s="50" t="n">
        <f aca="false">SUM(P9554:R9554)</f>
        <v>126</v>
      </c>
    </row>
    <row r="9555" customFormat="false" ht="15" hidden="false" customHeight="false" outlineLevel="0" collapsed="false">
      <c r="A9555" s="9" t="s">
        <v>507</v>
      </c>
      <c r="B9555" s="36" t="s">
        <v>504</v>
      </c>
      <c r="C9555" s="49" t="n">
        <f aca="false">C9552+C9553+C9554</f>
        <v>6.532081430528</v>
      </c>
      <c r="D9555" s="49" t="n">
        <f aca="false">D9552+D9553+D9554</f>
        <v>11.1964989282545</v>
      </c>
      <c r="E9555" s="49" t="n">
        <f aca="false">E9552+E9553+E9554</f>
        <v>12.3543490858728</v>
      </c>
      <c r="F9555" s="49" t="n">
        <f aca="false">F9552+F9553+F9554</f>
        <v>13.5359427800114</v>
      </c>
      <c r="G9555" s="49" t="n">
        <f aca="false">G9552+G9553+G9554</f>
        <v>17.233866274816</v>
      </c>
      <c r="H9555" s="49" t="n">
        <f aca="false">H9552+H9553+H9554</f>
        <v>20.6927207008123</v>
      </c>
      <c r="I9555" s="49" t="n">
        <f aca="false">I9552+I9553+I9554</f>
        <v>29.9145696880692</v>
      </c>
      <c r="J9555" s="49" t="n">
        <f aca="false">J9552+J9553+J9554</f>
        <v>38.3153432186007</v>
      </c>
      <c r="K9555" s="49" t="n">
        <f aca="false">K9552+K9553+K9554</f>
        <v>38.5875941402492</v>
      </c>
      <c r="L9555" s="49" t="n">
        <f aca="false">L9552+L9553+L9554</f>
        <v>37.4450448821772</v>
      </c>
      <c r="M9555" s="49" t="n">
        <f aca="false">M9552+M9553+M9554</f>
        <v>36.3817829908519</v>
      </c>
      <c r="N9555" s="49" t="n">
        <f aca="false">N9552+N9553+N9554</f>
        <v>35.3923063082865</v>
      </c>
      <c r="P9555" s="49" t="n">
        <f aca="false">SUM(C9555:F9555)</f>
        <v>43.6188722246667</v>
      </c>
      <c r="Q9555" s="49" t="n">
        <f aca="false">SUM(G9555:J9555)</f>
        <v>106.156499882298</v>
      </c>
      <c r="R9555" s="49" t="n">
        <f aca="false">SUM(K9555:N9555)</f>
        <v>147.806728321565</v>
      </c>
      <c r="S9555" s="50" t="n">
        <f aca="false">SUM(P9555:R9555)</f>
        <v>297.58210042853</v>
      </c>
    </row>
    <row r="9556" customFormat="false" ht="15" hidden="false" customHeight="false" outlineLevel="0" collapsed="false">
      <c r="A9556" s="4" t="s">
        <v>508</v>
      </c>
      <c r="B9556" s="36" t="s">
        <v>509</v>
      </c>
      <c r="C9556" s="48" t="n">
        <f aca="false">C9538</f>
        <v>421.51972352</v>
      </c>
      <c r="D9556" s="48" t="n">
        <f aca="false">D9538</f>
        <v>843.03944704</v>
      </c>
      <c r="E9556" s="48" t="n">
        <f aca="false">E9538</f>
        <v>843.03944704</v>
      </c>
      <c r="F9556" s="48" t="n">
        <f aca="false">F9538</f>
        <v>843.03944704</v>
      </c>
      <c r="G9556" s="48" t="n">
        <f aca="false">G9538</f>
        <v>1149.32798176</v>
      </c>
      <c r="H9556" s="48" t="n">
        <f aca="false">H9538</f>
        <v>1455.61651648</v>
      </c>
      <c r="I9556" s="48" t="n">
        <f aca="false">I9538</f>
        <v>2486.00303616</v>
      </c>
      <c r="J9556" s="48" t="n">
        <f aca="false">J9538</f>
        <v>3516.38955584</v>
      </c>
      <c r="K9556" s="48" t="n">
        <f aca="false">K9538</f>
        <v>3516.38955584</v>
      </c>
      <c r="L9556" s="48" t="n">
        <f aca="false">L9538</f>
        <v>3516.38955584</v>
      </c>
      <c r="M9556" s="48" t="n">
        <f aca="false">M9538</f>
        <v>3516.38955584</v>
      </c>
      <c r="N9556" s="48" t="n">
        <f aca="false">N9538</f>
        <v>3516.38955584</v>
      </c>
      <c r="P9556" s="49"/>
      <c r="Q9556" s="49"/>
      <c r="R9556" s="49"/>
      <c r="S9556" s="50"/>
    </row>
    <row r="9557" customFormat="false" ht="15" hidden="false" customHeight="false" outlineLevel="0" collapsed="false">
      <c r="A9557" s="4" t="s">
        <v>510</v>
      </c>
      <c r="B9557" s="36" t="s">
        <v>509</v>
      </c>
      <c r="C9557" s="48" t="n">
        <f aca="false">C9539*Assumptions!$E$18*Assumptions!$E$33</f>
        <v>211.19616</v>
      </c>
      <c r="D9557" s="48" t="n">
        <f aca="false">D9539*Assumptions!$E$18*Assumptions!$E$33</f>
        <v>422.39232</v>
      </c>
      <c r="E9557" s="48" t="n">
        <f aca="false">E9539*Assumptions!$E$18*Assumptions!$E$33</f>
        <v>422.39232</v>
      </c>
      <c r="F9557" s="48" t="n">
        <f aca="false">F9539*Assumptions!$E$18*Assumptions!$E$33</f>
        <v>422.39232</v>
      </c>
      <c r="G9557" s="48" t="n">
        <f aca="false">G9539*Assumptions!$E$18*Assumptions!$E$33</f>
        <v>564.49344</v>
      </c>
      <c r="H9557" s="48" t="n">
        <f aca="false">H9539*Assumptions!$E$18*Assumptions!$E$33</f>
        <v>706.59456</v>
      </c>
      <c r="I9557" s="48" t="n">
        <f aca="false">I9539*Assumptions!$E$18*Assumptions!$E$33</f>
        <v>1135.07072</v>
      </c>
      <c r="J9557" s="48" t="n">
        <f aca="false">J9539*Assumptions!$E$18*Assumptions!$E$33</f>
        <v>1563.54688</v>
      </c>
      <c r="K9557" s="48" t="n">
        <f aca="false">K9539*Assumptions!$E$18*Assumptions!$E$33</f>
        <v>1563.54688</v>
      </c>
      <c r="L9557" s="48" t="n">
        <f aca="false">L9539*Assumptions!$E$18*Assumptions!$E$33</f>
        <v>1563.54688</v>
      </c>
      <c r="M9557" s="48" t="n">
        <f aca="false">M9539*Assumptions!$E$18*Assumptions!$E$33</f>
        <v>1563.54688</v>
      </c>
      <c r="N9557" s="48" t="n">
        <f aca="false">N9539*Assumptions!$E$18*Assumptions!$E$33</f>
        <v>1563.54688</v>
      </c>
      <c r="P9557" s="49"/>
      <c r="Q9557" s="49"/>
      <c r="R9557" s="49"/>
      <c r="S9557" s="50"/>
    </row>
    <row r="9558" customFormat="false" ht="15" hidden="false" customHeight="false" outlineLevel="0" collapsed="false">
      <c r="A9558" s="4" t="s">
        <v>511</v>
      </c>
      <c r="B9558" s="36" t="s">
        <v>509</v>
      </c>
      <c r="C9558" s="48" t="n">
        <f aca="false">C9540*Assumptions!$E$19*Assumptions!$E$34</f>
        <v>34.677888</v>
      </c>
      <c r="D9558" s="48" t="n">
        <f aca="false">D9540*Assumptions!$E$19*Assumptions!$E$34</f>
        <v>69.355776</v>
      </c>
      <c r="E9558" s="48" t="n">
        <f aca="false">E9540*Assumptions!$E$19*Assumptions!$E$34</f>
        <v>69.355776</v>
      </c>
      <c r="F9558" s="48" t="n">
        <f aca="false">F9540*Assumptions!$E$19*Assumptions!$E$34</f>
        <v>69.355776</v>
      </c>
      <c r="G9558" s="48" t="n">
        <f aca="false">G9540*Assumptions!$E$19*Assumptions!$E$34</f>
        <v>86.69472</v>
      </c>
      <c r="H9558" s="48" t="n">
        <f aca="false">H9540*Assumptions!$E$19*Assumptions!$E$34</f>
        <v>104.033664</v>
      </c>
      <c r="I9558" s="48" t="n">
        <f aca="false">I9540*Assumptions!$E$19*Assumptions!$E$34</f>
        <v>159.7008</v>
      </c>
      <c r="J9558" s="48" t="n">
        <f aca="false">J9540*Assumptions!$E$19*Assumptions!$E$34</f>
        <v>215.367936</v>
      </c>
      <c r="K9558" s="48" t="n">
        <f aca="false">K9540*Assumptions!$E$19*Assumptions!$E$34</f>
        <v>215.367936</v>
      </c>
      <c r="L9558" s="48" t="n">
        <f aca="false">L9540*Assumptions!$E$19*Assumptions!$E$34</f>
        <v>215.367936</v>
      </c>
      <c r="M9558" s="48" t="n">
        <f aca="false">M9540*Assumptions!$E$19*Assumptions!$E$34</f>
        <v>215.367936</v>
      </c>
      <c r="N9558" s="48" t="n">
        <f aca="false">N9540*Assumptions!$E$19*Assumptions!$E$34</f>
        <v>215.367936</v>
      </c>
      <c r="P9558" s="49"/>
      <c r="Q9558" s="49"/>
      <c r="R9558" s="49"/>
      <c r="S9558" s="50"/>
    </row>
    <row r="9559" customFormat="false" ht="15" hidden="false" customHeight="false" outlineLevel="0" collapsed="false">
      <c r="A9559" s="4" t="s">
        <v>512</v>
      </c>
      <c r="B9559" s="36" t="s">
        <v>77</v>
      </c>
      <c r="C9559" s="51" t="n">
        <f aca="false">IFERROR(C9556/(C9556+C9557+C9558),0)</f>
        <v>0.631590736245533</v>
      </c>
      <c r="D9559" s="51" t="n">
        <f aca="false">IFERROR(D9556/(D9556+D9557+D9558),0)</f>
        <v>0.631590736245533</v>
      </c>
      <c r="E9559" s="51" t="n">
        <f aca="false">IFERROR(E9556/(E9556+E9557+E9558),0)</f>
        <v>0.631590736245533</v>
      </c>
      <c r="F9559" s="51" t="n">
        <f aca="false">IFERROR(F9556/(F9556+F9557+F9558),0)</f>
        <v>0.631590736245533</v>
      </c>
      <c r="G9559" s="51" t="n">
        <f aca="false">IFERROR(G9556/(G9556+G9557+G9558),0)</f>
        <v>0.638332506498128</v>
      </c>
      <c r="H9559" s="51" t="n">
        <f aca="false">IFERROR(H9556/(H9556+H9557+H9558),0)</f>
        <v>0.642303318118984</v>
      </c>
      <c r="I9559" s="51" t="n">
        <f aca="false">IFERROR(I9556/(I9556+I9557+I9558),0)</f>
        <v>0.657538025405288</v>
      </c>
      <c r="J9559" s="51" t="n">
        <f aca="false">IFERROR(J9556/(J9556+J9557+J9558),0)</f>
        <v>0.664058061428891</v>
      </c>
      <c r="K9559" s="51" t="n">
        <f aca="false">IFERROR(K9556/(K9556+K9557+K9558),0)</f>
        <v>0.664058061428891</v>
      </c>
      <c r="L9559" s="51" t="n">
        <f aca="false">IFERROR(L9556/(L9556+L9557+L9558),0)</f>
        <v>0.664058061428891</v>
      </c>
      <c r="M9559" s="51" t="n">
        <f aca="false">IFERROR(M9556/(M9556+M9557+M9558),0)</f>
        <v>0.664058061428891</v>
      </c>
      <c r="N9559" s="51" t="n">
        <f aca="false">IFERROR(N9556/(N9556+N9557+N9558),0)</f>
        <v>0.664058061428891</v>
      </c>
      <c r="P9559" s="52"/>
      <c r="Q9559" s="52"/>
      <c r="R9559" s="52"/>
      <c r="S9559" s="53"/>
    </row>
    <row r="9560" customFormat="false" ht="15" hidden="false" customHeight="false" outlineLevel="0" collapsed="false">
      <c r="A9560" s="4" t="s">
        <v>513</v>
      </c>
      <c r="B9560" s="36" t="s">
        <v>77</v>
      </c>
      <c r="C9560" s="51" t="n">
        <f aca="false">IFERROR(C9557/(C9556+C9557+C9558),0)</f>
        <v>0.316449102482628</v>
      </c>
      <c r="D9560" s="51" t="n">
        <f aca="false">IFERROR(D9557/(D9556+D9557+D9558),0)</f>
        <v>0.316449102482628</v>
      </c>
      <c r="E9560" s="51" t="n">
        <f aca="false">IFERROR(E9557/(E9556+E9557+E9558),0)</f>
        <v>0.316449102482628</v>
      </c>
      <c r="F9560" s="51" t="n">
        <f aca="false">IFERROR(F9557/(F9556+F9557+F9558),0)</f>
        <v>0.316449102482628</v>
      </c>
      <c r="G9560" s="51" t="n">
        <f aca="false">IFERROR(G9557/(G9556+G9557+G9558),0)</f>
        <v>0.313517566939561</v>
      </c>
      <c r="H9560" s="51" t="n">
        <f aca="false">IFERROR(H9557/(H9556+H9557+H9558),0)</f>
        <v>0.311790932099567</v>
      </c>
      <c r="I9560" s="51" t="n">
        <f aca="false">IFERROR(I9557/(I9556+I9557+I9558),0)</f>
        <v>0.300221741111391</v>
      </c>
      <c r="J9560" s="51" t="n">
        <f aca="false">IFERROR(J9557/(J9556+J9557+J9558),0)</f>
        <v>0.295270445324128</v>
      </c>
      <c r="K9560" s="51" t="n">
        <f aca="false">IFERROR(K9557/(K9556+K9557+K9558),0)</f>
        <v>0.295270445324128</v>
      </c>
      <c r="L9560" s="51" t="n">
        <f aca="false">IFERROR(L9557/(L9556+L9557+L9558),0)</f>
        <v>0.295270445324128</v>
      </c>
      <c r="M9560" s="51" t="n">
        <f aca="false">IFERROR(M9557/(M9556+M9557+M9558),0)</f>
        <v>0.295270445324128</v>
      </c>
      <c r="N9560" s="51" t="n">
        <f aca="false">IFERROR(N9557/(N9556+N9557+N9558),0)</f>
        <v>0.295270445324128</v>
      </c>
      <c r="P9560" s="52"/>
      <c r="Q9560" s="52"/>
      <c r="R9560" s="52"/>
      <c r="S9560" s="53"/>
    </row>
    <row r="9561" customFormat="false" ht="15" hidden="false" customHeight="false" outlineLevel="0" collapsed="false">
      <c r="A9561" s="4" t="s">
        <v>514</v>
      </c>
      <c r="B9561" s="36" t="s">
        <v>77</v>
      </c>
      <c r="C9561" s="51" t="n">
        <f aca="false">IFERROR(C9558/(C9556+C9557+C9558),0)</f>
        <v>0.0519601612718389</v>
      </c>
      <c r="D9561" s="51" t="n">
        <f aca="false">IFERROR(D9558/(D9556+D9557+D9558),0)</f>
        <v>0.0519601612718389</v>
      </c>
      <c r="E9561" s="51" t="n">
        <f aca="false">IFERROR(E9558/(E9556+E9557+E9558),0)</f>
        <v>0.0519601612718389</v>
      </c>
      <c r="F9561" s="51" t="n">
        <f aca="false">IFERROR(F9558/(F9556+F9557+F9558),0)</f>
        <v>0.0519601612718389</v>
      </c>
      <c r="G9561" s="51" t="n">
        <f aca="false">IFERROR(G9558/(G9556+G9557+G9558),0)</f>
        <v>0.0481499265623113</v>
      </c>
      <c r="H9561" s="51" t="n">
        <f aca="false">IFERROR(H9558/(H9556+H9557+H9558),0)</f>
        <v>0.0459057497814491</v>
      </c>
      <c r="I9561" s="51" t="n">
        <f aca="false">IFERROR(I9558/(I9556+I9557+I9558),0)</f>
        <v>0.0422402334833216</v>
      </c>
      <c r="J9561" s="51" t="n">
        <f aca="false">IFERROR(J9558/(J9556+J9557+J9558),0)</f>
        <v>0.0406714932469811</v>
      </c>
      <c r="K9561" s="51" t="n">
        <f aca="false">IFERROR(K9558/(K9556+K9557+K9558),0)</f>
        <v>0.0406714932469811</v>
      </c>
      <c r="L9561" s="51" t="n">
        <f aca="false">IFERROR(L9558/(L9556+L9557+L9558),0)</f>
        <v>0.0406714932469811</v>
      </c>
      <c r="M9561" s="51" t="n">
        <f aca="false">IFERROR(M9558/(M9556+M9557+M9558),0)</f>
        <v>0.0406714932469811</v>
      </c>
      <c r="N9561" s="51" t="n">
        <f aca="false">IFERROR(N9558/(N9556+N9557+N9558),0)</f>
        <v>0.0406714932469811</v>
      </c>
      <c r="P9561" s="52"/>
      <c r="Q9561" s="52"/>
      <c r="R9561" s="52"/>
      <c r="S9561" s="53"/>
    </row>
    <row r="9562" customFormat="false" ht="15" hidden="false" customHeight="false" outlineLevel="0" collapsed="false">
      <c r="A9562" s="4" t="s">
        <v>515</v>
      </c>
      <c r="B9562" s="36" t="s">
        <v>516</v>
      </c>
      <c r="C9562" s="48" t="n">
        <f aca="false">IF(C9530-Assumptions!$E$35&lt;1,0,INDEX($C$9555:$N$9555,1,C9530-Assumptions!$E$35)*INDEX($C$9559:$N$9559,1,C9530-Assumptions!$E$35)*0.3)</f>
        <v>0</v>
      </c>
      <c r="D9562" s="48" t="n">
        <f aca="false">IF(D9530-Assumptions!$E$35&lt;1,0,INDEX($C$9555:$N$9555,1,D9530-Assumptions!$E$35)*INDEX($C$9559:$N$9559,1,D9530-Assumptions!$E$35)*0.3)</f>
        <v>1.23768063597689</v>
      </c>
      <c r="E9562" s="48" t="n">
        <f aca="false">IF(E9530-Assumptions!$E$35&lt;1,0,INDEX($C$9555:$N$9555,1,E9530-Assumptions!$E$35)*INDEX($C$9559:$N$9559,1,E9530-Assumptions!$E$35)*0.3)</f>
        <v>2.12148150044057</v>
      </c>
      <c r="F9562" s="48" t="n">
        <f aca="false">IF(F9530-Assumptions!$E$35&lt;1,0,INDEX($C$9555:$N$9555,1,F9530-Assumptions!$E$35)*INDEX($C$9559:$N$9559,1,F9530-Assumptions!$E$35)*0.3)</f>
        <v>2.34086773049422</v>
      </c>
      <c r="G9562" s="48" t="n">
        <f aca="false">IF(G9530-Assumptions!$E$35&lt;1,0,INDEX($C$9555:$N$9555,1,G9530-Assumptions!$E$35)*INDEX($C$9559:$N$9559,1,G9530-Assumptions!$E$35)*0.3)</f>
        <v>2.56475281986144</v>
      </c>
      <c r="H9562" s="48" t="n">
        <f aca="false">IF(H9530-Assumptions!$E$35&lt;1,0,INDEX($C$9555:$N$9555,1,H9530-Assumptions!$E$35)*INDEX($C$9559:$N$9559,1,H9530-Assumptions!$E$35)*0.3)</f>
        <v>3.30028111675706</v>
      </c>
      <c r="I9562" s="48" t="n">
        <f aca="false">IF(I9530-Assumptions!$E$35&lt;1,0,INDEX($C$9555:$N$9555,1,I9530-Assumptions!$E$35)*INDEX($C$9559:$N$9559,1,I9530-Assumptions!$E$35)*0.3)</f>
        <v>3.98730095011235</v>
      </c>
      <c r="J9562" s="48" t="n">
        <f aca="false">IF(J9530-Assumptions!$E$35&lt;1,0,INDEX($C$9555:$N$9555,1,J9530-Assumptions!$E$35)*INDEX($C$9559:$N$9559,1,J9530-Assumptions!$E$35)*0.3)</f>
        <v>5.90099012506257</v>
      </c>
      <c r="K9562" s="48" t="n">
        <f aca="false">IF(K9530-Assumptions!$E$35&lt;1,0,INDEX($C$9555:$N$9555,1,K9530-Assumptions!$E$35)*INDEX($C$9559:$N$9559,1,K9530-Assumptions!$E$35)*0.3)</f>
        <v>7.63308376221796</v>
      </c>
      <c r="L9562" s="48" t="n">
        <f aca="false">IF(L9530-Assumptions!$E$35&lt;1,0,INDEX($C$9555:$N$9555,1,L9530-Assumptions!$E$35)*INDEX($C$9559:$N$9559,1,L9530-Assumptions!$E$35)*0.3)</f>
        <v>7.68732088799361</v>
      </c>
      <c r="M9562" s="48" t="n">
        <f aca="false">IF(M9530-Assumptions!$E$35&lt;1,0,INDEX($C$9555:$N$9555,1,M9530-Assumptions!$E$35)*INDEX($C$9559:$N$9559,1,M9530-Assumptions!$E$35)*0.3)</f>
        <v>7.45970517437292</v>
      </c>
      <c r="N9562" s="48" t="n">
        <f aca="false">IF(N9530-Assumptions!$E$35&lt;1,0,INDEX($C$9555:$N$9555,1,N9530-Assumptions!$E$35)*INDEX($C$9559:$N$9559,1,N9530-Assumptions!$E$35)*0.3)</f>
        <v>7.24788488526951</v>
      </c>
      <c r="P9562" s="49" t="n">
        <f aca="false">SUM(C9562:F9562)</f>
        <v>5.70002986691168</v>
      </c>
      <c r="Q9562" s="49" t="n">
        <f aca="false">SUM(G9562:J9562)</f>
        <v>15.7533250117934</v>
      </c>
      <c r="R9562" s="49" t="n">
        <f aca="false">SUM(K9562:N9562)</f>
        <v>30.027994709854</v>
      </c>
      <c r="S9562" s="50" t="n">
        <f aca="false">SUM(P9562:R9562)</f>
        <v>51.4813495885591</v>
      </c>
    </row>
    <row r="9563" customFormat="false" ht="15" hidden="false" customHeight="false" outlineLevel="0" collapsed="false">
      <c r="A9563" s="4" t="s">
        <v>517</v>
      </c>
      <c r="B9563" s="36" t="s">
        <v>516</v>
      </c>
      <c r="C9563" s="48" t="n">
        <f aca="false">IF(C9530-Assumptions!$E$35&lt;1,0,INDEX($C$9555:$N$9555,1,C9530-Assumptions!$E$35)*INDEX($C$9560:$N$9560,1,C9530-Assumptions!$E$35)*0.3)</f>
        <v>0</v>
      </c>
      <c r="D9563" s="48" t="n">
        <f aca="false">IF(D9530-Assumptions!$E$35&lt;1,0,INDEX($C$9555:$N$9555,1,D9530-Assumptions!$E$35)*INDEX($C$9560:$N$9560,1,D9530-Assumptions!$E$35)*0.3)</f>
        <v>0.620121391810208</v>
      </c>
      <c r="E9563" s="48" t="n">
        <f aca="false">IF(E9530-Assumptions!$E$35&lt;1,0,INDEX($C$9555:$N$9555,1,E9530-Assumptions!$E$35)*INDEX($C$9560:$N$9560,1,E9530-Assumptions!$E$35)*0.3)</f>
        <v>1.06293661103815</v>
      </c>
      <c r="F9563" s="48" t="n">
        <f aca="false">IF(F9530-Assumptions!$E$35&lt;1,0,INDEX($C$9555:$N$9555,1,F9530-Assumptions!$E$35)*INDEX($C$9560:$N$9560,1,F9530-Assumptions!$E$35)*0.3)</f>
        <v>1.17285680399446</v>
      </c>
      <c r="G9563" s="48" t="n">
        <f aca="false">IF(G9530-Assumptions!$E$35&lt;1,0,INDEX($C$9555:$N$9555,1,G9530-Assumptions!$E$35)*INDEX($C$9560:$N$9560,1,G9530-Assumptions!$E$35)*0.3)</f>
        <v>1.28503108319724</v>
      </c>
      <c r="H9563" s="48" t="n">
        <f aca="false">IF(H9530-Assumptions!$E$35&lt;1,0,INDEX($C$9555:$N$9555,1,H9530-Assumptions!$E$35)*INDEX($C$9560:$N$9560,1,H9530-Assumptions!$E$35)*0.3)</f>
        <v>1.62093594703262</v>
      </c>
      <c r="I9563" s="48" t="n">
        <f aca="false">IF(I9530-Assumptions!$E$35&lt;1,0,INDEX($C$9555:$N$9555,1,I9530-Assumptions!$E$35)*INDEX($C$9560:$N$9560,1,I9530-Assumptions!$E$35)*0.3)</f>
        <v>1.93554080249468</v>
      </c>
      <c r="J9563" s="48" t="n">
        <f aca="false">IF(J9530-Assumptions!$E$35&lt;1,0,INDEX($C$9555:$N$9555,1,J9530-Assumptions!$E$35)*INDEX($C$9560:$N$9560,1,J9530-Assumptions!$E$35)*0.3)</f>
        <v>2.69430125890505</v>
      </c>
      <c r="K9563" s="48" t="n">
        <f aca="false">IF(K9530-Assumptions!$E$35&lt;1,0,INDEX($C$9555:$N$9555,1,K9530-Assumptions!$E$35)*INDEX($C$9560:$N$9560,1,K9530-Assumptions!$E$35)*0.3)</f>
        <v>3.39401653647091</v>
      </c>
      <c r="L9563" s="48" t="n">
        <f aca="false">IF(L9530-Assumptions!$E$35&lt;1,0,INDEX($C$9555:$N$9555,1,L9530-Assumptions!$E$35)*INDEX($C$9560:$N$9560,1,L9530-Assumptions!$E$35)*0.3)</f>
        <v>3.41813283173343</v>
      </c>
      <c r="M9563" s="48" t="n">
        <f aca="false">IF(M9530-Assumptions!$E$35&lt;1,0,INDEX($C$9555:$N$9555,1,M9530-Assumptions!$E$35)*INDEX($C$9560:$N$9560,1,M9530-Assumptions!$E$35)*0.3)</f>
        <v>3.31692452326273</v>
      </c>
      <c r="N9563" s="48" t="n">
        <f aca="false">IF(N9530-Assumptions!$E$35&lt;1,0,INDEX($C$9555:$N$9555,1,N9530-Assumptions!$E$35)*INDEX($C$9560:$N$9560,1,N9530-Assumptions!$E$35)*0.3)</f>
        <v>3.22273957961839</v>
      </c>
      <c r="P9563" s="49" t="n">
        <f aca="false">SUM(C9563:F9563)</f>
        <v>2.85591480684281</v>
      </c>
      <c r="Q9563" s="49" t="n">
        <f aca="false">SUM(G9563:J9563)</f>
        <v>7.53580909162959</v>
      </c>
      <c r="R9563" s="49" t="n">
        <f aca="false">SUM(K9563:N9563)</f>
        <v>13.3518134710855</v>
      </c>
      <c r="S9563" s="50" t="n">
        <f aca="false">SUM(P9563:R9563)</f>
        <v>23.7435373695579</v>
      </c>
    </row>
    <row r="9564" customFormat="false" ht="15" hidden="false" customHeight="false" outlineLevel="0" collapsed="false">
      <c r="A9564" s="4" t="s">
        <v>518</v>
      </c>
      <c r="B9564" s="36" t="s">
        <v>516</v>
      </c>
      <c r="C9564" s="48" t="n">
        <f aca="false">IF(C9530-Assumptions!$E$36&lt;1,0,INDEX($C$9555:$N$9555,1,C9530-Assumptions!$E$36)*INDEX($C$9561:$N$9561,1,C9530-Assumptions!$E$36)*0.3)</f>
        <v>0</v>
      </c>
      <c r="D9564" s="48" t="n">
        <f aca="false">IF(D9530-Assumptions!$E$36&lt;1,0,INDEX($C$9555:$N$9555,1,D9530-Assumptions!$E$36)*INDEX($C$9561:$N$9561,1,D9530-Assumptions!$E$36)*0.3)</f>
        <v>0</v>
      </c>
      <c r="E9564" s="48" t="n">
        <f aca="false">IF(E9530-Assumptions!$E$36&lt;1,0,INDEX($C$9555:$N$9555,1,E9530-Assumptions!$E$36)*INDEX($C$9561:$N$9561,1,E9530-Assumptions!$E$36)*0.3)</f>
        <v>0.101822401371306</v>
      </c>
      <c r="F9564" s="48" t="n">
        <f aca="false">IF(F9530-Assumptions!$E$36&lt;1,0,INDEX($C$9555:$N$9555,1,F9530-Assumptions!$E$36)*INDEX($C$9561:$N$9561,1,F9530-Assumptions!$E$36)*0.3)</f>
        <v>0.174531566997622</v>
      </c>
      <c r="G9564" s="48" t="n">
        <f aca="false">IF(G9530-Assumptions!$E$36&lt;1,0,INDEX($C$9555:$N$9555,1,G9530-Assumptions!$E$36)*INDEX($C$9561:$N$9561,1,G9530-Assumptions!$E$36)*0.3)</f>
        <v>0.192580191273164</v>
      </c>
      <c r="H9564" s="48" t="n">
        <f aca="false">IF(H9530-Assumptions!$E$36&lt;1,0,INDEX($C$9555:$N$9555,1,H9530-Assumptions!$E$36)*INDEX($C$9561:$N$9561,1,H9530-Assumptions!$E$36)*0.3)</f>
        <v>0.210998930944732</v>
      </c>
      <c r="I9564" s="48" t="n">
        <f aca="false">IF(I9530-Assumptions!$E$36&lt;1,0,INDEX($C$9555:$N$9555,1,I9530-Assumptions!$E$36)*INDEX($C$9561:$N$9561,1,I9530-Assumptions!$E$36)*0.3)</f>
        <v>0.248942818655125</v>
      </c>
      <c r="J9564" s="48" t="n">
        <f aca="false">IF(J9530-Assumptions!$E$36&lt;1,0,INDEX($C$9555:$N$9555,1,J9530-Assumptions!$E$36)*INDEX($C$9561:$N$9561,1,J9530-Assumptions!$E$36)*0.3)</f>
        <v>0.284974457636671</v>
      </c>
      <c r="K9564" s="48" t="n">
        <f aca="false">IF(K9530-Assumptions!$E$36&lt;1,0,INDEX($C$9555:$N$9555,1,K9530-Assumptions!$E$36)*INDEX($C$9561:$N$9561,1,K9530-Assumptions!$E$36)*0.3)</f>
        <v>0.379079522453141</v>
      </c>
      <c r="L9564" s="48" t="n">
        <f aca="false">IF(L9530-Assumptions!$E$36&lt;1,0,INDEX($C$9555:$N$9555,1,L9530-Assumptions!$E$36)*INDEX($C$9561:$N$9561,1,L9530-Assumptions!$E$36)*0.3)</f>
        <v>0.467502666891324</v>
      </c>
      <c r="M9564" s="48" t="n">
        <f aca="false">IF(M9530-Assumptions!$E$36&lt;1,0,INDEX($C$9555:$N$9555,1,M9530-Assumptions!$E$36)*INDEX($C$9561:$N$9561,1,M9530-Assumptions!$E$36)*0.3)</f>
        <v>0.470824522347718</v>
      </c>
      <c r="N9564" s="48" t="n">
        <f aca="false">IF(N9530-Assumptions!$E$36&lt;1,0,INDEX($C$9555:$N$9555,1,N9530-Assumptions!$E$36)*INDEX($C$9561:$N$9561,1,N9530-Assumptions!$E$36)*0.3)</f>
        <v>0.456883767017512</v>
      </c>
      <c r="P9564" s="49" t="n">
        <f aca="false">SUM(C9564:F9564)</f>
        <v>0.276353968368928</v>
      </c>
      <c r="Q9564" s="49" t="n">
        <f aca="false">SUM(G9564:J9564)</f>
        <v>0.937496398509692</v>
      </c>
      <c r="R9564" s="49" t="n">
        <f aca="false">SUM(K9564:N9564)</f>
        <v>1.7742904787097</v>
      </c>
      <c r="S9564" s="50" t="n">
        <f aca="false">SUM(P9564:R9564)</f>
        <v>2.98814084558832</v>
      </c>
    </row>
    <row r="9565" customFormat="false" ht="15" hidden="false" customHeight="false" outlineLevel="0" collapsed="false">
      <c r="A9565" s="4" t="s">
        <v>519</v>
      </c>
      <c r="B9565" s="36" t="s">
        <v>77</v>
      </c>
      <c r="C9565" s="51" t="n">
        <f aca="false">IF(C9530-Assumptions!$E$35&lt;1,0,IFERROR(INDEX($C$9554:$N$9554,1,C9530-Assumptions!$E$35)/INDEX($C$9555:$N$9555,1,C9530-Assumptions!$E$35),0))</f>
        <v>0</v>
      </c>
      <c r="D9565" s="51" t="n">
        <f aca="false">IF(D9530-Assumptions!$E$35&lt;1,0,IFERROR(INDEX($C$9554:$N$9554,1,D9530-Assumptions!$E$35)/INDEX($C$9555:$N$9555,1,D9530-Assumptions!$E$35),0))</f>
        <v>0.459271678087073</v>
      </c>
      <c r="E9565" s="51" t="n">
        <f aca="false">IF(E9530-Assumptions!$E$35&lt;1,0,IFERROR(INDEX($C$9554:$N$9554,1,E9530-Assumptions!$E$35)/INDEX($C$9555:$N$9555,1,E9530-Assumptions!$E$35),0))</f>
        <v>0.401911350042128</v>
      </c>
      <c r="F9565" s="51" t="n">
        <f aca="false">IF(F9530-Assumptions!$E$35&lt;1,0,IFERROR(INDEX($C$9554:$N$9554,1,F9530-Assumptions!$E$35)/INDEX($C$9555:$N$9555,1,F9530-Assumptions!$E$35),0))</f>
        <v>0.485658933408398</v>
      </c>
      <c r="G9565" s="51" t="n">
        <f aca="false">IF(G9530-Assumptions!$E$35&lt;1,0,IFERROR(INDEX($C$9554:$N$9554,1,G9530-Assumptions!$E$35)/INDEX($C$9555:$N$9555,1,G9530-Assumptions!$E$35),0))</f>
        <v>0.554080356417826</v>
      </c>
      <c r="H9565" s="51" t="n">
        <f aca="false">IF(H9530-Assumptions!$E$35&lt;1,0,IFERROR(INDEX($C$9554:$N$9554,1,H9530-Assumptions!$E$35)/INDEX($C$9555:$N$9555,1,H9530-Assumptions!$E$35),0))</f>
        <v>0.522227563825987</v>
      </c>
      <c r="I9565" s="51" t="n">
        <f aca="false">IF(I9530-Assumptions!$E$35&lt;1,0,IFERROR(INDEX($C$9554:$N$9554,1,I9530-Assumptions!$E$35)/INDEX($C$9555:$N$9555,1,I9530-Assumptions!$E$35),0))</f>
        <v>0.507424816282752</v>
      </c>
      <c r="J9565" s="51" t="n">
        <f aca="false">IF(J9530-Assumptions!$E$35&lt;1,0,IFERROR(INDEX($C$9554:$N$9554,1,J9530-Assumptions!$E$35)/INDEX($C$9555:$N$9555,1,J9530-Assumptions!$E$35),0))</f>
        <v>0.401142323795015</v>
      </c>
      <c r="K9565" s="51" t="n">
        <f aca="false">IF(K9530-Assumptions!$E$35&lt;1,0,IFERROR(INDEX($C$9554:$N$9554,1,K9530-Assumptions!$E$35)/INDEX($C$9555:$N$9555,1,K9530-Assumptions!$E$35),0))</f>
        <v>0.352339268448632</v>
      </c>
      <c r="L9565" s="51" t="n">
        <f aca="false">IF(L9530-Assumptions!$E$35&lt;1,0,IFERROR(INDEX($C$9554:$N$9554,1,L9530-Assumptions!$E$35)/INDEX($C$9555:$N$9555,1,L9530-Assumptions!$E$35),0))</f>
        <v>0.388725970981282</v>
      </c>
      <c r="M9565" s="51" t="n">
        <f aca="false">IF(M9530-Assumptions!$E$35&lt;1,0,IFERROR(INDEX($C$9554:$N$9554,1,M9530-Assumptions!$E$35)/INDEX($C$9555:$N$9555,1,M9530-Assumptions!$E$35),0))</f>
        <v>0.400587048224893</v>
      </c>
      <c r="N9565" s="51" t="n">
        <f aca="false">IF(N9530-Assumptions!$E$35&lt;1,0,IFERROR(INDEX($C$9554:$N$9554,1,N9530-Assumptions!$E$35)/INDEX($C$9555:$N$9555,1,N9530-Assumptions!$E$35),0))</f>
        <v>0.412294251872474</v>
      </c>
      <c r="P9565" s="52"/>
      <c r="Q9565" s="52"/>
      <c r="R9565" s="52"/>
      <c r="S9565" s="53"/>
    </row>
    <row r="9566" customFormat="false" ht="15" hidden="false" customHeight="false" outlineLevel="0" collapsed="false">
      <c r="A9566" s="4" t="s">
        <v>520</v>
      </c>
      <c r="B9566" s="36" t="s">
        <v>516</v>
      </c>
      <c r="C9566" s="48" t="n">
        <f aca="false">C9562*Assumptions!$E$37</f>
        <v>0</v>
      </c>
      <c r="D9566" s="48" t="n">
        <f aca="false">D9562*Assumptions!$E$37</f>
        <v>0.371304190793066</v>
      </c>
      <c r="E9566" s="48" t="n">
        <f aca="false">E9562*Assumptions!$E$37</f>
        <v>0.636444450132171</v>
      </c>
      <c r="F9566" s="48" t="n">
        <f aca="false">F9562*Assumptions!$E$37</f>
        <v>0.702260319148266</v>
      </c>
      <c r="G9566" s="48" t="n">
        <f aca="false">G9562*Assumptions!$E$37</f>
        <v>0.769425845958432</v>
      </c>
      <c r="H9566" s="48" t="n">
        <f aca="false">H9562*Assumptions!$E$37</f>
        <v>0.990084335027117</v>
      </c>
      <c r="I9566" s="48" t="n">
        <f aca="false">I9562*Assumptions!$E$37</f>
        <v>1.1961902850337</v>
      </c>
      <c r="J9566" s="48" t="n">
        <f aca="false">J9562*Assumptions!$E$37</f>
        <v>1.77029703751877</v>
      </c>
      <c r="K9566" s="48" t="n">
        <f aca="false">K9562*Assumptions!$E$37</f>
        <v>2.28992512866539</v>
      </c>
      <c r="L9566" s="48" t="n">
        <f aca="false">L9562*Assumptions!$E$37</f>
        <v>2.30619626639808</v>
      </c>
      <c r="M9566" s="48" t="n">
        <f aca="false">M9562*Assumptions!$E$37</f>
        <v>2.23791155231188</v>
      </c>
      <c r="N9566" s="48" t="n">
        <f aca="false">N9562*Assumptions!$E$37</f>
        <v>2.17436546558085</v>
      </c>
      <c r="P9566" s="49" t="n">
        <f aca="false">SUM(C9566:F9566)</f>
        <v>1.7100089600735</v>
      </c>
      <c r="Q9566" s="49" t="n">
        <f aca="false">SUM(G9566:J9566)</f>
        <v>4.72599750353802</v>
      </c>
      <c r="R9566" s="49" t="n">
        <f aca="false">SUM(K9566:N9566)</f>
        <v>9.0083984129562</v>
      </c>
      <c r="S9566" s="50" t="n">
        <f aca="false">SUM(P9566:R9566)</f>
        <v>15.4444048765677</v>
      </c>
    </row>
    <row r="9567" customFormat="false" ht="15" hidden="false" customHeight="false" outlineLevel="0" collapsed="false">
      <c r="A9567" s="4" t="s">
        <v>521</v>
      </c>
      <c r="B9567" s="36" t="s">
        <v>516</v>
      </c>
      <c r="C9567" s="48" t="n">
        <f aca="false">C9562*(1-Assumptions!$E$37)</f>
        <v>0</v>
      </c>
      <c r="D9567" s="48" t="n">
        <f aca="false">D9562*(1-Assumptions!$E$37)</f>
        <v>0.866376445183821</v>
      </c>
      <c r="E9567" s="48" t="n">
        <f aca="false">E9562*(1-Assumptions!$E$37)</f>
        <v>1.4850370503084</v>
      </c>
      <c r="F9567" s="48" t="n">
        <f aca="false">F9562*(1-Assumptions!$E$37)</f>
        <v>1.63860741134595</v>
      </c>
      <c r="G9567" s="48" t="n">
        <f aca="false">G9562*(1-Assumptions!$E$37)</f>
        <v>1.79532697390301</v>
      </c>
      <c r="H9567" s="48" t="n">
        <f aca="false">H9562*(1-Assumptions!$E$37)</f>
        <v>2.31019678172994</v>
      </c>
      <c r="I9567" s="48" t="n">
        <f aca="false">I9562*(1-Assumptions!$E$37)</f>
        <v>2.79111066507864</v>
      </c>
      <c r="J9567" s="48" t="n">
        <f aca="false">J9562*(1-Assumptions!$E$37)</f>
        <v>4.1306930875438</v>
      </c>
      <c r="K9567" s="48" t="n">
        <f aca="false">K9562*(1-Assumptions!$E$37)</f>
        <v>5.34315863355258</v>
      </c>
      <c r="L9567" s="48" t="n">
        <f aca="false">L9562*(1-Assumptions!$E$37)</f>
        <v>5.38112462159553</v>
      </c>
      <c r="M9567" s="48" t="n">
        <f aca="false">M9562*(1-Assumptions!$E$37)</f>
        <v>5.22179362206104</v>
      </c>
      <c r="N9567" s="48" t="n">
        <f aca="false">N9562*(1-Assumptions!$E$37)</f>
        <v>5.07351941968866</v>
      </c>
      <c r="P9567" s="49" t="n">
        <f aca="false">SUM(C9567:F9567)</f>
        <v>3.99002090683817</v>
      </c>
      <c r="Q9567" s="49" t="n">
        <f aca="false">SUM(G9567:J9567)</f>
        <v>11.0273275082554</v>
      </c>
      <c r="R9567" s="49" t="n">
        <f aca="false">SUM(K9567:N9567)</f>
        <v>21.0195962968978</v>
      </c>
      <c r="S9567" s="50" t="n">
        <f aca="false">SUM(P9567:R9567)</f>
        <v>36.0369447119914</v>
      </c>
    </row>
    <row r="9568" customFormat="false" ht="15" hidden="false" customHeight="false" outlineLevel="0" collapsed="false">
      <c r="A9568" s="4" t="s">
        <v>522</v>
      </c>
      <c r="B9568" s="36" t="s">
        <v>125</v>
      </c>
      <c r="C9568" s="54" t="n">
        <f aca="false">C9567*$C$9521+C9563*$C$9522+C9564*$C$9523</f>
        <v>0</v>
      </c>
      <c r="D9568" s="54" t="n">
        <f aca="false">D9567*$C$9521+D9563*$C$9522+D9564*$C$9523</f>
        <v>13721.6748541176</v>
      </c>
      <c r="E9568" s="54" t="n">
        <f aca="false">E9567*$C$9521+E9563*$C$9522+E9564*$C$9523</f>
        <v>32955.6404863638</v>
      </c>
      <c r="F9568" s="54" t="n">
        <f aca="false">F9567*$C$9521+F9563*$C$9522+F9564*$C$9523</f>
        <v>42125.6568956371</v>
      </c>
      <c r="G9568" s="54" t="n">
        <f aca="false">G9567*$C$9521+G9563*$C$9522+G9564*$C$9523</f>
        <v>46280.3009827238</v>
      </c>
      <c r="H9568" s="54" t="n">
        <f aca="false">H9567*$C$9521+H9563*$C$9522+H9564*$C$9523</f>
        <v>55663.7338146675</v>
      </c>
      <c r="I9568" s="54" t="n">
        <f aca="false">I9567*$C$9521+I9563*$C$9522+I9564*$C$9523</f>
        <v>66362.7321054179</v>
      </c>
      <c r="J9568" s="54" t="n">
        <f aca="false">J9567*$C$9521+J9563*$C$9522+J9564*$C$9523</f>
        <v>87987.0365017502</v>
      </c>
      <c r="K9568" s="54" t="n">
        <f aca="false">K9567*$C$9521+K9563*$C$9522+K9564*$C$9523</f>
        <v>113447.507241354</v>
      </c>
      <c r="L9568" s="54" t="n">
        <f aca="false">L9567*$C$9521+L9563*$C$9522+L9564*$C$9523</f>
        <v>122197.948378163</v>
      </c>
      <c r="M9568" s="54" t="n">
        <f aca="false">M9567*$C$9521+M9563*$C$9522+M9564*$C$9523</f>
        <v>120170.326689611</v>
      </c>
      <c r="N9568" s="54" t="n">
        <f aca="false">N9567*$C$9521+N9563*$C$9522+N9564*$C$9523</f>
        <v>116705.092849116</v>
      </c>
      <c r="P9568" s="55" t="n">
        <f aca="false">SUM(C9568:F9568)</f>
        <v>88802.9722361185</v>
      </c>
      <c r="Q9568" s="55" t="n">
        <f aca="false">SUM(G9568:J9568)</f>
        <v>256293.803404559</v>
      </c>
      <c r="R9568" s="55" t="n">
        <f aca="false">SUM(K9568:N9568)</f>
        <v>472520.875158244</v>
      </c>
      <c r="S9568" s="56" t="n">
        <f aca="false">SUM(P9568:R9568)</f>
        <v>817617.650798922</v>
      </c>
    </row>
    <row r="9569" customFormat="false" ht="15" hidden="false" customHeight="false" outlineLevel="0" collapsed="false">
      <c r="A9569" s="4" t="s">
        <v>523</v>
      </c>
      <c r="B9569" s="36" t="s">
        <v>125</v>
      </c>
      <c r="C9569" s="54" t="n">
        <f aca="false">(C9545+Assumptions!$D$104*C9531)*$C$9526</f>
        <v>306250</v>
      </c>
      <c r="D9569" s="54" t="n">
        <f aca="false">(D9545+Assumptions!$D$104*D9531)*$C$9526</f>
        <v>306250</v>
      </c>
      <c r="E9569" s="54" t="n">
        <f aca="false">(E9545+Assumptions!$D$104*E9531)*$C$9526</f>
        <v>306250</v>
      </c>
      <c r="F9569" s="54" t="n">
        <f aca="false">(F9545+Assumptions!$D$104*F9531)*$C$9526</f>
        <v>306250</v>
      </c>
      <c r="G9569" s="54" t="n">
        <f aca="false">(G9545+Assumptions!$D$104*G9531)*$C$9526</f>
        <v>306250</v>
      </c>
      <c r="H9569" s="54" t="n">
        <f aca="false">(H9545+Assumptions!$D$104*H9531)*$C$9526</f>
        <v>306250</v>
      </c>
      <c r="I9569" s="54" t="n">
        <f aca="false">(I9545+Assumptions!$D$104*I9531)*$C$9526</f>
        <v>306250</v>
      </c>
      <c r="J9569" s="54" t="n">
        <f aca="false">(J9545+Assumptions!$D$104*J9531)*$C$9526</f>
        <v>306250</v>
      </c>
      <c r="K9569" s="54" t="n">
        <f aca="false">(K9545+Assumptions!$D$104*K9531)*$C$9526</f>
        <v>306250</v>
      </c>
      <c r="L9569" s="54" t="n">
        <f aca="false">(L9545+Assumptions!$D$104*L9531)*$C$9526</f>
        <v>306250</v>
      </c>
      <c r="M9569" s="54" t="n">
        <f aca="false">(M9545+Assumptions!$D$104*M9531)*$C$9526</f>
        <v>306250</v>
      </c>
      <c r="N9569" s="54" t="n">
        <f aca="false">(N9545+Assumptions!$D$104*N9531)*$C$9526</f>
        <v>306250</v>
      </c>
      <c r="P9569" s="55" t="n">
        <f aca="false">SUM(C9569:F9569)</f>
        <v>1225000</v>
      </c>
      <c r="Q9569" s="55" t="n">
        <f aca="false">SUM(G9569:J9569)</f>
        <v>1225000</v>
      </c>
      <c r="R9569" s="55" t="n">
        <f aca="false">SUM(K9569:N9569)</f>
        <v>1225000</v>
      </c>
      <c r="S9569" s="56" t="n">
        <f aca="false">SUM(P9569:R9569)</f>
        <v>3675000</v>
      </c>
    </row>
    <row r="9570" customFormat="false" ht="15" hidden="false" customHeight="false" outlineLevel="0" collapsed="false">
      <c r="A9570" s="4" t="s">
        <v>524</v>
      </c>
      <c r="B9570" s="36" t="s">
        <v>77</v>
      </c>
      <c r="C9570" s="51" t="n">
        <f aca="false">IF(C9568&gt;0,MIN(1,C9569/C9568),1)</f>
        <v>1</v>
      </c>
      <c r="D9570" s="51" t="n">
        <f aca="false">IF(D9568&gt;0,MIN(1,D9569/D9568),1)</f>
        <v>1</v>
      </c>
      <c r="E9570" s="51" t="n">
        <f aca="false">IF(E9568&gt;0,MIN(1,E9569/E9568),1)</f>
        <v>1</v>
      </c>
      <c r="F9570" s="51" t="n">
        <f aca="false">IF(F9568&gt;0,MIN(1,F9569/F9568),1)</f>
        <v>1</v>
      </c>
      <c r="G9570" s="51" t="n">
        <f aca="false">IF(G9568&gt;0,MIN(1,G9569/G9568),1)</f>
        <v>1</v>
      </c>
      <c r="H9570" s="51" t="n">
        <f aca="false">IF(H9568&gt;0,MIN(1,H9569/H9568),1)</f>
        <v>1</v>
      </c>
      <c r="I9570" s="51" t="n">
        <f aca="false">IF(I9568&gt;0,MIN(1,I9569/I9568),1)</f>
        <v>1</v>
      </c>
      <c r="J9570" s="51" t="n">
        <f aca="false">IF(J9568&gt;0,MIN(1,J9569/J9568),1)</f>
        <v>1</v>
      </c>
      <c r="K9570" s="51" t="n">
        <f aca="false">IF(K9568&gt;0,MIN(1,K9569/K9568),1)</f>
        <v>1</v>
      </c>
      <c r="L9570" s="51" t="n">
        <f aca="false">IF(L9568&gt;0,MIN(1,L9569/L9568),1)</f>
        <v>1</v>
      </c>
      <c r="M9570" s="51" t="n">
        <f aca="false">IF(M9568&gt;0,MIN(1,M9569/M9568),1)</f>
        <v>1</v>
      </c>
      <c r="N9570" s="51" t="n">
        <f aca="false">IF(N9568&gt;0,MIN(1,N9569/N9568),1)</f>
        <v>1</v>
      </c>
      <c r="P9570" s="52"/>
      <c r="Q9570" s="52"/>
      <c r="R9570" s="52"/>
      <c r="S9570" s="53"/>
    </row>
    <row r="9571" customFormat="false" ht="15" hidden="false" customHeight="false" outlineLevel="0" collapsed="false">
      <c r="A9571" s="4" t="s">
        <v>525</v>
      </c>
      <c r="B9571" s="36" t="s">
        <v>125</v>
      </c>
      <c r="C9571" s="54" t="n">
        <f aca="false">C9568*(1-C9570)</f>
        <v>0</v>
      </c>
      <c r="D9571" s="54" t="n">
        <f aca="false">D9568*(1-D9570)</f>
        <v>0</v>
      </c>
      <c r="E9571" s="54" t="n">
        <f aca="false">E9568*(1-E9570)</f>
        <v>0</v>
      </c>
      <c r="F9571" s="54" t="n">
        <f aca="false">F9568*(1-F9570)</f>
        <v>0</v>
      </c>
      <c r="G9571" s="54" t="n">
        <f aca="false">G9568*(1-G9570)</f>
        <v>0</v>
      </c>
      <c r="H9571" s="54" t="n">
        <f aca="false">H9568*(1-H9570)</f>
        <v>0</v>
      </c>
      <c r="I9571" s="54" t="n">
        <f aca="false">I9568*(1-I9570)</f>
        <v>0</v>
      </c>
      <c r="J9571" s="54" t="n">
        <f aca="false">J9568*(1-J9570)</f>
        <v>0</v>
      </c>
      <c r="K9571" s="54" t="n">
        <f aca="false">K9568*(1-K9570)</f>
        <v>0</v>
      </c>
      <c r="L9571" s="54" t="n">
        <f aca="false">L9568*(1-L9570)</f>
        <v>0</v>
      </c>
      <c r="M9571" s="54" t="n">
        <f aca="false">M9568*(1-M9570)</f>
        <v>0</v>
      </c>
      <c r="N9571" s="54" t="n">
        <f aca="false">N9568*(1-N9570)</f>
        <v>0</v>
      </c>
      <c r="P9571" s="55" t="n">
        <f aca="false">SUM(C9571:F9571)</f>
        <v>0</v>
      </c>
      <c r="Q9571" s="55" t="n">
        <f aca="false">SUM(G9571:J9571)</f>
        <v>0</v>
      </c>
      <c r="R9571" s="55" t="n">
        <f aca="false">SUM(K9571:N9571)</f>
        <v>0</v>
      </c>
      <c r="S9571" s="56" t="n">
        <f aca="false">SUM(P9571:R9571)</f>
        <v>0</v>
      </c>
    </row>
    <row r="9572" customFormat="false" ht="15" hidden="false" customHeight="false" outlineLevel="0" collapsed="false">
      <c r="A9572" s="4" t="s">
        <v>526</v>
      </c>
      <c r="B9572" s="36" t="s">
        <v>527</v>
      </c>
      <c r="C9572" s="48" t="n">
        <f aca="false">C9566+C9567*C9570</f>
        <v>0</v>
      </c>
      <c r="D9572" s="48" t="n">
        <f aca="false">D9566+D9567*D9570</f>
        <v>1.23768063597689</v>
      </c>
      <c r="E9572" s="48" t="n">
        <f aca="false">E9566+E9567*E9570</f>
        <v>2.12148150044057</v>
      </c>
      <c r="F9572" s="48" t="n">
        <f aca="false">F9566+F9567*F9570</f>
        <v>2.34086773049422</v>
      </c>
      <c r="G9572" s="48" t="n">
        <f aca="false">G9566+G9567*G9570</f>
        <v>2.56475281986144</v>
      </c>
      <c r="H9572" s="48" t="n">
        <f aca="false">H9566+H9567*H9570</f>
        <v>3.30028111675706</v>
      </c>
      <c r="I9572" s="48" t="n">
        <f aca="false">I9566+I9567*I9570</f>
        <v>3.98730095011235</v>
      </c>
      <c r="J9572" s="48" t="n">
        <f aca="false">J9566+J9567*J9570</f>
        <v>5.90099012506257</v>
      </c>
      <c r="K9572" s="48" t="n">
        <f aca="false">K9566+K9567*K9570</f>
        <v>7.63308376221796</v>
      </c>
      <c r="L9572" s="48" t="n">
        <f aca="false">L9566+L9567*L9570</f>
        <v>7.68732088799361</v>
      </c>
      <c r="M9572" s="48" t="n">
        <f aca="false">M9566+M9567*M9570</f>
        <v>7.45970517437292</v>
      </c>
      <c r="N9572" s="48" t="n">
        <f aca="false">N9566+N9567*N9570</f>
        <v>7.24788488526951</v>
      </c>
      <c r="P9572" s="49" t="n">
        <f aca="false">SUM(C9572:F9572)</f>
        <v>5.70002986691168</v>
      </c>
      <c r="Q9572" s="49" t="n">
        <f aca="false">SUM(G9572:J9572)</f>
        <v>15.7533250117934</v>
      </c>
      <c r="R9572" s="49" t="n">
        <f aca="false">SUM(K9572:N9572)</f>
        <v>30.027994709854</v>
      </c>
      <c r="S9572" s="50" t="n">
        <f aca="false">SUM(P9572:R9572)</f>
        <v>51.4813495885591</v>
      </c>
    </row>
    <row r="9573" customFormat="false" ht="15" hidden="false" customHeight="false" outlineLevel="0" collapsed="false">
      <c r="A9573" s="4" t="s">
        <v>528</v>
      </c>
      <c r="B9573" s="36" t="s">
        <v>527</v>
      </c>
      <c r="C9573" s="48" t="n">
        <f aca="false">C9563*C9570</f>
        <v>0</v>
      </c>
      <c r="D9573" s="48" t="n">
        <f aca="false">D9563*D9570</f>
        <v>0.620121391810208</v>
      </c>
      <c r="E9573" s="48" t="n">
        <f aca="false">E9563*E9570</f>
        <v>1.06293661103815</v>
      </c>
      <c r="F9573" s="48" t="n">
        <f aca="false">F9563*F9570</f>
        <v>1.17285680399446</v>
      </c>
      <c r="G9573" s="48" t="n">
        <f aca="false">G9563*G9570</f>
        <v>1.28503108319724</v>
      </c>
      <c r="H9573" s="48" t="n">
        <f aca="false">H9563*H9570</f>
        <v>1.62093594703262</v>
      </c>
      <c r="I9573" s="48" t="n">
        <f aca="false">I9563*I9570</f>
        <v>1.93554080249468</v>
      </c>
      <c r="J9573" s="48" t="n">
        <f aca="false">J9563*J9570</f>
        <v>2.69430125890505</v>
      </c>
      <c r="K9573" s="48" t="n">
        <f aca="false">K9563*K9570</f>
        <v>3.39401653647091</v>
      </c>
      <c r="L9573" s="48" t="n">
        <f aca="false">L9563*L9570</f>
        <v>3.41813283173343</v>
      </c>
      <c r="M9573" s="48" t="n">
        <f aca="false">M9563*M9570</f>
        <v>3.31692452326273</v>
      </c>
      <c r="N9573" s="48" t="n">
        <f aca="false">N9563*N9570</f>
        <v>3.22273957961839</v>
      </c>
      <c r="P9573" s="49" t="n">
        <f aca="false">SUM(C9573:F9573)</f>
        <v>2.85591480684281</v>
      </c>
      <c r="Q9573" s="49" t="n">
        <f aca="false">SUM(G9573:J9573)</f>
        <v>7.53580909162959</v>
      </c>
      <c r="R9573" s="49" t="n">
        <f aca="false">SUM(K9573:N9573)</f>
        <v>13.3518134710855</v>
      </c>
      <c r="S9573" s="50" t="n">
        <f aca="false">SUM(P9573:R9573)</f>
        <v>23.7435373695579</v>
      </c>
    </row>
    <row r="9574" customFormat="false" ht="15" hidden="false" customHeight="false" outlineLevel="0" collapsed="false">
      <c r="A9574" s="4" t="s">
        <v>529</v>
      </c>
      <c r="B9574" s="36" t="s">
        <v>527</v>
      </c>
      <c r="C9574" s="48" t="n">
        <f aca="false">C9564*C9570</f>
        <v>0</v>
      </c>
      <c r="D9574" s="48" t="n">
        <f aca="false">D9564*D9570</f>
        <v>0</v>
      </c>
      <c r="E9574" s="48" t="n">
        <f aca="false">E9564*E9570</f>
        <v>0.101822401371306</v>
      </c>
      <c r="F9574" s="48" t="n">
        <f aca="false">F9564*F9570</f>
        <v>0.174531566997622</v>
      </c>
      <c r="G9574" s="48" t="n">
        <f aca="false">G9564*G9570</f>
        <v>0.192580191273164</v>
      </c>
      <c r="H9574" s="48" t="n">
        <f aca="false">H9564*H9570</f>
        <v>0.210998930944732</v>
      </c>
      <c r="I9574" s="48" t="n">
        <f aca="false">I9564*I9570</f>
        <v>0.248942818655125</v>
      </c>
      <c r="J9574" s="48" t="n">
        <f aca="false">J9564*J9570</f>
        <v>0.284974457636671</v>
      </c>
      <c r="K9574" s="48" t="n">
        <f aca="false">K9564*K9570</f>
        <v>0.379079522453141</v>
      </c>
      <c r="L9574" s="48" t="n">
        <f aca="false">L9564*L9570</f>
        <v>0.467502666891324</v>
      </c>
      <c r="M9574" s="48" t="n">
        <f aca="false">M9564*M9570</f>
        <v>0.470824522347718</v>
      </c>
      <c r="N9574" s="48" t="n">
        <f aca="false">N9564*N9570</f>
        <v>0.456883767017512</v>
      </c>
      <c r="P9574" s="49" t="n">
        <f aca="false">SUM(C9574:F9574)</f>
        <v>0.276353968368928</v>
      </c>
      <c r="Q9574" s="49" t="n">
        <f aca="false">SUM(G9574:J9574)</f>
        <v>0.937496398509692</v>
      </c>
      <c r="R9574" s="49" t="n">
        <f aca="false">SUM(K9574:N9574)</f>
        <v>1.7742904787097</v>
      </c>
      <c r="S9574" s="50" t="n">
        <f aca="false">SUM(P9574:R9574)</f>
        <v>2.98814084558832</v>
      </c>
    </row>
    <row r="9575" customFormat="false" ht="15" hidden="false" customHeight="false" outlineLevel="0" collapsed="false">
      <c r="A9575" s="9" t="s">
        <v>530</v>
      </c>
      <c r="B9575" s="36" t="s">
        <v>527</v>
      </c>
      <c r="C9575" s="49" t="n">
        <f aca="false">C9572+C9573+C9574</f>
        <v>0</v>
      </c>
      <c r="D9575" s="49" t="n">
        <f aca="false">D9572+D9573+D9574</f>
        <v>1.85780202778709</v>
      </c>
      <c r="E9575" s="49" t="n">
        <f aca="false">E9572+E9573+E9574</f>
        <v>3.28624051285003</v>
      </c>
      <c r="F9575" s="49" t="n">
        <f aca="false">F9572+F9573+F9574</f>
        <v>3.6882561014863</v>
      </c>
      <c r="G9575" s="49" t="n">
        <f aca="false">G9572+G9573+G9574</f>
        <v>4.04236409433185</v>
      </c>
      <c r="H9575" s="49" t="n">
        <f aca="false">H9572+H9573+H9574</f>
        <v>5.13221599473441</v>
      </c>
      <c r="I9575" s="49" t="n">
        <f aca="false">I9572+I9573+I9574</f>
        <v>6.17178457126216</v>
      </c>
      <c r="J9575" s="49" t="n">
        <f aca="false">J9572+J9573+J9574</f>
        <v>8.88026584160429</v>
      </c>
      <c r="K9575" s="49" t="n">
        <f aca="false">K9572+K9573+K9574</f>
        <v>11.406179821142</v>
      </c>
      <c r="L9575" s="49" t="n">
        <f aca="false">L9572+L9573+L9574</f>
        <v>11.5729563866184</v>
      </c>
      <c r="M9575" s="49" t="n">
        <f aca="false">M9572+M9573+M9574</f>
        <v>11.2474542199834</v>
      </c>
      <c r="N9575" s="49" t="n">
        <f aca="false">N9572+N9573+N9574</f>
        <v>10.9275082319054</v>
      </c>
      <c r="P9575" s="49" t="n">
        <f aca="false">SUM(C9575:F9575)</f>
        <v>8.83229864212342</v>
      </c>
      <c r="Q9575" s="49" t="n">
        <f aca="false">SUM(G9575:J9575)</f>
        <v>24.2266305019327</v>
      </c>
      <c r="R9575" s="49" t="n">
        <f aca="false">SUM(K9575:N9575)</f>
        <v>45.1540986596492</v>
      </c>
      <c r="S9575" s="50" t="n">
        <f aca="false">SUM(P9575:R9575)</f>
        <v>78.2130278037053</v>
      </c>
    </row>
    <row r="9576" customFormat="false" ht="15" hidden="false" customHeight="false" outlineLevel="0" collapsed="false">
      <c r="A9576" s="35" t="s">
        <v>533</v>
      </c>
      <c r="B9576" s="35" t="s">
        <v>444</v>
      </c>
      <c r="C9576" s="6" t="s">
        <v>354</v>
      </c>
      <c r="D9576" s="6" t="s">
        <v>355</v>
      </c>
      <c r="E9576" s="6" t="s">
        <v>356</v>
      </c>
      <c r="F9576" s="6" t="s">
        <v>357</v>
      </c>
      <c r="G9576" s="6" t="s">
        <v>358</v>
      </c>
      <c r="H9576" s="6" t="s">
        <v>359</v>
      </c>
      <c r="I9576" s="6" t="s">
        <v>360</v>
      </c>
      <c r="J9576" s="6" t="s">
        <v>361</v>
      </c>
      <c r="K9576" s="6" t="s">
        <v>362</v>
      </c>
      <c r="L9576" s="6" t="s">
        <v>363</v>
      </c>
      <c r="M9576" s="6" t="s">
        <v>364</v>
      </c>
      <c r="N9576" s="6" t="s">
        <v>365</v>
      </c>
      <c r="P9576" s="6" t="s">
        <v>445</v>
      </c>
      <c r="Q9576" s="6" t="s">
        <v>446</v>
      </c>
      <c r="R9576" s="6" t="s">
        <v>447</v>
      </c>
      <c r="S9576" s="6" t="s">
        <v>448</v>
      </c>
    </row>
    <row r="9577" customFormat="false" ht="15" hidden="false" customHeight="false" outlineLevel="0" collapsed="false">
      <c r="A9577" s="4" t="s">
        <v>534</v>
      </c>
      <c r="B9577" s="36" t="s">
        <v>527</v>
      </c>
      <c r="C9577" s="48" t="n">
        <f aca="false">0*Assumptions!$E$59^(1/4)+C9572</f>
        <v>0</v>
      </c>
      <c r="D9577" s="48" t="n">
        <f aca="false">C9577*Assumptions!$E$59^(1/4)+D9572</f>
        <v>1.23768063597689</v>
      </c>
      <c r="E9577" s="48" t="n">
        <f aca="false">D9577*Assumptions!$E$59^(1/4)+E9572</f>
        <v>3.32023327840576</v>
      </c>
      <c r="F9577" s="48" t="n">
        <f aca="false">E9577*Assumptions!$E$59^(1/4)+F9572</f>
        <v>5.55666947292562</v>
      </c>
      <c r="G9577" s="48" t="n">
        <f aca="false">F9577*Assumptions!$E$59^(1/4)+G9572</f>
        <v>7.94664796842451</v>
      </c>
      <c r="H9577" s="48" t="n">
        <f aca="false">G9577*Assumptions!$E$59^(1/4)+H9572</f>
        <v>10.996982595401</v>
      </c>
      <c r="I9577" s="48" t="n">
        <f aca="false">H9577*Assumptions!$E$59^(1/4)+I9572</f>
        <v>14.638394661443</v>
      </c>
      <c r="J9577" s="48" t="n">
        <f aca="false">I9577*Assumptions!$E$59^(1/4)+J9572</f>
        <v>20.0789623069661</v>
      </c>
      <c r="K9577" s="48" t="n">
        <f aca="false">J9577*Assumptions!$E$59^(1/4)+K9572</f>
        <v>27.080501024405</v>
      </c>
      <c r="L9577" s="48" t="n">
        <f aca="false">K9577*Assumptions!$E$59^(1/4)+L9572</f>
        <v>33.9160569670477</v>
      </c>
      <c r="M9577" s="48" t="n">
        <f aca="false">L9577*Assumptions!$E$59^(1/4)+M9572</f>
        <v>40.3089979636448</v>
      </c>
      <c r="N9577" s="48" t="n">
        <f aca="false">M9577*Assumptions!$E$59^(1/4)+N9572</f>
        <v>46.2890410384281</v>
      </c>
      <c r="P9577" s="49" t="n">
        <f aca="false">F9577</f>
        <v>5.55666947292562</v>
      </c>
      <c r="Q9577" s="49" t="n">
        <f aca="false">J9577</f>
        <v>20.0789623069661</v>
      </c>
      <c r="R9577" s="49" t="n">
        <f aca="false">N9577</f>
        <v>46.2890410384281</v>
      </c>
      <c r="S9577" s="50" t="n">
        <f aca="false">R9577</f>
        <v>46.2890410384281</v>
      </c>
    </row>
    <row r="9578" customFormat="false" ht="15" hidden="false" customHeight="false" outlineLevel="0" collapsed="false">
      <c r="A9578" s="4" t="s">
        <v>535</v>
      </c>
      <c r="B9578" s="36" t="s">
        <v>527</v>
      </c>
      <c r="C9578" s="48" t="n">
        <f aca="false">0*Assumptions!$E$60^(1/4)+C9573</f>
        <v>0</v>
      </c>
      <c r="D9578" s="48" t="n">
        <f aca="false">C9578*Assumptions!$E$60^(1/4)+D9573</f>
        <v>0.620121391810208</v>
      </c>
      <c r="E9578" s="48" t="n">
        <f aca="false">D9578*Assumptions!$E$60^(1/4)+E9573</f>
        <v>1.66693716989976</v>
      </c>
      <c r="F9578" s="48" t="n">
        <f aca="false">E9578*Assumptions!$E$60^(1/4)+F9573</f>
        <v>2.79645985253241</v>
      </c>
      <c r="G9578" s="48" t="n">
        <f aca="false">F9578*Assumptions!$E$60^(1/4)+G9573</f>
        <v>4.00879345629174</v>
      </c>
      <c r="H9578" s="48" t="n">
        <f aca="false">G9578*Assumptions!$E$60^(1/4)+H9573</f>
        <v>5.52551579210599</v>
      </c>
      <c r="I9578" s="48" t="n">
        <f aca="false">H9578*Assumptions!$E$60^(1/4)+I9573</f>
        <v>7.31741388493806</v>
      </c>
      <c r="J9578" s="48" t="n">
        <f aca="false">I9578*Assumptions!$E$60^(1/4)+J9573</f>
        <v>9.8214897969792</v>
      </c>
      <c r="K9578" s="48" t="n">
        <f aca="false">J9578*Assumptions!$E$60^(1/4)+K9573</f>
        <v>12.9601843942065</v>
      </c>
      <c r="L9578" s="48" t="n">
        <f aca="false">K9578*Assumptions!$E$60^(1/4)+L9573</f>
        <v>16.0414009860532</v>
      </c>
      <c r="M9578" s="48" t="n">
        <f aca="false">L9578*Assumptions!$E$60^(1/4)+M9573</f>
        <v>18.941309181589</v>
      </c>
      <c r="N9578" s="48" t="n">
        <f aca="false">M9578*Assumptions!$E$60^(1/4)+N9573</f>
        <v>21.671645684686</v>
      </c>
      <c r="P9578" s="49" t="n">
        <f aca="false">F9578</f>
        <v>2.79645985253241</v>
      </c>
      <c r="Q9578" s="49" t="n">
        <f aca="false">J9578</f>
        <v>9.8214897969792</v>
      </c>
      <c r="R9578" s="49" t="n">
        <f aca="false">N9578</f>
        <v>21.671645684686</v>
      </c>
      <c r="S9578" s="50" t="n">
        <f aca="false">R9578</f>
        <v>21.671645684686</v>
      </c>
    </row>
    <row r="9579" customFormat="false" ht="15" hidden="false" customHeight="false" outlineLevel="0" collapsed="false">
      <c r="A9579" s="4" t="s">
        <v>536</v>
      </c>
      <c r="B9579" s="36" t="s">
        <v>527</v>
      </c>
      <c r="C9579" s="48" t="n">
        <f aca="false">0*Assumptions!$E$61^(1/4)+C9574</f>
        <v>0</v>
      </c>
      <c r="D9579" s="48" t="n">
        <f aca="false">C9579*Assumptions!$E$61^(1/4)+D9574</f>
        <v>0</v>
      </c>
      <c r="E9579" s="48" t="n">
        <f aca="false">D9579*Assumptions!$E$61^(1/4)+E9574</f>
        <v>0.101822401371306</v>
      </c>
      <c r="F9579" s="48" t="n">
        <f aca="false">E9579*Assumptions!$E$61^(1/4)+F9574</f>
        <v>0.274253409020692</v>
      </c>
      <c r="G9579" s="48" t="n">
        <f aca="false">F9579*Assumptions!$E$61^(1/4)+G9574</f>
        <v>0.461175851563268</v>
      </c>
      <c r="H9579" s="48" t="n">
        <f aca="false">G9579*Assumptions!$E$61^(1/4)+H9574</f>
        <v>0.662660891329484</v>
      </c>
      <c r="I9579" s="48" t="n">
        <f aca="false">H9579*Assumptions!$E$61^(1/4)+I9574</f>
        <v>0.897933255239426</v>
      </c>
      <c r="J9579" s="48" t="n">
        <f aca="false">I9579*Assumptions!$E$61^(1/4)+J9574</f>
        <v>1.16438367427572</v>
      </c>
      <c r="K9579" s="48" t="n">
        <f aca="false">J9579*Assumptions!$E$61^(1/4)+K9574</f>
        <v>1.51944238226178</v>
      </c>
      <c r="L9579" s="48" t="n">
        <f aca="false">K9579*Assumptions!$E$61^(1/4)+L9574</f>
        <v>1.95559950183561</v>
      </c>
      <c r="M9579" s="48" t="n">
        <f aca="false">L9579*Assumptions!$E$61^(1/4)+M9574</f>
        <v>2.3860807130881</v>
      </c>
      <c r="N9579" s="48" t="n">
        <f aca="false">M9579*Assumptions!$E$61^(1/4)+N9574</f>
        <v>2.79374049717041</v>
      </c>
      <c r="P9579" s="49" t="n">
        <f aca="false">F9579</f>
        <v>0.274253409020692</v>
      </c>
      <c r="Q9579" s="49" t="n">
        <f aca="false">J9579</f>
        <v>1.16438367427572</v>
      </c>
      <c r="R9579" s="49" t="n">
        <f aca="false">N9579</f>
        <v>2.79374049717041</v>
      </c>
      <c r="S9579" s="50" t="n">
        <f aca="false">R9579</f>
        <v>2.79374049717041</v>
      </c>
    </row>
    <row r="9580" customFormat="false" ht="15" hidden="false" customHeight="false" outlineLevel="0" collapsed="false">
      <c r="A9580" s="9" t="s">
        <v>537</v>
      </c>
      <c r="B9580" s="36" t="s">
        <v>527</v>
      </c>
      <c r="C9580" s="49" t="n">
        <f aca="false">C9577+C9578+C9579</f>
        <v>0</v>
      </c>
      <c r="D9580" s="49" t="n">
        <f aca="false">D9577+D9578+D9579</f>
        <v>1.85780202778709</v>
      </c>
      <c r="E9580" s="49" t="n">
        <f aca="false">E9577+E9578+E9579</f>
        <v>5.08899284967682</v>
      </c>
      <c r="F9580" s="49" t="n">
        <f aca="false">F9577+F9578+F9579</f>
        <v>8.62738273447872</v>
      </c>
      <c r="G9580" s="49" t="n">
        <f aca="false">G9577+G9578+G9579</f>
        <v>12.4166172762795</v>
      </c>
      <c r="H9580" s="49" t="n">
        <f aca="false">H9577+H9578+H9579</f>
        <v>17.1851592788365</v>
      </c>
      <c r="I9580" s="49" t="n">
        <f aca="false">I9577+I9578+I9579</f>
        <v>22.8537418016205</v>
      </c>
      <c r="J9580" s="49" t="n">
        <f aca="false">J9577+J9578+J9579</f>
        <v>31.064835778221</v>
      </c>
      <c r="K9580" s="49" t="n">
        <f aca="false">K9577+K9578+K9579</f>
        <v>41.5601278008733</v>
      </c>
      <c r="L9580" s="49" t="n">
        <f aca="false">L9577+L9578+L9579</f>
        <v>51.9130574549365</v>
      </c>
      <c r="M9580" s="49" t="n">
        <f aca="false">M9577+M9578+M9579</f>
        <v>61.6363878583219</v>
      </c>
      <c r="N9580" s="49" t="n">
        <f aca="false">N9577+N9578+N9579</f>
        <v>70.7544272202844</v>
      </c>
      <c r="P9580" s="49" t="n">
        <f aca="false">F9580</f>
        <v>8.62738273447872</v>
      </c>
      <c r="Q9580" s="49" t="n">
        <f aca="false">J9580</f>
        <v>31.064835778221</v>
      </c>
      <c r="R9580" s="49" t="n">
        <f aca="false">N9580</f>
        <v>70.7544272202844</v>
      </c>
      <c r="S9580" s="50" t="n">
        <f aca="false">R9580</f>
        <v>70.7544272202844</v>
      </c>
    </row>
    <row r="9581" customFormat="false" ht="15" hidden="false" customHeight="false" outlineLevel="0" collapsed="false">
      <c r="A9581" s="4" t="s">
        <v>538</v>
      </c>
      <c r="B9581" s="36" t="s">
        <v>125</v>
      </c>
      <c r="C9581" s="54" t="n">
        <f aca="false">0*Assumptions!$E$62^(1/4)+C9572*$C$9521</f>
        <v>0</v>
      </c>
      <c r="D9581" s="54" t="n">
        <f aca="false">C9581*Assumptions!$E$62^(1/4)+D9572*$C$9521</f>
        <v>6624.0667637483</v>
      </c>
      <c r="E9581" s="54" t="n">
        <f aca="false">D9581*Assumptions!$E$62^(1/4)+E9572*$C$9521</f>
        <v>17978.2357541062</v>
      </c>
      <c r="F9581" s="54" t="n">
        <f aca="false">E9581*Assumptions!$E$62^(1/4)+F9572*$C$9521</f>
        <v>30506.5598477113</v>
      </c>
      <c r="G9581" s="54" t="n">
        <f aca="false">F9581*Assumptions!$E$62^(1/4)+G9572*$C$9521</f>
        <v>44233.1169396097</v>
      </c>
      <c r="H9581" s="54" t="n">
        <f aca="false">G9581*Assumptions!$E$62^(1/4)+H9572*$C$9521</f>
        <v>61896.2214764935</v>
      </c>
      <c r="I9581" s="54" t="n">
        <f aca="false">H9581*Assumptions!$E$62^(1/4)+I9572*$C$9521</f>
        <v>83236.2561614948</v>
      </c>
      <c r="J9581" s="54" t="n">
        <f aca="false">I9581*Assumptions!$E$62^(1/4)+J9572*$C$9521</f>
        <v>114818.35531083</v>
      </c>
      <c r="K9581" s="54" t="n">
        <f aca="false">J9581*Assumptions!$E$62^(1/4)+K9572*$C$9521</f>
        <v>155670.61960622</v>
      </c>
      <c r="L9581" s="54" t="n">
        <f aca="false">K9581*Assumptions!$E$62^(1/4)+L9572*$C$9521</f>
        <v>196813.160998762</v>
      </c>
      <c r="M9581" s="54" t="n">
        <f aca="false">L9581*Assumptions!$E$62^(1/4)+M9572*$C$9521</f>
        <v>236737.503092006</v>
      </c>
      <c r="N9581" s="54" t="n">
        <f aca="false">M9581*Assumptions!$E$62^(1/4)+N9572*$C$9521</f>
        <v>275528.182997968</v>
      </c>
      <c r="P9581" s="55" t="n">
        <f aca="false">F9581</f>
        <v>30506.5598477113</v>
      </c>
      <c r="Q9581" s="55" t="n">
        <f aca="false">J9581</f>
        <v>114818.35531083</v>
      </c>
      <c r="R9581" s="55" t="n">
        <f aca="false">N9581</f>
        <v>275528.182997968</v>
      </c>
      <c r="S9581" s="56" t="n">
        <f aca="false">R9581</f>
        <v>275528.182997968</v>
      </c>
    </row>
    <row r="9582" customFormat="false" ht="15" hidden="false" customHeight="false" outlineLevel="0" collapsed="false">
      <c r="A9582" s="4" t="s">
        <v>539</v>
      </c>
      <c r="B9582" s="36" t="s">
        <v>125</v>
      </c>
      <c r="C9582" s="54" t="n">
        <f aca="false">0*Assumptions!$E$63^(1/4)+C9573*$C$9522</f>
        <v>0</v>
      </c>
      <c r="D9582" s="54" t="n">
        <f aca="false">C9582*Assumptions!$E$63^(1/4)+D9573*$C$9522</f>
        <v>9084.82811949377</v>
      </c>
      <c r="E9582" s="54" t="n">
        <f aca="false">D9582*Assumptions!$E$63^(1/4)+E9573*$C$9522</f>
        <v>24790.2440817087</v>
      </c>
      <c r="F9582" s="54" t="n">
        <f aca="false">E9582*Assumptions!$E$63^(1/4)+F9573*$C$9522</f>
        <v>42336.4585434219</v>
      </c>
      <c r="G9582" s="54" t="n">
        <f aca="false">F9582*Assumptions!$E$63^(1/4)+G9573*$C$9522</f>
        <v>61783.5056429158</v>
      </c>
      <c r="H9582" s="54" t="n">
        <f aca="false">G9582*Assumptions!$E$63^(1/4)+H9573*$C$9522</f>
        <v>86436.9489124324</v>
      </c>
      <c r="I9582" s="54" t="n">
        <f aca="false">H9582*Assumptions!$E$63^(1/4)+I9573*$C$9522</f>
        <v>116061.13937768</v>
      </c>
      <c r="J9582" s="54" t="n">
        <f aca="false">I9582*Assumptions!$E$63^(1/4)+J9573*$C$9522</f>
        <v>157235.932190473</v>
      </c>
      <c r="K9582" s="54" t="n">
        <f aca="false">J9582*Assumptions!$E$63^(1/4)+K9573*$C$9522</f>
        <v>209265.802507723</v>
      </c>
      <c r="L9582" s="54" t="n">
        <f aca="false">K9582*Assumptions!$E$63^(1/4)+L9573*$C$9522</f>
        <v>262412.456797741</v>
      </c>
      <c r="M9582" s="54" t="n">
        <f aca="false">L9582*Assumptions!$E$63^(1/4)+M9573*$C$9522</f>
        <v>314856.267081884</v>
      </c>
      <c r="N9582" s="54" t="n">
        <f aca="false">M9582*Assumptions!$E$63^(1/4)+N9573*$C$9522</f>
        <v>366689.812793259</v>
      </c>
      <c r="P9582" s="55" t="n">
        <f aca="false">F9582</f>
        <v>42336.4585434219</v>
      </c>
      <c r="Q9582" s="55" t="n">
        <f aca="false">J9582</f>
        <v>157235.932190473</v>
      </c>
      <c r="R9582" s="55" t="n">
        <f aca="false">N9582</f>
        <v>366689.812793259</v>
      </c>
      <c r="S9582" s="56" t="n">
        <f aca="false">R9582</f>
        <v>366689.812793259</v>
      </c>
    </row>
    <row r="9583" customFormat="false" ht="15" hidden="false" customHeight="false" outlineLevel="0" collapsed="false">
      <c r="A9583" s="4" t="s">
        <v>540</v>
      </c>
      <c r="B9583" s="36" t="s">
        <v>125</v>
      </c>
      <c r="C9583" s="54" t="n">
        <f aca="false">0*Assumptions!$E$64^(1/4)+C9574*$C$9523</f>
        <v>0</v>
      </c>
      <c r="D9583" s="54" t="n">
        <f aca="false">C9583*Assumptions!$E$64^(1/4)+D9574*$C$9523</f>
        <v>0</v>
      </c>
      <c r="E9583" s="54" t="n">
        <f aca="false">D9583*Assumptions!$E$64^(1/4)+E9574*$C$9523</f>
        <v>9435.61560119255</v>
      </c>
      <c r="F9583" s="54" t="n">
        <f aca="false">E9583*Assumptions!$E$64^(1/4)+F9574*$C$9523</f>
        <v>25944.5117376088</v>
      </c>
      <c r="G9583" s="54" t="n">
        <f aca="false">F9583*Assumptions!$E$64^(1/4)+G9574*$C$9523</f>
        <v>44712.9512655138</v>
      </c>
      <c r="H9583" s="54" t="n">
        <f aca="false">G9583*Assumptions!$E$64^(1/4)+H9574*$C$9523</f>
        <v>65855.5768269691</v>
      </c>
      <c r="I9583" s="54" t="n">
        <f aca="false">H9583*Assumptions!$E$64^(1/4)+I9574*$C$9523</f>
        <v>91266.1543076023</v>
      </c>
      <c r="J9583" s="54" t="n">
        <f aca="false">I9583*Assumptions!$E$64^(1/4)+J9574*$C$9523</f>
        <v>120919.240779689</v>
      </c>
      <c r="K9583" s="54" t="n">
        <f aca="false">J9583*Assumptions!$E$64^(1/4)+K9574*$C$9523</f>
        <v>160347.204172983</v>
      </c>
      <c r="L9583" s="54" t="n">
        <f aca="false">K9583*Assumptions!$E$64^(1/4)+L9574*$C$9523</f>
        <v>209371.091607856</v>
      </c>
      <c r="M9583" s="54" t="n">
        <f aca="false">L9583*Assumptions!$E$64^(1/4)+M9574*$C$9523</f>
        <v>260446.001830965</v>
      </c>
      <c r="N9583" s="54" t="n">
        <f aca="false">M9583*Assumptions!$E$64^(1/4)+N9574*$C$9523</f>
        <v>312045.184278906</v>
      </c>
      <c r="P9583" s="55" t="n">
        <f aca="false">F9583</f>
        <v>25944.5117376088</v>
      </c>
      <c r="Q9583" s="55" t="n">
        <f aca="false">J9583</f>
        <v>120919.240779689</v>
      </c>
      <c r="R9583" s="55" t="n">
        <f aca="false">N9583</f>
        <v>312045.184278906</v>
      </c>
      <c r="S9583" s="56" t="n">
        <f aca="false">R9583</f>
        <v>312045.184278906</v>
      </c>
    </row>
    <row r="9584" customFormat="false" ht="15" hidden="false" customHeight="false" outlineLevel="0" collapsed="false">
      <c r="A9584" s="9" t="s">
        <v>541</v>
      </c>
      <c r="B9584" s="36" t="s">
        <v>125</v>
      </c>
      <c r="C9584" s="55" t="n">
        <f aca="false">C9581+C9582+C9583</f>
        <v>0</v>
      </c>
      <c r="D9584" s="55" t="n">
        <f aca="false">D9581+D9582+D9583</f>
        <v>15708.8948832421</v>
      </c>
      <c r="E9584" s="55" t="n">
        <f aca="false">E9581+E9582+E9583</f>
        <v>52204.0954370075</v>
      </c>
      <c r="F9584" s="55" t="n">
        <f aca="false">F9581+F9582+F9583</f>
        <v>98787.530128742</v>
      </c>
      <c r="G9584" s="55" t="n">
        <f aca="false">G9581+G9582+G9583</f>
        <v>150729.573848039</v>
      </c>
      <c r="H9584" s="55" t="n">
        <f aca="false">H9581+H9582+H9583</f>
        <v>214188.747215895</v>
      </c>
      <c r="I9584" s="55" t="n">
        <f aca="false">I9581+I9582+I9583</f>
        <v>290563.549846777</v>
      </c>
      <c r="J9584" s="55" t="n">
        <f aca="false">J9581+J9582+J9583</f>
        <v>392973.528280991</v>
      </c>
      <c r="K9584" s="55" t="n">
        <f aca="false">K9581+K9582+K9583</f>
        <v>525283.626286927</v>
      </c>
      <c r="L9584" s="55" t="n">
        <f aca="false">L9581+L9582+L9583</f>
        <v>668596.70940436</v>
      </c>
      <c r="M9584" s="55" t="n">
        <f aca="false">M9581+M9582+M9583</f>
        <v>812039.772004855</v>
      </c>
      <c r="N9584" s="55" t="n">
        <f aca="false">N9581+N9582+N9583</f>
        <v>954263.180070133</v>
      </c>
      <c r="P9584" s="55" t="n">
        <f aca="false">F9584</f>
        <v>98787.530128742</v>
      </c>
      <c r="Q9584" s="55" t="n">
        <f aca="false">J9584</f>
        <v>392973.528280991</v>
      </c>
      <c r="R9584" s="55" t="n">
        <f aca="false">N9584</f>
        <v>954263.180070133</v>
      </c>
      <c r="S9584" s="56" t="n">
        <f aca="false">R9584</f>
        <v>954263.180070133</v>
      </c>
    </row>
    <row r="9585" customFormat="false" ht="15" hidden="false" customHeight="false" outlineLevel="0" collapsed="false">
      <c r="A9585" s="4" t="s">
        <v>542</v>
      </c>
      <c r="B9585" s="36" t="s">
        <v>125</v>
      </c>
      <c r="C9585" s="54" t="n">
        <f aca="false">C9572*$C$9521+C9573*$C$9522+C9574*$C$9523</f>
        <v>0</v>
      </c>
      <c r="D9585" s="54" t="n">
        <f aca="false">D9572*$C$9521+D9573*$C$9522+D9574*$C$9523</f>
        <v>15708.8948832421</v>
      </c>
      <c r="E9585" s="54" t="n">
        <f aca="false">E9572*$C$9521+E9573*$C$9522+E9574*$C$9523</f>
        <v>36361.8911834712</v>
      </c>
      <c r="F9585" s="54" t="n">
        <f aca="false">F9572*$C$9521+F9573*$C$9522+F9574*$C$9523</f>
        <v>45884.1541237186</v>
      </c>
      <c r="G9585" s="54" t="n">
        <f aca="false">G9572*$C$9521+G9573*$C$9522+G9574*$C$9523</f>
        <v>50398.2681102933</v>
      </c>
      <c r="H9585" s="54" t="n">
        <f aca="false">H9572*$C$9521+H9573*$C$9522+H9574*$C$9523</f>
        <v>60962.6651757327</v>
      </c>
      <c r="I9585" s="54" t="n">
        <f aca="false">I9572*$C$9521+I9573*$C$9522+I9574*$C$9523</f>
        <v>72764.7425109183</v>
      </c>
      <c r="J9585" s="54" t="n">
        <f aca="false">J9572*$C$9521+J9573*$C$9522+J9574*$C$9523</f>
        <v>97461.6662465506</v>
      </c>
      <c r="K9585" s="54" t="n">
        <f aca="false">K9572*$C$9521+K9573*$C$9522+K9574*$C$9523</f>
        <v>125703.186529971</v>
      </c>
      <c r="L9585" s="54" t="n">
        <f aca="false">L9572*$C$9521+L9573*$C$9522+L9574*$C$9523</f>
        <v>134540.710795925</v>
      </c>
      <c r="M9585" s="54" t="n">
        <f aca="false">M9572*$C$9521+M9573*$C$9522+M9574*$C$9523</f>
        <v>132147.629317584</v>
      </c>
      <c r="N9585" s="54" t="n">
        <f aca="false">N9572*$C$9521+N9573*$C$9522+N9574*$C$9523</f>
        <v>128342.296820905</v>
      </c>
      <c r="P9585" s="55" t="n">
        <f aca="false">SUM(C9585:F9585)</f>
        <v>97954.9401904319</v>
      </c>
      <c r="Q9585" s="55" t="n">
        <f aca="false">SUM(G9585:J9585)</f>
        <v>281587.342043495</v>
      </c>
      <c r="R9585" s="55" t="n">
        <f aca="false">SUM(K9585:N9585)</f>
        <v>520733.823464386</v>
      </c>
      <c r="S9585" s="56" t="n">
        <f aca="false">SUM(P9585:R9585)</f>
        <v>900276.105698312</v>
      </c>
    </row>
    <row r="9586" customFormat="false" ht="15" hidden="false" customHeight="false" outlineLevel="0" collapsed="false">
      <c r="A9586" s="9" t="s">
        <v>543</v>
      </c>
      <c r="B9586" s="36" t="s">
        <v>125</v>
      </c>
      <c r="C9586" s="55" t="n">
        <f aca="false">(0+C9584)/8</f>
        <v>0</v>
      </c>
      <c r="D9586" s="55" t="n">
        <f aca="false">(C9584+D9584)/8</f>
        <v>1963.61186040526</v>
      </c>
      <c r="E9586" s="55" t="n">
        <f aca="false">(D9584+E9584)/8</f>
        <v>8489.12379003119</v>
      </c>
      <c r="F9586" s="55" t="n">
        <f aca="false">(E9584+F9584)/8</f>
        <v>18873.9531957187</v>
      </c>
      <c r="G9586" s="55" t="n">
        <f aca="false">(F9584+G9584)/8</f>
        <v>31189.6379970977</v>
      </c>
      <c r="H9586" s="55" t="n">
        <f aca="false">(G9584+H9584)/8</f>
        <v>45614.7901329918</v>
      </c>
      <c r="I9586" s="55" t="n">
        <f aca="false">(H9584+I9584)/8</f>
        <v>63094.037132834</v>
      </c>
      <c r="J9586" s="55" t="n">
        <f aca="false">(I9584+J9584)/8</f>
        <v>85442.1347659711</v>
      </c>
      <c r="K9586" s="55" t="n">
        <f aca="false">(J9584+K9584)/8</f>
        <v>114782.14432099</v>
      </c>
      <c r="L9586" s="55" t="n">
        <f aca="false">(K9584+L9584)/8</f>
        <v>149235.041961411</v>
      </c>
      <c r="M9586" s="55" t="n">
        <f aca="false">(L9584+M9584)/8</f>
        <v>185079.560176152</v>
      </c>
      <c r="N9586" s="55" t="n">
        <f aca="false">(M9584+N9584)/8</f>
        <v>220787.869009374</v>
      </c>
      <c r="P9586" s="55" t="n">
        <f aca="false">SUM(C9586:F9586)</f>
        <v>29326.6888461551</v>
      </c>
      <c r="Q9586" s="55" t="n">
        <f aca="false">SUM(G9586:J9586)</f>
        <v>225340.600028895</v>
      </c>
      <c r="R9586" s="55" t="n">
        <f aca="false">SUM(K9586:N9586)</f>
        <v>669884.615467926</v>
      </c>
      <c r="S9586" s="56" t="n">
        <f aca="false">SUM(P9586:R9586)</f>
        <v>924551.904342976</v>
      </c>
    </row>
    <row r="9587" customFormat="false" ht="15" hidden="false" customHeight="false" outlineLevel="0" collapsed="false">
      <c r="A9587" s="4" t="s">
        <v>544</v>
      </c>
      <c r="B9587" s="36" t="s">
        <v>125</v>
      </c>
      <c r="C9587" s="54" t="n">
        <f aca="false">C9586*Assumptions!$E$76</f>
        <v>0</v>
      </c>
      <c r="D9587" s="54" t="n">
        <f aca="false">D9586*Assumptions!$E$76</f>
        <v>1276.34770926342</v>
      </c>
      <c r="E9587" s="54" t="n">
        <f aca="false">E9586*Assumptions!$E$76</f>
        <v>5517.93046352027</v>
      </c>
      <c r="F9587" s="54" t="n">
        <f aca="false">F9586*Assumptions!$E$76</f>
        <v>12268.0695772171</v>
      </c>
      <c r="G9587" s="54" t="n">
        <f aca="false">G9586*Assumptions!$E$76</f>
        <v>20273.2646981135</v>
      </c>
      <c r="H9587" s="54" t="n">
        <f aca="false">H9586*Assumptions!$E$76</f>
        <v>29649.6135864447</v>
      </c>
      <c r="I9587" s="54" t="n">
        <f aca="false">I9586*Assumptions!$E$76</f>
        <v>41011.1241363421</v>
      </c>
      <c r="J9587" s="54" t="n">
        <f aca="false">J9586*Assumptions!$E$76</f>
        <v>55537.3875978812</v>
      </c>
      <c r="K9587" s="54" t="n">
        <f aca="false">K9586*Assumptions!$E$76</f>
        <v>74608.3938086434</v>
      </c>
      <c r="L9587" s="54" t="n">
        <f aca="false">L9586*Assumptions!$E$76</f>
        <v>97002.777274917</v>
      </c>
      <c r="M9587" s="54" t="n">
        <f aca="false">M9586*Assumptions!$E$76</f>
        <v>120301.714114499</v>
      </c>
      <c r="N9587" s="54" t="n">
        <f aca="false">N9586*Assumptions!$E$76</f>
        <v>143512.114856093</v>
      </c>
      <c r="P9587" s="55" t="n">
        <f aca="false">SUM(C9587:F9587)</f>
        <v>19062.3477500008</v>
      </c>
      <c r="Q9587" s="55" t="n">
        <f aca="false">SUM(G9587:J9587)</f>
        <v>146471.390018781</v>
      </c>
      <c r="R9587" s="55" t="n">
        <f aca="false">SUM(K9587:N9587)</f>
        <v>435425.000054152</v>
      </c>
      <c r="S9587" s="56" t="n">
        <f aca="false">SUM(P9587:R9587)</f>
        <v>600958.737822934</v>
      </c>
    </row>
    <row r="9588" customFormat="false" ht="15" hidden="false" customHeight="false" outlineLevel="0" collapsed="false">
      <c r="A9588" s="35" t="s">
        <v>547</v>
      </c>
      <c r="B9588" s="35" t="s">
        <v>444</v>
      </c>
      <c r="C9588" s="6" t="s">
        <v>354</v>
      </c>
      <c r="D9588" s="6" t="s">
        <v>355</v>
      </c>
      <c r="E9588" s="6" t="s">
        <v>356</v>
      </c>
      <c r="F9588" s="6" t="s">
        <v>357</v>
      </c>
      <c r="G9588" s="6" t="s">
        <v>358</v>
      </c>
      <c r="H9588" s="6" t="s">
        <v>359</v>
      </c>
      <c r="I9588" s="6" t="s">
        <v>360</v>
      </c>
      <c r="J9588" s="6" t="s">
        <v>361</v>
      </c>
      <c r="K9588" s="6" t="s">
        <v>362</v>
      </c>
      <c r="L9588" s="6" t="s">
        <v>363</v>
      </c>
      <c r="M9588" s="6" t="s">
        <v>364</v>
      </c>
      <c r="N9588" s="6" t="s">
        <v>365</v>
      </c>
      <c r="P9588" s="6" t="s">
        <v>445</v>
      </c>
      <c r="Q9588" s="6" t="s">
        <v>446</v>
      </c>
      <c r="R9588" s="6" t="s">
        <v>447</v>
      </c>
      <c r="S9588" s="6" t="s">
        <v>448</v>
      </c>
    </row>
    <row r="9589" customFormat="false" ht="15" hidden="false" customHeight="false" outlineLevel="0" collapsed="false">
      <c r="A9589" s="4" t="s">
        <v>548</v>
      </c>
      <c r="B9589" s="36" t="s">
        <v>321</v>
      </c>
      <c r="C9589" s="48" t="n">
        <f aca="false">Assumptions!$D$97*C9531</f>
        <v>1</v>
      </c>
      <c r="D9589" s="48" t="n">
        <f aca="false">Assumptions!$D$97*D9531</f>
        <v>1</v>
      </c>
      <c r="E9589" s="48" t="n">
        <f aca="false">Assumptions!$D$97*E9531</f>
        <v>1</v>
      </c>
      <c r="F9589" s="48" t="n">
        <f aca="false">Assumptions!$D$97*F9531</f>
        <v>1</v>
      </c>
      <c r="G9589" s="48" t="n">
        <f aca="false">Assumptions!$D$97*G9531</f>
        <v>1</v>
      </c>
      <c r="H9589" s="48" t="n">
        <f aca="false">Assumptions!$D$97*H9531</f>
        <v>1</v>
      </c>
      <c r="I9589" s="48" t="n">
        <f aca="false">Assumptions!$D$97*I9531</f>
        <v>1</v>
      </c>
      <c r="J9589" s="48" t="n">
        <f aca="false">Assumptions!$D$97*J9531</f>
        <v>1</v>
      </c>
      <c r="K9589" s="48" t="n">
        <f aca="false">Assumptions!$D$97*K9531</f>
        <v>1</v>
      </c>
      <c r="L9589" s="48" t="n">
        <f aca="false">Assumptions!$D$97*L9531</f>
        <v>1</v>
      </c>
      <c r="M9589" s="48" t="n">
        <f aca="false">Assumptions!$D$97*M9531</f>
        <v>1</v>
      </c>
      <c r="N9589" s="48" t="n">
        <f aca="false">Assumptions!$D$97*N9531</f>
        <v>1</v>
      </c>
      <c r="P9589" s="49" t="n">
        <f aca="false">AVERAGE(C9589:F9589)</f>
        <v>1</v>
      </c>
      <c r="Q9589" s="49" t="n">
        <f aca="false">AVERAGE(G9589:J9589)</f>
        <v>1</v>
      </c>
      <c r="R9589" s="49" t="n">
        <f aca="false">AVERAGE(K9589:N9589)</f>
        <v>1</v>
      </c>
      <c r="S9589" s="50"/>
    </row>
    <row r="9590" customFormat="false" ht="15" hidden="false" customHeight="false" outlineLevel="0" collapsed="false">
      <c r="A9590" s="4" t="s">
        <v>549</v>
      </c>
      <c r="B9590" s="36" t="s">
        <v>321</v>
      </c>
      <c r="C9590" s="48" t="n">
        <f aca="false">C9544*C9531</f>
        <v>0</v>
      </c>
      <c r="D9590" s="48" t="n">
        <f aca="false">D9544*D9531</f>
        <v>0</v>
      </c>
      <c r="E9590" s="48" t="n">
        <f aca="false">E9544*E9531</f>
        <v>0</v>
      </c>
      <c r="F9590" s="48" t="n">
        <f aca="false">F9544*F9531</f>
        <v>0</v>
      </c>
      <c r="G9590" s="48" t="n">
        <f aca="false">G9544*G9531</f>
        <v>0</v>
      </c>
      <c r="H9590" s="48" t="n">
        <f aca="false">H9544*H9531</f>
        <v>0</v>
      </c>
      <c r="I9590" s="48" t="n">
        <f aca="false">I9544*I9531</f>
        <v>0</v>
      </c>
      <c r="J9590" s="48" t="n">
        <f aca="false">J9544*J9531</f>
        <v>0</v>
      </c>
      <c r="K9590" s="48" t="n">
        <f aca="false">K9544*K9531</f>
        <v>0</v>
      </c>
      <c r="L9590" s="48" t="n">
        <f aca="false">L9544*L9531</f>
        <v>0</v>
      </c>
      <c r="M9590" s="48" t="n">
        <f aca="false">M9544*M9531</f>
        <v>0</v>
      </c>
      <c r="N9590" s="48" t="n">
        <f aca="false">N9544*N9531</f>
        <v>0</v>
      </c>
      <c r="P9590" s="49" t="n">
        <f aca="false">AVERAGE(C9590:F9590)</f>
        <v>0</v>
      </c>
      <c r="Q9590" s="49" t="n">
        <f aca="false">AVERAGE(G9590:J9590)</f>
        <v>0</v>
      </c>
      <c r="R9590" s="49" t="n">
        <f aca="false">AVERAGE(K9590:N9590)</f>
        <v>0</v>
      </c>
      <c r="S9590" s="50"/>
    </row>
    <row r="9591" customFormat="false" ht="15" hidden="false" customHeight="false" outlineLevel="0" collapsed="false">
      <c r="A9591" s="4" t="s">
        <v>550</v>
      </c>
      <c r="B9591" s="36" t="s">
        <v>321</v>
      </c>
      <c r="C9591" s="48" t="n">
        <f aca="false">IF(C9530&lt;=4,Assumptions!$D$98,Assumptions!$D$99)*C9531</f>
        <v>0</v>
      </c>
      <c r="D9591" s="48" t="n">
        <f aca="false">IF(D9530&lt;=4,Assumptions!$D$98,Assumptions!$D$99)*D9531</f>
        <v>0</v>
      </c>
      <c r="E9591" s="48" t="n">
        <f aca="false">IF(E9530&lt;=4,Assumptions!$D$98,Assumptions!$D$99)*E9531</f>
        <v>0</v>
      </c>
      <c r="F9591" s="48" t="n">
        <f aca="false">IF(F9530&lt;=4,Assumptions!$D$98,Assumptions!$D$99)*F9531</f>
        <v>0</v>
      </c>
      <c r="G9591" s="48" t="n">
        <f aca="false">IF(G9530&lt;=4,Assumptions!$D$98,Assumptions!$D$99)*G9531</f>
        <v>0.5</v>
      </c>
      <c r="H9591" s="48" t="n">
        <f aca="false">IF(H9530&lt;=4,Assumptions!$D$98,Assumptions!$D$99)*H9531</f>
        <v>0.5</v>
      </c>
      <c r="I9591" s="48" t="n">
        <f aca="false">IF(I9530&lt;=4,Assumptions!$D$98,Assumptions!$D$99)*I9531</f>
        <v>0.5</v>
      </c>
      <c r="J9591" s="48" t="n">
        <f aca="false">IF(J9530&lt;=4,Assumptions!$D$98,Assumptions!$D$99)*J9531</f>
        <v>0.5</v>
      </c>
      <c r="K9591" s="48" t="n">
        <f aca="false">IF(K9530&lt;=4,Assumptions!$D$98,Assumptions!$D$99)*K9531</f>
        <v>0.5</v>
      </c>
      <c r="L9591" s="48" t="n">
        <f aca="false">IF(L9530&lt;=4,Assumptions!$D$98,Assumptions!$D$99)*L9531</f>
        <v>0.5</v>
      </c>
      <c r="M9591" s="48" t="n">
        <f aca="false">IF(M9530&lt;=4,Assumptions!$D$98,Assumptions!$D$99)*M9531</f>
        <v>0.5</v>
      </c>
      <c r="N9591" s="48" t="n">
        <f aca="false">IF(N9530&lt;=4,Assumptions!$D$98,Assumptions!$D$99)*N9531</f>
        <v>0.5</v>
      </c>
      <c r="P9591" s="49" t="n">
        <f aca="false">AVERAGE(C9591:F9591)</f>
        <v>0</v>
      </c>
      <c r="Q9591" s="49" t="n">
        <f aca="false">AVERAGE(G9591:J9591)</f>
        <v>0.5</v>
      </c>
      <c r="R9591" s="49" t="n">
        <f aca="false">AVERAGE(K9591:N9591)</f>
        <v>0.5</v>
      </c>
      <c r="S9591" s="50"/>
    </row>
    <row r="9592" customFormat="false" ht="15" hidden="false" customHeight="false" outlineLevel="0" collapsed="false">
      <c r="A9592" s="4" t="s">
        <v>551</v>
      </c>
      <c r="B9592" s="36" t="s">
        <v>321</v>
      </c>
      <c r="C9592" s="48" t="n">
        <f aca="false">IF(C9530&lt;=4,Assumptions!$D$100,Assumptions!$D$101)*C9531</f>
        <v>1</v>
      </c>
      <c r="D9592" s="48" t="n">
        <f aca="false">IF(D9530&lt;=4,Assumptions!$D$100,Assumptions!$D$101)*D9531</f>
        <v>1</v>
      </c>
      <c r="E9592" s="48" t="n">
        <f aca="false">IF(E9530&lt;=4,Assumptions!$D$100,Assumptions!$D$101)*E9531</f>
        <v>1</v>
      </c>
      <c r="F9592" s="48" t="n">
        <f aca="false">IF(F9530&lt;=4,Assumptions!$D$100,Assumptions!$D$101)*F9531</f>
        <v>1</v>
      </c>
      <c r="G9592" s="48" t="n">
        <f aca="false">IF(G9530&lt;=4,Assumptions!$D$100,Assumptions!$D$101)*G9531</f>
        <v>0.5</v>
      </c>
      <c r="H9592" s="48" t="n">
        <f aca="false">IF(H9530&lt;=4,Assumptions!$D$100,Assumptions!$D$101)*H9531</f>
        <v>0.5</v>
      </c>
      <c r="I9592" s="48" t="n">
        <f aca="false">IF(I9530&lt;=4,Assumptions!$D$100,Assumptions!$D$101)*I9531</f>
        <v>0.5</v>
      </c>
      <c r="J9592" s="48" t="n">
        <f aca="false">IF(J9530&lt;=4,Assumptions!$D$100,Assumptions!$D$101)*J9531</f>
        <v>0.5</v>
      </c>
      <c r="K9592" s="48" t="n">
        <f aca="false">IF(K9530&lt;=4,Assumptions!$D$100,Assumptions!$D$101)*K9531</f>
        <v>0.5</v>
      </c>
      <c r="L9592" s="48" t="n">
        <f aca="false">IF(L9530&lt;=4,Assumptions!$D$100,Assumptions!$D$101)*L9531</f>
        <v>0.5</v>
      </c>
      <c r="M9592" s="48" t="n">
        <f aca="false">IF(M9530&lt;=4,Assumptions!$D$100,Assumptions!$D$101)*M9531</f>
        <v>0.5</v>
      </c>
      <c r="N9592" s="48" t="n">
        <f aca="false">IF(N9530&lt;=4,Assumptions!$D$100,Assumptions!$D$101)*N9531</f>
        <v>0.5</v>
      </c>
      <c r="P9592" s="49" t="n">
        <f aca="false">AVERAGE(C9592:F9592)</f>
        <v>1</v>
      </c>
      <c r="Q9592" s="49" t="n">
        <f aca="false">AVERAGE(G9592:J9592)</f>
        <v>0.5</v>
      </c>
      <c r="R9592" s="49" t="n">
        <f aca="false">AVERAGE(K9592:N9592)</f>
        <v>0.5</v>
      </c>
      <c r="S9592" s="50"/>
    </row>
    <row r="9593" customFormat="false" ht="15" hidden="false" customHeight="false" outlineLevel="0" collapsed="false">
      <c r="A9593" s="4" t="s">
        <v>552</v>
      </c>
      <c r="B9593" s="36" t="s">
        <v>321</v>
      </c>
      <c r="C9593" s="48" t="n">
        <f aca="false">Assumptions!$D$102*C9531</f>
        <v>0.25</v>
      </c>
      <c r="D9593" s="48" t="n">
        <f aca="false">Assumptions!$D$102*D9531</f>
        <v>0.25</v>
      </c>
      <c r="E9593" s="48" t="n">
        <f aca="false">Assumptions!$D$102*E9531</f>
        <v>0.25</v>
      </c>
      <c r="F9593" s="48" t="n">
        <f aca="false">Assumptions!$D$102*F9531</f>
        <v>0.25</v>
      </c>
      <c r="G9593" s="48" t="n">
        <f aca="false">Assumptions!$D$102*G9531</f>
        <v>0.25</v>
      </c>
      <c r="H9593" s="48" t="n">
        <f aca="false">Assumptions!$D$102*H9531</f>
        <v>0.25</v>
      </c>
      <c r="I9593" s="48" t="n">
        <f aca="false">Assumptions!$D$102*I9531</f>
        <v>0.25</v>
      </c>
      <c r="J9593" s="48" t="n">
        <f aca="false">Assumptions!$D$102*J9531</f>
        <v>0.25</v>
      </c>
      <c r="K9593" s="48" t="n">
        <f aca="false">Assumptions!$D$102*K9531</f>
        <v>0.25</v>
      </c>
      <c r="L9593" s="48" t="n">
        <f aca="false">Assumptions!$D$102*L9531</f>
        <v>0.25</v>
      </c>
      <c r="M9593" s="48" t="n">
        <f aca="false">Assumptions!$D$102*M9531</f>
        <v>0.25</v>
      </c>
      <c r="N9593" s="48" t="n">
        <f aca="false">Assumptions!$D$102*N9531</f>
        <v>0.25</v>
      </c>
      <c r="P9593" s="49" t="n">
        <f aca="false">AVERAGE(C9593:F9593)</f>
        <v>0.25</v>
      </c>
      <c r="Q9593" s="49" t="n">
        <f aca="false">AVERAGE(G9593:J9593)</f>
        <v>0.25</v>
      </c>
      <c r="R9593" s="49" t="n">
        <f aca="false">AVERAGE(K9593:N9593)</f>
        <v>0.25</v>
      </c>
      <c r="S9593" s="50"/>
    </row>
    <row r="9594" customFormat="false" ht="15" hidden="false" customHeight="false" outlineLevel="0" collapsed="false">
      <c r="A9594" s="4" t="s">
        <v>553</v>
      </c>
      <c r="B9594" s="36" t="s">
        <v>321</v>
      </c>
      <c r="C9594" s="48" t="n">
        <f aca="false">(C9578+C9579)/Assumptions!$E$74+C9577/Assumptions!$E$75</f>
        <v>0</v>
      </c>
      <c r="D9594" s="48" t="n">
        <f aca="false">(D9578+D9579)/Assumptions!$E$74+D9577/Assumptions!$E$75</f>
        <v>0.0204537573391627</v>
      </c>
      <c r="E9594" s="48" t="n">
        <f aca="false">(E9578+E9579)/Assumptions!$E$74+E9577/Assumptions!$E$75</f>
        <v>0.0574999223953997</v>
      </c>
      <c r="F9594" s="48" t="n">
        <f aca="false">(F9578+F9579)/Assumptions!$E$74+F9577/Assumptions!$E$75</f>
        <v>0.0989945094305299</v>
      </c>
      <c r="G9594" s="48" t="n">
        <f aca="false">(G9578+G9579)/Assumptions!$E$74+G9577/Assumptions!$E$75</f>
        <v>0.143535824570073</v>
      </c>
      <c r="H9594" s="48" t="n">
        <f aca="false">(H9578+H9579)/Assumptions!$E$74+H9577/Assumptions!$E$75</f>
        <v>0.198692347467491</v>
      </c>
      <c r="I9594" s="48" t="n">
        <f aca="false">(I9578+I9579)/Assumptions!$E$74+I9577/Assumptions!$E$75</f>
        <v>0.263937257150209</v>
      </c>
      <c r="J9594" s="48" t="n">
        <f aca="false">(J9578+J9579)/Assumptions!$E$74+J9577/Assumptions!$E$75</f>
        <v>0.354962686009237</v>
      </c>
      <c r="K9594" s="48" t="n">
        <f aca="false">(K9578+K9579)/Assumptions!$E$74+K9577/Assumptions!$E$75</f>
        <v>0.470312673509327</v>
      </c>
      <c r="L9594" s="48" t="n">
        <f aca="false">(L9578+L9579)/Assumptions!$E$74+L9577/Assumptions!$E$75</f>
        <v>0.585589240065411</v>
      </c>
      <c r="M9594" s="48" t="n">
        <f aca="false">(M9578+M9579)/Assumptions!$E$74+M9577/Assumptions!$E$75</f>
        <v>0.694420739221507</v>
      </c>
      <c r="N9594" s="48" t="n">
        <f aca="false">(N9578+N9579)/Assumptions!$E$74+N9577/Assumptions!$E$75</f>
        <v>0.796790818700121</v>
      </c>
      <c r="P9594" s="49" t="n">
        <f aca="false">AVERAGE(C9594:F9594)</f>
        <v>0.0442370472912731</v>
      </c>
      <c r="Q9594" s="49" t="n">
        <f aca="false">AVERAGE(G9594:J9594)</f>
        <v>0.240282028799253</v>
      </c>
      <c r="R9594" s="49" t="n">
        <f aca="false">AVERAGE(K9594:N9594)</f>
        <v>0.636778367874091</v>
      </c>
      <c r="S9594" s="50"/>
    </row>
    <row r="9595" customFormat="false" ht="15" hidden="false" customHeight="false" outlineLevel="0" collapsed="false">
      <c r="A9595" s="4" t="s">
        <v>554</v>
      </c>
      <c r="B9595" s="36" t="s">
        <v>125</v>
      </c>
      <c r="C9595" s="54" t="n">
        <f aca="false">(C9589+C9591)*Assumptions!$E$70/Assumptions!$E$69/4</f>
        <v>66753.5714285714</v>
      </c>
      <c r="D9595" s="54" t="n">
        <f aca="false">(D9589+D9591)*Assumptions!$E$70/Assumptions!$E$69/4</f>
        <v>66753.5714285714</v>
      </c>
      <c r="E9595" s="54" t="n">
        <f aca="false">(E9589+E9591)*Assumptions!$E$70/Assumptions!$E$69/4</f>
        <v>66753.5714285714</v>
      </c>
      <c r="F9595" s="54" t="n">
        <f aca="false">(F9589+F9591)*Assumptions!$E$70/Assumptions!$E$69/4</f>
        <v>66753.5714285714</v>
      </c>
      <c r="G9595" s="54" t="n">
        <f aca="false">(G9589+G9591)*Assumptions!$E$70/Assumptions!$E$69/4</f>
        <v>100130.357142857</v>
      </c>
      <c r="H9595" s="54" t="n">
        <f aca="false">(H9589+H9591)*Assumptions!$E$70/Assumptions!$E$69/4</f>
        <v>100130.357142857</v>
      </c>
      <c r="I9595" s="54" t="n">
        <f aca="false">(I9589+I9591)*Assumptions!$E$70/Assumptions!$E$69/4</f>
        <v>100130.357142857</v>
      </c>
      <c r="J9595" s="54" t="n">
        <f aca="false">(J9589+J9591)*Assumptions!$E$70/Assumptions!$E$69/4</f>
        <v>100130.357142857</v>
      </c>
      <c r="K9595" s="54" t="n">
        <f aca="false">(K9589+K9591)*Assumptions!$E$70/Assumptions!$E$69/4</f>
        <v>100130.357142857</v>
      </c>
      <c r="L9595" s="54" t="n">
        <f aca="false">(L9589+L9591)*Assumptions!$E$70/Assumptions!$E$69/4</f>
        <v>100130.357142857</v>
      </c>
      <c r="M9595" s="54" t="n">
        <f aca="false">(M9589+M9591)*Assumptions!$E$70/Assumptions!$E$69/4</f>
        <v>100130.357142857</v>
      </c>
      <c r="N9595" s="54" t="n">
        <f aca="false">(N9589+N9591)*Assumptions!$E$70/Assumptions!$E$69/4</f>
        <v>100130.357142857</v>
      </c>
      <c r="P9595" s="55" t="n">
        <f aca="false">SUM(C9595:F9595)</f>
        <v>267014.285714286</v>
      </c>
      <c r="Q9595" s="55" t="n">
        <f aca="false">SUM(G9595:J9595)</f>
        <v>400521.428571429</v>
      </c>
      <c r="R9595" s="55" t="n">
        <f aca="false">SUM(K9595:N9595)</f>
        <v>400521.428571429</v>
      </c>
      <c r="S9595" s="56" t="n">
        <f aca="false">SUM(P9595:R9595)</f>
        <v>1068057.14285714</v>
      </c>
    </row>
    <row r="9596" customFormat="false" ht="15" hidden="false" customHeight="false" outlineLevel="0" collapsed="false">
      <c r="A9596" s="4" t="s">
        <v>555</v>
      </c>
      <c r="B9596" s="36" t="s">
        <v>125</v>
      </c>
      <c r="C9596" s="54" t="n">
        <f aca="false">C9590*$C$9525/4</f>
        <v>0</v>
      </c>
      <c r="D9596" s="54" t="n">
        <f aca="false">D9590*$C$9525/4</f>
        <v>0</v>
      </c>
      <c r="E9596" s="54" t="n">
        <f aca="false">E9590*$C$9525/4</f>
        <v>0</v>
      </c>
      <c r="F9596" s="54" t="n">
        <f aca="false">F9590*$C$9525/4</f>
        <v>0</v>
      </c>
      <c r="G9596" s="54" t="n">
        <f aca="false">G9590*$C$9525/4</f>
        <v>0</v>
      </c>
      <c r="H9596" s="54" t="n">
        <f aca="false">H9590*$C$9525/4</f>
        <v>0</v>
      </c>
      <c r="I9596" s="54" t="n">
        <f aca="false">I9590*$C$9525/4</f>
        <v>0</v>
      </c>
      <c r="J9596" s="54" t="n">
        <f aca="false">J9590*$C$9525/4</f>
        <v>0</v>
      </c>
      <c r="K9596" s="54" t="n">
        <f aca="false">K9590*$C$9525/4</f>
        <v>0</v>
      </c>
      <c r="L9596" s="54" t="n">
        <f aca="false">L9590*$C$9525/4</f>
        <v>0</v>
      </c>
      <c r="M9596" s="54" t="n">
        <f aca="false">M9590*$C$9525/4</f>
        <v>0</v>
      </c>
      <c r="N9596" s="54" t="n">
        <f aca="false">N9590*$C$9525/4</f>
        <v>0</v>
      </c>
      <c r="P9596" s="55" t="n">
        <f aca="false">SUM(C9596:F9596)</f>
        <v>0</v>
      </c>
      <c r="Q9596" s="55" t="n">
        <f aca="false">SUM(G9596:J9596)</f>
        <v>0</v>
      </c>
      <c r="R9596" s="55" t="n">
        <f aca="false">SUM(K9596:N9596)</f>
        <v>0</v>
      </c>
      <c r="S9596" s="56" t="n">
        <f aca="false">SUM(P9596:R9596)</f>
        <v>0</v>
      </c>
    </row>
    <row r="9597" customFormat="false" ht="15" hidden="false" customHeight="false" outlineLevel="0" collapsed="false">
      <c r="A9597" s="4" t="s">
        <v>556</v>
      </c>
      <c r="B9597" s="36" t="s">
        <v>125</v>
      </c>
      <c r="C9597" s="54" t="n">
        <f aca="false">MAX(0,(C9585-C9566*$C$9521)-C9545*$C$9526)*$C$9527*Assumptions!$D$105</f>
        <v>0</v>
      </c>
      <c r="D9597" s="54" t="n">
        <f aca="false">MAX(0,(D9585-D9566*$C$9521)-D9545*$C$9526)*$C$9527*Assumptions!$D$105</f>
        <v>6400.78127305776</v>
      </c>
      <c r="E9597" s="54" t="n">
        <f aca="false">MAX(0,(E9585-E9566*$C$9521)-E9545*$C$9526)*$C$9527*Assumptions!$D$105</f>
        <v>15372.8935213359</v>
      </c>
      <c r="F9597" s="54" t="n">
        <f aca="false">MAX(0,(F9585-F9566*$C$9521)-F9545*$C$9526)*$C$9527*Assumptions!$D$105</f>
        <v>19650.4521962156</v>
      </c>
      <c r="G9597" s="54" t="n">
        <f aca="false">MAX(0,(G9585-G9566*$C$9521)-G9545*$C$9526)*$C$9527*Assumptions!$D$105</f>
        <v>21588.4785925242</v>
      </c>
      <c r="H9597" s="54" t="n">
        <f aca="false">MAX(0,(H9585-H9566*$C$9521)-H9545*$C$9526)*$C$9527*Assumptions!$D$105</f>
        <v>25965.5901176292</v>
      </c>
      <c r="I9597" s="54" t="n">
        <f aca="false">MAX(0,(I9585-I9566*$C$9521)-I9545*$C$9526)*$C$9527*Assumptions!$D$105</f>
        <v>30956.3764923232</v>
      </c>
      <c r="J9597" s="54" t="n">
        <f aca="false">MAX(0,(J9585-J9566*$C$9521)-J9545*$C$9526)*$C$9527*Assumptions!$D$105</f>
        <v>41043.5155693295</v>
      </c>
      <c r="K9597" s="54" t="n">
        <f aca="false">MAX(0,(K9585-K9566*$C$9521)-K9545*$C$9526)*$C$9527*Assumptions!$D$105</f>
        <v>52920.1199959669</v>
      </c>
      <c r="L9597" s="54" t="n">
        <f aca="false">MAX(0,(L9585-L9566*$C$9521)-L9545*$C$9526)*$C$9527*Assumptions!$D$105</f>
        <v>57001.9584271313</v>
      </c>
      <c r="M9597" s="54" t="n">
        <f aca="false">MAX(0,(M9585-M9566*$C$9521)-M9545*$C$9526)*$C$9527*Assumptions!$D$105</f>
        <v>56056.1290680402</v>
      </c>
      <c r="N9597" s="54" t="n">
        <f aca="false">MAX(0,(N9585-N9566*$C$9521)-N9545*$C$9526)*$C$9527*Assumptions!$D$105</f>
        <v>54439.6934573137</v>
      </c>
      <c r="P9597" s="55" t="n">
        <f aca="false">SUM(C9597:F9597)</f>
        <v>41424.1269906092</v>
      </c>
      <c r="Q9597" s="55" t="n">
        <f aca="false">SUM(G9597:J9597)</f>
        <v>119553.960771806</v>
      </c>
      <c r="R9597" s="55" t="n">
        <f aca="false">SUM(K9597:N9597)</f>
        <v>220417.900948452</v>
      </c>
      <c r="S9597" s="56" t="n">
        <f aca="false">SUM(P9597:R9597)</f>
        <v>381395.988710868</v>
      </c>
    </row>
    <row r="9598" customFormat="false" ht="15" hidden="false" customHeight="false" outlineLevel="0" collapsed="false">
      <c r="A9598" s="4" t="s">
        <v>557</v>
      </c>
      <c r="B9598" s="36" t="s">
        <v>125</v>
      </c>
      <c r="C9598" s="54" t="n">
        <f aca="false">C9593*Assumptions!$E$71/Assumptions!$E$69/4</f>
        <v>18475.8928571429</v>
      </c>
      <c r="D9598" s="54" t="n">
        <f aca="false">D9593*Assumptions!$E$71/Assumptions!$E$69/4</f>
        <v>18475.8928571429</v>
      </c>
      <c r="E9598" s="54" t="n">
        <f aca="false">E9593*Assumptions!$E$71/Assumptions!$E$69/4</f>
        <v>18475.8928571429</v>
      </c>
      <c r="F9598" s="54" t="n">
        <f aca="false">F9593*Assumptions!$E$71/Assumptions!$E$69/4</f>
        <v>18475.8928571429</v>
      </c>
      <c r="G9598" s="54" t="n">
        <f aca="false">G9593*Assumptions!$E$71/Assumptions!$E$69/4</f>
        <v>18475.8928571429</v>
      </c>
      <c r="H9598" s="54" t="n">
        <f aca="false">H9593*Assumptions!$E$71/Assumptions!$E$69/4</f>
        <v>18475.8928571429</v>
      </c>
      <c r="I9598" s="54" t="n">
        <f aca="false">I9593*Assumptions!$E$71/Assumptions!$E$69/4</f>
        <v>18475.8928571429</v>
      </c>
      <c r="J9598" s="54" t="n">
        <f aca="false">J9593*Assumptions!$E$71/Assumptions!$E$69/4</f>
        <v>18475.8928571429</v>
      </c>
      <c r="K9598" s="54" t="n">
        <f aca="false">K9593*Assumptions!$E$71/Assumptions!$E$69/4</f>
        <v>18475.8928571429</v>
      </c>
      <c r="L9598" s="54" t="n">
        <f aca="false">L9593*Assumptions!$E$71/Assumptions!$E$69/4</f>
        <v>18475.8928571429</v>
      </c>
      <c r="M9598" s="54" t="n">
        <f aca="false">M9593*Assumptions!$E$71/Assumptions!$E$69/4</f>
        <v>18475.8928571429</v>
      </c>
      <c r="N9598" s="54" t="n">
        <f aca="false">N9593*Assumptions!$E$71/Assumptions!$E$69/4</f>
        <v>18475.8928571429</v>
      </c>
      <c r="P9598" s="55" t="n">
        <f aca="false">SUM(C9598:F9598)</f>
        <v>73903.5714285714</v>
      </c>
      <c r="Q9598" s="55" t="n">
        <f aca="false">SUM(G9598:J9598)</f>
        <v>73903.5714285714</v>
      </c>
      <c r="R9598" s="55" t="n">
        <f aca="false">SUM(K9598:N9598)</f>
        <v>73903.5714285714</v>
      </c>
      <c r="S9598" s="56" t="n">
        <f aca="false">SUM(P9598:R9598)</f>
        <v>221710.714285714</v>
      </c>
    </row>
    <row r="9599" customFormat="false" ht="15" hidden="false" customHeight="false" outlineLevel="0" collapsed="false">
      <c r="A9599" s="4" t="s">
        <v>558</v>
      </c>
      <c r="B9599" s="36" t="s">
        <v>125</v>
      </c>
      <c r="C9599" s="54" t="n">
        <f aca="false">(Assumptions!$D$103+Assumptions!$E$77*((C9530=Assumptions!$E$13)+(C9530=Assumptions!$E$14)+(C9530=Assumptions!$E$15)))*C9531</f>
        <v>65000</v>
      </c>
      <c r="D9599" s="54" t="n">
        <f aca="false">(Assumptions!$D$103+Assumptions!$E$77*((D9530=Assumptions!$E$13)+(D9530=Assumptions!$E$14)+(D9530=Assumptions!$E$15)))*D9531</f>
        <v>25000</v>
      </c>
      <c r="E9599" s="54" t="n">
        <f aca="false">(Assumptions!$D$103+Assumptions!$E$77*((E9530=Assumptions!$E$13)+(E9530=Assumptions!$E$14)+(E9530=Assumptions!$E$15)))*E9531</f>
        <v>25000</v>
      </c>
      <c r="F9599" s="54" t="n">
        <f aca="false">(Assumptions!$D$103+Assumptions!$E$77*((F9530=Assumptions!$E$13)+(F9530=Assumptions!$E$14)+(F9530=Assumptions!$E$15)))*F9531</f>
        <v>25000</v>
      </c>
      <c r="G9599" s="54" t="n">
        <f aca="false">(Assumptions!$D$103+Assumptions!$E$77*((G9530=Assumptions!$E$13)+(G9530=Assumptions!$E$14)+(G9530=Assumptions!$E$15)))*G9531</f>
        <v>65000</v>
      </c>
      <c r="H9599" s="54" t="n">
        <f aca="false">(Assumptions!$D$103+Assumptions!$E$77*((H9530=Assumptions!$E$13)+(H9530=Assumptions!$E$14)+(H9530=Assumptions!$E$15)))*H9531</f>
        <v>25000</v>
      </c>
      <c r="I9599" s="54" t="n">
        <f aca="false">(Assumptions!$D$103+Assumptions!$E$77*((I9530=Assumptions!$E$13)+(I9530=Assumptions!$E$14)+(I9530=Assumptions!$E$15)))*I9531</f>
        <v>65000</v>
      </c>
      <c r="J9599" s="54" t="n">
        <f aca="false">(Assumptions!$D$103+Assumptions!$E$77*((J9530=Assumptions!$E$13)+(J9530=Assumptions!$E$14)+(J9530=Assumptions!$E$15)))*J9531</f>
        <v>25000</v>
      </c>
      <c r="K9599" s="54" t="n">
        <f aca="false">(Assumptions!$D$103+Assumptions!$E$77*((K9530=Assumptions!$E$13)+(K9530=Assumptions!$E$14)+(K9530=Assumptions!$E$15)))*K9531</f>
        <v>25000</v>
      </c>
      <c r="L9599" s="54" t="n">
        <f aca="false">(Assumptions!$D$103+Assumptions!$E$77*((L9530=Assumptions!$E$13)+(L9530=Assumptions!$E$14)+(L9530=Assumptions!$E$15)))*L9531</f>
        <v>25000</v>
      </c>
      <c r="M9599" s="54" t="n">
        <f aca="false">(Assumptions!$D$103+Assumptions!$E$77*((M9530=Assumptions!$E$13)+(M9530=Assumptions!$E$14)+(M9530=Assumptions!$E$15)))*M9531</f>
        <v>25000</v>
      </c>
      <c r="N9599" s="54" t="n">
        <f aca="false">(Assumptions!$D$103+Assumptions!$E$77*((N9530=Assumptions!$E$13)+(N9530=Assumptions!$E$14)+(N9530=Assumptions!$E$15)))*N9531</f>
        <v>25000</v>
      </c>
      <c r="P9599" s="55" t="n">
        <f aca="false">SUM(C9599:F9599)</f>
        <v>140000</v>
      </c>
      <c r="Q9599" s="55" t="n">
        <f aca="false">SUM(G9599:J9599)</f>
        <v>180000</v>
      </c>
      <c r="R9599" s="55" t="n">
        <f aca="false">SUM(K9599:N9599)</f>
        <v>100000</v>
      </c>
      <c r="S9599" s="56" t="n">
        <f aca="false">SUM(P9599:R9599)</f>
        <v>420000</v>
      </c>
    </row>
    <row r="9600" customFormat="false" ht="15" hidden="false" customHeight="false" outlineLevel="0" collapsed="false">
      <c r="A9600" s="4" t="s">
        <v>559</v>
      </c>
      <c r="B9600" s="36" t="s">
        <v>125</v>
      </c>
      <c r="C9600" s="54" t="n">
        <f aca="false">C9585*C9565*Assumptions!$E$79</f>
        <v>0</v>
      </c>
      <c r="D9600" s="54" t="n">
        <f aca="false">D9585*D9565*Assumptions!$E$79</f>
        <v>1442.930102784</v>
      </c>
      <c r="E9600" s="54" t="n">
        <f aca="false">E9585*E9565*Assumptions!$E$79</f>
        <v>2922.85135512678</v>
      </c>
      <c r="F9600" s="54" t="n">
        <f aca="false">F9585*F9565*Assumptions!$E$79</f>
        <v>4456.80987041435</v>
      </c>
      <c r="G9600" s="54" t="n">
        <f aca="false">G9585*G9565*Assumptions!$E$79</f>
        <v>5584.93807147849</v>
      </c>
      <c r="H9600" s="54" t="n">
        <f aca="false">H9585*H9565*Assumptions!$E$79</f>
        <v>6367.27682381244</v>
      </c>
      <c r="I9600" s="54" t="n">
        <f aca="false">I9585*I9565*Assumptions!$E$79</f>
        <v>7384.52722009289</v>
      </c>
      <c r="J9600" s="54" t="n">
        <f aca="false">J9585*J9565*Assumptions!$E$79</f>
        <v>7819.1998558151</v>
      </c>
      <c r="K9600" s="54" t="n">
        <f aca="false">K9585*K9565*Assumptions!$E$79</f>
        <v>8858.03375672639</v>
      </c>
      <c r="L9600" s="54" t="n">
        <f aca="false">L9585*L9565*Assumptions!$E$79</f>
        <v>10459.8936881316</v>
      </c>
      <c r="M9600" s="54" t="n">
        <f aca="false">M9585*M9565*Assumptions!$E$79</f>
        <v>10587.3257516497</v>
      </c>
      <c r="N9600" s="54" t="n">
        <f aca="false">N9585*N9565*Assumptions!$E$79</f>
        <v>10582.958250274</v>
      </c>
      <c r="P9600" s="55" t="n">
        <f aca="false">SUM(C9600:F9600)</f>
        <v>8822.59132832513</v>
      </c>
      <c r="Q9600" s="55" t="n">
        <f aca="false">SUM(G9600:J9600)</f>
        <v>27155.9419711989</v>
      </c>
      <c r="R9600" s="55" t="n">
        <f aca="false">SUM(K9600:N9600)</f>
        <v>40488.2114467817</v>
      </c>
      <c r="S9600" s="56" t="n">
        <f aca="false">SUM(P9600:R9600)</f>
        <v>76466.7447463057</v>
      </c>
    </row>
    <row r="9601" customFormat="false" ht="15" hidden="false" customHeight="false" outlineLevel="0" collapsed="false">
      <c r="A9601" s="4" t="s">
        <v>560</v>
      </c>
      <c r="B9601" s="36" t="s">
        <v>125</v>
      </c>
      <c r="C9601" s="54" t="n">
        <f aca="false">C9550*Assumptions!$E$80</f>
        <v>4000</v>
      </c>
      <c r="D9601" s="54" t="n">
        <f aca="false">D9550*Assumptions!$E$80</f>
        <v>6000</v>
      </c>
      <c r="E9601" s="54" t="n">
        <f aca="false">E9550*Assumptions!$E$80</f>
        <v>8000</v>
      </c>
      <c r="F9601" s="54" t="n">
        <f aca="false">F9550*Assumptions!$E$80</f>
        <v>10000</v>
      </c>
      <c r="G9601" s="54" t="n">
        <f aca="false">G9550*Assumptions!$E$80</f>
        <v>12000</v>
      </c>
      <c r="H9601" s="54" t="n">
        <f aca="false">H9550*Assumptions!$E$80</f>
        <v>14000</v>
      </c>
      <c r="I9601" s="54" t="n">
        <f aca="false">I9550*Assumptions!$E$80</f>
        <v>16000</v>
      </c>
      <c r="J9601" s="54" t="n">
        <f aca="false">J9550*Assumptions!$E$80</f>
        <v>18000</v>
      </c>
      <c r="K9601" s="54" t="n">
        <f aca="false">K9550*Assumptions!$E$80</f>
        <v>20000</v>
      </c>
      <c r="L9601" s="54" t="n">
        <f aca="false">L9550*Assumptions!$E$80</f>
        <v>20000</v>
      </c>
      <c r="M9601" s="54" t="n">
        <f aca="false">M9550*Assumptions!$E$80</f>
        <v>20000</v>
      </c>
      <c r="N9601" s="54" t="n">
        <f aca="false">N9550*Assumptions!$E$80</f>
        <v>20000</v>
      </c>
      <c r="P9601" s="55" t="n">
        <f aca="false">SUM(C9601:F9601)</f>
        <v>28000</v>
      </c>
      <c r="Q9601" s="55" t="n">
        <f aca="false">SUM(G9601:J9601)</f>
        <v>60000</v>
      </c>
      <c r="R9601" s="55" t="n">
        <f aca="false">SUM(K9601:N9601)</f>
        <v>80000</v>
      </c>
      <c r="S9601" s="56" t="n">
        <f aca="false">SUM(P9601:R9601)</f>
        <v>168000</v>
      </c>
    </row>
    <row r="9602" customFormat="false" ht="15" hidden="false" customHeight="false" outlineLevel="0" collapsed="false">
      <c r="A9602" s="4" t="s">
        <v>561</v>
      </c>
      <c r="B9602" s="36" t="s">
        <v>125</v>
      </c>
      <c r="C9602" s="54" t="n">
        <f aca="false">(C9573*$C$9522+C9574*$C$9523)*Assumptions!$E$81</f>
        <v>0</v>
      </c>
      <c r="D9602" s="54" t="n">
        <f aca="false">(D9573*$C$9522+D9574*$C$9523)*Assumptions!$E$81</f>
        <v>1362.72421792407</v>
      </c>
      <c r="E9602" s="54" t="n">
        <f aca="false">(E9573*$C$9522+E9574*$C$9523)*Assumptions!$E$81</f>
        <v>3751.15832896699</v>
      </c>
      <c r="F9602" s="54" t="n">
        <f aca="false">(F9573*$C$9522+F9574*$C$9523)*Assumptions!$E$81</f>
        <v>5003.37450451703</v>
      </c>
      <c r="G9602" s="54" t="n">
        <f aca="false">(G9573*$C$9522+G9574*$C$9523)*Assumptions!$E$81</f>
        <v>5500.75665275923</v>
      </c>
      <c r="H9602" s="54" t="n">
        <f aca="false">(H9573*$C$9522+H9574*$C$9523)*Assumptions!$E$81</f>
        <v>6494.93409582733</v>
      </c>
      <c r="I9602" s="54" t="n">
        <f aca="false">(I9573*$C$9522+I9574*$C$9523)*Assumptions!$E$81</f>
        <v>7713.70617388755</v>
      </c>
      <c r="J9602" s="54" t="n">
        <f aca="false">(J9573*$C$9522+J9574*$C$9523)*Assumptions!$E$81</f>
        <v>9881.93506458236</v>
      </c>
      <c r="K9602" s="54" t="n">
        <f aca="false">(K9573*$C$9522+K9574*$C$9523)*Assumptions!$E$81</f>
        <v>12727.6383351871</v>
      </c>
      <c r="L9602" s="54" t="n">
        <f aca="false">(L9573*$C$9522+L9574*$C$9523)*Assumptions!$E$81</f>
        <v>14009.7254105075</v>
      </c>
      <c r="M9602" s="54" t="n">
        <f aca="false">(M9573*$C$9522+M9574*$C$9523)*Assumptions!$E$81</f>
        <v>13833.4930836511</v>
      </c>
      <c r="N9602" s="54" t="n">
        <f aca="false">(N9573*$C$9522+N9574*$C$9523)*Assumptions!$E$81</f>
        <v>13432.7425372414</v>
      </c>
      <c r="P9602" s="55" t="n">
        <f aca="false">SUM(C9602:F9602)</f>
        <v>10117.2570514081</v>
      </c>
      <c r="Q9602" s="55" t="n">
        <f aca="false">SUM(G9602:J9602)</f>
        <v>29591.3319870565</v>
      </c>
      <c r="R9602" s="55" t="n">
        <f aca="false">SUM(K9602:N9602)</f>
        <v>54003.5993665871</v>
      </c>
      <c r="S9602" s="56" t="n">
        <f aca="false">SUM(P9602:R9602)</f>
        <v>93712.1884050516</v>
      </c>
    </row>
    <row r="9603" customFormat="false" ht="15" hidden="false" customHeight="false" outlineLevel="0" collapsed="false">
      <c r="A9603" s="9" t="s">
        <v>562</v>
      </c>
      <c r="B9603" s="36" t="s">
        <v>125</v>
      </c>
      <c r="C9603" s="55" t="n">
        <f aca="false">C9595+C9596+C9597+C9598+C9599+C9600+C9601+C9602</f>
        <v>154229.464285714</v>
      </c>
      <c r="D9603" s="55" t="n">
        <f aca="false">D9595+D9596+D9597+D9598+D9599+D9600+D9601+D9602</f>
        <v>125435.89987948</v>
      </c>
      <c r="E9603" s="55" t="n">
        <f aca="false">E9595+E9596+E9597+E9598+E9599+E9600+E9601+E9602</f>
        <v>140276.367491144</v>
      </c>
      <c r="F9603" s="55" t="n">
        <f aca="false">F9595+F9596+F9597+F9598+F9599+F9600+F9601+F9602</f>
        <v>149340.100856861</v>
      </c>
      <c r="G9603" s="55" t="n">
        <f aca="false">G9595+G9596+G9597+G9598+G9599+G9600+G9601+G9602</f>
        <v>228280.423316762</v>
      </c>
      <c r="H9603" s="55" t="n">
        <f aca="false">H9595+H9596+H9597+H9598+H9599+H9600+H9601+H9602</f>
        <v>196434.051037269</v>
      </c>
      <c r="I9603" s="55" t="n">
        <f aca="false">I9595+I9596+I9597+I9598+I9599+I9600+I9601+I9602</f>
        <v>245660.859886304</v>
      </c>
      <c r="J9603" s="55" t="n">
        <f aca="false">J9595+J9596+J9597+J9598+J9599+J9600+J9601+J9602</f>
        <v>220350.900489727</v>
      </c>
      <c r="K9603" s="55" t="n">
        <f aca="false">K9595+K9596+K9597+K9598+K9599+K9600+K9601+K9602</f>
        <v>238112.04208788</v>
      </c>
      <c r="L9603" s="55" t="n">
        <f aca="false">L9595+L9596+L9597+L9598+L9599+L9600+L9601+L9602</f>
        <v>245077.82752577</v>
      </c>
      <c r="M9603" s="55" t="n">
        <f aca="false">M9595+M9596+M9597+M9598+M9599+M9600+M9601+M9602</f>
        <v>244083.197903341</v>
      </c>
      <c r="N9603" s="55" t="n">
        <f aca="false">N9595+N9596+N9597+N9598+N9599+N9600+N9601+N9602</f>
        <v>242061.644244829</v>
      </c>
      <c r="P9603" s="55" t="n">
        <f aca="false">SUM(C9603:F9603)</f>
        <v>569281.8325132</v>
      </c>
      <c r="Q9603" s="55" t="n">
        <f aca="false">SUM(G9603:J9603)</f>
        <v>890726.234730062</v>
      </c>
      <c r="R9603" s="55" t="n">
        <f aca="false">SUM(K9603:N9603)</f>
        <v>969334.711761821</v>
      </c>
      <c r="S9603" s="56" t="n">
        <f aca="false">SUM(P9603:R9603)</f>
        <v>2429342.77900508</v>
      </c>
    </row>
    <row r="9604" customFormat="false" ht="15" hidden="false" customHeight="false" outlineLevel="0" collapsed="false">
      <c r="A9604" s="4" t="s">
        <v>563</v>
      </c>
      <c r="B9604" s="36" t="s">
        <v>125</v>
      </c>
      <c r="C9604" s="54" t="n">
        <f aca="false">C9592*Assumptions!$E$72/Assumptions!$E$69/4</f>
        <v>56535.7142857143</v>
      </c>
      <c r="D9604" s="54" t="n">
        <f aca="false">D9592*Assumptions!$E$72/Assumptions!$E$69/4</f>
        <v>56535.7142857143</v>
      </c>
      <c r="E9604" s="54" t="n">
        <f aca="false">E9592*Assumptions!$E$72/Assumptions!$E$69/4</f>
        <v>56535.7142857143</v>
      </c>
      <c r="F9604" s="54" t="n">
        <f aca="false">F9592*Assumptions!$E$72/Assumptions!$E$69/4</f>
        <v>56535.7142857143</v>
      </c>
      <c r="G9604" s="54" t="n">
        <f aca="false">G9592*Assumptions!$E$72/Assumptions!$E$69/4</f>
        <v>28267.8571428571</v>
      </c>
      <c r="H9604" s="54" t="n">
        <f aca="false">H9592*Assumptions!$E$72/Assumptions!$E$69/4</f>
        <v>28267.8571428571</v>
      </c>
      <c r="I9604" s="54" t="n">
        <f aca="false">I9592*Assumptions!$E$72/Assumptions!$E$69/4</f>
        <v>28267.8571428571</v>
      </c>
      <c r="J9604" s="54" t="n">
        <f aca="false">J9592*Assumptions!$E$72/Assumptions!$E$69/4</f>
        <v>28267.8571428571</v>
      </c>
      <c r="K9604" s="54" t="n">
        <f aca="false">K9592*Assumptions!$E$72/Assumptions!$E$69/4</f>
        <v>28267.8571428571</v>
      </c>
      <c r="L9604" s="54" t="n">
        <f aca="false">L9592*Assumptions!$E$72/Assumptions!$E$69/4</f>
        <v>28267.8571428571</v>
      </c>
      <c r="M9604" s="54" t="n">
        <f aca="false">M9592*Assumptions!$E$72/Assumptions!$E$69/4</f>
        <v>28267.8571428571</v>
      </c>
      <c r="N9604" s="54" t="n">
        <f aca="false">N9592*Assumptions!$E$72/Assumptions!$E$69/4</f>
        <v>28267.8571428571</v>
      </c>
      <c r="P9604" s="55" t="n">
        <f aca="false">SUM(C9604:F9604)</f>
        <v>226142.857142857</v>
      </c>
      <c r="Q9604" s="55" t="n">
        <f aca="false">SUM(G9604:J9604)</f>
        <v>113071.428571429</v>
      </c>
      <c r="R9604" s="55" t="n">
        <f aca="false">SUM(K9604:N9604)</f>
        <v>113071.428571429</v>
      </c>
      <c r="S9604" s="56" t="n">
        <f aca="false">SUM(P9604:R9604)</f>
        <v>452285.714285714</v>
      </c>
    </row>
    <row r="9605" customFormat="false" ht="15" hidden="false" customHeight="false" outlineLevel="0" collapsed="false">
      <c r="A9605" s="4" t="s">
        <v>564</v>
      </c>
      <c r="B9605" s="36" t="s">
        <v>125</v>
      </c>
      <c r="C9605" s="54" t="n">
        <f aca="false">IF(C9530&lt;=Assumptions!$E$83,Assumptions!$E$82*Assumptions!$D$108/Assumptions!$E$83,0)</f>
        <v>62500</v>
      </c>
      <c r="D9605" s="54" t="n">
        <f aca="false">IF(D9530&lt;=Assumptions!$E$83,Assumptions!$E$82*Assumptions!$D$108/Assumptions!$E$83,0)</f>
        <v>62500</v>
      </c>
      <c r="E9605" s="54" t="n">
        <f aca="false">IF(E9530&lt;=Assumptions!$E$83,Assumptions!$E$82*Assumptions!$D$108/Assumptions!$E$83,0)</f>
        <v>62500</v>
      </c>
      <c r="F9605" s="54" t="n">
        <f aca="false">IF(F9530&lt;=Assumptions!$E$83,Assumptions!$E$82*Assumptions!$D$108/Assumptions!$E$83,0)</f>
        <v>62500</v>
      </c>
      <c r="G9605" s="54" t="n">
        <f aca="false">IF(G9530&lt;=Assumptions!$E$83,Assumptions!$E$82*Assumptions!$D$108/Assumptions!$E$83,0)</f>
        <v>0</v>
      </c>
      <c r="H9605" s="54" t="n">
        <f aca="false">IF(H9530&lt;=Assumptions!$E$83,Assumptions!$E$82*Assumptions!$D$108/Assumptions!$E$83,0)</f>
        <v>0</v>
      </c>
      <c r="I9605" s="54" t="n">
        <f aca="false">IF(I9530&lt;=Assumptions!$E$83,Assumptions!$E$82*Assumptions!$D$108/Assumptions!$E$83,0)</f>
        <v>0</v>
      </c>
      <c r="J9605" s="54" t="n">
        <f aca="false">IF(J9530&lt;=Assumptions!$E$83,Assumptions!$E$82*Assumptions!$D$108/Assumptions!$E$83,0)</f>
        <v>0</v>
      </c>
      <c r="K9605" s="54" t="n">
        <f aca="false">IF(K9530&lt;=Assumptions!$E$83,Assumptions!$E$82*Assumptions!$D$108/Assumptions!$E$83,0)</f>
        <v>0</v>
      </c>
      <c r="L9605" s="54" t="n">
        <f aca="false">IF(L9530&lt;=Assumptions!$E$83,Assumptions!$E$82*Assumptions!$D$108/Assumptions!$E$83,0)</f>
        <v>0</v>
      </c>
      <c r="M9605" s="54" t="n">
        <f aca="false">IF(M9530&lt;=Assumptions!$E$83,Assumptions!$E$82*Assumptions!$D$108/Assumptions!$E$83,0)</f>
        <v>0</v>
      </c>
      <c r="N9605" s="54" t="n">
        <f aca="false">IF(N9530&lt;=Assumptions!$E$83,Assumptions!$E$82*Assumptions!$D$108/Assumptions!$E$83,0)</f>
        <v>0</v>
      </c>
      <c r="P9605" s="55" t="n">
        <f aca="false">SUM(C9605:F9605)</f>
        <v>250000</v>
      </c>
      <c r="Q9605" s="55" t="n">
        <f aca="false">SUM(G9605:J9605)</f>
        <v>0</v>
      </c>
      <c r="R9605" s="55" t="n">
        <f aca="false">SUM(K9605:N9605)</f>
        <v>0</v>
      </c>
      <c r="S9605" s="56" t="n">
        <f aca="false">SUM(P9605:R9605)</f>
        <v>250000</v>
      </c>
    </row>
    <row r="9606" customFormat="false" ht="15" hidden="false" customHeight="false" outlineLevel="0" collapsed="false">
      <c r="A9606" s="4" t="s">
        <v>565</v>
      </c>
      <c r="B9606" s="36" t="s">
        <v>125</v>
      </c>
      <c r="C9606" s="54" t="n">
        <f aca="false">C9594*Assumptions!$E$73/Assumptions!$E$69/4</f>
        <v>0</v>
      </c>
      <c r="D9606" s="54" t="n">
        <f aca="false">D9594*Assumptions!$E$73/Assumptions!$E$69/4</f>
        <v>821.875799367571</v>
      </c>
      <c r="E9606" s="54" t="n">
        <f aca="false">E9594*Assumptions!$E$73/Assumptions!$E$69/4</f>
        <v>2310.47009596658</v>
      </c>
      <c r="F9606" s="54" t="n">
        <f aca="false">F9594*Assumptions!$E$73/Assumptions!$E$69/4</f>
        <v>3977.81152001033</v>
      </c>
      <c r="G9606" s="54" t="n">
        <f aca="false">G9594*Assumptions!$E$73/Assumptions!$E$69/4</f>
        <v>5767.57700799248</v>
      </c>
      <c r="H9606" s="54" t="n">
        <f aca="false">H9594*Assumptions!$E$73/Assumptions!$E$69/4</f>
        <v>7983.88429055979</v>
      </c>
      <c r="I9606" s="54" t="n">
        <f aca="false">I9594*Assumptions!$E$73/Assumptions!$E$69/4</f>
        <v>10605.5645721322</v>
      </c>
      <c r="J9606" s="54" t="n">
        <f aca="false">J9594*Assumptions!$E$73/Assumptions!$E$69/4</f>
        <v>14263.1613581783</v>
      </c>
      <c r="K9606" s="54" t="n">
        <f aca="false">K9594*Assumptions!$E$73/Assumptions!$E$69/4</f>
        <v>18898.1710344765</v>
      </c>
      <c r="L9606" s="54" t="n">
        <f aca="false">L9594*Assumptions!$E$73/Assumptions!$E$69/4</f>
        <v>23530.2304999141</v>
      </c>
      <c r="M9606" s="54" t="n">
        <f aca="false">M9594*Assumptions!$E$73/Assumptions!$E$69/4</f>
        <v>27903.3133463613</v>
      </c>
      <c r="N9606" s="54" t="n">
        <f aca="false">N9594*Assumptions!$E$73/Assumptions!$E$69/4</f>
        <v>32016.7625042681</v>
      </c>
      <c r="P9606" s="55" t="n">
        <f aca="false">SUM(C9606:F9606)</f>
        <v>7110.15741534448</v>
      </c>
      <c r="Q9606" s="55" t="n">
        <f aca="false">SUM(G9606:J9606)</f>
        <v>38620.1872288627</v>
      </c>
      <c r="R9606" s="55" t="n">
        <f aca="false">SUM(K9606:N9606)</f>
        <v>102348.47738502</v>
      </c>
      <c r="S9606" s="56" t="n">
        <f aca="false">SUM(P9606:R9606)</f>
        <v>148078.822029227</v>
      </c>
    </row>
    <row r="9607" customFormat="false" ht="15" hidden="false" customHeight="false" outlineLevel="0" collapsed="false">
      <c r="A9607" s="9" t="s">
        <v>566</v>
      </c>
      <c r="B9607" s="36" t="s">
        <v>125</v>
      </c>
      <c r="C9607" s="55" t="n">
        <f aca="false">C9603+C9604+C9605+C9606</f>
        <v>273265.178571429</v>
      </c>
      <c r="D9607" s="55" t="n">
        <f aca="false">D9603+D9604+D9605+D9606</f>
        <v>245293.489964562</v>
      </c>
      <c r="E9607" s="55" t="n">
        <f aca="false">E9603+E9604+E9605+E9606</f>
        <v>261622.551872825</v>
      </c>
      <c r="F9607" s="55" t="n">
        <f aca="false">F9603+F9604+F9605+F9606</f>
        <v>272353.626662586</v>
      </c>
      <c r="G9607" s="55" t="n">
        <f aca="false">G9603+G9604+G9605+G9606</f>
        <v>262315.857467612</v>
      </c>
      <c r="H9607" s="55" t="n">
        <f aca="false">H9603+H9604+H9605+H9606</f>
        <v>232685.792470686</v>
      </c>
      <c r="I9607" s="55" t="n">
        <f aca="false">I9603+I9604+I9605+I9606</f>
        <v>284534.281601293</v>
      </c>
      <c r="J9607" s="55" t="n">
        <f aca="false">J9603+J9604+J9605+J9606</f>
        <v>262881.918990762</v>
      </c>
      <c r="K9607" s="55" t="n">
        <f aca="false">K9603+K9604+K9605+K9606</f>
        <v>285278.070265214</v>
      </c>
      <c r="L9607" s="55" t="n">
        <f aca="false">L9603+L9604+L9605+L9606</f>
        <v>296875.915168542</v>
      </c>
      <c r="M9607" s="55" t="n">
        <f aca="false">M9603+M9604+M9605+M9606</f>
        <v>300254.368392559</v>
      </c>
      <c r="N9607" s="55" t="n">
        <f aca="false">N9603+N9604+N9605+N9606</f>
        <v>302346.263891954</v>
      </c>
      <c r="P9607" s="55" t="n">
        <f aca="false">SUM(C9607:F9607)</f>
        <v>1052534.8470714</v>
      </c>
      <c r="Q9607" s="55" t="n">
        <f aca="false">SUM(G9607:J9607)</f>
        <v>1042417.85053035</v>
      </c>
      <c r="R9607" s="55" t="n">
        <f aca="false">SUM(K9607:N9607)</f>
        <v>1184754.61771827</v>
      </c>
      <c r="S9607" s="56" t="n">
        <f aca="false">SUM(P9607:R9607)</f>
        <v>3279707.31532002</v>
      </c>
    </row>
    <row r="9608" customFormat="false" ht="15" hidden="false" customHeight="false" outlineLevel="0" collapsed="false">
      <c r="A9608" s="35" t="s">
        <v>567</v>
      </c>
      <c r="B9608" s="35" t="s">
        <v>444</v>
      </c>
      <c r="C9608" s="6" t="s">
        <v>354</v>
      </c>
      <c r="D9608" s="6" t="s">
        <v>355</v>
      </c>
      <c r="E9608" s="6" t="s">
        <v>356</v>
      </c>
      <c r="F9608" s="6" t="s">
        <v>357</v>
      </c>
      <c r="G9608" s="6" t="s">
        <v>358</v>
      </c>
      <c r="H9608" s="6" t="s">
        <v>359</v>
      </c>
      <c r="I9608" s="6" t="s">
        <v>360</v>
      </c>
      <c r="J9608" s="6" t="s">
        <v>361</v>
      </c>
      <c r="K9608" s="6" t="s">
        <v>362</v>
      </c>
      <c r="L9608" s="6" t="s">
        <v>363</v>
      </c>
      <c r="M9608" s="6" t="s">
        <v>364</v>
      </c>
      <c r="N9608" s="6" t="s">
        <v>365</v>
      </c>
      <c r="P9608" s="6" t="s">
        <v>445</v>
      </c>
      <c r="Q9608" s="6" t="s">
        <v>446</v>
      </c>
      <c r="R9608" s="6" t="s">
        <v>447</v>
      </c>
      <c r="S9608" s="6" t="s">
        <v>448</v>
      </c>
    </row>
    <row r="9609" customFormat="false" ht="15" hidden="false" customHeight="false" outlineLevel="0" collapsed="false">
      <c r="A9609" s="9" t="s">
        <v>568</v>
      </c>
      <c r="B9609" s="36" t="s">
        <v>125</v>
      </c>
      <c r="C9609" s="55" t="n">
        <f aca="false">C9587-C9607</f>
        <v>-273265.178571429</v>
      </c>
      <c r="D9609" s="55" t="n">
        <f aca="false">D9587-D9607</f>
        <v>-244017.142255299</v>
      </c>
      <c r="E9609" s="55" t="n">
        <f aca="false">E9587-E9607</f>
        <v>-256104.621409305</v>
      </c>
      <c r="F9609" s="55" t="n">
        <f aca="false">F9587-F9607</f>
        <v>-260085.557085369</v>
      </c>
      <c r="G9609" s="55" t="n">
        <f aca="false">G9587-G9607</f>
        <v>-242042.592769498</v>
      </c>
      <c r="H9609" s="55" t="n">
        <f aca="false">H9587-H9607</f>
        <v>-203036.178884241</v>
      </c>
      <c r="I9609" s="55" t="n">
        <f aca="false">I9587-I9607</f>
        <v>-243523.157464951</v>
      </c>
      <c r="J9609" s="55" t="n">
        <f aca="false">J9587-J9607</f>
        <v>-207344.531392881</v>
      </c>
      <c r="K9609" s="55" t="n">
        <f aca="false">K9587-K9607</f>
        <v>-210669.676456571</v>
      </c>
      <c r="L9609" s="55" t="n">
        <f aca="false">L9587-L9607</f>
        <v>-199873.137893625</v>
      </c>
      <c r="M9609" s="55" t="n">
        <f aca="false">M9587-M9607</f>
        <v>-179952.654278061</v>
      </c>
      <c r="N9609" s="55" t="n">
        <f aca="false">N9587-N9607</f>
        <v>-158834.149035862</v>
      </c>
      <c r="P9609" s="55" t="n">
        <f aca="false">SUM(C9609:F9609)</f>
        <v>-1033472.4993214</v>
      </c>
      <c r="Q9609" s="55" t="n">
        <f aca="false">SUM(G9609:J9609)</f>
        <v>-895946.460511571</v>
      </c>
      <c r="R9609" s="55" t="n">
        <f aca="false">SUM(K9609:N9609)</f>
        <v>-749329.617664118</v>
      </c>
      <c r="S9609" s="56" t="n">
        <f aca="false">SUM(P9609:R9609)</f>
        <v>-2678748.57749709</v>
      </c>
    </row>
    <row r="9610" customFormat="false" ht="15" hidden="false" customHeight="false" outlineLevel="0" collapsed="false">
      <c r="A9610" s="9" t="s">
        <v>569</v>
      </c>
      <c r="B9610" s="36" t="s">
        <v>125</v>
      </c>
      <c r="C9610" s="55" t="n">
        <f aca="false">0+C9609</f>
        <v>-273265.178571429</v>
      </c>
      <c r="D9610" s="55" t="n">
        <f aca="false">C9610+D9609</f>
        <v>-517282.320826727</v>
      </c>
      <c r="E9610" s="55" t="n">
        <f aca="false">D9610+E9609</f>
        <v>-773386.942236032</v>
      </c>
      <c r="F9610" s="55" t="n">
        <f aca="false">E9610+F9609</f>
        <v>-1033472.4993214</v>
      </c>
      <c r="G9610" s="55" t="n">
        <f aca="false">F9610+G9609</f>
        <v>-1275515.0920909</v>
      </c>
      <c r="H9610" s="55" t="n">
        <f aca="false">G9610+H9609</f>
        <v>-1478551.27097514</v>
      </c>
      <c r="I9610" s="55" t="n">
        <f aca="false">H9610+I9609</f>
        <v>-1722074.42844009</v>
      </c>
      <c r="J9610" s="55" t="n">
        <f aca="false">I9610+J9609</f>
        <v>-1929418.95983297</v>
      </c>
      <c r="K9610" s="55" t="n">
        <f aca="false">J9610+K9609</f>
        <v>-2140088.63628954</v>
      </c>
      <c r="L9610" s="55" t="n">
        <f aca="false">K9610+L9609</f>
        <v>-2339961.77418317</v>
      </c>
      <c r="M9610" s="55" t="n">
        <f aca="false">L9610+M9609</f>
        <v>-2519914.42846123</v>
      </c>
      <c r="N9610" s="55" t="n">
        <f aca="false">M9610+N9609</f>
        <v>-2678748.57749709</v>
      </c>
      <c r="P9610" s="55" t="n">
        <f aca="false">F9610</f>
        <v>-1033472.4993214</v>
      </c>
      <c r="Q9610" s="55" t="n">
        <f aca="false">J9610</f>
        <v>-1929418.95983297</v>
      </c>
      <c r="R9610" s="55" t="n">
        <f aca="false">N9610</f>
        <v>-2678748.57749709</v>
      </c>
      <c r="S9610" s="56" t="n">
        <f aca="false">R9610</f>
        <v>-2678748.57749709</v>
      </c>
    </row>
    <row r="9611" customFormat="false" ht="15" hidden="false" customHeight="false" outlineLevel="0" collapsed="false">
      <c r="A9611" s="4" t="s">
        <v>570</v>
      </c>
      <c r="B9611" s="36" t="s">
        <v>107</v>
      </c>
      <c r="C9611" s="57" t="n">
        <f aca="false">1/(1+Assumptions!$E$87)^(C9530/4)</f>
        <v>0.972065420906982</v>
      </c>
      <c r="D9611" s="57" t="n">
        <f aca="false">1/(1+Assumptions!$E$87)^(D9530/4)</f>
        <v>0.944911182523068</v>
      </c>
      <c r="E9611" s="57" t="n">
        <f aca="false">1/(1+Assumptions!$E$87)^(E9530/4)</f>
        <v>0.918515486359</v>
      </c>
      <c r="F9611" s="57" t="n">
        <f aca="false">1/(1+Assumptions!$E$87)^(F9530/4)</f>
        <v>0.892857142857143</v>
      </c>
      <c r="G9611" s="57" t="n">
        <f aca="false">1/(1+Assumptions!$E$87)^(G9530/4)</f>
        <v>0.867915554381234</v>
      </c>
      <c r="H9611" s="57" t="n">
        <f aca="false">1/(1+Assumptions!$E$87)^(H9530/4)</f>
        <v>0.843670698681311</v>
      </c>
      <c r="I9611" s="57" t="n">
        <f aca="false">1/(1+Assumptions!$E$87)^(I9530/4)</f>
        <v>0.820103112820536</v>
      </c>
      <c r="J9611" s="57" t="n">
        <f aca="false">1/(1+Assumptions!$E$87)^(J9530/4)</f>
        <v>0.79719387755102</v>
      </c>
      <c r="K9611" s="57" t="n">
        <f aca="false">1/(1+Assumptions!$E$87)^(K9530/4)</f>
        <v>0.774924602126102</v>
      </c>
      <c r="L9611" s="57" t="n">
        <f aca="false">1/(1+Assumptions!$E$87)^(L9530/4)</f>
        <v>0.753277409536885</v>
      </c>
      <c r="M9611" s="57" t="n">
        <f aca="false">1/(1+Assumptions!$E$87)^(M9530/4)</f>
        <v>0.732234922161193</v>
      </c>
      <c r="N9611" s="57" t="n">
        <f aca="false">1/(1+Assumptions!$E$87)^(N9530/4)</f>
        <v>0.711780247813411</v>
      </c>
      <c r="P9611" s="58"/>
      <c r="Q9611" s="58"/>
      <c r="R9611" s="58"/>
      <c r="S9611" s="59"/>
    </row>
    <row r="9612" customFormat="false" ht="15" hidden="false" customHeight="false" outlineLevel="0" collapsed="false">
      <c r="A9612" s="4" t="s">
        <v>571</v>
      </c>
      <c r="B9612" s="36" t="s">
        <v>125</v>
      </c>
      <c r="C9612" s="54" t="n">
        <f aca="false">(C9587*(1-Assumptions!$E$88)-C9607)*C9611</f>
        <v>-265631.630827257</v>
      </c>
      <c r="D9612" s="54" t="n">
        <f aca="false">(D9587*(1-Assumptions!$E$88)-D9607)*D9611</f>
        <v>-230815.733489008</v>
      </c>
      <c r="E9612" s="54" t="n">
        <f aca="false">(E9587*(1-Assumptions!$E$88)-E9607)*E9611</f>
        <v>-236249.721809234</v>
      </c>
      <c r="F9612" s="54" t="n">
        <f aca="false">(F9587*(1-Assumptions!$E$88)-F9607)*F9611</f>
        <v>-234409.974107868</v>
      </c>
      <c r="G9612" s="54" t="n">
        <f aca="false">(G9587*(1-Assumptions!$E$88)-G9607)*G9611</f>
        <v>-213591.627441326</v>
      </c>
      <c r="H9612" s="54" t="n">
        <f aca="false">(H9587*(1-Assumptions!$E$88)-H9607)*H9611</f>
        <v>-176298.576938873</v>
      </c>
      <c r="I9612" s="54" t="n">
        <f aca="false">(I9587*(1-Assumptions!$E$88)-I9607)*I9611</f>
        <v>-206440.769593788</v>
      </c>
      <c r="J9612" s="54" t="n">
        <f aca="false">(J9587*(1-Assumptions!$E$88)-J9607)*J9611</f>
        <v>-174148.604043732</v>
      </c>
      <c r="K9612" s="54" t="n">
        <f aca="false">(K9587*(1-Assumptions!$E$88)-K9607)*K9611</f>
        <v>-174816.291185629</v>
      </c>
      <c r="L9612" s="54" t="n">
        <f aca="false">(L9587*(1-Assumptions!$E$88)-L9607)*L9611</f>
        <v>-165173.919705225</v>
      </c>
      <c r="M9612" s="54" t="n">
        <f aca="false">(M9587*(1-Assumptions!$E$88)-M9607)*M9611</f>
        <v>-149385.441052093</v>
      </c>
      <c r="N9612" s="54" t="n">
        <f aca="false">(N9587*(1-Assumptions!$E$88)-N9607)*N9611</f>
        <v>-133484.827697277</v>
      </c>
      <c r="P9612" s="55" t="n">
        <f aca="false">SUM(C9612:F9612)</f>
        <v>-967107.060233367</v>
      </c>
      <c r="Q9612" s="55" t="n">
        <f aca="false">SUM(G9612:J9612)</f>
        <v>-770479.578017719</v>
      </c>
      <c r="R9612" s="55" t="n">
        <f aca="false">SUM(K9612:N9612)</f>
        <v>-622860.479640224</v>
      </c>
      <c r="S9612" s="56" t="n">
        <f aca="false">SUM(P9612:R9612)</f>
        <v>-2360447.11789131</v>
      </c>
    </row>
    <row r="9613" customFormat="false" ht="15" hidden="false" customHeight="false" outlineLevel="0" collapsed="false">
      <c r="A9613" s="4" t="s">
        <v>572</v>
      </c>
      <c r="B9613" s="36" t="s">
        <v>125</v>
      </c>
      <c r="C9613" s="54" t="n">
        <f aca="false">(C9607-C9606)*12/(Assumptions!$E$89*Assumptions!$E$76)*Assumptions!$E$90</f>
        <v>189183.585164835</v>
      </c>
      <c r="D9613" s="54" t="n">
        <f aca="false">(D9607-D9606)*12/(Assumptions!$E$89*Assumptions!$E$76)*Assumptions!$E$90</f>
        <v>169249.579037442</v>
      </c>
      <c r="E9613" s="54" t="n">
        <f aca="false">(E9607-E9606)*12/(Assumptions!$E$89*Assumptions!$E$76)*Assumptions!$E$90</f>
        <v>179523.74892244</v>
      </c>
      <c r="F9613" s="54" t="n">
        <f aca="false">(F9607-F9606)*12/(Assumptions!$E$89*Assumptions!$E$76)*Assumptions!$E$90</f>
        <v>185798.641252552</v>
      </c>
      <c r="G9613" s="54" t="n">
        <f aca="false">(G9607-G9606)*12/(Assumptions!$E$89*Assumptions!$E$76)*Assumptions!$E$90</f>
        <v>177610.348010505</v>
      </c>
      <c r="H9613" s="54" t="n">
        <f aca="false">(H9607-H9606)*12/(Assumptions!$E$89*Assumptions!$E$76)*Assumptions!$E$90</f>
        <v>155562.859509318</v>
      </c>
      <c r="I9613" s="54" t="n">
        <f aca="false">(I9607-I9606)*12/(Assumptions!$E$89*Assumptions!$E$76)*Assumptions!$E$90</f>
        <v>189642.957943265</v>
      </c>
      <c r="J9613" s="54" t="n">
        <f aca="false">(J9607-J9606)*12/(Assumptions!$E$89*Assumptions!$E$76)*Assumptions!$E$90</f>
        <v>172120.67836102</v>
      </c>
      <c r="K9613" s="54" t="n">
        <f aca="false">(K9607-K9606)*12/(Assumptions!$E$89*Assumptions!$E$76)*Assumptions!$E$90</f>
        <v>184416.853313588</v>
      </c>
      <c r="L9613" s="54" t="n">
        <f aca="false">(L9607-L9606)*12/(Assumptions!$E$89*Assumptions!$E$76)*Assumptions!$E$90</f>
        <v>189239.320155204</v>
      </c>
      <c r="M9613" s="54" t="n">
        <f aca="false">(M9607-M9606)*12/(Assumptions!$E$89*Assumptions!$E$76)*Assumptions!$E$90</f>
        <v>188550.730416599</v>
      </c>
      <c r="N9613" s="54" t="n">
        <f aca="false">(N9607-N9606)*12/(Assumptions!$E$89*Assumptions!$E$76)*Assumptions!$E$90</f>
        <v>187151.193268398</v>
      </c>
      <c r="P9613" s="55" t="n">
        <f aca="false">SUM(C9613:F9613)</f>
        <v>723755.55437727</v>
      </c>
      <c r="Q9613" s="55" t="n">
        <f aca="false">SUM(G9613:J9613)</f>
        <v>694936.843824109</v>
      </c>
      <c r="R9613" s="55" t="n">
        <f aca="false">SUM(K9613:N9613)</f>
        <v>749358.097153788</v>
      </c>
      <c r="S9613" s="56" t="n">
        <f aca="false">SUM(P9613:R9613)</f>
        <v>2168050.49535517</v>
      </c>
    </row>
    <row r="9614" customFormat="false" ht="15" hidden="false" customHeight="false" outlineLevel="0" collapsed="false">
      <c r="A9614" s="4" t="s">
        <v>573</v>
      </c>
      <c r="B9614" s="36" t="s">
        <v>125</v>
      </c>
      <c r="C9614" s="54" t="n">
        <f aca="false">0*Assumptions!$E$92^(1/4)+C9613</f>
        <v>189183.585164835</v>
      </c>
      <c r="D9614" s="54" t="n">
        <f aca="false">C9614*Assumptions!$E$92^(1/4)+D9613</f>
        <v>358904.359844457</v>
      </c>
      <c r="E9614" s="54" t="n">
        <f aca="false">D9614*Assumptions!$E$92^(1/4)+E9613</f>
        <v>539322.024431781</v>
      </c>
      <c r="F9614" s="54" t="n">
        <f aca="false">E9614*Assumptions!$E$92^(1/4)+F9613</f>
        <v>726463.943894344</v>
      </c>
      <c r="G9614" s="54" t="n">
        <f aca="false">F9614*Assumptions!$E$92^(1/4)+G9613</f>
        <v>905883.680622507</v>
      </c>
      <c r="H9614" s="54" t="n">
        <f aca="false">G9614*Assumptions!$E$92^(1/4)+H9613</f>
        <v>1063702.80587633</v>
      </c>
      <c r="I9614" s="54" t="n">
        <f aca="false">H9614*Assumptions!$E$92^(1/4)+I9613</f>
        <v>1255995.10639478</v>
      </c>
      <c r="J9614" s="54" t="n">
        <f aca="false">I9614*Assumptions!$E$92^(1/4)+J9613</f>
        <v>1431244.06578618</v>
      </c>
      <c r="K9614" s="54" t="n">
        <f aca="false">J9614*Assumptions!$E$92^(1/4)+K9613</f>
        <v>1619225.68908817</v>
      </c>
      <c r="L9614" s="54" t="n">
        <f aca="false">K9614*Assumptions!$E$92^(1/4)+L9613</f>
        <v>1812497.9811724</v>
      </c>
      <c r="M9614" s="54" t="n">
        <f aca="false">L9614*Assumptions!$E$92^(1/4)+M9613</f>
        <v>2005563.06281796</v>
      </c>
      <c r="N9614" s="54" t="n">
        <f aca="false">M9614*Assumptions!$E$92^(1/4)+N9613</f>
        <v>2197709.47052048</v>
      </c>
      <c r="P9614" s="55" t="n">
        <f aca="false">F9614</f>
        <v>726463.943894344</v>
      </c>
      <c r="Q9614" s="55" t="n">
        <f aca="false">J9614</f>
        <v>1431244.06578618</v>
      </c>
      <c r="R9614" s="55" t="n">
        <f aca="false">N9614</f>
        <v>2197709.47052048</v>
      </c>
      <c r="S9614" s="56" t="n">
        <f aca="false">R9614</f>
        <v>2197709.47052048</v>
      </c>
    </row>
    <row r="9615" customFormat="false" ht="15" hidden="false" customHeight="false" outlineLevel="0" collapsed="false">
      <c r="A9615" s="4" t="s">
        <v>574</v>
      </c>
      <c r="B9615" s="36" t="s">
        <v>125</v>
      </c>
      <c r="C9615" s="54" t="n">
        <f aca="false">(0+C9614)/8*Assumptions!$E$76-(C9607-C9606)-C9614*Assumptions!$E$93/4</f>
        <v>-260258.807091346</v>
      </c>
      <c r="D9615" s="54" t="n">
        <f aca="false">(C9614+D9614)/8*Assumptions!$E$76-(D9607-D9606)-D9614*Assumptions!$E$93/4</f>
        <v>-204425.773131245</v>
      </c>
      <c r="E9615" s="54" t="n">
        <f aca="false">(D9614+E9614)/8*Assumptions!$E$76-(E9607-E9606)-E9614*Assumptions!$E$93/4</f>
        <v>-193072.713359811</v>
      </c>
      <c r="F9615" s="54" t="n">
        <f aca="false">(E9614+F9614)/8*Assumptions!$E$76-(F9607-F9606)-F9614*Assumptions!$E$93/4</f>
        <v>-174611.504514757</v>
      </c>
      <c r="G9615" s="54" t="n">
        <f aca="false">(F9614+G9614)/8*Assumptions!$E$76-(G9607-G9606)-G9614*Assumptions!$E$93/4</f>
        <v>-135243.581975406</v>
      </c>
      <c r="H9615" s="54" t="n">
        <f aca="false">(G9614+H9614)/8*Assumptions!$E$76-(H9607-H9606)-H9614*Assumptions!$E$93/4</f>
        <v>-77969.2912255496</v>
      </c>
      <c r="I9615" s="54" t="n">
        <f aca="false">(H9614+I9614)/8*Assumptions!$E$76-(I9607-I9606)-I9614*Assumptions!$E$93/4</f>
        <v>-101153.200487068</v>
      </c>
      <c r="J9615" s="54" t="n">
        <f aca="false">(I9614+J9614)/8*Assumptions!$E$76-(J9607-J9606)-J9614*Assumptions!$E$93/4</f>
        <v>-48171.1257152081</v>
      </c>
      <c r="K9615" s="54" t="n">
        <f aca="false">(J9614+K9614)/8*Assumptions!$E$76-(K9607-K9606)-K9614*Assumptions!$E$93/4</f>
        <v>-38769.5527607983</v>
      </c>
      <c r="L9615" s="54" t="n">
        <f aca="false">(K9614+L9614)/8*Assumptions!$E$76-(L9607-L9606)-L9614*Assumptions!$E$93/4</f>
        <v>-17174.3612246109</v>
      </c>
      <c r="M9615" s="54" t="n">
        <f aca="false">(L9614+M9614)/8*Assumptions!$E$76-(M9607-M9606)-M9614*Assumptions!$E$93/4</f>
        <v>12796.8664927944</v>
      </c>
      <c r="N9615" s="54" t="n">
        <f aca="false">(M9614+N9614)/8*Assumptions!$E$76-(N9607-N9606)-N9614*Assumptions!$E$93/4</f>
        <v>43715.023564556</v>
      </c>
      <c r="P9615" s="55" t="n">
        <f aca="false">SUM(C9615:F9615)</f>
        <v>-832368.79809716</v>
      </c>
      <c r="Q9615" s="55" t="n">
        <f aca="false">SUM(G9615:J9615)</f>
        <v>-362537.199403232</v>
      </c>
      <c r="R9615" s="55" t="n">
        <f aca="false">SUM(K9615:N9615)</f>
        <v>567.976071941084</v>
      </c>
      <c r="S9615" s="56" t="n">
        <f aca="false">SUM(P9615:R9615)</f>
        <v>-1194338.02142845</v>
      </c>
    </row>
    <row r="9616" customFormat="false" ht="15" hidden="false" customHeight="false" outlineLevel="0" collapsed="false">
      <c r="A9616" s="4" t="s">
        <v>575</v>
      </c>
      <c r="B9616" s="36" t="s">
        <v>125</v>
      </c>
      <c r="C9616" s="54" t="n">
        <f aca="false">C9615*C9611</f>
        <v>-252988.586859998</v>
      </c>
      <c r="D9616" s="54" t="n">
        <f aca="false">D9615*D9611</f>
        <v>-193164.199027637</v>
      </c>
      <c r="E9616" s="54" t="n">
        <f aca="false">E9615*E9611</f>
        <v>-177340.277214339</v>
      </c>
      <c r="F9616" s="54" t="n">
        <f aca="false">F9615*F9611</f>
        <v>-155903.129031033</v>
      </c>
      <c r="G9616" s="54" t="n">
        <f aca="false">G9615*G9611</f>
        <v>-117380.008426689</v>
      </c>
      <c r="H9616" s="54" t="n">
        <f aca="false">H9615*H9611</f>
        <v>-65780.406403946</v>
      </c>
      <c r="I9616" s="54" t="n">
        <f aca="false">I9615*I9611</f>
        <v>-82956.054591204</v>
      </c>
      <c r="J9616" s="54" t="n">
        <f aca="false">J9615*J9611</f>
        <v>-38401.7264949044</v>
      </c>
      <c r="K9616" s="54" t="n">
        <f aca="false">K9615*K9611</f>
        <v>-30043.4802477686</v>
      </c>
      <c r="L9616" s="54" t="n">
        <f aca="false">L9615*L9611</f>
        <v>-12937.0583337256</v>
      </c>
      <c r="M9616" s="54" t="n">
        <f aca="false">M9615*M9611</f>
        <v>9370.31254025845</v>
      </c>
      <c r="N9616" s="54" t="n">
        <f aca="false">N9615*N9611</f>
        <v>31115.4903059488</v>
      </c>
      <c r="P9616" s="55" t="n">
        <f aca="false">SUM(C9616:F9616)</f>
        <v>-779396.192133008</v>
      </c>
      <c r="Q9616" s="55" t="n">
        <f aca="false">SUM(G9616:J9616)</f>
        <v>-304518.195916743</v>
      </c>
      <c r="R9616" s="55" t="n">
        <f aca="false">SUM(K9616:N9616)</f>
        <v>-2494.73573528698</v>
      </c>
      <c r="S9616" s="56" t="n">
        <f aca="false">SUM(P9616:R9616)</f>
        <v>-1086409.12378504</v>
      </c>
    </row>
    <row r="9617" customFormat="false" ht="15" hidden="false" customHeight="false" outlineLevel="0" collapsed="false">
      <c r="A9617" s="4" t="s">
        <v>576</v>
      </c>
      <c r="B9617" s="36"/>
      <c r="C9617" s="37" t="n">
        <f aca="false">IFERROR((S9572*$C$9521*Assumptions!$E$59+S9573*$C$9522*Assumptions!$E$60+S9574*$C$9523*Assumptions!$E$61)/(S9572*$C$9521+S9573*$C$9522+S9574*$C$9523),0.9)</f>
        <v>0.900030546477045</v>
      </c>
    </row>
    <row r="9618" customFormat="false" ht="15" hidden="false" customHeight="false" outlineLevel="0" collapsed="false">
      <c r="A9618" s="4" t="s">
        <v>577</v>
      </c>
      <c r="B9618" s="36"/>
      <c r="C9618" s="37" t="n">
        <f aca="false">IFERROR(N9606*4/N9584,0)</f>
        <v>0.134205167601311</v>
      </c>
    </row>
    <row r="9619" customFormat="false" ht="15" hidden="false" customHeight="false" outlineLevel="0" collapsed="false">
      <c r="A9619" s="4" t="s">
        <v>578</v>
      </c>
      <c r="B9619" s="36"/>
      <c r="C9619" s="60" t="n">
        <f aca="false">$C$9617/(1+Assumptions!$E$87)</f>
        <v>0.803598702211647</v>
      </c>
    </row>
    <row r="9620" customFormat="false" ht="15" hidden="false" customHeight="false" outlineLevel="0" collapsed="false">
      <c r="A9620" s="4" t="s">
        <v>579</v>
      </c>
      <c r="B9620" s="36"/>
      <c r="C9620" s="60" t="n">
        <f aca="false">Assumptions!$E$91/(1+Assumptions!$E$87)</f>
        <v>0.803571428571429</v>
      </c>
    </row>
    <row r="9621" customFormat="false" ht="15" hidden="false" customHeight="false" outlineLevel="0" collapsed="false">
      <c r="A9621" s="35" t="s">
        <v>580</v>
      </c>
      <c r="B9621" s="35" t="s">
        <v>444</v>
      </c>
      <c r="C9621" s="6" t="s">
        <v>354</v>
      </c>
      <c r="D9621" s="6" t="s">
        <v>355</v>
      </c>
      <c r="E9621" s="6" t="s">
        <v>356</v>
      </c>
      <c r="F9621" s="6" t="s">
        <v>357</v>
      </c>
      <c r="G9621" s="6" t="s">
        <v>358</v>
      </c>
      <c r="H9621" s="6" t="s">
        <v>359</v>
      </c>
      <c r="I9621" s="6" t="s">
        <v>360</v>
      </c>
      <c r="J9621" s="6" t="s">
        <v>361</v>
      </c>
      <c r="K9621" s="6" t="s">
        <v>362</v>
      </c>
      <c r="L9621" s="6" t="s">
        <v>363</v>
      </c>
      <c r="M9621" s="6" t="s">
        <v>364</v>
      </c>
      <c r="N9621" s="6" t="s">
        <v>365</v>
      </c>
      <c r="P9621" s="6" t="s">
        <v>445</v>
      </c>
      <c r="Q9621" s="6" t="s">
        <v>446</v>
      </c>
      <c r="R9621" s="6" t="s">
        <v>447</v>
      </c>
      <c r="S9621" s="6" t="s">
        <v>448</v>
      </c>
    </row>
    <row r="9622" customFormat="false" ht="15" hidden="false" customHeight="false" outlineLevel="0" collapsed="false">
      <c r="A9622" s="9" t="s">
        <v>581</v>
      </c>
      <c r="C9622" s="61" t="n">
        <f aca="false">N9584</f>
        <v>954263.180070133</v>
      </c>
      <c r="D9622" s="61"/>
    </row>
    <row r="9623" customFormat="false" ht="15" hidden="false" customHeight="false" outlineLevel="0" collapsed="false">
      <c r="A9623" s="9" t="s">
        <v>582</v>
      </c>
      <c r="C9623" s="62" t="n">
        <f aca="false">N9580</f>
        <v>70.7544272202844</v>
      </c>
      <c r="D9623" s="62"/>
    </row>
    <row r="9624" customFormat="false" ht="15" hidden="false" customHeight="false" outlineLevel="0" collapsed="false">
      <c r="A9624" s="9" t="s">
        <v>583</v>
      </c>
      <c r="C9624" s="63" t="n">
        <f aca="false">S9575</f>
        <v>78.2130278037053</v>
      </c>
      <c r="D9624" s="63"/>
    </row>
    <row r="9625" customFormat="false" ht="15" hidden="false" customHeight="false" outlineLevel="0" collapsed="false">
      <c r="A9625" s="9" t="s">
        <v>584</v>
      </c>
      <c r="C9625" s="61" t="n">
        <f aca="false">S9586</f>
        <v>924551.904342976</v>
      </c>
      <c r="D9625" s="61"/>
    </row>
    <row r="9626" customFormat="false" ht="15" hidden="false" customHeight="false" outlineLevel="0" collapsed="false">
      <c r="A9626" s="9" t="s">
        <v>22</v>
      </c>
      <c r="C9626" s="61" t="n">
        <f aca="false">IFERROR(S9585/S9575,0)</f>
        <v>11510.5645565567</v>
      </c>
      <c r="D9626" s="61"/>
    </row>
    <row r="9627" customFormat="false" ht="15" hidden="false" customHeight="false" outlineLevel="0" collapsed="false">
      <c r="A9627" s="9" t="s">
        <v>585</v>
      </c>
      <c r="C9627" s="61" t="n">
        <f aca="false">IFERROR(S9603/S9575,0)</f>
        <v>31060.5898687635</v>
      </c>
      <c r="D9627" s="61"/>
    </row>
    <row r="9628" customFormat="false" ht="23.85" hidden="false" customHeight="false" outlineLevel="0" collapsed="false">
      <c r="A9628" s="9" t="s">
        <v>586</v>
      </c>
      <c r="C9628" s="61" t="n">
        <f aca="false">IFERROR((S9597+S9599+S9600+S9601+S9602)/S9575,0)</f>
        <v>14570.1420065499</v>
      </c>
      <c r="D9628" s="61"/>
    </row>
    <row r="9629" customFormat="false" ht="15" hidden="false" customHeight="false" outlineLevel="0" collapsed="false">
      <c r="A9629" s="9" t="s">
        <v>587</v>
      </c>
      <c r="C9629" s="64" t="n">
        <f aca="false">IFERROR('Engine Runs'!$C$9627/('Engine Runs'!$C$9626*Assumptions!$E$76/12),0)</f>
        <v>49.8173892064757</v>
      </c>
      <c r="D9629" s="64"/>
    </row>
    <row r="9630" customFormat="false" ht="15" hidden="false" customHeight="false" outlineLevel="0" collapsed="false">
      <c r="A9630" s="9" t="s">
        <v>588</v>
      </c>
      <c r="C9630" s="64" t="n">
        <f aca="false">IFERROR((R9603/R9575)/((R9585/R9575)*Assumptions!$E$76/12),0)</f>
        <v>34.3657532061945</v>
      </c>
      <c r="D9630" s="64"/>
    </row>
    <row r="9631" customFormat="false" ht="15" hidden="false" customHeight="false" outlineLevel="0" collapsed="false">
      <c r="A9631" s="9" t="s">
        <v>589</v>
      </c>
      <c r="C9631" s="61" t="n">
        <f aca="false">S9607</f>
        <v>3279707.31532002</v>
      </c>
      <c r="D9631" s="61"/>
    </row>
    <row r="9632" customFormat="false" ht="15" hidden="false" customHeight="false" outlineLevel="0" collapsed="false">
      <c r="A9632" s="9" t="s">
        <v>590</v>
      </c>
      <c r="C9632" s="61" t="n">
        <f aca="false">N9610</f>
        <v>-2678748.57749709</v>
      </c>
      <c r="D9632" s="61"/>
    </row>
    <row r="9633" customFormat="false" ht="15" hidden="false" customHeight="false" outlineLevel="0" collapsed="false">
      <c r="A9633" s="9" t="s">
        <v>591</v>
      </c>
      <c r="C9633" s="61" t="n">
        <f aca="false">MIN($C$9610:$N$9610)</f>
        <v>-2678748.57749709</v>
      </c>
      <c r="D9633" s="61"/>
    </row>
    <row r="9634" customFormat="false" ht="15" hidden="false" customHeight="false" outlineLevel="0" collapsed="false">
      <c r="A9634" s="9" t="s">
        <v>592</v>
      </c>
      <c r="C9634" s="61" t="n">
        <f aca="false">N9584*(Assumptions!$E$76-$C$9618)*$C$9617*(1-$C$9617^Assumptions!$E$85)/(1-$C$9617)</f>
        <v>1814234.0089551</v>
      </c>
      <c r="D9634" s="61"/>
    </row>
    <row r="9635" customFormat="false" ht="15" hidden="false" customHeight="false" outlineLevel="0" collapsed="false">
      <c r="A9635" s="9" t="s">
        <v>593</v>
      </c>
      <c r="C9635" s="61" t="n">
        <f aca="false">N9584*(Assumptions!$E$76-$C$9618)*(1-Assumptions!$E$88)/(1+Assumptions!$E$87)^2.5*$C$9619*(1-$C$9619^Assumptions!$E$85)/(1-$C$9619)</f>
        <v>806919.760208658</v>
      </c>
      <c r="D9635" s="61"/>
    </row>
    <row r="9636" customFormat="false" ht="15" hidden="false" customHeight="false" outlineLevel="0" collapsed="false">
      <c r="A9636" s="9" t="s">
        <v>594</v>
      </c>
      <c r="C9636" s="61" t="n">
        <f aca="false">SUM($C$9612:$N$9612)+'Engine Runs'!$C$9635</f>
        <v>-1553527.35768265</v>
      </c>
      <c r="D9636" s="61"/>
    </row>
    <row r="9637" customFormat="false" ht="15" hidden="false" customHeight="false" outlineLevel="0" collapsed="false">
      <c r="A9637" s="9" t="s">
        <v>595</v>
      </c>
      <c r="C9637" s="61" t="n">
        <f aca="false">SUM($C$9616:$N$9616)+N9614*(Assumptions!$E$76-Assumptions!$E$93)/(1+Assumptions!$E$87)^2.5*$C$9620*(1-$C$9620^Assumptions!$E$85)/(1-$C$9620)</f>
        <v>1615550.38723583</v>
      </c>
      <c r="D9637" s="61"/>
    </row>
    <row r="9638" customFormat="false" ht="15" hidden="false" customHeight="false" outlineLevel="0" collapsed="false">
      <c r="A9638" s="9" t="s">
        <v>596</v>
      </c>
      <c r="C9638" s="61" t="n">
        <f aca="false">'Engine Runs'!$C$9636-'Engine Runs'!$C$9637</f>
        <v>-3169077.74491849</v>
      </c>
      <c r="D9638" s="61"/>
    </row>
    <row r="9639" customFormat="false" ht="15" hidden="false" customHeight="false" outlineLevel="0" collapsed="false">
      <c r="A9639" s="9" t="s">
        <v>597</v>
      </c>
      <c r="C9639" s="61" t="n">
        <f aca="false">S9571</f>
        <v>0</v>
      </c>
      <c r="D9639" s="61"/>
    </row>
    <row r="9640" customFormat="false" ht="15" hidden="false" customHeight="false" outlineLevel="0" collapsed="false">
      <c r="A9640" s="9" t="s">
        <v>598</v>
      </c>
      <c r="C9640" s="63" t="n">
        <f aca="false">P9555</f>
        <v>43.6188722246667</v>
      </c>
      <c r="D9640" s="63"/>
    </row>
    <row r="9641" customFormat="false" ht="15" hidden="false" customHeight="false" outlineLevel="0" collapsed="false">
      <c r="A9641" s="9" t="s">
        <v>599</v>
      </c>
      <c r="C9641" s="63" t="n">
        <f aca="false">P9575</f>
        <v>8.83229864212342</v>
      </c>
      <c r="D9641" s="63"/>
    </row>
    <row r="9642" customFormat="false" ht="15" hidden="false" customHeight="false" outlineLevel="0" collapsed="false">
      <c r="A9642" s="9" t="s">
        <v>600</v>
      </c>
      <c r="C9642" s="63" t="n">
        <f aca="false">P9551</f>
        <v>42</v>
      </c>
      <c r="D9642" s="63"/>
    </row>
    <row r="9643" customFormat="false" ht="15" hidden="false" customHeight="false" outlineLevel="0" collapsed="false">
      <c r="A9643" s="9" t="s">
        <v>601</v>
      </c>
      <c r="C9643" s="61" t="n">
        <f aca="false">IFERROR(P9585/P9575,0)</f>
        <v>11090.5376006265</v>
      </c>
      <c r="D9643" s="61"/>
    </row>
    <row r="9646" customFormat="false" ht="15" hidden="false" customHeight="true" outlineLevel="0" collapsed="false">
      <c r="A9646" s="78" t="s">
        <v>948</v>
      </c>
      <c r="B9646" s="78"/>
      <c r="C9646" s="78"/>
      <c r="D9646" s="78"/>
      <c r="E9646" s="78"/>
      <c r="F9646" s="78"/>
      <c r="G9646" s="78"/>
      <c r="H9646" s="78"/>
      <c r="I9646" s="78"/>
      <c r="J9646" s="78"/>
      <c r="K9646" s="78"/>
      <c r="L9646" s="78"/>
      <c r="M9646" s="78"/>
      <c r="N9646" s="78"/>
    </row>
    <row r="9647" customFormat="false" ht="15" hidden="false" customHeight="true" outlineLevel="0" collapsed="false">
      <c r="A9647" s="79" t="s">
        <v>949</v>
      </c>
      <c r="B9647" s="79"/>
      <c r="C9647" s="79"/>
      <c r="D9647" s="79"/>
      <c r="E9647" s="79"/>
      <c r="F9647" s="79"/>
      <c r="G9647" s="79"/>
      <c r="H9647" s="79"/>
      <c r="I9647" s="79"/>
      <c r="J9647" s="79"/>
      <c r="K9647" s="79"/>
      <c r="L9647" s="79"/>
      <c r="M9647" s="79"/>
      <c r="N9647" s="79"/>
    </row>
    <row r="9648" customFormat="false" ht="15" hidden="false" customHeight="false" outlineLevel="0" collapsed="false">
      <c r="A9648" s="35" t="s">
        <v>950</v>
      </c>
      <c r="B9648" s="35" t="s">
        <v>444</v>
      </c>
      <c r="C9648" s="6" t="s">
        <v>354</v>
      </c>
      <c r="D9648" s="6" t="s">
        <v>355</v>
      </c>
      <c r="E9648" s="6" t="s">
        <v>356</v>
      </c>
      <c r="F9648" s="6" t="s">
        <v>357</v>
      </c>
      <c r="G9648" s="6" t="s">
        <v>358</v>
      </c>
      <c r="H9648" s="6" t="s">
        <v>359</v>
      </c>
      <c r="I9648" s="6" t="s">
        <v>360</v>
      </c>
      <c r="J9648" s="6" t="s">
        <v>361</v>
      </c>
      <c r="K9648" s="6" t="s">
        <v>362</v>
      </c>
      <c r="L9648" s="6" t="s">
        <v>363</v>
      </c>
      <c r="M9648" s="6" t="s">
        <v>364</v>
      </c>
      <c r="N9648" s="6" t="s">
        <v>365</v>
      </c>
      <c r="P9648" s="6" t="s">
        <v>445</v>
      </c>
      <c r="Q9648" s="6" t="s">
        <v>446</v>
      </c>
      <c r="R9648" s="6" t="s">
        <v>447</v>
      </c>
      <c r="S9648" s="6" t="s">
        <v>448</v>
      </c>
    </row>
    <row r="9649" customFormat="false" ht="15" hidden="false" customHeight="false" outlineLevel="0" collapsed="false">
      <c r="A9649" s="4" t="s">
        <v>449</v>
      </c>
      <c r="B9649" s="36" t="s">
        <v>450</v>
      </c>
      <c r="C9649" s="34" t="n">
        <f aca="false">'Market Sizing'!$C$17*Assumptions!$E$10*Assumptions!$E$11*(1-Assumptions!$E$12)</f>
        <v>843.03944704</v>
      </c>
    </row>
    <row r="9650" customFormat="false" ht="15" hidden="false" customHeight="false" outlineLevel="0" collapsed="false">
      <c r="A9650" s="4" t="s">
        <v>451</v>
      </c>
      <c r="B9650" s="36" t="s">
        <v>450</v>
      </c>
      <c r="C9650" s="34" t="n">
        <f aca="false">'Market Sizing'!$D$17*Assumptions!$E$10*Assumptions!$E$11*(1-Assumptions!$E$12)</f>
        <v>211.19616</v>
      </c>
    </row>
    <row r="9651" customFormat="false" ht="15" hidden="false" customHeight="false" outlineLevel="0" collapsed="false">
      <c r="A9651" s="4" t="s">
        <v>452</v>
      </c>
      <c r="B9651" s="36" t="s">
        <v>450</v>
      </c>
      <c r="C9651" s="34" t="n">
        <f aca="false">'Market Sizing'!$E$17*Assumptions!$E$10*Assumptions!$E$11*(1-Assumptions!$E$12)</f>
        <v>49.53984</v>
      </c>
    </row>
    <row r="9652" customFormat="false" ht="15" hidden="false" customHeight="false" outlineLevel="0" collapsed="false">
      <c r="A9652" s="4" t="s">
        <v>453</v>
      </c>
      <c r="B9652" s="36"/>
      <c r="C9652" s="34" t="n">
        <f aca="false">$C$9649+$C$9650+$C$9651</f>
        <v>1103.77544704</v>
      </c>
    </row>
    <row r="9653" customFormat="false" ht="15" hidden="false" customHeight="false" outlineLevel="0" collapsed="false">
      <c r="A9653" s="4" t="s">
        <v>454</v>
      </c>
      <c r="B9653" s="36" t="s">
        <v>450</v>
      </c>
      <c r="C9653" s="34" t="n">
        <f aca="false">'Market Sizing'!$C$18*Assumptions!$E$10*Assumptions!$E$11*(1-Assumptions!$E$12)</f>
        <v>612.57706944</v>
      </c>
    </row>
    <row r="9654" customFormat="false" ht="15" hidden="false" customHeight="false" outlineLevel="0" collapsed="false">
      <c r="A9654" s="4" t="s">
        <v>455</v>
      </c>
      <c r="B9654" s="36" t="s">
        <v>450</v>
      </c>
      <c r="C9654" s="34" t="n">
        <f aca="false">'Market Sizing'!$D$18*Assumptions!$E$10*Assumptions!$E$11*(1-Assumptions!$E$12)</f>
        <v>142.10112</v>
      </c>
    </row>
    <row r="9655" customFormat="false" ht="15" hidden="false" customHeight="false" outlineLevel="0" collapsed="false">
      <c r="A9655" s="4" t="s">
        <v>456</v>
      </c>
      <c r="B9655" s="36" t="s">
        <v>450</v>
      </c>
      <c r="C9655" s="34" t="n">
        <f aca="false">'Market Sizing'!$E$18*Assumptions!$E$10*Assumptions!$E$11*(1-Assumptions!$E$12)</f>
        <v>24.76992</v>
      </c>
    </row>
    <row r="9656" customFormat="false" ht="15" hidden="false" customHeight="false" outlineLevel="0" collapsed="false">
      <c r="A9656" s="4" t="s">
        <v>457</v>
      </c>
      <c r="B9656" s="36"/>
      <c r="C9656" s="34" t="n">
        <f aca="false">$C$9653+$C$9654+$C$9655</f>
        <v>779.44810944</v>
      </c>
    </row>
    <row r="9657" customFormat="false" ht="15" hidden="false" customHeight="false" outlineLevel="0" collapsed="false">
      <c r="A9657" s="4" t="s">
        <v>458</v>
      </c>
      <c r="B9657" s="36" t="s">
        <v>450</v>
      </c>
      <c r="C9657" s="34" t="n">
        <f aca="false">'Market Sizing'!$C$19*Assumptions!$E$10*Assumptions!$E$11*(1-Assumptions!$E$12)</f>
        <v>2060.77303936</v>
      </c>
    </row>
    <row r="9658" customFormat="false" ht="15" hidden="false" customHeight="false" outlineLevel="0" collapsed="false">
      <c r="A9658" s="4" t="s">
        <v>459</v>
      </c>
      <c r="B9658" s="36" t="s">
        <v>450</v>
      </c>
      <c r="C9658" s="34" t="n">
        <f aca="false">'Market Sizing'!$D$19*Assumptions!$E$10*Assumptions!$E$11*(1-Assumptions!$E$12)</f>
        <v>428.47616</v>
      </c>
    </row>
    <row r="9659" customFormat="false" ht="15" hidden="false" customHeight="false" outlineLevel="0" collapsed="false">
      <c r="A9659" s="4" t="s">
        <v>460</v>
      </c>
      <c r="B9659" s="36" t="s">
        <v>450</v>
      </c>
      <c r="C9659" s="34" t="n">
        <f aca="false">'Market Sizing'!$E$19*Assumptions!$E$10*Assumptions!$E$11*(1-Assumptions!$E$12)</f>
        <v>79.52448</v>
      </c>
    </row>
    <row r="9660" customFormat="false" ht="15" hidden="false" customHeight="false" outlineLevel="0" collapsed="false">
      <c r="A9660" s="4" t="s">
        <v>461</v>
      </c>
      <c r="B9660" s="36"/>
      <c r="C9660" s="34" t="n">
        <f aca="false">$C$9657+$C$9658+$C$9659</f>
        <v>2568.77367936</v>
      </c>
    </row>
    <row r="9661" customFormat="false" ht="15" hidden="false" customHeight="false" outlineLevel="0" collapsed="false">
      <c r="A9661" s="4" t="s">
        <v>462</v>
      </c>
      <c r="B9661" s="36" t="s">
        <v>463</v>
      </c>
      <c r="C9661" s="33" t="n">
        <f aca="false">MAX((Assumptions!$E$51+Assumptions!$E$53)*12,(((('Market Sizing'!$E$25*Assumptions!$E$41*Assumptions!$E$42*2.5)*Assumptions!$E$44)*Assumptions!$E$45*Assumptions!$E$46+('Market Sizing'!$E$25*Assumptions!$E$41*Assumptions!$E$42*2.5)*Assumptions!$E$47+('Market Sizing'!$E$25*Assumptions!$E$41*Assumptions!$E$42*2.5)*Assumptions!$E$48*Assumptions!$E$49)*(Assumptions!$E$51*12/Assumptions!$E$52)+((('Market Sizing'!$E$25*Assumptions!$E$41*Assumptions!$E$42*2.5)*Assumptions!$E$44)*Assumptions!$E$45+('Market Sizing'!$E$25*Assumptions!$E$41*Assumptions!$E$42*2.5)+('Market Sizing'!$E$25*Assumptions!$E$41*Assumptions!$E$42*2.5)*Assumptions!$E$48)*Assumptions!$E$50*(Assumptions!$E$53*12/Assumptions!$E$54)))</f>
        <v>5352</v>
      </c>
    </row>
    <row r="9662" customFormat="false" ht="15" hidden="false" customHeight="false" outlineLevel="0" collapsed="false">
      <c r="A9662" s="4" t="s">
        <v>464</v>
      </c>
      <c r="B9662" s="36" t="s">
        <v>463</v>
      </c>
      <c r="C9662" s="33" t="n">
        <f aca="false">MAX((Assumptions!$E$51+Assumptions!$E$53)*12,(((('Market Sizing'!$E$26*Assumptions!$E$41*Assumptions!$E$42*2.5)*Assumptions!$E$44)*Assumptions!$E$45*Assumptions!$E$46+('Market Sizing'!$E$26*Assumptions!$E$41*Assumptions!$E$42*2.5)*Assumptions!$E$47+('Market Sizing'!$E$26*Assumptions!$E$41*Assumptions!$E$42*2.5)*Assumptions!$E$48*Assumptions!$E$49)*(Assumptions!$E$51*12/Assumptions!$E$52)+((('Market Sizing'!$E$26*Assumptions!$E$41*Assumptions!$E$42*2.5)*Assumptions!$E$44)*Assumptions!$E$45+('Market Sizing'!$E$26*Assumptions!$E$41*Assumptions!$E$42*2.5)+('Market Sizing'!$E$26*Assumptions!$E$41*Assumptions!$E$42*2.5)*Assumptions!$E$48)*Assumptions!$E$50*(Assumptions!$E$53*12/Assumptions!$E$54)))</f>
        <v>24416.8003218802</v>
      </c>
    </row>
    <row r="9663" customFormat="false" ht="15" hidden="false" customHeight="false" outlineLevel="0" collapsed="false">
      <c r="A9663" s="4" t="s">
        <v>465</v>
      </c>
      <c r="B9663" s="36" t="s">
        <v>463</v>
      </c>
      <c r="C9663" s="33" t="n">
        <f aca="false">MAX(Assumptions!$E$55*(Assumptions!$E$51*12/Assumptions!$E$52)+Assumptions!$E$56*(Assumptions!$E$53*12/Assumptions!$E$54),(((('Market Sizing'!$E$27*Assumptions!$E$41*Assumptions!$E$42*2.5)*Assumptions!$E$44)*Assumptions!$E$45*Assumptions!$E$46+('Market Sizing'!$E$27*Assumptions!$E$41*Assumptions!$E$42*2.5)*Assumptions!$E$47+('Market Sizing'!$E$27*Assumptions!$E$41*Assumptions!$E$42*2.5)*Assumptions!$E$48*Assumptions!$E$49)*(Assumptions!$E$51*12/Assumptions!$E$52)+((('Market Sizing'!$E$27*Assumptions!$E$41*Assumptions!$E$42*2.5)*Assumptions!$E$44)*Assumptions!$E$45+('Market Sizing'!$E$27*Assumptions!$E$41*Assumptions!$E$42*2.5)+('Market Sizing'!$E$27*Assumptions!$E$41*Assumptions!$E$42*2.5)*Assumptions!$E$48)*Assumptions!$E$50*(Assumptions!$E$53*12/Assumptions!$E$54)))*(1-Assumptions!$E$57)</f>
        <v>154445.640548596</v>
      </c>
    </row>
    <row r="9664" customFormat="false" ht="23.85" hidden="false" customHeight="false" outlineLevel="0" collapsed="false">
      <c r="A9664" s="4" t="s">
        <v>466</v>
      </c>
      <c r="B9664" s="36" t="s">
        <v>467</v>
      </c>
      <c r="C9664" s="37" t="n">
        <f aca="false">Assumptions!$E$17*Assumptions!$D$106</f>
        <v>0.4</v>
      </c>
    </row>
    <row r="9665" customFormat="false" ht="23.85" hidden="false" customHeight="false" outlineLevel="0" collapsed="false">
      <c r="A9665" s="4" t="s">
        <v>468</v>
      </c>
      <c r="B9665" s="36" t="s">
        <v>469</v>
      </c>
      <c r="C9665" s="33" t="n">
        <f aca="false">Assumptions!$E$68/Assumptions!$E$69</f>
        <v>285714.285714286</v>
      </c>
    </row>
    <row r="9666" customFormat="false" ht="23.85" hidden="false" customHeight="false" outlineLevel="0" collapsed="false">
      <c r="A9666" s="4" t="s">
        <v>470</v>
      </c>
      <c r="B9666" s="36" t="s">
        <v>471</v>
      </c>
      <c r="C9666" s="33" t="n">
        <f aca="false">Assumptions!$E$66*Assumptions!$E$67/4</f>
        <v>153125</v>
      </c>
    </row>
    <row r="9667" customFormat="false" ht="15" hidden="false" customHeight="false" outlineLevel="0" collapsed="false">
      <c r="A9667" s="4" t="s">
        <v>472</v>
      </c>
      <c r="B9667" s="36"/>
      <c r="C9667" s="38" t="n">
        <f aca="false">$C$9665/Assumptions!$E$66/Assumptions!$E$67</f>
        <v>0.466472303206997</v>
      </c>
    </row>
    <row r="9668" customFormat="false" ht="15" hidden="false" customHeight="false" outlineLevel="0" collapsed="false">
      <c r="A9668" s="4" t="s">
        <v>473</v>
      </c>
      <c r="B9668" s="36"/>
      <c r="C9668" s="33" t="n">
        <f aca="false">MAX(0,Assumptions!$D$103-Assumptions!$E$78)</f>
        <v>0</v>
      </c>
    </row>
    <row r="9669" customFormat="false" ht="15" hidden="false" customHeight="false" outlineLevel="0" collapsed="false">
      <c r="A9669" s="35" t="s">
        <v>474</v>
      </c>
      <c r="B9669" s="35" t="s">
        <v>444</v>
      </c>
      <c r="C9669" s="6" t="s">
        <v>354</v>
      </c>
      <c r="D9669" s="6" t="s">
        <v>355</v>
      </c>
      <c r="E9669" s="6" t="s">
        <v>356</v>
      </c>
      <c r="F9669" s="6" t="s">
        <v>357</v>
      </c>
      <c r="G9669" s="6" t="s">
        <v>358</v>
      </c>
      <c r="H9669" s="6" t="s">
        <v>359</v>
      </c>
      <c r="I9669" s="6" t="s">
        <v>360</v>
      </c>
      <c r="J9669" s="6" t="s">
        <v>361</v>
      </c>
      <c r="K9669" s="6" t="s">
        <v>362</v>
      </c>
      <c r="L9669" s="6" t="s">
        <v>363</v>
      </c>
      <c r="M9669" s="6" t="s">
        <v>364</v>
      </c>
      <c r="N9669" s="6" t="s">
        <v>365</v>
      </c>
      <c r="P9669" s="6" t="s">
        <v>445</v>
      </c>
      <c r="Q9669" s="6" t="s">
        <v>446</v>
      </c>
      <c r="R9669" s="6" t="s">
        <v>447</v>
      </c>
      <c r="S9669" s="6" t="s">
        <v>448</v>
      </c>
    </row>
    <row r="9670" customFormat="false" ht="15" hidden="false" customHeight="false" outlineLevel="0" collapsed="false">
      <c r="A9670" s="4" t="s">
        <v>475</v>
      </c>
      <c r="B9670" s="36" t="s">
        <v>133</v>
      </c>
      <c r="C9670" s="39" t="n">
        <v>1</v>
      </c>
      <c r="D9670" s="39" t="n">
        <v>2</v>
      </c>
      <c r="E9670" s="39" t="n">
        <v>3</v>
      </c>
      <c r="F9670" s="39" t="n">
        <v>4</v>
      </c>
      <c r="G9670" s="39" t="n">
        <v>5</v>
      </c>
      <c r="H9670" s="39" t="n">
        <v>6</v>
      </c>
      <c r="I9670" s="39" t="n">
        <v>7</v>
      </c>
      <c r="J9670" s="39" t="n">
        <v>8</v>
      </c>
      <c r="K9670" s="39" t="n">
        <v>9</v>
      </c>
      <c r="L9670" s="39" t="n">
        <v>10</v>
      </c>
      <c r="M9670" s="39" t="n">
        <v>11</v>
      </c>
      <c r="N9670" s="39" t="n">
        <v>12</v>
      </c>
      <c r="P9670" s="40"/>
      <c r="Q9670" s="40"/>
      <c r="R9670" s="40"/>
      <c r="S9670" s="41"/>
    </row>
    <row r="9671" customFormat="false" ht="15" hidden="false" customHeight="false" outlineLevel="0" collapsed="false">
      <c r="A9671" s="4" t="s">
        <v>476</v>
      </c>
      <c r="B9671" s="36" t="s">
        <v>343</v>
      </c>
      <c r="C9671" s="39" t="n">
        <f aca="false">IF(C9670&lt;=Assumptions!$E$84,1,0)</f>
        <v>1</v>
      </c>
      <c r="D9671" s="39" t="n">
        <f aca="false">IF(D9670&lt;=Assumptions!$E$84,1,0)</f>
        <v>1</v>
      </c>
      <c r="E9671" s="39" t="n">
        <f aca="false">IF(E9670&lt;=Assumptions!$E$84,1,0)</f>
        <v>1</v>
      </c>
      <c r="F9671" s="39" t="n">
        <f aca="false">IF(F9670&lt;=Assumptions!$E$84,1,0)</f>
        <v>1</v>
      </c>
      <c r="G9671" s="39" t="n">
        <f aca="false">IF(G9670&lt;=Assumptions!$E$84,1,0)</f>
        <v>1</v>
      </c>
      <c r="H9671" s="39" t="n">
        <f aca="false">IF(H9670&lt;=Assumptions!$E$84,1,0)</f>
        <v>1</v>
      </c>
      <c r="I9671" s="39" t="n">
        <f aca="false">IF(I9670&lt;=Assumptions!$E$84,1,0)</f>
        <v>1</v>
      </c>
      <c r="J9671" s="39" t="n">
        <f aca="false">IF(J9670&lt;=Assumptions!$E$84,1,0)</f>
        <v>1</v>
      </c>
      <c r="K9671" s="39" t="n">
        <f aca="false">IF(K9670&lt;=Assumptions!$E$84,1,0)</f>
        <v>1</v>
      </c>
      <c r="L9671" s="39" t="n">
        <f aca="false">IF(L9670&lt;=Assumptions!$E$84,1,0)</f>
        <v>1</v>
      </c>
      <c r="M9671" s="39" t="n">
        <f aca="false">IF(M9670&lt;=Assumptions!$E$84,1,0)</f>
        <v>1</v>
      </c>
      <c r="N9671" s="39" t="n">
        <f aca="false">IF(N9670&lt;=Assumptions!$E$84,1,0)</f>
        <v>1</v>
      </c>
      <c r="P9671" s="40"/>
      <c r="Q9671" s="40"/>
      <c r="R9671" s="40"/>
      <c r="S9671" s="41"/>
    </row>
    <row r="9672" customFormat="false" ht="15" hidden="false" customHeight="false" outlineLevel="0" collapsed="false">
      <c r="A9672" s="4" t="s">
        <v>477</v>
      </c>
      <c r="B9672" s="36" t="s">
        <v>478</v>
      </c>
      <c r="C9672" s="42" t="n">
        <f aca="false">IF(C9670=Assumptions!$E$13,0.5,IF(C9670&gt;Assumptions!$E$13,1,0))</f>
        <v>0.5</v>
      </c>
      <c r="D9672" s="42" t="n">
        <f aca="false">IF(D9670=Assumptions!$E$13,0.5,IF(D9670&gt;Assumptions!$E$13,1,0))</f>
        <v>1</v>
      </c>
      <c r="E9672" s="42" t="n">
        <f aca="false">IF(E9670=Assumptions!$E$13,0.5,IF(E9670&gt;Assumptions!$E$13,1,0))</f>
        <v>1</v>
      </c>
      <c r="F9672" s="42" t="n">
        <f aca="false">IF(F9670=Assumptions!$E$13,0.5,IF(F9670&gt;Assumptions!$E$13,1,0))</f>
        <v>1</v>
      </c>
      <c r="G9672" s="42" t="n">
        <f aca="false">IF(G9670=Assumptions!$E$13,0.5,IF(G9670&gt;Assumptions!$E$13,1,0))</f>
        <v>1</v>
      </c>
      <c r="H9672" s="42" t="n">
        <f aca="false">IF(H9670=Assumptions!$E$13,0.5,IF(H9670&gt;Assumptions!$E$13,1,0))</f>
        <v>1</v>
      </c>
      <c r="I9672" s="42" t="n">
        <f aca="false">IF(I9670=Assumptions!$E$13,0.5,IF(I9670&gt;Assumptions!$E$13,1,0))</f>
        <v>1</v>
      </c>
      <c r="J9672" s="42" t="n">
        <f aca="false">IF(J9670=Assumptions!$E$13,0.5,IF(J9670&gt;Assumptions!$E$13,1,0))</f>
        <v>1</v>
      </c>
      <c r="K9672" s="42" t="n">
        <f aca="false">IF(K9670=Assumptions!$E$13,0.5,IF(K9670&gt;Assumptions!$E$13,1,0))</f>
        <v>1</v>
      </c>
      <c r="L9672" s="42" t="n">
        <f aca="false">IF(L9670=Assumptions!$E$13,0.5,IF(L9670&gt;Assumptions!$E$13,1,0))</f>
        <v>1</v>
      </c>
      <c r="M9672" s="42" t="n">
        <f aca="false">IF(M9670=Assumptions!$E$13,0.5,IF(M9670&gt;Assumptions!$E$13,1,0))</f>
        <v>1</v>
      </c>
      <c r="N9672" s="42" t="n">
        <f aca="false">IF(N9670=Assumptions!$E$13,0.5,IF(N9670&gt;Assumptions!$E$13,1,0))</f>
        <v>1</v>
      </c>
      <c r="P9672" s="43"/>
      <c r="Q9672" s="43"/>
      <c r="R9672" s="43"/>
      <c r="S9672" s="44"/>
    </row>
    <row r="9673" customFormat="false" ht="15" hidden="false" customHeight="false" outlineLevel="0" collapsed="false">
      <c r="A9673" s="4" t="s">
        <v>479</v>
      </c>
      <c r="B9673" s="36" t="s">
        <v>478</v>
      </c>
      <c r="C9673" s="42" t="n">
        <f aca="false">IF(C9670=Assumptions!$E$14,0.5,IF(C9670&gt;Assumptions!$E$14,1,0))</f>
        <v>0</v>
      </c>
      <c r="D9673" s="42" t="n">
        <f aca="false">IF(D9670=Assumptions!$E$14,0.5,IF(D9670&gt;Assumptions!$E$14,1,0))</f>
        <v>0</v>
      </c>
      <c r="E9673" s="42" t="n">
        <f aca="false">IF(E9670=Assumptions!$E$14,0.5,IF(E9670&gt;Assumptions!$E$14,1,0))</f>
        <v>0</v>
      </c>
      <c r="F9673" s="42" t="n">
        <f aca="false">IF(F9670=Assumptions!$E$14,0.5,IF(F9670&gt;Assumptions!$E$14,1,0))</f>
        <v>0</v>
      </c>
      <c r="G9673" s="42" t="n">
        <f aca="false">IF(G9670=Assumptions!$E$14,0.5,IF(G9670&gt;Assumptions!$E$14,1,0))</f>
        <v>0.5</v>
      </c>
      <c r="H9673" s="42" t="n">
        <f aca="false">IF(H9670=Assumptions!$E$14,0.5,IF(H9670&gt;Assumptions!$E$14,1,0))</f>
        <v>1</v>
      </c>
      <c r="I9673" s="42" t="n">
        <f aca="false">IF(I9670=Assumptions!$E$14,0.5,IF(I9670&gt;Assumptions!$E$14,1,0))</f>
        <v>1</v>
      </c>
      <c r="J9673" s="42" t="n">
        <f aca="false">IF(J9670=Assumptions!$E$14,0.5,IF(J9670&gt;Assumptions!$E$14,1,0))</f>
        <v>1</v>
      </c>
      <c r="K9673" s="42" t="n">
        <f aca="false">IF(K9670=Assumptions!$E$14,0.5,IF(K9670&gt;Assumptions!$E$14,1,0))</f>
        <v>1</v>
      </c>
      <c r="L9673" s="42" t="n">
        <f aca="false">IF(L9670=Assumptions!$E$14,0.5,IF(L9670&gt;Assumptions!$E$14,1,0))</f>
        <v>1</v>
      </c>
      <c r="M9673" s="42" t="n">
        <f aca="false">IF(M9670=Assumptions!$E$14,0.5,IF(M9670&gt;Assumptions!$E$14,1,0))</f>
        <v>1</v>
      </c>
      <c r="N9673" s="42" t="n">
        <f aca="false">IF(N9670=Assumptions!$E$14,0.5,IF(N9670&gt;Assumptions!$E$14,1,0))</f>
        <v>1</v>
      </c>
      <c r="P9673" s="43"/>
      <c r="Q9673" s="43"/>
      <c r="R9673" s="43"/>
      <c r="S9673" s="44"/>
    </row>
    <row r="9674" customFormat="false" ht="15" hidden="false" customHeight="false" outlineLevel="0" collapsed="false">
      <c r="A9674" s="4" t="s">
        <v>480</v>
      </c>
      <c r="B9674" s="36" t="s">
        <v>478</v>
      </c>
      <c r="C9674" s="42" t="n">
        <f aca="false">IF(C9670=Assumptions!$E$15,0.5,IF(C9670&gt;Assumptions!$E$15,1,0))</f>
        <v>0</v>
      </c>
      <c r="D9674" s="42" t="n">
        <f aca="false">IF(D9670=Assumptions!$E$15,0.5,IF(D9670&gt;Assumptions!$E$15,1,0))</f>
        <v>0</v>
      </c>
      <c r="E9674" s="42" t="n">
        <f aca="false">IF(E9670=Assumptions!$E$15,0.5,IF(E9670&gt;Assumptions!$E$15,1,0))</f>
        <v>0</v>
      </c>
      <c r="F9674" s="42" t="n">
        <f aca="false">IF(F9670=Assumptions!$E$15,0.5,IF(F9670&gt;Assumptions!$E$15,1,0))</f>
        <v>0</v>
      </c>
      <c r="G9674" s="42" t="n">
        <f aca="false">IF(G9670=Assumptions!$E$15,0.5,IF(G9670&gt;Assumptions!$E$15,1,0))</f>
        <v>0</v>
      </c>
      <c r="H9674" s="42" t="n">
        <f aca="false">IF(H9670=Assumptions!$E$15,0.5,IF(H9670&gt;Assumptions!$E$15,1,0))</f>
        <v>0</v>
      </c>
      <c r="I9674" s="42" t="n">
        <f aca="false">IF(I9670=Assumptions!$E$15,0.5,IF(I9670&gt;Assumptions!$E$15,1,0))</f>
        <v>0.5</v>
      </c>
      <c r="J9674" s="42" t="n">
        <f aca="false">IF(J9670=Assumptions!$E$15,0.5,IF(J9670&gt;Assumptions!$E$15,1,0))</f>
        <v>1</v>
      </c>
      <c r="K9674" s="42" t="n">
        <f aca="false">IF(K9670=Assumptions!$E$15,0.5,IF(K9670&gt;Assumptions!$E$15,1,0))</f>
        <v>1</v>
      </c>
      <c r="L9674" s="42" t="n">
        <f aca="false">IF(L9670=Assumptions!$E$15,0.5,IF(L9670&gt;Assumptions!$E$15,1,0))</f>
        <v>1</v>
      </c>
      <c r="M9674" s="42" t="n">
        <f aca="false">IF(M9670=Assumptions!$E$15,0.5,IF(M9670&gt;Assumptions!$E$15,1,0))</f>
        <v>1</v>
      </c>
      <c r="N9674" s="42" t="n">
        <f aca="false">IF(N9670=Assumptions!$E$15,0.5,IF(N9670&gt;Assumptions!$E$15,1,0))</f>
        <v>1</v>
      </c>
      <c r="P9674" s="43"/>
      <c r="Q9674" s="43"/>
      <c r="R9674" s="43"/>
      <c r="S9674" s="44"/>
    </row>
    <row r="9675" customFormat="false" ht="15" hidden="false" customHeight="false" outlineLevel="0" collapsed="false">
      <c r="A9675" s="4" t="s">
        <v>481</v>
      </c>
      <c r="B9675" s="36" t="s">
        <v>478</v>
      </c>
      <c r="C9675" s="45" t="n">
        <f aca="false">Assumptions!$E$21^(MAX(0,C9670-Assumptions!$E$13)/4)</f>
        <v>1</v>
      </c>
      <c r="D9675" s="45" t="n">
        <f aca="false">Assumptions!$E$21^(MAX(0,D9670-Assumptions!$E$13)/4)</f>
        <v>0.9306048591021</v>
      </c>
      <c r="E9675" s="45" t="n">
        <f aca="false">Assumptions!$E$21^(MAX(0,E9670-Assumptions!$E$13)/4)</f>
        <v>0.866025403784439</v>
      </c>
      <c r="F9675" s="45" t="n">
        <f aca="false">Assumptions!$E$21^(MAX(0,F9670-Assumptions!$E$13)/4)</f>
        <v>0.805927448867656</v>
      </c>
      <c r="G9675" s="45" t="n">
        <f aca="false">Assumptions!$E$21^(MAX(0,G9670-Assumptions!$E$13)/4)</f>
        <v>0.75</v>
      </c>
      <c r="H9675" s="45" t="n">
        <f aca="false">Assumptions!$E$21^(MAX(0,H9670-Assumptions!$E$13)/4)</f>
        <v>0.697953644326575</v>
      </c>
      <c r="I9675" s="45" t="n">
        <f aca="false">Assumptions!$E$21^(MAX(0,I9670-Assumptions!$E$13)/4)</f>
        <v>0.649519052838329</v>
      </c>
      <c r="J9675" s="45" t="n">
        <f aca="false">Assumptions!$E$21^(MAX(0,J9670-Assumptions!$E$13)/4)</f>
        <v>0.604445586650742</v>
      </c>
      <c r="K9675" s="45" t="n">
        <f aca="false">Assumptions!$E$21^(MAX(0,K9670-Assumptions!$E$13)/4)</f>
        <v>0.5625</v>
      </c>
      <c r="L9675" s="45" t="n">
        <f aca="false">Assumptions!$E$21^(MAX(0,L9670-Assumptions!$E$13)/4)</f>
        <v>0.523465233244931</v>
      </c>
      <c r="M9675" s="45" t="n">
        <f aca="false">Assumptions!$E$21^(MAX(0,M9670-Assumptions!$E$13)/4)</f>
        <v>0.487139289628747</v>
      </c>
      <c r="N9675" s="45" t="n">
        <f aca="false">Assumptions!$E$21^(MAX(0,N9670-Assumptions!$E$13)/4)</f>
        <v>0.453334189988057</v>
      </c>
      <c r="P9675" s="46"/>
      <c r="Q9675" s="46"/>
      <c r="R9675" s="46"/>
      <c r="S9675" s="47"/>
    </row>
    <row r="9676" customFormat="false" ht="15" hidden="false" customHeight="false" outlineLevel="0" collapsed="false">
      <c r="A9676" s="4" t="s">
        <v>482</v>
      </c>
      <c r="B9676" s="36" t="s">
        <v>478</v>
      </c>
      <c r="C9676" s="45" t="n">
        <f aca="false">Assumptions!$E$21^(MAX(0,C9670-Assumptions!$E$14)/4)</f>
        <v>1</v>
      </c>
      <c r="D9676" s="45" t="n">
        <f aca="false">Assumptions!$E$21^(MAX(0,D9670-Assumptions!$E$14)/4)</f>
        <v>1</v>
      </c>
      <c r="E9676" s="45" t="n">
        <f aca="false">Assumptions!$E$21^(MAX(0,E9670-Assumptions!$E$14)/4)</f>
        <v>1</v>
      </c>
      <c r="F9676" s="45" t="n">
        <f aca="false">Assumptions!$E$21^(MAX(0,F9670-Assumptions!$E$14)/4)</f>
        <v>1</v>
      </c>
      <c r="G9676" s="45" t="n">
        <f aca="false">Assumptions!$E$21^(MAX(0,G9670-Assumptions!$E$14)/4)</f>
        <v>1</v>
      </c>
      <c r="H9676" s="45" t="n">
        <f aca="false">Assumptions!$E$21^(MAX(0,H9670-Assumptions!$E$14)/4)</f>
        <v>0.9306048591021</v>
      </c>
      <c r="I9676" s="45" t="n">
        <f aca="false">Assumptions!$E$21^(MAX(0,I9670-Assumptions!$E$14)/4)</f>
        <v>0.866025403784439</v>
      </c>
      <c r="J9676" s="45" t="n">
        <f aca="false">Assumptions!$E$21^(MAX(0,J9670-Assumptions!$E$14)/4)</f>
        <v>0.805927448867656</v>
      </c>
      <c r="K9676" s="45" t="n">
        <f aca="false">Assumptions!$E$21^(MAX(0,K9670-Assumptions!$E$14)/4)</f>
        <v>0.75</v>
      </c>
      <c r="L9676" s="45" t="n">
        <f aca="false">Assumptions!$E$21^(MAX(0,L9670-Assumptions!$E$14)/4)</f>
        <v>0.697953644326575</v>
      </c>
      <c r="M9676" s="45" t="n">
        <f aca="false">Assumptions!$E$21^(MAX(0,M9670-Assumptions!$E$14)/4)</f>
        <v>0.649519052838329</v>
      </c>
      <c r="N9676" s="45" t="n">
        <f aca="false">Assumptions!$E$21^(MAX(0,N9670-Assumptions!$E$14)/4)</f>
        <v>0.604445586650742</v>
      </c>
      <c r="P9676" s="46"/>
      <c r="Q9676" s="46"/>
      <c r="R9676" s="46"/>
      <c r="S9676" s="47"/>
    </row>
    <row r="9677" customFormat="false" ht="15" hidden="false" customHeight="false" outlineLevel="0" collapsed="false">
      <c r="A9677" s="4" t="s">
        <v>483</v>
      </c>
      <c r="B9677" s="36" t="s">
        <v>478</v>
      </c>
      <c r="C9677" s="45" t="n">
        <f aca="false">Assumptions!$E$21^(MAX(0,C9670-Assumptions!$E$15)/4)</f>
        <v>1</v>
      </c>
      <c r="D9677" s="45" t="n">
        <f aca="false">Assumptions!$E$21^(MAX(0,D9670-Assumptions!$E$15)/4)</f>
        <v>1</v>
      </c>
      <c r="E9677" s="45" t="n">
        <f aca="false">Assumptions!$E$21^(MAX(0,E9670-Assumptions!$E$15)/4)</f>
        <v>1</v>
      </c>
      <c r="F9677" s="45" t="n">
        <f aca="false">Assumptions!$E$21^(MAX(0,F9670-Assumptions!$E$15)/4)</f>
        <v>1</v>
      </c>
      <c r="G9677" s="45" t="n">
        <f aca="false">Assumptions!$E$21^(MAX(0,G9670-Assumptions!$E$15)/4)</f>
        <v>1</v>
      </c>
      <c r="H9677" s="45" t="n">
        <f aca="false">Assumptions!$E$21^(MAX(0,H9670-Assumptions!$E$15)/4)</f>
        <v>1</v>
      </c>
      <c r="I9677" s="45" t="n">
        <f aca="false">Assumptions!$E$21^(MAX(0,I9670-Assumptions!$E$15)/4)</f>
        <v>1</v>
      </c>
      <c r="J9677" s="45" t="n">
        <f aca="false">Assumptions!$E$21^(MAX(0,J9670-Assumptions!$E$15)/4)</f>
        <v>0.9306048591021</v>
      </c>
      <c r="K9677" s="45" t="n">
        <f aca="false">Assumptions!$E$21^(MAX(0,K9670-Assumptions!$E$15)/4)</f>
        <v>0.866025403784439</v>
      </c>
      <c r="L9677" s="45" t="n">
        <f aca="false">Assumptions!$E$21^(MAX(0,L9670-Assumptions!$E$15)/4)</f>
        <v>0.805927448867656</v>
      </c>
      <c r="M9677" s="45" t="n">
        <f aca="false">Assumptions!$E$21^(MAX(0,M9670-Assumptions!$E$15)/4)</f>
        <v>0.75</v>
      </c>
      <c r="N9677" s="45" t="n">
        <f aca="false">Assumptions!$E$21^(MAX(0,N9670-Assumptions!$E$15)/4)</f>
        <v>0.697953644326575</v>
      </c>
      <c r="P9677" s="46"/>
      <c r="Q9677" s="46"/>
      <c r="R9677" s="46"/>
      <c r="S9677" s="47"/>
    </row>
    <row r="9678" customFormat="false" ht="15" hidden="false" customHeight="false" outlineLevel="0" collapsed="false">
      <c r="A9678" s="4" t="s">
        <v>484</v>
      </c>
      <c r="B9678" s="36" t="s">
        <v>485</v>
      </c>
      <c r="C9678" s="39" t="n">
        <f aca="false">$C$9649*C9672+$C$9653*C9673+$C$9657*C9674</f>
        <v>421.51972352</v>
      </c>
      <c r="D9678" s="39" t="n">
        <f aca="false">$C$9649*D9672+$C$9653*D9673+$C$9657*D9674</f>
        <v>843.03944704</v>
      </c>
      <c r="E9678" s="39" t="n">
        <f aca="false">$C$9649*E9672+$C$9653*E9673+$C$9657*E9674</f>
        <v>843.03944704</v>
      </c>
      <c r="F9678" s="39" t="n">
        <f aca="false">$C$9649*F9672+$C$9653*F9673+$C$9657*F9674</f>
        <v>843.03944704</v>
      </c>
      <c r="G9678" s="39" t="n">
        <f aca="false">$C$9649*G9672+$C$9653*G9673+$C$9657*G9674</f>
        <v>1149.32798176</v>
      </c>
      <c r="H9678" s="39" t="n">
        <f aca="false">$C$9649*H9672+$C$9653*H9673+$C$9657*H9674</f>
        <v>1455.61651648</v>
      </c>
      <c r="I9678" s="39" t="n">
        <f aca="false">$C$9649*I9672+$C$9653*I9673+$C$9657*I9674</f>
        <v>2486.00303616</v>
      </c>
      <c r="J9678" s="39" t="n">
        <f aca="false">$C$9649*J9672+$C$9653*J9673+$C$9657*J9674</f>
        <v>3516.38955584</v>
      </c>
      <c r="K9678" s="39" t="n">
        <f aca="false">$C$9649*K9672+$C$9653*K9673+$C$9657*K9674</f>
        <v>3516.38955584</v>
      </c>
      <c r="L9678" s="39" t="n">
        <f aca="false">$C$9649*L9672+$C$9653*L9673+$C$9657*L9674</f>
        <v>3516.38955584</v>
      </c>
      <c r="M9678" s="39" t="n">
        <f aca="false">$C$9649*M9672+$C$9653*M9673+$C$9657*M9674</f>
        <v>3516.38955584</v>
      </c>
      <c r="N9678" s="39" t="n">
        <f aca="false">$C$9649*N9672+$C$9653*N9673+$C$9657*N9674</f>
        <v>3516.38955584</v>
      </c>
      <c r="P9678" s="40" t="n">
        <f aca="false">F9678</f>
        <v>843.03944704</v>
      </c>
      <c r="Q9678" s="40" t="n">
        <f aca="false">J9678</f>
        <v>3516.38955584</v>
      </c>
      <c r="R9678" s="40" t="n">
        <f aca="false">N9678</f>
        <v>3516.38955584</v>
      </c>
      <c r="S9678" s="41" t="n">
        <f aca="false">R9678</f>
        <v>3516.38955584</v>
      </c>
    </row>
    <row r="9679" customFormat="false" ht="15" hidden="false" customHeight="false" outlineLevel="0" collapsed="false">
      <c r="A9679" s="4" t="s">
        <v>486</v>
      </c>
      <c r="B9679" s="36" t="s">
        <v>485</v>
      </c>
      <c r="C9679" s="39" t="n">
        <f aca="false">$C$9650*C9672+$C$9654*C9673+$C$9658*C9674</f>
        <v>105.59808</v>
      </c>
      <c r="D9679" s="39" t="n">
        <f aca="false">$C$9650*D9672+$C$9654*D9673+$C$9658*D9674</f>
        <v>211.19616</v>
      </c>
      <c r="E9679" s="39" t="n">
        <f aca="false">$C$9650*E9672+$C$9654*E9673+$C$9658*E9674</f>
        <v>211.19616</v>
      </c>
      <c r="F9679" s="39" t="n">
        <f aca="false">$C$9650*F9672+$C$9654*F9673+$C$9658*F9674</f>
        <v>211.19616</v>
      </c>
      <c r="G9679" s="39" t="n">
        <f aca="false">$C$9650*G9672+$C$9654*G9673+$C$9658*G9674</f>
        <v>282.24672</v>
      </c>
      <c r="H9679" s="39" t="n">
        <f aca="false">$C$9650*H9672+$C$9654*H9673+$C$9658*H9674</f>
        <v>353.29728</v>
      </c>
      <c r="I9679" s="39" t="n">
        <f aca="false">$C$9650*I9672+$C$9654*I9673+$C$9658*I9674</f>
        <v>567.53536</v>
      </c>
      <c r="J9679" s="39" t="n">
        <f aca="false">$C$9650*J9672+$C$9654*J9673+$C$9658*J9674</f>
        <v>781.77344</v>
      </c>
      <c r="K9679" s="39" t="n">
        <f aca="false">$C$9650*K9672+$C$9654*K9673+$C$9658*K9674</f>
        <v>781.77344</v>
      </c>
      <c r="L9679" s="39" t="n">
        <f aca="false">$C$9650*L9672+$C$9654*L9673+$C$9658*L9674</f>
        <v>781.77344</v>
      </c>
      <c r="M9679" s="39" t="n">
        <f aca="false">$C$9650*M9672+$C$9654*M9673+$C$9658*M9674</f>
        <v>781.77344</v>
      </c>
      <c r="N9679" s="39" t="n">
        <f aca="false">$C$9650*N9672+$C$9654*N9673+$C$9658*N9674</f>
        <v>781.77344</v>
      </c>
      <c r="P9679" s="40" t="n">
        <f aca="false">F9679</f>
        <v>211.19616</v>
      </c>
      <c r="Q9679" s="40" t="n">
        <f aca="false">J9679</f>
        <v>781.77344</v>
      </c>
      <c r="R9679" s="40" t="n">
        <f aca="false">N9679</f>
        <v>781.77344</v>
      </c>
      <c r="S9679" s="41" t="n">
        <f aca="false">R9679</f>
        <v>781.77344</v>
      </c>
    </row>
    <row r="9680" customFormat="false" ht="15" hidden="false" customHeight="false" outlineLevel="0" collapsed="false">
      <c r="A9680" s="4" t="s">
        <v>487</v>
      </c>
      <c r="B9680" s="36" t="s">
        <v>485</v>
      </c>
      <c r="C9680" s="39" t="n">
        <f aca="false">$C$9651*C9672+$C$9655*C9673+$C$9659*C9674</f>
        <v>24.76992</v>
      </c>
      <c r="D9680" s="39" t="n">
        <f aca="false">$C$9651*D9672+$C$9655*D9673+$C$9659*D9674</f>
        <v>49.53984</v>
      </c>
      <c r="E9680" s="39" t="n">
        <f aca="false">$C$9651*E9672+$C$9655*E9673+$C$9659*E9674</f>
        <v>49.53984</v>
      </c>
      <c r="F9680" s="39" t="n">
        <f aca="false">$C$9651*F9672+$C$9655*F9673+$C$9659*F9674</f>
        <v>49.53984</v>
      </c>
      <c r="G9680" s="39" t="n">
        <f aca="false">$C$9651*G9672+$C$9655*G9673+$C$9659*G9674</f>
        <v>61.9248</v>
      </c>
      <c r="H9680" s="39" t="n">
        <f aca="false">$C$9651*H9672+$C$9655*H9673+$C$9659*H9674</f>
        <v>74.30976</v>
      </c>
      <c r="I9680" s="39" t="n">
        <f aca="false">$C$9651*I9672+$C$9655*I9673+$C$9659*I9674</f>
        <v>114.072</v>
      </c>
      <c r="J9680" s="39" t="n">
        <f aca="false">$C$9651*J9672+$C$9655*J9673+$C$9659*J9674</f>
        <v>153.83424</v>
      </c>
      <c r="K9680" s="39" t="n">
        <f aca="false">$C$9651*K9672+$C$9655*K9673+$C$9659*K9674</f>
        <v>153.83424</v>
      </c>
      <c r="L9680" s="39" t="n">
        <f aca="false">$C$9651*L9672+$C$9655*L9673+$C$9659*L9674</f>
        <v>153.83424</v>
      </c>
      <c r="M9680" s="39" t="n">
        <f aca="false">$C$9651*M9672+$C$9655*M9673+$C$9659*M9674</f>
        <v>153.83424</v>
      </c>
      <c r="N9680" s="39" t="n">
        <f aca="false">$C$9651*N9672+$C$9655*N9673+$C$9659*N9674</f>
        <v>153.83424</v>
      </c>
      <c r="P9680" s="40" t="n">
        <f aca="false">F9680</f>
        <v>49.53984</v>
      </c>
      <c r="Q9680" s="40" t="n">
        <f aca="false">J9680</f>
        <v>153.83424</v>
      </c>
      <c r="R9680" s="40" t="n">
        <f aca="false">N9680</f>
        <v>153.83424</v>
      </c>
      <c r="S9680" s="41" t="n">
        <f aca="false">R9680</f>
        <v>153.83424</v>
      </c>
    </row>
    <row r="9681" customFormat="false" ht="15" hidden="false" customHeight="false" outlineLevel="0" collapsed="false">
      <c r="A9681" s="4" t="s">
        <v>488</v>
      </c>
      <c r="B9681" s="36" t="s">
        <v>485</v>
      </c>
      <c r="C9681" s="39" t="n">
        <f aca="false">C9678+C9679+C9680</f>
        <v>551.88772352</v>
      </c>
      <c r="D9681" s="39" t="n">
        <f aca="false">D9678+D9679+D9680</f>
        <v>1103.77544704</v>
      </c>
      <c r="E9681" s="39" t="n">
        <f aca="false">E9678+E9679+E9680</f>
        <v>1103.77544704</v>
      </c>
      <c r="F9681" s="39" t="n">
        <f aca="false">F9678+F9679+F9680</f>
        <v>1103.77544704</v>
      </c>
      <c r="G9681" s="39" t="n">
        <f aca="false">G9678+G9679+G9680</f>
        <v>1493.49950176</v>
      </c>
      <c r="H9681" s="39" t="n">
        <f aca="false">H9678+H9679+H9680</f>
        <v>1883.22355648</v>
      </c>
      <c r="I9681" s="39" t="n">
        <f aca="false">I9678+I9679+I9680</f>
        <v>3167.61039616</v>
      </c>
      <c r="J9681" s="39" t="n">
        <f aca="false">J9678+J9679+J9680</f>
        <v>4451.99723584</v>
      </c>
      <c r="K9681" s="39" t="n">
        <f aca="false">K9678+K9679+K9680</f>
        <v>4451.99723584</v>
      </c>
      <c r="L9681" s="39" t="n">
        <f aca="false">L9678+L9679+L9680</f>
        <v>4451.99723584</v>
      </c>
      <c r="M9681" s="39" t="n">
        <f aca="false">M9678+M9679+M9680</f>
        <v>4451.99723584</v>
      </c>
      <c r="N9681" s="39" t="n">
        <f aca="false">N9678+N9679+N9680</f>
        <v>4451.99723584</v>
      </c>
      <c r="P9681" s="40" t="n">
        <f aca="false">F9681</f>
        <v>1103.77544704</v>
      </c>
      <c r="Q9681" s="40" t="n">
        <f aca="false">J9681</f>
        <v>4451.99723584</v>
      </c>
      <c r="R9681" s="40" t="n">
        <f aca="false">N9681</f>
        <v>4451.99723584</v>
      </c>
      <c r="S9681" s="41" t="n">
        <f aca="false">R9681</f>
        <v>4451.99723584</v>
      </c>
    </row>
    <row r="9682" customFormat="false" ht="15" hidden="false" customHeight="false" outlineLevel="0" collapsed="false">
      <c r="A9682" s="4" t="s">
        <v>489</v>
      </c>
      <c r="B9682" s="36" t="s">
        <v>485</v>
      </c>
      <c r="C9682" s="39" t="n">
        <f aca="false">$C$9652*C9672*C9675+$C$9656*C9673*C9676+$C$9660*C9674*C9677</f>
        <v>551.88772352</v>
      </c>
      <c r="D9682" s="39" t="n">
        <f aca="false">$C$9652*D9672*D9675+$C$9656*D9673*D9676+$C$9660*D9674*D9677</f>
        <v>1027.17879437302</v>
      </c>
      <c r="E9682" s="39" t="n">
        <f aca="false">$C$9652*E9672*E9675+$C$9656*E9673*E9676+$C$9660*E9674*E9677</f>
        <v>955.897577210165</v>
      </c>
      <c r="F9682" s="39" t="n">
        <f aca="false">$C$9652*F9672*F9675+$C$9656*F9673*F9676+$C$9660*F9674*F9677</f>
        <v>889.562930155704</v>
      </c>
      <c r="G9682" s="39" t="n">
        <f aca="false">$C$9652*G9672*G9675+$C$9656*G9673*G9676+$C$9660*G9674*G9677</f>
        <v>1217.55564</v>
      </c>
      <c r="H9682" s="39" t="n">
        <f aca="false">$C$9652*H9672*H9675+$C$9656*H9673*H9676+$C$9660*H9674*H9677</f>
        <v>1495.74229384257</v>
      </c>
      <c r="I9682" s="39" t="n">
        <f aca="false">$C$9652*I9672*I9675+$C$9656*I9673*I9676+$C$9660*I9674*I9677</f>
        <v>2676.33188629442</v>
      </c>
      <c r="J9682" s="39" t="n">
        <f aca="false">$C$9652*J9672*J9675+$C$9656*J9673*J9676+$C$9660*J9674*J9677</f>
        <v>3685.86409192847</v>
      </c>
      <c r="K9682" s="39" t="n">
        <f aca="false">$C$9652*K9672*K9675+$C$9656*K9673*K9676+$C$9660*K9674*K9677</f>
        <v>3430.08303393858</v>
      </c>
      <c r="L9682" s="39" t="n">
        <f aca="false">$C$9652*L9672*L9675+$C$9656*L9673*L9676+$C$9660*L9674*L9677</f>
        <v>3192.05193850692</v>
      </c>
      <c r="M9682" s="39" t="n">
        <f aca="false">$C$9652*M9672*M9675+$C$9656*M9673*M9676+$C$9660*M9674*M9677</f>
        <v>2970.53904448081</v>
      </c>
      <c r="N9682" s="39" t="n">
        <f aca="false">$C$9652*N9672*N9675+$C$9656*N9673*N9676+$C$9660*N9674*N9677</f>
        <v>2764.39806894635</v>
      </c>
      <c r="P9682" s="40"/>
      <c r="Q9682" s="40"/>
      <c r="R9682" s="40"/>
      <c r="S9682" s="41"/>
    </row>
    <row r="9683" customFormat="false" ht="15" hidden="false" customHeight="false" outlineLevel="0" collapsed="false">
      <c r="A9683" s="4" t="s">
        <v>490</v>
      </c>
      <c r="B9683" s="36" t="s">
        <v>491</v>
      </c>
      <c r="C9683" s="48" t="n">
        <f aca="false">$C$9664*Assumptions!$E$20*C9671*C9682</f>
        <v>6.62265268224</v>
      </c>
      <c r="D9683" s="48" t="n">
        <f aca="false">$C$9664*Assumptions!$E$20*D9671*D9682</f>
        <v>12.3261455324762</v>
      </c>
      <c r="E9683" s="48" t="n">
        <f aca="false">$C$9664*Assumptions!$E$20*E9671*E9682</f>
        <v>11.470770926522</v>
      </c>
      <c r="F9683" s="48" t="n">
        <f aca="false">$C$9664*Assumptions!$E$20*F9671*F9682</f>
        <v>10.6747551618685</v>
      </c>
      <c r="G9683" s="48" t="n">
        <f aca="false">$C$9664*Assumptions!$E$20*G9671*G9682</f>
        <v>14.61066768</v>
      </c>
      <c r="H9683" s="48" t="n">
        <f aca="false">$C$9664*Assumptions!$E$20*H9671*H9682</f>
        <v>17.9489075261109</v>
      </c>
      <c r="I9683" s="48" t="n">
        <f aca="false">$C$9664*Assumptions!$E$20*I9671*I9682</f>
        <v>32.115982635533</v>
      </c>
      <c r="J9683" s="48" t="n">
        <f aca="false">$C$9664*Assumptions!$E$20*J9671*J9682</f>
        <v>44.2303691031417</v>
      </c>
      <c r="K9683" s="48" t="n">
        <f aca="false">$C$9664*Assumptions!$E$20*K9671*K9682</f>
        <v>41.160996407263</v>
      </c>
      <c r="L9683" s="48" t="n">
        <f aca="false">$C$9664*Assumptions!$E$20*L9671*L9682</f>
        <v>38.304623262083</v>
      </c>
      <c r="M9683" s="48" t="n">
        <f aca="false">$C$9664*Assumptions!$E$20*M9671*M9682</f>
        <v>35.6464685337698</v>
      </c>
      <c r="N9683" s="48" t="n">
        <f aca="false">$C$9664*Assumptions!$E$20*N9671*N9682</f>
        <v>33.1727768273562</v>
      </c>
      <c r="P9683" s="49" t="n">
        <f aca="false">SUM(C9683:F9683)</f>
        <v>41.0943243031066</v>
      </c>
      <c r="Q9683" s="49" t="n">
        <f aca="false">SUM(G9683:J9683)</f>
        <v>108.905926944786</v>
      </c>
      <c r="R9683" s="49" t="n">
        <f aca="false">SUM(K9683:N9683)</f>
        <v>148.284865030472</v>
      </c>
      <c r="S9683" s="50" t="n">
        <f aca="false">SUM(P9683:R9683)</f>
        <v>298.285116278364</v>
      </c>
    </row>
    <row r="9684" customFormat="false" ht="15" hidden="false" customHeight="false" outlineLevel="0" collapsed="false">
      <c r="A9684" s="4" t="s">
        <v>492</v>
      </c>
      <c r="B9684" s="36" t="s">
        <v>321</v>
      </c>
      <c r="C9684" s="48" t="n">
        <f aca="false">Assumptions!$D$111</f>
        <v>0</v>
      </c>
      <c r="D9684" s="48" t="n">
        <f aca="false">Assumptions!$E$111</f>
        <v>0</v>
      </c>
      <c r="E9684" s="48" t="n">
        <f aca="false">Assumptions!$F$111</f>
        <v>0</v>
      </c>
      <c r="F9684" s="48" t="n">
        <f aca="false">Assumptions!$G$111</f>
        <v>0</v>
      </c>
      <c r="G9684" s="48" t="n">
        <f aca="false">Assumptions!$H$111</f>
        <v>0</v>
      </c>
      <c r="H9684" s="48" t="n">
        <f aca="false">Assumptions!$I$111</f>
        <v>0</v>
      </c>
      <c r="I9684" s="48" t="n">
        <f aca="false">Assumptions!$J$111</f>
        <v>0</v>
      </c>
      <c r="J9684" s="48" t="n">
        <f aca="false">Assumptions!$K$111</f>
        <v>0</v>
      </c>
      <c r="K9684" s="48" t="n">
        <f aca="false">Assumptions!$L$111</f>
        <v>0</v>
      </c>
      <c r="L9684" s="48" t="n">
        <f aca="false">Assumptions!$M$111</f>
        <v>0</v>
      </c>
      <c r="M9684" s="48" t="n">
        <f aca="false">Assumptions!$N$111</f>
        <v>0</v>
      </c>
      <c r="N9684" s="48" t="n">
        <f aca="false">Assumptions!$O$111</f>
        <v>0</v>
      </c>
      <c r="P9684" s="49" t="n">
        <f aca="false">F9684</f>
        <v>0</v>
      </c>
      <c r="Q9684" s="49" t="n">
        <f aca="false">J9684</f>
        <v>0</v>
      </c>
      <c r="R9684" s="49" t="n">
        <f aca="false">N9684</f>
        <v>0</v>
      </c>
      <c r="S9684" s="50" t="n">
        <f aca="false">R9684</f>
        <v>0</v>
      </c>
    </row>
    <row r="9685" customFormat="false" ht="15" hidden="false" customHeight="false" outlineLevel="0" collapsed="false">
      <c r="A9685" s="4" t="s">
        <v>493</v>
      </c>
      <c r="B9685" s="36" t="s">
        <v>321</v>
      </c>
      <c r="C9685" s="48" t="n">
        <f aca="false">0</f>
        <v>0</v>
      </c>
      <c r="D9685" s="48" t="n">
        <f aca="false">0.5*C9684</f>
        <v>0</v>
      </c>
      <c r="E9685" s="48" t="n">
        <f aca="false">C9684+0.5*(D9684-C9684)</f>
        <v>0</v>
      </c>
      <c r="F9685" s="48" t="n">
        <f aca="false">D9684+0.5*(E9684-D9684)</f>
        <v>0</v>
      </c>
      <c r="G9685" s="48" t="n">
        <f aca="false">E9684+0.5*(F9684-E9684)</f>
        <v>0</v>
      </c>
      <c r="H9685" s="48" t="n">
        <f aca="false">F9684+0.5*(G9684-F9684)</f>
        <v>0</v>
      </c>
      <c r="I9685" s="48" t="n">
        <f aca="false">G9684+0.5*(H9684-G9684)</f>
        <v>0</v>
      </c>
      <c r="J9685" s="48" t="n">
        <f aca="false">H9684+0.5*(I9684-H9684)</f>
        <v>0</v>
      </c>
      <c r="K9685" s="48" t="n">
        <f aca="false">I9684+0.5*(J9684-I9684)</f>
        <v>0</v>
      </c>
      <c r="L9685" s="48" t="n">
        <f aca="false">J9684+0.5*(K9684-J9684)</f>
        <v>0</v>
      </c>
      <c r="M9685" s="48" t="n">
        <f aca="false">K9684+0.5*(L9684-K9684)</f>
        <v>0</v>
      </c>
      <c r="N9685" s="48" t="n">
        <f aca="false">L9684+0.5*(M9684-L9684)</f>
        <v>0</v>
      </c>
      <c r="P9685" s="49" t="n">
        <f aca="false">F9685</f>
        <v>0</v>
      </c>
      <c r="Q9685" s="49" t="n">
        <f aca="false">J9685</f>
        <v>0</v>
      </c>
      <c r="R9685" s="49" t="n">
        <f aca="false">N9685</f>
        <v>0</v>
      </c>
      <c r="S9685" s="50" t="n">
        <f aca="false">R9685</f>
        <v>0</v>
      </c>
    </row>
    <row r="9686" customFormat="false" ht="15" hidden="false" customHeight="false" outlineLevel="0" collapsed="false">
      <c r="A9686" s="4" t="s">
        <v>494</v>
      </c>
      <c r="B9686" s="36" t="s">
        <v>485</v>
      </c>
      <c r="C9686" s="39" t="n">
        <f aca="false">MIN(C9685*Assumptions!$E$38,C9681*(1-$C$9664))</f>
        <v>0</v>
      </c>
      <c r="D9686" s="39" t="n">
        <f aca="false">MIN(D9685*Assumptions!$E$38,D9681*(1-$C$9664))</f>
        <v>0</v>
      </c>
      <c r="E9686" s="39" t="n">
        <f aca="false">MIN(E9685*Assumptions!$E$38,E9681*(1-$C$9664))</f>
        <v>0</v>
      </c>
      <c r="F9686" s="39" t="n">
        <f aca="false">MIN(F9685*Assumptions!$E$38,F9681*(1-$C$9664))</f>
        <v>0</v>
      </c>
      <c r="G9686" s="39" t="n">
        <f aca="false">MIN(G9685*Assumptions!$E$38,G9681*(1-$C$9664))</f>
        <v>0</v>
      </c>
      <c r="H9686" s="39" t="n">
        <f aca="false">MIN(H9685*Assumptions!$E$38,H9681*(1-$C$9664))</f>
        <v>0</v>
      </c>
      <c r="I9686" s="39" t="n">
        <f aca="false">MIN(I9685*Assumptions!$E$38,I9681*(1-$C$9664))</f>
        <v>0</v>
      </c>
      <c r="J9686" s="39" t="n">
        <f aca="false">MIN(J9685*Assumptions!$E$38,J9681*(1-$C$9664))</f>
        <v>0</v>
      </c>
      <c r="K9686" s="39" t="n">
        <f aca="false">MIN(K9685*Assumptions!$E$38,K9681*(1-$C$9664))</f>
        <v>0</v>
      </c>
      <c r="L9686" s="39" t="n">
        <f aca="false">MIN(L9685*Assumptions!$E$38,L9681*(1-$C$9664))</f>
        <v>0</v>
      </c>
      <c r="M9686" s="39" t="n">
        <f aca="false">MIN(M9685*Assumptions!$E$38,M9681*(1-$C$9664))</f>
        <v>0</v>
      </c>
      <c r="N9686" s="39" t="n">
        <f aca="false">MIN(N9685*Assumptions!$E$38,N9681*(1-$C$9664))</f>
        <v>0</v>
      </c>
      <c r="P9686" s="40" t="n">
        <f aca="false">SUM(C9686:F9686)</f>
        <v>0</v>
      </c>
      <c r="Q9686" s="40" t="n">
        <f aca="false">SUM(G9686:J9686)</f>
        <v>0</v>
      </c>
      <c r="R9686" s="40" t="n">
        <f aca="false">SUM(K9686:N9686)</f>
        <v>0</v>
      </c>
      <c r="S9686" s="41" t="n">
        <f aca="false">SUM(P9686:R9686)</f>
        <v>0</v>
      </c>
    </row>
    <row r="9687" customFormat="false" ht="15" hidden="false" customHeight="false" outlineLevel="0" collapsed="false">
      <c r="A9687" s="4" t="s">
        <v>495</v>
      </c>
      <c r="B9687" s="36" t="s">
        <v>491</v>
      </c>
      <c r="C9687" s="48" t="n">
        <f aca="false">C9686*Assumptions!$E$20*Assumptions!$E$39*IF(C9681&gt;0,C9682/C9681,0)*C9671</f>
        <v>0</v>
      </c>
      <c r="D9687" s="48" t="n">
        <f aca="false">D9686*Assumptions!$E$20*Assumptions!$E$39*IF(D9681&gt;0,D9682/D9681,0)*D9671</f>
        <v>0</v>
      </c>
      <c r="E9687" s="48" t="n">
        <f aca="false">E9686*Assumptions!$E$20*Assumptions!$E$39*IF(E9681&gt;0,E9682/E9681,0)*E9671</f>
        <v>0</v>
      </c>
      <c r="F9687" s="48" t="n">
        <f aca="false">F9686*Assumptions!$E$20*Assumptions!$E$39*IF(F9681&gt;0,F9682/F9681,0)*F9671</f>
        <v>0</v>
      </c>
      <c r="G9687" s="48" t="n">
        <f aca="false">G9686*Assumptions!$E$20*Assumptions!$E$39*IF(G9681&gt;0,G9682/G9681,0)*G9671</f>
        <v>0</v>
      </c>
      <c r="H9687" s="48" t="n">
        <f aca="false">H9686*Assumptions!$E$20*Assumptions!$E$39*IF(H9681&gt;0,H9682/H9681,0)*H9671</f>
        <v>0</v>
      </c>
      <c r="I9687" s="48" t="n">
        <f aca="false">I9686*Assumptions!$E$20*Assumptions!$E$39*IF(I9681&gt;0,I9682/I9681,0)*I9671</f>
        <v>0</v>
      </c>
      <c r="J9687" s="48" t="n">
        <f aca="false">J9686*Assumptions!$E$20*Assumptions!$E$39*IF(J9681&gt;0,J9682/J9681,0)*J9671</f>
        <v>0</v>
      </c>
      <c r="K9687" s="48" t="n">
        <f aca="false">K9686*Assumptions!$E$20*Assumptions!$E$39*IF(K9681&gt;0,K9682/K9681,0)*K9671</f>
        <v>0</v>
      </c>
      <c r="L9687" s="48" t="n">
        <f aca="false">L9686*Assumptions!$E$20*Assumptions!$E$39*IF(L9681&gt;0,L9682/L9681,0)*L9671</f>
        <v>0</v>
      </c>
      <c r="M9687" s="48" t="n">
        <f aca="false">M9686*Assumptions!$E$20*Assumptions!$E$39*IF(M9681&gt;0,M9682/M9681,0)*M9671</f>
        <v>0</v>
      </c>
      <c r="N9687" s="48" t="n">
        <f aca="false">N9686*Assumptions!$E$20*Assumptions!$E$39*IF(N9681&gt;0,N9682/N9681,0)*N9671</f>
        <v>0</v>
      </c>
      <c r="P9687" s="49" t="n">
        <f aca="false">SUM(C9687:F9687)</f>
        <v>0</v>
      </c>
      <c r="Q9687" s="49" t="n">
        <f aca="false">SUM(G9687:J9687)</f>
        <v>0</v>
      </c>
      <c r="R9687" s="49" t="n">
        <f aca="false">SUM(K9687:N9687)</f>
        <v>0</v>
      </c>
      <c r="S9687" s="50" t="n">
        <f aca="false">SUM(P9687:R9687)</f>
        <v>0</v>
      </c>
    </row>
    <row r="9688" customFormat="false" ht="15" hidden="false" customHeight="false" outlineLevel="0" collapsed="false">
      <c r="A9688" s="4" t="s">
        <v>496</v>
      </c>
      <c r="B9688" s="36" t="s">
        <v>497</v>
      </c>
      <c r="C9688" s="48" t="n">
        <f aca="false">IF(AND(C9681&gt;0,$C$9668&gt;0),C9681*Assumptions!$E$24*(1-EXP(-$C$9668/(Assumptions!$E$23*C9681*Assumptions!$E$24))),0)</f>
        <v>0</v>
      </c>
      <c r="D9688" s="48" t="n">
        <f aca="false">IF(AND(D9681&gt;0,$C$9668&gt;0),D9681*Assumptions!$E$24*(1-EXP(-$C$9668/(Assumptions!$E$23*D9681*Assumptions!$E$24))),0)</f>
        <v>0</v>
      </c>
      <c r="E9688" s="48" t="n">
        <f aca="false">IF(AND(E9681&gt;0,$C$9668&gt;0),E9681*Assumptions!$E$24*(1-EXP(-$C$9668/(Assumptions!$E$23*E9681*Assumptions!$E$24))),0)</f>
        <v>0</v>
      </c>
      <c r="F9688" s="48" t="n">
        <f aca="false">IF(AND(F9681&gt;0,$C$9668&gt;0),F9681*Assumptions!$E$24*(1-EXP(-$C$9668/(Assumptions!$E$23*F9681*Assumptions!$E$24))),0)</f>
        <v>0</v>
      </c>
      <c r="G9688" s="48" t="n">
        <f aca="false">IF(AND(G9681&gt;0,$C$9668&gt;0),G9681*Assumptions!$E$24*(1-EXP(-$C$9668/(Assumptions!$E$23*G9681*Assumptions!$E$24))),0)</f>
        <v>0</v>
      </c>
      <c r="H9688" s="48" t="n">
        <f aca="false">IF(AND(H9681&gt;0,$C$9668&gt;0),H9681*Assumptions!$E$24*(1-EXP(-$C$9668/(Assumptions!$E$23*H9681*Assumptions!$E$24))),0)</f>
        <v>0</v>
      </c>
      <c r="I9688" s="48" t="n">
        <f aca="false">IF(AND(I9681&gt;0,$C$9668&gt;0),I9681*Assumptions!$E$24*(1-EXP(-$C$9668/(Assumptions!$E$23*I9681*Assumptions!$E$24))),0)</f>
        <v>0</v>
      </c>
      <c r="J9688" s="48" t="n">
        <f aca="false">IF(AND(J9681&gt;0,$C$9668&gt;0),J9681*Assumptions!$E$24*(1-EXP(-$C$9668/(Assumptions!$E$23*J9681*Assumptions!$E$24))),0)</f>
        <v>0</v>
      </c>
      <c r="K9688" s="48" t="n">
        <f aca="false">IF(AND(K9681&gt;0,$C$9668&gt;0),K9681*Assumptions!$E$24*(1-EXP(-$C$9668/(Assumptions!$E$23*K9681*Assumptions!$E$24))),0)</f>
        <v>0</v>
      </c>
      <c r="L9688" s="48" t="n">
        <f aca="false">IF(AND(L9681&gt;0,$C$9668&gt;0),L9681*Assumptions!$E$24*(1-EXP(-$C$9668/(Assumptions!$E$23*L9681*Assumptions!$E$24))),0)</f>
        <v>0</v>
      </c>
      <c r="M9688" s="48" t="n">
        <f aca="false">IF(AND(M9681&gt;0,$C$9668&gt;0),M9681*Assumptions!$E$24*(1-EXP(-$C$9668/(Assumptions!$E$23*M9681*Assumptions!$E$24))),0)</f>
        <v>0</v>
      </c>
      <c r="N9688" s="48" t="n">
        <f aca="false">IF(AND(N9681&gt;0,$C$9668&gt;0),N9681*Assumptions!$E$24*(1-EXP(-$C$9668/(Assumptions!$E$23*N9681*Assumptions!$E$24))),0)</f>
        <v>0</v>
      </c>
      <c r="P9688" s="49" t="n">
        <f aca="false">SUM(C9688:F9688)</f>
        <v>0</v>
      </c>
      <c r="Q9688" s="49" t="n">
        <f aca="false">SUM(G9688:J9688)</f>
        <v>0</v>
      </c>
      <c r="R9688" s="49" t="n">
        <f aca="false">SUM(K9688:N9688)</f>
        <v>0</v>
      </c>
      <c r="S9688" s="50" t="n">
        <f aca="false">SUM(P9688:R9688)</f>
        <v>0</v>
      </c>
    </row>
    <row r="9689" customFormat="false" ht="15" hidden="false" customHeight="false" outlineLevel="0" collapsed="false">
      <c r="A9689" s="4" t="s">
        <v>498</v>
      </c>
      <c r="B9689" s="36" t="s">
        <v>497</v>
      </c>
      <c r="C9689" s="48" t="n">
        <f aca="false">(C9681*Assumptions!$E$22*MIN(1,Assumptions!$D$103/Assumptions!$E$78)+C9688)*C9671</f>
        <v>5.5188772352</v>
      </c>
      <c r="D9689" s="48" t="n">
        <f aca="false">(D9681*Assumptions!$E$22*MIN(1,Assumptions!$D$103/Assumptions!$E$78)+D9688)*D9671</f>
        <v>11.0377544704</v>
      </c>
      <c r="E9689" s="48" t="n">
        <f aca="false">(E9681*Assumptions!$E$22*MIN(1,Assumptions!$D$103/Assumptions!$E$78)+E9688)*E9671</f>
        <v>11.0377544704</v>
      </c>
      <c r="F9689" s="48" t="n">
        <f aca="false">(F9681*Assumptions!$E$22*MIN(1,Assumptions!$D$103/Assumptions!$E$78)+F9688)*F9671</f>
        <v>11.0377544704</v>
      </c>
      <c r="G9689" s="48" t="n">
        <f aca="false">(G9681*Assumptions!$E$22*MIN(1,Assumptions!$D$103/Assumptions!$E$78)+G9688)*G9671</f>
        <v>14.9349950176</v>
      </c>
      <c r="H9689" s="48" t="n">
        <f aca="false">(H9681*Assumptions!$E$22*MIN(1,Assumptions!$D$103/Assumptions!$E$78)+H9688)*H9671</f>
        <v>18.8322355648</v>
      </c>
      <c r="I9689" s="48" t="n">
        <f aca="false">(I9681*Assumptions!$E$22*MIN(1,Assumptions!$D$103/Assumptions!$E$78)+I9688)*I9671</f>
        <v>31.6761039616</v>
      </c>
      <c r="J9689" s="48" t="n">
        <f aca="false">(J9681*Assumptions!$E$22*MIN(1,Assumptions!$D$103/Assumptions!$E$78)+J9688)*J9671</f>
        <v>44.5199723584</v>
      </c>
      <c r="K9689" s="48" t="n">
        <f aca="false">(K9681*Assumptions!$E$22*MIN(1,Assumptions!$D$103/Assumptions!$E$78)+K9688)*K9671</f>
        <v>44.5199723584</v>
      </c>
      <c r="L9689" s="48" t="n">
        <f aca="false">(L9681*Assumptions!$E$22*MIN(1,Assumptions!$D$103/Assumptions!$E$78)+L9688)*L9671</f>
        <v>44.5199723584</v>
      </c>
      <c r="M9689" s="48" t="n">
        <f aca="false">(M9681*Assumptions!$E$22*MIN(1,Assumptions!$D$103/Assumptions!$E$78)+M9688)*M9671</f>
        <v>44.5199723584</v>
      </c>
      <c r="N9689" s="48" t="n">
        <f aca="false">(N9681*Assumptions!$E$22*MIN(1,Assumptions!$D$103/Assumptions!$E$78)+N9688)*N9671</f>
        <v>44.5199723584</v>
      </c>
      <c r="P9689" s="49" t="n">
        <f aca="false">SUM(C9689:F9689)</f>
        <v>38.6321406464</v>
      </c>
      <c r="Q9689" s="49" t="n">
        <f aca="false">SUM(G9689:J9689)</f>
        <v>109.9633069024</v>
      </c>
      <c r="R9689" s="49" t="n">
        <f aca="false">SUM(K9689:N9689)</f>
        <v>178.0798894336</v>
      </c>
      <c r="S9689" s="50" t="n">
        <f aca="false">SUM(P9689:R9689)</f>
        <v>326.6753369824</v>
      </c>
    </row>
    <row r="9690" customFormat="false" ht="15" hidden="false" customHeight="false" outlineLevel="0" collapsed="false">
      <c r="A9690" s="4" t="s">
        <v>499</v>
      </c>
      <c r="B9690" s="36" t="s">
        <v>500</v>
      </c>
      <c r="C9690" s="48" t="n">
        <f aca="false">C9671*MIN(Assumptions!$E$27,Assumptions!$E$25+Assumptions!$E$26*(C9670-1))*Assumptions!$D$107</f>
        <v>2</v>
      </c>
      <c r="D9690" s="48" t="n">
        <f aca="false">D9671*MIN(Assumptions!$E$27,Assumptions!$E$25+Assumptions!$E$26*(D9670-1))*Assumptions!$D$107</f>
        <v>3</v>
      </c>
      <c r="E9690" s="48" t="n">
        <f aca="false">E9671*MIN(Assumptions!$E$27,Assumptions!$E$25+Assumptions!$E$26*(E9670-1))*Assumptions!$D$107</f>
        <v>4</v>
      </c>
      <c r="F9690" s="48" t="n">
        <f aca="false">F9671*MIN(Assumptions!$E$27,Assumptions!$E$25+Assumptions!$E$26*(F9670-1))*Assumptions!$D$107</f>
        <v>5</v>
      </c>
      <c r="G9690" s="48" t="n">
        <f aca="false">G9671*MIN(Assumptions!$E$27,Assumptions!$E$25+Assumptions!$E$26*(G9670-1))*Assumptions!$D$107</f>
        <v>6</v>
      </c>
      <c r="H9690" s="48" t="n">
        <f aca="false">H9671*MIN(Assumptions!$E$27,Assumptions!$E$25+Assumptions!$E$26*(H9670-1))*Assumptions!$D$107</f>
        <v>7</v>
      </c>
      <c r="I9690" s="48" t="n">
        <f aca="false">I9671*MIN(Assumptions!$E$27,Assumptions!$E$25+Assumptions!$E$26*(I9670-1))*Assumptions!$D$107</f>
        <v>8</v>
      </c>
      <c r="J9690" s="48" t="n">
        <f aca="false">J9671*MIN(Assumptions!$E$27,Assumptions!$E$25+Assumptions!$E$26*(J9670-1))*Assumptions!$D$107</f>
        <v>9</v>
      </c>
      <c r="K9690" s="48" t="n">
        <f aca="false">K9671*MIN(Assumptions!$E$27,Assumptions!$E$25+Assumptions!$E$26*(K9670-1))*Assumptions!$D$107</f>
        <v>10</v>
      </c>
      <c r="L9690" s="48" t="n">
        <f aca="false">L9671*MIN(Assumptions!$E$27,Assumptions!$E$25+Assumptions!$E$26*(L9670-1))*Assumptions!$D$107</f>
        <v>10</v>
      </c>
      <c r="M9690" s="48" t="n">
        <f aca="false">M9671*MIN(Assumptions!$E$27,Assumptions!$E$25+Assumptions!$E$26*(M9670-1))*Assumptions!$D$107</f>
        <v>10</v>
      </c>
      <c r="N9690" s="48" t="n">
        <f aca="false">N9671*MIN(Assumptions!$E$27,Assumptions!$E$25+Assumptions!$E$26*(N9670-1))*Assumptions!$D$107</f>
        <v>10</v>
      </c>
      <c r="P9690" s="49" t="n">
        <f aca="false">F9690</f>
        <v>5</v>
      </c>
      <c r="Q9690" s="49" t="n">
        <f aca="false">J9690</f>
        <v>9</v>
      </c>
      <c r="R9690" s="49" t="n">
        <f aca="false">N9690</f>
        <v>10</v>
      </c>
      <c r="S9690" s="50" t="n">
        <f aca="false">R9690</f>
        <v>10</v>
      </c>
    </row>
    <row r="9691" customFormat="false" ht="15" hidden="false" customHeight="false" outlineLevel="0" collapsed="false">
      <c r="A9691" s="4" t="s">
        <v>501</v>
      </c>
      <c r="B9691" s="36" t="s">
        <v>502</v>
      </c>
      <c r="C9691" s="48" t="n">
        <f aca="false">C9690*Assumptions!$E$28</f>
        <v>6</v>
      </c>
      <c r="D9691" s="48" t="n">
        <f aca="false">D9690*Assumptions!$E$28</f>
        <v>9</v>
      </c>
      <c r="E9691" s="48" t="n">
        <f aca="false">E9690*Assumptions!$E$28</f>
        <v>12</v>
      </c>
      <c r="F9691" s="48" t="n">
        <f aca="false">F9690*Assumptions!$E$28</f>
        <v>15</v>
      </c>
      <c r="G9691" s="48" t="n">
        <f aca="false">G9690*Assumptions!$E$28</f>
        <v>18</v>
      </c>
      <c r="H9691" s="48" t="n">
        <f aca="false">H9690*Assumptions!$E$28</f>
        <v>21</v>
      </c>
      <c r="I9691" s="48" t="n">
        <f aca="false">I9690*Assumptions!$E$28</f>
        <v>24</v>
      </c>
      <c r="J9691" s="48" t="n">
        <f aca="false">J9690*Assumptions!$E$28</f>
        <v>27</v>
      </c>
      <c r="K9691" s="48" t="n">
        <f aca="false">K9690*Assumptions!$E$28</f>
        <v>30</v>
      </c>
      <c r="L9691" s="48" t="n">
        <f aca="false">L9690*Assumptions!$E$28</f>
        <v>30</v>
      </c>
      <c r="M9691" s="48" t="n">
        <f aca="false">M9690*Assumptions!$E$28</f>
        <v>30</v>
      </c>
      <c r="N9691" s="48" t="n">
        <f aca="false">N9690*Assumptions!$E$28</f>
        <v>30</v>
      </c>
      <c r="P9691" s="49" t="n">
        <f aca="false">SUM(C9691:F9691)</f>
        <v>42</v>
      </c>
      <c r="Q9691" s="49" t="n">
        <f aca="false">SUM(G9691:J9691)</f>
        <v>90</v>
      </c>
      <c r="R9691" s="49" t="n">
        <f aca="false">SUM(K9691:N9691)</f>
        <v>120</v>
      </c>
      <c r="S9691" s="50" t="n">
        <f aca="false">SUM(P9691:R9691)</f>
        <v>252</v>
      </c>
    </row>
    <row r="9692" customFormat="false" ht="15" hidden="false" customHeight="false" outlineLevel="0" collapsed="false">
      <c r="A9692" s="4" t="s">
        <v>503</v>
      </c>
      <c r="B9692" s="36" t="s">
        <v>504</v>
      </c>
      <c r="C9692" s="48" t="n">
        <f aca="false">(C9683+C9687)*Assumptions!$E$29</f>
        <v>2.649061072896</v>
      </c>
      <c r="D9692" s="48" t="n">
        <f aca="false">(D9683+D9687)*Assumptions!$E$29</f>
        <v>4.93045821299048</v>
      </c>
      <c r="E9692" s="48" t="n">
        <f aca="false">(E9683+E9687)*Assumptions!$E$29</f>
        <v>4.58830837060879</v>
      </c>
      <c r="F9692" s="48" t="n">
        <f aca="false">(F9683+F9687)*Assumptions!$E$29</f>
        <v>4.26990206474738</v>
      </c>
      <c r="G9692" s="48" t="n">
        <f aca="false">(G9683+G9687)*Assumptions!$E$29</f>
        <v>5.844267072</v>
      </c>
      <c r="H9692" s="48" t="n">
        <f aca="false">(H9683+H9687)*Assumptions!$E$29</f>
        <v>7.17956301044434</v>
      </c>
      <c r="I9692" s="48" t="n">
        <f aca="false">(I9683+I9687)*Assumptions!$E$29</f>
        <v>12.8463930542132</v>
      </c>
      <c r="J9692" s="48" t="n">
        <f aca="false">(J9683+J9687)*Assumptions!$E$29</f>
        <v>17.6921476412567</v>
      </c>
      <c r="K9692" s="48" t="n">
        <f aca="false">(K9683+K9687)*Assumptions!$E$29</f>
        <v>16.4643985629052</v>
      </c>
      <c r="L9692" s="48" t="n">
        <f aca="false">(L9683+L9687)*Assumptions!$E$29</f>
        <v>15.3218493048332</v>
      </c>
      <c r="M9692" s="48" t="n">
        <f aca="false">(M9683+M9687)*Assumptions!$E$29</f>
        <v>14.2585874135079</v>
      </c>
      <c r="N9692" s="48" t="n">
        <f aca="false">(N9683+N9687)*Assumptions!$E$29</f>
        <v>13.2691107309425</v>
      </c>
      <c r="P9692" s="49" t="n">
        <f aca="false">SUM(C9692:F9692)</f>
        <v>16.4377297212427</v>
      </c>
      <c r="Q9692" s="49" t="n">
        <f aca="false">SUM(G9692:J9692)</f>
        <v>43.5623707779142</v>
      </c>
      <c r="R9692" s="49" t="n">
        <f aca="false">SUM(K9692:N9692)</f>
        <v>59.3139460121888</v>
      </c>
      <c r="S9692" s="50" t="n">
        <f aca="false">SUM(P9692:R9692)</f>
        <v>119.314046511346</v>
      </c>
    </row>
    <row r="9693" customFormat="false" ht="15" hidden="false" customHeight="false" outlineLevel="0" collapsed="false">
      <c r="A9693" s="4" t="s">
        <v>505</v>
      </c>
      <c r="B9693" s="36" t="s">
        <v>504</v>
      </c>
      <c r="C9693" s="48" t="n">
        <f aca="false">C9689*Assumptions!$E$31</f>
        <v>0.883020357632</v>
      </c>
      <c r="D9693" s="48" t="n">
        <f aca="false">D9689*Assumptions!$E$31</f>
        <v>1.766040715264</v>
      </c>
      <c r="E9693" s="48" t="n">
        <f aca="false">E9689*Assumptions!$E$31</f>
        <v>1.766040715264</v>
      </c>
      <c r="F9693" s="48" t="n">
        <f aca="false">F9689*Assumptions!$E$31</f>
        <v>1.766040715264</v>
      </c>
      <c r="G9693" s="48" t="n">
        <f aca="false">G9689*Assumptions!$E$31</f>
        <v>2.389599202816</v>
      </c>
      <c r="H9693" s="48" t="n">
        <f aca="false">H9689*Assumptions!$E$31</f>
        <v>3.013157690368</v>
      </c>
      <c r="I9693" s="48" t="n">
        <f aca="false">I9689*Assumptions!$E$31</f>
        <v>5.068176633856</v>
      </c>
      <c r="J9693" s="48" t="n">
        <f aca="false">J9689*Assumptions!$E$31</f>
        <v>7.123195577344</v>
      </c>
      <c r="K9693" s="48" t="n">
        <f aca="false">K9689*Assumptions!$E$31</f>
        <v>7.123195577344</v>
      </c>
      <c r="L9693" s="48" t="n">
        <f aca="false">L9689*Assumptions!$E$31</f>
        <v>7.123195577344</v>
      </c>
      <c r="M9693" s="48" t="n">
        <f aca="false">M9689*Assumptions!$E$31</f>
        <v>7.123195577344</v>
      </c>
      <c r="N9693" s="48" t="n">
        <f aca="false">N9689*Assumptions!$E$31</f>
        <v>7.123195577344</v>
      </c>
      <c r="P9693" s="49" t="n">
        <f aca="false">SUM(C9693:F9693)</f>
        <v>6.181142503424</v>
      </c>
      <c r="Q9693" s="49" t="n">
        <f aca="false">SUM(G9693:J9693)</f>
        <v>17.594129104384</v>
      </c>
      <c r="R9693" s="49" t="n">
        <f aca="false">SUM(K9693:N9693)</f>
        <v>28.492782309376</v>
      </c>
      <c r="S9693" s="50" t="n">
        <f aca="false">SUM(P9693:R9693)</f>
        <v>52.268053917184</v>
      </c>
    </row>
    <row r="9694" customFormat="false" ht="15" hidden="false" customHeight="false" outlineLevel="0" collapsed="false">
      <c r="A9694" s="4" t="s">
        <v>506</v>
      </c>
      <c r="B9694" s="36" t="s">
        <v>504</v>
      </c>
      <c r="C9694" s="48" t="n">
        <f aca="false">C9691*Assumptions!$E$30</f>
        <v>3</v>
      </c>
      <c r="D9694" s="48" t="n">
        <f aca="false">D9691*Assumptions!$E$30</f>
        <v>4.5</v>
      </c>
      <c r="E9694" s="48" t="n">
        <f aca="false">E9691*Assumptions!$E$30</f>
        <v>6</v>
      </c>
      <c r="F9694" s="48" t="n">
        <f aca="false">F9691*Assumptions!$E$30</f>
        <v>7.5</v>
      </c>
      <c r="G9694" s="48" t="n">
        <f aca="false">G9691*Assumptions!$E$30</f>
        <v>9</v>
      </c>
      <c r="H9694" s="48" t="n">
        <f aca="false">H9691*Assumptions!$E$30</f>
        <v>10.5</v>
      </c>
      <c r="I9694" s="48" t="n">
        <f aca="false">I9691*Assumptions!$E$30</f>
        <v>12</v>
      </c>
      <c r="J9694" s="48" t="n">
        <f aca="false">J9691*Assumptions!$E$30</f>
        <v>13.5</v>
      </c>
      <c r="K9694" s="48" t="n">
        <f aca="false">K9691*Assumptions!$E$30</f>
        <v>15</v>
      </c>
      <c r="L9694" s="48" t="n">
        <f aca="false">L9691*Assumptions!$E$30</f>
        <v>15</v>
      </c>
      <c r="M9694" s="48" t="n">
        <f aca="false">M9691*Assumptions!$E$30</f>
        <v>15</v>
      </c>
      <c r="N9694" s="48" t="n">
        <f aca="false">N9691*Assumptions!$E$30</f>
        <v>15</v>
      </c>
      <c r="P9694" s="49" t="n">
        <f aca="false">SUM(C9694:F9694)</f>
        <v>21</v>
      </c>
      <c r="Q9694" s="49" t="n">
        <f aca="false">SUM(G9694:J9694)</f>
        <v>45</v>
      </c>
      <c r="R9694" s="49" t="n">
        <f aca="false">SUM(K9694:N9694)</f>
        <v>60</v>
      </c>
      <c r="S9694" s="50" t="n">
        <f aca="false">SUM(P9694:R9694)</f>
        <v>126</v>
      </c>
    </row>
    <row r="9695" customFormat="false" ht="15" hidden="false" customHeight="false" outlineLevel="0" collapsed="false">
      <c r="A9695" s="9" t="s">
        <v>507</v>
      </c>
      <c r="B9695" s="36" t="s">
        <v>504</v>
      </c>
      <c r="C9695" s="49" t="n">
        <f aca="false">C9692+C9693+C9694</f>
        <v>6.532081430528</v>
      </c>
      <c r="D9695" s="49" t="n">
        <f aca="false">D9692+D9693+D9694</f>
        <v>11.1964989282545</v>
      </c>
      <c r="E9695" s="49" t="n">
        <f aca="false">E9692+E9693+E9694</f>
        <v>12.3543490858728</v>
      </c>
      <c r="F9695" s="49" t="n">
        <f aca="false">F9692+F9693+F9694</f>
        <v>13.5359427800114</v>
      </c>
      <c r="G9695" s="49" t="n">
        <f aca="false">G9692+G9693+G9694</f>
        <v>17.233866274816</v>
      </c>
      <c r="H9695" s="49" t="n">
        <f aca="false">H9692+H9693+H9694</f>
        <v>20.6927207008123</v>
      </c>
      <c r="I9695" s="49" t="n">
        <f aca="false">I9692+I9693+I9694</f>
        <v>29.9145696880692</v>
      </c>
      <c r="J9695" s="49" t="n">
        <f aca="false">J9692+J9693+J9694</f>
        <v>38.3153432186007</v>
      </c>
      <c r="K9695" s="49" t="n">
        <f aca="false">K9692+K9693+K9694</f>
        <v>38.5875941402492</v>
      </c>
      <c r="L9695" s="49" t="n">
        <f aca="false">L9692+L9693+L9694</f>
        <v>37.4450448821772</v>
      </c>
      <c r="M9695" s="49" t="n">
        <f aca="false">M9692+M9693+M9694</f>
        <v>36.3817829908519</v>
      </c>
      <c r="N9695" s="49" t="n">
        <f aca="false">N9692+N9693+N9694</f>
        <v>35.3923063082865</v>
      </c>
      <c r="P9695" s="49" t="n">
        <f aca="false">SUM(C9695:F9695)</f>
        <v>43.6188722246667</v>
      </c>
      <c r="Q9695" s="49" t="n">
        <f aca="false">SUM(G9695:J9695)</f>
        <v>106.156499882298</v>
      </c>
      <c r="R9695" s="49" t="n">
        <f aca="false">SUM(K9695:N9695)</f>
        <v>147.806728321565</v>
      </c>
      <c r="S9695" s="50" t="n">
        <f aca="false">SUM(P9695:R9695)</f>
        <v>297.58210042853</v>
      </c>
    </row>
    <row r="9696" customFormat="false" ht="15" hidden="false" customHeight="false" outlineLevel="0" collapsed="false">
      <c r="A9696" s="4" t="s">
        <v>508</v>
      </c>
      <c r="B9696" s="36" t="s">
        <v>509</v>
      </c>
      <c r="C9696" s="48" t="n">
        <f aca="false">C9678</f>
        <v>421.51972352</v>
      </c>
      <c r="D9696" s="48" t="n">
        <f aca="false">D9678</f>
        <v>843.03944704</v>
      </c>
      <c r="E9696" s="48" t="n">
        <f aca="false">E9678</f>
        <v>843.03944704</v>
      </c>
      <c r="F9696" s="48" t="n">
        <f aca="false">F9678</f>
        <v>843.03944704</v>
      </c>
      <c r="G9696" s="48" t="n">
        <f aca="false">G9678</f>
        <v>1149.32798176</v>
      </c>
      <c r="H9696" s="48" t="n">
        <f aca="false">H9678</f>
        <v>1455.61651648</v>
      </c>
      <c r="I9696" s="48" t="n">
        <f aca="false">I9678</f>
        <v>2486.00303616</v>
      </c>
      <c r="J9696" s="48" t="n">
        <f aca="false">J9678</f>
        <v>3516.38955584</v>
      </c>
      <c r="K9696" s="48" t="n">
        <f aca="false">K9678</f>
        <v>3516.38955584</v>
      </c>
      <c r="L9696" s="48" t="n">
        <f aca="false">L9678</f>
        <v>3516.38955584</v>
      </c>
      <c r="M9696" s="48" t="n">
        <f aca="false">M9678</f>
        <v>3516.38955584</v>
      </c>
      <c r="N9696" s="48" t="n">
        <f aca="false">N9678</f>
        <v>3516.38955584</v>
      </c>
      <c r="P9696" s="49"/>
      <c r="Q9696" s="49"/>
      <c r="R9696" s="49"/>
      <c r="S9696" s="50"/>
    </row>
    <row r="9697" customFormat="false" ht="15" hidden="false" customHeight="false" outlineLevel="0" collapsed="false">
      <c r="A9697" s="4" t="s">
        <v>510</v>
      </c>
      <c r="B9697" s="36" t="s">
        <v>509</v>
      </c>
      <c r="C9697" s="48" t="n">
        <f aca="false">C9679*Assumptions!$E$18*Assumptions!$E$33</f>
        <v>211.19616</v>
      </c>
      <c r="D9697" s="48" t="n">
        <f aca="false">D9679*Assumptions!$E$18*Assumptions!$E$33</f>
        <v>422.39232</v>
      </c>
      <c r="E9697" s="48" t="n">
        <f aca="false">E9679*Assumptions!$E$18*Assumptions!$E$33</f>
        <v>422.39232</v>
      </c>
      <c r="F9697" s="48" t="n">
        <f aca="false">F9679*Assumptions!$E$18*Assumptions!$E$33</f>
        <v>422.39232</v>
      </c>
      <c r="G9697" s="48" t="n">
        <f aca="false">G9679*Assumptions!$E$18*Assumptions!$E$33</f>
        <v>564.49344</v>
      </c>
      <c r="H9697" s="48" t="n">
        <f aca="false">H9679*Assumptions!$E$18*Assumptions!$E$33</f>
        <v>706.59456</v>
      </c>
      <c r="I9697" s="48" t="n">
        <f aca="false">I9679*Assumptions!$E$18*Assumptions!$E$33</f>
        <v>1135.07072</v>
      </c>
      <c r="J9697" s="48" t="n">
        <f aca="false">J9679*Assumptions!$E$18*Assumptions!$E$33</f>
        <v>1563.54688</v>
      </c>
      <c r="K9697" s="48" t="n">
        <f aca="false">K9679*Assumptions!$E$18*Assumptions!$E$33</f>
        <v>1563.54688</v>
      </c>
      <c r="L9697" s="48" t="n">
        <f aca="false">L9679*Assumptions!$E$18*Assumptions!$E$33</f>
        <v>1563.54688</v>
      </c>
      <c r="M9697" s="48" t="n">
        <f aca="false">M9679*Assumptions!$E$18*Assumptions!$E$33</f>
        <v>1563.54688</v>
      </c>
      <c r="N9697" s="48" t="n">
        <f aca="false">N9679*Assumptions!$E$18*Assumptions!$E$33</f>
        <v>1563.54688</v>
      </c>
      <c r="P9697" s="49"/>
      <c r="Q9697" s="49"/>
      <c r="R9697" s="49"/>
      <c r="S9697" s="50"/>
    </row>
    <row r="9698" customFormat="false" ht="15" hidden="false" customHeight="false" outlineLevel="0" collapsed="false">
      <c r="A9698" s="4" t="s">
        <v>511</v>
      </c>
      <c r="B9698" s="36" t="s">
        <v>509</v>
      </c>
      <c r="C9698" s="48" t="n">
        <f aca="false">C9680*Assumptions!$E$19*Assumptions!$E$34</f>
        <v>34.677888</v>
      </c>
      <c r="D9698" s="48" t="n">
        <f aca="false">D9680*Assumptions!$E$19*Assumptions!$E$34</f>
        <v>69.355776</v>
      </c>
      <c r="E9698" s="48" t="n">
        <f aca="false">E9680*Assumptions!$E$19*Assumptions!$E$34</f>
        <v>69.355776</v>
      </c>
      <c r="F9698" s="48" t="n">
        <f aca="false">F9680*Assumptions!$E$19*Assumptions!$E$34</f>
        <v>69.355776</v>
      </c>
      <c r="G9698" s="48" t="n">
        <f aca="false">G9680*Assumptions!$E$19*Assumptions!$E$34</f>
        <v>86.69472</v>
      </c>
      <c r="H9698" s="48" t="n">
        <f aca="false">H9680*Assumptions!$E$19*Assumptions!$E$34</f>
        <v>104.033664</v>
      </c>
      <c r="I9698" s="48" t="n">
        <f aca="false">I9680*Assumptions!$E$19*Assumptions!$E$34</f>
        <v>159.7008</v>
      </c>
      <c r="J9698" s="48" t="n">
        <f aca="false">J9680*Assumptions!$E$19*Assumptions!$E$34</f>
        <v>215.367936</v>
      </c>
      <c r="K9698" s="48" t="n">
        <f aca="false">K9680*Assumptions!$E$19*Assumptions!$E$34</f>
        <v>215.367936</v>
      </c>
      <c r="L9698" s="48" t="n">
        <f aca="false">L9680*Assumptions!$E$19*Assumptions!$E$34</f>
        <v>215.367936</v>
      </c>
      <c r="M9698" s="48" t="n">
        <f aca="false">M9680*Assumptions!$E$19*Assumptions!$E$34</f>
        <v>215.367936</v>
      </c>
      <c r="N9698" s="48" t="n">
        <f aca="false">N9680*Assumptions!$E$19*Assumptions!$E$34</f>
        <v>215.367936</v>
      </c>
      <c r="P9698" s="49"/>
      <c r="Q9698" s="49"/>
      <c r="R9698" s="49"/>
      <c r="S9698" s="50"/>
    </row>
    <row r="9699" customFormat="false" ht="15" hidden="false" customHeight="false" outlineLevel="0" collapsed="false">
      <c r="A9699" s="4" t="s">
        <v>512</v>
      </c>
      <c r="B9699" s="36" t="s">
        <v>77</v>
      </c>
      <c r="C9699" s="51" t="n">
        <f aca="false">IFERROR(C9696/(C9696+C9697+C9698),0)</f>
        <v>0.631590736245533</v>
      </c>
      <c r="D9699" s="51" t="n">
        <f aca="false">IFERROR(D9696/(D9696+D9697+D9698),0)</f>
        <v>0.631590736245533</v>
      </c>
      <c r="E9699" s="51" t="n">
        <f aca="false">IFERROR(E9696/(E9696+E9697+E9698),0)</f>
        <v>0.631590736245533</v>
      </c>
      <c r="F9699" s="51" t="n">
        <f aca="false">IFERROR(F9696/(F9696+F9697+F9698),0)</f>
        <v>0.631590736245533</v>
      </c>
      <c r="G9699" s="51" t="n">
        <f aca="false">IFERROR(G9696/(G9696+G9697+G9698),0)</f>
        <v>0.638332506498128</v>
      </c>
      <c r="H9699" s="51" t="n">
        <f aca="false">IFERROR(H9696/(H9696+H9697+H9698),0)</f>
        <v>0.642303318118984</v>
      </c>
      <c r="I9699" s="51" t="n">
        <f aca="false">IFERROR(I9696/(I9696+I9697+I9698),0)</f>
        <v>0.657538025405288</v>
      </c>
      <c r="J9699" s="51" t="n">
        <f aca="false">IFERROR(J9696/(J9696+J9697+J9698),0)</f>
        <v>0.664058061428891</v>
      </c>
      <c r="K9699" s="51" t="n">
        <f aca="false">IFERROR(K9696/(K9696+K9697+K9698),0)</f>
        <v>0.664058061428891</v>
      </c>
      <c r="L9699" s="51" t="n">
        <f aca="false">IFERROR(L9696/(L9696+L9697+L9698),0)</f>
        <v>0.664058061428891</v>
      </c>
      <c r="M9699" s="51" t="n">
        <f aca="false">IFERROR(M9696/(M9696+M9697+M9698),0)</f>
        <v>0.664058061428891</v>
      </c>
      <c r="N9699" s="51" t="n">
        <f aca="false">IFERROR(N9696/(N9696+N9697+N9698),0)</f>
        <v>0.664058061428891</v>
      </c>
      <c r="P9699" s="52"/>
      <c r="Q9699" s="52"/>
      <c r="R9699" s="52"/>
      <c r="S9699" s="53"/>
    </row>
    <row r="9700" customFormat="false" ht="15" hidden="false" customHeight="false" outlineLevel="0" collapsed="false">
      <c r="A9700" s="4" t="s">
        <v>513</v>
      </c>
      <c r="B9700" s="36" t="s">
        <v>77</v>
      </c>
      <c r="C9700" s="51" t="n">
        <f aca="false">IFERROR(C9697/(C9696+C9697+C9698),0)</f>
        <v>0.316449102482628</v>
      </c>
      <c r="D9700" s="51" t="n">
        <f aca="false">IFERROR(D9697/(D9696+D9697+D9698),0)</f>
        <v>0.316449102482628</v>
      </c>
      <c r="E9700" s="51" t="n">
        <f aca="false">IFERROR(E9697/(E9696+E9697+E9698),0)</f>
        <v>0.316449102482628</v>
      </c>
      <c r="F9700" s="51" t="n">
        <f aca="false">IFERROR(F9697/(F9696+F9697+F9698),0)</f>
        <v>0.316449102482628</v>
      </c>
      <c r="G9700" s="51" t="n">
        <f aca="false">IFERROR(G9697/(G9696+G9697+G9698),0)</f>
        <v>0.313517566939561</v>
      </c>
      <c r="H9700" s="51" t="n">
        <f aca="false">IFERROR(H9697/(H9696+H9697+H9698),0)</f>
        <v>0.311790932099567</v>
      </c>
      <c r="I9700" s="51" t="n">
        <f aca="false">IFERROR(I9697/(I9696+I9697+I9698),0)</f>
        <v>0.300221741111391</v>
      </c>
      <c r="J9700" s="51" t="n">
        <f aca="false">IFERROR(J9697/(J9696+J9697+J9698),0)</f>
        <v>0.295270445324128</v>
      </c>
      <c r="K9700" s="51" t="n">
        <f aca="false">IFERROR(K9697/(K9696+K9697+K9698),0)</f>
        <v>0.295270445324128</v>
      </c>
      <c r="L9700" s="51" t="n">
        <f aca="false">IFERROR(L9697/(L9696+L9697+L9698),0)</f>
        <v>0.295270445324128</v>
      </c>
      <c r="M9700" s="51" t="n">
        <f aca="false">IFERROR(M9697/(M9696+M9697+M9698),0)</f>
        <v>0.295270445324128</v>
      </c>
      <c r="N9700" s="51" t="n">
        <f aca="false">IFERROR(N9697/(N9696+N9697+N9698),0)</f>
        <v>0.295270445324128</v>
      </c>
      <c r="P9700" s="52"/>
      <c r="Q9700" s="52"/>
      <c r="R9700" s="52"/>
      <c r="S9700" s="53"/>
    </row>
    <row r="9701" customFormat="false" ht="15" hidden="false" customHeight="false" outlineLevel="0" collapsed="false">
      <c r="A9701" s="4" t="s">
        <v>514</v>
      </c>
      <c r="B9701" s="36" t="s">
        <v>77</v>
      </c>
      <c r="C9701" s="51" t="n">
        <f aca="false">IFERROR(C9698/(C9696+C9697+C9698),0)</f>
        <v>0.0519601612718389</v>
      </c>
      <c r="D9701" s="51" t="n">
        <f aca="false">IFERROR(D9698/(D9696+D9697+D9698),0)</f>
        <v>0.0519601612718389</v>
      </c>
      <c r="E9701" s="51" t="n">
        <f aca="false">IFERROR(E9698/(E9696+E9697+E9698),0)</f>
        <v>0.0519601612718389</v>
      </c>
      <c r="F9701" s="51" t="n">
        <f aca="false">IFERROR(F9698/(F9696+F9697+F9698),0)</f>
        <v>0.0519601612718389</v>
      </c>
      <c r="G9701" s="51" t="n">
        <f aca="false">IFERROR(G9698/(G9696+G9697+G9698),0)</f>
        <v>0.0481499265623113</v>
      </c>
      <c r="H9701" s="51" t="n">
        <f aca="false">IFERROR(H9698/(H9696+H9697+H9698),0)</f>
        <v>0.0459057497814491</v>
      </c>
      <c r="I9701" s="51" t="n">
        <f aca="false">IFERROR(I9698/(I9696+I9697+I9698),0)</f>
        <v>0.0422402334833216</v>
      </c>
      <c r="J9701" s="51" t="n">
        <f aca="false">IFERROR(J9698/(J9696+J9697+J9698),0)</f>
        <v>0.0406714932469811</v>
      </c>
      <c r="K9701" s="51" t="n">
        <f aca="false">IFERROR(K9698/(K9696+K9697+K9698),0)</f>
        <v>0.0406714932469811</v>
      </c>
      <c r="L9701" s="51" t="n">
        <f aca="false">IFERROR(L9698/(L9696+L9697+L9698),0)</f>
        <v>0.0406714932469811</v>
      </c>
      <c r="M9701" s="51" t="n">
        <f aca="false">IFERROR(M9698/(M9696+M9697+M9698),0)</f>
        <v>0.0406714932469811</v>
      </c>
      <c r="N9701" s="51" t="n">
        <f aca="false">IFERROR(N9698/(N9696+N9697+N9698),0)</f>
        <v>0.0406714932469811</v>
      </c>
      <c r="P9701" s="52"/>
      <c r="Q9701" s="52"/>
      <c r="R9701" s="52"/>
      <c r="S9701" s="53"/>
    </row>
    <row r="9702" customFormat="false" ht="15" hidden="false" customHeight="false" outlineLevel="0" collapsed="false">
      <c r="A9702" s="4" t="s">
        <v>515</v>
      </c>
      <c r="B9702" s="36" t="s">
        <v>516</v>
      </c>
      <c r="C9702" s="48" t="n">
        <f aca="false">IF(C9670-Assumptions!$E$35&lt;1,0,INDEX($C$9695:$N$9695,1,C9670-Assumptions!$E$35)*INDEX($C$9699:$N$9699,1,C9670-Assumptions!$E$35)*0.3)</f>
        <v>0</v>
      </c>
      <c r="D9702" s="48" t="n">
        <f aca="false">IF(D9670-Assumptions!$E$35&lt;1,0,INDEX($C$9695:$N$9695,1,D9670-Assumptions!$E$35)*INDEX($C$9699:$N$9699,1,D9670-Assumptions!$E$35)*0.3)</f>
        <v>1.23768063597689</v>
      </c>
      <c r="E9702" s="48" t="n">
        <f aca="false">IF(E9670-Assumptions!$E$35&lt;1,0,INDEX($C$9695:$N$9695,1,E9670-Assumptions!$E$35)*INDEX($C$9699:$N$9699,1,E9670-Assumptions!$E$35)*0.3)</f>
        <v>2.12148150044057</v>
      </c>
      <c r="F9702" s="48" t="n">
        <f aca="false">IF(F9670-Assumptions!$E$35&lt;1,0,INDEX($C$9695:$N$9695,1,F9670-Assumptions!$E$35)*INDEX($C$9699:$N$9699,1,F9670-Assumptions!$E$35)*0.3)</f>
        <v>2.34086773049422</v>
      </c>
      <c r="G9702" s="48" t="n">
        <f aca="false">IF(G9670-Assumptions!$E$35&lt;1,0,INDEX($C$9695:$N$9695,1,G9670-Assumptions!$E$35)*INDEX($C$9699:$N$9699,1,G9670-Assumptions!$E$35)*0.3)</f>
        <v>2.56475281986144</v>
      </c>
      <c r="H9702" s="48" t="n">
        <f aca="false">IF(H9670-Assumptions!$E$35&lt;1,0,INDEX($C$9695:$N$9695,1,H9670-Assumptions!$E$35)*INDEX($C$9699:$N$9699,1,H9670-Assumptions!$E$35)*0.3)</f>
        <v>3.30028111675706</v>
      </c>
      <c r="I9702" s="48" t="n">
        <f aca="false">IF(I9670-Assumptions!$E$35&lt;1,0,INDEX($C$9695:$N$9695,1,I9670-Assumptions!$E$35)*INDEX($C$9699:$N$9699,1,I9670-Assumptions!$E$35)*0.3)</f>
        <v>3.98730095011235</v>
      </c>
      <c r="J9702" s="48" t="n">
        <f aca="false">IF(J9670-Assumptions!$E$35&lt;1,0,INDEX($C$9695:$N$9695,1,J9670-Assumptions!$E$35)*INDEX($C$9699:$N$9699,1,J9670-Assumptions!$E$35)*0.3)</f>
        <v>5.90099012506257</v>
      </c>
      <c r="K9702" s="48" t="n">
        <f aca="false">IF(K9670-Assumptions!$E$35&lt;1,0,INDEX($C$9695:$N$9695,1,K9670-Assumptions!$E$35)*INDEX($C$9699:$N$9699,1,K9670-Assumptions!$E$35)*0.3)</f>
        <v>7.63308376221796</v>
      </c>
      <c r="L9702" s="48" t="n">
        <f aca="false">IF(L9670-Assumptions!$E$35&lt;1,0,INDEX($C$9695:$N$9695,1,L9670-Assumptions!$E$35)*INDEX($C$9699:$N$9699,1,L9670-Assumptions!$E$35)*0.3)</f>
        <v>7.68732088799361</v>
      </c>
      <c r="M9702" s="48" t="n">
        <f aca="false">IF(M9670-Assumptions!$E$35&lt;1,0,INDEX($C$9695:$N$9695,1,M9670-Assumptions!$E$35)*INDEX($C$9699:$N$9699,1,M9670-Assumptions!$E$35)*0.3)</f>
        <v>7.45970517437292</v>
      </c>
      <c r="N9702" s="48" t="n">
        <f aca="false">IF(N9670-Assumptions!$E$35&lt;1,0,INDEX($C$9695:$N$9695,1,N9670-Assumptions!$E$35)*INDEX($C$9699:$N$9699,1,N9670-Assumptions!$E$35)*0.3)</f>
        <v>7.24788488526951</v>
      </c>
      <c r="P9702" s="49" t="n">
        <f aca="false">SUM(C9702:F9702)</f>
        <v>5.70002986691168</v>
      </c>
      <c r="Q9702" s="49" t="n">
        <f aca="false">SUM(G9702:J9702)</f>
        <v>15.7533250117934</v>
      </c>
      <c r="R9702" s="49" t="n">
        <f aca="false">SUM(K9702:N9702)</f>
        <v>30.027994709854</v>
      </c>
      <c r="S9702" s="50" t="n">
        <f aca="false">SUM(P9702:R9702)</f>
        <v>51.4813495885591</v>
      </c>
    </row>
    <row r="9703" customFormat="false" ht="15" hidden="false" customHeight="false" outlineLevel="0" collapsed="false">
      <c r="A9703" s="4" t="s">
        <v>517</v>
      </c>
      <c r="B9703" s="36" t="s">
        <v>516</v>
      </c>
      <c r="C9703" s="48" t="n">
        <f aca="false">IF(C9670-Assumptions!$E$35&lt;1,0,INDEX($C$9695:$N$9695,1,C9670-Assumptions!$E$35)*INDEX($C$9700:$N$9700,1,C9670-Assumptions!$E$35)*0.3)</f>
        <v>0</v>
      </c>
      <c r="D9703" s="48" t="n">
        <f aca="false">IF(D9670-Assumptions!$E$35&lt;1,0,INDEX($C$9695:$N$9695,1,D9670-Assumptions!$E$35)*INDEX($C$9700:$N$9700,1,D9670-Assumptions!$E$35)*0.3)</f>
        <v>0.620121391810208</v>
      </c>
      <c r="E9703" s="48" t="n">
        <f aca="false">IF(E9670-Assumptions!$E$35&lt;1,0,INDEX($C$9695:$N$9695,1,E9670-Assumptions!$E$35)*INDEX($C$9700:$N$9700,1,E9670-Assumptions!$E$35)*0.3)</f>
        <v>1.06293661103815</v>
      </c>
      <c r="F9703" s="48" t="n">
        <f aca="false">IF(F9670-Assumptions!$E$35&lt;1,0,INDEX($C$9695:$N$9695,1,F9670-Assumptions!$E$35)*INDEX($C$9700:$N$9700,1,F9670-Assumptions!$E$35)*0.3)</f>
        <v>1.17285680399446</v>
      </c>
      <c r="G9703" s="48" t="n">
        <f aca="false">IF(G9670-Assumptions!$E$35&lt;1,0,INDEX($C$9695:$N$9695,1,G9670-Assumptions!$E$35)*INDEX($C$9700:$N$9700,1,G9670-Assumptions!$E$35)*0.3)</f>
        <v>1.28503108319724</v>
      </c>
      <c r="H9703" s="48" t="n">
        <f aca="false">IF(H9670-Assumptions!$E$35&lt;1,0,INDEX($C$9695:$N$9695,1,H9670-Assumptions!$E$35)*INDEX($C$9700:$N$9700,1,H9670-Assumptions!$E$35)*0.3)</f>
        <v>1.62093594703262</v>
      </c>
      <c r="I9703" s="48" t="n">
        <f aca="false">IF(I9670-Assumptions!$E$35&lt;1,0,INDEX($C$9695:$N$9695,1,I9670-Assumptions!$E$35)*INDEX($C$9700:$N$9700,1,I9670-Assumptions!$E$35)*0.3)</f>
        <v>1.93554080249468</v>
      </c>
      <c r="J9703" s="48" t="n">
        <f aca="false">IF(J9670-Assumptions!$E$35&lt;1,0,INDEX($C$9695:$N$9695,1,J9670-Assumptions!$E$35)*INDEX($C$9700:$N$9700,1,J9670-Assumptions!$E$35)*0.3)</f>
        <v>2.69430125890505</v>
      </c>
      <c r="K9703" s="48" t="n">
        <f aca="false">IF(K9670-Assumptions!$E$35&lt;1,0,INDEX($C$9695:$N$9695,1,K9670-Assumptions!$E$35)*INDEX($C$9700:$N$9700,1,K9670-Assumptions!$E$35)*0.3)</f>
        <v>3.39401653647091</v>
      </c>
      <c r="L9703" s="48" t="n">
        <f aca="false">IF(L9670-Assumptions!$E$35&lt;1,0,INDEX($C$9695:$N$9695,1,L9670-Assumptions!$E$35)*INDEX($C$9700:$N$9700,1,L9670-Assumptions!$E$35)*0.3)</f>
        <v>3.41813283173343</v>
      </c>
      <c r="M9703" s="48" t="n">
        <f aca="false">IF(M9670-Assumptions!$E$35&lt;1,0,INDEX($C$9695:$N$9695,1,M9670-Assumptions!$E$35)*INDEX($C$9700:$N$9700,1,M9670-Assumptions!$E$35)*0.3)</f>
        <v>3.31692452326273</v>
      </c>
      <c r="N9703" s="48" t="n">
        <f aca="false">IF(N9670-Assumptions!$E$35&lt;1,0,INDEX($C$9695:$N$9695,1,N9670-Assumptions!$E$35)*INDEX($C$9700:$N$9700,1,N9670-Assumptions!$E$35)*0.3)</f>
        <v>3.22273957961839</v>
      </c>
      <c r="P9703" s="49" t="n">
        <f aca="false">SUM(C9703:F9703)</f>
        <v>2.85591480684281</v>
      </c>
      <c r="Q9703" s="49" t="n">
        <f aca="false">SUM(G9703:J9703)</f>
        <v>7.53580909162959</v>
      </c>
      <c r="R9703" s="49" t="n">
        <f aca="false">SUM(K9703:N9703)</f>
        <v>13.3518134710855</v>
      </c>
      <c r="S9703" s="50" t="n">
        <f aca="false">SUM(P9703:R9703)</f>
        <v>23.7435373695579</v>
      </c>
    </row>
    <row r="9704" customFormat="false" ht="15" hidden="false" customHeight="false" outlineLevel="0" collapsed="false">
      <c r="A9704" s="4" t="s">
        <v>518</v>
      </c>
      <c r="B9704" s="36" t="s">
        <v>516</v>
      </c>
      <c r="C9704" s="48" t="n">
        <f aca="false">IF(C9670-Assumptions!$E$36&lt;1,0,INDEX($C$9695:$N$9695,1,C9670-Assumptions!$E$36)*INDEX($C$9701:$N$9701,1,C9670-Assumptions!$E$36)*0.3)</f>
        <v>0</v>
      </c>
      <c r="D9704" s="48" t="n">
        <f aca="false">IF(D9670-Assumptions!$E$36&lt;1,0,INDEX($C$9695:$N$9695,1,D9670-Assumptions!$E$36)*INDEX($C$9701:$N$9701,1,D9670-Assumptions!$E$36)*0.3)</f>
        <v>0</v>
      </c>
      <c r="E9704" s="48" t="n">
        <f aca="false">IF(E9670-Assumptions!$E$36&lt;1,0,INDEX($C$9695:$N$9695,1,E9670-Assumptions!$E$36)*INDEX($C$9701:$N$9701,1,E9670-Assumptions!$E$36)*0.3)</f>
        <v>0.101822401371306</v>
      </c>
      <c r="F9704" s="48" t="n">
        <f aca="false">IF(F9670-Assumptions!$E$36&lt;1,0,INDEX($C$9695:$N$9695,1,F9670-Assumptions!$E$36)*INDEX($C$9701:$N$9701,1,F9670-Assumptions!$E$36)*0.3)</f>
        <v>0.174531566997622</v>
      </c>
      <c r="G9704" s="48" t="n">
        <f aca="false">IF(G9670-Assumptions!$E$36&lt;1,0,INDEX($C$9695:$N$9695,1,G9670-Assumptions!$E$36)*INDEX($C$9701:$N$9701,1,G9670-Assumptions!$E$36)*0.3)</f>
        <v>0.192580191273164</v>
      </c>
      <c r="H9704" s="48" t="n">
        <f aca="false">IF(H9670-Assumptions!$E$36&lt;1,0,INDEX($C$9695:$N$9695,1,H9670-Assumptions!$E$36)*INDEX($C$9701:$N$9701,1,H9670-Assumptions!$E$36)*0.3)</f>
        <v>0.210998930944732</v>
      </c>
      <c r="I9704" s="48" t="n">
        <f aca="false">IF(I9670-Assumptions!$E$36&lt;1,0,INDEX($C$9695:$N$9695,1,I9670-Assumptions!$E$36)*INDEX($C$9701:$N$9701,1,I9670-Assumptions!$E$36)*0.3)</f>
        <v>0.248942818655125</v>
      </c>
      <c r="J9704" s="48" t="n">
        <f aca="false">IF(J9670-Assumptions!$E$36&lt;1,0,INDEX($C$9695:$N$9695,1,J9670-Assumptions!$E$36)*INDEX($C$9701:$N$9701,1,J9670-Assumptions!$E$36)*0.3)</f>
        <v>0.284974457636671</v>
      </c>
      <c r="K9704" s="48" t="n">
        <f aca="false">IF(K9670-Assumptions!$E$36&lt;1,0,INDEX($C$9695:$N$9695,1,K9670-Assumptions!$E$36)*INDEX($C$9701:$N$9701,1,K9670-Assumptions!$E$36)*0.3)</f>
        <v>0.379079522453141</v>
      </c>
      <c r="L9704" s="48" t="n">
        <f aca="false">IF(L9670-Assumptions!$E$36&lt;1,0,INDEX($C$9695:$N$9695,1,L9670-Assumptions!$E$36)*INDEX($C$9701:$N$9701,1,L9670-Assumptions!$E$36)*0.3)</f>
        <v>0.467502666891324</v>
      </c>
      <c r="M9704" s="48" t="n">
        <f aca="false">IF(M9670-Assumptions!$E$36&lt;1,0,INDEX($C$9695:$N$9695,1,M9670-Assumptions!$E$36)*INDEX($C$9701:$N$9701,1,M9670-Assumptions!$E$36)*0.3)</f>
        <v>0.470824522347718</v>
      </c>
      <c r="N9704" s="48" t="n">
        <f aca="false">IF(N9670-Assumptions!$E$36&lt;1,0,INDEX($C$9695:$N$9695,1,N9670-Assumptions!$E$36)*INDEX($C$9701:$N$9701,1,N9670-Assumptions!$E$36)*0.3)</f>
        <v>0.456883767017512</v>
      </c>
      <c r="P9704" s="49" t="n">
        <f aca="false">SUM(C9704:F9704)</f>
        <v>0.276353968368928</v>
      </c>
      <c r="Q9704" s="49" t="n">
        <f aca="false">SUM(G9704:J9704)</f>
        <v>0.937496398509692</v>
      </c>
      <c r="R9704" s="49" t="n">
        <f aca="false">SUM(K9704:N9704)</f>
        <v>1.7742904787097</v>
      </c>
      <c r="S9704" s="50" t="n">
        <f aca="false">SUM(P9704:R9704)</f>
        <v>2.98814084558832</v>
      </c>
    </row>
    <row r="9705" customFormat="false" ht="15" hidden="false" customHeight="false" outlineLevel="0" collapsed="false">
      <c r="A9705" s="4" t="s">
        <v>519</v>
      </c>
      <c r="B9705" s="36" t="s">
        <v>77</v>
      </c>
      <c r="C9705" s="51" t="n">
        <f aca="false">IF(C9670-Assumptions!$E$35&lt;1,0,IFERROR(INDEX($C$9694:$N$9694,1,C9670-Assumptions!$E$35)/INDEX($C$9695:$N$9695,1,C9670-Assumptions!$E$35),0))</f>
        <v>0</v>
      </c>
      <c r="D9705" s="51" t="n">
        <f aca="false">IF(D9670-Assumptions!$E$35&lt;1,0,IFERROR(INDEX($C$9694:$N$9694,1,D9670-Assumptions!$E$35)/INDEX($C$9695:$N$9695,1,D9670-Assumptions!$E$35),0))</f>
        <v>0.459271678087073</v>
      </c>
      <c r="E9705" s="51" t="n">
        <f aca="false">IF(E9670-Assumptions!$E$35&lt;1,0,IFERROR(INDEX($C$9694:$N$9694,1,E9670-Assumptions!$E$35)/INDEX($C$9695:$N$9695,1,E9670-Assumptions!$E$35),0))</f>
        <v>0.401911350042128</v>
      </c>
      <c r="F9705" s="51" t="n">
        <f aca="false">IF(F9670-Assumptions!$E$35&lt;1,0,IFERROR(INDEX($C$9694:$N$9694,1,F9670-Assumptions!$E$35)/INDEX($C$9695:$N$9695,1,F9670-Assumptions!$E$35),0))</f>
        <v>0.485658933408398</v>
      </c>
      <c r="G9705" s="51" t="n">
        <f aca="false">IF(G9670-Assumptions!$E$35&lt;1,0,IFERROR(INDEX($C$9694:$N$9694,1,G9670-Assumptions!$E$35)/INDEX($C$9695:$N$9695,1,G9670-Assumptions!$E$35),0))</f>
        <v>0.554080356417826</v>
      </c>
      <c r="H9705" s="51" t="n">
        <f aca="false">IF(H9670-Assumptions!$E$35&lt;1,0,IFERROR(INDEX($C$9694:$N$9694,1,H9670-Assumptions!$E$35)/INDEX($C$9695:$N$9695,1,H9670-Assumptions!$E$35),0))</f>
        <v>0.522227563825987</v>
      </c>
      <c r="I9705" s="51" t="n">
        <f aca="false">IF(I9670-Assumptions!$E$35&lt;1,0,IFERROR(INDEX($C$9694:$N$9694,1,I9670-Assumptions!$E$35)/INDEX($C$9695:$N$9695,1,I9670-Assumptions!$E$35),0))</f>
        <v>0.507424816282752</v>
      </c>
      <c r="J9705" s="51" t="n">
        <f aca="false">IF(J9670-Assumptions!$E$35&lt;1,0,IFERROR(INDEX($C$9694:$N$9694,1,J9670-Assumptions!$E$35)/INDEX($C$9695:$N$9695,1,J9670-Assumptions!$E$35),0))</f>
        <v>0.401142323795015</v>
      </c>
      <c r="K9705" s="51" t="n">
        <f aca="false">IF(K9670-Assumptions!$E$35&lt;1,0,IFERROR(INDEX($C$9694:$N$9694,1,K9670-Assumptions!$E$35)/INDEX($C$9695:$N$9695,1,K9670-Assumptions!$E$35),0))</f>
        <v>0.352339268448632</v>
      </c>
      <c r="L9705" s="51" t="n">
        <f aca="false">IF(L9670-Assumptions!$E$35&lt;1,0,IFERROR(INDEX($C$9694:$N$9694,1,L9670-Assumptions!$E$35)/INDEX($C$9695:$N$9695,1,L9670-Assumptions!$E$35),0))</f>
        <v>0.388725970981282</v>
      </c>
      <c r="M9705" s="51" t="n">
        <f aca="false">IF(M9670-Assumptions!$E$35&lt;1,0,IFERROR(INDEX($C$9694:$N$9694,1,M9670-Assumptions!$E$35)/INDEX($C$9695:$N$9695,1,M9670-Assumptions!$E$35),0))</f>
        <v>0.400587048224893</v>
      </c>
      <c r="N9705" s="51" t="n">
        <f aca="false">IF(N9670-Assumptions!$E$35&lt;1,0,IFERROR(INDEX($C$9694:$N$9694,1,N9670-Assumptions!$E$35)/INDEX($C$9695:$N$9695,1,N9670-Assumptions!$E$35),0))</f>
        <v>0.412294251872474</v>
      </c>
      <c r="P9705" s="52"/>
      <c r="Q9705" s="52"/>
      <c r="R9705" s="52"/>
      <c r="S9705" s="53"/>
    </row>
    <row r="9706" customFormat="false" ht="15" hidden="false" customHeight="false" outlineLevel="0" collapsed="false">
      <c r="A9706" s="4" t="s">
        <v>520</v>
      </c>
      <c r="B9706" s="36" t="s">
        <v>516</v>
      </c>
      <c r="C9706" s="48" t="n">
        <f aca="false">C9702*Assumptions!$E$37</f>
        <v>0</v>
      </c>
      <c r="D9706" s="48" t="n">
        <f aca="false">D9702*Assumptions!$E$37</f>
        <v>0.371304190793066</v>
      </c>
      <c r="E9706" s="48" t="n">
        <f aca="false">E9702*Assumptions!$E$37</f>
        <v>0.636444450132171</v>
      </c>
      <c r="F9706" s="48" t="n">
        <f aca="false">F9702*Assumptions!$E$37</f>
        <v>0.702260319148266</v>
      </c>
      <c r="G9706" s="48" t="n">
        <f aca="false">G9702*Assumptions!$E$37</f>
        <v>0.769425845958432</v>
      </c>
      <c r="H9706" s="48" t="n">
        <f aca="false">H9702*Assumptions!$E$37</f>
        <v>0.990084335027117</v>
      </c>
      <c r="I9706" s="48" t="n">
        <f aca="false">I9702*Assumptions!$E$37</f>
        <v>1.1961902850337</v>
      </c>
      <c r="J9706" s="48" t="n">
        <f aca="false">J9702*Assumptions!$E$37</f>
        <v>1.77029703751877</v>
      </c>
      <c r="K9706" s="48" t="n">
        <f aca="false">K9702*Assumptions!$E$37</f>
        <v>2.28992512866539</v>
      </c>
      <c r="L9706" s="48" t="n">
        <f aca="false">L9702*Assumptions!$E$37</f>
        <v>2.30619626639808</v>
      </c>
      <c r="M9706" s="48" t="n">
        <f aca="false">M9702*Assumptions!$E$37</f>
        <v>2.23791155231188</v>
      </c>
      <c r="N9706" s="48" t="n">
        <f aca="false">N9702*Assumptions!$E$37</f>
        <v>2.17436546558085</v>
      </c>
      <c r="P9706" s="49" t="n">
        <f aca="false">SUM(C9706:F9706)</f>
        <v>1.7100089600735</v>
      </c>
      <c r="Q9706" s="49" t="n">
        <f aca="false">SUM(G9706:J9706)</f>
        <v>4.72599750353802</v>
      </c>
      <c r="R9706" s="49" t="n">
        <f aca="false">SUM(K9706:N9706)</f>
        <v>9.0083984129562</v>
      </c>
      <c r="S9706" s="50" t="n">
        <f aca="false">SUM(P9706:R9706)</f>
        <v>15.4444048765677</v>
      </c>
    </row>
    <row r="9707" customFormat="false" ht="15" hidden="false" customHeight="false" outlineLevel="0" collapsed="false">
      <c r="A9707" s="4" t="s">
        <v>521</v>
      </c>
      <c r="B9707" s="36" t="s">
        <v>516</v>
      </c>
      <c r="C9707" s="48" t="n">
        <f aca="false">C9702*(1-Assumptions!$E$37)</f>
        <v>0</v>
      </c>
      <c r="D9707" s="48" t="n">
        <f aca="false">D9702*(1-Assumptions!$E$37)</f>
        <v>0.866376445183821</v>
      </c>
      <c r="E9707" s="48" t="n">
        <f aca="false">E9702*(1-Assumptions!$E$37)</f>
        <v>1.4850370503084</v>
      </c>
      <c r="F9707" s="48" t="n">
        <f aca="false">F9702*(1-Assumptions!$E$37)</f>
        <v>1.63860741134595</v>
      </c>
      <c r="G9707" s="48" t="n">
        <f aca="false">G9702*(1-Assumptions!$E$37)</f>
        <v>1.79532697390301</v>
      </c>
      <c r="H9707" s="48" t="n">
        <f aca="false">H9702*(1-Assumptions!$E$37)</f>
        <v>2.31019678172994</v>
      </c>
      <c r="I9707" s="48" t="n">
        <f aca="false">I9702*(1-Assumptions!$E$37)</f>
        <v>2.79111066507864</v>
      </c>
      <c r="J9707" s="48" t="n">
        <f aca="false">J9702*(1-Assumptions!$E$37)</f>
        <v>4.1306930875438</v>
      </c>
      <c r="K9707" s="48" t="n">
        <f aca="false">K9702*(1-Assumptions!$E$37)</f>
        <v>5.34315863355258</v>
      </c>
      <c r="L9707" s="48" t="n">
        <f aca="false">L9702*(1-Assumptions!$E$37)</f>
        <v>5.38112462159553</v>
      </c>
      <c r="M9707" s="48" t="n">
        <f aca="false">M9702*(1-Assumptions!$E$37)</f>
        <v>5.22179362206104</v>
      </c>
      <c r="N9707" s="48" t="n">
        <f aca="false">N9702*(1-Assumptions!$E$37)</f>
        <v>5.07351941968866</v>
      </c>
      <c r="P9707" s="49" t="n">
        <f aca="false">SUM(C9707:F9707)</f>
        <v>3.99002090683817</v>
      </c>
      <c r="Q9707" s="49" t="n">
        <f aca="false">SUM(G9707:J9707)</f>
        <v>11.0273275082554</v>
      </c>
      <c r="R9707" s="49" t="n">
        <f aca="false">SUM(K9707:N9707)</f>
        <v>21.0195962968978</v>
      </c>
      <c r="S9707" s="50" t="n">
        <f aca="false">SUM(P9707:R9707)</f>
        <v>36.0369447119914</v>
      </c>
    </row>
    <row r="9708" customFormat="false" ht="15" hidden="false" customHeight="false" outlineLevel="0" collapsed="false">
      <c r="A9708" s="4" t="s">
        <v>522</v>
      </c>
      <c r="B9708" s="36" t="s">
        <v>125</v>
      </c>
      <c r="C9708" s="54" t="n">
        <f aca="false">C9707*$C$9661+C9703*$C$9662+C9704*$C$9663</f>
        <v>0</v>
      </c>
      <c r="D9708" s="54" t="n">
        <f aca="false">D9707*$C$9661+D9703*$C$9662+D9704*$C$9663</f>
        <v>19778.2269337801</v>
      </c>
      <c r="E9708" s="54" t="n">
        <f aca="false">E9707*$C$9661+E9703*$C$9662+E9704*$C$9663</f>
        <v>49627.4552817727</v>
      </c>
      <c r="F9708" s="54" t="n">
        <f aca="false">F9707*$C$9661+F9703*$C$9662+F9704*$C$9663</f>
        <v>64362.8769157128</v>
      </c>
      <c r="G9708" s="54" t="n">
        <f aca="false">G9707*$C$9661+G9703*$C$9662+G9704*$C$9663</f>
        <v>70728.1083283204</v>
      </c>
      <c r="H9708" s="54" t="n">
        <f aca="false">H9707*$C$9661+H9703*$C$9662+H9704*$C$9663</f>
        <v>84530.1075739001</v>
      </c>
      <c r="I9708" s="54" t="n">
        <f aca="false">I9707*$C$9661+I9703*$C$9662+I9704*$C$9663</f>
        <v>100645.870656029</v>
      </c>
      <c r="J9708" s="54" t="n">
        <f aca="false">J9707*$C$9661+J9703*$C$9662+J9704*$C$9663</f>
        <v>131906.747899894</v>
      </c>
      <c r="K9708" s="54" t="n">
        <f aca="false">K9707*$C$9661+K9703*$C$9662+K9704*$C$9663</f>
        <v>170014.788731074</v>
      </c>
      <c r="L9708" s="54" t="n">
        <f aca="false">L9707*$C$9661+L9703*$C$9662+L9704*$C$9663</f>
        <v>184463.394647085</v>
      </c>
      <c r="M9708" s="54" t="n">
        <f aca="false">M9707*$C$9661+M9703*$C$9662+M9704*$C$9663</f>
        <v>181652.518172505</v>
      </c>
      <c r="N9708" s="54" t="n">
        <f aca="false">N9707*$C$9661+N9703*$C$9662+N9704*$C$9663</f>
        <v>176406.170792411</v>
      </c>
      <c r="P9708" s="55" t="n">
        <f aca="false">SUM(C9708:F9708)</f>
        <v>133768.559131266</v>
      </c>
      <c r="Q9708" s="55" t="n">
        <f aca="false">SUM(G9708:J9708)</f>
        <v>387810.834458144</v>
      </c>
      <c r="R9708" s="55" t="n">
        <f aca="false">SUM(K9708:N9708)</f>
        <v>712536.872343076</v>
      </c>
      <c r="S9708" s="56" t="n">
        <f aca="false">SUM(P9708:R9708)</f>
        <v>1234116.26593248</v>
      </c>
    </row>
    <row r="9709" customFormat="false" ht="15" hidden="false" customHeight="false" outlineLevel="0" collapsed="false">
      <c r="A9709" s="4" t="s">
        <v>523</v>
      </c>
      <c r="B9709" s="36" t="s">
        <v>125</v>
      </c>
      <c r="C9709" s="54" t="n">
        <f aca="false">(C9685+Assumptions!$D$104*C9671)*$C$9666</f>
        <v>306250</v>
      </c>
      <c r="D9709" s="54" t="n">
        <f aca="false">(D9685+Assumptions!$D$104*D9671)*$C$9666</f>
        <v>306250</v>
      </c>
      <c r="E9709" s="54" t="n">
        <f aca="false">(E9685+Assumptions!$D$104*E9671)*$C$9666</f>
        <v>306250</v>
      </c>
      <c r="F9709" s="54" t="n">
        <f aca="false">(F9685+Assumptions!$D$104*F9671)*$C$9666</f>
        <v>306250</v>
      </c>
      <c r="G9709" s="54" t="n">
        <f aca="false">(G9685+Assumptions!$D$104*G9671)*$C$9666</f>
        <v>306250</v>
      </c>
      <c r="H9709" s="54" t="n">
        <f aca="false">(H9685+Assumptions!$D$104*H9671)*$C$9666</f>
        <v>306250</v>
      </c>
      <c r="I9709" s="54" t="n">
        <f aca="false">(I9685+Assumptions!$D$104*I9671)*$C$9666</f>
        <v>306250</v>
      </c>
      <c r="J9709" s="54" t="n">
        <f aca="false">(J9685+Assumptions!$D$104*J9671)*$C$9666</f>
        <v>306250</v>
      </c>
      <c r="K9709" s="54" t="n">
        <f aca="false">(K9685+Assumptions!$D$104*K9671)*$C$9666</f>
        <v>306250</v>
      </c>
      <c r="L9709" s="54" t="n">
        <f aca="false">(L9685+Assumptions!$D$104*L9671)*$C$9666</f>
        <v>306250</v>
      </c>
      <c r="M9709" s="54" t="n">
        <f aca="false">(M9685+Assumptions!$D$104*M9671)*$C$9666</f>
        <v>306250</v>
      </c>
      <c r="N9709" s="54" t="n">
        <f aca="false">(N9685+Assumptions!$D$104*N9671)*$C$9666</f>
        <v>306250</v>
      </c>
      <c r="P9709" s="55" t="n">
        <f aca="false">SUM(C9709:F9709)</f>
        <v>1225000</v>
      </c>
      <c r="Q9709" s="55" t="n">
        <f aca="false">SUM(G9709:J9709)</f>
        <v>1225000</v>
      </c>
      <c r="R9709" s="55" t="n">
        <f aca="false">SUM(K9709:N9709)</f>
        <v>1225000</v>
      </c>
      <c r="S9709" s="56" t="n">
        <f aca="false">SUM(P9709:R9709)</f>
        <v>3675000</v>
      </c>
    </row>
    <row r="9710" customFormat="false" ht="15" hidden="false" customHeight="false" outlineLevel="0" collapsed="false">
      <c r="A9710" s="4" t="s">
        <v>524</v>
      </c>
      <c r="B9710" s="36" t="s">
        <v>77</v>
      </c>
      <c r="C9710" s="51" t="n">
        <f aca="false">IF(C9708&gt;0,MIN(1,C9709/C9708),1)</f>
        <v>1</v>
      </c>
      <c r="D9710" s="51" t="n">
        <f aca="false">IF(D9708&gt;0,MIN(1,D9709/D9708),1)</f>
        <v>1</v>
      </c>
      <c r="E9710" s="51" t="n">
        <f aca="false">IF(E9708&gt;0,MIN(1,E9709/E9708),1)</f>
        <v>1</v>
      </c>
      <c r="F9710" s="51" t="n">
        <f aca="false">IF(F9708&gt;0,MIN(1,F9709/F9708),1)</f>
        <v>1</v>
      </c>
      <c r="G9710" s="51" t="n">
        <f aca="false">IF(G9708&gt;0,MIN(1,G9709/G9708),1)</f>
        <v>1</v>
      </c>
      <c r="H9710" s="51" t="n">
        <f aca="false">IF(H9708&gt;0,MIN(1,H9709/H9708),1)</f>
        <v>1</v>
      </c>
      <c r="I9710" s="51" t="n">
        <f aca="false">IF(I9708&gt;0,MIN(1,I9709/I9708),1)</f>
        <v>1</v>
      </c>
      <c r="J9710" s="51" t="n">
        <f aca="false">IF(J9708&gt;0,MIN(1,J9709/J9708),1)</f>
        <v>1</v>
      </c>
      <c r="K9710" s="51" t="n">
        <f aca="false">IF(K9708&gt;0,MIN(1,K9709/K9708),1)</f>
        <v>1</v>
      </c>
      <c r="L9710" s="51" t="n">
        <f aca="false">IF(L9708&gt;0,MIN(1,L9709/L9708),1)</f>
        <v>1</v>
      </c>
      <c r="M9710" s="51" t="n">
        <f aca="false">IF(M9708&gt;0,MIN(1,M9709/M9708),1)</f>
        <v>1</v>
      </c>
      <c r="N9710" s="51" t="n">
        <f aca="false">IF(N9708&gt;0,MIN(1,N9709/N9708),1)</f>
        <v>1</v>
      </c>
      <c r="P9710" s="52"/>
      <c r="Q9710" s="52"/>
      <c r="R9710" s="52"/>
      <c r="S9710" s="53"/>
    </row>
    <row r="9711" customFormat="false" ht="15" hidden="false" customHeight="false" outlineLevel="0" collapsed="false">
      <c r="A9711" s="4" t="s">
        <v>525</v>
      </c>
      <c r="B9711" s="36" t="s">
        <v>125</v>
      </c>
      <c r="C9711" s="54" t="n">
        <f aca="false">C9708*(1-C9710)</f>
        <v>0</v>
      </c>
      <c r="D9711" s="54" t="n">
        <f aca="false">D9708*(1-D9710)</f>
        <v>0</v>
      </c>
      <c r="E9711" s="54" t="n">
        <f aca="false">E9708*(1-E9710)</f>
        <v>0</v>
      </c>
      <c r="F9711" s="54" t="n">
        <f aca="false">F9708*(1-F9710)</f>
        <v>0</v>
      </c>
      <c r="G9711" s="54" t="n">
        <f aca="false">G9708*(1-G9710)</f>
        <v>0</v>
      </c>
      <c r="H9711" s="54" t="n">
        <f aca="false">H9708*(1-H9710)</f>
        <v>0</v>
      </c>
      <c r="I9711" s="54" t="n">
        <f aca="false">I9708*(1-I9710)</f>
        <v>0</v>
      </c>
      <c r="J9711" s="54" t="n">
        <f aca="false">J9708*(1-J9710)</f>
        <v>0</v>
      </c>
      <c r="K9711" s="54" t="n">
        <f aca="false">K9708*(1-K9710)</f>
        <v>0</v>
      </c>
      <c r="L9711" s="54" t="n">
        <f aca="false">L9708*(1-L9710)</f>
        <v>0</v>
      </c>
      <c r="M9711" s="54" t="n">
        <f aca="false">M9708*(1-M9710)</f>
        <v>0</v>
      </c>
      <c r="N9711" s="54" t="n">
        <f aca="false">N9708*(1-N9710)</f>
        <v>0</v>
      </c>
      <c r="P9711" s="55" t="n">
        <f aca="false">SUM(C9711:F9711)</f>
        <v>0</v>
      </c>
      <c r="Q9711" s="55" t="n">
        <f aca="false">SUM(G9711:J9711)</f>
        <v>0</v>
      </c>
      <c r="R9711" s="55" t="n">
        <f aca="false">SUM(K9711:N9711)</f>
        <v>0</v>
      </c>
      <c r="S9711" s="56" t="n">
        <f aca="false">SUM(P9711:R9711)</f>
        <v>0</v>
      </c>
    </row>
    <row r="9712" customFormat="false" ht="15" hidden="false" customHeight="false" outlineLevel="0" collapsed="false">
      <c r="A9712" s="4" t="s">
        <v>526</v>
      </c>
      <c r="B9712" s="36" t="s">
        <v>527</v>
      </c>
      <c r="C9712" s="48" t="n">
        <f aca="false">C9706+C9707*C9710</f>
        <v>0</v>
      </c>
      <c r="D9712" s="48" t="n">
        <f aca="false">D9706+D9707*D9710</f>
        <v>1.23768063597689</v>
      </c>
      <c r="E9712" s="48" t="n">
        <f aca="false">E9706+E9707*E9710</f>
        <v>2.12148150044057</v>
      </c>
      <c r="F9712" s="48" t="n">
        <f aca="false">F9706+F9707*F9710</f>
        <v>2.34086773049422</v>
      </c>
      <c r="G9712" s="48" t="n">
        <f aca="false">G9706+G9707*G9710</f>
        <v>2.56475281986144</v>
      </c>
      <c r="H9712" s="48" t="n">
        <f aca="false">H9706+H9707*H9710</f>
        <v>3.30028111675706</v>
      </c>
      <c r="I9712" s="48" t="n">
        <f aca="false">I9706+I9707*I9710</f>
        <v>3.98730095011235</v>
      </c>
      <c r="J9712" s="48" t="n">
        <f aca="false">J9706+J9707*J9710</f>
        <v>5.90099012506257</v>
      </c>
      <c r="K9712" s="48" t="n">
        <f aca="false">K9706+K9707*K9710</f>
        <v>7.63308376221796</v>
      </c>
      <c r="L9712" s="48" t="n">
        <f aca="false">L9706+L9707*L9710</f>
        <v>7.68732088799361</v>
      </c>
      <c r="M9712" s="48" t="n">
        <f aca="false">M9706+M9707*M9710</f>
        <v>7.45970517437292</v>
      </c>
      <c r="N9712" s="48" t="n">
        <f aca="false">N9706+N9707*N9710</f>
        <v>7.24788488526951</v>
      </c>
      <c r="P9712" s="49" t="n">
        <f aca="false">SUM(C9712:F9712)</f>
        <v>5.70002986691168</v>
      </c>
      <c r="Q9712" s="49" t="n">
        <f aca="false">SUM(G9712:J9712)</f>
        <v>15.7533250117934</v>
      </c>
      <c r="R9712" s="49" t="n">
        <f aca="false">SUM(K9712:N9712)</f>
        <v>30.027994709854</v>
      </c>
      <c r="S9712" s="50" t="n">
        <f aca="false">SUM(P9712:R9712)</f>
        <v>51.4813495885591</v>
      </c>
    </row>
    <row r="9713" customFormat="false" ht="15" hidden="false" customHeight="false" outlineLevel="0" collapsed="false">
      <c r="A9713" s="4" t="s">
        <v>528</v>
      </c>
      <c r="B9713" s="36" t="s">
        <v>527</v>
      </c>
      <c r="C9713" s="48" t="n">
        <f aca="false">C9703*C9710</f>
        <v>0</v>
      </c>
      <c r="D9713" s="48" t="n">
        <f aca="false">D9703*D9710</f>
        <v>0.620121391810208</v>
      </c>
      <c r="E9713" s="48" t="n">
        <f aca="false">E9703*E9710</f>
        <v>1.06293661103815</v>
      </c>
      <c r="F9713" s="48" t="n">
        <f aca="false">F9703*F9710</f>
        <v>1.17285680399446</v>
      </c>
      <c r="G9713" s="48" t="n">
        <f aca="false">G9703*G9710</f>
        <v>1.28503108319724</v>
      </c>
      <c r="H9713" s="48" t="n">
        <f aca="false">H9703*H9710</f>
        <v>1.62093594703262</v>
      </c>
      <c r="I9713" s="48" t="n">
        <f aca="false">I9703*I9710</f>
        <v>1.93554080249468</v>
      </c>
      <c r="J9713" s="48" t="n">
        <f aca="false">J9703*J9710</f>
        <v>2.69430125890505</v>
      </c>
      <c r="K9713" s="48" t="n">
        <f aca="false">K9703*K9710</f>
        <v>3.39401653647091</v>
      </c>
      <c r="L9713" s="48" t="n">
        <f aca="false">L9703*L9710</f>
        <v>3.41813283173343</v>
      </c>
      <c r="M9713" s="48" t="n">
        <f aca="false">M9703*M9710</f>
        <v>3.31692452326273</v>
      </c>
      <c r="N9713" s="48" t="n">
        <f aca="false">N9703*N9710</f>
        <v>3.22273957961839</v>
      </c>
      <c r="P9713" s="49" t="n">
        <f aca="false">SUM(C9713:F9713)</f>
        <v>2.85591480684281</v>
      </c>
      <c r="Q9713" s="49" t="n">
        <f aca="false">SUM(G9713:J9713)</f>
        <v>7.53580909162959</v>
      </c>
      <c r="R9713" s="49" t="n">
        <f aca="false">SUM(K9713:N9713)</f>
        <v>13.3518134710855</v>
      </c>
      <c r="S9713" s="50" t="n">
        <f aca="false">SUM(P9713:R9713)</f>
        <v>23.7435373695579</v>
      </c>
    </row>
    <row r="9714" customFormat="false" ht="15" hidden="false" customHeight="false" outlineLevel="0" collapsed="false">
      <c r="A9714" s="4" t="s">
        <v>529</v>
      </c>
      <c r="B9714" s="36" t="s">
        <v>527</v>
      </c>
      <c r="C9714" s="48" t="n">
        <f aca="false">C9704*C9710</f>
        <v>0</v>
      </c>
      <c r="D9714" s="48" t="n">
        <f aca="false">D9704*D9710</f>
        <v>0</v>
      </c>
      <c r="E9714" s="48" t="n">
        <f aca="false">E9704*E9710</f>
        <v>0.101822401371306</v>
      </c>
      <c r="F9714" s="48" t="n">
        <f aca="false">F9704*F9710</f>
        <v>0.174531566997622</v>
      </c>
      <c r="G9714" s="48" t="n">
        <f aca="false">G9704*G9710</f>
        <v>0.192580191273164</v>
      </c>
      <c r="H9714" s="48" t="n">
        <f aca="false">H9704*H9710</f>
        <v>0.210998930944732</v>
      </c>
      <c r="I9714" s="48" t="n">
        <f aca="false">I9704*I9710</f>
        <v>0.248942818655125</v>
      </c>
      <c r="J9714" s="48" t="n">
        <f aca="false">J9704*J9710</f>
        <v>0.284974457636671</v>
      </c>
      <c r="K9714" s="48" t="n">
        <f aca="false">K9704*K9710</f>
        <v>0.379079522453141</v>
      </c>
      <c r="L9714" s="48" t="n">
        <f aca="false">L9704*L9710</f>
        <v>0.467502666891324</v>
      </c>
      <c r="M9714" s="48" t="n">
        <f aca="false">M9704*M9710</f>
        <v>0.470824522347718</v>
      </c>
      <c r="N9714" s="48" t="n">
        <f aca="false">N9704*N9710</f>
        <v>0.456883767017512</v>
      </c>
      <c r="P9714" s="49" t="n">
        <f aca="false">SUM(C9714:F9714)</f>
        <v>0.276353968368928</v>
      </c>
      <c r="Q9714" s="49" t="n">
        <f aca="false">SUM(G9714:J9714)</f>
        <v>0.937496398509692</v>
      </c>
      <c r="R9714" s="49" t="n">
        <f aca="false">SUM(K9714:N9714)</f>
        <v>1.7742904787097</v>
      </c>
      <c r="S9714" s="50" t="n">
        <f aca="false">SUM(P9714:R9714)</f>
        <v>2.98814084558832</v>
      </c>
    </row>
    <row r="9715" customFormat="false" ht="15" hidden="false" customHeight="false" outlineLevel="0" collapsed="false">
      <c r="A9715" s="9" t="s">
        <v>530</v>
      </c>
      <c r="B9715" s="36" t="s">
        <v>527</v>
      </c>
      <c r="C9715" s="49" t="n">
        <f aca="false">C9712+C9713+C9714</f>
        <v>0</v>
      </c>
      <c r="D9715" s="49" t="n">
        <f aca="false">D9712+D9713+D9714</f>
        <v>1.85780202778709</v>
      </c>
      <c r="E9715" s="49" t="n">
        <f aca="false">E9712+E9713+E9714</f>
        <v>3.28624051285003</v>
      </c>
      <c r="F9715" s="49" t="n">
        <f aca="false">F9712+F9713+F9714</f>
        <v>3.6882561014863</v>
      </c>
      <c r="G9715" s="49" t="n">
        <f aca="false">G9712+G9713+G9714</f>
        <v>4.04236409433185</v>
      </c>
      <c r="H9715" s="49" t="n">
        <f aca="false">H9712+H9713+H9714</f>
        <v>5.13221599473441</v>
      </c>
      <c r="I9715" s="49" t="n">
        <f aca="false">I9712+I9713+I9714</f>
        <v>6.17178457126216</v>
      </c>
      <c r="J9715" s="49" t="n">
        <f aca="false">J9712+J9713+J9714</f>
        <v>8.88026584160429</v>
      </c>
      <c r="K9715" s="49" t="n">
        <f aca="false">K9712+K9713+K9714</f>
        <v>11.406179821142</v>
      </c>
      <c r="L9715" s="49" t="n">
        <f aca="false">L9712+L9713+L9714</f>
        <v>11.5729563866184</v>
      </c>
      <c r="M9715" s="49" t="n">
        <f aca="false">M9712+M9713+M9714</f>
        <v>11.2474542199834</v>
      </c>
      <c r="N9715" s="49" t="n">
        <f aca="false">N9712+N9713+N9714</f>
        <v>10.9275082319054</v>
      </c>
      <c r="P9715" s="49" t="n">
        <f aca="false">SUM(C9715:F9715)</f>
        <v>8.83229864212342</v>
      </c>
      <c r="Q9715" s="49" t="n">
        <f aca="false">SUM(G9715:J9715)</f>
        <v>24.2266305019327</v>
      </c>
      <c r="R9715" s="49" t="n">
        <f aca="false">SUM(K9715:N9715)</f>
        <v>45.1540986596492</v>
      </c>
      <c r="S9715" s="50" t="n">
        <f aca="false">SUM(P9715:R9715)</f>
        <v>78.2130278037053</v>
      </c>
    </row>
    <row r="9716" customFormat="false" ht="15" hidden="false" customHeight="false" outlineLevel="0" collapsed="false">
      <c r="A9716" s="35" t="s">
        <v>533</v>
      </c>
      <c r="B9716" s="35" t="s">
        <v>444</v>
      </c>
      <c r="C9716" s="6" t="s">
        <v>354</v>
      </c>
      <c r="D9716" s="6" t="s">
        <v>355</v>
      </c>
      <c r="E9716" s="6" t="s">
        <v>356</v>
      </c>
      <c r="F9716" s="6" t="s">
        <v>357</v>
      </c>
      <c r="G9716" s="6" t="s">
        <v>358</v>
      </c>
      <c r="H9716" s="6" t="s">
        <v>359</v>
      </c>
      <c r="I9716" s="6" t="s">
        <v>360</v>
      </c>
      <c r="J9716" s="6" t="s">
        <v>361</v>
      </c>
      <c r="K9716" s="6" t="s">
        <v>362</v>
      </c>
      <c r="L9716" s="6" t="s">
        <v>363</v>
      </c>
      <c r="M9716" s="6" t="s">
        <v>364</v>
      </c>
      <c r="N9716" s="6" t="s">
        <v>365</v>
      </c>
      <c r="P9716" s="6" t="s">
        <v>445</v>
      </c>
      <c r="Q9716" s="6" t="s">
        <v>446</v>
      </c>
      <c r="R9716" s="6" t="s">
        <v>447</v>
      </c>
      <c r="S9716" s="6" t="s">
        <v>448</v>
      </c>
    </row>
    <row r="9717" customFormat="false" ht="15" hidden="false" customHeight="false" outlineLevel="0" collapsed="false">
      <c r="A9717" s="4" t="s">
        <v>534</v>
      </c>
      <c r="B9717" s="36" t="s">
        <v>527</v>
      </c>
      <c r="C9717" s="48" t="n">
        <f aca="false">0*Assumptions!$E$59^(1/4)+C9712</f>
        <v>0</v>
      </c>
      <c r="D9717" s="48" t="n">
        <f aca="false">C9717*Assumptions!$E$59^(1/4)+D9712</f>
        <v>1.23768063597689</v>
      </c>
      <c r="E9717" s="48" t="n">
        <f aca="false">D9717*Assumptions!$E$59^(1/4)+E9712</f>
        <v>3.32023327840576</v>
      </c>
      <c r="F9717" s="48" t="n">
        <f aca="false">E9717*Assumptions!$E$59^(1/4)+F9712</f>
        <v>5.55666947292562</v>
      </c>
      <c r="G9717" s="48" t="n">
        <f aca="false">F9717*Assumptions!$E$59^(1/4)+G9712</f>
        <v>7.94664796842451</v>
      </c>
      <c r="H9717" s="48" t="n">
        <f aca="false">G9717*Assumptions!$E$59^(1/4)+H9712</f>
        <v>10.996982595401</v>
      </c>
      <c r="I9717" s="48" t="n">
        <f aca="false">H9717*Assumptions!$E$59^(1/4)+I9712</f>
        <v>14.638394661443</v>
      </c>
      <c r="J9717" s="48" t="n">
        <f aca="false">I9717*Assumptions!$E$59^(1/4)+J9712</f>
        <v>20.0789623069661</v>
      </c>
      <c r="K9717" s="48" t="n">
        <f aca="false">J9717*Assumptions!$E$59^(1/4)+K9712</f>
        <v>27.080501024405</v>
      </c>
      <c r="L9717" s="48" t="n">
        <f aca="false">K9717*Assumptions!$E$59^(1/4)+L9712</f>
        <v>33.9160569670477</v>
      </c>
      <c r="M9717" s="48" t="n">
        <f aca="false">L9717*Assumptions!$E$59^(1/4)+M9712</f>
        <v>40.3089979636448</v>
      </c>
      <c r="N9717" s="48" t="n">
        <f aca="false">M9717*Assumptions!$E$59^(1/4)+N9712</f>
        <v>46.2890410384281</v>
      </c>
      <c r="P9717" s="49" t="n">
        <f aca="false">F9717</f>
        <v>5.55666947292562</v>
      </c>
      <c r="Q9717" s="49" t="n">
        <f aca="false">J9717</f>
        <v>20.0789623069661</v>
      </c>
      <c r="R9717" s="49" t="n">
        <f aca="false">N9717</f>
        <v>46.2890410384281</v>
      </c>
      <c r="S9717" s="50" t="n">
        <f aca="false">R9717</f>
        <v>46.2890410384281</v>
      </c>
    </row>
    <row r="9718" customFormat="false" ht="15" hidden="false" customHeight="false" outlineLevel="0" collapsed="false">
      <c r="A9718" s="4" t="s">
        <v>535</v>
      </c>
      <c r="B9718" s="36" t="s">
        <v>527</v>
      </c>
      <c r="C9718" s="48" t="n">
        <f aca="false">0*Assumptions!$E$60^(1/4)+C9713</f>
        <v>0</v>
      </c>
      <c r="D9718" s="48" t="n">
        <f aca="false">C9718*Assumptions!$E$60^(1/4)+D9713</f>
        <v>0.620121391810208</v>
      </c>
      <c r="E9718" s="48" t="n">
        <f aca="false">D9718*Assumptions!$E$60^(1/4)+E9713</f>
        <v>1.66693716989976</v>
      </c>
      <c r="F9718" s="48" t="n">
        <f aca="false">E9718*Assumptions!$E$60^(1/4)+F9713</f>
        <v>2.79645985253241</v>
      </c>
      <c r="G9718" s="48" t="n">
        <f aca="false">F9718*Assumptions!$E$60^(1/4)+G9713</f>
        <v>4.00879345629174</v>
      </c>
      <c r="H9718" s="48" t="n">
        <f aca="false">G9718*Assumptions!$E$60^(1/4)+H9713</f>
        <v>5.52551579210599</v>
      </c>
      <c r="I9718" s="48" t="n">
        <f aca="false">H9718*Assumptions!$E$60^(1/4)+I9713</f>
        <v>7.31741388493806</v>
      </c>
      <c r="J9718" s="48" t="n">
        <f aca="false">I9718*Assumptions!$E$60^(1/4)+J9713</f>
        <v>9.8214897969792</v>
      </c>
      <c r="K9718" s="48" t="n">
        <f aca="false">J9718*Assumptions!$E$60^(1/4)+K9713</f>
        <v>12.9601843942065</v>
      </c>
      <c r="L9718" s="48" t="n">
        <f aca="false">K9718*Assumptions!$E$60^(1/4)+L9713</f>
        <v>16.0414009860532</v>
      </c>
      <c r="M9718" s="48" t="n">
        <f aca="false">L9718*Assumptions!$E$60^(1/4)+M9713</f>
        <v>18.941309181589</v>
      </c>
      <c r="N9718" s="48" t="n">
        <f aca="false">M9718*Assumptions!$E$60^(1/4)+N9713</f>
        <v>21.671645684686</v>
      </c>
      <c r="P9718" s="49" t="n">
        <f aca="false">F9718</f>
        <v>2.79645985253241</v>
      </c>
      <c r="Q9718" s="49" t="n">
        <f aca="false">J9718</f>
        <v>9.8214897969792</v>
      </c>
      <c r="R9718" s="49" t="n">
        <f aca="false">N9718</f>
        <v>21.671645684686</v>
      </c>
      <c r="S9718" s="50" t="n">
        <f aca="false">R9718</f>
        <v>21.671645684686</v>
      </c>
    </row>
    <row r="9719" customFormat="false" ht="15" hidden="false" customHeight="false" outlineLevel="0" collapsed="false">
      <c r="A9719" s="4" t="s">
        <v>536</v>
      </c>
      <c r="B9719" s="36" t="s">
        <v>527</v>
      </c>
      <c r="C9719" s="48" t="n">
        <f aca="false">0*Assumptions!$E$61^(1/4)+C9714</f>
        <v>0</v>
      </c>
      <c r="D9719" s="48" t="n">
        <f aca="false">C9719*Assumptions!$E$61^(1/4)+D9714</f>
        <v>0</v>
      </c>
      <c r="E9719" s="48" t="n">
        <f aca="false">D9719*Assumptions!$E$61^(1/4)+E9714</f>
        <v>0.101822401371306</v>
      </c>
      <c r="F9719" s="48" t="n">
        <f aca="false">E9719*Assumptions!$E$61^(1/4)+F9714</f>
        <v>0.274253409020692</v>
      </c>
      <c r="G9719" s="48" t="n">
        <f aca="false">F9719*Assumptions!$E$61^(1/4)+G9714</f>
        <v>0.461175851563268</v>
      </c>
      <c r="H9719" s="48" t="n">
        <f aca="false">G9719*Assumptions!$E$61^(1/4)+H9714</f>
        <v>0.662660891329484</v>
      </c>
      <c r="I9719" s="48" t="n">
        <f aca="false">H9719*Assumptions!$E$61^(1/4)+I9714</f>
        <v>0.897933255239426</v>
      </c>
      <c r="J9719" s="48" t="n">
        <f aca="false">I9719*Assumptions!$E$61^(1/4)+J9714</f>
        <v>1.16438367427572</v>
      </c>
      <c r="K9719" s="48" t="n">
        <f aca="false">J9719*Assumptions!$E$61^(1/4)+K9714</f>
        <v>1.51944238226178</v>
      </c>
      <c r="L9719" s="48" t="n">
        <f aca="false">K9719*Assumptions!$E$61^(1/4)+L9714</f>
        <v>1.95559950183561</v>
      </c>
      <c r="M9719" s="48" t="n">
        <f aca="false">L9719*Assumptions!$E$61^(1/4)+M9714</f>
        <v>2.3860807130881</v>
      </c>
      <c r="N9719" s="48" t="n">
        <f aca="false">M9719*Assumptions!$E$61^(1/4)+N9714</f>
        <v>2.79374049717041</v>
      </c>
      <c r="P9719" s="49" t="n">
        <f aca="false">F9719</f>
        <v>0.274253409020692</v>
      </c>
      <c r="Q9719" s="49" t="n">
        <f aca="false">J9719</f>
        <v>1.16438367427572</v>
      </c>
      <c r="R9719" s="49" t="n">
        <f aca="false">N9719</f>
        <v>2.79374049717041</v>
      </c>
      <c r="S9719" s="50" t="n">
        <f aca="false">R9719</f>
        <v>2.79374049717041</v>
      </c>
    </row>
    <row r="9720" customFormat="false" ht="15" hidden="false" customHeight="false" outlineLevel="0" collapsed="false">
      <c r="A9720" s="9" t="s">
        <v>537</v>
      </c>
      <c r="B9720" s="36" t="s">
        <v>527</v>
      </c>
      <c r="C9720" s="49" t="n">
        <f aca="false">C9717+C9718+C9719</f>
        <v>0</v>
      </c>
      <c r="D9720" s="49" t="n">
        <f aca="false">D9717+D9718+D9719</f>
        <v>1.85780202778709</v>
      </c>
      <c r="E9720" s="49" t="n">
        <f aca="false">E9717+E9718+E9719</f>
        <v>5.08899284967682</v>
      </c>
      <c r="F9720" s="49" t="n">
        <f aca="false">F9717+F9718+F9719</f>
        <v>8.62738273447872</v>
      </c>
      <c r="G9720" s="49" t="n">
        <f aca="false">G9717+G9718+G9719</f>
        <v>12.4166172762795</v>
      </c>
      <c r="H9720" s="49" t="n">
        <f aca="false">H9717+H9718+H9719</f>
        <v>17.1851592788365</v>
      </c>
      <c r="I9720" s="49" t="n">
        <f aca="false">I9717+I9718+I9719</f>
        <v>22.8537418016205</v>
      </c>
      <c r="J9720" s="49" t="n">
        <f aca="false">J9717+J9718+J9719</f>
        <v>31.064835778221</v>
      </c>
      <c r="K9720" s="49" t="n">
        <f aca="false">K9717+K9718+K9719</f>
        <v>41.5601278008733</v>
      </c>
      <c r="L9720" s="49" t="n">
        <f aca="false">L9717+L9718+L9719</f>
        <v>51.9130574549365</v>
      </c>
      <c r="M9720" s="49" t="n">
        <f aca="false">M9717+M9718+M9719</f>
        <v>61.6363878583219</v>
      </c>
      <c r="N9720" s="49" t="n">
        <f aca="false">N9717+N9718+N9719</f>
        <v>70.7544272202844</v>
      </c>
      <c r="P9720" s="49" t="n">
        <f aca="false">F9720</f>
        <v>8.62738273447872</v>
      </c>
      <c r="Q9720" s="49" t="n">
        <f aca="false">J9720</f>
        <v>31.064835778221</v>
      </c>
      <c r="R9720" s="49" t="n">
        <f aca="false">N9720</f>
        <v>70.7544272202844</v>
      </c>
      <c r="S9720" s="50" t="n">
        <f aca="false">R9720</f>
        <v>70.7544272202844</v>
      </c>
    </row>
    <row r="9721" customFormat="false" ht="15" hidden="false" customHeight="false" outlineLevel="0" collapsed="false">
      <c r="A9721" s="4" t="s">
        <v>538</v>
      </c>
      <c r="B9721" s="36" t="s">
        <v>125</v>
      </c>
      <c r="C9721" s="54" t="n">
        <f aca="false">0*Assumptions!$E$62^(1/4)+C9712*$C$9661</f>
        <v>0</v>
      </c>
      <c r="D9721" s="54" t="n">
        <f aca="false">C9721*Assumptions!$E$62^(1/4)+D9712*$C$9661</f>
        <v>6624.0667637483</v>
      </c>
      <c r="E9721" s="54" t="n">
        <f aca="false">D9721*Assumptions!$E$62^(1/4)+E9712*$C$9661</f>
        <v>17978.2357541062</v>
      </c>
      <c r="F9721" s="54" t="n">
        <f aca="false">E9721*Assumptions!$E$62^(1/4)+F9712*$C$9661</f>
        <v>30506.5598477113</v>
      </c>
      <c r="G9721" s="54" t="n">
        <f aca="false">F9721*Assumptions!$E$62^(1/4)+G9712*$C$9661</f>
        <v>44233.1169396097</v>
      </c>
      <c r="H9721" s="54" t="n">
        <f aca="false">G9721*Assumptions!$E$62^(1/4)+H9712*$C$9661</f>
        <v>61896.2214764935</v>
      </c>
      <c r="I9721" s="54" t="n">
        <f aca="false">H9721*Assumptions!$E$62^(1/4)+I9712*$C$9661</f>
        <v>83236.2561614948</v>
      </c>
      <c r="J9721" s="54" t="n">
        <f aca="false">I9721*Assumptions!$E$62^(1/4)+J9712*$C$9661</f>
        <v>114818.35531083</v>
      </c>
      <c r="K9721" s="54" t="n">
        <f aca="false">J9721*Assumptions!$E$62^(1/4)+K9712*$C$9661</f>
        <v>155670.61960622</v>
      </c>
      <c r="L9721" s="54" t="n">
        <f aca="false">K9721*Assumptions!$E$62^(1/4)+L9712*$C$9661</f>
        <v>196813.160998762</v>
      </c>
      <c r="M9721" s="54" t="n">
        <f aca="false">L9721*Assumptions!$E$62^(1/4)+M9712*$C$9661</f>
        <v>236737.503092006</v>
      </c>
      <c r="N9721" s="54" t="n">
        <f aca="false">M9721*Assumptions!$E$62^(1/4)+N9712*$C$9661</f>
        <v>275528.182997968</v>
      </c>
      <c r="P9721" s="55" t="n">
        <f aca="false">F9721</f>
        <v>30506.5598477113</v>
      </c>
      <c r="Q9721" s="55" t="n">
        <f aca="false">J9721</f>
        <v>114818.35531083</v>
      </c>
      <c r="R9721" s="55" t="n">
        <f aca="false">N9721</f>
        <v>275528.182997968</v>
      </c>
      <c r="S9721" s="56" t="n">
        <f aca="false">R9721</f>
        <v>275528.182997968</v>
      </c>
    </row>
    <row r="9722" customFormat="false" ht="15" hidden="false" customHeight="false" outlineLevel="0" collapsed="false">
      <c r="A9722" s="4" t="s">
        <v>539</v>
      </c>
      <c r="B9722" s="36" t="s">
        <v>125</v>
      </c>
      <c r="C9722" s="54" t="n">
        <f aca="false">0*Assumptions!$E$63^(1/4)+C9713*$C$9662</f>
        <v>0</v>
      </c>
      <c r="D9722" s="54" t="n">
        <f aca="false">C9722*Assumptions!$E$63^(1/4)+D9713*$C$9662</f>
        <v>15141.3801991563</v>
      </c>
      <c r="E9722" s="54" t="n">
        <f aca="false">D9722*Assumptions!$E$63^(1/4)+E9713*$C$9662</f>
        <v>41317.0734695145</v>
      </c>
      <c r="F9722" s="54" t="n">
        <f aca="false">E9722*Assumptions!$E$63^(1/4)+F9713*$C$9662</f>
        <v>70560.7642390365</v>
      </c>
      <c r="G9722" s="54" t="n">
        <f aca="false">F9722*Assumptions!$E$63^(1/4)+G9713*$C$9662</f>
        <v>102972.50940486</v>
      </c>
      <c r="H9722" s="54" t="n">
        <f aca="false">G9722*Assumptions!$E$63^(1/4)+H9713*$C$9662</f>
        <v>144061.581520721</v>
      </c>
      <c r="I9722" s="54" t="n">
        <f aca="false">H9722*Assumptions!$E$63^(1/4)+I9713*$C$9662</f>
        <v>193435.232296134</v>
      </c>
      <c r="J9722" s="54" t="n">
        <f aca="false">I9722*Assumptions!$E$63^(1/4)+J9713*$C$9662</f>
        <v>262059.886984121</v>
      </c>
      <c r="K9722" s="54" t="n">
        <f aca="false">J9722*Assumptions!$E$63^(1/4)+K9713*$C$9662</f>
        <v>348776.337512872</v>
      </c>
      <c r="L9722" s="54" t="n">
        <f aca="false">K9722*Assumptions!$E$63^(1/4)+L9713*$C$9662</f>
        <v>437354.094662903</v>
      </c>
      <c r="M9722" s="54" t="n">
        <f aca="false">L9722*Assumptions!$E$63^(1/4)+M9713*$C$9662</f>
        <v>524760.445136473</v>
      </c>
      <c r="N9722" s="54" t="n">
        <f aca="false">M9722*Assumptions!$E$63^(1/4)+N9713*$C$9662</f>
        <v>611149.687988765</v>
      </c>
      <c r="P9722" s="55" t="n">
        <f aca="false">F9722</f>
        <v>70560.7642390365</v>
      </c>
      <c r="Q9722" s="55" t="n">
        <f aca="false">J9722</f>
        <v>262059.886984121</v>
      </c>
      <c r="R9722" s="55" t="n">
        <f aca="false">N9722</f>
        <v>611149.687988765</v>
      </c>
      <c r="S9722" s="56" t="n">
        <f aca="false">R9722</f>
        <v>611149.687988765</v>
      </c>
    </row>
    <row r="9723" customFormat="false" ht="15" hidden="false" customHeight="false" outlineLevel="0" collapsed="false">
      <c r="A9723" s="4" t="s">
        <v>540</v>
      </c>
      <c r="B9723" s="36" t="s">
        <v>125</v>
      </c>
      <c r="C9723" s="54" t="n">
        <f aca="false">0*Assumptions!$E$64^(1/4)+C9714*$C$9663</f>
        <v>0</v>
      </c>
      <c r="D9723" s="54" t="n">
        <f aca="false">C9723*Assumptions!$E$64^(1/4)+D9714*$C$9663</f>
        <v>0</v>
      </c>
      <c r="E9723" s="54" t="n">
        <f aca="false">D9723*Assumptions!$E$64^(1/4)+E9714*$C$9663</f>
        <v>15726.0260019876</v>
      </c>
      <c r="F9723" s="54" t="n">
        <f aca="false">E9723*Assumptions!$E$64^(1/4)+F9714*$C$9663</f>
        <v>43240.8528960146</v>
      </c>
      <c r="G9723" s="54" t="n">
        <f aca="false">F9723*Assumptions!$E$64^(1/4)+G9714*$C$9663</f>
        <v>74521.5854425229</v>
      </c>
      <c r="H9723" s="54" t="n">
        <f aca="false">G9723*Assumptions!$E$64^(1/4)+H9714*$C$9663</f>
        <v>109759.294711615</v>
      </c>
      <c r="I9723" s="54" t="n">
        <f aca="false">H9723*Assumptions!$E$64^(1/4)+I9714*$C$9663</f>
        <v>152110.257179337</v>
      </c>
      <c r="J9723" s="54" t="n">
        <f aca="false">I9723*Assumptions!$E$64^(1/4)+J9714*$C$9663</f>
        <v>201532.067966148</v>
      </c>
      <c r="K9723" s="54" t="n">
        <f aca="false">J9723*Assumptions!$E$64^(1/4)+K9714*$C$9663</f>
        <v>267245.340288305</v>
      </c>
      <c r="L9723" s="54" t="n">
        <f aca="false">K9723*Assumptions!$E$64^(1/4)+L9714*$C$9663</f>
        <v>348951.819346427</v>
      </c>
      <c r="M9723" s="54" t="n">
        <f aca="false">L9723*Assumptions!$E$64^(1/4)+M9714*$C$9663</f>
        <v>434076.669718275</v>
      </c>
      <c r="N9723" s="54" t="n">
        <f aca="false">M9723*Assumptions!$E$64^(1/4)+N9714*$C$9663</f>
        <v>520075.30713151</v>
      </c>
      <c r="P9723" s="55" t="n">
        <f aca="false">F9723</f>
        <v>43240.8528960146</v>
      </c>
      <c r="Q9723" s="55" t="n">
        <f aca="false">J9723</f>
        <v>201532.067966148</v>
      </c>
      <c r="R9723" s="55" t="n">
        <f aca="false">N9723</f>
        <v>520075.30713151</v>
      </c>
      <c r="S9723" s="56" t="n">
        <f aca="false">R9723</f>
        <v>520075.30713151</v>
      </c>
    </row>
    <row r="9724" customFormat="false" ht="15" hidden="false" customHeight="false" outlineLevel="0" collapsed="false">
      <c r="A9724" s="9" t="s">
        <v>541</v>
      </c>
      <c r="B9724" s="36" t="s">
        <v>125</v>
      </c>
      <c r="C9724" s="55" t="n">
        <f aca="false">C9721+C9722+C9723</f>
        <v>0</v>
      </c>
      <c r="D9724" s="55" t="n">
        <f aca="false">D9721+D9722+D9723</f>
        <v>21765.4469629046</v>
      </c>
      <c r="E9724" s="55" t="n">
        <f aca="false">E9721+E9722+E9723</f>
        <v>75021.3352256083</v>
      </c>
      <c r="F9724" s="55" t="n">
        <f aca="false">F9721+F9722+F9723</f>
        <v>144308.176982762</v>
      </c>
      <c r="G9724" s="55" t="n">
        <f aca="false">G9721+G9722+G9723</f>
        <v>221727.211786992</v>
      </c>
      <c r="H9724" s="55" t="n">
        <f aca="false">H9721+H9722+H9723</f>
        <v>315717.097708829</v>
      </c>
      <c r="I9724" s="55" t="n">
        <f aca="false">I9721+I9722+I9723</f>
        <v>428781.745636966</v>
      </c>
      <c r="J9724" s="55" t="n">
        <f aca="false">J9721+J9722+J9723</f>
        <v>578410.310261099</v>
      </c>
      <c r="K9724" s="55" t="n">
        <f aca="false">K9721+K9722+K9723</f>
        <v>771692.297407398</v>
      </c>
      <c r="L9724" s="55" t="n">
        <f aca="false">L9721+L9722+L9723</f>
        <v>983119.075008092</v>
      </c>
      <c r="M9724" s="55" t="n">
        <f aca="false">M9721+M9722+M9723</f>
        <v>1195574.61794675</v>
      </c>
      <c r="N9724" s="55" t="n">
        <f aca="false">N9721+N9722+N9723</f>
        <v>1406753.17811824</v>
      </c>
      <c r="P9724" s="55" t="n">
        <f aca="false">F9724</f>
        <v>144308.176982762</v>
      </c>
      <c r="Q9724" s="55" t="n">
        <f aca="false">J9724</f>
        <v>578410.310261099</v>
      </c>
      <c r="R9724" s="55" t="n">
        <f aca="false">N9724</f>
        <v>1406753.17811824</v>
      </c>
      <c r="S9724" s="56" t="n">
        <f aca="false">R9724</f>
        <v>1406753.17811824</v>
      </c>
    </row>
    <row r="9725" customFormat="false" ht="15" hidden="false" customHeight="false" outlineLevel="0" collapsed="false">
      <c r="A9725" s="4" t="s">
        <v>542</v>
      </c>
      <c r="B9725" s="36" t="s">
        <v>125</v>
      </c>
      <c r="C9725" s="54" t="n">
        <f aca="false">C9712*$C$9661+C9713*$C$9662+C9714*$C$9663</f>
        <v>0</v>
      </c>
      <c r="D9725" s="54" t="n">
        <f aca="false">D9712*$C$9661+D9713*$C$9662+D9714*$C$9663</f>
        <v>21765.4469629046</v>
      </c>
      <c r="E9725" s="54" t="n">
        <f aca="false">E9712*$C$9661+E9713*$C$9662+E9714*$C$9663</f>
        <v>53033.7059788801</v>
      </c>
      <c r="F9725" s="54" t="n">
        <f aca="false">F9712*$C$9661+F9713*$C$9662+F9714*$C$9663</f>
        <v>68121.3741437943</v>
      </c>
      <c r="G9725" s="54" t="n">
        <f aca="false">G9712*$C$9661+G9713*$C$9662+G9714*$C$9663</f>
        <v>74846.0754558899</v>
      </c>
      <c r="H9725" s="54" t="n">
        <f aca="false">H9712*$C$9661+H9713*$C$9662+H9714*$C$9663</f>
        <v>89829.0389349652</v>
      </c>
      <c r="I9725" s="54" t="n">
        <f aca="false">I9712*$C$9661+I9713*$C$9662+I9714*$C$9663</f>
        <v>107047.88106153</v>
      </c>
      <c r="J9725" s="54" t="n">
        <f aca="false">J9712*$C$9661+J9713*$C$9662+J9714*$C$9663</f>
        <v>141381.377644694</v>
      </c>
      <c r="K9725" s="54" t="n">
        <f aca="false">K9712*$C$9661+K9713*$C$9662+K9714*$C$9663</f>
        <v>182270.468019692</v>
      </c>
      <c r="L9725" s="54" t="n">
        <f aca="false">L9712*$C$9661+L9713*$C$9662+L9714*$C$9663</f>
        <v>196806.157064848</v>
      </c>
      <c r="M9725" s="54" t="n">
        <f aca="false">M9712*$C$9661+M9713*$C$9662+M9714*$C$9663</f>
        <v>193629.820800478</v>
      </c>
      <c r="N9725" s="54" t="n">
        <f aca="false">N9712*$C$9661+N9713*$C$9662+N9714*$C$9663</f>
        <v>188043.3747642</v>
      </c>
      <c r="P9725" s="55" t="n">
        <f aca="false">SUM(C9725:F9725)</f>
        <v>142920.527085579</v>
      </c>
      <c r="Q9725" s="55" t="n">
        <f aca="false">SUM(G9725:J9725)</f>
        <v>413104.373097079</v>
      </c>
      <c r="R9725" s="55" t="n">
        <f aca="false">SUM(K9725:N9725)</f>
        <v>760749.820649217</v>
      </c>
      <c r="S9725" s="56" t="n">
        <f aca="false">SUM(P9725:R9725)</f>
        <v>1316774.72083188</v>
      </c>
    </row>
    <row r="9726" customFormat="false" ht="15" hidden="false" customHeight="false" outlineLevel="0" collapsed="false">
      <c r="A9726" s="9" t="s">
        <v>543</v>
      </c>
      <c r="B9726" s="36" t="s">
        <v>125</v>
      </c>
      <c r="C9726" s="55" t="n">
        <f aca="false">(0+C9724)/8</f>
        <v>0</v>
      </c>
      <c r="D9726" s="55" t="n">
        <f aca="false">(C9724+D9724)/8</f>
        <v>2720.68087036307</v>
      </c>
      <c r="E9726" s="55" t="n">
        <f aca="false">(D9724+E9724)/8</f>
        <v>12098.3477735641</v>
      </c>
      <c r="F9726" s="55" t="n">
        <f aca="false">(E9724+F9724)/8</f>
        <v>27416.1890260463</v>
      </c>
      <c r="G9726" s="55" t="n">
        <f aca="false">(F9724+G9724)/8</f>
        <v>45754.4235962194</v>
      </c>
      <c r="H9726" s="55" t="n">
        <f aca="false">(G9724+H9724)/8</f>
        <v>67180.5386869777</v>
      </c>
      <c r="I9726" s="55" t="n">
        <f aca="false">(H9724+I9724)/8</f>
        <v>93062.3554182244</v>
      </c>
      <c r="J9726" s="55" t="n">
        <f aca="false">(I9724+J9724)/8</f>
        <v>125899.006987258</v>
      </c>
      <c r="K9726" s="55" t="n">
        <f aca="false">(J9724+K9724)/8</f>
        <v>168762.825958562</v>
      </c>
      <c r="L9726" s="55" t="n">
        <f aca="false">(K9724+L9724)/8</f>
        <v>219351.421551936</v>
      </c>
      <c r="M9726" s="55" t="n">
        <f aca="false">(L9724+M9724)/8</f>
        <v>272336.711619356</v>
      </c>
      <c r="N9726" s="55" t="n">
        <f aca="false">(M9724+N9724)/8</f>
        <v>325290.974508125</v>
      </c>
      <c r="P9726" s="55" t="n">
        <f aca="false">SUM(C9726:F9726)</f>
        <v>42235.2176699735</v>
      </c>
      <c r="Q9726" s="55" t="n">
        <f aca="false">SUM(G9726:J9726)</f>
        <v>331896.32468868</v>
      </c>
      <c r="R9726" s="55" t="n">
        <f aca="false">SUM(K9726:N9726)</f>
        <v>985741.933637979</v>
      </c>
      <c r="S9726" s="56" t="n">
        <f aca="false">SUM(P9726:R9726)</f>
        <v>1359873.47599663</v>
      </c>
    </row>
    <row r="9727" customFormat="false" ht="15" hidden="false" customHeight="false" outlineLevel="0" collapsed="false">
      <c r="A9727" s="4" t="s">
        <v>544</v>
      </c>
      <c r="B9727" s="36" t="s">
        <v>125</v>
      </c>
      <c r="C9727" s="54" t="n">
        <f aca="false">C9726*Assumptions!$E$76</f>
        <v>0</v>
      </c>
      <c r="D9727" s="54" t="n">
        <f aca="false">D9726*Assumptions!$E$76</f>
        <v>1768.442565736</v>
      </c>
      <c r="E9727" s="54" t="n">
        <f aca="false">E9726*Assumptions!$E$76</f>
        <v>7863.92605281667</v>
      </c>
      <c r="F9727" s="54" t="n">
        <f aca="false">F9726*Assumptions!$E$76</f>
        <v>17820.5228669301</v>
      </c>
      <c r="G9727" s="54" t="n">
        <f aca="false">G9726*Assumptions!$E$76</f>
        <v>29740.3753375426</v>
      </c>
      <c r="H9727" s="54" t="n">
        <f aca="false">H9726*Assumptions!$E$76</f>
        <v>43667.3501465355</v>
      </c>
      <c r="I9727" s="54" t="n">
        <f aca="false">I9726*Assumptions!$E$76</f>
        <v>60490.5310218459</v>
      </c>
      <c r="J9727" s="54" t="n">
        <f aca="false">J9726*Assumptions!$E$76</f>
        <v>81834.3545417178</v>
      </c>
      <c r="K9727" s="54" t="n">
        <f aca="false">K9726*Assumptions!$E$76</f>
        <v>109695.836873065</v>
      </c>
      <c r="L9727" s="54" t="n">
        <f aca="false">L9726*Assumptions!$E$76</f>
        <v>142578.424008758</v>
      </c>
      <c r="M9727" s="54" t="n">
        <f aca="false">M9726*Assumptions!$E$76</f>
        <v>177018.862552581</v>
      </c>
      <c r="N9727" s="54" t="n">
        <f aca="false">N9726*Assumptions!$E$76</f>
        <v>211439.133430281</v>
      </c>
      <c r="P9727" s="55" t="n">
        <f aca="false">SUM(C9727:F9727)</f>
        <v>27452.8914854828</v>
      </c>
      <c r="Q9727" s="55" t="n">
        <f aca="false">SUM(G9727:J9727)</f>
        <v>215732.611047642</v>
      </c>
      <c r="R9727" s="55" t="n">
        <f aca="false">SUM(K9727:N9727)</f>
        <v>640732.256864686</v>
      </c>
      <c r="S9727" s="56" t="n">
        <f aca="false">SUM(P9727:R9727)</f>
        <v>883917.759397811</v>
      </c>
    </row>
    <row r="9728" customFormat="false" ht="15" hidden="false" customHeight="false" outlineLevel="0" collapsed="false">
      <c r="A9728" s="35" t="s">
        <v>547</v>
      </c>
      <c r="B9728" s="35" t="s">
        <v>444</v>
      </c>
      <c r="C9728" s="6" t="s">
        <v>354</v>
      </c>
      <c r="D9728" s="6" t="s">
        <v>355</v>
      </c>
      <c r="E9728" s="6" t="s">
        <v>356</v>
      </c>
      <c r="F9728" s="6" t="s">
        <v>357</v>
      </c>
      <c r="G9728" s="6" t="s">
        <v>358</v>
      </c>
      <c r="H9728" s="6" t="s">
        <v>359</v>
      </c>
      <c r="I9728" s="6" t="s">
        <v>360</v>
      </c>
      <c r="J9728" s="6" t="s">
        <v>361</v>
      </c>
      <c r="K9728" s="6" t="s">
        <v>362</v>
      </c>
      <c r="L9728" s="6" t="s">
        <v>363</v>
      </c>
      <c r="M9728" s="6" t="s">
        <v>364</v>
      </c>
      <c r="N9728" s="6" t="s">
        <v>365</v>
      </c>
      <c r="P9728" s="6" t="s">
        <v>445</v>
      </c>
      <c r="Q9728" s="6" t="s">
        <v>446</v>
      </c>
      <c r="R9728" s="6" t="s">
        <v>447</v>
      </c>
      <c r="S9728" s="6" t="s">
        <v>448</v>
      </c>
    </row>
    <row r="9729" customFormat="false" ht="15" hidden="false" customHeight="false" outlineLevel="0" collapsed="false">
      <c r="A9729" s="4" t="s">
        <v>548</v>
      </c>
      <c r="B9729" s="36" t="s">
        <v>321</v>
      </c>
      <c r="C9729" s="48" t="n">
        <f aca="false">Assumptions!$D$97*C9671</f>
        <v>1</v>
      </c>
      <c r="D9729" s="48" t="n">
        <f aca="false">Assumptions!$D$97*D9671</f>
        <v>1</v>
      </c>
      <c r="E9729" s="48" t="n">
        <f aca="false">Assumptions!$D$97*E9671</f>
        <v>1</v>
      </c>
      <c r="F9729" s="48" t="n">
        <f aca="false">Assumptions!$D$97*F9671</f>
        <v>1</v>
      </c>
      <c r="G9729" s="48" t="n">
        <f aca="false">Assumptions!$D$97*G9671</f>
        <v>1</v>
      </c>
      <c r="H9729" s="48" t="n">
        <f aca="false">Assumptions!$D$97*H9671</f>
        <v>1</v>
      </c>
      <c r="I9729" s="48" t="n">
        <f aca="false">Assumptions!$D$97*I9671</f>
        <v>1</v>
      </c>
      <c r="J9729" s="48" t="n">
        <f aca="false">Assumptions!$D$97*J9671</f>
        <v>1</v>
      </c>
      <c r="K9729" s="48" t="n">
        <f aca="false">Assumptions!$D$97*K9671</f>
        <v>1</v>
      </c>
      <c r="L9729" s="48" t="n">
        <f aca="false">Assumptions!$D$97*L9671</f>
        <v>1</v>
      </c>
      <c r="M9729" s="48" t="n">
        <f aca="false">Assumptions!$D$97*M9671</f>
        <v>1</v>
      </c>
      <c r="N9729" s="48" t="n">
        <f aca="false">Assumptions!$D$97*N9671</f>
        <v>1</v>
      </c>
      <c r="P9729" s="49" t="n">
        <f aca="false">AVERAGE(C9729:F9729)</f>
        <v>1</v>
      </c>
      <c r="Q9729" s="49" t="n">
        <f aca="false">AVERAGE(G9729:J9729)</f>
        <v>1</v>
      </c>
      <c r="R9729" s="49" t="n">
        <f aca="false">AVERAGE(K9729:N9729)</f>
        <v>1</v>
      </c>
      <c r="S9729" s="50"/>
    </row>
    <row r="9730" customFormat="false" ht="15" hidden="false" customHeight="false" outlineLevel="0" collapsed="false">
      <c r="A9730" s="4" t="s">
        <v>549</v>
      </c>
      <c r="B9730" s="36" t="s">
        <v>321</v>
      </c>
      <c r="C9730" s="48" t="n">
        <f aca="false">C9684*C9671</f>
        <v>0</v>
      </c>
      <c r="D9730" s="48" t="n">
        <f aca="false">D9684*D9671</f>
        <v>0</v>
      </c>
      <c r="E9730" s="48" t="n">
        <f aca="false">E9684*E9671</f>
        <v>0</v>
      </c>
      <c r="F9730" s="48" t="n">
        <f aca="false">F9684*F9671</f>
        <v>0</v>
      </c>
      <c r="G9730" s="48" t="n">
        <f aca="false">G9684*G9671</f>
        <v>0</v>
      </c>
      <c r="H9730" s="48" t="n">
        <f aca="false">H9684*H9671</f>
        <v>0</v>
      </c>
      <c r="I9730" s="48" t="n">
        <f aca="false">I9684*I9671</f>
        <v>0</v>
      </c>
      <c r="J9730" s="48" t="n">
        <f aca="false">J9684*J9671</f>
        <v>0</v>
      </c>
      <c r="K9730" s="48" t="n">
        <f aca="false">K9684*K9671</f>
        <v>0</v>
      </c>
      <c r="L9730" s="48" t="n">
        <f aca="false">L9684*L9671</f>
        <v>0</v>
      </c>
      <c r="M9730" s="48" t="n">
        <f aca="false">M9684*M9671</f>
        <v>0</v>
      </c>
      <c r="N9730" s="48" t="n">
        <f aca="false">N9684*N9671</f>
        <v>0</v>
      </c>
      <c r="P9730" s="49" t="n">
        <f aca="false">AVERAGE(C9730:F9730)</f>
        <v>0</v>
      </c>
      <c r="Q9730" s="49" t="n">
        <f aca="false">AVERAGE(G9730:J9730)</f>
        <v>0</v>
      </c>
      <c r="R9730" s="49" t="n">
        <f aca="false">AVERAGE(K9730:N9730)</f>
        <v>0</v>
      </c>
      <c r="S9730" s="50"/>
    </row>
    <row r="9731" customFormat="false" ht="15" hidden="false" customHeight="false" outlineLevel="0" collapsed="false">
      <c r="A9731" s="4" t="s">
        <v>550</v>
      </c>
      <c r="B9731" s="36" t="s">
        <v>321</v>
      </c>
      <c r="C9731" s="48" t="n">
        <f aca="false">IF(C9670&lt;=4,Assumptions!$D$98,Assumptions!$D$99)*C9671</f>
        <v>0</v>
      </c>
      <c r="D9731" s="48" t="n">
        <f aca="false">IF(D9670&lt;=4,Assumptions!$D$98,Assumptions!$D$99)*D9671</f>
        <v>0</v>
      </c>
      <c r="E9731" s="48" t="n">
        <f aca="false">IF(E9670&lt;=4,Assumptions!$D$98,Assumptions!$D$99)*E9671</f>
        <v>0</v>
      </c>
      <c r="F9731" s="48" t="n">
        <f aca="false">IF(F9670&lt;=4,Assumptions!$D$98,Assumptions!$D$99)*F9671</f>
        <v>0</v>
      </c>
      <c r="G9731" s="48" t="n">
        <f aca="false">IF(G9670&lt;=4,Assumptions!$D$98,Assumptions!$D$99)*G9671</f>
        <v>0.5</v>
      </c>
      <c r="H9731" s="48" t="n">
        <f aca="false">IF(H9670&lt;=4,Assumptions!$D$98,Assumptions!$D$99)*H9671</f>
        <v>0.5</v>
      </c>
      <c r="I9731" s="48" t="n">
        <f aca="false">IF(I9670&lt;=4,Assumptions!$D$98,Assumptions!$D$99)*I9671</f>
        <v>0.5</v>
      </c>
      <c r="J9731" s="48" t="n">
        <f aca="false">IF(J9670&lt;=4,Assumptions!$D$98,Assumptions!$D$99)*J9671</f>
        <v>0.5</v>
      </c>
      <c r="K9731" s="48" t="n">
        <f aca="false">IF(K9670&lt;=4,Assumptions!$D$98,Assumptions!$D$99)*K9671</f>
        <v>0.5</v>
      </c>
      <c r="L9731" s="48" t="n">
        <f aca="false">IF(L9670&lt;=4,Assumptions!$D$98,Assumptions!$D$99)*L9671</f>
        <v>0.5</v>
      </c>
      <c r="M9731" s="48" t="n">
        <f aca="false">IF(M9670&lt;=4,Assumptions!$D$98,Assumptions!$D$99)*M9671</f>
        <v>0.5</v>
      </c>
      <c r="N9731" s="48" t="n">
        <f aca="false">IF(N9670&lt;=4,Assumptions!$D$98,Assumptions!$D$99)*N9671</f>
        <v>0.5</v>
      </c>
      <c r="P9731" s="49" t="n">
        <f aca="false">AVERAGE(C9731:F9731)</f>
        <v>0</v>
      </c>
      <c r="Q9731" s="49" t="n">
        <f aca="false">AVERAGE(G9731:J9731)</f>
        <v>0.5</v>
      </c>
      <c r="R9731" s="49" t="n">
        <f aca="false">AVERAGE(K9731:N9731)</f>
        <v>0.5</v>
      </c>
      <c r="S9731" s="50"/>
    </row>
    <row r="9732" customFormat="false" ht="15" hidden="false" customHeight="false" outlineLevel="0" collapsed="false">
      <c r="A9732" s="4" t="s">
        <v>551</v>
      </c>
      <c r="B9732" s="36" t="s">
        <v>321</v>
      </c>
      <c r="C9732" s="48" t="n">
        <f aca="false">IF(C9670&lt;=4,Assumptions!$D$100,Assumptions!$D$101)*C9671</f>
        <v>1</v>
      </c>
      <c r="D9732" s="48" t="n">
        <f aca="false">IF(D9670&lt;=4,Assumptions!$D$100,Assumptions!$D$101)*D9671</f>
        <v>1</v>
      </c>
      <c r="E9732" s="48" t="n">
        <f aca="false">IF(E9670&lt;=4,Assumptions!$D$100,Assumptions!$D$101)*E9671</f>
        <v>1</v>
      </c>
      <c r="F9732" s="48" t="n">
        <f aca="false">IF(F9670&lt;=4,Assumptions!$D$100,Assumptions!$D$101)*F9671</f>
        <v>1</v>
      </c>
      <c r="G9732" s="48" t="n">
        <f aca="false">IF(G9670&lt;=4,Assumptions!$D$100,Assumptions!$D$101)*G9671</f>
        <v>0.5</v>
      </c>
      <c r="H9732" s="48" t="n">
        <f aca="false">IF(H9670&lt;=4,Assumptions!$D$100,Assumptions!$D$101)*H9671</f>
        <v>0.5</v>
      </c>
      <c r="I9732" s="48" t="n">
        <f aca="false">IF(I9670&lt;=4,Assumptions!$D$100,Assumptions!$D$101)*I9671</f>
        <v>0.5</v>
      </c>
      <c r="J9732" s="48" t="n">
        <f aca="false">IF(J9670&lt;=4,Assumptions!$D$100,Assumptions!$D$101)*J9671</f>
        <v>0.5</v>
      </c>
      <c r="K9732" s="48" t="n">
        <f aca="false">IF(K9670&lt;=4,Assumptions!$D$100,Assumptions!$D$101)*K9671</f>
        <v>0.5</v>
      </c>
      <c r="L9732" s="48" t="n">
        <f aca="false">IF(L9670&lt;=4,Assumptions!$D$100,Assumptions!$D$101)*L9671</f>
        <v>0.5</v>
      </c>
      <c r="M9732" s="48" t="n">
        <f aca="false">IF(M9670&lt;=4,Assumptions!$D$100,Assumptions!$D$101)*M9671</f>
        <v>0.5</v>
      </c>
      <c r="N9732" s="48" t="n">
        <f aca="false">IF(N9670&lt;=4,Assumptions!$D$100,Assumptions!$D$101)*N9671</f>
        <v>0.5</v>
      </c>
      <c r="P9732" s="49" t="n">
        <f aca="false">AVERAGE(C9732:F9732)</f>
        <v>1</v>
      </c>
      <c r="Q9732" s="49" t="n">
        <f aca="false">AVERAGE(G9732:J9732)</f>
        <v>0.5</v>
      </c>
      <c r="R9732" s="49" t="n">
        <f aca="false">AVERAGE(K9732:N9732)</f>
        <v>0.5</v>
      </c>
      <c r="S9732" s="50"/>
    </row>
    <row r="9733" customFormat="false" ht="15" hidden="false" customHeight="false" outlineLevel="0" collapsed="false">
      <c r="A9733" s="4" t="s">
        <v>552</v>
      </c>
      <c r="B9733" s="36" t="s">
        <v>321</v>
      </c>
      <c r="C9733" s="48" t="n">
        <f aca="false">Assumptions!$D$102*C9671</f>
        <v>0.25</v>
      </c>
      <c r="D9733" s="48" t="n">
        <f aca="false">Assumptions!$D$102*D9671</f>
        <v>0.25</v>
      </c>
      <c r="E9733" s="48" t="n">
        <f aca="false">Assumptions!$D$102*E9671</f>
        <v>0.25</v>
      </c>
      <c r="F9733" s="48" t="n">
        <f aca="false">Assumptions!$D$102*F9671</f>
        <v>0.25</v>
      </c>
      <c r="G9733" s="48" t="n">
        <f aca="false">Assumptions!$D$102*G9671</f>
        <v>0.25</v>
      </c>
      <c r="H9733" s="48" t="n">
        <f aca="false">Assumptions!$D$102*H9671</f>
        <v>0.25</v>
      </c>
      <c r="I9733" s="48" t="n">
        <f aca="false">Assumptions!$D$102*I9671</f>
        <v>0.25</v>
      </c>
      <c r="J9733" s="48" t="n">
        <f aca="false">Assumptions!$D$102*J9671</f>
        <v>0.25</v>
      </c>
      <c r="K9733" s="48" t="n">
        <f aca="false">Assumptions!$D$102*K9671</f>
        <v>0.25</v>
      </c>
      <c r="L9733" s="48" t="n">
        <f aca="false">Assumptions!$D$102*L9671</f>
        <v>0.25</v>
      </c>
      <c r="M9733" s="48" t="n">
        <f aca="false">Assumptions!$D$102*M9671</f>
        <v>0.25</v>
      </c>
      <c r="N9733" s="48" t="n">
        <f aca="false">Assumptions!$D$102*N9671</f>
        <v>0.25</v>
      </c>
      <c r="P9733" s="49" t="n">
        <f aca="false">AVERAGE(C9733:F9733)</f>
        <v>0.25</v>
      </c>
      <c r="Q9733" s="49" t="n">
        <f aca="false">AVERAGE(G9733:J9733)</f>
        <v>0.25</v>
      </c>
      <c r="R9733" s="49" t="n">
        <f aca="false">AVERAGE(K9733:N9733)</f>
        <v>0.25</v>
      </c>
      <c r="S9733" s="50"/>
    </row>
    <row r="9734" customFormat="false" ht="15" hidden="false" customHeight="false" outlineLevel="0" collapsed="false">
      <c r="A9734" s="4" t="s">
        <v>553</v>
      </c>
      <c r="B9734" s="36" t="s">
        <v>321</v>
      </c>
      <c r="C9734" s="48" t="n">
        <f aca="false">(C9718+C9719)/Assumptions!$E$74+C9717/Assumptions!$E$75</f>
        <v>0</v>
      </c>
      <c r="D9734" s="48" t="n">
        <f aca="false">(D9718+D9719)/Assumptions!$E$74+D9717/Assumptions!$E$75</f>
        <v>0.0204537573391627</v>
      </c>
      <c r="E9734" s="48" t="n">
        <f aca="false">(E9718+E9719)/Assumptions!$E$74+E9717/Assumptions!$E$75</f>
        <v>0.0574999223953997</v>
      </c>
      <c r="F9734" s="48" t="n">
        <f aca="false">(F9718+F9719)/Assumptions!$E$74+F9717/Assumptions!$E$75</f>
        <v>0.0989945094305299</v>
      </c>
      <c r="G9734" s="48" t="n">
        <f aca="false">(G9718+G9719)/Assumptions!$E$74+G9717/Assumptions!$E$75</f>
        <v>0.143535824570073</v>
      </c>
      <c r="H9734" s="48" t="n">
        <f aca="false">(H9718+H9719)/Assumptions!$E$74+H9717/Assumptions!$E$75</f>
        <v>0.198692347467491</v>
      </c>
      <c r="I9734" s="48" t="n">
        <f aca="false">(I9718+I9719)/Assumptions!$E$74+I9717/Assumptions!$E$75</f>
        <v>0.263937257150209</v>
      </c>
      <c r="J9734" s="48" t="n">
        <f aca="false">(J9718+J9719)/Assumptions!$E$74+J9717/Assumptions!$E$75</f>
        <v>0.354962686009237</v>
      </c>
      <c r="K9734" s="48" t="n">
        <f aca="false">(K9718+K9719)/Assumptions!$E$74+K9717/Assumptions!$E$75</f>
        <v>0.470312673509327</v>
      </c>
      <c r="L9734" s="48" t="n">
        <f aca="false">(L9718+L9719)/Assumptions!$E$74+L9717/Assumptions!$E$75</f>
        <v>0.585589240065411</v>
      </c>
      <c r="M9734" s="48" t="n">
        <f aca="false">(M9718+M9719)/Assumptions!$E$74+M9717/Assumptions!$E$75</f>
        <v>0.694420739221507</v>
      </c>
      <c r="N9734" s="48" t="n">
        <f aca="false">(N9718+N9719)/Assumptions!$E$74+N9717/Assumptions!$E$75</f>
        <v>0.796790818700121</v>
      </c>
      <c r="P9734" s="49" t="n">
        <f aca="false">AVERAGE(C9734:F9734)</f>
        <v>0.0442370472912731</v>
      </c>
      <c r="Q9734" s="49" t="n">
        <f aca="false">AVERAGE(G9734:J9734)</f>
        <v>0.240282028799253</v>
      </c>
      <c r="R9734" s="49" t="n">
        <f aca="false">AVERAGE(K9734:N9734)</f>
        <v>0.636778367874091</v>
      </c>
      <c r="S9734" s="50"/>
    </row>
    <row r="9735" customFormat="false" ht="15" hidden="false" customHeight="false" outlineLevel="0" collapsed="false">
      <c r="A9735" s="4" t="s">
        <v>554</v>
      </c>
      <c r="B9735" s="36" t="s">
        <v>125</v>
      </c>
      <c r="C9735" s="54" t="n">
        <f aca="false">(C9729+C9731)*Assumptions!$E$70/Assumptions!$E$69/4</f>
        <v>66753.5714285714</v>
      </c>
      <c r="D9735" s="54" t="n">
        <f aca="false">(D9729+D9731)*Assumptions!$E$70/Assumptions!$E$69/4</f>
        <v>66753.5714285714</v>
      </c>
      <c r="E9735" s="54" t="n">
        <f aca="false">(E9729+E9731)*Assumptions!$E$70/Assumptions!$E$69/4</f>
        <v>66753.5714285714</v>
      </c>
      <c r="F9735" s="54" t="n">
        <f aca="false">(F9729+F9731)*Assumptions!$E$70/Assumptions!$E$69/4</f>
        <v>66753.5714285714</v>
      </c>
      <c r="G9735" s="54" t="n">
        <f aca="false">(G9729+G9731)*Assumptions!$E$70/Assumptions!$E$69/4</f>
        <v>100130.357142857</v>
      </c>
      <c r="H9735" s="54" t="n">
        <f aca="false">(H9729+H9731)*Assumptions!$E$70/Assumptions!$E$69/4</f>
        <v>100130.357142857</v>
      </c>
      <c r="I9735" s="54" t="n">
        <f aca="false">(I9729+I9731)*Assumptions!$E$70/Assumptions!$E$69/4</f>
        <v>100130.357142857</v>
      </c>
      <c r="J9735" s="54" t="n">
        <f aca="false">(J9729+J9731)*Assumptions!$E$70/Assumptions!$E$69/4</f>
        <v>100130.357142857</v>
      </c>
      <c r="K9735" s="54" t="n">
        <f aca="false">(K9729+K9731)*Assumptions!$E$70/Assumptions!$E$69/4</f>
        <v>100130.357142857</v>
      </c>
      <c r="L9735" s="54" t="n">
        <f aca="false">(L9729+L9731)*Assumptions!$E$70/Assumptions!$E$69/4</f>
        <v>100130.357142857</v>
      </c>
      <c r="M9735" s="54" t="n">
        <f aca="false">(M9729+M9731)*Assumptions!$E$70/Assumptions!$E$69/4</f>
        <v>100130.357142857</v>
      </c>
      <c r="N9735" s="54" t="n">
        <f aca="false">(N9729+N9731)*Assumptions!$E$70/Assumptions!$E$69/4</f>
        <v>100130.357142857</v>
      </c>
      <c r="P9735" s="55" t="n">
        <f aca="false">SUM(C9735:F9735)</f>
        <v>267014.285714286</v>
      </c>
      <c r="Q9735" s="55" t="n">
        <f aca="false">SUM(G9735:J9735)</f>
        <v>400521.428571429</v>
      </c>
      <c r="R9735" s="55" t="n">
        <f aca="false">SUM(K9735:N9735)</f>
        <v>400521.428571429</v>
      </c>
      <c r="S9735" s="56" t="n">
        <f aca="false">SUM(P9735:R9735)</f>
        <v>1068057.14285714</v>
      </c>
    </row>
    <row r="9736" customFormat="false" ht="15" hidden="false" customHeight="false" outlineLevel="0" collapsed="false">
      <c r="A9736" s="4" t="s">
        <v>555</v>
      </c>
      <c r="B9736" s="36" t="s">
        <v>125</v>
      </c>
      <c r="C9736" s="54" t="n">
        <f aca="false">C9730*$C$9665/4</f>
        <v>0</v>
      </c>
      <c r="D9736" s="54" t="n">
        <f aca="false">D9730*$C$9665/4</f>
        <v>0</v>
      </c>
      <c r="E9736" s="54" t="n">
        <f aca="false">E9730*$C$9665/4</f>
        <v>0</v>
      </c>
      <c r="F9736" s="54" t="n">
        <f aca="false">F9730*$C$9665/4</f>
        <v>0</v>
      </c>
      <c r="G9736" s="54" t="n">
        <f aca="false">G9730*$C$9665/4</f>
        <v>0</v>
      </c>
      <c r="H9736" s="54" t="n">
        <f aca="false">H9730*$C$9665/4</f>
        <v>0</v>
      </c>
      <c r="I9736" s="54" t="n">
        <f aca="false">I9730*$C$9665/4</f>
        <v>0</v>
      </c>
      <c r="J9736" s="54" t="n">
        <f aca="false">J9730*$C$9665/4</f>
        <v>0</v>
      </c>
      <c r="K9736" s="54" t="n">
        <f aca="false">K9730*$C$9665/4</f>
        <v>0</v>
      </c>
      <c r="L9736" s="54" t="n">
        <f aca="false">L9730*$C$9665/4</f>
        <v>0</v>
      </c>
      <c r="M9736" s="54" t="n">
        <f aca="false">M9730*$C$9665/4</f>
        <v>0</v>
      </c>
      <c r="N9736" s="54" t="n">
        <f aca="false">N9730*$C$9665/4</f>
        <v>0</v>
      </c>
      <c r="P9736" s="55" t="n">
        <f aca="false">SUM(C9736:F9736)</f>
        <v>0</v>
      </c>
      <c r="Q9736" s="55" t="n">
        <f aca="false">SUM(G9736:J9736)</f>
        <v>0</v>
      </c>
      <c r="R9736" s="55" t="n">
        <f aca="false">SUM(K9736:N9736)</f>
        <v>0</v>
      </c>
      <c r="S9736" s="56" t="n">
        <f aca="false">SUM(P9736:R9736)</f>
        <v>0</v>
      </c>
    </row>
    <row r="9737" customFormat="false" ht="15" hidden="false" customHeight="false" outlineLevel="0" collapsed="false">
      <c r="A9737" s="4" t="s">
        <v>556</v>
      </c>
      <c r="B9737" s="36" t="s">
        <v>125</v>
      </c>
      <c r="C9737" s="54" t="n">
        <f aca="false">MAX(0,(C9725-C9706*$C$9661)-C9685*$C$9666)*$C$9667*Assumptions!$D$105</f>
        <v>0</v>
      </c>
      <c r="D9737" s="54" t="n">
        <f aca="false">MAX(0,(D9725-D9706*$C$9661)-D9685*$C$9666)*$C$9667*Assumptions!$D$105</f>
        <v>9225.99507115107</v>
      </c>
      <c r="E9737" s="54" t="n">
        <f aca="false">MAX(0,(E9725-E9706*$C$9661)-E9685*$C$9666)*$C$9667*Assumptions!$D$105</f>
        <v>23149.8333675908</v>
      </c>
      <c r="F9737" s="54" t="n">
        <f aca="false">MAX(0,(F9725-F9706*$C$9661)-F9685*$C$9666)*$C$9667*Assumptions!$D$105</f>
        <v>30023.499435901</v>
      </c>
      <c r="G9737" s="54" t="n">
        <f aca="false">MAX(0,(G9725-G9706*$C$9661)-G9685*$C$9666)*$C$9667*Assumptions!$D$105</f>
        <v>32992.7035933856</v>
      </c>
      <c r="H9737" s="54" t="n">
        <f aca="false">MAX(0,(H9725-H9706*$C$9661)-H9685*$C$9666)*$C$9667*Assumptions!$D$105</f>
        <v>39430.9539703324</v>
      </c>
      <c r="I9737" s="54" t="n">
        <f aca="false">MAX(0,(I9725-I9706*$C$9661)-I9685*$C$9666)*$C$9667*Assumptions!$D$105</f>
        <v>46948.5110931915</v>
      </c>
      <c r="J9737" s="54" t="n">
        <f aca="false">MAX(0,(J9725-J9706*$C$9661)-J9685*$C$9666)*$C$9667*Assumptions!$D$105</f>
        <v>61530.8445014083</v>
      </c>
      <c r="K9737" s="54" t="n">
        <f aca="false">MAX(0,(K9725-K9706*$C$9661)-K9685*$C$9666)*$C$9667*Assumptions!$D$105</f>
        <v>79307.1900786353</v>
      </c>
      <c r="L9737" s="54" t="n">
        <f aca="false">MAX(0,(L9725-L9706*$C$9661)-L9685*$C$9666)*$C$9667*Assumptions!$D$105</f>
        <v>86047.064558407</v>
      </c>
      <c r="M9737" s="54" t="n">
        <f aca="false">MAX(0,(M9725-M9706*$C$9661)-M9685*$C$9666)*$C$9667*Assumptions!$D$105</f>
        <v>84735.8685352792</v>
      </c>
      <c r="N9737" s="54" t="n">
        <f aca="false">MAX(0,(N9725-N9706*$C$9661)-N9685*$C$9666)*$C$9667*Assumptions!$D$105</f>
        <v>82288.5927894631</v>
      </c>
      <c r="P9737" s="55" t="n">
        <f aca="false">SUM(C9737:F9737)</f>
        <v>62399.3278746428</v>
      </c>
      <c r="Q9737" s="55" t="n">
        <f aca="false">SUM(G9737:J9737)</f>
        <v>180903.013158318</v>
      </c>
      <c r="R9737" s="55" t="n">
        <f aca="false">SUM(K9737:N9737)</f>
        <v>332378.715961785</v>
      </c>
      <c r="S9737" s="56" t="n">
        <f aca="false">SUM(P9737:R9737)</f>
        <v>575681.056994745</v>
      </c>
    </row>
    <row r="9738" customFormat="false" ht="15" hidden="false" customHeight="false" outlineLevel="0" collapsed="false">
      <c r="A9738" s="4" t="s">
        <v>557</v>
      </c>
      <c r="B9738" s="36" t="s">
        <v>125</v>
      </c>
      <c r="C9738" s="54" t="n">
        <f aca="false">C9733*Assumptions!$E$71/Assumptions!$E$69/4</f>
        <v>18475.8928571429</v>
      </c>
      <c r="D9738" s="54" t="n">
        <f aca="false">D9733*Assumptions!$E$71/Assumptions!$E$69/4</f>
        <v>18475.8928571429</v>
      </c>
      <c r="E9738" s="54" t="n">
        <f aca="false">E9733*Assumptions!$E$71/Assumptions!$E$69/4</f>
        <v>18475.8928571429</v>
      </c>
      <c r="F9738" s="54" t="n">
        <f aca="false">F9733*Assumptions!$E$71/Assumptions!$E$69/4</f>
        <v>18475.8928571429</v>
      </c>
      <c r="G9738" s="54" t="n">
        <f aca="false">G9733*Assumptions!$E$71/Assumptions!$E$69/4</f>
        <v>18475.8928571429</v>
      </c>
      <c r="H9738" s="54" t="n">
        <f aca="false">H9733*Assumptions!$E$71/Assumptions!$E$69/4</f>
        <v>18475.8928571429</v>
      </c>
      <c r="I9738" s="54" t="n">
        <f aca="false">I9733*Assumptions!$E$71/Assumptions!$E$69/4</f>
        <v>18475.8928571429</v>
      </c>
      <c r="J9738" s="54" t="n">
        <f aca="false">J9733*Assumptions!$E$71/Assumptions!$E$69/4</f>
        <v>18475.8928571429</v>
      </c>
      <c r="K9738" s="54" t="n">
        <f aca="false">K9733*Assumptions!$E$71/Assumptions!$E$69/4</f>
        <v>18475.8928571429</v>
      </c>
      <c r="L9738" s="54" t="n">
        <f aca="false">L9733*Assumptions!$E$71/Assumptions!$E$69/4</f>
        <v>18475.8928571429</v>
      </c>
      <c r="M9738" s="54" t="n">
        <f aca="false">M9733*Assumptions!$E$71/Assumptions!$E$69/4</f>
        <v>18475.8928571429</v>
      </c>
      <c r="N9738" s="54" t="n">
        <f aca="false">N9733*Assumptions!$E$71/Assumptions!$E$69/4</f>
        <v>18475.8928571429</v>
      </c>
      <c r="P9738" s="55" t="n">
        <f aca="false">SUM(C9738:F9738)</f>
        <v>73903.5714285714</v>
      </c>
      <c r="Q9738" s="55" t="n">
        <f aca="false">SUM(G9738:J9738)</f>
        <v>73903.5714285714</v>
      </c>
      <c r="R9738" s="55" t="n">
        <f aca="false">SUM(K9738:N9738)</f>
        <v>73903.5714285714</v>
      </c>
      <c r="S9738" s="56" t="n">
        <f aca="false">SUM(P9738:R9738)</f>
        <v>221710.714285714</v>
      </c>
    </row>
    <row r="9739" customFormat="false" ht="15" hidden="false" customHeight="false" outlineLevel="0" collapsed="false">
      <c r="A9739" s="4" t="s">
        <v>558</v>
      </c>
      <c r="B9739" s="36" t="s">
        <v>125</v>
      </c>
      <c r="C9739" s="54" t="n">
        <f aca="false">(Assumptions!$D$103+Assumptions!$E$77*((C9670=Assumptions!$E$13)+(C9670=Assumptions!$E$14)+(C9670=Assumptions!$E$15)))*C9671</f>
        <v>65000</v>
      </c>
      <c r="D9739" s="54" t="n">
        <f aca="false">(Assumptions!$D$103+Assumptions!$E$77*((D9670=Assumptions!$E$13)+(D9670=Assumptions!$E$14)+(D9670=Assumptions!$E$15)))*D9671</f>
        <v>25000</v>
      </c>
      <c r="E9739" s="54" t="n">
        <f aca="false">(Assumptions!$D$103+Assumptions!$E$77*((E9670=Assumptions!$E$13)+(E9670=Assumptions!$E$14)+(E9670=Assumptions!$E$15)))*E9671</f>
        <v>25000</v>
      </c>
      <c r="F9739" s="54" t="n">
        <f aca="false">(Assumptions!$D$103+Assumptions!$E$77*((F9670=Assumptions!$E$13)+(F9670=Assumptions!$E$14)+(F9670=Assumptions!$E$15)))*F9671</f>
        <v>25000</v>
      </c>
      <c r="G9739" s="54" t="n">
        <f aca="false">(Assumptions!$D$103+Assumptions!$E$77*((G9670=Assumptions!$E$13)+(G9670=Assumptions!$E$14)+(G9670=Assumptions!$E$15)))*G9671</f>
        <v>65000</v>
      </c>
      <c r="H9739" s="54" t="n">
        <f aca="false">(Assumptions!$D$103+Assumptions!$E$77*((H9670=Assumptions!$E$13)+(H9670=Assumptions!$E$14)+(H9670=Assumptions!$E$15)))*H9671</f>
        <v>25000</v>
      </c>
      <c r="I9739" s="54" t="n">
        <f aca="false">(Assumptions!$D$103+Assumptions!$E$77*((I9670=Assumptions!$E$13)+(I9670=Assumptions!$E$14)+(I9670=Assumptions!$E$15)))*I9671</f>
        <v>65000</v>
      </c>
      <c r="J9739" s="54" t="n">
        <f aca="false">(Assumptions!$D$103+Assumptions!$E$77*((J9670=Assumptions!$E$13)+(J9670=Assumptions!$E$14)+(J9670=Assumptions!$E$15)))*J9671</f>
        <v>25000</v>
      </c>
      <c r="K9739" s="54" t="n">
        <f aca="false">(Assumptions!$D$103+Assumptions!$E$77*((K9670=Assumptions!$E$13)+(K9670=Assumptions!$E$14)+(K9670=Assumptions!$E$15)))*K9671</f>
        <v>25000</v>
      </c>
      <c r="L9739" s="54" t="n">
        <f aca="false">(Assumptions!$D$103+Assumptions!$E$77*((L9670=Assumptions!$E$13)+(L9670=Assumptions!$E$14)+(L9670=Assumptions!$E$15)))*L9671</f>
        <v>25000</v>
      </c>
      <c r="M9739" s="54" t="n">
        <f aca="false">(Assumptions!$D$103+Assumptions!$E$77*((M9670=Assumptions!$E$13)+(M9670=Assumptions!$E$14)+(M9670=Assumptions!$E$15)))*M9671</f>
        <v>25000</v>
      </c>
      <c r="N9739" s="54" t="n">
        <f aca="false">(Assumptions!$D$103+Assumptions!$E$77*((N9670=Assumptions!$E$13)+(N9670=Assumptions!$E$14)+(N9670=Assumptions!$E$15)))*N9671</f>
        <v>25000</v>
      </c>
      <c r="P9739" s="55" t="n">
        <f aca="false">SUM(C9739:F9739)</f>
        <v>140000</v>
      </c>
      <c r="Q9739" s="55" t="n">
        <f aca="false">SUM(G9739:J9739)</f>
        <v>180000</v>
      </c>
      <c r="R9739" s="55" t="n">
        <f aca="false">SUM(K9739:N9739)</f>
        <v>100000</v>
      </c>
      <c r="S9739" s="56" t="n">
        <f aca="false">SUM(P9739:R9739)</f>
        <v>420000</v>
      </c>
    </row>
    <row r="9740" customFormat="false" ht="15" hidden="false" customHeight="false" outlineLevel="0" collapsed="false">
      <c r="A9740" s="4" t="s">
        <v>559</v>
      </c>
      <c r="B9740" s="36" t="s">
        <v>125</v>
      </c>
      <c r="C9740" s="54" t="n">
        <f aca="false">C9725*C9705*Assumptions!$E$79</f>
        <v>0</v>
      </c>
      <c r="D9740" s="54" t="n">
        <f aca="false">D9725*D9705*Assumptions!$E$79</f>
        <v>1999.25067019367</v>
      </c>
      <c r="E9740" s="54" t="n">
        <f aca="false">E9725*E9705*Assumptions!$E$79</f>
        <v>4262.9696735418</v>
      </c>
      <c r="F9740" s="54" t="n">
        <f aca="false">F9725*F9705*Assumptions!$E$79</f>
        <v>6616.75078179792</v>
      </c>
      <c r="G9740" s="54" t="n">
        <f aca="false">G9725*G9705*Assumptions!$E$79</f>
        <v>8294.14803301499</v>
      </c>
      <c r="H9740" s="54" t="n">
        <f aca="false">H9725*H9705*Assumptions!$E$79</f>
        <v>9382.24003276733</v>
      </c>
      <c r="I9740" s="54" t="n">
        <f aca="false">I9725*I9705*Assumptions!$E$79</f>
        <v>10863.7502762209</v>
      </c>
      <c r="J9740" s="54" t="n">
        <f aca="false">J9725*J9705*Assumptions!$E$79</f>
        <v>11342.8108739467</v>
      </c>
      <c r="K9740" s="54" t="n">
        <f aca="false">K9725*K9705*Assumptions!$E$79</f>
        <v>12844.2086723696</v>
      </c>
      <c r="L9740" s="54" t="n">
        <f aca="false">L9725*L9705*Assumptions!$E$79</f>
        <v>15300.7329000255</v>
      </c>
      <c r="M9740" s="54" t="n">
        <f aca="false">M9725*M9705*Assumptions!$E$79</f>
        <v>15513.1196725557</v>
      </c>
      <c r="N9740" s="54" t="n">
        <f aca="false">N9725*N9705*Assumptions!$E$79</f>
        <v>15505.8405035962</v>
      </c>
      <c r="P9740" s="55" t="n">
        <f aca="false">SUM(C9740:F9740)</f>
        <v>12878.9711255334</v>
      </c>
      <c r="Q9740" s="55" t="n">
        <f aca="false">SUM(G9740:J9740)</f>
        <v>39882.9492159499</v>
      </c>
      <c r="R9740" s="55" t="n">
        <f aca="false">SUM(K9740:N9740)</f>
        <v>59163.901748547</v>
      </c>
      <c r="S9740" s="56" t="n">
        <f aca="false">SUM(P9740:R9740)</f>
        <v>111925.82209003</v>
      </c>
    </row>
    <row r="9741" customFormat="false" ht="15" hidden="false" customHeight="false" outlineLevel="0" collapsed="false">
      <c r="A9741" s="4" t="s">
        <v>560</v>
      </c>
      <c r="B9741" s="36" t="s">
        <v>125</v>
      </c>
      <c r="C9741" s="54" t="n">
        <f aca="false">C9690*Assumptions!$E$80</f>
        <v>4000</v>
      </c>
      <c r="D9741" s="54" t="n">
        <f aca="false">D9690*Assumptions!$E$80</f>
        <v>6000</v>
      </c>
      <c r="E9741" s="54" t="n">
        <f aca="false">E9690*Assumptions!$E$80</f>
        <v>8000</v>
      </c>
      <c r="F9741" s="54" t="n">
        <f aca="false">F9690*Assumptions!$E$80</f>
        <v>10000</v>
      </c>
      <c r="G9741" s="54" t="n">
        <f aca="false">G9690*Assumptions!$E$80</f>
        <v>12000</v>
      </c>
      <c r="H9741" s="54" t="n">
        <f aca="false">H9690*Assumptions!$E$80</f>
        <v>14000</v>
      </c>
      <c r="I9741" s="54" t="n">
        <f aca="false">I9690*Assumptions!$E$80</f>
        <v>16000</v>
      </c>
      <c r="J9741" s="54" t="n">
        <f aca="false">J9690*Assumptions!$E$80</f>
        <v>18000</v>
      </c>
      <c r="K9741" s="54" t="n">
        <f aca="false">K9690*Assumptions!$E$80</f>
        <v>20000</v>
      </c>
      <c r="L9741" s="54" t="n">
        <f aca="false">L9690*Assumptions!$E$80</f>
        <v>20000</v>
      </c>
      <c r="M9741" s="54" t="n">
        <f aca="false">M9690*Assumptions!$E$80</f>
        <v>20000</v>
      </c>
      <c r="N9741" s="54" t="n">
        <f aca="false">N9690*Assumptions!$E$80</f>
        <v>20000</v>
      </c>
      <c r="P9741" s="55" t="n">
        <f aca="false">SUM(C9741:F9741)</f>
        <v>28000</v>
      </c>
      <c r="Q9741" s="55" t="n">
        <f aca="false">SUM(G9741:J9741)</f>
        <v>60000</v>
      </c>
      <c r="R9741" s="55" t="n">
        <f aca="false">SUM(K9741:N9741)</f>
        <v>80000</v>
      </c>
      <c r="S9741" s="56" t="n">
        <f aca="false">SUM(P9741:R9741)</f>
        <v>168000</v>
      </c>
    </row>
    <row r="9742" customFormat="false" ht="15" hidden="false" customHeight="false" outlineLevel="0" collapsed="false">
      <c r="A9742" s="4" t="s">
        <v>561</v>
      </c>
      <c r="B9742" s="36" t="s">
        <v>125</v>
      </c>
      <c r="C9742" s="54" t="n">
        <f aca="false">(C9713*$C$9662+C9714*$C$9663)*Assumptions!$E$81</f>
        <v>0</v>
      </c>
      <c r="D9742" s="54" t="n">
        <f aca="false">(D9713*$C$9662+D9714*$C$9663)*Assumptions!$E$81</f>
        <v>2271.20702987344</v>
      </c>
      <c r="E9742" s="54" t="n">
        <f aca="false">(E9713*$C$9662+E9714*$C$9663)*Assumptions!$E$81</f>
        <v>6251.93054827832</v>
      </c>
      <c r="F9742" s="54" t="n">
        <f aca="false">(F9713*$C$9662+F9714*$C$9663)*Assumptions!$E$81</f>
        <v>8338.95750752839</v>
      </c>
      <c r="G9742" s="54" t="n">
        <f aca="false">(G9713*$C$9662+G9714*$C$9663)*Assumptions!$E$81</f>
        <v>9167.92775459872</v>
      </c>
      <c r="H9742" s="54" t="n">
        <f aca="false">(H9713*$C$9662+H9714*$C$9663)*Assumptions!$E$81</f>
        <v>10824.8901597122</v>
      </c>
      <c r="I9742" s="54" t="n">
        <f aca="false">(I9713*$C$9662+I9714*$C$9663)*Assumptions!$E$81</f>
        <v>12856.1769564792</v>
      </c>
      <c r="J9742" s="54" t="n">
        <f aca="false">(J9713*$C$9662+J9714*$C$9663)*Assumptions!$E$81</f>
        <v>16469.8917743039</v>
      </c>
      <c r="K9742" s="54" t="n">
        <f aca="false">(K9713*$C$9662+K9714*$C$9663)*Assumptions!$E$81</f>
        <v>21212.7305586452</v>
      </c>
      <c r="L9742" s="54" t="n">
        <f aca="false">(L9713*$C$9662+L9714*$C$9663)*Assumptions!$E$81</f>
        <v>23349.5423508459</v>
      </c>
      <c r="M9742" s="54" t="n">
        <f aca="false">(M9713*$C$9662+M9714*$C$9663)*Assumptions!$E$81</f>
        <v>23055.8218060851</v>
      </c>
      <c r="N9742" s="54" t="n">
        <f aca="false">(N9713*$C$9662+N9714*$C$9663)*Assumptions!$E$81</f>
        <v>22387.9042287357</v>
      </c>
      <c r="P9742" s="55" t="n">
        <f aca="false">SUM(C9742:F9742)</f>
        <v>16862.0950856802</v>
      </c>
      <c r="Q9742" s="55" t="n">
        <f aca="false">SUM(G9742:J9742)</f>
        <v>49318.8866450941</v>
      </c>
      <c r="R9742" s="55" t="n">
        <f aca="false">SUM(K9742:N9742)</f>
        <v>90005.9989443118</v>
      </c>
      <c r="S9742" s="56" t="n">
        <f aca="false">SUM(P9742:R9742)</f>
        <v>156186.980675086</v>
      </c>
    </row>
    <row r="9743" customFormat="false" ht="15" hidden="false" customHeight="false" outlineLevel="0" collapsed="false">
      <c r="A9743" s="9" t="s">
        <v>562</v>
      </c>
      <c r="B9743" s="36" t="s">
        <v>125</v>
      </c>
      <c r="C9743" s="55" t="n">
        <f aca="false">C9735+C9736+C9737+C9738+C9739+C9740+C9741+C9742</f>
        <v>154229.464285714</v>
      </c>
      <c r="D9743" s="55" t="n">
        <f aca="false">D9735+D9736+D9737+D9738+D9739+D9740+D9741+D9742</f>
        <v>129725.917056932</v>
      </c>
      <c r="E9743" s="55" t="n">
        <f aca="false">E9735+E9736+E9737+E9738+E9739+E9740+E9741+E9742</f>
        <v>151894.197875125</v>
      </c>
      <c r="F9743" s="55" t="n">
        <f aca="false">F9735+F9736+F9737+F9738+F9739+F9740+F9741+F9742</f>
        <v>165208.672010942</v>
      </c>
      <c r="G9743" s="55" t="n">
        <f aca="false">G9735+G9736+G9737+G9738+G9739+G9740+G9741+G9742</f>
        <v>246061.029380999</v>
      </c>
      <c r="H9743" s="55" t="n">
        <f aca="false">H9735+H9736+H9737+H9738+H9739+H9740+H9741+H9742</f>
        <v>217244.334162812</v>
      </c>
      <c r="I9743" s="55" t="n">
        <f aca="false">I9735+I9736+I9737+I9738+I9739+I9740+I9741+I9742</f>
        <v>270274.688325892</v>
      </c>
      <c r="J9743" s="55" t="n">
        <f aca="false">J9735+J9736+J9737+J9738+J9739+J9740+J9741+J9742</f>
        <v>250949.797149659</v>
      </c>
      <c r="K9743" s="55" t="n">
        <f aca="false">K9735+K9736+K9737+K9738+K9739+K9740+K9741+K9742</f>
        <v>276970.37930965</v>
      </c>
      <c r="L9743" s="55" t="n">
        <f aca="false">L9735+L9736+L9737+L9738+L9739+L9740+L9741+L9742</f>
        <v>288303.589809278</v>
      </c>
      <c r="M9743" s="55" t="n">
        <f aca="false">M9735+M9736+M9737+M9738+M9739+M9740+M9741+M9742</f>
        <v>286911.06001392</v>
      </c>
      <c r="N9743" s="55" t="n">
        <f aca="false">N9735+N9736+N9737+N9738+N9739+N9740+N9741+N9742</f>
        <v>283788.587521795</v>
      </c>
      <c r="P9743" s="55" t="n">
        <f aca="false">SUM(C9743:F9743)</f>
        <v>601058.251228714</v>
      </c>
      <c r="Q9743" s="55" t="n">
        <f aca="false">SUM(G9743:J9743)</f>
        <v>984529.849019362</v>
      </c>
      <c r="R9743" s="55" t="n">
        <f aca="false">SUM(K9743:N9743)</f>
        <v>1135973.61665464</v>
      </c>
      <c r="S9743" s="56" t="n">
        <f aca="false">SUM(P9743:R9743)</f>
        <v>2721561.71690272</v>
      </c>
    </row>
    <row r="9744" customFormat="false" ht="15" hidden="false" customHeight="false" outlineLevel="0" collapsed="false">
      <c r="A9744" s="4" t="s">
        <v>563</v>
      </c>
      <c r="B9744" s="36" t="s">
        <v>125</v>
      </c>
      <c r="C9744" s="54" t="n">
        <f aca="false">C9732*Assumptions!$E$72/Assumptions!$E$69/4</f>
        <v>56535.7142857143</v>
      </c>
      <c r="D9744" s="54" t="n">
        <f aca="false">D9732*Assumptions!$E$72/Assumptions!$E$69/4</f>
        <v>56535.7142857143</v>
      </c>
      <c r="E9744" s="54" t="n">
        <f aca="false">E9732*Assumptions!$E$72/Assumptions!$E$69/4</f>
        <v>56535.7142857143</v>
      </c>
      <c r="F9744" s="54" t="n">
        <f aca="false">F9732*Assumptions!$E$72/Assumptions!$E$69/4</f>
        <v>56535.7142857143</v>
      </c>
      <c r="G9744" s="54" t="n">
        <f aca="false">G9732*Assumptions!$E$72/Assumptions!$E$69/4</f>
        <v>28267.8571428571</v>
      </c>
      <c r="H9744" s="54" t="n">
        <f aca="false">H9732*Assumptions!$E$72/Assumptions!$E$69/4</f>
        <v>28267.8571428571</v>
      </c>
      <c r="I9744" s="54" t="n">
        <f aca="false">I9732*Assumptions!$E$72/Assumptions!$E$69/4</f>
        <v>28267.8571428571</v>
      </c>
      <c r="J9744" s="54" t="n">
        <f aca="false">J9732*Assumptions!$E$72/Assumptions!$E$69/4</f>
        <v>28267.8571428571</v>
      </c>
      <c r="K9744" s="54" t="n">
        <f aca="false">K9732*Assumptions!$E$72/Assumptions!$E$69/4</f>
        <v>28267.8571428571</v>
      </c>
      <c r="L9744" s="54" t="n">
        <f aca="false">L9732*Assumptions!$E$72/Assumptions!$E$69/4</f>
        <v>28267.8571428571</v>
      </c>
      <c r="M9744" s="54" t="n">
        <f aca="false">M9732*Assumptions!$E$72/Assumptions!$E$69/4</f>
        <v>28267.8571428571</v>
      </c>
      <c r="N9744" s="54" t="n">
        <f aca="false">N9732*Assumptions!$E$72/Assumptions!$E$69/4</f>
        <v>28267.8571428571</v>
      </c>
      <c r="P9744" s="55" t="n">
        <f aca="false">SUM(C9744:F9744)</f>
        <v>226142.857142857</v>
      </c>
      <c r="Q9744" s="55" t="n">
        <f aca="false">SUM(G9744:J9744)</f>
        <v>113071.428571429</v>
      </c>
      <c r="R9744" s="55" t="n">
        <f aca="false">SUM(K9744:N9744)</f>
        <v>113071.428571429</v>
      </c>
      <c r="S9744" s="56" t="n">
        <f aca="false">SUM(P9744:R9744)</f>
        <v>452285.714285714</v>
      </c>
    </row>
    <row r="9745" customFormat="false" ht="15" hidden="false" customHeight="false" outlineLevel="0" collapsed="false">
      <c r="A9745" s="4" t="s">
        <v>564</v>
      </c>
      <c r="B9745" s="36" t="s">
        <v>125</v>
      </c>
      <c r="C9745" s="54" t="n">
        <f aca="false">IF(C9670&lt;=Assumptions!$E$83,Assumptions!$E$82*Assumptions!$D$108/Assumptions!$E$83,0)</f>
        <v>62500</v>
      </c>
      <c r="D9745" s="54" t="n">
        <f aca="false">IF(D9670&lt;=Assumptions!$E$83,Assumptions!$E$82*Assumptions!$D$108/Assumptions!$E$83,0)</f>
        <v>62500</v>
      </c>
      <c r="E9745" s="54" t="n">
        <f aca="false">IF(E9670&lt;=Assumptions!$E$83,Assumptions!$E$82*Assumptions!$D$108/Assumptions!$E$83,0)</f>
        <v>62500</v>
      </c>
      <c r="F9745" s="54" t="n">
        <f aca="false">IF(F9670&lt;=Assumptions!$E$83,Assumptions!$E$82*Assumptions!$D$108/Assumptions!$E$83,0)</f>
        <v>62500</v>
      </c>
      <c r="G9745" s="54" t="n">
        <f aca="false">IF(G9670&lt;=Assumptions!$E$83,Assumptions!$E$82*Assumptions!$D$108/Assumptions!$E$83,0)</f>
        <v>0</v>
      </c>
      <c r="H9745" s="54" t="n">
        <f aca="false">IF(H9670&lt;=Assumptions!$E$83,Assumptions!$E$82*Assumptions!$D$108/Assumptions!$E$83,0)</f>
        <v>0</v>
      </c>
      <c r="I9745" s="54" t="n">
        <f aca="false">IF(I9670&lt;=Assumptions!$E$83,Assumptions!$E$82*Assumptions!$D$108/Assumptions!$E$83,0)</f>
        <v>0</v>
      </c>
      <c r="J9745" s="54" t="n">
        <f aca="false">IF(J9670&lt;=Assumptions!$E$83,Assumptions!$E$82*Assumptions!$D$108/Assumptions!$E$83,0)</f>
        <v>0</v>
      </c>
      <c r="K9745" s="54" t="n">
        <f aca="false">IF(K9670&lt;=Assumptions!$E$83,Assumptions!$E$82*Assumptions!$D$108/Assumptions!$E$83,0)</f>
        <v>0</v>
      </c>
      <c r="L9745" s="54" t="n">
        <f aca="false">IF(L9670&lt;=Assumptions!$E$83,Assumptions!$E$82*Assumptions!$D$108/Assumptions!$E$83,0)</f>
        <v>0</v>
      </c>
      <c r="M9745" s="54" t="n">
        <f aca="false">IF(M9670&lt;=Assumptions!$E$83,Assumptions!$E$82*Assumptions!$D$108/Assumptions!$E$83,0)</f>
        <v>0</v>
      </c>
      <c r="N9745" s="54" t="n">
        <f aca="false">IF(N9670&lt;=Assumptions!$E$83,Assumptions!$E$82*Assumptions!$D$108/Assumptions!$E$83,0)</f>
        <v>0</v>
      </c>
      <c r="P9745" s="55" t="n">
        <f aca="false">SUM(C9745:F9745)</f>
        <v>250000</v>
      </c>
      <c r="Q9745" s="55" t="n">
        <f aca="false">SUM(G9745:J9745)</f>
        <v>0</v>
      </c>
      <c r="R9745" s="55" t="n">
        <f aca="false">SUM(K9745:N9745)</f>
        <v>0</v>
      </c>
      <c r="S9745" s="56" t="n">
        <f aca="false">SUM(P9745:R9745)</f>
        <v>250000</v>
      </c>
    </row>
    <row r="9746" customFormat="false" ht="15" hidden="false" customHeight="false" outlineLevel="0" collapsed="false">
      <c r="A9746" s="4" t="s">
        <v>565</v>
      </c>
      <c r="B9746" s="36" t="s">
        <v>125</v>
      </c>
      <c r="C9746" s="54" t="n">
        <f aca="false">C9734*Assumptions!$E$73/Assumptions!$E$69/4</f>
        <v>0</v>
      </c>
      <c r="D9746" s="54" t="n">
        <f aca="false">D9734*Assumptions!$E$73/Assumptions!$E$69/4</f>
        <v>821.875799367571</v>
      </c>
      <c r="E9746" s="54" t="n">
        <f aca="false">E9734*Assumptions!$E$73/Assumptions!$E$69/4</f>
        <v>2310.47009596658</v>
      </c>
      <c r="F9746" s="54" t="n">
        <f aca="false">F9734*Assumptions!$E$73/Assumptions!$E$69/4</f>
        <v>3977.81152001033</v>
      </c>
      <c r="G9746" s="54" t="n">
        <f aca="false">G9734*Assumptions!$E$73/Assumptions!$E$69/4</f>
        <v>5767.57700799248</v>
      </c>
      <c r="H9746" s="54" t="n">
        <f aca="false">H9734*Assumptions!$E$73/Assumptions!$E$69/4</f>
        <v>7983.88429055979</v>
      </c>
      <c r="I9746" s="54" t="n">
        <f aca="false">I9734*Assumptions!$E$73/Assumptions!$E$69/4</f>
        <v>10605.5645721322</v>
      </c>
      <c r="J9746" s="54" t="n">
        <f aca="false">J9734*Assumptions!$E$73/Assumptions!$E$69/4</f>
        <v>14263.1613581783</v>
      </c>
      <c r="K9746" s="54" t="n">
        <f aca="false">K9734*Assumptions!$E$73/Assumptions!$E$69/4</f>
        <v>18898.1710344765</v>
      </c>
      <c r="L9746" s="54" t="n">
        <f aca="false">L9734*Assumptions!$E$73/Assumptions!$E$69/4</f>
        <v>23530.2304999141</v>
      </c>
      <c r="M9746" s="54" t="n">
        <f aca="false">M9734*Assumptions!$E$73/Assumptions!$E$69/4</f>
        <v>27903.3133463613</v>
      </c>
      <c r="N9746" s="54" t="n">
        <f aca="false">N9734*Assumptions!$E$73/Assumptions!$E$69/4</f>
        <v>32016.7625042681</v>
      </c>
      <c r="P9746" s="55" t="n">
        <f aca="false">SUM(C9746:F9746)</f>
        <v>7110.15741534448</v>
      </c>
      <c r="Q9746" s="55" t="n">
        <f aca="false">SUM(G9746:J9746)</f>
        <v>38620.1872288627</v>
      </c>
      <c r="R9746" s="55" t="n">
        <f aca="false">SUM(K9746:N9746)</f>
        <v>102348.47738502</v>
      </c>
      <c r="S9746" s="56" t="n">
        <f aca="false">SUM(P9746:R9746)</f>
        <v>148078.822029227</v>
      </c>
    </row>
    <row r="9747" customFormat="false" ht="15" hidden="false" customHeight="false" outlineLevel="0" collapsed="false">
      <c r="A9747" s="9" t="s">
        <v>566</v>
      </c>
      <c r="B9747" s="36" t="s">
        <v>125</v>
      </c>
      <c r="C9747" s="55" t="n">
        <f aca="false">C9743+C9744+C9745+C9746</f>
        <v>273265.178571429</v>
      </c>
      <c r="D9747" s="55" t="n">
        <f aca="false">D9743+D9744+D9745+D9746</f>
        <v>249583.507142014</v>
      </c>
      <c r="E9747" s="55" t="n">
        <f aca="false">E9743+E9744+E9745+E9746</f>
        <v>273240.382256806</v>
      </c>
      <c r="F9747" s="55" t="n">
        <f aca="false">F9743+F9744+F9745+F9746</f>
        <v>288222.197816666</v>
      </c>
      <c r="G9747" s="55" t="n">
        <f aca="false">G9743+G9744+G9745+G9746</f>
        <v>280096.463531849</v>
      </c>
      <c r="H9747" s="55" t="n">
        <f aca="false">H9743+H9744+H9745+H9746</f>
        <v>253496.075596229</v>
      </c>
      <c r="I9747" s="55" t="n">
        <f aca="false">I9743+I9744+I9745+I9746</f>
        <v>309148.110040881</v>
      </c>
      <c r="J9747" s="55" t="n">
        <f aca="false">J9743+J9744+J9745+J9746</f>
        <v>293480.815650694</v>
      </c>
      <c r="K9747" s="55" t="n">
        <f aca="false">K9743+K9744+K9745+K9746</f>
        <v>324136.407486984</v>
      </c>
      <c r="L9747" s="55" t="n">
        <f aca="false">L9743+L9744+L9745+L9746</f>
        <v>340101.67745205</v>
      </c>
      <c r="M9747" s="55" t="n">
        <f aca="false">M9743+M9744+M9745+M9746</f>
        <v>343082.230503138</v>
      </c>
      <c r="N9747" s="55" t="n">
        <f aca="false">N9743+N9744+N9745+N9746</f>
        <v>344073.20716892</v>
      </c>
      <c r="P9747" s="55" t="n">
        <f aca="false">SUM(C9747:F9747)</f>
        <v>1084311.26578692</v>
      </c>
      <c r="Q9747" s="55" t="n">
        <f aca="false">SUM(G9747:J9747)</f>
        <v>1136221.46481965</v>
      </c>
      <c r="R9747" s="55" t="n">
        <f aca="false">SUM(K9747:N9747)</f>
        <v>1351393.52261109</v>
      </c>
      <c r="S9747" s="56" t="n">
        <f aca="false">SUM(P9747:R9747)</f>
        <v>3571926.25321766</v>
      </c>
    </row>
    <row r="9748" customFormat="false" ht="15" hidden="false" customHeight="false" outlineLevel="0" collapsed="false">
      <c r="A9748" s="35" t="s">
        <v>567</v>
      </c>
      <c r="B9748" s="35" t="s">
        <v>444</v>
      </c>
      <c r="C9748" s="6" t="s">
        <v>354</v>
      </c>
      <c r="D9748" s="6" t="s">
        <v>355</v>
      </c>
      <c r="E9748" s="6" t="s">
        <v>356</v>
      </c>
      <c r="F9748" s="6" t="s">
        <v>357</v>
      </c>
      <c r="G9748" s="6" t="s">
        <v>358</v>
      </c>
      <c r="H9748" s="6" t="s">
        <v>359</v>
      </c>
      <c r="I9748" s="6" t="s">
        <v>360</v>
      </c>
      <c r="J9748" s="6" t="s">
        <v>361</v>
      </c>
      <c r="K9748" s="6" t="s">
        <v>362</v>
      </c>
      <c r="L9748" s="6" t="s">
        <v>363</v>
      </c>
      <c r="M9748" s="6" t="s">
        <v>364</v>
      </c>
      <c r="N9748" s="6" t="s">
        <v>365</v>
      </c>
      <c r="P9748" s="6" t="s">
        <v>445</v>
      </c>
      <c r="Q9748" s="6" t="s">
        <v>446</v>
      </c>
      <c r="R9748" s="6" t="s">
        <v>447</v>
      </c>
      <c r="S9748" s="6" t="s">
        <v>448</v>
      </c>
    </row>
    <row r="9749" customFormat="false" ht="15" hidden="false" customHeight="false" outlineLevel="0" collapsed="false">
      <c r="A9749" s="9" t="s">
        <v>568</v>
      </c>
      <c r="B9749" s="36" t="s">
        <v>125</v>
      </c>
      <c r="C9749" s="55" t="n">
        <f aca="false">C9727-C9747</f>
        <v>-273265.178571429</v>
      </c>
      <c r="D9749" s="55" t="n">
        <f aca="false">D9727-D9747</f>
        <v>-247815.064576278</v>
      </c>
      <c r="E9749" s="55" t="n">
        <f aca="false">E9727-E9747</f>
        <v>-265376.456203989</v>
      </c>
      <c r="F9749" s="55" t="n">
        <f aca="false">F9727-F9747</f>
        <v>-270401.674949736</v>
      </c>
      <c r="G9749" s="55" t="n">
        <f aca="false">G9727-G9747</f>
        <v>-250356.088194306</v>
      </c>
      <c r="H9749" s="55" t="n">
        <f aca="false">H9727-H9747</f>
        <v>-209828.725449693</v>
      </c>
      <c r="I9749" s="55" t="n">
        <f aca="false">I9727-I9747</f>
        <v>-248657.579019035</v>
      </c>
      <c r="J9749" s="55" t="n">
        <f aca="false">J9727-J9747</f>
        <v>-211646.461108977</v>
      </c>
      <c r="K9749" s="55" t="n">
        <f aca="false">K9727-K9747</f>
        <v>-214440.570613918</v>
      </c>
      <c r="L9749" s="55" t="n">
        <f aca="false">L9727-L9747</f>
        <v>-197523.253443291</v>
      </c>
      <c r="M9749" s="55" t="n">
        <f aca="false">M9727-M9747</f>
        <v>-166063.367950557</v>
      </c>
      <c r="N9749" s="55" t="n">
        <f aca="false">N9727-N9747</f>
        <v>-132634.073738639</v>
      </c>
      <c r="P9749" s="55" t="n">
        <f aca="false">SUM(C9749:F9749)</f>
        <v>-1056858.37430143</v>
      </c>
      <c r="Q9749" s="55" t="n">
        <f aca="false">SUM(G9749:J9749)</f>
        <v>-920488.853772011</v>
      </c>
      <c r="R9749" s="55" t="n">
        <f aca="false">SUM(K9749:N9749)</f>
        <v>-710661.265746406</v>
      </c>
      <c r="S9749" s="56" t="n">
        <f aca="false">SUM(P9749:R9749)</f>
        <v>-2688008.49381985</v>
      </c>
    </row>
    <row r="9750" customFormat="false" ht="15" hidden="false" customHeight="false" outlineLevel="0" collapsed="false">
      <c r="A9750" s="9" t="s">
        <v>569</v>
      </c>
      <c r="B9750" s="36" t="s">
        <v>125</v>
      </c>
      <c r="C9750" s="55" t="n">
        <f aca="false">0+C9749</f>
        <v>-273265.178571429</v>
      </c>
      <c r="D9750" s="55" t="n">
        <f aca="false">C9750+D9749</f>
        <v>-521080.243147707</v>
      </c>
      <c r="E9750" s="55" t="n">
        <f aca="false">D9750+E9749</f>
        <v>-786456.699351696</v>
      </c>
      <c r="F9750" s="55" t="n">
        <f aca="false">E9750+F9749</f>
        <v>-1056858.37430143</v>
      </c>
      <c r="G9750" s="55" t="n">
        <f aca="false">F9750+G9749</f>
        <v>-1307214.46249574</v>
      </c>
      <c r="H9750" s="55" t="n">
        <f aca="false">G9750+H9749</f>
        <v>-1517043.18794543</v>
      </c>
      <c r="I9750" s="55" t="n">
        <f aca="false">H9750+I9749</f>
        <v>-1765700.76696447</v>
      </c>
      <c r="J9750" s="55" t="n">
        <f aca="false">I9750+J9749</f>
        <v>-1977347.22807344</v>
      </c>
      <c r="K9750" s="55" t="n">
        <f aca="false">J9750+K9749</f>
        <v>-2191787.79868736</v>
      </c>
      <c r="L9750" s="55" t="n">
        <f aca="false">K9750+L9749</f>
        <v>-2389311.05213065</v>
      </c>
      <c r="M9750" s="55" t="n">
        <f aca="false">L9750+M9749</f>
        <v>-2555374.42008121</v>
      </c>
      <c r="N9750" s="55" t="n">
        <f aca="false">M9750+N9749</f>
        <v>-2688008.49381985</v>
      </c>
      <c r="P9750" s="55" t="n">
        <f aca="false">F9750</f>
        <v>-1056858.37430143</v>
      </c>
      <c r="Q9750" s="55" t="n">
        <f aca="false">J9750</f>
        <v>-1977347.22807344</v>
      </c>
      <c r="R9750" s="55" t="n">
        <f aca="false">N9750</f>
        <v>-2688008.49381985</v>
      </c>
      <c r="S9750" s="56" t="n">
        <f aca="false">R9750</f>
        <v>-2688008.49381985</v>
      </c>
    </row>
    <row r="9751" customFormat="false" ht="15" hidden="false" customHeight="false" outlineLevel="0" collapsed="false">
      <c r="A9751" s="4" t="s">
        <v>570</v>
      </c>
      <c r="B9751" s="36" t="s">
        <v>107</v>
      </c>
      <c r="C9751" s="57" t="n">
        <f aca="false">1/(1+Assumptions!$E$87)^(C9670/4)</f>
        <v>0.972065420906982</v>
      </c>
      <c r="D9751" s="57" t="n">
        <f aca="false">1/(1+Assumptions!$E$87)^(D9670/4)</f>
        <v>0.944911182523068</v>
      </c>
      <c r="E9751" s="57" t="n">
        <f aca="false">1/(1+Assumptions!$E$87)^(E9670/4)</f>
        <v>0.918515486359</v>
      </c>
      <c r="F9751" s="57" t="n">
        <f aca="false">1/(1+Assumptions!$E$87)^(F9670/4)</f>
        <v>0.892857142857143</v>
      </c>
      <c r="G9751" s="57" t="n">
        <f aca="false">1/(1+Assumptions!$E$87)^(G9670/4)</f>
        <v>0.867915554381234</v>
      </c>
      <c r="H9751" s="57" t="n">
        <f aca="false">1/(1+Assumptions!$E$87)^(H9670/4)</f>
        <v>0.843670698681311</v>
      </c>
      <c r="I9751" s="57" t="n">
        <f aca="false">1/(1+Assumptions!$E$87)^(I9670/4)</f>
        <v>0.820103112820536</v>
      </c>
      <c r="J9751" s="57" t="n">
        <f aca="false">1/(1+Assumptions!$E$87)^(J9670/4)</f>
        <v>0.79719387755102</v>
      </c>
      <c r="K9751" s="57" t="n">
        <f aca="false">1/(1+Assumptions!$E$87)^(K9670/4)</f>
        <v>0.774924602126102</v>
      </c>
      <c r="L9751" s="57" t="n">
        <f aca="false">1/(1+Assumptions!$E$87)^(L9670/4)</f>
        <v>0.753277409536885</v>
      </c>
      <c r="M9751" s="57" t="n">
        <f aca="false">1/(1+Assumptions!$E$87)^(M9670/4)</f>
        <v>0.732234922161193</v>
      </c>
      <c r="N9751" s="57" t="n">
        <f aca="false">1/(1+Assumptions!$E$87)^(N9670/4)</f>
        <v>0.711780247813411</v>
      </c>
      <c r="P9751" s="58"/>
      <c r="Q9751" s="58"/>
      <c r="R9751" s="58"/>
      <c r="S9751" s="59"/>
    </row>
    <row r="9752" customFormat="false" ht="15" hidden="false" customHeight="false" outlineLevel="0" collapsed="false">
      <c r="A9752" s="4" t="s">
        <v>571</v>
      </c>
      <c r="B9752" s="36" t="s">
        <v>125</v>
      </c>
      <c r="C9752" s="54" t="n">
        <f aca="false">(C9727*(1-Assumptions!$E$88)-C9747)*C9751</f>
        <v>-265631.630827257</v>
      </c>
      <c r="D9752" s="54" t="n">
        <f aca="false">(D9727*(1-Assumptions!$E$88)-D9747)*D9751</f>
        <v>-234497.429947004</v>
      </c>
      <c r="E9752" s="54" t="n">
        <f aca="false">(E9727*(1-Assumptions!$E$88)-E9747)*E9751</f>
        <v>-245197.012311054</v>
      </c>
      <c r="F9752" s="54" t="n">
        <f aca="false">(F9727*(1-Assumptions!$E$88)-F9747)*F9751</f>
        <v>-244612.303145645</v>
      </c>
      <c r="G9752" s="54" t="n">
        <f aca="false">(G9727*(1-Assumptions!$E$88)-G9747)*G9751</f>
        <v>-222450.369947596</v>
      </c>
      <c r="H9752" s="54" t="n">
        <f aca="false">(H9727*(1-Assumptions!$E$88)-H9747)*H9751</f>
        <v>-184394.52016509</v>
      </c>
      <c r="I9752" s="54" t="n">
        <f aca="false">(I9727*(1-Assumptions!$E$88)-I9747)*I9751</f>
        <v>-213846.549137366</v>
      </c>
      <c r="J9752" s="54" t="n">
        <f aca="false">(J9727*(1-Assumptions!$E$88)-J9747)*J9751</f>
        <v>-181770.832284216</v>
      </c>
      <c r="K9752" s="54" t="n">
        <f aca="false">(K9727*(1-Assumptions!$E$88)-K9747)*K9751</f>
        <v>-183176.474411435</v>
      </c>
      <c r="L9752" s="54" t="n">
        <f aca="false">(L9727*(1-Assumptions!$E$88)-L9747)*L9751</f>
        <v>-170270.025855694</v>
      </c>
      <c r="M9752" s="54" t="n">
        <f aca="false">(M9727*(1-Assumptions!$E$88)-M9747)*M9751</f>
        <v>-147521.275913552</v>
      </c>
      <c r="N9752" s="54" t="n">
        <f aca="false">(N9727*(1-Assumptions!$E$88)-N9747)*N9751</f>
        <v>-124505.953632282</v>
      </c>
      <c r="P9752" s="55" t="n">
        <f aca="false">SUM(C9752:F9752)</f>
        <v>-989938.376230961</v>
      </c>
      <c r="Q9752" s="55" t="n">
        <f aca="false">SUM(G9752:J9752)</f>
        <v>-802462.271534267</v>
      </c>
      <c r="R9752" s="55" t="n">
        <f aca="false">SUM(K9752:N9752)</f>
        <v>-625473.729812963</v>
      </c>
      <c r="S9752" s="56" t="n">
        <f aca="false">SUM(P9752:R9752)</f>
        <v>-2417874.37757819</v>
      </c>
    </row>
    <row r="9753" customFormat="false" ht="15" hidden="false" customHeight="false" outlineLevel="0" collapsed="false">
      <c r="A9753" s="4" t="s">
        <v>572</v>
      </c>
      <c r="B9753" s="36" t="s">
        <v>125</v>
      </c>
      <c r="C9753" s="54" t="n">
        <f aca="false">(C9747-C9746)*12/(Assumptions!$E$89*Assumptions!$E$76)*Assumptions!$E$90</f>
        <v>189183.585164835</v>
      </c>
      <c r="D9753" s="54" t="n">
        <f aca="false">(D9747-D9746)*12/(Assumptions!$E$89*Assumptions!$E$76)*Assumptions!$E$90</f>
        <v>172219.590929525</v>
      </c>
      <c r="E9753" s="54" t="n">
        <f aca="false">(E9747-E9746)*12/(Assumptions!$E$89*Assumptions!$E$76)*Assumptions!$E$90</f>
        <v>187566.862265197</v>
      </c>
      <c r="F9753" s="54" t="n">
        <f aca="false">(F9747-F9746)*12/(Assumptions!$E$89*Assumptions!$E$76)*Assumptions!$E$90</f>
        <v>196784.575128454</v>
      </c>
      <c r="G9753" s="54" t="n">
        <f aca="false">(G9747-G9746)*12/(Assumptions!$E$89*Assumptions!$E$76)*Assumptions!$E$90</f>
        <v>189919.99836267</v>
      </c>
      <c r="H9753" s="54" t="n">
        <f aca="false">(H9747-H9746)*12/(Assumptions!$E$89*Assumptions!$E$76)*Assumptions!$E$90</f>
        <v>169969.978596232</v>
      </c>
      <c r="I9753" s="54" t="n">
        <f aca="false">(I9747-I9746)*12/(Assumptions!$E$89*Assumptions!$E$76)*Assumptions!$E$90</f>
        <v>206683.300709134</v>
      </c>
      <c r="J9753" s="54" t="n">
        <f aca="false">(J9747-J9746)*12/(Assumptions!$E$89*Assumptions!$E$76)*Assumptions!$E$90</f>
        <v>193304.529894819</v>
      </c>
      <c r="K9753" s="54" t="n">
        <f aca="false">(K9747-K9746)*12/(Assumptions!$E$89*Assumptions!$E$76)*Assumptions!$E$90</f>
        <v>211318.779082505</v>
      </c>
      <c r="L9753" s="54" t="n">
        <f aca="false">(L9747-L9746)*12/(Assumptions!$E$89*Assumptions!$E$76)*Assumptions!$E$90</f>
        <v>219164.84788994</v>
      </c>
      <c r="M9753" s="54" t="n">
        <f aca="false">(M9747-M9746)*12/(Assumptions!$E$89*Assumptions!$E$76)*Assumptions!$E$90</f>
        <v>218200.788800846</v>
      </c>
      <c r="N9753" s="54" t="n">
        <f aca="false">(N9747-N9746)*12/(Assumptions!$E$89*Assumptions!$E$76)*Assumptions!$E$90</f>
        <v>216039.077075528</v>
      </c>
      <c r="P9753" s="55" t="n">
        <f aca="false">SUM(C9753:F9753)</f>
        <v>745754.61348801</v>
      </c>
      <c r="Q9753" s="55" t="n">
        <f aca="false">SUM(G9753:J9753)</f>
        <v>759877.807562855</v>
      </c>
      <c r="R9753" s="55" t="n">
        <f aca="false">SUM(K9753:N9753)</f>
        <v>864723.492848819</v>
      </c>
      <c r="S9753" s="56" t="n">
        <f aca="false">SUM(P9753:R9753)</f>
        <v>2370355.91389968</v>
      </c>
    </row>
    <row r="9754" customFormat="false" ht="15" hidden="false" customHeight="false" outlineLevel="0" collapsed="false">
      <c r="A9754" s="4" t="s">
        <v>573</v>
      </c>
      <c r="B9754" s="36" t="s">
        <v>125</v>
      </c>
      <c r="C9754" s="54" t="n">
        <f aca="false">0*Assumptions!$E$92^(1/4)+C9753</f>
        <v>189183.585164835</v>
      </c>
      <c r="D9754" s="54" t="n">
        <f aca="false">C9754*Assumptions!$E$92^(1/4)+D9753</f>
        <v>361874.371736539</v>
      </c>
      <c r="E9754" s="54" t="n">
        <f aca="false">D9754*Assumptions!$E$92^(1/4)+E9753</f>
        <v>550342.547013803</v>
      </c>
      <c r="F9754" s="54" t="n">
        <f aca="false">E9754*Assumptions!$E$92^(1/4)+F9753</f>
        <v>748497.848939895</v>
      </c>
      <c r="G9754" s="54" t="n">
        <f aca="false">F9754*Assumptions!$E$92^(1/4)+G9753</f>
        <v>940282.115411733</v>
      </c>
      <c r="H9754" s="54" t="n">
        <f aca="false">G9754*Assumptions!$E$92^(1/4)+H9753</f>
        <v>1112594.03522245</v>
      </c>
      <c r="I9754" s="54" t="n">
        <f aca="false">H9754*Assumptions!$E$92^(1/4)+I9753</f>
        <v>1322048.45088035</v>
      </c>
      <c r="J9754" s="54" t="n">
        <f aca="false">I9754*Assumptions!$E$92^(1/4)+J9753</f>
        <v>1518645.7795043</v>
      </c>
      <c r="K9754" s="54" t="n">
        <f aca="false">J9754*Assumptions!$E$92^(1/4)+K9753</f>
        <v>1733747.0182156</v>
      </c>
      <c r="L9754" s="54" t="n">
        <f aca="false">K9754*Assumptions!$E$92^(1/4)+L9753</f>
        <v>1957230.07394008</v>
      </c>
      <c r="M9754" s="54" t="n">
        <f aca="false">L9754*Assumptions!$E$92^(1/4)+M9753</f>
        <v>2180305.69519945</v>
      </c>
      <c r="N9754" s="54" t="n">
        <f aca="false">M9754*Assumptions!$E$92^(1/4)+N9753</f>
        <v>2401775.21456891</v>
      </c>
      <c r="P9754" s="55" t="n">
        <f aca="false">F9754</f>
        <v>748497.848939895</v>
      </c>
      <c r="Q9754" s="55" t="n">
        <f aca="false">J9754</f>
        <v>1518645.7795043</v>
      </c>
      <c r="R9754" s="55" t="n">
        <f aca="false">N9754</f>
        <v>2401775.21456891</v>
      </c>
      <c r="S9754" s="56" t="n">
        <f aca="false">R9754</f>
        <v>2401775.21456891</v>
      </c>
    </row>
    <row r="9755" customFormat="false" ht="15" hidden="false" customHeight="false" outlineLevel="0" collapsed="false">
      <c r="A9755" s="4" t="s">
        <v>574</v>
      </c>
      <c r="B9755" s="36" t="s">
        <v>125</v>
      </c>
      <c r="C9755" s="54" t="n">
        <f aca="false">(0+C9754)/8*Assumptions!$E$76-(C9747-C9746)-C9754*Assumptions!$E$93/4</f>
        <v>-260258.807091346</v>
      </c>
      <c r="D9755" s="54" t="n">
        <f aca="false">(C9754+D9754)/8*Assumptions!$E$76-(D9747-D9746)-D9754*Assumptions!$E$93/4</f>
        <v>-208511.601991117</v>
      </c>
      <c r="E9755" s="54" t="n">
        <f aca="false">(D9754+E9754)/8*Assumptions!$E$76-(E9747-E9746)-E9754*Assumptions!$E$93/4</f>
        <v>-203691.569350047</v>
      </c>
      <c r="F9755" s="54" t="n">
        <f aca="false">(E9754+F9754)/8*Assumptions!$E$76-(F9747-F9746)-F9754*Assumptions!$E$93/4</f>
        <v>-188069.827237167</v>
      </c>
      <c r="G9755" s="54" t="n">
        <f aca="false">(F9754+G9754)/8*Assumptions!$E$76-(G9747-G9746)-G9754*Assumptions!$E$93/4</f>
        <v>-148869.040862933</v>
      </c>
      <c r="H9755" s="54" t="n">
        <f aca="false">(G9754+H9754)/8*Assumptions!$E$76-(H9747-H9746)-H9754*Assumptions!$E$93/4</f>
        <v>-92623.4295069225</v>
      </c>
      <c r="I9755" s="54" t="n">
        <f aca="false">(H9754+I9754)/8*Assumptions!$E$76-(I9747-I9746)-I9754*Assumptions!$E$93/4</f>
        <v>-117253.449108901</v>
      </c>
      <c r="J9755" s="54" t="n">
        <f aca="false">(I9754+J9754)/8*Assumptions!$E$76-(J9747-J9746)-J9754*Assumptions!$E$93/4</f>
        <v>-67394.3203175669</v>
      </c>
      <c r="K9755" s="54" t="n">
        <f aca="false">(J9754+K9754)/8*Assumptions!$E$76-(K9747-K9746)-K9754*Assumptions!$E$93/4</f>
        <v>-62653.1593654599</v>
      </c>
      <c r="L9755" s="54" t="n">
        <f aca="false">(K9754+L9754)/8*Assumptions!$E$76-(L9747-L9746)-L9754*Assumptions!$E$93/4</f>
        <v>-41144.9341387376</v>
      </c>
      <c r="M9755" s="54" t="n">
        <f aca="false">(L9754+M9754)/8*Assumptions!$E$76-(M9747-M9746)-M9754*Assumptions!$E$93/4</f>
        <v>-6257.95710418343</v>
      </c>
      <c r="N9755" s="54" t="n">
        <f aca="false">(M9754+N9754)/8*Assumptions!$E$76-(N9747-N9746)-N9754*Assumptions!$E$93/4</f>
        <v>30215.4390719161</v>
      </c>
      <c r="P9755" s="55" t="n">
        <f aca="false">SUM(C9755:F9755)</f>
        <v>-860531.805669677</v>
      </c>
      <c r="Q9755" s="55" t="n">
        <f aca="false">SUM(G9755:J9755)</f>
        <v>-426140.239796324</v>
      </c>
      <c r="R9755" s="55" t="n">
        <f aca="false">SUM(K9755:N9755)</f>
        <v>-79840.6115364649</v>
      </c>
      <c r="S9755" s="56" t="n">
        <f aca="false">SUM(P9755:R9755)</f>
        <v>-1366512.65700247</v>
      </c>
    </row>
    <row r="9756" customFormat="false" ht="15" hidden="false" customHeight="false" outlineLevel="0" collapsed="false">
      <c r="A9756" s="4" t="s">
        <v>575</v>
      </c>
      <c r="B9756" s="36" t="s">
        <v>125</v>
      </c>
      <c r="C9756" s="54" t="n">
        <f aca="false">C9755*C9751</f>
        <v>-252988.586859998</v>
      </c>
      <c r="D9756" s="54" t="n">
        <f aca="false">D9755*D9751</f>
        <v>-197024.944407205</v>
      </c>
      <c r="E9756" s="54" t="n">
        <f aca="false">E9755*E9751</f>
        <v>-187093.860888786</v>
      </c>
      <c r="F9756" s="54" t="n">
        <f aca="false">F9755*F9751</f>
        <v>-167919.488604613</v>
      </c>
      <c r="G9756" s="54" t="n">
        <f aca="false">G9755*G9751</f>
        <v>-129205.756130755</v>
      </c>
      <c r="H9756" s="54" t="n">
        <f aca="false">H9755*H9751</f>
        <v>-78143.6734863644</v>
      </c>
      <c r="I9756" s="54" t="n">
        <f aca="false">I9755*I9751</f>
        <v>-96159.918603154</v>
      </c>
      <c r="J9756" s="54" t="n">
        <f aca="false">J9755*J9751</f>
        <v>-53726.3395388767</v>
      </c>
      <c r="K9756" s="54" t="n">
        <f aca="false">K9755*K9751</f>
        <v>-48551.4745932223</v>
      </c>
      <c r="L9756" s="54" t="n">
        <f aca="false">L9755*L9751</f>
        <v>-30993.549403594</v>
      </c>
      <c r="M9756" s="54" t="n">
        <f aca="false">M9755*M9751</f>
        <v>-4582.29473306984</v>
      </c>
      <c r="N9756" s="54" t="n">
        <f aca="false">N9755*N9751</f>
        <v>21506.7527103994</v>
      </c>
      <c r="P9756" s="55" t="n">
        <f aca="false">SUM(C9756:F9756)</f>
        <v>-805026.880760603</v>
      </c>
      <c r="Q9756" s="55" t="n">
        <f aca="false">SUM(G9756:J9756)</f>
        <v>-357235.687759151</v>
      </c>
      <c r="R9756" s="55" t="n">
        <f aca="false">SUM(K9756:N9756)</f>
        <v>-62620.5660194867</v>
      </c>
      <c r="S9756" s="56" t="n">
        <f aca="false">SUM(P9756:R9756)</f>
        <v>-1224883.13453924</v>
      </c>
    </row>
    <row r="9757" customFormat="false" ht="15" hidden="false" customHeight="false" outlineLevel="0" collapsed="false">
      <c r="A9757" s="4" t="s">
        <v>576</v>
      </c>
      <c r="B9757" s="36"/>
      <c r="C9757" s="37" t="n">
        <f aca="false">IFERROR((S9712*$C$9661*Assumptions!$E$59+S9713*$C$9662*Assumptions!$E$60+S9714*$C$9663*Assumptions!$E$61)/(S9712*$C$9661+S9713*$C$9662+S9714*$C$9663),0.9)</f>
        <v>0.902824737458977</v>
      </c>
    </row>
    <row r="9758" customFormat="false" ht="15" hidden="false" customHeight="false" outlineLevel="0" collapsed="false">
      <c r="A9758" s="4" t="s">
        <v>577</v>
      </c>
      <c r="B9758" s="36"/>
      <c r="C9758" s="37" t="n">
        <f aca="false">IFERROR(N9746*4/N9724,0)</f>
        <v>0.091037327662826</v>
      </c>
    </row>
    <row r="9759" customFormat="false" ht="15" hidden="false" customHeight="false" outlineLevel="0" collapsed="false">
      <c r="A9759" s="4" t="s">
        <v>578</v>
      </c>
      <c r="B9759" s="36"/>
      <c r="C9759" s="60" t="n">
        <f aca="false">$C$9757/(1+Assumptions!$E$87)</f>
        <v>0.806093515588372</v>
      </c>
    </row>
    <row r="9760" customFormat="false" ht="15" hidden="false" customHeight="false" outlineLevel="0" collapsed="false">
      <c r="A9760" s="4" t="s">
        <v>579</v>
      </c>
      <c r="B9760" s="36"/>
      <c r="C9760" s="60" t="n">
        <f aca="false">Assumptions!$E$91/(1+Assumptions!$E$87)</f>
        <v>0.803571428571429</v>
      </c>
    </row>
    <row r="9761" customFormat="false" ht="15" hidden="false" customHeight="false" outlineLevel="0" collapsed="false">
      <c r="A9761" s="35" t="s">
        <v>580</v>
      </c>
      <c r="B9761" s="35" t="s">
        <v>444</v>
      </c>
      <c r="C9761" s="6" t="s">
        <v>354</v>
      </c>
      <c r="D9761" s="6" t="s">
        <v>355</v>
      </c>
      <c r="E9761" s="6" t="s">
        <v>356</v>
      </c>
      <c r="F9761" s="6" t="s">
        <v>357</v>
      </c>
      <c r="G9761" s="6" t="s">
        <v>358</v>
      </c>
      <c r="H9761" s="6" t="s">
        <v>359</v>
      </c>
      <c r="I9761" s="6" t="s">
        <v>360</v>
      </c>
      <c r="J9761" s="6" t="s">
        <v>361</v>
      </c>
      <c r="K9761" s="6" t="s">
        <v>362</v>
      </c>
      <c r="L9761" s="6" t="s">
        <v>363</v>
      </c>
      <c r="M9761" s="6" t="s">
        <v>364</v>
      </c>
      <c r="N9761" s="6" t="s">
        <v>365</v>
      </c>
      <c r="P9761" s="6" t="s">
        <v>445</v>
      </c>
      <c r="Q9761" s="6" t="s">
        <v>446</v>
      </c>
      <c r="R9761" s="6" t="s">
        <v>447</v>
      </c>
      <c r="S9761" s="6" t="s">
        <v>448</v>
      </c>
    </row>
    <row r="9762" customFormat="false" ht="15" hidden="false" customHeight="false" outlineLevel="0" collapsed="false">
      <c r="A9762" s="9" t="s">
        <v>581</v>
      </c>
      <c r="C9762" s="61" t="n">
        <f aca="false">N9724</f>
        <v>1406753.17811824</v>
      </c>
      <c r="D9762" s="61"/>
    </row>
    <row r="9763" customFormat="false" ht="15" hidden="false" customHeight="false" outlineLevel="0" collapsed="false">
      <c r="A9763" s="9" t="s">
        <v>582</v>
      </c>
      <c r="C9763" s="62" t="n">
        <f aca="false">N9720</f>
        <v>70.7544272202844</v>
      </c>
      <c r="D9763" s="62"/>
    </row>
    <row r="9764" customFormat="false" ht="15" hidden="false" customHeight="false" outlineLevel="0" collapsed="false">
      <c r="A9764" s="9" t="s">
        <v>583</v>
      </c>
      <c r="C9764" s="63" t="n">
        <f aca="false">S9715</f>
        <v>78.2130278037053</v>
      </c>
      <c r="D9764" s="63"/>
    </row>
    <row r="9765" customFormat="false" ht="15" hidden="false" customHeight="false" outlineLevel="0" collapsed="false">
      <c r="A9765" s="9" t="s">
        <v>584</v>
      </c>
      <c r="C9765" s="61" t="n">
        <f aca="false">S9726</f>
        <v>1359873.47599663</v>
      </c>
      <c r="D9765" s="61"/>
    </row>
    <row r="9766" customFormat="false" ht="15" hidden="false" customHeight="false" outlineLevel="0" collapsed="false">
      <c r="A9766" s="9" t="s">
        <v>22</v>
      </c>
      <c r="C9766" s="61" t="n">
        <f aca="false">IFERROR(S9725/S9715,0)</f>
        <v>16835.7466499909</v>
      </c>
      <c r="D9766" s="61"/>
    </row>
    <row r="9767" customFormat="false" ht="15" hidden="false" customHeight="false" outlineLevel="0" collapsed="false">
      <c r="A9767" s="9" t="s">
        <v>585</v>
      </c>
      <c r="C9767" s="61" t="n">
        <f aca="false">IFERROR(S9743/S9715,0)</f>
        <v>34796.782496813</v>
      </c>
      <c r="D9767" s="61"/>
    </row>
    <row r="9768" customFormat="false" ht="23.85" hidden="false" customHeight="false" outlineLevel="0" collapsed="false">
      <c r="A9768" s="9" t="s">
        <v>586</v>
      </c>
      <c r="C9768" s="61" t="n">
        <f aca="false">IFERROR((S9737+S9739+S9740+S9741+S9742)/S9715,0)</f>
        <v>18306.3346345995</v>
      </c>
      <c r="D9768" s="61"/>
    </row>
    <row r="9769" customFormat="false" ht="15" hidden="false" customHeight="false" outlineLevel="0" collapsed="false">
      <c r="A9769" s="9" t="s">
        <v>587</v>
      </c>
      <c r="C9769" s="64" t="n">
        <f aca="false">IFERROR('Engine Runs'!$C$9767/('Engine Runs'!$C$9766*Assumptions!$E$76/12),0)</f>
        <v>38.1570328752274</v>
      </c>
      <c r="D9769" s="64"/>
    </row>
    <row r="9770" customFormat="false" ht="15" hidden="false" customHeight="false" outlineLevel="0" collapsed="false">
      <c r="A9770" s="9" t="s">
        <v>588</v>
      </c>
      <c r="C9770" s="64" t="n">
        <f aca="false">IFERROR((R9743/R9715)/((R9725/R9715)*Assumptions!$E$76/12),0)</f>
        <v>27.5673027399014</v>
      </c>
      <c r="D9770" s="64"/>
    </row>
    <row r="9771" customFormat="false" ht="15" hidden="false" customHeight="false" outlineLevel="0" collapsed="false">
      <c r="A9771" s="9" t="s">
        <v>589</v>
      </c>
      <c r="C9771" s="61" t="n">
        <f aca="false">S9747</f>
        <v>3571926.25321766</v>
      </c>
      <c r="D9771" s="61"/>
    </row>
    <row r="9772" customFormat="false" ht="15" hidden="false" customHeight="false" outlineLevel="0" collapsed="false">
      <c r="A9772" s="9" t="s">
        <v>590</v>
      </c>
      <c r="C9772" s="61" t="n">
        <f aca="false">N9750</f>
        <v>-2688008.49381985</v>
      </c>
      <c r="D9772" s="61"/>
    </row>
    <row r="9773" customFormat="false" ht="15" hidden="false" customHeight="false" outlineLevel="0" collapsed="false">
      <c r="A9773" s="9" t="s">
        <v>591</v>
      </c>
      <c r="C9773" s="61" t="n">
        <f aca="false">MIN($C$9750:$N$9750)</f>
        <v>-2688008.49381985</v>
      </c>
      <c r="D9773" s="61"/>
    </row>
    <row r="9774" customFormat="false" ht="15" hidden="false" customHeight="false" outlineLevel="0" collapsed="false">
      <c r="A9774" s="9" t="s">
        <v>592</v>
      </c>
      <c r="C9774" s="61" t="n">
        <f aca="false">N9724*(Assumptions!$E$76-$C$9758)*$C$9757*(1-$C$9757^Assumptions!$E$85)/(1-$C$9757)</f>
        <v>2923542.09573007</v>
      </c>
      <c r="D9774" s="61"/>
    </row>
    <row r="9775" customFormat="false" ht="15" hidden="false" customHeight="false" outlineLevel="0" collapsed="false">
      <c r="A9775" s="9" t="s">
        <v>593</v>
      </c>
      <c r="C9775" s="61" t="n">
        <f aca="false">N9724*(Assumptions!$E$76-$C$9758)*(1-Assumptions!$E$88)/(1+Assumptions!$E$87)^2.5*$C$9759*(1-$C$9759^Assumptions!$E$85)/(1-$C$9759)</f>
        <v>1299426.11330278</v>
      </c>
      <c r="D9775" s="61"/>
    </row>
    <row r="9776" customFormat="false" ht="15" hidden="false" customHeight="false" outlineLevel="0" collapsed="false">
      <c r="A9776" s="9" t="s">
        <v>594</v>
      </c>
      <c r="C9776" s="61" t="n">
        <f aca="false">SUM($C$9752:$N$9752)+'Engine Runs'!$C$9775</f>
        <v>-1118448.26427541</v>
      </c>
      <c r="D9776" s="61"/>
    </row>
    <row r="9777" customFormat="false" ht="15" hidden="false" customHeight="false" outlineLevel="0" collapsed="false">
      <c r="A9777" s="9" t="s">
        <v>595</v>
      </c>
      <c r="C9777" s="61" t="n">
        <f aca="false">SUM($C$9756:$N$9756)+N9754*(Assumptions!$E$76-Assumptions!$E$93)/(1+Assumptions!$E$87)^2.5*$C$9760*(1-$C$9760^Assumptions!$E$85)/(1-$C$9760)</f>
        <v>1727963.66863796</v>
      </c>
      <c r="D9777" s="61"/>
    </row>
    <row r="9778" customFormat="false" ht="15" hidden="false" customHeight="false" outlineLevel="0" collapsed="false">
      <c r="A9778" s="9" t="s">
        <v>596</v>
      </c>
      <c r="C9778" s="61" t="n">
        <f aca="false">'Engine Runs'!$C$9776-'Engine Runs'!$C$9777</f>
        <v>-2846411.93291337</v>
      </c>
      <c r="D9778" s="61"/>
    </row>
    <row r="9779" customFormat="false" ht="15" hidden="false" customHeight="false" outlineLevel="0" collapsed="false">
      <c r="A9779" s="9" t="s">
        <v>597</v>
      </c>
      <c r="C9779" s="61" t="n">
        <f aca="false">S9711</f>
        <v>0</v>
      </c>
      <c r="D9779" s="61"/>
    </row>
    <row r="9780" customFormat="false" ht="15" hidden="false" customHeight="false" outlineLevel="0" collapsed="false">
      <c r="A9780" s="9" t="s">
        <v>598</v>
      </c>
      <c r="C9780" s="63" t="n">
        <f aca="false">P9695</f>
        <v>43.6188722246667</v>
      </c>
      <c r="D9780" s="63"/>
    </row>
    <row r="9781" customFormat="false" ht="15" hidden="false" customHeight="false" outlineLevel="0" collapsed="false">
      <c r="A9781" s="9" t="s">
        <v>599</v>
      </c>
      <c r="C9781" s="63" t="n">
        <f aca="false">P9715</f>
        <v>8.83229864212342</v>
      </c>
      <c r="D9781" s="63"/>
    </row>
    <row r="9782" customFormat="false" ht="15" hidden="false" customHeight="false" outlineLevel="0" collapsed="false">
      <c r="A9782" s="9" t="s">
        <v>600</v>
      </c>
      <c r="C9782" s="63" t="n">
        <f aca="false">P9691</f>
        <v>42</v>
      </c>
      <c r="D9782" s="63"/>
    </row>
    <row r="9783" customFormat="false" ht="15" hidden="false" customHeight="false" outlineLevel="0" collapsed="false">
      <c r="A9783" s="9" t="s">
        <v>601</v>
      </c>
      <c r="C9783" s="61" t="n">
        <f aca="false">IFERROR(P9725/P9715,0)</f>
        <v>16181.5777383201</v>
      </c>
      <c r="D9783" s="61"/>
    </row>
    <row r="9786" customFormat="false" ht="15" hidden="false" customHeight="true" outlineLevel="0" collapsed="false">
      <c r="A9786" s="78" t="s">
        <v>951</v>
      </c>
      <c r="B9786" s="78"/>
      <c r="C9786" s="78"/>
      <c r="D9786" s="78"/>
      <c r="E9786" s="78"/>
      <c r="F9786" s="78"/>
      <c r="G9786" s="78"/>
      <c r="H9786" s="78"/>
      <c r="I9786" s="78"/>
      <c r="J9786" s="78"/>
      <c r="K9786" s="78"/>
      <c r="L9786" s="78"/>
      <c r="M9786" s="78"/>
      <c r="N9786" s="78"/>
    </row>
    <row r="9787" customFormat="false" ht="15" hidden="false" customHeight="true" outlineLevel="0" collapsed="false">
      <c r="A9787" s="79" t="s">
        <v>952</v>
      </c>
      <c r="B9787" s="79"/>
      <c r="C9787" s="79"/>
      <c r="D9787" s="79"/>
      <c r="E9787" s="79"/>
      <c r="F9787" s="79"/>
      <c r="G9787" s="79"/>
      <c r="H9787" s="79"/>
      <c r="I9787" s="79"/>
      <c r="J9787" s="79"/>
      <c r="K9787" s="79"/>
      <c r="L9787" s="79"/>
      <c r="M9787" s="79"/>
      <c r="N9787" s="79"/>
    </row>
    <row r="9788" customFormat="false" ht="15" hidden="false" customHeight="false" outlineLevel="0" collapsed="false">
      <c r="A9788" s="35" t="s">
        <v>953</v>
      </c>
      <c r="B9788" s="35" t="s">
        <v>444</v>
      </c>
      <c r="C9788" s="6" t="s">
        <v>354</v>
      </c>
      <c r="D9788" s="6" t="s">
        <v>355</v>
      </c>
      <c r="E9788" s="6" t="s">
        <v>356</v>
      </c>
      <c r="F9788" s="6" t="s">
        <v>357</v>
      </c>
      <c r="G9788" s="6" t="s">
        <v>358</v>
      </c>
      <c r="H9788" s="6" t="s">
        <v>359</v>
      </c>
      <c r="I9788" s="6" t="s">
        <v>360</v>
      </c>
      <c r="J9788" s="6" t="s">
        <v>361</v>
      </c>
      <c r="K9788" s="6" t="s">
        <v>362</v>
      </c>
      <c r="L9788" s="6" t="s">
        <v>363</v>
      </c>
      <c r="M9788" s="6" t="s">
        <v>364</v>
      </c>
      <c r="N9788" s="6" t="s">
        <v>365</v>
      </c>
      <c r="P9788" s="6" t="s">
        <v>445</v>
      </c>
      <c r="Q9788" s="6" t="s">
        <v>446</v>
      </c>
      <c r="R9788" s="6" t="s">
        <v>447</v>
      </c>
      <c r="S9788" s="6" t="s">
        <v>448</v>
      </c>
    </row>
    <row r="9789" customFormat="false" ht="15" hidden="false" customHeight="false" outlineLevel="0" collapsed="false">
      <c r="A9789" s="4" t="s">
        <v>449</v>
      </c>
      <c r="B9789" s="36" t="s">
        <v>450</v>
      </c>
      <c r="C9789" s="34" t="n">
        <f aca="false">'Market Sizing'!$C$17*Assumptions!$E$10*Assumptions!$E$11*(1-Assumptions!$E$12)</f>
        <v>843.03944704</v>
      </c>
    </row>
    <row r="9790" customFormat="false" ht="15" hidden="false" customHeight="false" outlineLevel="0" collapsed="false">
      <c r="A9790" s="4" t="s">
        <v>451</v>
      </c>
      <c r="B9790" s="36" t="s">
        <v>450</v>
      </c>
      <c r="C9790" s="34" t="n">
        <f aca="false">'Market Sizing'!$D$17*Assumptions!$E$10*Assumptions!$E$11*(1-Assumptions!$E$12)</f>
        <v>211.19616</v>
      </c>
    </row>
    <row r="9791" customFormat="false" ht="15" hidden="false" customHeight="false" outlineLevel="0" collapsed="false">
      <c r="A9791" s="4" t="s">
        <v>452</v>
      </c>
      <c r="B9791" s="36" t="s">
        <v>450</v>
      </c>
      <c r="C9791" s="34" t="n">
        <f aca="false">'Market Sizing'!$E$17*Assumptions!$E$10*Assumptions!$E$11*(1-Assumptions!$E$12)</f>
        <v>49.53984</v>
      </c>
    </row>
    <row r="9792" customFormat="false" ht="15" hidden="false" customHeight="false" outlineLevel="0" collapsed="false">
      <c r="A9792" s="4" t="s">
        <v>453</v>
      </c>
      <c r="B9792" s="36"/>
      <c r="C9792" s="34" t="n">
        <f aca="false">$C$9789+$C$9790+$C$9791</f>
        <v>1103.77544704</v>
      </c>
    </row>
    <row r="9793" customFormat="false" ht="15" hidden="false" customHeight="false" outlineLevel="0" collapsed="false">
      <c r="A9793" s="4" t="s">
        <v>454</v>
      </c>
      <c r="B9793" s="36" t="s">
        <v>450</v>
      </c>
      <c r="C9793" s="34" t="n">
        <f aca="false">'Market Sizing'!$C$18*Assumptions!$E$10*Assumptions!$E$11*(1-Assumptions!$E$12)</f>
        <v>612.57706944</v>
      </c>
    </row>
    <row r="9794" customFormat="false" ht="15" hidden="false" customHeight="false" outlineLevel="0" collapsed="false">
      <c r="A9794" s="4" t="s">
        <v>455</v>
      </c>
      <c r="B9794" s="36" t="s">
        <v>450</v>
      </c>
      <c r="C9794" s="34" t="n">
        <f aca="false">'Market Sizing'!$D$18*Assumptions!$E$10*Assumptions!$E$11*(1-Assumptions!$E$12)</f>
        <v>142.10112</v>
      </c>
    </row>
    <row r="9795" customFormat="false" ht="15" hidden="false" customHeight="false" outlineLevel="0" collapsed="false">
      <c r="A9795" s="4" t="s">
        <v>456</v>
      </c>
      <c r="B9795" s="36" t="s">
        <v>450</v>
      </c>
      <c r="C9795" s="34" t="n">
        <f aca="false">'Market Sizing'!$E$18*Assumptions!$E$10*Assumptions!$E$11*(1-Assumptions!$E$12)</f>
        <v>24.76992</v>
      </c>
    </row>
    <row r="9796" customFormat="false" ht="15" hidden="false" customHeight="false" outlineLevel="0" collapsed="false">
      <c r="A9796" s="4" t="s">
        <v>457</v>
      </c>
      <c r="B9796" s="36"/>
      <c r="C9796" s="34" t="n">
        <f aca="false">$C$9793+$C$9794+$C$9795</f>
        <v>779.44810944</v>
      </c>
    </row>
    <row r="9797" customFormat="false" ht="15" hidden="false" customHeight="false" outlineLevel="0" collapsed="false">
      <c r="A9797" s="4" t="s">
        <v>458</v>
      </c>
      <c r="B9797" s="36" t="s">
        <v>450</v>
      </c>
      <c r="C9797" s="34" t="n">
        <f aca="false">'Market Sizing'!$C$19*Assumptions!$E$10*Assumptions!$E$11*(1-Assumptions!$E$12)</f>
        <v>2060.77303936</v>
      </c>
    </row>
    <row r="9798" customFormat="false" ht="15" hidden="false" customHeight="false" outlineLevel="0" collapsed="false">
      <c r="A9798" s="4" t="s">
        <v>459</v>
      </c>
      <c r="B9798" s="36" t="s">
        <v>450</v>
      </c>
      <c r="C9798" s="34" t="n">
        <f aca="false">'Market Sizing'!$D$19*Assumptions!$E$10*Assumptions!$E$11*(1-Assumptions!$E$12)</f>
        <v>428.47616</v>
      </c>
    </row>
    <row r="9799" customFormat="false" ht="15" hidden="false" customHeight="false" outlineLevel="0" collapsed="false">
      <c r="A9799" s="4" t="s">
        <v>460</v>
      </c>
      <c r="B9799" s="36" t="s">
        <v>450</v>
      </c>
      <c r="C9799" s="34" t="n">
        <f aca="false">'Market Sizing'!$E$19*Assumptions!$E$10*Assumptions!$E$11*(1-Assumptions!$E$12)</f>
        <v>79.52448</v>
      </c>
    </row>
    <row r="9800" customFormat="false" ht="15" hidden="false" customHeight="false" outlineLevel="0" collapsed="false">
      <c r="A9800" s="4" t="s">
        <v>461</v>
      </c>
      <c r="B9800" s="36"/>
      <c r="C9800" s="34" t="n">
        <f aca="false">$C$9797+$C$9798+$C$9799</f>
        <v>2568.77367936</v>
      </c>
    </row>
    <row r="9801" customFormat="false" ht="15" hidden="false" customHeight="false" outlineLevel="0" collapsed="false">
      <c r="A9801" s="4" t="s">
        <v>462</v>
      </c>
      <c r="B9801" s="36" t="s">
        <v>463</v>
      </c>
      <c r="C9801" s="33" t="n">
        <f aca="false">MAX((Assumptions!$E$51+Assumptions!$E$53)*12,(((('Market Sizing'!$E$25*Assumptions!$E$41*Assumptions!$E$42*0.75)*Assumptions!$E$44)*Assumptions!$E$45*Assumptions!$E$46+('Market Sizing'!$E$25*Assumptions!$E$41*Assumptions!$E$42*0.75)*Assumptions!$E$47+('Market Sizing'!$E$25*Assumptions!$E$41*Assumptions!$E$42*0.75)*Assumptions!$E$48*Assumptions!$E$49)*(Assumptions!$E$51*12/Assumptions!$E$52)+((('Market Sizing'!$E$25*Assumptions!$E$41*Assumptions!$E$42*0.75)*Assumptions!$E$44)*Assumptions!$E$45+('Market Sizing'!$E$25*Assumptions!$E$41*Assumptions!$E$42*0.75)+('Market Sizing'!$E$25*Assumptions!$E$41*Assumptions!$E$42*0.75)*Assumptions!$E$48)*Assumptions!$E$50*(Assumptions!$E$53*12/Assumptions!$E$54)))</f>
        <v>5352</v>
      </c>
    </row>
    <row r="9802" customFormat="false" ht="15" hidden="false" customHeight="false" outlineLevel="0" collapsed="false">
      <c r="A9802" s="4" t="s">
        <v>464</v>
      </c>
      <c r="B9802" s="36" t="s">
        <v>463</v>
      </c>
      <c r="C9802" s="33" t="n">
        <f aca="false">MAX((Assumptions!$E$51+Assumptions!$E$53)*12,(((('Market Sizing'!$E$26*Assumptions!$E$41*Assumptions!$E$42*0.75)*Assumptions!$E$44)*Assumptions!$E$45*Assumptions!$E$46+('Market Sizing'!$E$26*Assumptions!$E$41*Assumptions!$E$42*0.75)*Assumptions!$E$47+('Market Sizing'!$E$26*Assumptions!$E$41*Assumptions!$E$42*0.75)*Assumptions!$E$48*Assumptions!$E$49)*(Assumptions!$E$51*12/Assumptions!$E$52)+((('Market Sizing'!$E$26*Assumptions!$E$41*Assumptions!$E$42*0.75)*Assumptions!$E$44)*Assumptions!$E$45+('Market Sizing'!$E$26*Assumptions!$E$41*Assumptions!$E$42*0.75)+('Market Sizing'!$E$26*Assumptions!$E$41*Assumptions!$E$42*0.75)*Assumptions!$E$48)*Assumptions!$E$50*(Assumptions!$E$53*12/Assumptions!$E$54)))</f>
        <v>7325.04009656406</v>
      </c>
    </row>
    <row r="9803" customFormat="false" ht="15" hidden="false" customHeight="false" outlineLevel="0" collapsed="false">
      <c r="A9803" s="4" t="s">
        <v>465</v>
      </c>
      <c r="B9803" s="36" t="s">
        <v>463</v>
      </c>
      <c r="C9803" s="33" t="n">
        <f aca="false">MAX(Assumptions!$E$55*(Assumptions!$E$51*12/Assumptions!$E$52)+Assumptions!$E$56*(Assumptions!$E$53*12/Assumptions!$E$54),(((('Market Sizing'!$E$27*Assumptions!$E$41*Assumptions!$E$42*0.75)*Assumptions!$E$44)*Assumptions!$E$45*Assumptions!$E$46+('Market Sizing'!$E$27*Assumptions!$E$41*Assumptions!$E$42*0.75)*Assumptions!$E$47+('Market Sizing'!$E$27*Assumptions!$E$41*Assumptions!$E$42*0.75)*Assumptions!$E$48*Assumptions!$E$49)*(Assumptions!$E$51*12/Assumptions!$E$52)+((('Market Sizing'!$E$27*Assumptions!$E$41*Assumptions!$E$42*0.75)*Assumptions!$E$44)*Assumptions!$E$45+('Market Sizing'!$E$27*Assumptions!$E$41*Assumptions!$E$42*0.75)+('Market Sizing'!$E$27*Assumptions!$E$41*Assumptions!$E$42*0.75)*Assumptions!$E$48)*Assumptions!$E$50*(Assumptions!$E$53*12/Assumptions!$E$54)))*(1-Assumptions!$E$57)</f>
        <v>46333.6921645789</v>
      </c>
    </row>
    <row r="9804" customFormat="false" ht="23.85" hidden="false" customHeight="false" outlineLevel="0" collapsed="false">
      <c r="A9804" s="4" t="s">
        <v>466</v>
      </c>
      <c r="B9804" s="36" t="s">
        <v>467</v>
      </c>
      <c r="C9804" s="37" t="n">
        <f aca="false">Assumptions!$E$17*Assumptions!$D$106</f>
        <v>0.4</v>
      </c>
    </row>
    <row r="9805" customFormat="false" ht="23.85" hidden="false" customHeight="false" outlineLevel="0" collapsed="false">
      <c r="A9805" s="4" t="s">
        <v>468</v>
      </c>
      <c r="B9805" s="36" t="s">
        <v>469</v>
      </c>
      <c r="C9805" s="33" t="n">
        <f aca="false">Assumptions!$E$68/Assumptions!$E$69</f>
        <v>285714.285714286</v>
      </c>
    </row>
    <row r="9806" customFormat="false" ht="23.85" hidden="false" customHeight="false" outlineLevel="0" collapsed="false">
      <c r="A9806" s="4" t="s">
        <v>470</v>
      </c>
      <c r="B9806" s="36" t="s">
        <v>471</v>
      </c>
      <c r="C9806" s="33" t="n">
        <f aca="false">Assumptions!$E$66*Assumptions!$E$67/4</f>
        <v>153125</v>
      </c>
    </row>
    <row r="9807" customFormat="false" ht="15" hidden="false" customHeight="false" outlineLevel="0" collapsed="false">
      <c r="A9807" s="4" t="s">
        <v>472</v>
      </c>
      <c r="B9807" s="36"/>
      <c r="C9807" s="38" t="n">
        <f aca="false">$C$9805/Assumptions!$E$66/Assumptions!$E$67</f>
        <v>0.466472303206997</v>
      </c>
    </row>
    <row r="9808" customFormat="false" ht="15" hidden="false" customHeight="false" outlineLevel="0" collapsed="false">
      <c r="A9808" s="4" t="s">
        <v>473</v>
      </c>
      <c r="B9808" s="36"/>
      <c r="C9808" s="33" t="n">
        <f aca="false">MAX(0,Assumptions!$D$103-Assumptions!$E$78)</f>
        <v>0</v>
      </c>
    </row>
    <row r="9809" customFormat="false" ht="15" hidden="false" customHeight="false" outlineLevel="0" collapsed="false">
      <c r="A9809" s="35" t="s">
        <v>474</v>
      </c>
      <c r="B9809" s="35" t="s">
        <v>444</v>
      </c>
      <c r="C9809" s="6" t="s">
        <v>354</v>
      </c>
      <c r="D9809" s="6" t="s">
        <v>355</v>
      </c>
      <c r="E9809" s="6" t="s">
        <v>356</v>
      </c>
      <c r="F9809" s="6" t="s">
        <v>357</v>
      </c>
      <c r="G9809" s="6" t="s">
        <v>358</v>
      </c>
      <c r="H9809" s="6" t="s">
        <v>359</v>
      </c>
      <c r="I9809" s="6" t="s">
        <v>360</v>
      </c>
      <c r="J9809" s="6" t="s">
        <v>361</v>
      </c>
      <c r="K9809" s="6" t="s">
        <v>362</v>
      </c>
      <c r="L9809" s="6" t="s">
        <v>363</v>
      </c>
      <c r="M9809" s="6" t="s">
        <v>364</v>
      </c>
      <c r="N9809" s="6" t="s">
        <v>365</v>
      </c>
      <c r="P9809" s="6" t="s">
        <v>445</v>
      </c>
      <c r="Q9809" s="6" t="s">
        <v>446</v>
      </c>
      <c r="R9809" s="6" t="s">
        <v>447</v>
      </c>
      <c r="S9809" s="6" t="s">
        <v>448</v>
      </c>
    </row>
    <row r="9810" customFormat="false" ht="15" hidden="false" customHeight="false" outlineLevel="0" collapsed="false">
      <c r="A9810" s="4" t="s">
        <v>475</v>
      </c>
      <c r="B9810" s="36" t="s">
        <v>133</v>
      </c>
      <c r="C9810" s="39" t="n">
        <v>1</v>
      </c>
      <c r="D9810" s="39" t="n">
        <v>2</v>
      </c>
      <c r="E9810" s="39" t="n">
        <v>3</v>
      </c>
      <c r="F9810" s="39" t="n">
        <v>4</v>
      </c>
      <c r="G9810" s="39" t="n">
        <v>5</v>
      </c>
      <c r="H9810" s="39" t="n">
        <v>6</v>
      </c>
      <c r="I9810" s="39" t="n">
        <v>7</v>
      </c>
      <c r="J9810" s="39" t="n">
        <v>8</v>
      </c>
      <c r="K9810" s="39" t="n">
        <v>9</v>
      </c>
      <c r="L9810" s="39" t="n">
        <v>10</v>
      </c>
      <c r="M9810" s="39" t="n">
        <v>11</v>
      </c>
      <c r="N9810" s="39" t="n">
        <v>12</v>
      </c>
      <c r="P9810" s="40"/>
      <c r="Q9810" s="40"/>
      <c r="R9810" s="40"/>
      <c r="S9810" s="41"/>
    </row>
    <row r="9811" customFormat="false" ht="15" hidden="false" customHeight="false" outlineLevel="0" collapsed="false">
      <c r="A9811" s="4" t="s">
        <v>476</v>
      </c>
      <c r="B9811" s="36" t="s">
        <v>343</v>
      </c>
      <c r="C9811" s="39" t="n">
        <f aca="false">IF(C9810&lt;=Assumptions!$E$84,1,0)</f>
        <v>1</v>
      </c>
      <c r="D9811" s="39" t="n">
        <f aca="false">IF(D9810&lt;=Assumptions!$E$84,1,0)</f>
        <v>1</v>
      </c>
      <c r="E9811" s="39" t="n">
        <f aca="false">IF(E9810&lt;=Assumptions!$E$84,1,0)</f>
        <v>1</v>
      </c>
      <c r="F9811" s="39" t="n">
        <f aca="false">IF(F9810&lt;=Assumptions!$E$84,1,0)</f>
        <v>1</v>
      </c>
      <c r="G9811" s="39" t="n">
        <f aca="false">IF(G9810&lt;=Assumptions!$E$84,1,0)</f>
        <v>1</v>
      </c>
      <c r="H9811" s="39" t="n">
        <f aca="false">IF(H9810&lt;=Assumptions!$E$84,1,0)</f>
        <v>1</v>
      </c>
      <c r="I9811" s="39" t="n">
        <f aca="false">IF(I9810&lt;=Assumptions!$E$84,1,0)</f>
        <v>1</v>
      </c>
      <c r="J9811" s="39" t="n">
        <f aca="false">IF(J9810&lt;=Assumptions!$E$84,1,0)</f>
        <v>1</v>
      </c>
      <c r="K9811" s="39" t="n">
        <f aca="false">IF(K9810&lt;=Assumptions!$E$84,1,0)</f>
        <v>1</v>
      </c>
      <c r="L9811" s="39" t="n">
        <f aca="false">IF(L9810&lt;=Assumptions!$E$84,1,0)</f>
        <v>1</v>
      </c>
      <c r="M9811" s="39" t="n">
        <f aca="false">IF(M9810&lt;=Assumptions!$E$84,1,0)</f>
        <v>1</v>
      </c>
      <c r="N9811" s="39" t="n">
        <f aca="false">IF(N9810&lt;=Assumptions!$E$84,1,0)</f>
        <v>1</v>
      </c>
      <c r="P9811" s="40"/>
      <c r="Q9811" s="40"/>
      <c r="R9811" s="40"/>
      <c r="S9811" s="41"/>
    </row>
    <row r="9812" customFormat="false" ht="15" hidden="false" customHeight="false" outlineLevel="0" collapsed="false">
      <c r="A9812" s="4" t="s">
        <v>477</v>
      </c>
      <c r="B9812" s="36" t="s">
        <v>478</v>
      </c>
      <c r="C9812" s="42" t="n">
        <f aca="false">IF(C9810=Assumptions!$E$13,0.5,IF(C9810&gt;Assumptions!$E$13,1,0))</f>
        <v>0.5</v>
      </c>
      <c r="D9812" s="42" t="n">
        <f aca="false">IF(D9810=Assumptions!$E$13,0.5,IF(D9810&gt;Assumptions!$E$13,1,0))</f>
        <v>1</v>
      </c>
      <c r="E9812" s="42" t="n">
        <f aca="false">IF(E9810=Assumptions!$E$13,0.5,IF(E9810&gt;Assumptions!$E$13,1,0))</f>
        <v>1</v>
      </c>
      <c r="F9812" s="42" t="n">
        <f aca="false">IF(F9810=Assumptions!$E$13,0.5,IF(F9810&gt;Assumptions!$E$13,1,0))</f>
        <v>1</v>
      </c>
      <c r="G9812" s="42" t="n">
        <f aca="false">IF(G9810=Assumptions!$E$13,0.5,IF(G9810&gt;Assumptions!$E$13,1,0))</f>
        <v>1</v>
      </c>
      <c r="H9812" s="42" t="n">
        <f aca="false">IF(H9810=Assumptions!$E$13,0.5,IF(H9810&gt;Assumptions!$E$13,1,0))</f>
        <v>1</v>
      </c>
      <c r="I9812" s="42" t="n">
        <f aca="false">IF(I9810=Assumptions!$E$13,0.5,IF(I9810&gt;Assumptions!$E$13,1,0))</f>
        <v>1</v>
      </c>
      <c r="J9812" s="42" t="n">
        <f aca="false">IF(J9810=Assumptions!$E$13,0.5,IF(J9810&gt;Assumptions!$E$13,1,0))</f>
        <v>1</v>
      </c>
      <c r="K9812" s="42" t="n">
        <f aca="false">IF(K9810=Assumptions!$E$13,0.5,IF(K9810&gt;Assumptions!$E$13,1,0))</f>
        <v>1</v>
      </c>
      <c r="L9812" s="42" t="n">
        <f aca="false">IF(L9810=Assumptions!$E$13,0.5,IF(L9810&gt;Assumptions!$E$13,1,0))</f>
        <v>1</v>
      </c>
      <c r="M9812" s="42" t="n">
        <f aca="false">IF(M9810=Assumptions!$E$13,0.5,IF(M9810&gt;Assumptions!$E$13,1,0))</f>
        <v>1</v>
      </c>
      <c r="N9812" s="42" t="n">
        <f aca="false">IF(N9810=Assumptions!$E$13,0.5,IF(N9810&gt;Assumptions!$E$13,1,0))</f>
        <v>1</v>
      </c>
      <c r="P9812" s="43"/>
      <c r="Q9812" s="43"/>
      <c r="R9812" s="43"/>
      <c r="S9812" s="44"/>
    </row>
    <row r="9813" customFormat="false" ht="15" hidden="false" customHeight="false" outlineLevel="0" collapsed="false">
      <c r="A9813" s="4" t="s">
        <v>479</v>
      </c>
      <c r="B9813" s="36" t="s">
        <v>478</v>
      </c>
      <c r="C9813" s="42" t="n">
        <f aca="false">IF(C9810=Assumptions!$E$14,0.5,IF(C9810&gt;Assumptions!$E$14,1,0))</f>
        <v>0</v>
      </c>
      <c r="D9813" s="42" t="n">
        <f aca="false">IF(D9810=Assumptions!$E$14,0.5,IF(D9810&gt;Assumptions!$E$14,1,0))</f>
        <v>0</v>
      </c>
      <c r="E9813" s="42" t="n">
        <f aca="false">IF(E9810=Assumptions!$E$14,0.5,IF(E9810&gt;Assumptions!$E$14,1,0))</f>
        <v>0</v>
      </c>
      <c r="F9813" s="42" t="n">
        <f aca="false">IF(F9810=Assumptions!$E$14,0.5,IF(F9810&gt;Assumptions!$E$14,1,0))</f>
        <v>0</v>
      </c>
      <c r="G9813" s="42" t="n">
        <f aca="false">IF(G9810=Assumptions!$E$14,0.5,IF(G9810&gt;Assumptions!$E$14,1,0))</f>
        <v>0.5</v>
      </c>
      <c r="H9813" s="42" t="n">
        <f aca="false">IF(H9810=Assumptions!$E$14,0.5,IF(H9810&gt;Assumptions!$E$14,1,0))</f>
        <v>1</v>
      </c>
      <c r="I9813" s="42" t="n">
        <f aca="false">IF(I9810=Assumptions!$E$14,0.5,IF(I9810&gt;Assumptions!$E$14,1,0))</f>
        <v>1</v>
      </c>
      <c r="J9813" s="42" t="n">
        <f aca="false">IF(J9810=Assumptions!$E$14,0.5,IF(J9810&gt;Assumptions!$E$14,1,0))</f>
        <v>1</v>
      </c>
      <c r="K9813" s="42" t="n">
        <f aca="false">IF(K9810=Assumptions!$E$14,0.5,IF(K9810&gt;Assumptions!$E$14,1,0))</f>
        <v>1</v>
      </c>
      <c r="L9813" s="42" t="n">
        <f aca="false">IF(L9810=Assumptions!$E$14,0.5,IF(L9810&gt;Assumptions!$E$14,1,0))</f>
        <v>1</v>
      </c>
      <c r="M9813" s="42" t="n">
        <f aca="false">IF(M9810=Assumptions!$E$14,0.5,IF(M9810&gt;Assumptions!$E$14,1,0))</f>
        <v>1</v>
      </c>
      <c r="N9813" s="42" t="n">
        <f aca="false">IF(N9810=Assumptions!$E$14,0.5,IF(N9810&gt;Assumptions!$E$14,1,0))</f>
        <v>1</v>
      </c>
      <c r="P9813" s="43"/>
      <c r="Q9813" s="43"/>
      <c r="R9813" s="43"/>
      <c r="S9813" s="44"/>
    </row>
    <row r="9814" customFormat="false" ht="15" hidden="false" customHeight="false" outlineLevel="0" collapsed="false">
      <c r="A9814" s="4" t="s">
        <v>480</v>
      </c>
      <c r="B9814" s="36" t="s">
        <v>478</v>
      </c>
      <c r="C9814" s="42" t="n">
        <f aca="false">IF(C9810=Assumptions!$E$15,0.5,IF(C9810&gt;Assumptions!$E$15,1,0))</f>
        <v>0</v>
      </c>
      <c r="D9814" s="42" t="n">
        <f aca="false">IF(D9810=Assumptions!$E$15,0.5,IF(D9810&gt;Assumptions!$E$15,1,0))</f>
        <v>0</v>
      </c>
      <c r="E9814" s="42" t="n">
        <f aca="false">IF(E9810=Assumptions!$E$15,0.5,IF(E9810&gt;Assumptions!$E$15,1,0))</f>
        <v>0</v>
      </c>
      <c r="F9814" s="42" t="n">
        <f aca="false">IF(F9810=Assumptions!$E$15,0.5,IF(F9810&gt;Assumptions!$E$15,1,0))</f>
        <v>0</v>
      </c>
      <c r="G9814" s="42" t="n">
        <f aca="false">IF(G9810=Assumptions!$E$15,0.5,IF(G9810&gt;Assumptions!$E$15,1,0))</f>
        <v>0</v>
      </c>
      <c r="H9814" s="42" t="n">
        <f aca="false">IF(H9810=Assumptions!$E$15,0.5,IF(H9810&gt;Assumptions!$E$15,1,0))</f>
        <v>0</v>
      </c>
      <c r="I9814" s="42" t="n">
        <f aca="false">IF(I9810=Assumptions!$E$15,0.5,IF(I9810&gt;Assumptions!$E$15,1,0))</f>
        <v>0.5</v>
      </c>
      <c r="J9814" s="42" t="n">
        <f aca="false">IF(J9810=Assumptions!$E$15,0.5,IF(J9810&gt;Assumptions!$E$15,1,0))</f>
        <v>1</v>
      </c>
      <c r="K9814" s="42" t="n">
        <f aca="false">IF(K9810=Assumptions!$E$15,0.5,IF(K9810&gt;Assumptions!$E$15,1,0))</f>
        <v>1</v>
      </c>
      <c r="L9814" s="42" t="n">
        <f aca="false">IF(L9810=Assumptions!$E$15,0.5,IF(L9810&gt;Assumptions!$E$15,1,0))</f>
        <v>1</v>
      </c>
      <c r="M9814" s="42" t="n">
        <f aca="false">IF(M9810=Assumptions!$E$15,0.5,IF(M9810&gt;Assumptions!$E$15,1,0))</f>
        <v>1</v>
      </c>
      <c r="N9814" s="42" t="n">
        <f aca="false">IF(N9810=Assumptions!$E$15,0.5,IF(N9810&gt;Assumptions!$E$15,1,0))</f>
        <v>1</v>
      </c>
      <c r="P9814" s="43"/>
      <c r="Q9814" s="43"/>
      <c r="R9814" s="43"/>
      <c r="S9814" s="44"/>
    </row>
    <row r="9815" customFormat="false" ht="15" hidden="false" customHeight="false" outlineLevel="0" collapsed="false">
      <c r="A9815" s="4" t="s">
        <v>481</v>
      </c>
      <c r="B9815" s="36" t="s">
        <v>478</v>
      </c>
      <c r="C9815" s="45" t="n">
        <f aca="false">Assumptions!$E$21^(MAX(0,C9810-Assumptions!$E$13)/4)</f>
        <v>1</v>
      </c>
      <c r="D9815" s="45" t="n">
        <f aca="false">Assumptions!$E$21^(MAX(0,D9810-Assumptions!$E$13)/4)</f>
        <v>0.9306048591021</v>
      </c>
      <c r="E9815" s="45" t="n">
        <f aca="false">Assumptions!$E$21^(MAX(0,E9810-Assumptions!$E$13)/4)</f>
        <v>0.866025403784439</v>
      </c>
      <c r="F9815" s="45" t="n">
        <f aca="false">Assumptions!$E$21^(MAX(0,F9810-Assumptions!$E$13)/4)</f>
        <v>0.805927448867656</v>
      </c>
      <c r="G9815" s="45" t="n">
        <f aca="false">Assumptions!$E$21^(MAX(0,G9810-Assumptions!$E$13)/4)</f>
        <v>0.75</v>
      </c>
      <c r="H9815" s="45" t="n">
        <f aca="false">Assumptions!$E$21^(MAX(0,H9810-Assumptions!$E$13)/4)</f>
        <v>0.697953644326575</v>
      </c>
      <c r="I9815" s="45" t="n">
        <f aca="false">Assumptions!$E$21^(MAX(0,I9810-Assumptions!$E$13)/4)</f>
        <v>0.649519052838329</v>
      </c>
      <c r="J9815" s="45" t="n">
        <f aca="false">Assumptions!$E$21^(MAX(0,J9810-Assumptions!$E$13)/4)</f>
        <v>0.604445586650742</v>
      </c>
      <c r="K9815" s="45" t="n">
        <f aca="false">Assumptions!$E$21^(MAX(0,K9810-Assumptions!$E$13)/4)</f>
        <v>0.5625</v>
      </c>
      <c r="L9815" s="45" t="n">
        <f aca="false">Assumptions!$E$21^(MAX(0,L9810-Assumptions!$E$13)/4)</f>
        <v>0.523465233244931</v>
      </c>
      <c r="M9815" s="45" t="n">
        <f aca="false">Assumptions!$E$21^(MAX(0,M9810-Assumptions!$E$13)/4)</f>
        <v>0.487139289628747</v>
      </c>
      <c r="N9815" s="45" t="n">
        <f aca="false">Assumptions!$E$21^(MAX(0,N9810-Assumptions!$E$13)/4)</f>
        <v>0.453334189988057</v>
      </c>
      <c r="P9815" s="46"/>
      <c r="Q9815" s="46"/>
      <c r="R9815" s="46"/>
      <c r="S9815" s="47"/>
    </row>
    <row r="9816" customFormat="false" ht="15" hidden="false" customHeight="false" outlineLevel="0" collapsed="false">
      <c r="A9816" s="4" t="s">
        <v>482</v>
      </c>
      <c r="B9816" s="36" t="s">
        <v>478</v>
      </c>
      <c r="C9816" s="45" t="n">
        <f aca="false">Assumptions!$E$21^(MAX(0,C9810-Assumptions!$E$14)/4)</f>
        <v>1</v>
      </c>
      <c r="D9816" s="45" t="n">
        <f aca="false">Assumptions!$E$21^(MAX(0,D9810-Assumptions!$E$14)/4)</f>
        <v>1</v>
      </c>
      <c r="E9816" s="45" t="n">
        <f aca="false">Assumptions!$E$21^(MAX(0,E9810-Assumptions!$E$14)/4)</f>
        <v>1</v>
      </c>
      <c r="F9816" s="45" t="n">
        <f aca="false">Assumptions!$E$21^(MAX(0,F9810-Assumptions!$E$14)/4)</f>
        <v>1</v>
      </c>
      <c r="G9816" s="45" t="n">
        <f aca="false">Assumptions!$E$21^(MAX(0,G9810-Assumptions!$E$14)/4)</f>
        <v>1</v>
      </c>
      <c r="H9816" s="45" t="n">
        <f aca="false">Assumptions!$E$21^(MAX(0,H9810-Assumptions!$E$14)/4)</f>
        <v>0.9306048591021</v>
      </c>
      <c r="I9816" s="45" t="n">
        <f aca="false">Assumptions!$E$21^(MAX(0,I9810-Assumptions!$E$14)/4)</f>
        <v>0.866025403784439</v>
      </c>
      <c r="J9816" s="45" t="n">
        <f aca="false">Assumptions!$E$21^(MAX(0,J9810-Assumptions!$E$14)/4)</f>
        <v>0.805927448867656</v>
      </c>
      <c r="K9816" s="45" t="n">
        <f aca="false">Assumptions!$E$21^(MAX(0,K9810-Assumptions!$E$14)/4)</f>
        <v>0.75</v>
      </c>
      <c r="L9816" s="45" t="n">
        <f aca="false">Assumptions!$E$21^(MAX(0,L9810-Assumptions!$E$14)/4)</f>
        <v>0.697953644326575</v>
      </c>
      <c r="M9816" s="45" t="n">
        <f aca="false">Assumptions!$E$21^(MAX(0,M9810-Assumptions!$E$14)/4)</f>
        <v>0.649519052838329</v>
      </c>
      <c r="N9816" s="45" t="n">
        <f aca="false">Assumptions!$E$21^(MAX(0,N9810-Assumptions!$E$14)/4)</f>
        <v>0.604445586650742</v>
      </c>
      <c r="P9816" s="46"/>
      <c r="Q9816" s="46"/>
      <c r="R9816" s="46"/>
      <c r="S9816" s="47"/>
    </row>
    <row r="9817" customFormat="false" ht="15" hidden="false" customHeight="false" outlineLevel="0" collapsed="false">
      <c r="A9817" s="4" t="s">
        <v>483</v>
      </c>
      <c r="B9817" s="36" t="s">
        <v>478</v>
      </c>
      <c r="C9817" s="45" t="n">
        <f aca="false">Assumptions!$E$21^(MAX(0,C9810-Assumptions!$E$15)/4)</f>
        <v>1</v>
      </c>
      <c r="D9817" s="45" t="n">
        <f aca="false">Assumptions!$E$21^(MAX(0,D9810-Assumptions!$E$15)/4)</f>
        <v>1</v>
      </c>
      <c r="E9817" s="45" t="n">
        <f aca="false">Assumptions!$E$21^(MAX(0,E9810-Assumptions!$E$15)/4)</f>
        <v>1</v>
      </c>
      <c r="F9817" s="45" t="n">
        <f aca="false">Assumptions!$E$21^(MAX(0,F9810-Assumptions!$E$15)/4)</f>
        <v>1</v>
      </c>
      <c r="G9817" s="45" t="n">
        <f aca="false">Assumptions!$E$21^(MAX(0,G9810-Assumptions!$E$15)/4)</f>
        <v>1</v>
      </c>
      <c r="H9817" s="45" t="n">
        <f aca="false">Assumptions!$E$21^(MAX(0,H9810-Assumptions!$E$15)/4)</f>
        <v>1</v>
      </c>
      <c r="I9817" s="45" t="n">
        <f aca="false">Assumptions!$E$21^(MAX(0,I9810-Assumptions!$E$15)/4)</f>
        <v>1</v>
      </c>
      <c r="J9817" s="45" t="n">
        <f aca="false">Assumptions!$E$21^(MAX(0,J9810-Assumptions!$E$15)/4)</f>
        <v>0.9306048591021</v>
      </c>
      <c r="K9817" s="45" t="n">
        <f aca="false">Assumptions!$E$21^(MAX(0,K9810-Assumptions!$E$15)/4)</f>
        <v>0.866025403784439</v>
      </c>
      <c r="L9817" s="45" t="n">
        <f aca="false">Assumptions!$E$21^(MAX(0,L9810-Assumptions!$E$15)/4)</f>
        <v>0.805927448867656</v>
      </c>
      <c r="M9817" s="45" t="n">
        <f aca="false">Assumptions!$E$21^(MAX(0,M9810-Assumptions!$E$15)/4)</f>
        <v>0.75</v>
      </c>
      <c r="N9817" s="45" t="n">
        <f aca="false">Assumptions!$E$21^(MAX(0,N9810-Assumptions!$E$15)/4)</f>
        <v>0.697953644326575</v>
      </c>
      <c r="P9817" s="46"/>
      <c r="Q9817" s="46"/>
      <c r="R9817" s="46"/>
      <c r="S9817" s="47"/>
    </row>
    <row r="9818" customFormat="false" ht="15" hidden="false" customHeight="false" outlineLevel="0" collapsed="false">
      <c r="A9818" s="4" t="s">
        <v>484</v>
      </c>
      <c r="B9818" s="36" t="s">
        <v>485</v>
      </c>
      <c r="C9818" s="39" t="n">
        <f aca="false">$C$9789*C9812+$C$9793*C9813+$C$9797*C9814</f>
        <v>421.51972352</v>
      </c>
      <c r="D9818" s="39" t="n">
        <f aca="false">$C$9789*D9812+$C$9793*D9813+$C$9797*D9814</f>
        <v>843.03944704</v>
      </c>
      <c r="E9818" s="39" t="n">
        <f aca="false">$C$9789*E9812+$C$9793*E9813+$C$9797*E9814</f>
        <v>843.03944704</v>
      </c>
      <c r="F9818" s="39" t="n">
        <f aca="false">$C$9789*F9812+$C$9793*F9813+$C$9797*F9814</f>
        <v>843.03944704</v>
      </c>
      <c r="G9818" s="39" t="n">
        <f aca="false">$C$9789*G9812+$C$9793*G9813+$C$9797*G9814</f>
        <v>1149.32798176</v>
      </c>
      <c r="H9818" s="39" t="n">
        <f aca="false">$C$9789*H9812+$C$9793*H9813+$C$9797*H9814</f>
        <v>1455.61651648</v>
      </c>
      <c r="I9818" s="39" t="n">
        <f aca="false">$C$9789*I9812+$C$9793*I9813+$C$9797*I9814</f>
        <v>2486.00303616</v>
      </c>
      <c r="J9818" s="39" t="n">
        <f aca="false">$C$9789*J9812+$C$9793*J9813+$C$9797*J9814</f>
        <v>3516.38955584</v>
      </c>
      <c r="K9818" s="39" t="n">
        <f aca="false">$C$9789*K9812+$C$9793*K9813+$C$9797*K9814</f>
        <v>3516.38955584</v>
      </c>
      <c r="L9818" s="39" t="n">
        <f aca="false">$C$9789*L9812+$C$9793*L9813+$C$9797*L9814</f>
        <v>3516.38955584</v>
      </c>
      <c r="M9818" s="39" t="n">
        <f aca="false">$C$9789*M9812+$C$9793*M9813+$C$9797*M9814</f>
        <v>3516.38955584</v>
      </c>
      <c r="N9818" s="39" t="n">
        <f aca="false">$C$9789*N9812+$C$9793*N9813+$C$9797*N9814</f>
        <v>3516.38955584</v>
      </c>
      <c r="P9818" s="40" t="n">
        <f aca="false">F9818</f>
        <v>843.03944704</v>
      </c>
      <c r="Q9818" s="40" t="n">
        <f aca="false">J9818</f>
        <v>3516.38955584</v>
      </c>
      <c r="R9818" s="40" t="n">
        <f aca="false">N9818</f>
        <v>3516.38955584</v>
      </c>
      <c r="S9818" s="41" t="n">
        <f aca="false">R9818</f>
        <v>3516.38955584</v>
      </c>
    </row>
    <row r="9819" customFormat="false" ht="15" hidden="false" customHeight="false" outlineLevel="0" collapsed="false">
      <c r="A9819" s="4" t="s">
        <v>486</v>
      </c>
      <c r="B9819" s="36" t="s">
        <v>485</v>
      </c>
      <c r="C9819" s="39" t="n">
        <f aca="false">$C$9790*C9812+$C$9794*C9813+$C$9798*C9814</f>
        <v>105.59808</v>
      </c>
      <c r="D9819" s="39" t="n">
        <f aca="false">$C$9790*D9812+$C$9794*D9813+$C$9798*D9814</f>
        <v>211.19616</v>
      </c>
      <c r="E9819" s="39" t="n">
        <f aca="false">$C$9790*E9812+$C$9794*E9813+$C$9798*E9814</f>
        <v>211.19616</v>
      </c>
      <c r="F9819" s="39" t="n">
        <f aca="false">$C$9790*F9812+$C$9794*F9813+$C$9798*F9814</f>
        <v>211.19616</v>
      </c>
      <c r="G9819" s="39" t="n">
        <f aca="false">$C$9790*G9812+$C$9794*G9813+$C$9798*G9814</f>
        <v>282.24672</v>
      </c>
      <c r="H9819" s="39" t="n">
        <f aca="false">$C$9790*H9812+$C$9794*H9813+$C$9798*H9814</f>
        <v>353.29728</v>
      </c>
      <c r="I9819" s="39" t="n">
        <f aca="false">$C$9790*I9812+$C$9794*I9813+$C$9798*I9814</f>
        <v>567.53536</v>
      </c>
      <c r="J9819" s="39" t="n">
        <f aca="false">$C$9790*J9812+$C$9794*J9813+$C$9798*J9814</f>
        <v>781.77344</v>
      </c>
      <c r="K9819" s="39" t="n">
        <f aca="false">$C$9790*K9812+$C$9794*K9813+$C$9798*K9814</f>
        <v>781.77344</v>
      </c>
      <c r="L9819" s="39" t="n">
        <f aca="false">$C$9790*L9812+$C$9794*L9813+$C$9798*L9814</f>
        <v>781.77344</v>
      </c>
      <c r="M9819" s="39" t="n">
        <f aca="false">$C$9790*M9812+$C$9794*M9813+$C$9798*M9814</f>
        <v>781.77344</v>
      </c>
      <c r="N9819" s="39" t="n">
        <f aca="false">$C$9790*N9812+$C$9794*N9813+$C$9798*N9814</f>
        <v>781.77344</v>
      </c>
      <c r="P9819" s="40" t="n">
        <f aca="false">F9819</f>
        <v>211.19616</v>
      </c>
      <c r="Q9819" s="40" t="n">
        <f aca="false">J9819</f>
        <v>781.77344</v>
      </c>
      <c r="R9819" s="40" t="n">
        <f aca="false">N9819</f>
        <v>781.77344</v>
      </c>
      <c r="S9819" s="41" t="n">
        <f aca="false">R9819</f>
        <v>781.77344</v>
      </c>
    </row>
    <row r="9820" customFormat="false" ht="15" hidden="false" customHeight="false" outlineLevel="0" collapsed="false">
      <c r="A9820" s="4" t="s">
        <v>487</v>
      </c>
      <c r="B9820" s="36" t="s">
        <v>485</v>
      </c>
      <c r="C9820" s="39" t="n">
        <f aca="false">$C$9791*C9812+$C$9795*C9813+$C$9799*C9814</f>
        <v>24.76992</v>
      </c>
      <c r="D9820" s="39" t="n">
        <f aca="false">$C$9791*D9812+$C$9795*D9813+$C$9799*D9814</f>
        <v>49.53984</v>
      </c>
      <c r="E9820" s="39" t="n">
        <f aca="false">$C$9791*E9812+$C$9795*E9813+$C$9799*E9814</f>
        <v>49.53984</v>
      </c>
      <c r="F9820" s="39" t="n">
        <f aca="false">$C$9791*F9812+$C$9795*F9813+$C$9799*F9814</f>
        <v>49.53984</v>
      </c>
      <c r="G9820" s="39" t="n">
        <f aca="false">$C$9791*G9812+$C$9795*G9813+$C$9799*G9814</f>
        <v>61.9248</v>
      </c>
      <c r="H9820" s="39" t="n">
        <f aca="false">$C$9791*H9812+$C$9795*H9813+$C$9799*H9814</f>
        <v>74.30976</v>
      </c>
      <c r="I9820" s="39" t="n">
        <f aca="false">$C$9791*I9812+$C$9795*I9813+$C$9799*I9814</f>
        <v>114.072</v>
      </c>
      <c r="J9820" s="39" t="n">
        <f aca="false">$C$9791*J9812+$C$9795*J9813+$C$9799*J9814</f>
        <v>153.83424</v>
      </c>
      <c r="K9820" s="39" t="n">
        <f aca="false">$C$9791*K9812+$C$9795*K9813+$C$9799*K9814</f>
        <v>153.83424</v>
      </c>
      <c r="L9820" s="39" t="n">
        <f aca="false">$C$9791*L9812+$C$9795*L9813+$C$9799*L9814</f>
        <v>153.83424</v>
      </c>
      <c r="M9820" s="39" t="n">
        <f aca="false">$C$9791*M9812+$C$9795*M9813+$C$9799*M9814</f>
        <v>153.83424</v>
      </c>
      <c r="N9820" s="39" t="n">
        <f aca="false">$C$9791*N9812+$C$9795*N9813+$C$9799*N9814</f>
        <v>153.83424</v>
      </c>
      <c r="P9820" s="40" t="n">
        <f aca="false">F9820</f>
        <v>49.53984</v>
      </c>
      <c r="Q9820" s="40" t="n">
        <f aca="false">J9820</f>
        <v>153.83424</v>
      </c>
      <c r="R9820" s="40" t="n">
        <f aca="false">N9820</f>
        <v>153.83424</v>
      </c>
      <c r="S9820" s="41" t="n">
        <f aca="false">R9820</f>
        <v>153.83424</v>
      </c>
    </row>
    <row r="9821" customFormat="false" ht="15" hidden="false" customHeight="false" outlineLevel="0" collapsed="false">
      <c r="A9821" s="4" t="s">
        <v>488</v>
      </c>
      <c r="B9821" s="36" t="s">
        <v>485</v>
      </c>
      <c r="C9821" s="39" t="n">
        <f aca="false">C9818+C9819+C9820</f>
        <v>551.88772352</v>
      </c>
      <c r="D9821" s="39" t="n">
        <f aca="false">D9818+D9819+D9820</f>
        <v>1103.77544704</v>
      </c>
      <c r="E9821" s="39" t="n">
        <f aca="false">E9818+E9819+E9820</f>
        <v>1103.77544704</v>
      </c>
      <c r="F9821" s="39" t="n">
        <f aca="false">F9818+F9819+F9820</f>
        <v>1103.77544704</v>
      </c>
      <c r="G9821" s="39" t="n">
        <f aca="false">G9818+G9819+G9820</f>
        <v>1493.49950176</v>
      </c>
      <c r="H9821" s="39" t="n">
        <f aca="false">H9818+H9819+H9820</f>
        <v>1883.22355648</v>
      </c>
      <c r="I9821" s="39" t="n">
        <f aca="false">I9818+I9819+I9820</f>
        <v>3167.61039616</v>
      </c>
      <c r="J9821" s="39" t="n">
        <f aca="false">J9818+J9819+J9820</f>
        <v>4451.99723584</v>
      </c>
      <c r="K9821" s="39" t="n">
        <f aca="false">K9818+K9819+K9820</f>
        <v>4451.99723584</v>
      </c>
      <c r="L9821" s="39" t="n">
        <f aca="false">L9818+L9819+L9820</f>
        <v>4451.99723584</v>
      </c>
      <c r="M9821" s="39" t="n">
        <f aca="false">M9818+M9819+M9820</f>
        <v>4451.99723584</v>
      </c>
      <c r="N9821" s="39" t="n">
        <f aca="false">N9818+N9819+N9820</f>
        <v>4451.99723584</v>
      </c>
      <c r="P9821" s="40" t="n">
        <f aca="false">F9821</f>
        <v>1103.77544704</v>
      </c>
      <c r="Q9821" s="40" t="n">
        <f aca="false">J9821</f>
        <v>4451.99723584</v>
      </c>
      <c r="R9821" s="40" t="n">
        <f aca="false">N9821</f>
        <v>4451.99723584</v>
      </c>
      <c r="S9821" s="41" t="n">
        <f aca="false">R9821</f>
        <v>4451.99723584</v>
      </c>
    </row>
    <row r="9822" customFormat="false" ht="15" hidden="false" customHeight="false" outlineLevel="0" collapsed="false">
      <c r="A9822" s="4" t="s">
        <v>489</v>
      </c>
      <c r="B9822" s="36" t="s">
        <v>485</v>
      </c>
      <c r="C9822" s="39" t="n">
        <f aca="false">$C$9792*C9812*C9815+$C$9796*C9813*C9816+$C$9800*C9814*C9817</f>
        <v>551.88772352</v>
      </c>
      <c r="D9822" s="39" t="n">
        <f aca="false">$C$9792*D9812*D9815+$C$9796*D9813*D9816+$C$9800*D9814*D9817</f>
        <v>1027.17879437302</v>
      </c>
      <c r="E9822" s="39" t="n">
        <f aca="false">$C$9792*E9812*E9815+$C$9796*E9813*E9816+$C$9800*E9814*E9817</f>
        <v>955.897577210165</v>
      </c>
      <c r="F9822" s="39" t="n">
        <f aca="false">$C$9792*F9812*F9815+$C$9796*F9813*F9816+$C$9800*F9814*F9817</f>
        <v>889.562930155704</v>
      </c>
      <c r="G9822" s="39" t="n">
        <f aca="false">$C$9792*G9812*G9815+$C$9796*G9813*G9816+$C$9800*G9814*G9817</f>
        <v>1217.55564</v>
      </c>
      <c r="H9822" s="39" t="n">
        <f aca="false">$C$9792*H9812*H9815+$C$9796*H9813*H9816+$C$9800*H9814*H9817</f>
        <v>1495.74229384257</v>
      </c>
      <c r="I9822" s="39" t="n">
        <f aca="false">$C$9792*I9812*I9815+$C$9796*I9813*I9816+$C$9800*I9814*I9817</f>
        <v>2676.33188629442</v>
      </c>
      <c r="J9822" s="39" t="n">
        <f aca="false">$C$9792*J9812*J9815+$C$9796*J9813*J9816+$C$9800*J9814*J9817</f>
        <v>3685.86409192847</v>
      </c>
      <c r="K9822" s="39" t="n">
        <f aca="false">$C$9792*K9812*K9815+$C$9796*K9813*K9816+$C$9800*K9814*K9817</f>
        <v>3430.08303393858</v>
      </c>
      <c r="L9822" s="39" t="n">
        <f aca="false">$C$9792*L9812*L9815+$C$9796*L9813*L9816+$C$9800*L9814*L9817</f>
        <v>3192.05193850692</v>
      </c>
      <c r="M9822" s="39" t="n">
        <f aca="false">$C$9792*M9812*M9815+$C$9796*M9813*M9816+$C$9800*M9814*M9817</f>
        <v>2970.53904448081</v>
      </c>
      <c r="N9822" s="39" t="n">
        <f aca="false">$C$9792*N9812*N9815+$C$9796*N9813*N9816+$C$9800*N9814*N9817</f>
        <v>2764.39806894635</v>
      </c>
      <c r="P9822" s="40"/>
      <c r="Q9822" s="40"/>
      <c r="R9822" s="40"/>
      <c r="S9822" s="41"/>
    </row>
    <row r="9823" customFormat="false" ht="15" hidden="false" customHeight="false" outlineLevel="0" collapsed="false">
      <c r="A9823" s="4" t="s">
        <v>490</v>
      </c>
      <c r="B9823" s="36" t="s">
        <v>491</v>
      </c>
      <c r="C9823" s="48" t="n">
        <f aca="false">$C$9804*Assumptions!$E$20*C9811*C9822</f>
        <v>6.62265268224</v>
      </c>
      <c r="D9823" s="48" t="n">
        <f aca="false">$C$9804*Assumptions!$E$20*D9811*D9822</f>
        <v>12.3261455324762</v>
      </c>
      <c r="E9823" s="48" t="n">
        <f aca="false">$C$9804*Assumptions!$E$20*E9811*E9822</f>
        <v>11.470770926522</v>
      </c>
      <c r="F9823" s="48" t="n">
        <f aca="false">$C$9804*Assumptions!$E$20*F9811*F9822</f>
        <v>10.6747551618685</v>
      </c>
      <c r="G9823" s="48" t="n">
        <f aca="false">$C$9804*Assumptions!$E$20*G9811*G9822</f>
        <v>14.61066768</v>
      </c>
      <c r="H9823" s="48" t="n">
        <f aca="false">$C$9804*Assumptions!$E$20*H9811*H9822</f>
        <v>17.9489075261109</v>
      </c>
      <c r="I9823" s="48" t="n">
        <f aca="false">$C$9804*Assumptions!$E$20*I9811*I9822</f>
        <v>32.115982635533</v>
      </c>
      <c r="J9823" s="48" t="n">
        <f aca="false">$C$9804*Assumptions!$E$20*J9811*J9822</f>
        <v>44.2303691031417</v>
      </c>
      <c r="K9823" s="48" t="n">
        <f aca="false">$C$9804*Assumptions!$E$20*K9811*K9822</f>
        <v>41.160996407263</v>
      </c>
      <c r="L9823" s="48" t="n">
        <f aca="false">$C$9804*Assumptions!$E$20*L9811*L9822</f>
        <v>38.304623262083</v>
      </c>
      <c r="M9823" s="48" t="n">
        <f aca="false">$C$9804*Assumptions!$E$20*M9811*M9822</f>
        <v>35.6464685337698</v>
      </c>
      <c r="N9823" s="48" t="n">
        <f aca="false">$C$9804*Assumptions!$E$20*N9811*N9822</f>
        <v>33.1727768273562</v>
      </c>
      <c r="P9823" s="49" t="n">
        <f aca="false">SUM(C9823:F9823)</f>
        <v>41.0943243031066</v>
      </c>
      <c r="Q9823" s="49" t="n">
        <f aca="false">SUM(G9823:J9823)</f>
        <v>108.905926944786</v>
      </c>
      <c r="R9823" s="49" t="n">
        <f aca="false">SUM(K9823:N9823)</f>
        <v>148.284865030472</v>
      </c>
      <c r="S9823" s="50" t="n">
        <f aca="false">SUM(P9823:R9823)</f>
        <v>298.285116278364</v>
      </c>
    </row>
    <row r="9824" customFormat="false" ht="15" hidden="false" customHeight="false" outlineLevel="0" collapsed="false">
      <c r="A9824" s="4" t="s">
        <v>492</v>
      </c>
      <c r="B9824" s="36" t="s">
        <v>321</v>
      </c>
      <c r="C9824" s="48" t="n">
        <f aca="false">Assumptions!$D$111</f>
        <v>0</v>
      </c>
      <c r="D9824" s="48" t="n">
        <f aca="false">Assumptions!$E$111</f>
        <v>0</v>
      </c>
      <c r="E9824" s="48" t="n">
        <f aca="false">Assumptions!$F$111</f>
        <v>0</v>
      </c>
      <c r="F9824" s="48" t="n">
        <f aca="false">Assumptions!$G$111</f>
        <v>0</v>
      </c>
      <c r="G9824" s="48" t="n">
        <f aca="false">Assumptions!$H$111</f>
        <v>0</v>
      </c>
      <c r="H9824" s="48" t="n">
        <f aca="false">Assumptions!$I$111</f>
        <v>0</v>
      </c>
      <c r="I9824" s="48" t="n">
        <f aca="false">Assumptions!$J$111</f>
        <v>0</v>
      </c>
      <c r="J9824" s="48" t="n">
        <f aca="false">Assumptions!$K$111</f>
        <v>0</v>
      </c>
      <c r="K9824" s="48" t="n">
        <f aca="false">Assumptions!$L$111</f>
        <v>0</v>
      </c>
      <c r="L9824" s="48" t="n">
        <f aca="false">Assumptions!$M$111</f>
        <v>0</v>
      </c>
      <c r="M9824" s="48" t="n">
        <f aca="false">Assumptions!$N$111</f>
        <v>0</v>
      </c>
      <c r="N9824" s="48" t="n">
        <f aca="false">Assumptions!$O$111</f>
        <v>0</v>
      </c>
      <c r="P9824" s="49" t="n">
        <f aca="false">F9824</f>
        <v>0</v>
      </c>
      <c r="Q9824" s="49" t="n">
        <f aca="false">J9824</f>
        <v>0</v>
      </c>
      <c r="R9824" s="49" t="n">
        <f aca="false">N9824</f>
        <v>0</v>
      </c>
      <c r="S9824" s="50" t="n">
        <f aca="false">R9824</f>
        <v>0</v>
      </c>
    </row>
    <row r="9825" customFormat="false" ht="15" hidden="false" customHeight="false" outlineLevel="0" collapsed="false">
      <c r="A9825" s="4" t="s">
        <v>493</v>
      </c>
      <c r="B9825" s="36" t="s">
        <v>321</v>
      </c>
      <c r="C9825" s="48" t="n">
        <f aca="false">0</f>
        <v>0</v>
      </c>
      <c r="D9825" s="48" t="n">
        <f aca="false">0.5*C9824</f>
        <v>0</v>
      </c>
      <c r="E9825" s="48" t="n">
        <f aca="false">C9824+0.5*(D9824-C9824)</f>
        <v>0</v>
      </c>
      <c r="F9825" s="48" t="n">
        <f aca="false">D9824+0.5*(E9824-D9824)</f>
        <v>0</v>
      </c>
      <c r="G9825" s="48" t="n">
        <f aca="false">E9824+0.5*(F9824-E9824)</f>
        <v>0</v>
      </c>
      <c r="H9825" s="48" t="n">
        <f aca="false">F9824+0.5*(G9824-F9824)</f>
        <v>0</v>
      </c>
      <c r="I9825" s="48" t="n">
        <f aca="false">G9824+0.5*(H9824-G9824)</f>
        <v>0</v>
      </c>
      <c r="J9825" s="48" t="n">
        <f aca="false">H9824+0.5*(I9824-H9824)</f>
        <v>0</v>
      </c>
      <c r="K9825" s="48" t="n">
        <f aca="false">I9824+0.5*(J9824-I9824)</f>
        <v>0</v>
      </c>
      <c r="L9825" s="48" t="n">
        <f aca="false">J9824+0.5*(K9824-J9824)</f>
        <v>0</v>
      </c>
      <c r="M9825" s="48" t="n">
        <f aca="false">K9824+0.5*(L9824-K9824)</f>
        <v>0</v>
      </c>
      <c r="N9825" s="48" t="n">
        <f aca="false">L9824+0.5*(M9824-L9824)</f>
        <v>0</v>
      </c>
      <c r="P9825" s="49" t="n">
        <f aca="false">F9825</f>
        <v>0</v>
      </c>
      <c r="Q9825" s="49" t="n">
        <f aca="false">J9825</f>
        <v>0</v>
      </c>
      <c r="R9825" s="49" t="n">
        <f aca="false">N9825</f>
        <v>0</v>
      </c>
      <c r="S9825" s="50" t="n">
        <f aca="false">R9825</f>
        <v>0</v>
      </c>
    </row>
    <row r="9826" customFormat="false" ht="15" hidden="false" customHeight="false" outlineLevel="0" collapsed="false">
      <c r="A9826" s="4" t="s">
        <v>494</v>
      </c>
      <c r="B9826" s="36" t="s">
        <v>485</v>
      </c>
      <c r="C9826" s="39" t="n">
        <f aca="false">MIN(C9825*Assumptions!$E$38,C9821*(1-$C$9804))</f>
        <v>0</v>
      </c>
      <c r="D9826" s="39" t="n">
        <f aca="false">MIN(D9825*Assumptions!$E$38,D9821*(1-$C$9804))</f>
        <v>0</v>
      </c>
      <c r="E9826" s="39" t="n">
        <f aca="false">MIN(E9825*Assumptions!$E$38,E9821*(1-$C$9804))</f>
        <v>0</v>
      </c>
      <c r="F9826" s="39" t="n">
        <f aca="false">MIN(F9825*Assumptions!$E$38,F9821*(1-$C$9804))</f>
        <v>0</v>
      </c>
      <c r="G9826" s="39" t="n">
        <f aca="false">MIN(G9825*Assumptions!$E$38,G9821*(1-$C$9804))</f>
        <v>0</v>
      </c>
      <c r="H9826" s="39" t="n">
        <f aca="false">MIN(H9825*Assumptions!$E$38,H9821*(1-$C$9804))</f>
        <v>0</v>
      </c>
      <c r="I9826" s="39" t="n">
        <f aca="false">MIN(I9825*Assumptions!$E$38,I9821*(1-$C$9804))</f>
        <v>0</v>
      </c>
      <c r="J9826" s="39" t="n">
        <f aca="false">MIN(J9825*Assumptions!$E$38,J9821*(1-$C$9804))</f>
        <v>0</v>
      </c>
      <c r="K9826" s="39" t="n">
        <f aca="false">MIN(K9825*Assumptions!$E$38,K9821*(1-$C$9804))</f>
        <v>0</v>
      </c>
      <c r="L9826" s="39" t="n">
        <f aca="false">MIN(L9825*Assumptions!$E$38,L9821*(1-$C$9804))</f>
        <v>0</v>
      </c>
      <c r="M9826" s="39" t="n">
        <f aca="false">MIN(M9825*Assumptions!$E$38,M9821*(1-$C$9804))</f>
        <v>0</v>
      </c>
      <c r="N9826" s="39" t="n">
        <f aca="false">MIN(N9825*Assumptions!$E$38,N9821*(1-$C$9804))</f>
        <v>0</v>
      </c>
      <c r="P9826" s="40" t="n">
        <f aca="false">SUM(C9826:F9826)</f>
        <v>0</v>
      </c>
      <c r="Q9826" s="40" t="n">
        <f aca="false">SUM(G9826:J9826)</f>
        <v>0</v>
      </c>
      <c r="R9826" s="40" t="n">
        <f aca="false">SUM(K9826:N9826)</f>
        <v>0</v>
      </c>
      <c r="S9826" s="41" t="n">
        <f aca="false">SUM(P9826:R9826)</f>
        <v>0</v>
      </c>
    </row>
    <row r="9827" customFormat="false" ht="15" hidden="false" customHeight="false" outlineLevel="0" collapsed="false">
      <c r="A9827" s="4" t="s">
        <v>495</v>
      </c>
      <c r="B9827" s="36" t="s">
        <v>491</v>
      </c>
      <c r="C9827" s="48" t="n">
        <f aca="false">C9826*Assumptions!$E$20*Assumptions!$E$39*IF(C9821&gt;0,C9822/C9821,0)*C9811</f>
        <v>0</v>
      </c>
      <c r="D9827" s="48" t="n">
        <f aca="false">D9826*Assumptions!$E$20*Assumptions!$E$39*IF(D9821&gt;0,D9822/D9821,0)*D9811</f>
        <v>0</v>
      </c>
      <c r="E9827" s="48" t="n">
        <f aca="false">E9826*Assumptions!$E$20*Assumptions!$E$39*IF(E9821&gt;0,E9822/E9821,0)*E9811</f>
        <v>0</v>
      </c>
      <c r="F9827" s="48" t="n">
        <f aca="false">F9826*Assumptions!$E$20*Assumptions!$E$39*IF(F9821&gt;0,F9822/F9821,0)*F9811</f>
        <v>0</v>
      </c>
      <c r="G9827" s="48" t="n">
        <f aca="false">G9826*Assumptions!$E$20*Assumptions!$E$39*IF(G9821&gt;0,G9822/G9821,0)*G9811</f>
        <v>0</v>
      </c>
      <c r="H9827" s="48" t="n">
        <f aca="false">H9826*Assumptions!$E$20*Assumptions!$E$39*IF(H9821&gt;0,H9822/H9821,0)*H9811</f>
        <v>0</v>
      </c>
      <c r="I9827" s="48" t="n">
        <f aca="false">I9826*Assumptions!$E$20*Assumptions!$E$39*IF(I9821&gt;0,I9822/I9821,0)*I9811</f>
        <v>0</v>
      </c>
      <c r="J9827" s="48" t="n">
        <f aca="false">J9826*Assumptions!$E$20*Assumptions!$E$39*IF(J9821&gt;0,J9822/J9821,0)*J9811</f>
        <v>0</v>
      </c>
      <c r="K9827" s="48" t="n">
        <f aca="false">K9826*Assumptions!$E$20*Assumptions!$E$39*IF(K9821&gt;0,K9822/K9821,0)*K9811</f>
        <v>0</v>
      </c>
      <c r="L9827" s="48" t="n">
        <f aca="false">L9826*Assumptions!$E$20*Assumptions!$E$39*IF(L9821&gt;0,L9822/L9821,0)*L9811</f>
        <v>0</v>
      </c>
      <c r="M9827" s="48" t="n">
        <f aca="false">M9826*Assumptions!$E$20*Assumptions!$E$39*IF(M9821&gt;0,M9822/M9821,0)*M9811</f>
        <v>0</v>
      </c>
      <c r="N9827" s="48" t="n">
        <f aca="false">N9826*Assumptions!$E$20*Assumptions!$E$39*IF(N9821&gt;0,N9822/N9821,0)*N9811</f>
        <v>0</v>
      </c>
      <c r="P9827" s="49" t="n">
        <f aca="false">SUM(C9827:F9827)</f>
        <v>0</v>
      </c>
      <c r="Q9827" s="49" t="n">
        <f aca="false">SUM(G9827:J9827)</f>
        <v>0</v>
      </c>
      <c r="R9827" s="49" t="n">
        <f aca="false">SUM(K9827:N9827)</f>
        <v>0</v>
      </c>
      <c r="S9827" s="50" t="n">
        <f aca="false">SUM(P9827:R9827)</f>
        <v>0</v>
      </c>
    </row>
    <row r="9828" customFormat="false" ht="15" hidden="false" customHeight="false" outlineLevel="0" collapsed="false">
      <c r="A9828" s="4" t="s">
        <v>496</v>
      </c>
      <c r="B9828" s="36" t="s">
        <v>497</v>
      </c>
      <c r="C9828" s="48" t="n">
        <f aca="false">IF(AND(C9821&gt;0,$C$9808&gt;0),C9821*Assumptions!$E$24*(1-EXP(-$C$9808/(Assumptions!$E$23*C9821*Assumptions!$E$24))),0)</f>
        <v>0</v>
      </c>
      <c r="D9828" s="48" t="n">
        <f aca="false">IF(AND(D9821&gt;0,$C$9808&gt;0),D9821*Assumptions!$E$24*(1-EXP(-$C$9808/(Assumptions!$E$23*D9821*Assumptions!$E$24))),0)</f>
        <v>0</v>
      </c>
      <c r="E9828" s="48" t="n">
        <f aca="false">IF(AND(E9821&gt;0,$C$9808&gt;0),E9821*Assumptions!$E$24*(1-EXP(-$C$9808/(Assumptions!$E$23*E9821*Assumptions!$E$24))),0)</f>
        <v>0</v>
      </c>
      <c r="F9828" s="48" t="n">
        <f aca="false">IF(AND(F9821&gt;0,$C$9808&gt;0),F9821*Assumptions!$E$24*(1-EXP(-$C$9808/(Assumptions!$E$23*F9821*Assumptions!$E$24))),0)</f>
        <v>0</v>
      </c>
      <c r="G9828" s="48" t="n">
        <f aca="false">IF(AND(G9821&gt;0,$C$9808&gt;0),G9821*Assumptions!$E$24*(1-EXP(-$C$9808/(Assumptions!$E$23*G9821*Assumptions!$E$24))),0)</f>
        <v>0</v>
      </c>
      <c r="H9828" s="48" t="n">
        <f aca="false">IF(AND(H9821&gt;0,$C$9808&gt;0),H9821*Assumptions!$E$24*(1-EXP(-$C$9808/(Assumptions!$E$23*H9821*Assumptions!$E$24))),0)</f>
        <v>0</v>
      </c>
      <c r="I9828" s="48" t="n">
        <f aca="false">IF(AND(I9821&gt;0,$C$9808&gt;0),I9821*Assumptions!$E$24*(1-EXP(-$C$9808/(Assumptions!$E$23*I9821*Assumptions!$E$24))),0)</f>
        <v>0</v>
      </c>
      <c r="J9828" s="48" t="n">
        <f aca="false">IF(AND(J9821&gt;0,$C$9808&gt;0),J9821*Assumptions!$E$24*(1-EXP(-$C$9808/(Assumptions!$E$23*J9821*Assumptions!$E$24))),0)</f>
        <v>0</v>
      </c>
      <c r="K9828" s="48" t="n">
        <f aca="false">IF(AND(K9821&gt;0,$C$9808&gt;0),K9821*Assumptions!$E$24*(1-EXP(-$C$9808/(Assumptions!$E$23*K9821*Assumptions!$E$24))),0)</f>
        <v>0</v>
      </c>
      <c r="L9828" s="48" t="n">
        <f aca="false">IF(AND(L9821&gt;0,$C$9808&gt;0),L9821*Assumptions!$E$24*(1-EXP(-$C$9808/(Assumptions!$E$23*L9821*Assumptions!$E$24))),0)</f>
        <v>0</v>
      </c>
      <c r="M9828" s="48" t="n">
        <f aca="false">IF(AND(M9821&gt;0,$C$9808&gt;0),M9821*Assumptions!$E$24*(1-EXP(-$C$9808/(Assumptions!$E$23*M9821*Assumptions!$E$24))),0)</f>
        <v>0</v>
      </c>
      <c r="N9828" s="48" t="n">
        <f aca="false">IF(AND(N9821&gt;0,$C$9808&gt;0),N9821*Assumptions!$E$24*(1-EXP(-$C$9808/(Assumptions!$E$23*N9821*Assumptions!$E$24))),0)</f>
        <v>0</v>
      </c>
      <c r="P9828" s="49" t="n">
        <f aca="false">SUM(C9828:F9828)</f>
        <v>0</v>
      </c>
      <c r="Q9828" s="49" t="n">
        <f aca="false">SUM(G9828:J9828)</f>
        <v>0</v>
      </c>
      <c r="R9828" s="49" t="n">
        <f aca="false">SUM(K9828:N9828)</f>
        <v>0</v>
      </c>
      <c r="S9828" s="50" t="n">
        <f aca="false">SUM(P9828:R9828)</f>
        <v>0</v>
      </c>
    </row>
    <row r="9829" customFormat="false" ht="15" hidden="false" customHeight="false" outlineLevel="0" collapsed="false">
      <c r="A9829" s="4" t="s">
        <v>498</v>
      </c>
      <c r="B9829" s="36" t="s">
        <v>497</v>
      </c>
      <c r="C9829" s="48" t="n">
        <f aca="false">(C9821*Assumptions!$E$22*MIN(1,Assumptions!$D$103/Assumptions!$E$78)+C9828)*C9811</f>
        <v>5.5188772352</v>
      </c>
      <c r="D9829" s="48" t="n">
        <f aca="false">(D9821*Assumptions!$E$22*MIN(1,Assumptions!$D$103/Assumptions!$E$78)+D9828)*D9811</f>
        <v>11.0377544704</v>
      </c>
      <c r="E9829" s="48" t="n">
        <f aca="false">(E9821*Assumptions!$E$22*MIN(1,Assumptions!$D$103/Assumptions!$E$78)+E9828)*E9811</f>
        <v>11.0377544704</v>
      </c>
      <c r="F9829" s="48" t="n">
        <f aca="false">(F9821*Assumptions!$E$22*MIN(1,Assumptions!$D$103/Assumptions!$E$78)+F9828)*F9811</f>
        <v>11.0377544704</v>
      </c>
      <c r="G9829" s="48" t="n">
        <f aca="false">(G9821*Assumptions!$E$22*MIN(1,Assumptions!$D$103/Assumptions!$E$78)+G9828)*G9811</f>
        <v>14.9349950176</v>
      </c>
      <c r="H9829" s="48" t="n">
        <f aca="false">(H9821*Assumptions!$E$22*MIN(1,Assumptions!$D$103/Assumptions!$E$78)+H9828)*H9811</f>
        <v>18.8322355648</v>
      </c>
      <c r="I9829" s="48" t="n">
        <f aca="false">(I9821*Assumptions!$E$22*MIN(1,Assumptions!$D$103/Assumptions!$E$78)+I9828)*I9811</f>
        <v>31.6761039616</v>
      </c>
      <c r="J9829" s="48" t="n">
        <f aca="false">(J9821*Assumptions!$E$22*MIN(1,Assumptions!$D$103/Assumptions!$E$78)+J9828)*J9811</f>
        <v>44.5199723584</v>
      </c>
      <c r="K9829" s="48" t="n">
        <f aca="false">(K9821*Assumptions!$E$22*MIN(1,Assumptions!$D$103/Assumptions!$E$78)+K9828)*K9811</f>
        <v>44.5199723584</v>
      </c>
      <c r="L9829" s="48" t="n">
        <f aca="false">(L9821*Assumptions!$E$22*MIN(1,Assumptions!$D$103/Assumptions!$E$78)+L9828)*L9811</f>
        <v>44.5199723584</v>
      </c>
      <c r="M9829" s="48" t="n">
        <f aca="false">(M9821*Assumptions!$E$22*MIN(1,Assumptions!$D$103/Assumptions!$E$78)+M9828)*M9811</f>
        <v>44.5199723584</v>
      </c>
      <c r="N9829" s="48" t="n">
        <f aca="false">(N9821*Assumptions!$E$22*MIN(1,Assumptions!$D$103/Assumptions!$E$78)+N9828)*N9811</f>
        <v>44.5199723584</v>
      </c>
      <c r="P9829" s="49" t="n">
        <f aca="false">SUM(C9829:F9829)</f>
        <v>38.6321406464</v>
      </c>
      <c r="Q9829" s="49" t="n">
        <f aca="false">SUM(G9829:J9829)</f>
        <v>109.9633069024</v>
      </c>
      <c r="R9829" s="49" t="n">
        <f aca="false">SUM(K9829:N9829)</f>
        <v>178.0798894336</v>
      </c>
      <c r="S9829" s="50" t="n">
        <f aca="false">SUM(P9829:R9829)</f>
        <v>326.6753369824</v>
      </c>
    </row>
    <row r="9830" customFormat="false" ht="15" hidden="false" customHeight="false" outlineLevel="0" collapsed="false">
      <c r="A9830" s="4" t="s">
        <v>499</v>
      </c>
      <c r="B9830" s="36" t="s">
        <v>500</v>
      </c>
      <c r="C9830" s="48" t="n">
        <f aca="false">C9811*MIN(Assumptions!$E$27,Assumptions!$E$25+Assumptions!$E$26*(C9810-1))*Assumptions!$D$107</f>
        <v>2</v>
      </c>
      <c r="D9830" s="48" t="n">
        <f aca="false">D9811*MIN(Assumptions!$E$27,Assumptions!$E$25+Assumptions!$E$26*(D9810-1))*Assumptions!$D$107</f>
        <v>3</v>
      </c>
      <c r="E9830" s="48" t="n">
        <f aca="false">E9811*MIN(Assumptions!$E$27,Assumptions!$E$25+Assumptions!$E$26*(E9810-1))*Assumptions!$D$107</f>
        <v>4</v>
      </c>
      <c r="F9830" s="48" t="n">
        <f aca="false">F9811*MIN(Assumptions!$E$27,Assumptions!$E$25+Assumptions!$E$26*(F9810-1))*Assumptions!$D$107</f>
        <v>5</v>
      </c>
      <c r="G9830" s="48" t="n">
        <f aca="false">G9811*MIN(Assumptions!$E$27,Assumptions!$E$25+Assumptions!$E$26*(G9810-1))*Assumptions!$D$107</f>
        <v>6</v>
      </c>
      <c r="H9830" s="48" t="n">
        <f aca="false">H9811*MIN(Assumptions!$E$27,Assumptions!$E$25+Assumptions!$E$26*(H9810-1))*Assumptions!$D$107</f>
        <v>7</v>
      </c>
      <c r="I9830" s="48" t="n">
        <f aca="false">I9811*MIN(Assumptions!$E$27,Assumptions!$E$25+Assumptions!$E$26*(I9810-1))*Assumptions!$D$107</f>
        <v>8</v>
      </c>
      <c r="J9830" s="48" t="n">
        <f aca="false">J9811*MIN(Assumptions!$E$27,Assumptions!$E$25+Assumptions!$E$26*(J9810-1))*Assumptions!$D$107</f>
        <v>9</v>
      </c>
      <c r="K9830" s="48" t="n">
        <f aca="false">K9811*MIN(Assumptions!$E$27,Assumptions!$E$25+Assumptions!$E$26*(K9810-1))*Assumptions!$D$107</f>
        <v>10</v>
      </c>
      <c r="L9830" s="48" t="n">
        <f aca="false">L9811*MIN(Assumptions!$E$27,Assumptions!$E$25+Assumptions!$E$26*(L9810-1))*Assumptions!$D$107</f>
        <v>10</v>
      </c>
      <c r="M9830" s="48" t="n">
        <f aca="false">M9811*MIN(Assumptions!$E$27,Assumptions!$E$25+Assumptions!$E$26*(M9810-1))*Assumptions!$D$107</f>
        <v>10</v>
      </c>
      <c r="N9830" s="48" t="n">
        <f aca="false">N9811*MIN(Assumptions!$E$27,Assumptions!$E$25+Assumptions!$E$26*(N9810-1))*Assumptions!$D$107</f>
        <v>10</v>
      </c>
      <c r="P9830" s="49" t="n">
        <f aca="false">F9830</f>
        <v>5</v>
      </c>
      <c r="Q9830" s="49" t="n">
        <f aca="false">J9830</f>
        <v>9</v>
      </c>
      <c r="R9830" s="49" t="n">
        <f aca="false">N9830</f>
        <v>10</v>
      </c>
      <c r="S9830" s="50" t="n">
        <f aca="false">R9830</f>
        <v>10</v>
      </c>
    </row>
    <row r="9831" customFormat="false" ht="15" hidden="false" customHeight="false" outlineLevel="0" collapsed="false">
      <c r="A9831" s="4" t="s">
        <v>501</v>
      </c>
      <c r="B9831" s="36" t="s">
        <v>502</v>
      </c>
      <c r="C9831" s="48" t="n">
        <f aca="false">C9830*Assumptions!$E$28</f>
        <v>6</v>
      </c>
      <c r="D9831" s="48" t="n">
        <f aca="false">D9830*Assumptions!$E$28</f>
        <v>9</v>
      </c>
      <c r="E9831" s="48" t="n">
        <f aca="false">E9830*Assumptions!$E$28</f>
        <v>12</v>
      </c>
      <c r="F9831" s="48" t="n">
        <f aca="false">F9830*Assumptions!$E$28</f>
        <v>15</v>
      </c>
      <c r="G9831" s="48" t="n">
        <f aca="false">G9830*Assumptions!$E$28</f>
        <v>18</v>
      </c>
      <c r="H9831" s="48" t="n">
        <f aca="false">H9830*Assumptions!$E$28</f>
        <v>21</v>
      </c>
      <c r="I9831" s="48" t="n">
        <f aca="false">I9830*Assumptions!$E$28</f>
        <v>24</v>
      </c>
      <c r="J9831" s="48" t="n">
        <f aca="false">J9830*Assumptions!$E$28</f>
        <v>27</v>
      </c>
      <c r="K9831" s="48" t="n">
        <f aca="false">K9830*Assumptions!$E$28</f>
        <v>30</v>
      </c>
      <c r="L9831" s="48" t="n">
        <f aca="false">L9830*Assumptions!$E$28</f>
        <v>30</v>
      </c>
      <c r="M9831" s="48" t="n">
        <f aca="false">M9830*Assumptions!$E$28</f>
        <v>30</v>
      </c>
      <c r="N9831" s="48" t="n">
        <f aca="false">N9830*Assumptions!$E$28</f>
        <v>30</v>
      </c>
      <c r="P9831" s="49" t="n">
        <f aca="false">SUM(C9831:F9831)</f>
        <v>42</v>
      </c>
      <c r="Q9831" s="49" t="n">
        <f aca="false">SUM(G9831:J9831)</f>
        <v>90</v>
      </c>
      <c r="R9831" s="49" t="n">
        <f aca="false">SUM(K9831:N9831)</f>
        <v>120</v>
      </c>
      <c r="S9831" s="50" t="n">
        <f aca="false">SUM(P9831:R9831)</f>
        <v>252</v>
      </c>
    </row>
    <row r="9832" customFormat="false" ht="15" hidden="false" customHeight="false" outlineLevel="0" collapsed="false">
      <c r="A9832" s="4" t="s">
        <v>503</v>
      </c>
      <c r="B9832" s="36" t="s">
        <v>504</v>
      </c>
      <c r="C9832" s="48" t="n">
        <f aca="false">(C9823+C9827)*Assumptions!$E$29</f>
        <v>2.649061072896</v>
      </c>
      <c r="D9832" s="48" t="n">
        <f aca="false">(D9823+D9827)*Assumptions!$E$29</f>
        <v>4.93045821299048</v>
      </c>
      <c r="E9832" s="48" t="n">
        <f aca="false">(E9823+E9827)*Assumptions!$E$29</f>
        <v>4.58830837060879</v>
      </c>
      <c r="F9832" s="48" t="n">
        <f aca="false">(F9823+F9827)*Assumptions!$E$29</f>
        <v>4.26990206474738</v>
      </c>
      <c r="G9832" s="48" t="n">
        <f aca="false">(G9823+G9827)*Assumptions!$E$29</f>
        <v>5.844267072</v>
      </c>
      <c r="H9832" s="48" t="n">
        <f aca="false">(H9823+H9827)*Assumptions!$E$29</f>
        <v>7.17956301044434</v>
      </c>
      <c r="I9832" s="48" t="n">
        <f aca="false">(I9823+I9827)*Assumptions!$E$29</f>
        <v>12.8463930542132</v>
      </c>
      <c r="J9832" s="48" t="n">
        <f aca="false">(J9823+J9827)*Assumptions!$E$29</f>
        <v>17.6921476412567</v>
      </c>
      <c r="K9832" s="48" t="n">
        <f aca="false">(K9823+K9827)*Assumptions!$E$29</f>
        <v>16.4643985629052</v>
      </c>
      <c r="L9832" s="48" t="n">
        <f aca="false">(L9823+L9827)*Assumptions!$E$29</f>
        <v>15.3218493048332</v>
      </c>
      <c r="M9832" s="48" t="n">
        <f aca="false">(M9823+M9827)*Assumptions!$E$29</f>
        <v>14.2585874135079</v>
      </c>
      <c r="N9832" s="48" t="n">
        <f aca="false">(N9823+N9827)*Assumptions!$E$29</f>
        <v>13.2691107309425</v>
      </c>
      <c r="P9832" s="49" t="n">
        <f aca="false">SUM(C9832:F9832)</f>
        <v>16.4377297212427</v>
      </c>
      <c r="Q9832" s="49" t="n">
        <f aca="false">SUM(G9832:J9832)</f>
        <v>43.5623707779142</v>
      </c>
      <c r="R9832" s="49" t="n">
        <f aca="false">SUM(K9832:N9832)</f>
        <v>59.3139460121888</v>
      </c>
      <c r="S9832" s="50" t="n">
        <f aca="false">SUM(P9832:R9832)</f>
        <v>119.314046511346</v>
      </c>
    </row>
    <row r="9833" customFormat="false" ht="15" hidden="false" customHeight="false" outlineLevel="0" collapsed="false">
      <c r="A9833" s="4" t="s">
        <v>505</v>
      </c>
      <c r="B9833" s="36" t="s">
        <v>504</v>
      </c>
      <c r="C9833" s="48" t="n">
        <f aca="false">C9829*Assumptions!$E$31</f>
        <v>0.883020357632</v>
      </c>
      <c r="D9833" s="48" t="n">
        <f aca="false">D9829*Assumptions!$E$31</f>
        <v>1.766040715264</v>
      </c>
      <c r="E9833" s="48" t="n">
        <f aca="false">E9829*Assumptions!$E$31</f>
        <v>1.766040715264</v>
      </c>
      <c r="F9833" s="48" t="n">
        <f aca="false">F9829*Assumptions!$E$31</f>
        <v>1.766040715264</v>
      </c>
      <c r="G9833" s="48" t="n">
        <f aca="false">G9829*Assumptions!$E$31</f>
        <v>2.389599202816</v>
      </c>
      <c r="H9833" s="48" t="n">
        <f aca="false">H9829*Assumptions!$E$31</f>
        <v>3.013157690368</v>
      </c>
      <c r="I9833" s="48" t="n">
        <f aca="false">I9829*Assumptions!$E$31</f>
        <v>5.068176633856</v>
      </c>
      <c r="J9833" s="48" t="n">
        <f aca="false">J9829*Assumptions!$E$31</f>
        <v>7.123195577344</v>
      </c>
      <c r="K9833" s="48" t="n">
        <f aca="false">K9829*Assumptions!$E$31</f>
        <v>7.123195577344</v>
      </c>
      <c r="L9833" s="48" t="n">
        <f aca="false">L9829*Assumptions!$E$31</f>
        <v>7.123195577344</v>
      </c>
      <c r="M9833" s="48" t="n">
        <f aca="false">M9829*Assumptions!$E$31</f>
        <v>7.123195577344</v>
      </c>
      <c r="N9833" s="48" t="n">
        <f aca="false">N9829*Assumptions!$E$31</f>
        <v>7.123195577344</v>
      </c>
      <c r="P9833" s="49" t="n">
        <f aca="false">SUM(C9833:F9833)</f>
        <v>6.181142503424</v>
      </c>
      <c r="Q9833" s="49" t="n">
        <f aca="false">SUM(G9833:J9833)</f>
        <v>17.594129104384</v>
      </c>
      <c r="R9833" s="49" t="n">
        <f aca="false">SUM(K9833:N9833)</f>
        <v>28.492782309376</v>
      </c>
      <c r="S9833" s="50" t="n">
        <f aca="false">SUM(P9833:R9833)</f>
        <v>52.268053917184</v>
      </c>
    </row>
    <row r="9834" customFormat="false" ht="15" hidden="false" customHeight="false" outlineLevel="0" collapsed="false">
      <c r="A9834" s="4" t="s">
        <v>506</v>
      </c>
      <c r="B9834" s="36" t="s">
        <v>504</v>
      </c>
      <c r="C9834" s="48" t="n">
        <f aca="false">C9831*Assumptions!$E$30</f>
        <v>3</v>
      </c>
      <c r="D9834" s="48" t="n">
        <f aca="false">D9831*Assumptions!$E$30</f>
        <v>4.5</v>
      </c>
      <c r="E9834" s="48" t="n">
        <f aca="false">E9831*Assumptions!$E$30</f>
        <v>6</v>
      </c>
      <c r="F9834" s="48" t="n">
        <f aca="false">F9831*Assumptions!$E$30</f>
        <v>7.5</v>
      </c>
      <c r="G9834" s="48" t="n">
        <f aca="false">G9831*Assumptions!$E$30</f>
        <v>9</v>
      </c>
      <c r="H9834" s="48" t="n">
        <f aca="false">H9831*Assumptions!$E$30</f>
        <v>10.5</v>
      </c>
      <c r="I9834" s="48" t="n">
        <f aca="false">I9831*Assumptions!$E$30</f>
        <v>12</v>
      </c>
      <c r="J9834" s="48" t="n">
        <f aca="false">J9831*Assumptions!$E$30</f>
        <v>13.5</v>
      </c>
      <c r="K9834" s="48" t="n">
        <f aca="false">K9831*Assumptions!$E$30</f>
        <v>15</v>
      </c>
      <c r="L9834" s="48" t="n">
        <f aca="false">L9831*Assumptions!$E$30</f>
        <v>15</v>
      </c>
      <c r="M9834" s="48" t="n">
        <f aca="false">M9831*Assumptions!$E$30</f>
        <v>15</v>
      </c>
      <c r="N9834" s="48" t="n">
        <f aca="false">N9831*Assumptions!$E$30</f>
        <v>15</v>
      </c>
      <c r="P9834" s="49" t="n">
        <f aca="false">SUM(C9834:F9834)</f>
        <v>21</v>
      </c>
      <c r="Q9834" s="49" t="n">
        <f aca="false">SUM(G9834:J9834)</f>
        <v>45</v>
      </c>
      <c r="R9834" s="49" t="n">
        <f aca="false">SUM(K9834:N9834)</f>
        <v>60</v>
      </c>
      <c r="S9834" s="50" t="n">
        <f aca="false">SUM(P9834:R9834)</f>
        <v>126</v>
      </c>
    </row>
    <row r="9835" customFormat="false" ht="15" hidden="false" customHeight="false" outlineLevel="0" collapsed="false">
      <c r="A9835" s="9" t="s">
        <v>507</v>
      </c>
      <c r="B9835" s="36" t="s">
        <v>504</v>
      </c>
      <c r="C9835" s="49" t="n">
        <f aca="false">C9832+C9833+C9834</f>
        <v>6.532081430528</v>
      </c>
      <c r="D9835" s="49" t="n">
        <f aca="false">D9832+D9833+D9834</f>
        <v>11.1964989282545</v>
      </c>
      <c r="E9835" s="49" t="n">
        <f aca="false">E9832+E9833+E9834</f>
        <v>12.3543490858728</v>
      </c>
      <c r="F9835" s="49" t="n">
        <f aca="false">F9832+F9833+F9834</f>
        <v>13.5359427800114</v>
      </c>
      <c r="G9835" s="49" t="n">
        <f aca="false">G9832+G9833+G9834</f>
        <v>17.233866274816</v>
      </c>
      <c r="H9835" s="49" t="n">
        <f aca="false">H9832+H9833+H9834</f>
        <v>20.6927207008123</v>
      </c>
      <c r="I9835" s="49" t="n">
        <f aca="false">I9832+I9833+I9834</f>
        <v>29.9145696880692</v>
      </c>
      <c r="J9835" s="49" t="n">
        <f aca="false">J9832+J9833+J9834</f>
        <v>38.3153432186007</v>
      </c>
      <c r="K9835" s="49" t="n">
        <f aca="false">K9832+K9833+K9834</f>
        <v>38.5875941402492</v>
      </c>
      <c r="L9835" s="49" t="n">
        <f aca="false">L9832+L9833+L9834</f>
        <v>37.4450448821772</v>
      </c>
      <c r="M9835" s="49" t="n">
        <f aca="false">M9832+M9833+M9834</f>
        <v>36.3817829908519</v>
      </c>
      <c r="N9835" s="49" t="n">
        <f aca="false">N9832+N9833+N9834</f>
        <v>35.3923063082865</v>
      </c>
      <c r="P9835" s="49" t="n">
        <f aca="false">SUM(C9835:F9835)</f>
        <v>43.6188722246667</v>
      </c>
      <c r="Q9835" s="49" t="n">
        <f aca="false">SUM(G9835:J9835)</f>
        <v>106.156499882298</v>
      </c>
      <c r="R9835" s="49" t="n">
        <f aca="false">SUM(K9835:N9835)</f>
        <v>147.806728321565</v>
      </c>
      <c r="S9835" s="50" t="n">
        <f aca="false">SUM(P9835:R9835)</f>
        <v>297.58210042853</v>
      </c>
    </row>
    <row r="9836" customFormat="false" ht="15" hidden="false" customHeight="false" outlineLevel="0" collapsed="false">
      <c r="A9836" s="4" t="s">
        <v>508</v>
      </c>
      <c r="B9836" s="36" t="s">
        <v>509</v>
      </c>
      <c r="C9836" s="48" t="n">
        <f aca="false">C9818</f>
        <v>421.51972352</v>
      </c>
      <c r="D9836" s="48" t="n">
        <f aca="false">D9818</f>
        <v>843.03944704</v>
      </c>
      <c r="E9836" s="48" t="n">
        <f aca="false">E9818</f>
        <v>843.03944704</v>
      </c>
      <c r="F9836" s="48" t="n">
        <f aca="false">F9818</f>
        <v>843.03944704</v>
      </c>
      <c r="G9836" s="48" t="n">
        <f aca="false">G9818</f>
        <v>1149.32798176</v>
      </c>
      <c r="H9836" s="48" t="n">
        <f aca="false">H9818</f>
        <v>1455.61651648</v>
      </c>
      <c r="I9836" s="48" t="n">
        <f aca="false">I9818</f>
        <v>2486.00303616</v>
      </c>
      <c r="J9836" s="48" t="n">
        <f aca="false">J9818</f>
        <v>3516.38955584</v>
      </c>
      <c r="K9836" s="48" t="n">
        <f aca="false">K9818</f>
        <v>3516.38955584</v>
      </c>
      <c r="L9836" s="48" t="n">
        <f aca="false">L9818</f>
        <v>3516.38955584</v>
      </c>
      <c r="M9836" s="48" t="n">
        <f aca="false">M9818</f>
        <v>3516.38955584</v>
      </c>
      <c r="N9836" s="48" t="n">
        <f aca="false">N9818</f>
        <v>3516.38955584</v>
      </c>
      <c r="P9836" s="49"/>
      <c r="Q9836" s="49"/>
      <c r="R9836" s="49"/>
      <c r="S9836" s="50"/>
    </row>
    <row r="9837" customFormat="false" ht="15" hidden="false" customHeight="false" outlineLevel="0" collapsed="false">
      <c r="A9837" s="4" t="s">
        <v>510</v>
      </c>
      <c r="B9837" s="36" t="s">
        <v>509</v>
      </c>
      <c r="C9837" s="48" t="n">
        <f aca="false">C9819*Assumptions!$E$18*Assumptions!$E$33</f>
        <v>211.19616</v>
      </c>
      <c r="D9837" s="48" t="n">
        <f aca="false">D9819*Assumptions!$E$18*Assumptions!$E$33</f>
        <v>422.39232</v>
      </c>
      <c r="E9837" s="48" t="n">
        <f aca="false">E9819*Assumptions!$E$18*Assumptions!$E$33</f>
        <v>422.39232</v>
      </c>
      <c r="F9837" s="48" t="n">
        <f aca="false">F9819*Assumptions!$E$18*Assumptions!$E$33</f>
        <v>422.39232</v>
      </c>
      <c r="G9837" s="48" t="n">
        <f aca="false">G9819*Assumptions!$E$18*Assumptions!$E$33</f>
        <v>564.49344</v>
      </c>
      <c r="H9837" s="48" t="n">
        <f aca="false">H9819*Assumptions!$E$18*Assumptions!$E$33</f>
        <v>706.59456</v>
      </c>
      <c r="I9837" s="48" t="n">
        <f aca="false">I9819*Assumptions!$E$18*Assumptions!$E$33</f>
        <v>1135.07072</v>
      </c>
      <c r="J9837" s="48" t="n">
        <f aca="false">J9819*Assumptions!$E$18*Assumptions!$E$33</f>
        <v>1563.54688</v>
      </c>
      <c r="K9837" s="48" t="n">
        <f aca="false">K9819*Assumptions!$E$18*Assumptions!$E$33</f>
        <v>1563.54688</v>
      </c>
      <c r="L9837" s="48" t="n">
        <f aca="false">L9819*Assumptions!$E$18*Assumptions!$E$33</f>
        <v>1563.54688</v>
      </c>
      <c r="M9837" s="48" t="n">
        <f aca="false">M9819*Assumptions!$E$18*Assumptions!$E$33</f>
        <v>1563.54688</v>
      </c>
      <c r="N9837" s="48" t="n">
        <f aca="false">N9819*Assumptions!$E$18*Assumptions!$E$33</f>
        <v>1563.54688</v>
      </c>
      <c r="P9837" s="49"/>
      <c r="Q9837" s="49"/>
      <c r="R9837" s="49"/>
      <c r="S9837" s="50"/>
    </row>
    <row r="9838" customFormat="false" ht="15" hidden="false" customHeight="false" outlineLevel="0" collapsed="false">
      <c r="A9838" s="4" t="s">
        <v>511</v>
      </c>
      <c r="B9838" s="36" t="s">
        <v>509</v>
      </c>
      <c r="C9838" s="48" t="n">
        <f aca="false">C9820*Assumptions!$E$19*Assumptions!$E$34</f>
        <v>34.677888</v>
      </c>
      <c r="D9838" s="48" t="n">
        <f aca="false">D9820*Assumptions!$E$19*Assumptions!$E$34</f>
        <v>69.355776</v>
      </c>
      <c r="E9838" s="48" t="n">
        <f aca="false">E9820*Assumptions!$E$19*Assumptions!$E$34</f>
        <v>69.355776</v>
      </c>
      <c r="F9838" s="48" t="n">
        <f aca="false">F9820*Assumptions!$E$19*Assumptions!$E$34</f>
        <v>69.355776</v>
      </c>
      <c r="G9838" s="48" t="n">
        <f aca="false">G9820*Assumptions!$E$19*Assumptions!$E$34</f>
        <v>86.69472</v>
      </c>
      <c r="H9838" s="48" t="n">
        <f aca="false">H9820*Assumptions!$E$19*Assumptions!$E$34</f>
        <v>104.033664</v>
      </c>
      <c r="I9838" s="48" t="n">
        <f aca="false">I9820*Assumptions!$E$19*Assumptions!$E$34</f>
        <v>159.7008</v>
      </c>
      <c r="J9838" s="48" t="n">
        <f aca="false">J9820*Assumptions!$E$19*Assumptions!$E$34</f>
        <v>215.367936</v>
      </c>
      <c r="K9838" s="48" t="n">
        <f aca="false">K9820*Assumptions!$E$19*Assumptions!$E$34</f>
        <v>215.367936</v>
      </c>
      <c r="L9838" s="48" t="n">
        <f aca="false">L9820*Assumptions!$E$19*Assumptions!$E$34</f>
        <v>215.367936</v>
      </c>
      <c r="M9838" s="48" t="n">
        <f aca="false">M9820*Assumptions!$E$19*Assumptions!$E$34</f>
        <v>215.367936</v>
      </c>
      <c r="N9838" s="48" t="n">
        <f aca="false">N9820*Assumptions!$E$19*Assumptions!$E$34</f>
        <v>215.367936</v>
      </c>
      <c r="P9838" s="49"/>
      <c r="Q9838" s="49"/>
      <c r="R9838" s="49"/>
      <c r="S9838" s="50"/>
    </row>
    <row r="9839" customFormat="false" ht="15" hidden="false" customHeight="false" outlineLevel="0" collapsed="false">
      <c r="A9839" s="4" t="s">
        <v>512</v>
      </c>
      <c r="B9839" s="36" t="s">
        <v>77</v>
      </c>
      <c r="C9839" s="51" t="n">
        <f aca="false">IFERROR(C9836/(C9836+C9837+C9838),0)</f>
        <v>0.631590736245533</v>
      </c>
      <c r="D9839" s="51" t="n">
        <f aca="false">IFERROR(D9836/(D9836+D9837+D9838),0)</f>
        <v>0.631590736245533</v>
      </c>
      <c r="E9839" s="51" t="n">
        <f aca="false">IFERROR(E9836/(E9836+E9837+E9838),0)</f>
        <v>0.631590736245533</v>
      </c>
      <c r="F9839" s="51" t="n">
        <f aca="false">IFERROR(F9836/(F9836+F9837+F9838),0)</f>
        <v>0.631590736245533</v>
      </c>
      <c r="G9839" s="51" t="n">
        <f aca="false">IFERROR(G9836/(G9836+G9837+G9838),0)</f>
        <v>0.638332506498128</v>
      </c>
      <c r="H9839" s="51" t="n">
        <f aca="false">IFERROR(H9836/(H9836+H9837+H9838),0)</f>
        <v>0.642303318118984</v>
      </c>
      <c r="I9839" s="51" t="n">
        <f aca="false">IFERROR(I9836/(I9836+I9837+I9838),0)</f>
        <v>0.657538025405288</v>
      </c>
      <c r="J9839" s="51" t="n">
        <f aca="false">IFERROR(J9836/(J9836+J9837+J9838),0)</f>
        <v>0.664058061428891</v>
      </c>
      <c r="K9839" s="51" t="n">
        <f aca="false">IFERROR(K9836/(K9836+K9837+K9838),0)</f>
        <v>0.664058061428891</v>
      </c>
      <c r="L9839" s="51" t="n">
        <f aca="false">IFERROR(L9836/(L9836+L9837+L9838),0)</f>
        <v>0.664058061428891</v>
      </c>
      <c r="M9839" s="51" t="n">
        <f aca="false">IFERROR(M9836/(M9836+M9837+M9838),0)</f>
        <v>0.664058061428891</v>
      </c>
      <c r="N9839" s="51" t="n">
        <f aca="false">IFERROR(N9836/(N9836+N9837+N9838),0)</f>
        <v>0.664058061428891</v>
      </c>
      <c r="P9839" s="52"/>
      <c r="Q9839" s="52"/>
      <c r="R9839" s="52"/>
      <c r="S9839" s="53"/>
    </row>
    <row r="9840" customFormat="false" ht="15" hidden="false" customHeight="false" outlineLevel="0" collapsed="false">
      <c r="A9840" s="4" t="s">
        <v>513</v>
      </c>
      <c r="B9840" s="36" t="s">
        <v>77</v>
      </c>
      <c r="C9840" s="51" t="n">
        <f aca="false">IFERROR(C9837/(C9836+C9837+C9838),0)</f>
        <v>0.316449102482628</v>
      </c>
      <c r="D9840" s="51" t="n">
        <f aca="false">IFERROR(D9837/(D9836+D9837+D9838),0)</f>
        <v>0.316449102482628</v>
      </c>
      <c r="E9840" s="51" t="n">
        <f aca="false">IFERROR(E9837/(E9836+E9837+E9838),0)</f>
        <v>0.316449102482628</v>
      </c>
      <c r="F9840" s="51" t="n">
        <f aca="false">IFERROR(F9837/(F9836+F9837+F9838),0)</f>
        <v>0.316449102482628</v>
      </c>
      <c r="G9840" s="51" t="n">
        <f aca="false">IFERROR(G9837/(G9836+G9837+G9838),0)</f>
        <v>0.313517566939561</v>
      </c>
      <c r="H9840" s="51" t="n">
        <f aca="false">IFERROR(H9837/(H9836+H9837+H9838),0)</f>
        <v>0.311790932099567</v>
      </c>
      <c r="I9840" s="51" t="n">
        <f aca="false">IFERROR(I9837/(I9836+I9837+I9838),0)</f>
        <v>0.300221741111391</v>
      </c>
      <c r="J9840" s="51" t="n">
        <f aca="false">IFERROR(J9837/(J9836+J9837+J9838),0)</f>
        <v>0.295270445324128</v>
      </c>
      <c r="K9840" s="51" t="n">
        <f aca="false">IFERROR(K9837/(K9836+K9837+K9838),0)</f>
        <v>0.295270445324128</v>
      </c>
      <c r="L9840" s="51" t="n">
        <f aca="false">IFERROR(L9837/(L9836+L9837+L9838),0)</f>
        <v>0.295270445324128</v>
      </c>
      <c r="M9840" s="51" t="n">
        <f aca="false">IFERROR(M9837/(M9836+M9837+M9838),0)</f>
        <v>0.295270445324128</v>
      </c>
      <c r="N9840" s="51" t="n">
        <f aca="false">IFERROR(N9837/(N9836+N9837+N9838),0)</f>
        <v>0.295270445324128</v>
      </c>
      <c r="P9840" s="52"/>
      <c r="Q9840" s="52"/>
      <c r="R9840" s="52"/>
      <c r="S9840" s="53"/>
    </row>
    <row r="9841" customFormat="false" ht="15" hidden="false" customHeight="false" outlineLevel="0" collapsed="false">
      <c r="A9841" s="4" t="s">
        <v>514</v>
      </c>
      <c r="B9841" s="36" t="s">
        <v>77</v>
      </c>
      <c r="C9841" s="51" t="n">
        <f aca="false">IFERROR(C9838/(C9836+C9837+C9838),0)</f>
        <v>0.0519601612718389</v>
      </c>
      <c r="D9841" s="51" t="n">
        <f aca="false">IFERROR(D9838/(D9836+D9837+D9838),0)</f>
        <v>0.0519601612718389</v>
      </c>
      <c r="E9841" s="51" t="n">
        <f aca="false">IFERROR(E9838/(E9836+E9837+E9838),0)</f>
        <v>0.0519601612718389</v>
      </c>
      <c r="F9841" s="51" t="n">
        <f aca="false">IFERROR(F9838/(F9836+F9837+F9838),0)</f>
        <v>0.0519601612718389</v>
      </c>
      <c r="G9841" s="51" t="n">
        <f aca="false">IFERROR(G9838/(G9836+G9837+G9838),0)</f>
        <v>0.0481499265623113</v>
      </c>
      <c r="H9841" s="51" t="n">
        <f aca="false">IFERROR(H9838/(H9836+H9837+H9838),0)</f>
        <v>0.0459057497814491</v>
      </c>
      <c r="I9841" s="51" t="n">
        <f aca="false">IFERROR(I9838/(I9836+I9837+I9838),0)</f>
        <v>0.0422402334833216</v>
      </c>
      <c r="J9841" s="51" t="n">
        <f aca="false">IFERROR(J9838/(J9836+J9837+J9838),0)</f>
        <v>0.0406714932469811</v>
      </c>
      <c r="K9841" s="51" t="n">
        <f aca="false">IFERROR(K9838/(K9836+K9837+K9838),0)</f>
        <v>0.0406714932469811</v>
      </c>
      <c r="L9841" s="51" t="n">
        <f aca="false">IFERROR(L9838/(L9836+L9837+L9838),0)</f>
        <v>0.0406714932469811</v>
      </c>
      <c r="M9841" s="51" t="n">
        <f aca="false">IFERROR(M9838/(M9836+M9837+M9838),0)</f>
        <v>0.0406714932469811</v>
      </c>
      <c r="N9841" s="51" t="n">
        <f aca="false">IFERROR(N9838/(N9836+N9837+N9838),0)</f>
        <v>0.0406714932469811</v>
      </c>
      <c r="P9841" s="52"/>
      <c r="Q9841" s="52"/>
      <c r="R9841" s="52"/>
      <c r="S9841" s="53"/>
    </row>
    <row r="9842" customFormat="false" ht="15" hidden="false" customHeight="false" outlineLevel="0" collapsed="false">
      <c r="A9842" s="4" t="s">
        <v>515</v>
      </c>
      <c r="B9842" s="36" t="s">
        <v>516</v>
      </c>
      <c r="C9842" s="48" t="n">
        <f aca="false">IF(C9810-Assumptions!$E$35&lt;1,0,INDEX($C$9835:$N$9835,1,C9810-Assumptions!$E$35)*INDEX($C$9839:$N$9839,1,C9810-Assumptions!$E$35)*0.4)</f>
        <v>0</v>
      </c>
      <c r="D9842" s="48" t="n">
        <f aca="false">IF(D9810-Assumptions!$E$35&lt;1,0,INDEX($C$9835:$N$9835,1,D9810-Assumptions!$E$35)*INDEX($C$9839:$N$9839,1,D9810-Assumptions!$E$35)*0.4)</f>
        <v>1.65024084796918</v>
      </c>
      <c r="E9842" s="48" t="n">
        <f aca="false">IF(E9810-Assumptions!$E$35&lt;1,0,INDEX($C$9835:$N$9835,1,E9810-Assumptions!$E$35)*INDEX($C$9839:$N$9839,1,E9810-Assumptions!$E$35)*0.4)</f>
        <v>2.82864200058743</v>
      </c>
      <c r="F9842" s="48" t="n">
        <f aca="false">IF(F9810-Assumptions!$E$35&lt;1,0,INDEX($C$9835:$N$9835,1,F9810-Assumptions!$E$35)*INDEX($C$9839:$N$9839,1,F9810-Assumptions!$E$35)*0.4)</f>
        <v>3.12115697399229</v>
      </c>
      <c r="G9842" s="48" t="n">
        <f aca="false">IF(G9810-Assumptions!$E$35&lt;1,0,INDEX($C$9835:$N$9835,1,G9810-Assumptions!$E$35)*INDEX($C$9839:$N$9839,1,G9810-Assumptions!$E$35)*0.4)</f>
        <v>3.41967042648192</v>
      </c>
      <c r="H9842" s="48" t="n">
        <f aca="false">IF(H9810-Assumptions!$E$35&lt;1,0,INDEX($C$9835:$N$9835,1,H9810-Assumptions!$E$35)*INDEX($C$9839:$N$9839,1,H9810-Assumptions!$E$35)*0.4)</f>
        <v>4.40037482234274</v>
      </c>
      <c r="I9842" s="48" t="n">
        <f aca="false">IF(I9810-Assumptions!$E$35&lt;1,0,INDEX($C$9835:$N$9835,1,I9810-Assumptions!$E$35)*INDEX($C$9839:$N$9839,1,I9810-Assumptions!$E$35)*0.4)</f>
        <v>5.31640126681646</v>
      </c>
      <c r="J9842" s="48" t="n">
        <f aca="false">IF(J9810-Assumptions!$E$35&lt;1,0,INDEX($C$9835:$N$9835,1,J9810-Assumptions!$E$35)*INDEX($C$9839:$N$9839,1,J9810-Assumptions!$E$35)*0.4)</f>
        <v>7.86798683341676</v>
      </c>
      <c r="K9842" s="48" t="n">
        <f aca="false">IF(K9810-Assumptions!$E$35&lt;1,0,INDEX($C$9835:$N$9835,1,K9810-Assumptions!$E$35)*INDEX($C$9839:$N$9839,1,K9810-Assumptions!$E$35)*0.4)</f>
        <v>10.1774450162906</v>
      </c>
      <c r="L9842" s="48" t="n">
        <f aca="false">IF(L9810-Assumptions!$E$35&lt;1,0,INDEX($C$9835:$N$9835,1,L9810-Assumptions!$E$35)*INDEX($C$9839:$N$9839,1,L9810-Assumptions!$E$35)*0.4)</f>
        <v>10.2497611839915</v>
      </c>
      <c r="M9842" s="48" t="n">
        <f aca="false">IF(M9810-Assumptions!$E$35&lt;1,0,INDEX($C$9835:$N$9835,1,M9810-Assumptions!$E$35)*INDEX($C$9839:$N$9839,1,M9810-Assumptions!$E$35)*0.4)</f>
        <v>9.94627356583056</v>
      </c>
      <c r="N9842" s="48" t="n">
        <f aca="false">IF(N9810-Assumptions!$E$35&lt;1,0,INDEX($C$9835:$N$9835,1,N9810-Assumptions!$E$35)*INDEX($C$9839:$N$9839,1,N9810-Assumptions!$E$35)*0.4)</f>
        <v>9.66384651369268</v>
      </c>
      <c r="P9842" s="49" t="n">
        <f aca="false">SUM(C9842:F9842)</f>
        <v>7.6000398225489</v>
      </c>
      <c r="Q9842" s="49" t="n">
        <f aca="false">SUM(G9842:J9842)</f>
        <v>21.0044333490579</v>
      </c>
      <c r="R9842" s="49" t="n">
        <f aca="false">SUM(K9842:N9842)</f>
        <v>40.0373262798053</v>
      </c>
      <c r="S9842" s="50" t="n">
        <f aca="false">SUM(P9842:R9842)</f>
        <v>68.6417994514121</v>
      </c>
    </row>
    <row r="9843" customFormat="false" ht="15" hidden="false" customHeight="false" outlineLevel="0" collapsed="false">
      <c r="A9843" s="4" t="s">
        <v>517</v>
      </c>
      <c r="B9843" s="36" t="s">
        <v>516</v>
      </c>
      <c r="C9843" s="48" t="n">
        <f aca="false">IF(C9810-Assumptions!$E$35&lt;1,0,INDEX($C$9835:$N$9835,1,C9810-Assumptions!$E$35)*INDEX($C$9840:$N$9840,1,C9810-Assumptions!$E$35)*0.4)</f>
        <v>0</v>
      </c>
      <c r="D9843" s="48" t="n">
        <f aca="false">IF(D9810-Assumptions!$E$35&lt;1,0,INDEX($C$9835:$N$9835,1,D9810-Assumptions!$E$35)*INDEX($C$9840:$N$9840,1,D9810-Assumptions!$E$35)*0.4)</f>
        <v>0.82682852241361</v>
      </c>
      <c r="E9843" s="48" t="n">
        <f aca="false">IF(E9810-Assumptions!$E$35&lt;1,0,INDEX($C$9835:$N$9835,1,E9810-Assumptions!$E$35)*INDEX($C$9840:$N$9840,1,E9810-Assumptions!$E$35)*0.4)</f>
        <v>1.41724881471753</v>
      </c>
      <c r="F9843" s="48" t="n">
        <f aca="false">IF(F9810-Assumptions!$E$35&lt;1,0,INDEX($C$9835:$N$9835,1,F9810-Assumptions!$E$35)*INDEX($C$9840:$N$9840,1,F9810-Assumptions!$E$35)*0.4)</f>
        <v>1.56380907199261</v>
      </c>
      <c r="G9843" s="48" t="n">
        <f aca="false">IF(G9810-Assumptions!$E$35&lt;1,0,INDEX($C$9835:$N$9835,1,G9810-Assumptions!$E$35)*INDEX($C$9840:$N$9840,1,G9810-Assumptions!$E$35)*0.4)</f>
        <v>1.71337477759632</v>
      </c>
      <c r="H9843" s="48" t="n">
        <f aca="false">IF(H9810-Assumptions!$E$35&lt;1,0,INDEX($C$9835:$N$9835,1,H9810-Assumptions!$E$35)*INDEX($C$9840:$N$9840,1,H9810-Assumptions!$E$35)*0.4)</f>
        <v>2.16124792937682</v>
      </c>
      <c r="I9843" s="48" t="n">
        <f aca="false">IF(I9810-Assumptions!$E$35&lt;1,0,INDEX($C$9835:$N$9835,1,I9810-Assumptions!$E$35)*INDEX($C$9840:$N$9840,1,I9810-Assumptions!$E$35)*0.4)</f>
        <v>2.58072106999291</v>
      </c>
      <c r="J9843" s="48" t="n">
        <f aca="false">IF(J9810-Assumptions!$E$35&lt;1,0,INDEX($C$9835:$N$9835,1,J9810-Assumptions!$E$35)*INDEX($C$9840:$N$9840,1,J9810-Assumptions!$E$35)*0.4)</f>
        <v>3.59240167854007</v>
      </c>
      <c r="K9843" s="48" t="n">
        <f aca="false">IF(K9810-Assumptions!$E$35&lt;1,0,INDEX($C$9835:$N$9835,1,K9810-Assumptions!$E$35)*INDEX($C$9840:$N$9840,1,K9810-Assumptions!$E$35)*0.4)</f>
        <v>4.52535538196121</v>
      </c>
      <c r="L9843" s="48" t="n">
        <f aca="false">IF(L9810-Assumptions!$E$35&lt;1,0,INDEX($C$9835:$N$9835,1,L9810-Assumptions!$E$35)*INDEX($C$9840:$N$9840,1,L9810-Assumptions!$E$35)*0.4)</f>
        <v>4.55751044231124</v>
      </c>
      <c r="M9843" s="48" t="n">
        <f aca="false">IF(M9810-Assumptions!$E$35&lt;1,0,INDEX($C$9835:$N$9835,1,M9810-Assumptions!$E$35)*INDEX($C$9840:$N$9840,1,M9810-Assumptions!$E$35)*0.4)</f>
        <v>4.42256603101697</v>
      </c>
      <c r="N9843" s="48" t="n">
        <f aca="false">IF(N9810-Assumptions!$E$35&lt;1,0,INDEX($C$9835:$N$9835,1,N9810-Assumptions!$E$35)*INDEX($C$9840:$N$9840,1,N9810-Assumptions!$E$35)*0.4)</f>
        <v>4.29698610615785</v>
      </c>
      <c r="P9843" s="49" t="n">
        <f aca="false">SUM(C9843:F9843)</f>
        <v>3.80788640912375</v>
      </c>
      <c r="Q9843" s="49" t="n">
        <f aca="false">SUM(G9843:J9843)</f>
        <v>10.0477454555061</v>
      </c>
      <c r="R9843" s="49" t="n">
        <f aca="false">SUM(K9843:N9843)</f>
        <v>17.8024179614473</v>
      </c>
      <c r="S9843" s="50" t="n">
        <f aca="false">SUM(P9843:R9843)</f>
        <v>31.6580498260772</v>
      </c>
    </row>
    <row r="9844" customFormat="false" ht="15" hidden="false" customHeight="false" outlineLevel="0" collapsed="false">
      <c r="A9844" s="4" t="s">
        <v>518</v>
      </c>
      <c r="B9844" s="36" t="s">
        <v>516</v>
      </c>
      <c r="C9844" s="48" t="n">
        <f aca="false">IF(C9810-Assumptions!$E$36&lt;1,0,INDEX($C$9835:$N$9835,1,C9810-Assumptions!$E$36)*INDEX($C$9841:$N$9841,1,C9810-Assumptions!$E$36)*0.4)</f>
        <v>0</v>
      </c>
      <c r="D9844" s="48" t="n">
        <f aca="false">IF(D9810-Assumptions!$E$36&lt;1,0,INDEX($C$9835:$N$9835,1,D9810-Assumptions!$E$36)*INDEX($C$9841:$N$9841,1,D9810-Assumptions!$E$36)*0.4)</f>
        <v>0</v>
      </c>
      <c r="E9844" s="48" t="n">
        <f aca="false">IF(E9810-Assumptions!$E$36&lt;1,0,INDEX($C$9835:$N$9835,1,E9810-Assumptions!$E$36)*INDEX($C$9841:$N$9841,1,E9810-Assumptions!$E$36)*0.4)</f>
        <v>0.135763201828408</v>
      </c>
      <c r="F9844" s="48" t="n">
        <f aca="false">IF(F9810-Assumptions!$E$36&lt;1,0,INDEX($C$9835:$N$9835,1,F9810-Assumptions!$E$36)*INDEX($C$9841:$N$9841,1,F9810-Assumptions!$E$36)*0.4)</f>
        <v>0.23270875599683</v>
      </c>
      <c r="G9844" s="48" t="n">
        <f aca="false">IF(G9810-Assumptions!$E$36&lt;1,0,INDEX($C$9835:$N$9835,1,G9810-Assumptions!$E$36)*INDEX($C$9841:$N$9841,1,G9810-Assumptions!$E$36)*0.4)</f>
        <v>0.256773588364218</v>
      </c>
      <c r="H9844" s="48" t="n">
        <f aca="false">IF(H9810-Assumptions!$E$36&lt;1,0,INDEX($C$9835:$N$9835,1,H9810-Assumptions!$E$36)*INDEX($C$9841:$N$9841,1,H9810-Assumptions!$E$36)*0.4)</f>
        <v>0.28133190792631</v>
      </c>
      <c r="I9844" s="48" t="n">
        <f aca="false">IF(I9810-Assumptions!$E$36&lt;1,0,INDEX($C$9835:$N$9835,1,I9810-Assumptions!$E$36)*INDEX($C$9841:$N$9841,1,I9810-Assumptions!$E$36)*0.4)</f>
        <v>0.331923758206833</v>
      </c>
      <c r="J9844" s="48" t="n">
        <f aca="false">IF(J9810-Assumptions!$E$36&lt;1,0,INDEX($C$9835:$N$9835,1,J9810-Assumptions!$E$36)*INDEX($C$9841:$N$9841,1,J9810-Assumptions!$E$36)*0.4)</f>
        <v>0.379965943515562</v>
      </c>
      <c r="K9844" s="48" t="n">
        <f aca="false">IF(K9810-Assumptions!$E$36&lt;1,0,INDEX($C$9835:$N$9835,1,K9810-Assumptions!$E$36)*INDEX($C$9841:$N$9841,1,K9810-Assumptions!$E$36)*0.4)</f>
        <v>0.505439363270855</v>
      </c>
      <c r="L9844" s="48" t="n">
        <f aca="false">IF(L9810-Assumptions!$E$36&lt;1,0,INDEX($C$9835:$N$9835,1,L9810-Assumptions!$E$36)*INDEX($C$9841:$N$9841,1,L9810-Assumptions!$E$36)*0.4)</f>
        <v>0.623336889188432</v>
      </c>
      <c r="M9844" s="48" t="n">
        <f aca="false">IF(M9810-Assumptions!$E$36&lt;1,0,INDEX($C$9835:$N$9835,1,M9810-Assumptions!$E$36)*INDEX($C$9841:$N$9841,1,M9810-Assumptions!$E$36)*0.4)</f>
        <v>0.627766029796957</v>
      </c>
      <c r="N9844" s="48" t="n">
        <f aca="false">IF(N9810-Assumptions!$E$36&lt;1,0,INDEX($C$9835:$N$9835,1,N9810-Assumptions!$E$36)*INDEX($C$9841:$N$9841,1,N9810-Assumptions!$E$36)*0.4)</f>
        <v>0.60917835602335</v>
      </c>
      <c r="P9844" s="49" t="n">
        <f aca="false">SUM(C9844:F9844)</f>
        <v>0.368471957825237</v>
      </c>
      <c r="Q9844" s="49" t="n">
        <f aca="false">SUM(G9844:J9844)</f>
        <v>1.24999519801292</v>
      </c>
      <c r="R9844" s="49" t="n">
        <f aca="false">SUM(K9844:N9844)</f>
        <v>2.36572063827959</v>
      </c>
      <c r="S9844" s="50" t="n">
        <f aca="false">SUM(P9844:R9844)</f>
        <v>3.98418779411775</v>
      </c>
    </row>
    <row r="9845" customFormat="false" ht="15" hidden="false" customHeight="false" outlineLevel="0" collapsed="false">
      <c r="A9845" s="4" t="s">
        <v>519</v>
      </c>
      <c r="B9845" s="36" t="s">
        <v>77</v>
      </c>
      <c r="C9845" s="51" t="n">
        <f aca="false">IF(C9810-Assumptions!$E$35&lt;1,0,IFERROR(INDEX($C$9834:$N$9834,1,C9810-Assumptions!$E$35)/INDEX($C$9835:$N$9835,1,C9810-Assumptions!$E$35),0))</f>
        <v>0</v>
      </c>
      <c r="D9845" s="51" t="n">
        <f aca="false">IF(D9810-Assumptions!$E$35&lt;1,0,IFERROR(INDEX($C$9834:$N$9834,1,D9810-Assumptions!$E$35)/INDEX($C$9835:$N$9835,1,D9810-Assumptions!$E$35),0))</f>
        <v>0.459271678087073</v>
      </c>
      <c r="E9845" s="51" t="n">
        <f aca="false">IF(E9810-Assumptions!$E$35&lt;1,0,IFERROR(INDEX($C$9834:$N$9834,1,E9810-Assumptions!$E$35)/INDEX($C$9835:$N$9835,1,E9810-Assumptions!$E$35),0))</f>
        <v>0.401911350042128</v>
      </c>
      <c r="F9845" s="51" t="n">
        <f aca="false">IF(F9810-Assumptions!$E$35&lt;1,0,IFERROR(INDEX($C$9834:$N$9834,1,F9810-Assumptions!$E$35)/INDEX($C$9835:$N$9835,1,F9810-Assumptions!$E$35),0))</f>
        <v>0.485658933408398</v>
      </c>
      <c r="G9845" s="51" t="n">
        <f aca="false">IF(G9810-Assumptions!$E$35&lt;1,0,IFERROR(INDEX($C$9834:$N$9834,1,G9810-Assumptions!$E$35)/INDEX($C$9835:$N$9835,1,G9810-Assumptions!$E$35),0))</f>
        <v>0.554080356417826</v>
      </c>
      <c r="H9845" s="51" t="n">
        <f aca="false">IF(H9810-Assumptions!$E$35&lt;1,0,IFERROR(INDEX($C$9834:$N$9834,1,H9810-Assumptions!$E$35)/INDEX($C$9835:$N$9835,1,H9810-Assumptions!$E$35),0))</f>
        <v>0.522227563825987</v>
      </c>
      <c r="I9845" s="51" t="n">
        <f aca="false">IF(I9810-Assumptions!$E$35&lt;1,0,IFERROR(INDEX($C$9834:$N$9834,1,I9810-Assumptions!$E$35)/INDEX($C$9835:$N$9835,1,I9810-Assumptions!$E$35),0))</f>
        <v>0.507424816282752</v>
      </c>
      <c r="J9845" s="51" t="n">
        <f aca="false">IF(J9810-Assumptions!$E$35&lt;1,0,IFERROR(INDEX($C$9834:$N$9834,1,J9810-Assumptions!$E$35)/INDEX($C$9835:$N$9835,1,J9810-Assumptions!$E$35),0))</f>
        <v>0.401142323795015</v>
      </c>
      <c r="K9845" s="51" t="n">
        <f aca="false">IF(K9810-Assumptions!$E$35&lt;1,0,IFERROR(INDEX($C$9834:$N$9834,1,K9810-Assumptions!$E$35)/INDEX($C$9835:$N$9835,1,K9810-Assumptions!$E$35),0))</f>
        <v>0.352339268448632</v>
      </c>
      <c r="L9845" s="51" t="n">
        <f aca="false">IF(L9810-Assumptions!$E$35&lt;1,0,IFERROR(INDEX($C$9834:$N$9834,1,L9810-Assumptions!$E$35)/INDEX($C$9835:$N$9835,1,L9810-Assumptions!$E$35),0))</f>
        <v>0.388725970981282</v>
      </c>
      <c r="M9845" s="51" t="n">
        <f aca="false">IF(M9810-Assumptions!$E$35&lt;1,0,IFERROR(INDEX($C$9834:$N$9834,1,M9810-Assumptions!$E$35)/INDEX($C$9835:$N$9835,1,M9810-Assumptions!$E$35),0))</f>
        <v>0.400587048224893</v>
      </c>
      <c r="N9845" s="51" t="n">
        <f aca="false">IF(N9810-Assumptions!$E$35&lt;1,0,IFERROR(INDEX($C$9834:$N$9834,1,N9810-Assumptions!$E$35)/INDEX($C$9835:$N$9835,1,N9810-Assumptions!$E$35),0))</f>
        <v>0.412294251872474</v>
      </c>
      <c r="P9845" s="52"/>
      <c r="Q9845" s="52"/>
      <c r="R9845" s="52"/>
      <c r="S9845" s="53"/>
    </row>
    <row r="9846" customFormat="false" ht="15" hidden="false" customHeight="false" outlineLevel="0" collapsed="false">
      <c r="A9846" s="4" t="s">
        <v>520</v>
      </c>
      <c r="B9846" s="36" t="s">
        <v>516</v>
      </c>
      <c r="C9846" s="48" t="n">
        <f aca="false">C9842*Assumptions!$E$37</f>
        <v>0</v>
      </c>
      <c r="D9846" s="48" t="n">
        <f aca="false">D9842*Assumptions!$E$37</f>
        <v>0.495072254390755</v>
      </c>
      <c r="E9846" s="48" t="n">
        <f aca="false">E9842*Assumptions!$E$37</f>
        <v>0.848592600176228</v>
      </c>
      <c r="F9846" s="48" t="n">
        <f aca="false">F9842*Assumptions!$E$37</f>
        <v>0.936347092197688</v>
      </c>
      <c r="G9846" s="48" t="n">
        <f aca="false">G9842*Assumptions!$E$37</f>
        <v>1.02590112794458</v>
      </c>
      <c r="H9846" s="48" t="n">
        <f aca="false">H9842*Assumptions!$E$37</f>
        <v>1.32011244670282</v>
      </c>
      <c r="I9846" s="48" t="n">
        <f aca="false">I9842*Assumptions!$E$37</f>
        <v>1.59492038004494</v>
      </c>
      <c r="J9846" s="48" t="n">
        <f aca="false">J9842*Assumptions!$E$37</f>
        <v>2.36039605002503</v>
      </c>
      <c r="K9846" s="48" t="n">
        <f aca="false">K9842*Assumptions!$E$37</f>
        <v>3.05323350488719</v>
      </c>
      <c r="L9846" s="48" t="n">
        <f aca="false">L9842*Assumptions!$E$37</f>
        <v>3.07492835519744</v>
      </c>
      <c r="M9846" s="48" t="n">
        <f aca="false">M9842*Assumptions!$E$37</f>
        <v>2.98388206974917</v>
      </c>
      <c r="N9846" s="48" t="n">
        <f aca="false">N9842*Assumptions!$E$37</f>
        <v>2.89915395410781</v>
      </c>
      <c r="P9846" s="49" t="n">
        <f aca="false">SUM(C9846:F9846)</f>
        <v>2.28001194676467</v>
      </c>
      <c r="Q9846" s="49" t="n">
        <f aca="false">SUM(G9846:J9846)</f>
        <v>6.30133000471737</v>
      </c>
      <c r="R9846" s="49" t="n">
        <f aca="false">SUM(K9846:N9846)</f>
        <v>12.0111978839416</v>
      </c>
      <c r="S9846" s="50" t="n">
        <f aca="false">SUM(P9846:R9846)</f>
        <v>20.5925398354236</v>
      </c>
    </row>
    <row r="9847" customFormat="false" ht="15" hidden="false" customHeight="false" outlineLevel="0" collapsed="false">
      <c r="A9847" s="4" t="s">
        <v>521</v>
      </c>
      <c r="B9847" s="36" t="s">
        <v>516</v>
      </c>
      <c r="C9847" s="48" t="n">
        <f aca="false">C9842*(1-Assumptions!$E$37)</f>
        <v>0</v>
      </c>
      <c r="D9847" s="48" t="n">
        <f aca="false">D9842*(1-Assumptions!$E$37)</f>
        <v>1.15516859357843</v>
      </c>
      <c r="E9847" s="48" t="n">
        <f aca="false">E9842*(1-Assumptions!$E$37)</f>
        <v>1.9800494004112</v>
      </c>
      <c r="F9847" s="48" t="n">
        <f aca="false">F9842*(1-Assumptions!$E$37)</f>
        <v>2.1848098817946</v>
      </c>
      <c r="G9847" s="48" t="n">
        <f aca="false">G9842*(1-Assumptions!$E$37)</f>
        <v>2.39376929853734</v>
      </c>
      <c r="H9847" s="48" t="n">
        <f aca="false">H9842*(1-Assumptions!$E$37)</f>
        <v>3.08026237563992</v>
      </c>
      <c r="I9847" s="48" t="n">
        <f aca="false">I9842*(1-Assumptions!$E$37)</f>
        <v>3.72148088677152</v>
      </c>
      <c r="J9847" s="48" t="n">
        <f aca="false">J9842*(1-Assumptions!$E$37)</f>
        <v>5.50759078339173</v>
      </c>
      <c r="K9847" s="48" t="n">
        <f aca="false">K9842*(1-Assumptions!$E$37)</f>
        <v>7.12421151140343</v>
      </c>
      <c r="L9847" s="48" t="n">
        <f aca="false">L9842*(1-Assumptions!$E$37)</f>
        <v>7.17483282879404</v>
      </c>
      <c r="M9847" s="48" t="n">
        <f aca="false">M9842*(1-Assumptions!$E$37)</f>
        <v>6.96239149608139</v>
      </c>
      <c r="N9847" s="48" t="n">
        <f aca="false">N9842*(1-Assumptions!$E$37)</f>
        <v>6.76469255958488</v>
      </c>
      <c r="P9847" s="49" t="n">
        <f aca="false">SUM(C9847:F9847)</f>
        <v>5.32002787578423</v>
      </c>
      <c r="Q9847" s="49" t="n">
        <f aca="false">SUM(G9847:J9847)</f>
        <v>14.7031033443405</v>
      </c>
      <c r="R9847" s="49" t="n">
        <f aca="false">SUM(K9847:N9847)</f>
        <v>28.0261283958637</v>
      </c>
      <c r="S9847" s="50" t="n">
        <f aca="false">SUM(P9847:R9847)</f>
        <v>48.0492596159885</v>
      </c>
    </row>
    <row r="9848" customFormat="false" ht="15" hidden="false" customHeight="false" outlineLevel="0" collapsed="false">
      <c r="A9848" s="4" t="s">
        <v>522</v>
      </c>
      <c r="B9848" s="36" t="s">
        <v>125</v>
      </c>
      <c r="C9848" s="54" t="n">
        <f aca="false">C9847*$C$9801+C9843*$C$9802+C9844*$C$9803</f>
        <v>0</v>
      </c>
      <c r="D9848" s="54" t="n">
        <f aca="false">D9847*$C$9801+D9843*$C$9802+D9844*$C$9803</f>
        <v>12239.0143924943</v>
      </c>
      <c r="E9848" s="54" t="n">
        <f aca="false">E9847*$C$9801+E9843*$C$9802+E9844*$C$9803</f>
        <v>27269.0391864096</v>
      </c>
      <c r="F9848" s="54" t="n">
        <f aca="false">F9847*$C$9801+F9843*$C$9802+F9844*$C$9803</f>
        <v>33930.3225074404</v>
      </c>
      <c r="G9848" s="54" t="n">
        <f aca="false">G9847*$C$9801+G9843*$C$9802+G9844*$C$9803</f>
        <v>37259.2606313685</v>
      </c>
      <c r="H9848" s="54" t="n">
        <f aca="false">H9847*$C$9801+H9843*$C$9802+H9844*$C$9803</f>
        <v>45351.9379936574</v>
      </c>
      <c r="I9848" s="54" t="n">
        <f aca="false">I9847*$C$9801+I9843*$C$9802+I9844*$C$9803</f>
        <v>54200.5042566125</v>
      </c>
      <c r="J9848" s="54" t="n">
        <f aca="false">J9847*$C$9801+J9843*$C$9802+J9844*$C$9803</f>
        <v>73396.3372708564</v>
      </c>
      <c r="K9848" s="54" t="n">
        <f aca="false">K9847*$C$9801+K9843*$C$9802+K9844*$C$9803</f>
        <v>94696.0614987516</v>
      </c>
      <c r="L9848" s="54" t="n">
        <f aca="false">L9847*$C$9801+L9843*$C$9802+L9844*$C$9803</f>
        <v>100665.151568628</v>
      </c>
      <c r="M9848" s="54" t="n">
        <f aca="false">M9847*$C$9801+M9843*$C$9802+M9844*$C$9803</f>
        <v>98744.9107699212</v>
      </c>
      <c r="N9848" s="54" t="n">
        <f aca="false">N9847*$C$9801+N9843*$C$9802+N9844*$C$9803</f>
        <v>95905.7125221934</v>
      </c>
      <c r="P9848" s="55" t="n">
        <f aca="false">SUM(C9848:F9848)</f>
        <v>73438.3760863443</v>
      </c>
      <c r="Q9848" s="55" t="n">
        <f aca="false">SUM(G9848:J9848)</f>
        <v>210208.040152495</v>
      </c>
      <c r="R9848" s="55" t="n">
        <f aca="false">SUM(K9848:N9848)</f>
        <v>390011.836359494</v>
      </c>
      <c r="S9848" s="56" t="n">
        <f aca="false">SUM(P9848:R9848)</f>
        <v>673658.252598333</v>
      </c>
    </row>
    <row r="9849" customFormat="false" ht="15" hidden="false" customHeight="false" outlineLevel="0" collapsed="false">
      <c r="A9849" s="4" t="s">
        <v>523</v>
      </c>
      <c r="B9849" s="36" t="s">
        <v>125</v>
      </c>
      <c r="C9849" s="54" t="n">
        <f aca="false">(C9825+Assumptions!$D$104*C9811)*$C$9806</f>
        <v>306250</v>
      </c>
      <c r="D9849" s="54" t="n">
        <f aca="false">(D9825+Assumptions!$D$104*D9811)*$C$9806</f>
        <v>306250</v>
      </c>
      <c r="E9849" s="54" t="n">
        <f aca="false">(E9825+Assumptions!$D$104*E9811)*$C$9806</f>
        <v>306250</v>
      </c>
      <c r="F9849" s="54" t="n">
        <f aca="false">(F9825+Assumptions!$D$104*F9811)*$C$9806</f>
        <v>306250</v>
      </c>
      <c r="G9849" s="54" t="n">
        <f aca="false">(G9825+Assumptions!$D$104*G9811)*$C$9806</f>
        <v>306250</v>
      </c>
      <c r="H9849" s="54" t="n">
        <f aca="false">(H9825+Assumptions!$D$104*H9811)*$C$9806</f>
        <v>306250</v>
      </c>
      <c r="I9849" s="54" t="n">
        <f aca="false">(I9825+Assumptions!$D$104*I9811)*$C$9806</f>
        <v>306250</v>
      </c>
      <c r="J9849" s="54" t="n">
        <f aca="false">(J9825+Assumptions!$D$104*J9811)*$C$9806</f>
        <v>306250</v>
      </c>
      <c r="K9849" s="54" t="n">
        <f aca="false">(K9825+Assumptions!$D$104*K9811)*$C$9806</f>
        <v>306250</v>
      </c>
      <c r="L9849" s="54" t="n">
        <f aca="false">(L9825+Assumptions!$D$104*L9811)*$C$9806</f>
        <v>306250</v>
      </c>
      <c r="M9849" s="54" t="n">
        <f aca="false">(M9825+Assumptions!$D$104*M9811)*$C$9806</f>
        <v>306250</v>
      </c>
      <c r="N9849" s="54" t="n">
        <f aca="false">(N9825+Assumptions!$D$104*N9811)*$C$9806</f>
        <v>306250</v>
      </c>
      <c r="P9849" s="55" t="n">
        <f aca="false">SUM(C9849:F9849)</f>
        <v>1225000</v>
      </c>
      <c r="Q9849" s="55" t="n">
        <f aca="false">SUM(G9849:J9849)</f>
        <v>1225000</v>
      </c>
      <c r="R9849" s="55" t="n">
        <f aca="false">SUM(K9849:N9849)</f>
        <v>1225000</v>
      </c>
      <c r="S9849" s="56" t="n">
        <f aca="false">SUM(P9849:R9849)</f>
        <v>3675000</v>
      </c>
    </row>
    <row r="9850" customFormat="false" ht="15" hidden="false" customHeight="false" outlineLevel="0" collapsed="false">
      <c r="A9850" s="4" t="s">
        <v>524</v>
      </c>
      <c r="B9850" s="36" t="s">
        <v>77</v>
      </c>
      <c r="C9850" s="51" t="n">
        <f aca="false">IF(C9848&gt;0,MIN(1,C9849/C9848),1)</f>
        <v>1</v>
      </c>
      <c r="D9850" s="51" t="n">
        <f aca="false">IF(D9848&gt;0,MIN(1,D9849/D9848),1)</f>
        <v>1</v>
      </c>
      <c r="E9850" s="51" t="n">
        <f aca="false">IF(E9848&gt;0,MIN(1,E9849/E9848),1)</f>
        <v>1</v>
      </c>
      <c r="F9850" s="51" t="n">
        <f aca="false">IF(F9848&gt;0,MIN(1,F9849/F9848),1)</f>
        <v>1</v>
      </c>
      <c r="G9850" s="51" t="n">
        <f aca="false">IF(G9848&gt;0,MIN(1,G9849/G9848),1)</f>
        <v>1</v>
      </c>
      <c r="H9850" s="51" t="n">
        <f aca="false">IF(H9848&gt;0,MIN(1,H9849/H9848),1)</f>
        <v>1</v>
      </c>
      <c r="I9850" s="51" t="n">
        <f aca="false">IF(I9848&gt;0,MIN(1,I9849/I9848),1)</f>
        <v>1</v>
      </c>
      <c r="J9850" s="51" t="n">
        <f aca="false">IF(J9848&gt;0,MIN(1,J9849/J9848),1)</f>
        <v>1</v>
      </c>
      <c r="K9850" s="51" t="n">
        <f aca="false">IF(K9848&gt;0,MIN(1,K9849/K9848),1)</f>
        <v>1</v>
      </c>
      <c r="L9850" s="51" t="n">
        <f aca="false">IF(L9848&gt;0,MIN(1,L9849/L9848),1)</f>
        <v>1</v>
      </c>
      <c r="M9850" s="51" t="n">
        <f aca="false">IF(M9848&gt;0,MIN(1,M9849/M9848),1)</f>
        <v>1</v>
      </c>
      <c r="N9850" s="51" t="n">
        <f aca="false">IF(N9848&gt;0,MIN(1,N9849/N9848),1)</f>
        <v>1</v>
      </c>
      <c r="P9850" s="52"/>
      <c r="Q9850" s="52"/>
      <c r="R9850" s="52"/>
      <c r="S9850" s="53"/>
    </row>
    <row r="9851" customFormat="false" ht="15" hidden="false" customHeight="false" outlineLevel="0" collapsed="false">
      <c r="A9851" s="4" t="s">
        <v>525</v>
      </c>
      <c r="B9851" s="36" t="s">
        <v>125</v>
      </c>
      <c r="C9851" s="54" t="n">
        <f aca="false">C9848*(1-C9850)</f>
        <v>0</v>
      </c>
      <c r="D9851" s="54" t="n">
        <f aca="false">D9848*(1-D9850)</f>
        <v>0</v>
      </c>
      <c r="E9851" s="54" t="n">
        <f aca="false">E9848*(1-E9850)</f>
        <v>0</v>
      </c>
      <c r="F9851" s="54" t="n">
        <f aca="false">F9848*(1-F9850)</f>
        <v>0</v>
      </c>
      <c r="G9851" s="54" t="n">
        <f aca="false">G9848*(1-G9850)</f>
        <v>0</v>
      </c>
      <c r="H9851" s="54" t="n">
        <f aca="false">H9848*(1-H9850)</f>
        <v>0</v>
      </c>
      <c r="I9851" s="54" t="n">
        <f aca="false">I9848*(1-I9850)</f>
        <v>0</v>
      </c>
      <c r="J9851" s="54" t="n">
        <f aca="false">J9848*(1-J9850)</f>
        <v>0</v>
      </c>
      <c r="K9851" s="54" t="n">
        <f aca="false">K9848*(1-K9850)</f>
        <v>0</v>
      </c>
      <c r="L9851" s="54" t="n">
        <f aca="false">L9848*(1-L9850)</f>
        <v>0</v>
      </c>
      <c r="M9851" s="54" t="n">
        <f aca="false">M9848*(1-M9850)</f>
        <v>0</v>
      </c>
      <c r="N9851" s="54" t="n">
        <f aca="false">N9848*(1-N9850)</f>
        <v>0</v>
      </c>
      <c r="P9851" s="55" t="n">
        <f aca="false">SUM(C9851:F9851)</f>
        <v>0</v>
      </c>
      <c r="Q9851" s="55" t="n">
        <f aca="false">SUM(G9851:J9851)</f>
        <v>0</v>
      </c>
      <c r="R9851" s="55" t="n">
        <f aca="false">SUM(K9851:N9851)</f>
        <v>0</v>
      </c>
      <c r="S9851" s="56" t="n">
        <f aca="false">SUM(P9851:R9851)</f>
        <v>0</v>
      </c>
    </row>
    <row r="9852" customFormat="false" ht="15" hidden="false" customHeight="false" outlineLevel="0" collapsed="false">
      <c r="A9852" s="4" t="s">
        <v>526</v>
      </c>
      <c r="B9852" s="36" t="s">
        <v>527</v>
      </c>
      <c r="C9852" s="48" t="n">
        <f aca="false">C9846+C9847*C9850</f>
        <v>0</v>
      </c>
      <c r="D9852" s="48" t="n">
        <f aca="false">D9846+D9847*D9850</f>
        <v>1.65024084796918</v>
      </c>
      <c r="E9852" s="48" t="n">
        <f aca="false">E9846+E9847*E9850</f>
        <v>2.82864200058743</v>
      </c>
      <c r="F9852" s="48" t="n">
        <f aca="false">F9846+F9847*F9850</f>
        <v>3.12115697399229</v>
      </c>
      <c r="G9852" s="48" t="n">
        <f aca="false">G9846+G9847*G9850</f>
        <v>3.41967042648192</v>
      </c>
      <c r="H9852" s="48" t="n">
        <f aca="false">H9846+H9847*H9850</f>
        <v>4.40037482234274</v>
      </c>
      <c r="I9852" s="48" t="n">
        <f aca="false">I9846+I9847*I9850</f>
        <v>5.31640126681646</v>
      </c>
      <c r="J9852" s="48" t="n">
        <f aca="false">J9846+J9847*J9850</f>
        <v>7.86798683341676</v>
      </c>
      <c r="K9852" s="48" t="n">
        <f aca="false">K9846+K9847*K9850</f>
        <v>10.1774450162906</v>
      </c>
      <c r="L9852" s="48" t="n">
        <f aca="false">L9846+L9847*L9850</f>
        <v>10.2497611839915</v>
      </c>
      <c r="M9852" s="48" t="n">
        <f aca="false">M9846+M9847*M9850</f>
        <v>9.94627356583056</v>
      </c>
      <c r="N9852" s="48" t="n">
        <f aca="false">N9846+N9847*N9850</f>
        <v>9.66384651369268</v>
      </c>
      <c r="P9852" s="49" t="n">
        <f aca="false">SUM(C9852:F9852)</f>
        <v>7.6000398225489</v>
      </c>
      <c r="Q9852" s="49" t="n">
        <f aca="false">SUM(G9852:J9852)</f>
        <v>21.0044333490579</v>
      </c>
      <c r="R9852" s="49" t="n">
        <f aca="false">SUM(K9852:N9852)</f>
        <v>40.0373262798053</v>
      </c>
      <c r="S9852" s="50" t="n">
        <f aca="false">SUM(P9852:R9852)</f>
        <v>68.6417994514121</v>
      </c>
    </row>
    <row r="9853" customFormat="false" ht="15" hidden="false" customHeight="false" outlineLevel="0" collapsed="false">
      <c r="A9853" s="4" t="s">
        <v>528</v>
      </c>
      <c r="B9853" s="36" t="s">
        <v>527</v>
      </c>
      <c r="C9853" s="48" t="n">
        <f aca="false">C9843*C9850</f>
        <v>0</v>
      </c>
      <c r="D9853" s="48" t="n">
        <f aca="false">D9843*D9850</f>
        <v>0.82682852241361</v>
      </c>
      <c r="E9853" s="48" t="n">
        <f aca="false">E9843*E9850</f>
        <v>1.41724881471753</v>
      </c>
      <c r="F9853" s="48" t="n">
        <f aca="false">F9843*F9850</f>
        <v>1.56380907199261</v>
      </c>
      <c r="G9853" s="48" t="n">
        <f aca="false">G9843*G9850</f>
        <v>1.71337477759632</v>
      </c>
      <c r="H9853" s="48" t="n">
        <f aca="false">H9843*H9850</f>
        <v>2.16124792937682</v>
      </c>
      <c r="I9853" s="48" t="n">
        <f aca="false">I9843*I9850</f>
        <v>2.58072106999291</v>
      </c>
      <c r="J9853" s="48" t="n">
        <f aca="false">J9843*J9850</f>
        <v>3.59240167854007</v>
      </c>
      <c r="K9853" s="48" t="n">
        <f aca="false">K9843*K9850</f>
        <v>4.52535538196121</v>
      </c>
      <c r="L9853" s="48" t="n">
        <f aca="false">L9843*L9850</f>
        <v>4.55751044231124</v>
      </c>
      <c r="M9853" s="48" t="n">
        <f aca="false">M9843*M9850</f>
        <v>4.42256603101697</v>
      </c>
      <c r="N9853" s="48" t="n">
        <f aca="false">N9843*N9850</f>
        <v>4.29698610615785</v>
      </c>
      <c r="P9853" s="49" t="n">
        <f aca="false">SUM(C9853:F9853)</f>
        <v>3.80788640912375</v>
      </c>
      <c r="Q9853" s="49" t="n">
        <f aca="false">SUM(G9853:J9853)</f>
        <v>10.0477454555061</v>
      </c>
      <c r="R9853" s="49" t="n">
        <f aca="false">SUM(K9853:N9853)</f>
        <v>17.8024179614473</v>
      </c>
      <c r="S9853" s="50" t="n">
        <f aca="false">SUM(P9853:R9853)</f>
        <v>31.6580498260772</v>
      </c>
    </row>
    <row r="9854" customFormat="false" ht="15" hidden="false" customHeight="false" outlineLevel="0" collapsed="false">
      <c r="A9854" s="4" t="s">
        <v>529</v>
      </c>
      <c r="B9854" s="36" t="s">
        <v>527</v>
      </c>
      <c r="C9854" s="48" t="n">
        <f aca="false">C9844*C9850</f>
        <v>0</v>
      </c>
      <c r="D9854" s="48" t="n">
        <f aca="false">D9844*D9850</f>
        <v>0</v>
      </c>
      <c r="E9854" s="48" t="n">
        <f aca="false">E9844*E9850</f>
        <v>0.135763201828408</v>
      </c>
      <c r="F9854" s="48" t="n">
        <f aca="false">F9844*F9850</f>
        <v>0.23270875599683</v>
      </c>
      <c r="G9854" s="48" t="n">
        <f aca="false">G9844*G9850</f>
        <v>0.256773588364218</v>
      </c>
      <c r="H9854" s="48" t="n">
        <f aca="false">H9844*H9850</f>
        <v>0.28133190792631</v>
      </c>
      <c r="I9854" s="48" t="n">
        <f aca="false">I9844*I9850</f>
        <v>0.331923758206833</v>
      </c>
      <c r="J9854" s="48" t="n">
        <f aca="false">J9844*J9850</f>
        <v>0.379965943515562</v>
      </c>
      <c r="K9854" s="48" t="n">
        <f aca="false">K9844*K9850</f>
        <v>0.505439363270855</v>
      </c>
      <c r="L9854" s="48" t="n">
        <f aca="false">L9844*L9850</f>
        <v>0.623336889188432</v>
      </c>
      <c r="M9854" s="48" t="n">
        <f aca="false">M9844*M9850</f>
        <v>0.627766029796957</v>
      </c>
      <c r="N9854" s="48" t="n">
        <f aca="false">N9844*N9850</f>
        <v>0.60917835602335</v>
      </c>
      <c r="P9854" s="49" t="n">
        <f aca="false">SUM(C9854:F9854)</f>
        <v>0.368471957825237</v>
      </c>
      <c r="Q9854" s="49" t="n">
        <f aca="false">SUM(G9854:J9854)</f>
        <v>1.24999519801292</v>
      </c>
      <c r="R9854" s="49" t="n">
        <f aca="false">SUM(K9854:N9854)</f>
        <v>2.36572063827959</v>
      </c>
      <c r="S9854" s="50" t="n">
        <f aca="false">SUM(P9854:R9854)</f>
        <v>3.98418779411775</v>
      </c>
    </row>
    <row r="9855" customFormat="false" ht="15" hidden="false" customHeight="false" outlineLevel="0" collapsed="false">
      <c r="A9855" s="9" t="s">
        <v>530</v>
      </c>
      <c r="B9855" s="36" t="s">
        <v>527</v>
      </c>
      <c r="C9855" s="49" t="n">
        <f aca="false">C9852+C9853+C9854</f>
        <v>0</v>
      </c>
      <c r="D9855" s="49" t="n">
        <f aca="false">D9852+D9853+D9854</f>
        <v>2.47706937038279</v>
      </c>
      <c r="E9855" s="49" t="n">
        <f aca="false">E9852+E9853+E9854</f>
        <v>4.38165401713337</v>
      </c>
      <c r="F9855" s="49" t="n">
        <f aca="false">F9852+F9853+F9854</f>
        <v>4.91767480198173</v>
      </c>
      <c r="G9855" s="49" t="n">
        <f aca="false">G9852+G9853+G9854</f>
        <v>5.38981879244246</v>
      </c>
      <c r="H9855" s="49" t="n">
        <f aca="false">H9852+H9853+H9854</f>
        <v>6.84295465964588</v>
      </c>
      <c r="I9855" s="49" t="n">
        <f aca="false">I9852+I9853+I9854</f>
        <v>8.22904609501621</v>
      </c>
      <c r="J9855" s="49" t="n">
        <f aca="false">J9852+J9853+J9854</f>
        <v>11.8403544554724</v>
      </c>
      <c r="K9855" s="49" t="n">
        <f aca="false">K9852+K9853+K9854</f>
        <v>15.2082397615227</v>
      </c>
      <c r="L9855" s="49" t="n">
        <f aca="false">L9852+L9853+L9854</f>
        <v>15.4306085154912</v>
      </c>
      <c r="M9855" s="49" t="n">
        <f aca="false">M9852+M9853+M9854</f>
        <v>14.9966056266445</v>
      </c>
      <c r="N9855" s="49" t="n">
        <f aca="false">N9852+N9853+N9854</f>
        <v>14.5700109758739</v>
      </c>
      <c r="P9855" s="49" t="n">
        <f aca="false">SUM(C9855:F9855)</f>
        <v>11.7763981894979</v>
      </c>
      <c r="Q9855" s="49" t="n">
        <f aca="false">SUM(G9855:J9855)</f>
        <v>32.3021740025769</v>
      </c>
      <c r="R9855" s="49" t="n">
        <f aca="false">SUM(K9855:N9855)</f>
        <v>60.2054648795322</v>
      </c>
      <c r="S9855" s="50" t="n">
        <f aca="false">SUM(P9855:R9855)</f>
        <v>104.284037071607</v>
      </c>
    </row>
    <row r="9856" customFormat="false" ht="15" hidden="false" customHeight="false" outlineLevel="0" collapsed="false">
      <c r="A9856" s="35" t="s">
        <v>533</v>
      </c>
      <c r="B9856" s="35" t="s">
        <v>444</v>
      </c>
      <c r="C9856" s="6" t="s">
        <v>354</v>
      </c>
      <c r="D9856" s="6" t="s">
        <v>355</v>
      </c>
      <c r="E9856" s="6" t="s">
        <v>356</v>
      </c>
      <c r="F9856" s="6" t="s">
        <v>357</v>
      </c>
      <c r="G9856" s="6" t="s">
        <v>358</v>
      </c>
      <c r="H9856" s="6" t="s">
        <v>359</v>
      </c>
      <c r="I9856" s="6" t="s">
        <v>360</v>
      </c>
      <c r="J9856" s="6" t="s">
        <v>361</v>
      </c>
      <c r="K9856" s="6" t="s">
        <v>362</v>
      </c>
      <c r="L9856" s="6" t="s">
        <v>363</v>
      </c>
      <c r="M9856" s="6" t="s">
        <v>364</v>
      </c>
      <c r="N9856" s="6" t="s">
        <v>365</v>
      </c>
      <c r="P9856" s="6" t="s">
        <v>445</v>
      </c>
      <c r="Q9856" s="6" t="s">
        <v>446</v>
      </c>
      <c r="R9856" s="6" t="s">
        <v>447</v>
      </c>
      <c r="S9856" s="6" t="s">
        <v>448</v>
      </c>
    </row>
    <row r="9857" customFormat="false" ht="15" hidden="false" customHeight="false" outlineLevel="0" collapsed="false">
      <c r="A9857" s="4" t="s">
        <v>534</v>
      </c>
      <c r="B9857" s="36" t="s">
        <v>527</v>
      </c>
      <c r="C9857" s="48" t="n">
        <f aca="false">0*Assumptions!$E$59^(1/4)+C9852</f>
        <v>0</v>
      </c>
      <c r="D9857" s="48" t="n">
        <f aca="false">C9857*Assumptions!$E$59^(1/4)+D9852</f>
        <v>1.65024084796918</v>
      </c>
      <c r="E9857" s="48" t="n">
        <f aca="false">D9857*Assumptions!$E$59^(1/4)+E9852</f>
        <v>4.42697770454101</v>
      </c>
      <c r="F9857" s="48" t="n">
        <f aca="false">E9857*Assumptions!$E$59^(1/4)+F9852</f>
        <v>7.4088926305675</v>
      </c>
      <c r="G9857" s="48" t="n">
        <f aca="false">F9857*Assumptions!$E$59^(1/4)+G9852</f>
        <v>10.595530624566</v>
      </c>
      <c r="H9857" s="48" t="n">
        <f aca="false">G9857*Assumptions!$E$59^(1/4)+H9852</f>
        <v>14.6626434605347</v>
      </c>
      <c r="I9857" s="48" t="n">
        <f aca="false">H9857*Assumptions!$E$59^(1/4)+I9852</f>
        <v>19.5178595485907</v>
      </c>
      <c r="J9857" s="48" t="n">
        <f aca="false">I9857*Assumptions!$E$59^(1/4)+J9852</f>
        <v>26.7719497426214</v>
      </c>
      <c r="K9857" s="48" t="n">
        <f aca="false">J9857*Assumptions!$E$59^(1/4)+K9852</f>
        <v>36.1073346992067</v>
      </c>
      <c r="L9857" s="48" t="n">
        <f aca="false">K9857*Assumptions!$E$59^(1/4)+L9852</f>
        <v>45.2214092893969</v>
      </c>
      <c r="M9857" s="48" t="n">
        <f aca="false">L9857*Assumptions!$E$59^(1/4)+M9852</f>
        <v>53.745330618193</v>
      </c>
      <c r="N9857" s="48" t="n">
        <f aca="false">M9857*Assumptions!$E$59^(1/4)+N9852</f>
        <v>61.7187213845708</v>
      </c>
      <c r="P9857" s="49" t="n">
        <f aca="false">F9857</f>
        <v>7.4088926305675</v>
      </c>
      <c r="Q9857" s="49" t="n">
        <f aca="false">J9857</f>
        <v>26.7719497426214</v>
      </c>
      <c r="R9857" s="49" t="n">
        <f aca="false">N9857</f>
        <v>61.7187213845708</v>
      </c>
      <c r="S9857" s="50" t="n">
        <f aca="false">R9857</f>
        <v>61.7187213845708</v>
      </c>
    </row>
    <row r="9858" customFormat="false" ht="15" hidden="false" customHeight="false" outlineLevel="0" collapsed="false">
      <c r="A9858" s="4" t="s">
        <v>535</v>
      </c>
      <c r="B9858" s="36" t="s">
        <v>527</v>
      </c>
      <c r="C9858" s="48" t="n">
        <f aca="false">0*Assumptions!$E$60^(1/4)+C9853</f>
        <v>0</v>
      </c>
      <c r="D9858" s="48" t="n">
        <f aca="false">C9858*Assumptions!$E$60^(1/4)+D9853</f>
        <v>0.82682852241361</v>
      </c>
      <c r="E9858" s="48" t="n">
        <f aca="false">D9858*Assumptions!$E$60^(1/4)+E9853</f>
        <v>2.22258289319968</v>
      </c>
      <c r="F9858" s="48" t="n">
        <f aca="false">E9858*Assumptions!$E$60^(1/4)+F9853</f>
        <v>3.72861313670987</v>
      </c>
      <c r="G9858" s="48" t="n">
        <f aca="false">F9858*Assumptions!$E$60^(1/4)+G9853</f>
        <v>5.34505794172232</v>
      </c>
      <c r="H9858" s="48" t="n">
        <f aca="false">G9858*Assumptions!$E$60^(1/4)+H9853</f>
        <v>7.36735438947465</v>
      </c>
      <c r="I9858" s="48" t="n">
        <f aca="false">H9858*Assumptions!$E$60^(1/4)+I9853</f>
        <v>9.75655184658408</v>
      </c>
      <c r="J9858" s="48" t="n">
        <f aca="false">I9858*Assumptions!$E$60^(1/4)+J9853</f>
        <v>13.0953197293056</v>
      </c>
      <c r="K9858" s="48" t="n">
        <f aca="false">J9858*Assumptions!$E$60^(1/4)+K9853</f>
        <v>17.280245858942</v>
      </c>
      <c r="L9858" s="48" t="n">
        <f aca="false">K9858*Assumptions!$E$60^(1/4)+L9853</f>
        <v>21.3885346480709</v>
      </c>
      <c r="M9858" s="48" t="n">
        <f aca="false">L9858*Assumptions!$E$60^(1/4)+M9853</f>
        <v>25.2550789087853</v>
      </c>
      <c r="N9858" s="48" t="n">
        <f aca="false">M9858*Assumptions!$E$60^(1/4)+N9853</f>
        <v>28.8955275795813</v>
      </c>
      <c r="P9858" s="49" t="n">
        <f aca="false">F9858</f>
        <v>3.72861313670987</v>
      </c>
      <c r="Q9858" s="49" t="n">
        <f aca="false">J9858</f>
        <v>13.0953197293056</v>
      </c>
      <c r="R9858" s="49" t="n">
        <f aca="false">N9858</f>
        <v>28.8955275795813</v>
      </c>
      <c r="S9858" s="50" t="n">
        <f aca="false">R9858</f>
        <v>28.8955275795813</v>
      </c>
    </row>
    <row r="9859" customFormat="false" ht="15" hidden="false" customHeight="false" outlineLevel="0" collapsed="false">
      <c r="A9859" s="4" t="s">
        <v>536</v>
      </c>
      <c r="B9859" s="36" t="s">
        <v>527</v>
      </c>
      <c r="C9859" s="48" t="n">
        <f aca="false">0*Assumptions!$E$61^(1/4)+C9854</f>
        <v>0</v>
      </c>
      <c r="D9859" s="48" t="n">
        <f aca="false">C9859*Assumptions!$E$61^(1/4)+D9854</f>
        <v>0</v>
      </c>
      <c r="E9859" s="48" t="n">
        <f aca="false">D9859*Assumptions!$E$61^(1/4)+E9854</f>
        <v>0.135763201828408</v>
      </c>
      <c r="F9859" s="48" t="n">
        <f aca="false">E9859*Assumptions!$E$61^(1/4)+F9854</f>
        <v>0.36567121202759</v>
      </c>
      <c r="G9859" s="48" t="n">
        <f aca="false">F9859*Assumptions!$E$61^(1/4)+G9854</f>
        <v>0.614901135417691</v>
      </c>
      <c r="H9859" s="48" t="n">
        <f aca="false">G9859*Assumptions!$E$61^(1/4)+H9854</f>
        <v>0.883547855105979</v>
      </c>
      <c r="I9859" s="48" t="n">
        <f aca="false">H9859*Assumptions!$E$61^(1/4)+I9854</f>
        <v>1.19724434031923</v>
      </c>
      <c r="J9859" s="48" t="n">
        <f aca="false">I9859*Assumptions!$E$61^(1/4)+J9854</f>
        <v>1.55251156570096</v>
      </c>
      <c r="K9859" s="48" t="n">
        <f aca="false">J9859*Assumptions!$E$61^(1/4)+K9854</f>
        <v>2.02592317634904</v>
      </c>
      <c r="L9859" s="48" t="n">
        <f aca="false">K9859*Assumptions!$E$61^(1/4)+L9854</f>
        <v>2.60746600244748</v>
      </c>
      <c r="M9859" s="48" t="n">
        <f aca="false">L9859*Assumptions!$E$61^(1/4)+M9854</f>
        <v>3.18144095078413</v>
      </c>
      <c r="N9859" s="48" t="n">
        <f aca="false">M9859*Assumptions!$E$61^(1/4)+N9854</f>
        <v>3.72498732956055</v>
      </c>
      <c r="P9859" s="49" t="n">
        <f aca="false">F9859</f>
        <v>0.36567121202759</v>
      </c>
      <c r="Q9859" s="49" t="n">
        <f aca="false">J9859</f>
        <v>1.55251156570096</v>
      </c>
      <c r="R9859" s="49" t="n">
        <f aca="false">N9859</f>
        <v>3.72498732956055</v>
      </c>
      <c r="S9859" s="50" t="n">
        <f aca="false">R9859</f>
        <v>3.72498732956055</v>
      </c>
    </row>
    <row r="9860" customFormat="false" ht="15" hidden="false" customHeight="false" outlineLevel="0" collapsed="false">
      <c r="A9860" s="9" t="s">
        <v>537</v>
      </c>
      <c r="B9860" s="36" t="s">
        <v>527</v>
      </c>
      <c r="C9860" s="49" t="n">
        <f aca="false">C9857+C9858+C9859</f>
        <v>0</v>
      </c>
      <c r="D9860" s="49" t="n">
        <f aca="false">D9857+D9858+D9859</f>
        <v>2.47706937038279</v>
      </c>
      <c r="E9860" s="49" t="n">
        <f aca="false">E9857+E9858+E9859</f>
        <v>6.7853237995691</v>
      </c>
      <c r="F9860" s="49" t="n">
        <f aca="false">F9857+F9858+F9859</f>
        <v>11.503176979305</v>
      </c>
      <c r="G9860" s="49" t="n">
        <f aca="false">G9857+G9858+G9859</f>
        <v>16.555489701706</v>
      </c>
      <c r="H9860" s="49" t="n">
        <f aca="false">H9857+H9858+H9859</f>
        <v>22.9135457051153</v>
      </c>
      <c r="I9860" s="49" t="n">
        <f aca="false">I9857+I9858+I9859</f>
        <v>30.471655735494</v>
      </c>
      <c r="J9860" s="49" t="n">
        <f aca="false">J9857+J9858+J9859</f>
        <v>41.419781037628</v>
      </c>
      <c r="K9860" s="49" t="n">
        <f aca="false">K9857+K9858+K9859</f>
        <v>55.4135037344977</v>
      </c>
      <c r="L9860" s="49" t="n">
        <f aca="false">L9857+L9858+L9859</f>
        <v>69.2174099399153</v>
      </c>
      <c r="M9860" s="49" t="n">
        <f aca="false">M9857+M9858+M9859</f>
        <v>82.1818504777625</v>
      </c>
      <c r="N9860" s="49" t="n">
        <f aca="false">N9857+N9858+N9859</f>
        <v>94.3392362937126</v>
      </c>
      <c r="P9860" s="49" t="n">
        <f aca="false">F9860</f>
        <v>11.503176979305</v>
      </c>
      <c r="Q9860" s="49" t="n">
        <f aca="false">J9860</f>
        <v>41.419781037628</v>
      </c>
      <c r="R9860" s="49" t="n">
        <f aca="false">N9860</f>
        <v>94.3392362937126</v>
      </c>
      <c r="S9860" s="50" t="n">
        <f aca="false">R9860</f>
        <v>94.3392362937126</v>
      </c>
    </row>
    <row r="9861" customFormat="false" ht="15" hidden="false" customHeight="false" outlineLevel="0" collapsed="false">
      <c r="A9861" s="4" t="s">
        <v>538</v>
      </c>
      <c r="B9861" s="36" t="s">
        <v>125</v>
      </c>
      <c r="C9861" s="54" t="n">
        <f aca="false">0*Assumptions!$E$62^(1/4)+C9852*$C$9801</f>
        <v>0</v>
      </c>
      <c r="D9861" s="54" t="n">
        <f aca="false">C9861*Assumptions!$E$62^(1/4)+D9852*$C$9801</f>
        <v>8832.08901833107</v>
      </c>
      <c r="E9861" s="54" t="n">
        <f aca="false">D9861*Assumptions!$E$62^(1/4)+E9852*$C$9801</f>
        <v>23970.981005475</v>
      </c>
      <c r="F9861" s="54" t="n">
        <f aca="false">E9861*Assumptions!$E$62^(1/4)+F9852*$C$9801</f>
        <v>40675.4131302817</v>
      </c>
      <c r="G9861" s="54" t="n">
        <f aca="false">F9861*Assumptions!$E$62^(1/4)+G9852*$C$9801</f>
        <v>58977.489252813</v>
      </c>
      <c r="H9861" s="54" t="n">
        <f aca="false">G9861*Assumptions!$E$62^(1/4)+H9852*$C$9801</f>
        <v>82528.2953019913</v>
      </c>
      <c r="I9861" s="54" t="n">
        <f aca="false">H9861*Assumptions!$E$62^(1/4)+I9852*$C$9801</f>
        <v>110981.674881993</v>
      </c>
      <c r="J9861" s="54" t="n">
        <f aca="false">I9861*Assumptions!$E$62^(1/4)+J9852*$C$9801</f>
        <v>153091.14041444</v>
      </c>
      <c r="K9861" s="54" t="n">
        <f aca="false">J9861*Assumptions!$E$62^(1/4)+K9852*$C$9801</f>
        <v>207560.826141627</v>
      </c>
      <c r="L9861" s="54" t="n">
        <f aca="false">K9861*Assumptions!$E$62^(1/4)+L9852*$C$9801</f>
        <v>262417.547998349</v>
      </c>
      <c r="M9861" s="54" t="n">
        <f aca="false">L9861*Assumptions!$E$62^(1/4)+M9852*$C$9801</f>
        <v>315650.004122674</v>
      </c>
      <c r="N9861" s="54" t="n">
        <f aca="false">M9861*Assumptions!$E$62^(1/4)+N9852*$C$9801</f>
        <v>367370.910663958</v>
      </c>
      <c r="P9861" s="55" t="n">
        <f aca="false">F9861</f>
        <v>40675.4131302817</v>
      </c>
      <c r="Q9861" s="55" t="n">
        <f aca="false">J9861</f>
        <v>153091.14041444</v>
      </c>
      <c r="R9861" s="55" t="n">
        <f aca="false">N9861</f>
        <v>367370.910663958</v>
      </c>
      <c r="S9861" s="56" t="n">
        <f aca="false">R9861</f>
        <v>367370.910663958</v>
      </c>
    </row>
    <row r="9862" customFormat="false" ht="15" hidden="false" customHeight="false" outlineLevel="0" collapsed="false">
      <c r="A9862" s="4" t="s">
        <v>539</v>
      </c>
      <c r="B9862" s="36" t="s">
        <v>125</v>
      </c>
      <c r="C9862" s="54" t="n">
        <f aca="false">0*Assumptions!$E$63^(1/4)+C9853*$C$9802</f>
        <v>0</v>
      </c>
      <c r="D9862" s="54" t="n">
        <f aca="false">C9862*Assumptions!$E$63^(1/4)+D9853*$C$9802</f>
        <v>6056.55207966251</v>
      </c>
      <c r="E9862" s="54" t="n">
        <f aca="false">D9862*Assumptions!$E$63^(1/4)+E9853*$C$9802</f>
        <v>16526.8293878058</v>
      </c>
      <c r="F9862" s="54" t="n">
        <f aca="false">E9862*Assumptions!$E$63^(1/4)+F9853*$C$9802</f>
        <v>28224.3056956146</v>
      </c>
      <c r="G9862" s="54" t="n">
        <f aca="false">F9862*Assumptions!$E$63^(1/4)+G9853*$C$9802</f>
        <v>41189.0037619439</v>
      </c>
      <c r="H9862" s="54" t="n">
        <f aca="false">G9862*Assumptions!$E$63^(1/4)+H9853*$C$9802</f>
        <v>57624.6326082882</v>
      </c>
      <c r="I9862" s="54" t="n">
        <f aca="false">H9862*Assumptions!$E$63^(1/4)+I9853*$C$9802</f>
        <v>77374.0929184536</v>
      </c>
      <c r="J9862" s="54" t="n">
        <f aca="false">I9862*Assumptions!$E$63^(1/4)+J9853*$C$9802</f>
        <v>104823.954793649</v>
      </c>
      <c r="K9862" s="54" t="n">
        <f aca="false">J9862*Assumptions!$E$63^(1/4)+K9853*$C$9802</f>
        <v>139510.535005149</v>
      </c>
      <c r="L9862" s="54" t="n">
        <f aca="false">K9862*Assumptions!$E$63^(1/4)+L9853*$C$9802</f>
        <v>174941.637865161</v>
      </c>
      <c r="M9862" s="54" t="n">
        <f aca="false">L9862*Assumptions!$E$63^(1/4)+M9853*$C$9802</f>
        <v>209904.178054589</v>
      </c>
      <c r="N9862" s="54" t="n">
        <f aca="false">M9862*Assumptions!$E$63^(1/4)+N9853*$C$9802</f>
        <v>244459.875195506</v>
      </c>
      <c r="P9862" s="55" t="n">
        <f aca="false">F9862</f>
        <v>28224.3056956146</v>
      </c>
      <c r="Q9862" s="55" t="n">
        <f aca="false">J9862</f>
        <v>104823.954793649</v>
      </c>
      <c r="R9862" s="55" t="n">
        <f aca="false">N9862</f>
        <v>244459.875195506</v>
      </c>
      <c r="S9862" s="56" t="n">
        <f aca="false">R9862</f>
        <v>244459.875195506</v>
      </c>
    </row>
    <row r="9863" customFormat="false" ht="15" hidden="false" customHeight="false" outlineLevel="0" collapsed="false">
      <c r="A9863" s="4" t="s">
        <v>540</v>
      </c>
      <c r="B9863" s="36" t="s">
        <v>125</v>
      </c>
      <c r="C9863" s="54" t="n">
        <f aca="false">0*Assumptions!$E$64^(1/4)+C9854*$C$9803</f>
        <v>0</v>
      </c>
      <c r="D9863" s="54" t="n">
        <f aca="false">C9863*Assumptions!$E$64^(1/4)+D9854*$C$9803</f>
        <v>0</v>
      </c>
      <c r="E9863" s="54" t="n">
        <f aca="false">D9863*Assumptions!$E$64^(1/4)+E9854*$C$9803</f>
        <v>6290.41040079504</v>
      </c>
      <c r="F9863" s="54" t="n">
        <f aca="false">E9863*Assumptions!$E$64^(1/4)+F9854*$C$9803</f>
        <v>17296.3411584059</v>
      </c>
      <c r="G9863" s="54" t="n">
        <f aca="false">F9863*Assumptions!$E$64^(1/4)+G9854*$C$9803</f>
        <v>29808.6341770092</v>
      </c>
      <c r="H9863" s="54" t="n">
        <f aca="false">G9863*Assumptions!$E$64^(1/4)+H9854*$C$9803</f>
        <v>43903.7178846461</v>
      </c>
      <c r="I9863" s="54" t="n">
        <f aca="false">H9863*Assumptions!$E$64^(1/4)+I9854*$C$9803</f>
        <v>60844.1028717349</v>
      </c>
      <c r="J9863" s="54" t="n">
        <f aca="false">I9863*Assumptions!$E$64^(1/4)+J9854*$C$9803</f>
        <v>80612.8271864593</v>
      </c>
      <c r="K9863" s="54" t="n">
        <f aca="false">J9863*Assumptions!$E$64^(1/4)+K9854*$C$9803</f>
        <v>106898.136115322</v>
      </c>
      <c r="L9863" s="54" t="n">
        <f aca="false">K9863*Assumptions!$E$64^(1/4)+L9854*$C$9803</f>
        <v>139580.727738571</v>
      </c>
      <c r="M9863" s="54" t="n">
        <f aca="false">L9863*Assumptions!$E$64^(1/4)+M9854*$C$9803</f>
        <v>173630.66788731</v>
      </c>
      <c r="N9863" s="54" t="n">
        <f aca="false">M9863*Assumptions!$E$64^(1/4)+N9854*$C$9803</f>
        <v>208030.122852604</v>
      </c>
      <c r="P9863" s="55" t="n">
        <f aca="false">F9863</f>
        <v>17296.3411584059</v>
      </c>
      <c r="Q9863" s="55" t="n">
        <f aca="false">J9863</f>
        <v>80612.8271864593</v>
      </c>
      <c r="R9863" s="55" t="n">
        <f aca="false">N9863</f>
        <v>208030.122852604</v>
      </c>
      <c r="S9863" s="56" t="n">
        <f aca="false">R9863</f>
        <v>208030.122852604</v>
      </c>
    </row>
    <row r="9864" customFormat="false" ht="15" hidden="false" customHeight="false" outlineLevel="0" collapsed="false">
      <c r="A9864" s="9" t="s">
        <v>541</v>
      </c>
      <c r="B9864" s="36" t="s">
        <v>125</v>
      </c>
      <c r="C9864" s="55" t="n">
        <f aca="false">C9861+C9862+C9863</f>
        <v>0</v>
      </c>
      <c r="D9864" s="55" t="n">
        <f aca="false">D9861+D9862+D9863</f>
        <v>14888.6410979936</v>
      </c>
      <c r="E9864" s="55" t="n">
        <f aca="false">E9861+E9862+E9863</f>
        <v>46788.2207940758</v>
      </c>
      <c r="F9864" s="55" t="n">
        <f aca="false">F9861+F9862+F9863</f>
        <v>86196.0599843022</v>
      </c>
      <c r="G9864" s="55" t="n">
        <f aca="false">G9861+G9862+G9863</f>
        <v>129975.127191766</v>
      </c>
      <c r="H9864" s="55" t="n">
        <f aca="false">H9861+H9862+H9863</f>
        <v>184056.645794926</v>
      </c>
      <c r="I9864" s="55" t="n">
        <f aca="false">I9861+I9862+I9863</f>
        <v>249199.870672181</v>
      </c>
      <c r="J9864" s="55" t="n">
        <f aca="false">J9861+J9862+J9863</f>
        <v>338527.922394547</v>
      </c>
      <c r="K9864" s="55" t="n">
        <f aca="false">K9861+K9862+K9863</f>
        <v>453969.497262098</v>
      </c>
      <c r="L9864" s="55" t="n">
        <f aca="false">L9861+L9862+L9863</f>
        <v>576939.913602081</v>
      </c>
      <c r="M9864" s="55" t="n">
        <f aca="false">M9861+M9862+M9863</f>
        <v>699184.850064574</v>
      </c>
      <c r="N9864" s="55" t="n">
        <f aca="false">N9861+N9862+N9863</f>
        <v>819860.908712068</v>
      </c>
      <c r="P9864" s="55" t="n">
        <f aca="false">F9864</f>
        <v>86196.0599843022</v>
      </c>
      <c r="Q9864" s="55" t="n">
        <f aca="false">J9864</f>
        <v>338527.922394547</v>
      </c>
      <c r="R9864" s="55" t="n">
        <f aca="false">N9864</f>
        <v>819860.908712068</v>
      </c>
      <c r="S9864" s="56" t="n">
        <f aca="false">R9864</f>
        <v>819860.908712068</v>
      </c>
    </row>
    <row r="9865" customFormat="false" ht="15" hidden="false" customHeight="false" outlineLevel="0" collapsed="false">
      <c r="A9865" s="4" t="s">
        <v>542</v>
      </c>
      <c r="B9865" s="36" t="s">
        <v>125</v>
      </c>
      <c r="C9865" s="54" t="n">
        <f aca="false">C9852*$C$9801+C9853*$C$9802+C9854*$C$9803</f>
        <v>0</v>
      </c>
      <c r="D9865" s="54" t="n">
        <f aca="false">D9852*$C$9801+D9853*$C$9802+D9854*$C$9803</f>
        <v>14888.6410979936</v>
      </c>
      <c r="E9865" s="54" t="n">
        <f aca="false">E9852*$C$9801+E9853*$C$9802+E9854*$C$9803</f>
        <v>31810.7067825528</v>
      </c>
      <c r="F9865" s="54" t="n">
        <f aca="false">F9852*$C$9801+F9853*$C$9802+F9854*$C$9803</f>
        <v>38941.6521448824</v>
      </c>
      <c r="G9865" s="54" t="n">
        <f aca="false">G9852*$C$9801+G9853*$C$9802+G9854*$C$9803</f>
        <v>42749.8834681278</v>
      </c>
      <c r="H9865" s="54" t="n">
        <f aca="false">H9852*$C$9801+H9853*$C$9802+H9854*$C$9803</f>
        <v>52417.179808411</v>
      </c>
      <c r="I9865" s="54" t="n">
        <f aca="false">I9852*$C$9801+I9853*$C$9802+I9854*$C$9803</f>
        <v>62736.518130613</v>
      </c>
      <c r="J9865" s="54" t="n">
        <f aca="false">J9852*$C$9801+J9853*$C$9802+J9854*$C$9803</f>
        <v>86029.1769305903</v>
      </c>
      <c r="K9865" s="54" t="n">
        <f aca="false">K9852*$C$9801+K9853*$C$9802+K9854*$C$9803</f>
        <v>111036.967216908</v>
      </c>
      <c r="L9865" s="54" t="n">
        <f aca="false">L9852*$C$9801+L9853*$C$9802+L9854*$C$9803</f>
        <v>117122.168125645</v>
      </c>
      <c r="M9865" s="54" t="n">
        <f aca="false">M9852*$C$9801+M9853*$C$9802+M9854*$C$9803</f>
        <v>114714.647607219</v>
      </c>
      <c r="N9865" s="54" t="n">
        <f aca="false">N9852*$C$9801+N9853*$C$9802+N9854*$C$9803</f>
        <v>111421.984484578</v>
      </c>
      <c r="P9865" s="55" t="n">
        <f aca="false">SUM(C9865:F9865)</f>
        <v>85641.0000254288</v>
      </c>
      <c r="Q9865" s="55" t="n">
        <f aca="false">SUM(G9865:J9865)</f>
        <v>243932.758337742</v>
      </c>
      <c r="R9865" s="55" t="n">
        <f aca="false">SUM(K9865:N9865)</f>
        <v>454295.76743435</v>
      </c>
      <c r="S9865" s="56" t="n">
        <f aca="false">SUM(P9865:R9865)</f>
        <v>783869.525797521</v>
      </c>
    </row>
    <row r="9866" customFormat="false" ht="15" hidden="false" customHeight="false" outlineLevel="0" collapsed="false">
      <c r="A9866" s="9" t="s">
        <v>543</v>
      </c>
      <c r="B9866" s="36" t="s">
        <v>125</v>
      </c>
      <c r="C9866" s="55" t="n">
        <f aca="false">(0+C9864)/8</f>
        <v>0</v>
      </c>
      <c r="D9866" s="55" t="n">
        <f aca="false">(C9864+D9864)/8</f>
        <v>1861.0801372492</v>
      </c>
      <c r="E9866" s="55" t="n">
        <f aca="false">(D9864+E9864)/8</f>
        <v>7709.60773650867</v>
      </c>
      <c r="F9866" s="55" t="n">
        <f aca="false">(E9864+F9864)/8</f>
        <v>16623.0350972972</v>
      </c>
      <c r="G9866" s="55" t="n">
        <f aca="false">(F9864+G9864)/8</f>
        <v>27021.3983970085</v>
      </c>
      <c r="H9866" s="55" t="n">
        <f aca="false">(G9864+H9864)/8</f>
        <v>39253.9716233365</v>
      </c>
      <c r="I9866" s="55" t="n">
        <f aca="false">(H9864+I9864)/8</f>
        <v>54157.0645583884</v>
      </c>
      <c r="J9866" s="55" t="n">
        <f aca="false">(I9864+J9864)/8</f>
        <v>73465.9741333411</v>
      </c>
      <c r="K9866" s="55" t="n">
        <f aca="false">(J9864+K9864)/8</f>
        <v>99062.1774570806</v>
      </c>
      <c r="L9866" s="55" t="n">
        <f aca="false">(K9864+L9864)/8</f>
        <v>128863.676358022</v>
      </c>
      <c r="M9866" s="55" t="n">
        <f aca="false">(L9864+M9864)/8</f>
        <v>159515.595458332</v>
      </c>
      <c r="N9866" s="55" t="n">
        <f aca="false">(M9864+N9864)/8</f>
        <v>189880.71984708</v>
      </c>
      <c r="P9866" s="55" t="n">
        <f aca="false">SUM(C9866:F9866)</f>
        <v>26193.7229710551</v>
      </c>
      <c r="Q9866" s="55" t="n">
        <f aca="false">SUM(G9866:J9866)</f>
        <v>193898.408712074</v>
      </c>
      <c r="R9866" s="55" t="n">
        <f aca="false">SUM(K9866:N9866)</f>
        <v>577322.169120515</v>
      </c>
      <c r="S9866" s="56" t="n">
        <f aca="false">SUM(P9866:R9866)</f>
        <v>797414.300803645</v>
      </c>
    </row>
    <row r="9867" customFormat="false" ht="15" hidden="false" customHeight="false" outlineLevel="0" collapsed="false">
      <c r="A9867" s="4" t="s">
        <v>544</v>
      </c>
      <c r="B9867" s="36" t="s">
        <v>125</v>
      </c>
      <c r="C9867" s="54" t="n">
        <f aca="false">C9866*Assumptions!$E$76</f>
        <v>0</v>
      </c>
      <c r="D9867" s="54" t="n">
        <f aca="false">D9866*Assumptions!$E$76</f>
        <v>1209.70208921198</v>
      </c>
      <c r="E9867" s="54" t="n">
        <f aca="false">E9866*Assumptions!$E$76</f>
        <v>5011.24502873064</v>
      </c>
      <c r="F9867" s="54" t="n">
        <f aca="false">F9866*Assumptions!$E$76</f>
        <v>10804.9728132432</v>
      </c>
      <c r="G9867" s="54" t="n">
        <f aca="false">G9866*Assumptions!$E$76</f>
        <v>17563.9089580555</v>
      </c>
      <c r="H9867" s="54" t="n">
        <f aca="false">H9866*Assumptions!$E$76</f>
        <v>25515.0815551687</v>
      </c>
      <c r="I9867" s="54" t="n">
        <f aca="false">I9866*Assumptions!$E$76</f>
        <v>35202.0919629525</v>
      </c>
      <c r="J9867" s="54" t="n">
        <f aca="false">J9866*Assumptions!$E$76</f>
        <v>47752.8831866717</v>
      </c>
      <c r="K9867" s="54" t="n">
        <f aca="false">K9866*Assumptions!$E$76</f>
        <v>64390.4153471024</v>
      </c>
      <c r="L9867" s="54" t="n">
        <f aca="false">L9866*Assumptions!$E$76</f>
        <v>83761.3896327145</v>
      </c>
      <c r="M9867" s="54" t="n">
        <f aca="false">M9866*Assumptions!$E$76</f>
        <v>103685.137047916</v>
      </c>
      <c r="N9867" s="54" t="n">
        <f aca="false">N9866*Assumptions!$E$76</f>
        <v>123422.467900602</v>
      </c>
      <c r="P9867" s="55" t="n">
        <f aca="false">SUM(C9867:F9867)</f>
        <v>17025.9199311858</v>
      </c>
      <c r="Q9867" s="55" t="n">
        <f aca="false">SUM(G9867:J9867)</f>
        <v>126033.965662848</v>
      </c>
      <c r="R9867" s="55" t="n">
        <f aca="false">SUM(K9867:N9867)</f>
        <v>375259.409928335</v>
      </c>
      <c r="S9867" s="56" t="n">
        <f aca="false">SUM(P9867:R9867)</f>
        <v>518319.295522369</v>
      </c>
    </row>
    <row r="9868" customFormat="false" ht="15" hidden="false" customHeight="false" outlineLevel="0" collapsed="false">
      <c r="A9868" s="35" t="s">
        <v>547</v>
      </c>
      <c r="B9868" s="35" t="s">
        <v>444</v>
      </c>
      <c r="C9868" s="6" t="s">
        <v>354</v>
      </c>
      <c r="D9868" s="6" t="s">
        <v>355</v>
      </c>
      <c r="E9868" s="6" t="s">
        <v>356</v>
      </c>
      <c r="F9868" s="6" t="s">
        <v>357</v>
      </c>
      <c r="G9868" s="6" t="s">
        <v>358</v>
      </c>
      <c r="H9868" s="6" t="s">
        <v>359</v>
      </c>
      <c r="I9868" s="6" t="s">
        <v>360</v>
      </c>
      <c r="J9868" s="6" t="s">
        <v>361</v>
      </c>
      <c r="K9868" s="6" t="s">
        <v>362</v>
      </c>
      <c r="L9868" s="6" t="s">
        <v>363</v>
      </c>
      <c r="M9868" s="6" t="s">
        <v>364</v>
      </c>
      <c r="N9868" s="6" t="s">
        <v>365</v>
      </c>
      <c r="P9868" s="6" t="s">
        <v>445</v>
      </c>
      <c r="Q9868" s="6" t="s">
        <v>446</v>
      </c>
      <c r="R9868" s="6" t="s">
        <v>447</v>
      </c>
      <c r="S9868" s="6" t="s">
        <v>448</v>
      </c>
    </row>
    <row r="9869" customFormat="false" ht="15" hidden="false" customHeight="false" outlineLevel="0" collapsed="false">
      <c r="A9869" s="4" t="s">
        <v>548</v>
      </c>
      <c r="B9869" s="36" t="s">
        <v>321</v>
      </c>
      <c r="C9869" s="48" t="n">
        <f aca="false">Assumptions!$D$97*C9811</f>
        <v>1</v>
      </c>
      <c r="D9869" s="48" t="n">
        <f aca="false">Assumptions!$D$97*D9811</f>
        <v>1</v>
      </c>
      <c r="E9869" s="48" t="n">
        <f aca="false">Assumptions!$D$97*E9811</f>
        <v>1</v>
      </c>
      <c r="F9869" s="48" t="n">
        <f aca="false">Assumptions!$D$97*F9811</f>
        <v>1</v>
      </c>
      <c r="G9869" s="48" t="n">
        <f aca="false">Assumptions!$D$97*G9811</f>
        <v>1</v>
      </c>
      <c r="H9869" s="48" t="n">
        <f aca="false">Assumptions!$D$97*H9811</f>
        <v>1</v>
      </c>
      <c r="I9869" s="48" t="n">
        <f aca="false">Assumptions!$D$97*I9811</f>
        <v>1</v>
      </c>
      <c r="J9869" s="48" t="n">
        <f aca="false">Assumptions!$D$97*J9811</f>
        <v>1</v>
      </c>
      <c r="K9869" s="48" t="n">
        <f aca="false">Assumptions!$D$97*K9811</f>
        <v>1</v>
      </c>
      <c r="L9869" s="48" t="n">
        <f aca="false">Assumptions!$D$97*L9811</f>
        <v>1</v>
      </c>
      <c r="M9869" s="48" t="n">
        <f aca="false">Assumptions!$D$97*M9811</f>
        <v>1</v>
      </c>
      <c r="N9869" s="48" t="n">
        <f aca="false">Assumptions!$D$97*N9811</f>
        <v>1</v>
      </c>
      <c r="P9869" s="49" t="n">
        <f aca="false">AVERAGE(C9869:F9869)</f>
        <v>1</v>
      </c>
      <c r="Q9869" s="49" t="n">
        <f aca="false">AVERAGE(G9869:J9869)</f>
        <v>1</v>
      </c>
      <c r="R9869" s="49" t="n">
        <f aca="false">AVERAGE(K9869:N9869)</f>
        <v>1</v>
      </c>
      <c r="S9869" s="50"/>
    </row>
    <row r="9870" customFormat="false" ht="15" hidden="false" customHeight="false" outlineLevel="0" collapsed="false">
      <c r="A9870" s="4" t="s">
        <v>549</v>
      </c>
      <c r="B9870" s="36" t="s">
        <v>321</v>
      </c>
      <c r="C9870" s="48" t="n">
        <f aca="false">C9824*C9811</f>
        <v>0</v>
      </c>
      <c r="D9870" s="48" t="n">
        <f aca="false">D9824*D9811</f>
        <v>0</v>
      </c>
      <c r="E9870" s="48" t="n">
        <f aca="false">E9824*E9811</f>
        <v>0</v>
      </c>
      <c r="F9870" s="48" t="n">
        <f aca="false">F9824*F9811</f>
        <v>0</v>
      </c>
      <c r="G9870" s="48" t="n">
        <f aca="false">G9824*G9811</f>
        <v>0</v>
      </c>
      <c r="H9870" s="48" t="n">
        <f aca="false">H9824*H9811</f>
        <v>0</v>
      </c>
      <c r="I9870" s="48" t="n">
        <f aca="false">I9824*I9811</f>
        <v>0</v>
      </c>
      <c r="J9870" s="48" t="n">
        <f aca="false">J9824*J9811</f>
        <v>0</v>
      </c>
      <c r="K9870" s="48" t="n">
        <f aca="false">K9824*K9811</f>
        <v>0</v>
      </c>
      <c r="L9870" s="48" t="n">
        <f aca="false">L9824*L9811</f>
        <v>0</v>
      </c>
      <c r="M9870" s="48" t="n">
        <f aca="false">M9824*M9811</f>
        <v>0</v>
      </c>
      <c r="N9870" s="48" t="n">
        <f aca="false">N9824*N9811</f>
        <v>0</v>
      </c>
      <c r="P9870" s="49" t="n">
        <f aca="false">AVERAGE(C9870:F9870)</f>
        <v>0</v>
      </c>
      <c r="Q9870" s="49" t="n">
        <f aca="false">AVERAGE(G9870:J9870)</f>
        <v>0</v>
      </c>
      <c r="R9870" s="49" t="n">
        <f aca="false">AVERAGE(K9870:N9870)</f>
        <v>0</v>
      </c>
      <c r="S9870" s="50"/>
    </row>
    <row r="9871" customFormat="false" ht="15" hidden="false" customHeight="false" outlineLevel="0" collapsed="false">
      <c r="A9871" s="4" t="s">
        <v>550</v>
      </c>
      <c r="B9871" s="36" t="s">
        <v>321</v>
      </c>
      <c r="C9871" s="48" t="n">
        <f aca="false">IF(C9810&lt;=4,Assumptions!$D$98,Assumptions!$D$99)*C9811</f>
        <v>0</v>
      </c>
      <c r="D9871" s="48" t="n">
        <f aca="false">IF(D9810&lt;=4,Assumptions!$D$98,Assumptions!$D$99)*D9811</f>
        <v>0</v>
      </c>
      <c r="E9871" s="48" t="n">
        <f aca="false">IF(E9810&lt;=4,Assumptions!$D$98,Assumptions!$D$99)*E9811</f>
        <v>0</v>
      </c>
      <c r="F9871" s="48" t="n">
        <f aca="false">IF(F9810&lt;=4,Assumptions!$D$98,Assumptions!$D$99)*F9811</f>
        <v>0</v>
      </c>
      <c r="G9871" s="48" t="n">
        <f aca="false">IF(G9810&lt;=4,Assumptions!$D$98,Assumptions!$D$99)*G9811</f>
        <v>0.5</v>
      </c>
      <c r="H9871" s="48" t="n">
        <f aca="false">IF(H9810&lt;=4,Assumptions!$D$98,Assumptions!$D$99)*H9811</f>
        <v>0.5</v>
      </c>
      <c r="I9871" s="48" t="n">
        <f aca="false">IF(I9810&lt;=4,Assumptions!$D$98,Assumptions!$D$99)*I9811</f>
        <v>0.5</v>
      </c>
      <c r="J9871" s="48" t="n">
        <f aca="false">IF(J9810&lt;=4,Assumptions!$D$98,Assumptions!$D$99)*J9811</f>
        <v>0.5</v>
      </c>
      <c r="K9871" s="48" t="n">
        <f aca="false">IF(K9810&lt;=4,Assumptions!$D$98,Assumptions!$D$99)*K9811</f>
        <v>0.5</v>
      </c>
      <c r="L9871" s="48" t="n">
        <f aca="false">IF(L9810&lt;=4,Assumptions!$D$98,Assumptions!$D$99)*L9811</f>
        <v>0.5</v>
      </c>
      <c r="M9871" s="48" t="n">
        <f aca="false">IF(M9810&lt;=4,Assumptions!$D$98,Assumptions!$D$99)*M9811</f>
        <v>0.5</v>
      </c>
      <c r="N9871" s="48" t="n">
        <f aca="false">IF(N9810&lt;=4,Assumptions!$D$98,Assumptions!$D$99)*N9811</f>
        <v>0.5</v>
      </c>
      <c r="P9871" s="49" t="n">
        <f aca="false">AVERAGE(C9871:F9871)</f>
        <v>0</v>
      </c>
      <c r="Q9871" s="49" t="n">
        <f aca="false">AVERAGE(G9871:J9871)</f>
        <v>0.5</v>
      </c>
      <c r="R9871" s="49" t="n">
        <f aca="false">AVERAGE(K9871:N9871)</f>
        <v>0.5</v>
      </c>
      <c r="S9871" s="50"/>
    </row>
    <row r="9872" customFormat="false" ht="15" hidden="false" customHeight="false" outlineLevel="0" collapsed="false">
      <c r="A9872" s="4" t="s">
        <v>551</v>
      </c>
      <c r="B9872" s="36" t="s">
        <v>321</v>
      </c>
      <c r="C9872" s="48" t="n">
        <f aca="false">IF(C9810&lt;=4,Assumptions!$D$100,Assumptions!$D$101)*C9811</f>
        <v>1</v>
      </c>
      <c r="D9872" s="48" t="n">
        <f aca="false">IF(D9810&lt;=4,Assumptions!$D$100,Assumptions!$D$101)*D9811</f>
        <v>1</v>
      </c>
      <c r="E9872" s="48" t="n">
        <f aca="false">IF(E9810&lt;=4,Assumptions!$D$100,Assumptions!$D$101)*E9811</f>
        <v>1</v>
      </c>
      <c r="F9872" s="48" t="n">
        <f aca="false">IF(F9810&lt;=4,Assumptions!$D$100,Assumptions!$D$101)*F9811</f>
        <v>1</v>
      </c>
      <c r="G9872" s="48" t="n">
        <f aca="false">IF(G9810&lt;=4,Assumptions!$D$100,Assumptions!$D$101)*G9811</f>
        <v>0.5</v>
      </c>
      <c r="H9872" s="48" t="n">
        <f aca="false">IF(H9810&lt;=4,Assumptions!$D$100,Assumptions!$D$101)*H9811</f>
        <v>0.5</v>
      </c>
      <c r="I9872" s="48" t="n">
        <f aca="false">IF(I9810&lt;=4,Assumptions!$D$100,Assumptions!$D$101)*I9811</f>
        <v>0.5</v>
      </c>
      <c r="J9872" s="48" t="n">
        <f aca="false">IF(J9810&lt;=4,Assumptions!$D$100,Assumptions!$D$101)*J9811</f>
        <v>0.5</v>
      </c>
      <c r="K9872" s="48" t="n">
        <f aca="false">IF(K9810&lt;=4,Assumptions!$D$100,Assumptions!$D$101)*K9811</f>
        <v>0.5</v>
      </c>
      <c r="L9872" s="48" t="n">
        <f aca="false">IF(L9810&lt;=4,Assumptions!$D$100,Assumptions!$D$101)*L9811</f>
        <v>0.5</v>
      </c>
      <c r="M9872" s="48" t="n">
        <f aca="false">IF(M9810&lt;=4,Assumptions!$D$100,Assumptions!$D$101)*M9811</f>
        <v>0.5</v>
      </c>
      <c r="N9872" s="48" t="n">
        <f aca="false">IF(N9810&lt;=4,Assumptions!$D$100,Assumptions!$D$101)*N9811</f>
        <v>0.5</v>
      </c>
      <c r="P9872" s="49" t="n">
        <f aca="false">AVERAGE(C9872:F9872)</f>
        <v>1</v>
      </c>
      <c r="Q9872" s="49" t="n">
        <f aca="false">AVERAGE(G9872:J9872)</f>
        <v>0.5</v>
      </c>
      <c r="R9872" s="49" t="n">
        <f aca="false">AVERAGE(K9872:N9872)</f>
        <v>0.5</v>
      </c>
      <c r="S9872" s="50"/>
    </row>
    <row r="9873" customFormat="false" ht="15" hidden="false" customHeight="false" outlineLevel="0" collapsed="false">
      <c r="A9873" s="4" t="s">
        <v>552</v>
      </c>
      <c r="B9873" s="36" t="s">
        <v>321</v>
      </c>
      <c r="C9873" s="48" t="n">
        <f aca="false">Assumptions!$D$102*C9811</f>
        <v>0.25</v>
      </c>
      <c r="D9873" s="48" t="n">
        <f aca="false">Assumptions!$D$102*D9811</f>
        <v>0.25</v>
      </c>
      <c r="E9873" s="48" t="n">
        <f aca="false">Assumptions!$D$102*E9811</f>
        <v>0.25</v>
      </c>
      <c r="F9873" s="48" t="n">
        <f aca="false">Assumptions!$D$102*F9811</f>
        <v>0.25</v>
      </c>
      <c r="G9873" s="48" t="n">
        <f aca="false">Assumptions!$D$102*G9811</f>
        <v>0.25</v>
      </c>
      <c r="H9873" s="48" t="n">
        <f aca="false">Assumptions!$D$102*H9811</f>
        <v>0.25</v>
      </c>
      <c r="I9873" s="48" t="n">
        <f aca="false">Assumptions!$D$102*I9811</f>
        <v>0.25</v>
      </c>
      <c r="J9873" s="48" t="n">
        <f aca="false">Assumptions!$D$102*J9811</f>
        <v>0.25</v>
      </c>
      <c r="K9873" s="48" t="n">
        <f aca="false">Assumptions!$D$102*K9811</f>
        <v>0.25</v>
      </c>
      <c r="L9873" s="48" t="n">
        <f aca="false">Assumptions!$D$102*L9811</f>
        <v>0.25</v>
      </c>
      <c r="M9873" s="48" t="n">
        <f aca="false">Assumptions!$D$102*M9811</f>
        <v>0.25</v>
      </c>
      <c r="N9873" s="48" t="n">
        <f aca="false">Assumptions!$D$102*N9811</f>
        <v>0.25</v>
      </c>
      <c r="P9873" s="49" t="n">
        <f aca="false">AVERAGE(C9873:F9873)</f>
        <v>0.25</v>
      </c>
      <c r="Q9873" s="49" t="n">
        <f aca="false">AVERAGE(G9873:J9873)</f>
        <v>0.25</v>
      </c>
      <c r="R9873" s="49" t="n">
        <f aca="false">AVERAGE(K9873:N9873)</f>
        <v>0.25</v>
      </c>
      <c r="S9873" s="50"/>
    </row>
    <row r="9874" customFormat="false" ht="15" hidden="false" customHeight="false" outlineLevel="0" collapsed="false">
      <c r="A9874" s="4" t="s">
        <v>553</v>
      </c>
      <c r="B9874" s="36" t="s">
        <v>321</v>
      </c>
      <c r="C9874" s="48" t="n">
        <f aca="false">(C9858+C9859)/Assumptions!$E$74+C9857/Assumptions!$E$75</f>
        <v>0</v>
      </c>
      <c r="D9874" s="48" t="n">
        <f aca="false">(D9858+D9859)/Assumptions!$E$74+D9857/Assumptions!$E$75</f>
        <v>0.027271676452217</v>
      </c>
      <c r="E9874" s="48" t="n">
        <f aca="false">(E9858+E9859)/Assumptions!$E$74+E9857/Assumptions!$E$75</f>
        <v>0.0766665631938663</v>
      </c>
      <c r="F9874" s="48" t="n">
        <f aca="false">(F9858+F9859)/Assumptions!$E$74+F9857/Assumptions!$E$75</f>
        <v>0.131992679240707</v>
      </c>
      <c r="G9874" s="48" t="n">
        <f aca="false">(G9858+G9859)/Assumptions!$E$74+G9857/Assumptions!$E$75</f>
        <v>0.191381099426764</v>
      </c>
      <c r="H9874" s="48" t="n">
        <f aca="false">(H9858+H9859)/Assumptions!$E$74+H9857/Assumptions!$E$75</f>
        <v>0.264923129956655</v>
      </c>
      <c r="I9874" s="48" t="n">
        <f aca="false">(I9858+I9859)/Assumptions!$E$74+I9857/Assumptions!$E$75</f>
        <v>0.351916342866946</v>
      </c>
      <c r="J9874" s="48" t="n">
        <f aca="false">(J9858+J9859)/Assumptions!$E$74+J9857/Assumptions!$E$75</f>
        <v>0.47328358134565</v>
      </c>
      <c r="K9874" s="48" t="n">
        <f aca="false">(K9858+K9859)/Assumptions!$E$74+K9857/Assumptions!$E$75</f>
        <v>0.627083564679102</v>
      </c>
      <c r="L9874" s="48" t="n">
        <f aca="false">(L9858+L9859)/Assumptions!$E$74+L9857/Assumptions!$E$75</f>
        <v>0.780785653420548</v>
      </c>
      <c r="M9874" s="48" t="n">
        <f aca="false">(M9858+M9859)/Assumptions!$E$74+M9857/Assumptions!$E$75</f>
        <v>0.925894318962009</v>
      </c>
      <c r="N9874" s="48" t="n">
        <f aca="false">(N9858+N9859)/Assumptions!$E$74+N9857/Assumptions!$E$75</f>
        <v>1.06238775826683</v>
      </c>
      <c r="P9874" s="49" t="n">
        <f aca="false">AVERAGE(C9874:F9874)</f>
        <v>0.0589827297216975</v>
      </c>
      <c r="Q9874" s="49" t="n">
        <f aca="false">AVERAGE(G9874:J9874)</f>
        <v>0.320376038399004</v>
      </c>
      <c r="R9874" s="49" t="n">
        <f aca="false">AVERAGE(K9874:N9874)</f>
        <v>0.849037823832122</v>
      </c>
      <c r="S9874" s="50"/>
    </row>
    <row r="9875" customFormat="false" ht="15" hidden="false" customHeight="false" outlineLevel="0" collapsed="false">
      <c r="A9875" s="4" t="s">
        <v>554</v>
      </c>
      <c r="B9875" s="36" t="s">
        <v>125</v>
      </c>
      <c r="C9875" s="54" t="n">
        <f aca="false">(C9869+C9871)*Assumptions!$E$70/Assumptions!$E$69/4</f>
        <v>66753.5714285714</v>
      </c>
      <c r="D9875" s="54" t="n">
        <f aca="false">(D9869+D9871)*Assumptions!$E$70/Assumptions!$E$69/4</f>
        <v>66753.5714285714</v>
      </c>
      <c r="E9875" s="54" t="n">
        <f aca="false">(E9869+E9871)*Assumptions!$E$70/Assumptions!$E$69/4</f>
        <v>66753.5714285714</v>
      </c>
      <c r="F9875" s="54" t="n">
        <f aca="false">(F9869+F9871)*Assumptions!$E$70/Assumptions!$E$69/4</f>
        <v>66753.5714285714</v>
      </c>
      <c r="G9875" s="54" t="n">
        <f aca="false">(G9869+G9871)*Assumptions!$E$70/Assumptions!$E$69/4</f>
        <v>100130.357142857</v>
      </c>
      <c r="H9875" s="54" t="n">
        <f aca="false">(H9869+H9871)*Assumptions!$E$70/Assumptions!$E$69/4</f>
        <v>100130.357142857</v>
      </c>
      <c r="I9875" s="54" t="n">
        <f aca="false">(I9869+I9871)*Assumptions!$E$70/Assumptions!$E$69/4</f>
        <v>100130.357142857</v>
      </c>
      <c r="J9875" s="54" t="n">
        <f aca="false">(J9869+J9871)*Assumptions!$E$70/Assumptions!$E$69/4</f>
        <v>100130.357142857</v>
      </c>
      <c r="K9875" s="54" t="n">
        <f aca="false">(K9869+K9871)*Assumptions!$E$70/Assumptions!$E$69/4</f>
        <v>100130.357142857</v>
      </c>
      <c r="L9875" s="54" t="n">
        <f aca="false">(L9869+L9871)*Assumptions!$E$70/Assumptions!$E$69/4</f>
        <v>100130.357142857</v>
      </c>
      <c r="M9875" s="54" t="n">
        <f aca="false">(M9869+M9871)*Assumptions!$E$70/Assumptions!$E$69/4</f>
        <v>100130.357142857</v>
      </c>
      <c r="N9875" s="54" t="n">
        <f aca="false">(N9869+N9871)*Assumptions!$E$70/Assumptions!$E$69/4</f>
        <v>100130.357142857</v>
      </c>
      <c r="P9875" s="55" t="n">
        <f aca="false">SUM(C9875:F9875)</f>
        <v>267014.285714286</v>
      </c>
      <c r="Q9875" s="55" t="n">
        <f aca="false">SUM(G9875:J9875)</f>
        <v>400521.428571429</v>
      </c>
      <c r="R9875" s="55" t="n">
        <f aca="false">SUM(K9875:N9875)</f>
        <v>400521.428571429</v>
      </c>
      <c r="S9875" s="56" t="n">
        <f aca="false">SUM(P9875:R9875)</f>
        <v>1068057.14285714</v>
      </c>
    </row>
    <row r="9876" customFormat="false" ht="15" hidden="false" customHeight="false" outlineLevel="0" collapsed="false">
      <c r="A9876" s="4" t="s">
        <v>555</v>
      </c>
      <c r="B9876" s="36" t="s">
        <v>125</v>
      </c>
      <c r="C9876" s="54" t="n">
        <f aca="false">C9870*$C$9805/4</f>
        <v>0</v>
      </c>
      <c r="D9876" s="54" t="n">
        <f aca="false">D9870*$C$9805/4</f>
        <v>0</v>
      </c>
      <c r="E9876" s="54" t="n">
        <f aca="false">E9870*$C$9805/4</f>
        <v>0</v>
      </c>
      <c r="F9876" s="54" t="n">
        <f aca="false">F9870*$C$9805/4</f>
        <v>0</v>
      </c>
      <c r="G9876" s="54" t="n">
        <f aca="false">G9870*$C$9805/4</f>
        <v>0</v>
      </c>
      <c r="H9876" s="54" t="n">
        <f aca="false">H9870*$C$9805/4</f>
        <v>0</v>
      </c>
      <c r="I9876" s="54" t="n">
        <f aca="false">I9870*$C$9805/4</f>
        <v>0</v>
      </c>
      <c r="J9876" s="54" t="n">
        <f aca="false">J9870*$C$9805/4</f>
        <v>0</v>
      </c>
      <c r="K9876" s="54" t="n">
        <f aca="false">K9870*$C$9805/4</f>
        <v>0</v>
      </c>
      <c r="L9876" s="54" t="n">
        <f aca="false">L9870*$C$9805/4</f>
        <v>0</v>
      </c>
      <c r="M9876" s="54" t="n">
        <f aca="false">M9870*$C$9805/4</f>
        <v>0</v>
      </c>
      <c r="N9876" s="54" t="n">
        <f aca="false">N9870*$C$9805/4</f>
        <v>0</v>
      </c>
      <c r="P9876" s="55" t="n">
        <f aca="false">SUM(C9876:F9876)</f>
        <v>0</v>
      </c>
      <c r="Q9876" s="55" t="n">
        <f aca="false">SUM(G9876:J9876)</f>
        <v>0</v>
      </c>
      <c r="R9876" s="55" t="n">
        <f aca="false">SUM(K9876:N9876)</f>
        <v>0</v>
      </c>
      <c r="S9876" s="56" t="n">
        <f aca="false">SUM(P9876:R9876)</f>
        <v>0</v>
      </c>
    </row>
    <row r="9877" customFormat="false" ht="15" hidden="false" customHeight="false" outlineLevel="0" collapsed="false">
      <c r="A9877" s="4" t="s">
        <v>556</v>
      </c>
      <c r="B9877" s="36" t="s">
        <v>125</v>
      </c>
      <c r="C9877" s="54" t="n">
        <f aca="false">MAX(0,(C9865-C9846*$C$9801)-C9825*$C$9806)*$C$9807*Assumptions!$D$105</f>
        <v>0</v>
      </c>
      <c r="D9877" s="54" t="n">
        <f aca="false">MAX(0,(D9865-D9846*$C$9801)-D9825*$C$9806)*$C$9807*Assumptions!$D$105</f>
        <v>5709.16123265038</v>
      </c>
      <c r="E9877" s="54" t="n">
        <f aca="false">MAX(0,(E9865-E9846*$C$9801)-E9825*$C$9806)*$C$9807*Assumptions!$D$105</f>
        <v>12720.2515155263</v>
      </c>
      <c r="F9877" s="54" t="n">
        <f aca="false">MAX(0,(F9865-F9846*$C$9801)-F9825*$C$9806)*$C$9807*Assumptions!$D$105</f>
        <v>15827.5556886019</v>
      </c>
      <c r="G9877" s="54" t="n">
        <f aca="false">MAX(0,(G9865-G9846*$C$9801)-G9825*$C$9806)*$C$9807*Assumptions!$D$105</f>
        <v>17380.4131225042</v>
      </c>
      <c r="H9877" s="54" t="n">
        <f aca="false">MAX(0,(H9865-H9846*$C$9801)-H9825*$C$9806)*$C$9807*Assumptions!$D$105</f>
        <v>21155.4229708023</v>
      </c>
      <c r="I9877" s="54" t="n">
        <f aca="false">MAX(0,(I9865-I9846*$C$9801)-I9825*$C$9806)*$C$9807*Assumptions!$D$105</f>
        <v>25283.0340555627</v>
      </c>
      <c r="J9877" s="54" t="n">
        <f aca="false">MAX(0,(J9865-J9846*$C$9801)-J9825*$C$9806)*$C$9807*Assumptions!$D$105</f>
        <v>34237.358493694</v>
      </c>
      <c r="K9877" s="54" t="n">
        <f aca="false">MAX(0,(K9865-K9846*$C$9801)-K9825*$C$9806)*$C$9807*Assumptions!$D$105</f>
        <v>44173.0899119541</v>
      </c>
      <c r="L9877" s="54" t="n">
        <f aca="false">MAX(0,(L9865-L9846*$C$9801)-L9825*$C$9806)*$C$9807*Assumptions!$D$105</f>
        <v>46957.5051048994</v>
      </c>
      <c r="M9877" s="54" t="n">
        <f aca="false">MAX(0,(M9865-M9846*$C$9801)-M9825*$C$9806)*$C$9807*Assumptions!$D$105</f>
        <v>46061.7659568146</v>
      </c>
      <c r="N9877" s="54" t="n">
        <f aca="false">MAX(0,(N9865-N9846*$C$9801)-N9825*$C$9806)*$C$9807*Assumptions!$D$105</f>
        <v>44737.3586109357</v>
      </c>
      <c r="P9877" s="55" t="n">
        <f aca="false">SUM(C9877:F9877)</f>
        <v>34256.9684367787</v>
      </c>
      <c r="Q9877" s="55" t="n">
        <f aca="false">SUM(G9877:J9877)</f>
        <v>98056.2286425632</v>
      </c>
      <c r="R9877" s="55" t="n">
        <f aca="false">SUM(K9877:N9877)</f>
        <v>181929.719584604</v>
      </c>
      <c r="S9877" s="56" t="n">
        <f aca="false">SUM(P9877:R9877)</f>
        <v>314242.916663946</v>
      </c>
    </row>
    <row r="9878" customFormat="false" ht="15" hidden="false" customHeight="false" outlineLevel="0" collapsed="false">
      <c r="A9878" s="4" t="s">
        <v>557</v>
      </c>
      <c r="B9878" s="36" t="s">
        <v>125</v>
      </c>
      <c r="C9878" s="54" t="n">
        <f aca="false">C9873*Assumptions!$E$71/Assumptions!$E$69/4</f>
        <v>18475.8928571429</v>
      </c>
      <c r="D9878" s="54" t="n">
        <f aca="false">D9873*Assumptions!$E$71/Assumptions!$E$69/4</f>
        <v>18475.8928571429</v>
      </c>
      <c r="E9878" s="54" t="n">
        <f aca="false">E9873*Assumptions!$E$71/Assumptions!$E$69/4</f>
        <v>18475.8928571429</v>
      </c>
      <c r="F9878" s="54" t="n">
        <f aca="false">F9873*Assumptions!$E$71/Assumptions!$E$69/4</f>
        <v>18475.8928571429</v>
      </c>
      <c r="G9878" s="54" t="n">
        <f aca="false">G9873*Assumptions!$E$71/Assumptions!$E$69/4</f>
        <v>18475.8928571429</v>
      </c>
      <c r="H9878" s="54" t="n">
        <f aca="false">H9873*Assumptions!$E$71/Assumptions!$E$69/4</f>
        <v>18475.8928571429</v>
      </c>
      <c r="I9878" s="54" t="n">
        <f aca="false">I9873*Assumptions!$E$71/Assumptions!$E$69/4</f>
        <v>18475.8928571429</v>
      </c>
      <c r="J9878" s="54" t="n">
        <f aca="false">J9873*Assumptions!$E$71/Assumptions!$E$69/4</f>
        <v>18475.8928571429</v>
      </c>
      <c r="K9878" s="54" t="n">
        <f aca="false">K9873*Assumptions!$E$71/Assumptions!$E$69/4</f>
        <v>18475.8928571429</v>
      </c>
      <c r="L9878" s="54" t="n">
        <f aca="false">L9873*Assumptions!$E$71/Assumptions!$E$69/4</f>
        <v>18475.8928571429</v>
      </c>
      <c r="M9878" s="54" t="n">
        <f aca="false">M9873*Assumptions!$E$71/Assumptions!$E$69/4</f>
        <v>18475.8928571429</v>
      </c>
      <c r="N9878" s="54" t="n">
        <f aca="false">N9873*Assumptions!$E$71/Assumptions!$E$69/4</f>
        <v>18475.8928571429</v>
      </c>
      <c r="P9878" s="55" t="n">
        <f aca="false">SUM(C9878:F9878)</f>
        <v>73903.5714285714</v>
      </c>
      <c r="Q9878" s="55" t="n">
        <f aca="false">SUM(G9878:J9878)</f>
        <v>73903.5714285714</v>
      </c>
      <c r="R9878" s="55" t="n">
        <f aca="false">SUM(K9878:N9878)</f>
        <v>73903.5714285714</v>
      </c>
      <c r="S9878" s="56" t="n">
        <f aca="false">SUM(P9878:R9878)</f>
        <v>221710.714285714</v>
      </c>
    </row>
    <row r="9879" customFormat="false" ht="15" hidden="false" customHeight="false" outlineLevel="0" collapsed="false">
      <c r="A9879" s="4" t="s">
        <v>558</v>
      </c>
      <c r="B9879" s="36" t="s">
        <v>125</v>
      </c>
      <c r="C9879" s="54" t="n">
        <f aca="false">(Assumptions!$D$103+Assumptions!$E$77*((C9810=Assumptions!$E$13)+(C9810=Assumptions!$E$14)+(C9810=Assumptions!$E$15)))*C9811</f>
        <v>65000</v>
      </c>
      <c r="D9879" s="54" t="n">
        <f aca="false">(Assumptions!$D$103+Assumptions!$E$77*((D9810=Assumptions!$E$13)+(D9810=Assumptions!$E$14)+(D9810=Assumptions!$E$15)))*D9811</f>
        <v>25000</v>
      </c>
      <c r="E9879" s="54" t="n">
        <f aca="false">(Assumptions!$D$103+Assumptions!$E$77*((E9810=Assumptions!$E$13)+(E9810=Assumptions!$E$14)+(E9810=Assumptions!$E$15)))*E9811</f>
        <v>25000</v>
      </c>
      <c r="F9879" s="54" t="n">
        <f aca="false">(Assumptions!$D$103+Assumptions!$E$77*((F9810=Assumptions!$E$13)+(F9810=Assumptions!$E$14)+(F9810=Assumptions!$E$15)))*F9811</f>
        <v>25000</v>
      </c>
      <c r="G9879" s="54" t="n">
        <f aca="false">(Assumptions!$D$103+Assumptions!$E$77*((G9810=Assumptions!$E$13)+(G9810=Assumptions!$E$14)+(G9810=Assumptions!$E$15)))*G9811</f>
        <v>65000</v>
      </c>
      <c r="H9879" s="54" t="n">
        <f aca="false">(Assumptions!$D$103+Assumptions!$E$77*((H9810=Assumptions!$E$13)+(H9810=Assumptions!$E$14)+(H9810=Assumptions!$E$15)))*H9811</f>
        <v>25000</v>
      </c>
      <c r="I9879" s="54" t="n">
        <f aca="false">(Assumptions!$D$103+Assumptions!$E$77*((I9810=Assumptions!$E$13)+(I9810=Assumptions!$E$14)+(I9810=Assumptions!$E$15)))*I9811</f>
        <v>65000</v>
      </c>
      <c r="J9879" s="54" t="n">
        <f aca="false">(Assumptions!$D$103+Assumptions!$E$77*((J9810=Assumptions!$E$13)+(J9810=Assumptions!$E$14)+(J9810=Assumptions!$E$15)))*J9811</f>
        <v>25000</v>
      </c>
      <c r="K9879" s="54" t="n">
        <f aca="false">(Assumptions!$D$103+Assumptions!$E$77*((K9810=Assumptions!$E$13)+(K9810=Assumptions!$E$14)+(K9810=Assumptions!$E$15)))*K9811</f>
        <v>25000</v>
      </c>
      <c r="L9879" s="54" t="n">
        <f aca="false">(Assumptions!$D$103+Assumptions!$E$77*((L9810=Assumptions!$E$13)+(L9810=Assumptions!$E$14)+(L9810=Assumptions!$E$15)))*L9811</f>
        <v>25000</v>
      </c>
      <c r="M9879" s="54" t="n">
        <f aca="false">(Assumptions!$D$103+Assumptions!$E$77*((M9810=Assumptions!$E$13)+(M9810=Assumptions!$E$14)+(M9810=Assumptions!$E$15)))*M9811</f>
        <v>25000</v>
      </c>
      <c r="N9879" s="54" t="n">
        <f aca="false">(Assumptions!$D$103+Assumptions!$E$77*((N9810=Assumptions!$E$13)+(N9810=Assumptions!$E$14)+(N9810=Assumptions!$E$15)))*N9811</f>
        <v>25000</v>
      </c>
      <c r="P9879" s="55" t="n">
        <f aca="false">SUM(C9879:F9879)</f>
        <v>140000</v>
      </c>
      <c r="Q9879" s="55" t="n">
        <f aca="false">SUM(G9879:J9879)</f>
        <v>180000</v>
      </c>
      <c r="R9879" s="55" t="n">
        <f aca="false">SUM(K9879:N9879)</f>
        <v>100000</v>
      </c>
      <c r="S9879" s="56" t="n">
        <f aca="false">SUM(P9879:R9879)</f>
        <v>420000</v>
      </c>
    </row>
    <row r="9880" customFormat="false" ht="15" hidden="false" customHeight="false" outlineLevel="0" collapsed="false">
      <c r="A9880" s="4" t="s">
        <v>559</v>
      </c>
      <c r="B9880" s="36" t="s">
        <v>125</v>
      </c>
      <c r="C9880" s="54" t="n">
        <f aca="false">C9865*C9845*Assumptions!$E$79</f>
        <v>0</v>
      </c>
      <c r="D9880" s="54" t="n">
        <f aca="false">D9865*D9845*Assumptions!$E$79</f>
        <v>1367.58623630233</v>
      </c>
      <c r="E9880" s="54" t="n">
        <f aca="false">E9865*E9845*Assumptions!$E$79</f>
        <v>2557.01682175401</v>
      </c>
      <c r="F9880" s="54" t="n">
        <f aca="false">F9865*F9845*Assumptions!$E$79</f>
        <v>3782.47224916889</v>
      </c>
      <c r="G9880" s="54" t="n">
        <f aca="false">G9865*G9845*Assumptions!$E$79</f>
        <v>4737.37413376816</v>
      </c>
      <c r="H9880" s="54" t="n">
        <f aca="false">H9865*H9845*Assumptions!$E$79</f>
        <v>5474.73922279503</v>
      </c>
      <c r="I9880" s="54" t="n">
        <f aca="false">I9865*I9845*Assumptions!$E$79</f>
        <v>6366.81323732917</v>
      </c>
      <c r="J9880" s="54" t="n">
        <f aca="false">J9865*J9845*Assumptions!$E$79</f>
        <v>6901.9887896219</v>
      </c>
      <c r="K9880" s="54" t="n">
        <f aca="false">K9865*K9845*Assumptions!$E$79</f>
        <v>7824.536759992</v>
      </c>
      <c r="L9880" s="54" t="n">
        <f aca="false">L9865*L9845*Assumptions!$E$79</f>
        <v>9105.68570561484</v>
      </c>
      <c r="M9880" s="54" t="n">
        <f aca="false">M9865*M9845*Assumptions!$E$79</f>
        <v>9190.64041462691</v>
      </c>
      <c r="N9880" s="54" t="n">
        <f aca="false">N9865*N9845*Assumptions!$E$79</f>
        <v>9187.72874704314</v>
      </c>
      <c r="P9880" s="55" t="n">
        <f aca="false">SUM(C9880:F9880)</f>
        <v>7707.07530722524</v>
      </c>
      <c r="Q9880" s="55" t="n">
        <f aca="false">SUM(G9880:J9880)</f>
        <v>23480.9153835143</v>
      </c>
      <c r="R9880" s="55" t="n">
        <f aca="false">SUM(K9880:N9880)</f>
        <v>35308.5916272769</v>
      </c>
      <c r="S9880" s="56" t="n">
        <f aca="false">SUM(P9880:R9880)</f>
        <v>66496.5823180164</v>
      </c>
    </row>
    <row r="9881" customFormat="false" ht="15" hidden="false" customHeight="false" outlineLevel="0" collapsed="false">
      <c r="A9881" s="4" t="s">
        <v>560</v>
      </c>
      <c r="B9881" s="36" t="s">
        <v>125</v>
      </c>
      <c r="C9881" s="54" t="n">
        <f aca="false">C9830*Assumptions!$E$80</f>
        <v>4000</v>
      </c>
      <c r="D9881" s="54" t="n">
        <f aca="false">D9830*Assumptions!$E$80</f>
        <v>6000</v>
      </c>
      <c r="E9881" s="54" t="n">
        <f aca="false">E9830*Assumptions!$E$80</f>
        <v>8000</v>
      </c>
      <c r="F9881" s="54" t="n">
        <f aca="false">F9830*Assumptions!$E$80</f>
        <v>10000</v>
      </c>
      <c r="G9881" s="54" t="n">
        <f aca="false">G9830*Assumptions!$E$80</f>
        <v>12000</v>
      </c>
      <c r="H9881" s="54" t="n">
        <f aca="false">H9830*Assumptions!$E$80</f>
        <v>14000</v>
      </c>
      <c r="I9881" s="54" t="n">
        <f aca="false">I9830*Assumptions!$E$80</f>
        <v>16000</v>
      </c>
      <c r="J9881" s="54" t="n">
        <f aca="false">J9830*Assumptions!$E$80</f>
        <v>18000</v>
      </c>
      <c r="K9881" s="54" t="n">
        <f aca="false">K9830*Assumptions!$E$80</f>
        <v>20000</v>
      </c>
      <c r="L9881" s="54" t="n">
        <f aca="false">L9830*Assumptions!$E$80</f>
        <v>20000</v>
      </c>
      <c r="M9881" s="54" t="n">
        <f aca="false">M9830*Assumptions!$E$80</f>
        <v>20000</v>
      </c>
      <c r="N9881" s="54" t="n">
        <f aca="false">N9830*Assumptions!$E$80</f>
        <v>20000</v>
      </c>
      <c r="P9881" s="55" t="n">
        <f aca="false">SUM(C9881:F9881)</f>
        <v>28000</v>
      </c>
      <c r="Q9881" s="55" t="n">
        <f aca="false">SUM(G9881:J9881)</f>
        <v>60000</v>
      </c>
      <c r="R9881" s="55" t="n">
        <f aca="false">SUM(K9881:N9881)</f>
        <v>80000</v>
      </c>
      <c r="S9881" s="56" t="n">
        <f aca="false">SUM(P9881:R9881)</f>
        <v>168000</v>
      </c>
    </row>
    <row r="9882" customFormat="false" ht="15" hidden="false" customHeight="false" outlineLevel="0" collapsed="false">
      <c r="A9882" s="4" t="s">
        <v>561</v>
      </c>
      <c r="B9882" s="36" t="s">
        <v>125</v>
      </c>
      <c r="C9882" s="54" t="n">
        <f aca="false">(C9853*$C$9802+C9854*$C$9803)*Assumptions!$E$81</f>
        <v>0</v>
      </c>
      <c r="D9882" s="54" t="n">
        <f aca="false">(D9853*$C$9802+D9854*$C$9803)*Assumptions!$E$81</f>
        <v>908.482811949377</v>
      </c>
      <c r="E9882" s="54" t="n">
        <f aca="false">(E9853*$C$9802+E9854*$C$9803)*Assumptions!$E$81</f>
        <v>2500.77221931133</v>
      </c>
      <c r="F9882" s="54" t="n">
        <f aca="false">(F9853*$C$9802+F9854*$C$9803)*Assumptions!$E$81</f>
        <v>3335.58300301135</v>
      </c>
      <c r="G9882" s="54" t="n">
        <f aca="false">(G9853*$C$9802+G9854*$C$9803)*Assumptions!$E$81</f>
        <v>3667.17110183949</v>
      </c>
      <c r="H9882" s="54" t="n">
        <f aca="false">(H9853*$C$9802+H9854*$C$9803)*Assumptions!$E$81</f>
        <v>4329.95606388489</v>
      </c>
      <c r="I9882" s="54" t="n">
        <f aca="false">(I9853*$C$9802+I9854*$C$9803)*Assumptions!$E$81</f>
        <v>5142.4707825917</v>
      </c>
      <c r="J9882" s="54" t="n">
        <f aca="false">(J9853*$C$9802+J9854*$C$9803)*Assumptions!$E$81</f>
        <v>6587.95670972157</v>
      </c>
      <c r="K9882" s="54" t="n">
        <f aca="false">(K9853*$C$9802+K9854*$C$9803)*Assumptions!$E$81</f>
        <v>8485.09222345807</v>
      </c>
      <c r="L9882" s="54" t="n">
        <f aca="false">(L9853*$C$9802+L9854*$C$9803)*Assumptions!$E$81</f>
        <v>9339.81694033834</v>
      </c>
      <c r="M9882" s="54" t="n">
        <f aca="false">(M9853*$C$9802+M9854*$C$9803)*Assumptions!$E$81</f>
        <v>9222.32872243404</v>
      </c>
      <c r="N9882" s="54" t="n">
        <f aca="false">(N9853*$C$9802+N9854*$C$9803)*Assumptions!$E$81</f>
        <v>8955.16169149426</v>
      </c>
      <c r="P9882" s="55" t="n">
        <f aca="false">SUM(C9882:F9882)</f>
        <v>6744.83803427206</v>
      </c>
      <c r="Q9882" s="55" t="n">
        <f aca="false">SUM(G9882:J9882)</f>
        <v>19727.5546580377</v>
      </c>
      <c r="R9882" s="55" t="n">
        <f aca="false">SUM(K9882:N9882)</f>
        <v>36002.3995777247</v>
      </c>
      <c r="S9882" s="56" t="n">
        <f aca="false">SUM(P9882:R9882)</f>
        <v>62474.7922700344</v>
      </c>
    </row>
    <row r="9883" customFormat="false" ht="15" hidden="false" customHeight="false" outlineLevel="0" collapsed="false">
      <c r="A9883" s="9" t="s">
        <v>562</v>
      </c>
      <c r="B9883" s="36" t="s">
        <v>125</v>
      </c>
      <c r="C9883" s="55" t="n">
        <f aca="false">C9875+C9876+C9877+C9878+C9879+C9880+C9881+C9882</f>
        <v>154229.464285714</v>
      </c>
      <c r="D9883" s="55" t="n">
        <f aca="false">D9875+D9876+D9877+D9878+D9879+D9880+D9881+D9882</f>
        <v>124214.694566616</v>
      </c>
      <c r="E9883" s="55" t="n">
        <f aca="false">E9875+E9876+E9877+E9878+E9879+E9880+E9881+E9882</f>
        <v>136007.504842306</v>
      </c>
      <c r="F9883" s="55" t="n">
        <f aca="false">F9875+F9876+F9877+F9878+F9879+F9880+F9881+F9882</f>
        <v>143175.075226497</v>
      </c>
      <c r="G9883" s="55" t="n">
        <f aca="false">G9875+G9876+G9877+G9878+G9879+G9880+G9881+G9882</f>
        <v>221391.208358112</v>
      </c>
      <c r="H9883" s="55" t="n">
        <f aca="false">H9875+H9876+H9877+H9878+H9879+H9880+H9881+H9882</f>
        <v>188566.368257482</v>
      </c>
      <c r="I9883" s="55" t="n">
        <f aca="false">I9875+I9876+I9877+I9878+I9879+I9880+I9881+I9882</f>
        <v>236398.568075484</v>
      </c>
      <c r="J9883" s="55" t="n">
        <f aca="false">J9875+J9876+J9877+J9878+J9879+J9880+J9881+J9882</f>
        <v>209333.553993037</v>
      </c>
      <c r="K9883" s="55" t="n">
        <f aca="false">K9875+K9876+K9877+K9878+K9879+K9880+K9881+K9882</f>
        <v>224088.968895404</v>
      </c>
      <c r="L9883" s="55" t="n">
        <f aca="false">L9875+L9876+L9877+L9878+L9879+L9880+L9881+L9882</f>
        <v>229009.257750853</v>
      </c>
      <c r="M9883" s="55" t="n">
        <f aca="false">M9875+M9876+M9877+M9878+M9879+M9880+M9881+M9882</f>
        <v>228080.985093876</v>
      </c>
      <c r="N9883" s="55" t="n">
        <f aca="false">N9875+N9876+N9877+N9878+N9879+N9880+N9881+N9882</f>
        <v>226486.499049473</v>
      </c>
      <c r="P9883" s="55" t="n">
        <f aca="false">SUM(C9883:F9883)</f>
        <v>557626.738921133</v>
      </c>
      <c r="Q9883" s="55" t="n">
        <f aca="false">SUM(G9883:J9883)</f>
        <v>855689.698684115</v>
      </c>
      <c r="R9883" s="55" t="n">
        <f aca="false">SUM(K9883:N9883)</f>
        <v>907665.710789605</v>
      </c>
      <c r="S9883" s="56" t="n">
        <f aca="false">SUM(P9883:R9883)</f>
        <v>2320982.14839485</v>
      </c>
    </row>
    <row r="9884" customFormat="false" ht="15" hidden="false" customHeight="false" outlineLevel="0" collapsed="false">
      <c r="A9884" s="4" t="s">
        <v>563</v>
      </c>
      <c r="B9884" s="36" t="s">
        <v>125</v>
      </c>
      <c r="C9884" s="54" t="n">
        <f aca="false">C9872*Assumptions!$E$72/Assumptions!$E$69/4</f>
        <v>56535.7142857143</v>
      </c>
      <c r="D9884" s="54" t="n">
        <f aca="false">D9872*Assumptions!$E$72/Assumptions!$E$69/4</f>
        <v>56535.7142857143</v>
      </c>
      <c r="E9884" s="54" t="n">
        <f aca="false">E9872*Assumptions!$E$72/Assumptions!$E$69/4</f>
        <v>56535.7142857143</v>
      </c>
      <c r="F9884" s="54" t="n">
        <f aca="false">F9872*Assumptions!$E$72/Assumptions!$E$69/4</f>
        <v>56535.7142857143</v>
      </c>
      <c r="G9884" s="54" t="n">
        <f aca="false">G9872*Assumptions!$E$72/Assumptions!$E$69/4</f>
        <v>28267.8571428571</v>
      </c>
      <c r="H9884" s="54" t="n">
        <f aca="false">H9872*Assumptions!$E$72/Assumptions!$E$69/4</f>
        <v>28267.8571428571</v>
      </c>
      <c r="I9884" s="54" t="n">
        <f aca="false">I9872*Assumptions!$E$72/Assumptions!$E$69/4</f>
        <v>28267.8571428571</v>
      </c>
      <c r="J9884" s="54" t="n">
        <f aca="false">J9872*Assumptions!$E$72/Assumptions!$E$69/4</f>
        <v>28267.8571428571</v>
      </c>
      <c r="K9884" s="54" t="n">
        <f aca="false">K9872*Assumptions!$E$72/Assumptions!$E$69/4</f>
        <v>28267.8571428571</v>
      </c>
      <c r="L9884" s="54" t="n">
        <f aca="false">L9872*Assumptions!$E$72/Assumptions!$E$69/4</f>
        <v>28267.8571428571</v>
      </c>
      <c r="M9884" s="54" t="n">
        <f aca="false">M9872*Assumptions!$E$72/Assumptions!$E$69/4</f>
        <v>28267.8571428571</v>
      </c>
      <c r="N9884" s="54" t="n">
        <f aca="false">N9872*Assumptions!$E$72/Assumptions!$E$69/4</f>
        <v>28267.8571428571</v>
      </c>
      <c r="P9884" s="55" t="n">
        <f aca="false">SUM(C9884:F9884)</f>
        <v>226142.857142857</v>
      </c>
      <c r="Q9884" s="55" t="n">
        <f aca="false">SUM(G9884:J9884)</f>
        <v>113071.428571429</v>
      </c>
      <c r="R9884" s="55" t="n">
        <f aca="false">SUM(K9884:N9884)</f>
        <v>113071.428571429</v>
      </c>
      <c r="S9884" s="56" t="n">
        <f aca="false">SUM(P9884:R9884)</f>
        <v>452285.714285714</v>
      </c>
    </row>
    <row r="9885" customFormat="false" ht="15" hidden="false" customHeight="false" outlineLevel="0" collapsed="false">
      <c r="A9885" s="4" t="s">
        <v>564</v>
      </c>
      <c r="B9885" s="36" t="s">
        <v>125</v>
      </c>
      <c r="C9885" s="54" t="n">
        <f aca="false">IF(C9810&lt;=Assumptions!$E$83,Assumptions!$E$82*Assumptions!$D$108/Assumptions!$E$83,0)</f>
        <v>62500</v>
      </c>
      <c r="D9885" s="54" t="n">
        <f aca="false">IF(D9810&lt;=Assumptions!$E$83,Assumptions!$E$82*Assumptions!$D$108/Assumptions!$E$83,0)</f>
        <v>62500</v>
      </c>
      <c r="E9885" s="54" t="n">
        <f aca="false">IF(E9810&lt;=Assumptions!$E$83,Assumptions!$E$82*Assumptions!$D$108/Assumptions!$E$83,0)</f>
        <v>62500</v>
      </c>
      <c r="F9885" s="54" t="n">
        <f aca="false">IF(F9810&lt;=Assumptions!$E$83,Assumptions!$E$82*Assumptions!$D$108/Assumptions!$E$83,0)</f>
        <v>62500</v>
      </c>
      <c r="G9885" s="54" t="n">
        <f aca="false">IF(G9810&lt;=Assumptions!$E$83,Assumptions!$E$82*Assumptions!$D$108/Assumptions!$E$83,0)</f>
        <v>0</v>
      </c>
      <c r="H9885" s="54" t="n">
        <f aca="false">IF(H9810&lt;=Assumptions!$E$83,Assumptions!$E$82*Assumptions!$D$108/Assumptions!$E$83,0)</f>
        <v>0</v>
      </c>
      <c r="I9885" s="54" t="n">
        <f aca="false">IF(I9810&lt;=Assumptions!$E$83,Assumptions!$E$82*Assumptions!$D$108/Assumptions!$E$83,0)</f>
        <v>0</v>
      </c>
      <c r="J9885" s="54" t="n">
        <f aca="false">IF(J9810&lt;=Assumptions!$E$83,Assumptions!$E$82*Assumptions!$D$108/Assumptions!$E$83,0)</f>
        <v>0</v>
      </c>
      <c r="K9885" s="54" t="n">
        <f aca="false">IF(K9810&lt;=Assumptions!$E$83,Assumptions!$E$82*Assumptions!$D$108/Assumptions!$E$83,0)</f>
        <v>0</v>
      </c>
      <c r="L9885" s="54" t="n">
        <f aca="false">IF(L9810&lt;=Assumptions!$E$83,Assumptions!$E$82*Assumptions!$D$108/Assumptions!$E$83,0)</f>
        <v>0</v>
      </c>
      <c r="M9885" s="54" t="n">
        <f aca="false">IF(M9810&lt;=Assumptions!$E$83,Assumptions!$E$82*Assumptions!$D$108/Assumptions!$E$83,0)</f>
        <v>0</v>
      </c>
      <c r="N9885" s="54" t="n">
        <f aca="false">IF(N9810&lt;=Assumptions!$E$83,Assumptions!$E$82*Assumptions!$D$108/Assumptions!$E$83,0)</f>
        <v>0</v>
      </c>
      <c r="P9885" s="55" t="n">
        <f aca="false">SUM(C9885:F9885)</f>
        <v>250000</v>
      </c>
      <c r="Q9885" s="55" t="n">
        <f aca="false">SUM(G9885:J9885)</f>
        <v>0</v>
      </c>
      <c r="R9885" s="55" t="n">
        <f aca="false">SUM(K9885:N9885)</f>
        <v>0</v>
      </c>
      <c r="S9885" s="56" t="n">
        <f aca="false">SUM(P9885:R9885)</f>
        <v>250000</v>
      </c>
    </row>
    <row r="9886" customFormat="false" ht="15" hidden="false" customHeight="false" outlineLevel="0" collapsed="false">
      <c r="A9886" s="4" t="s">
        <v>565</v>
      </c>
      <c r="B9886" s="36" t="s">
        <v>125</v>
      </c>
      <c r="C9886" s="54" t="n">
        <f aca="false">C9874*Assumptions!$E$73/Assumptions!$E$69/4</f>
        <v>0</v>
      </c>
      <c r="D9886" s="54" t="n">
        <f aca="false">D9874*Assumptions!$E$73/Assumptions!$E$69/4</f>
        <v>1095.83439915676</v>
      </c>
      <c r="E9886" s="54" t="n">
        <f aca="false">E9874*Assumptions!$E$73/Assumptions!$E$69/4</f>
        <v>3080.62679462211</v>
      </c>
      <c r="F9886" s="54" t="n">
        <f aca="false">F9874*Assumptions!$E$73/Assumptions!$E$69/4</f>
        <v>5303.74869334711</v>
      </c>
      <c r="G9886" s="54" t="n">
        <f aca="false">G9874*Assumptions!$E$73/Assumptions!$E$69/4</f>
        <v>7690.1026773233</v>
      </c>
      <c r="H9886" s="54" t="n">
        <f aca="false">H9874*Assumptions!$E$73/Assumptions!$E$69/4</f>
        <v>10645.1790540797</v>
      </c>
      <c r="I9886" s="54" t="n">
        <f aca="false">I9874*Assumptions!$E$73/Assumptions!$E$69/4</f>
        <v>14140.7527628429</v>
      </c>
      <c r="J9886" s="54" t="n">
        <f aca="false">J9874*Assumptions!$E$73/Assumptions!$E$69/4</f>
        <v>19017.5484775711</v>
      </c>
      <c r="K9886" s="54" t="n">
        <f aca="false">K9874*Assumptions!$E$73/Assumptions!$E$69/4</f>
        <v>25197.5613793021</v>
      </c>
      <c r="L9886" s="54" t="n">
        <f aca="false">L9874*Assumptions!$E$73/Assumptions!$E$69/4</f>
        <v>31373.6406665521</v>
      </c>
      <c r="M9886" s="54" t="n">
        <f aca="false">M9874*Assumptions!$E$73/Assumptions!$E$69/4</f>
        <v>37204.4177951484</v>
      </c>
      <c r="N9886" s="54" t="n">
        <f aca="false">N9874*Assumptions!$E$73/Assumptions!$E$69/4</f>
        <v>42689.0166723575</v>
      </c>
      <c r="P9886" s="55" t="n">
        <f aca="false">SUM(C9886:F9886)</f>
        <v>9480.20988712598</v>
      </c>
      <c r="Q9886" s="55" t="n">
        <f aca="false">SUM(G9886:J9886)</f>
        <v>51493.582971817</v>
      </c>
      <c r="R9886" s="55" t="n">
        <f aca="false">SUM(K9886:N9886)</f>
        <v>136464.63651336</v>
      </c>
      <c r="S9886" s="56" t="n">
        <f aca="false">SUM(P9886:R9886)</f>
        <v>197438.429372303</v>
      </c>
    </row>
    <row r="9887" customFormat="false" ht="15" hidden="false" customHeight="false" outlineLevel="0" collapsed="false">
      <c r="A9887" s="9" t="s">
        <v>566</v>
      </c>
      <c r="B9887" s="36" t="s">
        <v>125</v>
      </c>
      <c r="C9887" s="55" t="n">
        <f aca="false">C9883+C9884+C9885+C9886</f>
        <v>273265.178571429</v>
      </c>
      <c r="D9887" s="55" t="n">
        <f aca="false">D9883+D9884+D9885+D9886</f>
        <v>244346.243251487</v>
      </c>
      <c r="E9887" s="55" t="n">
        <f aca="false">E9883+E9884+E9885+E9886</f>
        <v>258123.845922642</v>
      </c>
      <c r="F9887" s="55" t="n">
        <f aca="false">F9883+F9884+F9885+F9886</f>
        <v>267514.538205558</v>
      </c>
      <c r="G9887" s="55" t="n">
        <f aca="false">G9883+G9884+G9885+G9886</f>
        <v>257349.168178292</v>
      </c>
      <c r="H9887" s="55" t="n">
        <f aca="false">H9883+H9884+H9885+H9886</f>
        <v>227479.404454419</v>
      </c>
      <c r="I9887" s="55" t="n">
        <f aca="false">I9883+I9884+I9885+I9886</f>
        <v>278807.177981184</v>
      </c>
      <c r="J9887" s="55" t="n">
        <f aca="false">J9883+J9884+J9885+J9886</f>
        <v>256618.959613466</v>
      </c>
      <c r="K9887" s="55" t="n">
        <f aca="false">K9883+K9884+K9885+K9886</f>
        <v>277554.387417563</v>
      </c>
      <c r="L9887" s="55" t="n">
        <f aca="false">L9883+L9884+L9885+L9886</f>
        <v>288650.755560262</v>
      </c>
      <c r="M9887" s="55" t="n">
        <f aca="false">M9883+M9884+M9885+M9886</f>
        <v>293553.260031881</v>
      </c>
      <c r="N9887" s="55" t="n">
        <f aca="false">N9883+N9884+N9885+N9886</f>
        <v>297443.372864688</v>
      </c>
      <c r="P9887" s="55" t="n">
        <f aca="false">SUM(C9887:F9887)</f>
        <v>1043249.80595112</v>
      </c>
      <c r="Q9887" s="55" t="n">
        <f aca="false">SUM(G9887:J9887)</f>
        <v>1020254.71022736</v>
      </c>
      <c r="R9887" s="55" t="n">
        <f aca="false">SUM(K9887:N9887)</f>
        <v>1157201.77587439</v>
      </c>
      <c r="S9887" s="56" t="n">
        <f aca="false">SUM(P9887:R9887)</f>
        <v>3220706.29205287</v>
      </c>
    </row>
    <row r="9888" customFormat="false" ht="15" hidden="false" customHeight="false" outlineLevel="0" collapsed="false">
      <c r="A9888" s="35" t="s">
        <v>567</v>
      </c>
      <c r="B9888" s="35" t="s">
        <v>444</v>
      </c>
      <c r="C9888" s="6" t="s">
        <v>354</v>
      </c>
      <c r="D9888" s="6" t="s">
        <v>355</v>
      </c>
      <c r="E9888" s="6" t="s">
        <v>356</v>
      </c>
      <c r="F9888" s="6" t="s">
        <v>357</v>
      </c>
      <c r="G9888" s="6" t="s">
        <v>358</v>
      </c>
      <c r="H9888" s="6" t="s">
        <v>359</v>
      </c>
      <c r="I9888" s="6" t="s">
        <v>360</v>
      </c>
      <c r="J9888" s="6" t="s">
        <v>361</v>
      </c>
      <c r="K9888" s="6" t="s">
        <v>362</v>
      </c>
      <c r="L9888" s="6" t="s">
        <v>363</v>
      </c>
      <c r="M9888" s="6" t="s">
        <v>364</v>
      </c>
      <c r="N9888" s="6" t="s">
        <v>365</v>
      </c>
      <c r="P9888" s="6" t="s">
        <v>445</v>
      </c>
      <c r="Q9888" s="6" t="s">
        <v>446</v>
      </c>
      <c r="R9888" s="6" t="s">
        <v>447</v>
      </c>
      <c r="S9888" s="6" t="s">
        <v>448</v>
      </c>
    </row>
    <row r="9889" customFormat="false" ht="15" hidden="false" customHeight="false" outlineLevel="0" collapsed="false">
      <c r="A9889" s="9" t="s">
        <v>568</v>
      </c>
      <c r="B9889" s="36" t="s">
        <v>125</v>
      </c>
      <c r="C9889" s="55" t="n">
        <f aca="false">C9867-C9887</f>
        <v>-273265.178571429</v>
      </c>
      <c r="D9889" s="55" t="n">
        <f aca="false">D9867-D9887</f>
        <v>-243136.541162275</v>
      </c>
      <c r="E9889" s="55" t="n">
        <f aca="false">E9867-E9887</f>
        <v>-253112.600893912</v>
      </c>
      <c r="F9889" s="55" t="n">
        <f aca="false">F9867-F9887</f>
        <v>-256709.565392315</v>
      </c>
      <c r="G9889" s="55" t="n">
        <f aca="false">G9867-G9887</f>
        <v>-239785.259220237</v>
      </c>
      <c r="H9889" s="55" t="n">
        <f aca="false">H9867-H9887</f>
        <v>-201964.32289925</v>
      </c>
      <c r="I9889" s="55" t="n">
        <f aca="false">I9867-I9887</f>
        <v>-243605.086018231</v>
      </c>
      <c r="J9889" s="55" t="n">
        <f aca="false">J9867-J9887</f>
        <v>-208866.076426794</v>
      </c>
      <c r="K9889" s="55" t="n">
        <f aca="false">K9867-K9887</f>
        <v>-213163.972070461</v>
      </c>
      <c r="L9889" s="55" t="n">
        <f aca="false">L9867-L9887</f>
        <v>-204889.365927547</v>
      </c>
      <c r="M9889" s="55" t="n">
        <f aca="false">M9867-M9887</f>
        <v>-189868.122983965</v>
      </c>
      <c r="N9889" s="55" t="n">
        <f aca="false">N9867-N9887</f>
        <v>-174020.904964086</v>
      </c>
      <c r="P9889" s="55" t="n">
        <f aca="false">SUM(C9889:F9889)</f>
        <v>-1026223.88601993</v>
      </c>
      <c r="Q9889" s="55" t="n">
        <f aca="false">SUM(G9889:J9889)</f>
        <v>-894220.744564512</v>
      </c>
      <c r="R9889" s="55" t="n">
        <f aca="false">SUM(K9889:N9889)</f>
        <v>-781942.365946059</v>
      </c>
      <c r="S9889" s="56" t="n">
        <f aca="false">SUM(P9889:R9889)</f>
        <v>-2702386.9965305</v>
      </c>
    </row>
    <row r="9890" customFormat="false" ht="15" hidden="false" customHeight="false" outlineLevel="0" collapsed="false">
      <c r="A9890" s="9" t="s">
        <v>569</v>
      </c>
      <c r="B9890" s="36" t="s">
        <v>125</v>
      </c>
      <c r="C9890" s="55" t="n">
        <f aca="false">0+C9889</f>
        <v>-273265.178571429</v>
      </c>
      <c r="D9890" s="55" t="n">
        <f aca="false">C9890+D9889</f>
        <v>-516401.719733704</v>
      </c>
      <c r="E9890" s="55" t="n">
        <f aca="false">D9890+E9889</f>
        <v>-769514.320627616</v>
      </c>
      <c r="F9890" s="55" t="n">
        <f aca="false">E9890+F9889</f>
        <v>-1026223.88601993</v>
      </c>
      <c r="G9890" s="55" t="n">
        <f aca="false">F9890+G9889</f>
        <v>-1266009.14524017</v>
      </c>
      <c r="H9890" s="55" t="n">
        <f aca="false">G9890+H9889</f>
        <v>-1467973.46813942</v>
      </c>
      <c r="I9890" s="55" t="n">
        <f aca="false">H9890+I9889</f>
        <v>-1711578.55415765</v>
      </c>
      <c r="J9890" s="55" t="n">
        <f aca="false">I9890+J9889</f>
        <v>-1920444.63058444</v>
      </c>
      <c r="K9890" s="55" t="n">
        <f aca="false">J9890+K9889</f>
        <v>-2133608.6026549</v>
      </c>
      <c r="L9890" s="55" t="n">
        <f aca="false">K9890+L9889</f>
        <v>-2338497.96858245</v>
      </c>
      <c r="M9890" s="55" t="n">
        <f aca="false">L9890+M9889</f>
        <v>-2528366.09156642</v>
      </c>
      <c r="N9890" s="55" t="n">
        <f aca="false">M9890+N9889</f>
        <v>-2702386.9965305</v>
      </c>
      <c r="P9890" s="55" t="n">
        <f aca="false">F9890</f>
        <v>-1026223.88601993</v>
      </c>
      <c r="Q9890" s="55" t="n">
        <f aca="false">J9890</f>
        <v>-1920444.63058444</v>
      </c>
      <c r="R9890" s="55" t="n">
        <f aca="false">N9890</f>
        <v>-2702386.9965305</v>
      </c>
      <c r="S9890" s="56" t="n">
        <f aca="false">R9890</f>
        <v>-2702386.9965305</v>
      </c>
    </row>
    <row r="9891" customFormat="false" ht="15" hidden="false" customHeight="false" outlineLevel="0" collapsed="false">
      <c r="A9891" s="4" t="s">
        <v>570</v>
      </c>
      <c r="B9891" s="36" t="s">
        <v>107</v>
      </c>
      <c r="C9891" s="57" t="n">
        <f aca="false">1/(1+Assumptions!$E$87)^(C9810/4)</f>
        <v>0.972065420906982</v>
      </c>
      <c r="D9891" s="57" t="n">
        <f aca="false">1/(1+Assumptions!$E$87)^(D9810/4)</f>
        <v>0.944911182523068</v>
      </c>
      <c r="E9891" s="57" t="n">
        <f aca="false">1/(1+Assumptions!$E$87)^(E9810/4)</f>
        <v>0.918515486359</v>
      </c>
      <c r="F9891" s="57" t="n">
        <f aca="false">1/(1+Assumptions!$E$87)^(F9810/4)</f>
        <v>0.892857142857143</v>
      </c>
      <c r="G9891" s="57" t="n">
        <f aca="false">1/(1+Assumptions!$E$87)^(G9810/4)</f>
        <v>0.867915554381234</v>
      </c>
      <c r="H9891" s="57" t="n">
        <f aca="false">1/(1+Assumptions!$E$87)^(H9810/4)</f>
        <v>0.843670698681311</v>
      </c>
      <c r="I9891" s="57" t="n">
        <f aca="false">1/(1+Assumptions!$E$87)^(I9810/4)</f>
        <v>0.820103112820536</v>
      </c>
      <c r="J9891" s="57" t="n">
        <f aca="false">1/(1+Assumptions!$E$87)^(J9810/4)</f>
        <v>0.79719387755102</v>
      </c>
      <c r="K9891" s="57" t="n">
        <f aca="false">1/(1+Assumptions!$E$87)^(K9810/4)</f>
        <v>0.774924602126102</v>
      </c>
      <c r="L9891" s="57" t="n">
        <f aca="false">1/(1+Assumptions!$E$87)^(L9810/4)</f>
        <v>0.753277409536885</v>
      </c>
      <c r="M9891" s="57" t="n">
        <f aca="false">1/(1+Assumptions!$E$87)^(M9810/4)</f>
        <v>0.732234922161193</v>
      </c>
      <c r="N9891" s="57" t="n">
        <f aca="false">1/(1+Assumptions!$E$87)^(N9810/4)</f>
        <v>0.711780247813411</v>
      </c>
      <c r="P9891" s="58"/>
      <c r="Q9891" s="58"/>
      <c r="R9891" s="58"/>
      <c r="S9891" s="59"/>
    </row>
    <row r="9892" customFormat="false" ht="15" hidden="false" customHeight="false" outlineLevel="0" collapsed="false">
      <c r="A9892" s="4" t="s">
        <v>571</v>
      </c>
      <c r="B9892" s="36" t="s">
        <v>125</v>
      </c>
      <c r="C9892" s="54" t="n">
        <f aca="false">(C9867*(1-Assumptions!$E$88)-C9887)*C9891</f>
        <v>-265631.630827257</v>
      </c>
      <c r="D9892" s="54" t="n">
        <f aca="false">(D9867*(1-Assumptions!$E$88)-D9887)*D9891</f>
        <v>-229971.048830538</v>
      </c>
      <c r="E9892" s="54" t="n">
        <f aca="false">(E9867*(1-Assumptions!$E$88)-E9887)*E9891</f>
        <v>-233408.424946629</v>
      </c>
      <c r="F9892" s="54" t="n">
        <f aca="false">(F9867*(1-Assumptions!$E$88)-F9887)*F9891</f>
        <v>-231134.428531217</v>
      </c>
      <c r="G9892" s="54" t="n">
        <f aca="false">(G9867*(1-Assumptions!$E$88)-G9887)*G9891</f>
        <v>-211162.154144666</v>
      </c>
      <c r="H9892" s="54" t="n">
        <f aca="false">(H9867*(1-Assumptions!$E$88)-H9887)*H9891</f>
        <v>-174696.64674562</v>
      </c>
      <c r="I9892" s="54" t="n">
        <f aca="false">(I9867*(1-Assumptions!$E$88)-I9887)*I9891</f>
        <v>-205555.158381788</v>
      </c>
      <c r="J9892" s="54" t="n">
        <f aca="false">(J9867*(1-Assumptions!$E$88)-J9887)*J9891</f>
        <v>-174120.418577908</v>
      </c>
      <c r="K9892" s="54" t="n">
        <f aca="false">(K9867*(1-Assumptions!$E$88)-K9887)*K9891</f>
        <v>-175165.549643039</v>
      </c>
      <c r="L9892" s="54" t="n">
        <f aca="false">(L9867*(1-Assumptions!$E$88)-L9887)*L9891</f>
        <v>-166957.643327906</v>
      </c>
      <c r="M9892" s="54" t="n">
        <f aca="false">(M9867*(1-Assumptions!$E$88)-M9887)*M9891</f>
        <v>-154212.445905166</v>
      </c>
      <c r="N9892" s="54" t="n">
        <f aca="false">(N9867*(1-Assumptions!$E$88)-N9887)*N9891</f>
        <v>-141434.577817658</v>
      </c>
      <c r="P9892" s="55" t="n">
        <f aca="false">SUM(C9892:F9892)</f>
        <v>-960145.533135641</v>
      </c>
      <c r="Q9892" s="55" t="n">
        <f aca="false">SUM(G9892:J9892)</f>
        <v>-765534.377849983</v>
      </c>
      <c r="R9892" s="55" t="n">
        <f aca="false">SUM(K9892:N9892)</f>
        <v>-637770.216693769</v>
      </c>
      <c r="S9892" s="56" t="n">
        <f aca="false">SUM(P9892:R9892)</f>
        <v>-2363450.12767939</v>
      </c>
    </row>
    <row r="9893" customFormat="false" ht="15" hidden="false" customHeight="false" outlineLevel="0" collapsed="false">
      <c r="A9893" s="4" t="s">
        <v>572</v>
      </c>
      <c r="B9893" s="36" t="s">
        <v>125</v>
      </c>
      <c r="C9893" s="54" t="n">
        <f aca="false">(C9887-C9886)*12/(Assumptions!$E$89*Assumptions!$E$76)*Assumptions!$E$90</f>
        <v>189183.585164835</v>
      </c>
      <c r="D9893" s="54" t="n">
        <f aca="false">(D9887-D9886)*12/(Assumptions!$E$89*Assumptions!$E$76)*Assumptions!$E$90</f>
        <v>168404.12920546</v>
      </c>
      <c r="E9893" s="54" t="n">
        <f aca="false">(E9887-E9886)*12/(Assumptions!$E$89*Assumptions!$E$76)*Assumptions!$E$90</f>
        <v>176568.382473245</v>
      </c>
      <c r="F9893" s="54" t="n">
        <f aca="false">(F9887-F9886)*12/(Assumptions!$E$89*Assumptions!$E$76)*Assumptions!$E$90</f>
        <v>181530.546585377</v>
      </c>
      <c r="G9893" s="54" t="n">
        <f aca="false">(G9887-G9886)*12/(Assumptions!$E$89*Assumptions!$E$76)*Assumptions!$E$90</f>
        <v>172840.891500671</v>
      </c>
      <c r="H9893" s="54" t="n">
        <f aca="false">(H9887-H9886)*12/(Assumptions!$E$89*Assumptions!$E$76)*Assumptions!$E$90</f>
        <v>150116.002200235</v>
      </c>
      <c r="I9893" s="54" t="n">
        <f aca="false">(I9887-I9886)*12/(Assumptions!$E$89*Assumptions!$E$76)*Assumptions!$E$90</f>
        <v>183230.602074236</v>
      </c>
      <c r="J9893" s="54" t="n">
        <f aca="false">(J9887-J9886)*12/(Assumptions!$E$89*Assumptions!$E$76)*Assumptions!$E$90</f>
        <v>164493.284632542</v>
      </c>
      <c r="K9893" s="54" t="n">
        <f aca="false">(K9887-K9886)*12/(Assumptions!$E$89*Assumptions!$E$76)*Assumptions!$E$90</f>
        <v>174708.571872642</v>
      </c>
      <c r="L9893" s="54" t="n">
        <f aca="false">(L9887-L9886)*12/(Assumptions!$E$89*Assumptions!$E$76)*Assumptions!$E$90</f>
        <v>178114.925695645</v>
      </c>
      <c r="M9893" s="54" t="n">
        <f aca="false">(M9887-M9886)*12/(Assumptions!$E$89*Assumptions!$E$76)*Assumptions!$E$90</f>
        <v>177472.275394661</v>
      </c>
      <c r="N9893" s="54" t="n">
        <f aca="false">(N9887-N9886)*12/(Assumptions!$E$89*Assumptions!$E$76)*Assumptions!$E$90</f>
        <v>176368.400440844</v>
      </c>
      <c r="P9893" s="55" t="n">
        <f aca="false">SUM(C9893:F9893)</f>
        <v>715686.643428916</v>
      </c>
      <c r="Q9893" s="55" t="n">
        <f aca="false">SUM(G9893:J9893)</f>
        <v>670680.780407684</v>
      </c>
      <c r="R9893" s="55" t="n">
        <f aca="false">SUM(K9893:N9893)</f>
        <v>706664.173403793</v>
      </c>
      <c r="S9893" s="56" t="n">
        <f aca="false">SUM(P9893:R9893)</f>
        <v>2093031.59724039</v>
      </c>
    </row>
    <row r="9894" customFormat="false" ht="15" hidden="false" customHeight="false" outlineLevel="0" collapsed="false">
      <c r="A9894" s="4" t="s">
        <v>573</v>
      </c>
      <c r="B9894" s="36" t="s">
        <v>125</v>
      </c>
      <c r="C9894" s="54" t="n">
        <f aca="false">0*Assumptions!$E$92^(1/4)+C9893</f>
        <v>189183.585164835</v>
      </c>
      <c r="D9894" s="54" t="n">
        <f aca="false">C9894*Assumptions!$E$92^(1/4)+D9893</f>
        <v>358058.910012474</v>
      </c>
      <c r="E9894" s="54" t="n">
        <f aca="false">D9894*Assumptions!$E$92^(1/4)+E9893</f>
        <v>535519.102406195</v>
      </c>
      <c r="F9894" s="54" t="n">
        <f aca="false">E9894*Assumptions!$E$92^(1/4)+F9893</f>
        <v>718383.455342359</v>
      </c>
      <c r="G9894" s="54" t="n">
        <f aca="false">F9894*Assumptions!$E$92^(1/4)+G9893</f>
        <v>893013.609655001</v>
      </c>
      <c r="H9894" s="54" t="n">
        <f aca="false">G9894*Assumptions!$E$92^(1/4)+H9893</f>
        <v>1045353.82238021</v>
      </c>
      <c r="I9894" s="54" t="n">
        <f aca="false">H9894*Assumptions!$E$92^(1/4)+I9893</f>
        <v>1231188.065596</v>
      </c>
      <c r="J9894" s="54" t="n">
        <f aca="false">I9894*Assumptions!$E$92^(1/4)+J9893</f>
        <v>1398747.84487556</v>
      </c>
      <c r="K9894" s="54" t="n">
        <f aca="false">J9894*Assumptions!$E$92^(1/4)+K9893</f>
        <v>1576940.24907138</v>
      </c>
      <c r="L9894" s="54" t="n">
        <f aca="false">K9894*Assumptions!$E$92^(1/4)+L9893</f>
        <v>1758982.82722531</v>
      </c>
      <c r="M9894" s="54" t="n">
        <f aca="false">L9894*Assumptions!$E$92^(1/4)+M9893</f>
        <v>1940836.16476199</v>
      </c>
      <c r="N9894" s="54" t="n">
        <f aca="false">M9894*Assumptions!$E$92^(1/4)+N9893</f>
        <v>2122038.56569089</v>
      </c>
      <c r="P9894" s="55" t="n">
        <f aca="false">F9894</f>
        <v>718383.455342359</v>
      </c>
      <c r="Q9894" s="55" t="n">
        <f aca="false">J9894</f>
        <v>1398747.84487556</v>
      </c>
      <c r="R9894" s="55" t="n">
        <f aca="false">N9894</f>
        <v>2122038.56569089</v>
      </c>
      <c r="S9894" s="56" t="n">
        <f aca="false">R9894</f>
        <v>2122038.56569089</v>
      </c>
    </row>
    <row r="9895" customFormat="false" ht="15" hidden="false" customHeight="false" outlineLevel="0" collapsed="false">
      <c r="A9895" s="4" t="s">
        <v>574</v>
      </c>
      <c r="B9895" s="36" t="s">
        <v>125</v>
      </c>
      <c r="C9895" s="54" t="n">
        <f aca="false">(0+C9894)/8*Assumptions!$E$76-(C9887-C9886)-C9894*Assumptions!$E$93/4</f>
        <v>-260258.807091346</v>
      </c>
      <c r="D9895" s="54" t="n">
        <f aca="false">(C9894+D9894)/8*Assumptions!$E$76-(D9887-D9886)-D9894*Assumptions!$E$93/4</f>
        <v>-203262.69249433</v>
      </c>
      <c r="E9895" s="54" t="n">
        <f aca="false">(D9894+E9894)/8*Assumptions!$E$76-(E9887-E9886)-E9894*Assumptions!$E$93/4</f>
        <v>-189133.994399081</v>
      </c>
      <c r="F9895" s="54" t="n">
        <f aca="false">(E9894+F9894)/8*Assumptions!$E$76-(F9887-F9886)-F9894*Assumptions!$E$93/4</f>
        <v>-169310.99988692</v>
      </c>
      <c r="G9895" s="54" t="n">
        <f aca="false">(F9894+G9894)/8*Assumptions!$E$76-(G9887-G9886)-G9894*Assumptions!$E$93/4</f>
        <v>-129895.724090621</v>
      </c>
      <c r="H9895" s="54" t="n">
        <f aca="false">(G9894+H9894)/8*Assumptions!$E$76-(H9887-H9886)-H9894*Assumptions!$E$93/4</f>
        <v>-72408.794327231</v>
      </c>
      <c r="I9895" s="54" t="n">
        <f aca="false">(H9894+I9894)/8*Assumptions!$E$76-(I9887-I9886)-I9894*Assumptions!$E$93/4</f>
        <v>-95087.2476402238</v>
      </c>
      <c r="J9895" s="54" t="n">
        <f aca="false">(I9894+J9894)/8*Assumptions!$E$76-(J9887-J9886)-J9894*Assumptions!$E$93/4</f>
        <v>-41403.4664710253</v>
      </c>
      <c r="K9895" s="54" t="n">
        <f aca="false">(J9894+K9894)/8*Assumptions!$E$76-(K9887-K9886)-K9894*Assumptions!$E$93/4</f>
        <v>-30293.9215184647</v>
      </c>
      <c r="L9895" s="54" t="n">
        <f aca="false">(K9894+L9894)/8*Assumptions!$E$76-(L9887-L9886)-L9894*Assumptions!$E$93/4</f>
        <v>-8220.65028491976</v>
      </c>
      <c r="M9895" s="54" t="n">
        <f aca="false">(L9894+M9894)/8*Assumptions!$E$76-(M9887-M9886)-M9894*Assumptions!$E$93/4</f>
        <v>20000.9988027105</v>
      </c>
      <c r="N9895" s="54" t="n">
        <f aca="false">(M9894+N9894)/8*Assumptions!$E$76-(N9887-N9886)-N9894*Assumptions!$E$93/4</f>
        <v>48828.73358583</v>
      </c>
      <c r="P9895" s="55" t="n">
        <f aca="false">SUM(C9895:F9895)</f>
        <v>-821966.493871677</v>
      </c>
      <c r="Q9895" s="55" t="n">
        <f aca="false">SUM(G9895:J9895)</f>
        <v>-338795.232529101</v>
      </c>
      <c r="R9895" s="55" t="n">
        <f aca="false">SUM(K9895:N9895)</f>
        <v>30315.160585156</v>
      </c>
      <c r="S9895" s="56" t="n">
        <f aca="false">SUM(P9895:R9895)</f>
        <v>-1130446.56581562</v>
      </c>
    </row>
    <row r="9896" customFormat="false" ht="15" hidden="false" customHeight="false" outlineLevel="0" collapsed="false">
      <c r="A9896" s="4" t="s">
        <v>575</v>
      </c>
      <c r="B9896" s="36" t="s">
        <v>125</v>
      </c>
      <c r="C9896" s="54" t="n">
        <f aca="false">C9895*C9891</f>
        <v>-252988.586859998</v>
      </c>
      <c r="D9896" s="54" t="n">
        <f aca="false">D9895*D9891</f>
        <v>-192065.19112764</v>
      </c>
      <c r="E9896" s="54" t="n">
        <f aca="false">E9895*E9891</f>
        <v>-173722.502852492</v>
      </c>
      <c r="F9896" s="54" t="n">
        <f aca="false">F9895*F9891</f>
        <v>-151170.535613322</v>
      </c>
      <c r="G9896" s="54" t="n">
        <f aca="false">G9895*G9891</f>
        <v>-112738.519385863</v>
      </c>
      <c r="H9896" s="54" t="n">
        <f aca="false">H9895*H9891</f>
        <v>-61089.1781007263</v>
      </c>
      <c r="I9896" s="54" t="n">
        <f aca="false">I9895*I9891</f>
        <v>-77981.3477792847</v>
      </c>
      <c r="J9896" s="54" t="n">
        <f aca="false">J9895*J9891</f>
        <v>-33006.5899800903</v>
      </c>
      <c r="K9896" s="54" t="n">
        <f aca="false">K9895*K9891</f>
        <v>-23475.5050795356</v>
      </c>
      <c r="L9896" s="54" t="n">
        <f aca="false">L9895*L9891</f>
        <v>-6192.43015133301</v>
      </c>
      <c r="M9896" s="54" t="n">
        <f aca="false">M9895*M9891</f>
        <v>14645.4298014488</v>
      </c>
      <c r="N9896" s="54" t="n">
        <f aca="false">N9895*N9891</f>
        <v>34755.3280921371</v>
      </c>
      <c r="P9896" s="55" t="n">
        <f aca="false">SUM(C9896:F9896)</f>
        <v>-769946.816453453</v>
      </c>
      <c r="Q9896" s="55" t="n">
        <f aca="false">SUM(G9896:J9896)</f>
        <v>-284815.635245964</v>
      </c>
      <c r="R9896" s="55" t="n">
        <f aca="false">SUM(K9896:N9896)</f>
        <v>19732.8226627173</v>
      </c>
      <c r="S9896" s="56" t="n">
        <f aca="false">SUM(P9896:R9896)</f>
        <v>-1035029.6290367</v>
      </c>
    </row>
    <row r="9897" customFormat="false" ht="15" hidden="false" customHeight="false" outlineLevel="0" collapsed="false">
      <c r="A9897" s="4" t="s">
        <v>576</v>
      </c>
      <c r="B9897" s="36"/>
      <c r="C9897" s="37" t="n">
        <f aca="false">IFERROR((S9852*$C$9801*Assumptions!$E$59+S9853*$C$9802*Assumptions!$E$60+S9854*$C$9803*Assumptions!$E$61)/(S9852*$C$9801+S9853*$C$9802+S9854*$C$9803),0.9)</f>
        <v>0.895336755062662</v>
      </c>
    </row>
    <row r="9898" customFormat="false" ht="15" hidden="false" customHeight="false" outlineLevel="0" collapsed="false">
      <c r="A9898" s="4" t="s">
        <v>577</v>
      </c>
      <c r="B9898" s="36"/>
      <c r="C9898" s="37" t="n">
        <f aca="false">IFERROR(N9886*4/N9864,0)</f>
        <v>0.208274433961821</v>
      </c>
    </row>
    <row r="9899" customFormat="false" ht="15" hidden="false" customHeight="false" outlineLevel="0" collapsed="false">
      <c r="A9899" s="4" t="s">
        <v>578</v>
      </c>
      <c r="B9899" s="36"/>
      <c r="C9899" s="60" t="n">
        <f aca="false">$C$9897/(1+Assumptions!$E$87)</f>
        <v>0.799407817020234</v>
      </c>
    </row>
    <row r="9900" customFormat="false" ht="15" hidden="false" customHeight="false" outlineLevel="0" collapsed="false">
      <c r="A9900" s="4" t="s">
        <v>579</v>
      </c>
      <c r="B9900" s="36"/>
      <c r="C9900" s="60" t="n">
        <f aca="false">Assumptions!$E$91/(1+Assumptions!$E$87)</f>
        <v>0.803571428571429</v>
      </c>
    </row>
    <row r="9901" customFormat="false" ht="15" hidden="false" customHeight="false" outlineLevel="0" collapsed="false">
      <c r="A9901" s="35" t="s">
        <v>580</v>
      </c>
      <c r="B9901" s="35" t="s">
        <v>444</v>
      </c>
      <c r="C9901" s="6" t="s">
        <v>354</v>
      </c>
      <c r="D9901" s="6" t="s">
        <v>355</v>
      </c>
      <c r="E9901" s="6" t="s">
        <v>356</v>
      </c>
      <c r="F9901" s="6" t="s">
        <v>357</v>
      </c>
      <c r="G9901" s="6" t="s">
        <v>358</v>
      </c>
      <c r="H9901" s="6" t="s">
        <v>359</v>
      </c>
      <c r="I9901" s="6" t="s">
        <v>360</v>
      </c>
      <c r="J9901" s="6" t="s">
        <v>361</v>
      </c>
      <c r="K9901" s="6" t="s">
        <v>362</v>
      </c>
      <c r="L9901" s="6" t="s">
        <v>363</v>
      </c>
      <c r="M9901" s="6" t="s">
        <v>364</v>
      </c>
      <c r="N9901" s="6" t="s">
        <v>365</v>
      </c>
      <c r="P9901" s="6" t="s">
        <v>445</v>
      </c>
      <c r="Q9901" s="6" t="s">
        <v>446</v>
      </c>
      <c r="R9901" s="6" t="s">
        <v>447</v>
      </c>
      <c r="S9901" s="6" t="s">
        <v>448</v>
      </c>
    </row>
    <row r="9902" customFormat="false" ht="15" hidden="false" customHeight="false" outlineLevel="0" collapsed="false">
      <c r="A9902" s="9" t="s">
        <v>581</v>
      </c>
      <c r="C9902" s="61" t="n">
        <f aca="false">N9864</f>
        <v>819860.908712068</v>
      </c>
      <c r="D9902" s="61"/>
    </row>
    <row r="9903" customFormat="false" ht="15" hidden="false" customHeight="false" outlineLevel="0" collapsed="false">
      <c r="A9903" s="9" t="s">
        <v>582</v>
      </c>
      <c r="C9903" s="62" t="n">
        <f aca="false">N9860</f>
        <v>94.3392362937126</v>
      </c>
      <c r="D9903" s="62"/>
    </row>
    <row r="9904" customFormat="false" ht="15" hidden="false" customHeight="false" outlineLevel="0" collapsed="false">
      <c r="A9904" s="9" t="s">
        <v>583</v>
      </c>
      <c r="C9904" s="63" t="n">
        <f aca="false">S9855</f>
        <v>104.284037071607</v>
      </c>
      <c r="D9904" s="63"/>
    </row>
    <row r="9905" customFormat="false" ht="15" hidden="false" customHeight="false" outlineLevel="0" collapsed="false">
      <c r="A9905" s="9" t="s">
        <v>584</v>
      </c>
      <c r="C9905" s="61" t="n">
        <f aca="false">S9866</f>
        <v>797414.300803645</v>
      </c>
      <c r="D9905" s="61"/>
    </row>
    <row r="9906" customFormat="false" ht="15" hidden="false" customHeight="false" outlineLevel="0" collapsed="false">
      <c r="A9906" s="9" t="s">
        <v>22</v>
      </c>
      <c r="C9906" s="61" t="n">
        <f aca="false">IFERROR(S9865/S9855,0)</f>
        <v>7516.67798648103</v>
      </c>
      <c r="D9906" s="61"/>
    </row>
    <row r="9907" customFormat="false" ht="15" hidden="false" customHeight="false" outlineLevel="0" collapsed="false">
      <c r="A9907" s="9" t="s">
        <v>585</v>
      </c>
      <c r="C9907" s="61" t="n">
        <f aca="false">IFERROR(S9883/S9855,0)</f>
        <v>22256.3511498998</v>
      </c>
      <c r="D9907" s="61"/>
    </row>
    <row r="9908" customFormat="false" ht="23.85" hidden="false" customHeight="false" outlineLevel="0" collapsed="false">
      <c r="A9908" s="9" t="s">
        <v>586</v>
      </c>
      <c r="C9908" s="61" t="n">
        <f aca="false">IFERROR((S9877+S9879+S9880+S9881+S9882)/S9855,0)</f>
        <v>9888.51525323966</v>
      </c>
      <c r="D9908" s="61"/>
    </row>
    <row r="9909" customFormat="false" ht="15" hidden="false" customHeight="false" outlineLevel="0" collapsed="false">
      <c r="A9909" s="9" t="s">
        <v>587</v>
      </c>
      <c r="C9909" s="64" t="n">
        <f aca="false">IFERROR('Engine Runs'!$C$9907/('Engine Runs'!$C$9906*Assumptions!$E$76/12),0)</f>
        <v>54.663307847745</v>
      </c>
      <c r="D9909" s="64"/>
    </row>
    <row r="9910" customFormat="false" ht="15" hidden="false" customHeight="false" outlineLevel="0" collapsed="false">
      <c r="A9910" s="9" t="s">
        <v>588</v>
      </c>
      <c r="C9910" s="64" t="n">
        <f aca="false">IFERROR((R9883/R9855)/((R9865/R9855)*Assumptions!$E$76/12),0)</f>
        <v>36.8854535550642</v>
      </c>
      <c r="D9910" s="64"/>
    </row>
    <row r="9911" customFormat="false" ht="15" hidden="false" customHeight="false" outlineLevel="0" collapsed="false">
      <c r="A9911" s="9" t="s">
        <v>589</v>
      </c>
      <c r="C9911" s="61" t="n">
        <f aca="false">S9887</f>
        <v>3220706.29205287</v>
      </c>
      <c r="D9911" s="61"/>
    </row>
    <row r="9912" customFormat="false" ht="15" hidden="false" customHeight="false" outlineLevel="0" collapsed="false">
      <c r="A9912" s="9" t="s">
        <v>590</v>
      </c>
      <c r="C9912" s="61" t="n">
        <f aca="false">N9890</f>
        <v>-2702386.9965305</v>
      </c>
      <c r="D9912" s="61"/>
    </row>
    <row r="9913" customFormat="false" ht="15" hidden="false" customHeight="false" outlineLevel="0" collapsed="false">
      <c r="A9913" s="9" t="s">
        <v>591</v>
      </c>
      <c r="C9913" s="61" t="n">
        <f aca="false">MIN($C$9890:$N$9890)</f>
        <v>-2702386.9965305</v>
      </c>
      <c r="D9913" s="61"/>
    </row>
    <row r="9914" customFormat="false" ht="15" hidden="false" customHeight="false" outlineLevel="0" collapsed="false">
      <c r="A9914" s="9" t="s">
        <v>592</v>
      </c>
      <c r="C9914" s="61" t="n">
        <f aca="false">N9864*(Assumptions!$E$76-$C$9898)*$C$9897*(1-$C$9897^Assumptions!$E$85)/(1-$C$9897)</f>
        <v>1315576.57088291</v>
      </c>
      <c r="D9914" s="61"/>
    </row>
    <row r="9915" customFormat="false" ht="15" hidden="false" customHeight="false" outlineLevel="0" collapsed="false">
      <c r="A9915" s="9" t="s">
        <v>593</v>
      </c>
      <c r="C9915" s="61" t="n">
        <f aca="false">N9864*(Assumptions!$E$76-$C$9898)*(1-Assumptions!$E$88)/(1+Assumptions!$E$87)^2.5*$C$9899*(1-$C$9899^Assumptions!$E$85)/(1-$C$9899)</f>
        <v>585800.339493212</v>
      </c>
      <c r="D9915" s="61"/>
    </row>
    <row r="9916" customFormat="false" ht="15" hidden="false" customHeight="false" outlineLevel="0" collapsed="false">
      <c r="A9916" s="9" t="s">
        <v>594</v>
      </c>
      <c r="C9916" s="61" t="n">
        <f aca="false">SUM($C$9892:$N$9892)+'Engine Runs'!$C$9915</f>
        <v>-1777649.78818618</v>
      </c>
      <c r="D9916" s="61"/>
    </row>
    <row r="9917" customFormat="false" ht="15" hidden="false" customHeight="false" outlineLevel="0" collapsed="false">
      <c r="A9917" s="9" t="s">
        <v>595</v>
      </c>
      <c r="C9917" s="61" t="n">
        <f aca="false">SUM($C$9896:$N$9896)+N9894*(Assumptions!$E$76-Assumptions!$E$93)/(1+Assumptions!$E$87)^2.5*$C$9900*(1-$C$9900^Assumptions!$E$85)/(1-$C$9900)</f>
        <v>1573896.7837724</v>
      </c>
      <c r="D9917" s="61"/>
    </row>
    <row r="9918" customFormat="false" ht="15" hidden="false" customHeight="false" outlineLevel="0" collapsed="false">
      <c r="A9918" s="9" t="s">
        <v>596</v>
      </c>
      <c r="C9918" s="61" t="n">
        <f aca="false">'Engine Runs'!$C$9916-'Engine Runs'!$C$9917</f>
        <v>-3351546.57195858</v>
      </c>
      <c r="D9918" s="61"/>
    </row>
    <row r="9919" customFormat="false" ht="15" hidden="false" customHeight="false" outlineLevel="0" collapsed="false">
      <c r="A9919" s="9" t="s">
        <v>597</v>
      </c>
      <c r="C9919" s="61" t="n">
        <f aca="false">S9851</f>
        <v>0</v>
      </c>
      <c r="D9919" s="61"/>
    </row>
    <row r="9920" customFormat="false" ht="15" hidden="false" customHeight="false" outlineLevel="0" collapsed="false">
      <c r="A9920" s="9" t="s">
        <v>598</v>
      </c>
      <c r="C9920" s="63" t="n">
        <f aca="false">P9835</f>
        <v>43.6188722246667</v>
      </c>
      <c r="D9920" s="63"/>
    </row>
    <row r="9921" customFormat="false" ht="15" hidden="false" customHeight="false" outlineLevel="0" collapsed="false">
      <c r="A9921" s="9" t="s">
        <v>599</v>
      </c>
      <c r="C9921" s="63" t="n">
        <f aca="false">P9855</f>
        <v>11.7763981894979</v>
      </c>
      <c r="D9921" s="63"/>
    </row>
    <row r="9922" customFormat="false" ht="15" hidden="false" customHeight="false" outlineLevel="0" collapsed="false">
      <c r="A9922" s="9" t="s">
        <v>600</v>
      </c>
      <c r="C9922" s="63" t="n">
        <f aca="false">P9831</f>
        <v>42</v>
      </c>
      <c r="D9922" s="63"/>
    </row>
    <row r="9923" customFormat="false" ht="15" hidden="false" customHeight="false" outlineLevel="0" collapsed="false">
      <c r="A9923" s="9" t="s">
        <v>601</v>
      </c>
      <c r="C9923" s="61" t="n">
        <f aca="false">IFERROR(P9865/P9855,0)</f>
        <v>7272.25749735627</v>
      </c>
      <c r="D9923" s="61"/>
    </row>
    <row r="9926" customFormat="false" ht="15" hidden="false" customHeight="true" outlineLevel="0" collapsed="false">
      <c r="A9926" s="78" t="s">
        <v>954</v>
      </c>
      <c r="B9926" s="78"/>
      <c r="C9926" s="78"/>
      <c r="D9926" s="78"/>
      <c r="E9926" s="78"/>
      <c r="F9926" s="78"/>
      <c r="G9926" s="78"/>
      <c r="H9926" s="78"/>
      <c r="I9926" s="78"/>
      <c r="J9926" s="78"/>
      <c r="K9926" s="78"/>
      <c r="L9926" s="78"/>
      <c r="M9926" s="78"/>
      <c r="N9926" s="78"/>
    </row>
    <row r="9927" customFormat="false" ht="15" hidden="false" customHeight="true" outlineLevel="0" collapsed="false">
      <c r="A9927" s="79" t="s">
        <v>955</v>
      </c>
      <c r="B9927" s="79"/>
      <c r="C9927" s="79"/>
      <c r="D9927" s="79"/>
      <c r="E9927" s="79"/>
      <c r="F9927" s="79"/>
      <c r="G9927" s="79"/>
      <c r="H9927" s="79"/>
      <c r="I9927" s="79"/>
      <c r="J9927" s="79"/>
      <c r="K9927" s="79"/>
      <c r="L9927" s="79"/>
      <c r="M9927" s="79"/>
      <c r="N9927" s="79"/>
    </row>
    <row r="9928" customFormat="false" ht="15" hidden="false" customHeight="false" outlineLevel="0" collapsed="false">
      <c r="A9928" s="35" t="s">
        <v>956</v>
      </c>
      <c r="B9928" s="35" t="s">
        <v>444</v>
      </c>
      <c r="C9928" s="6" t="s">
        <v>354</v>
      </c>
      <c r="D9928" s="6" t="s">
        <v>355</v>
      </c>
      <c r="E9928" s="6" t="s">
        <v>356</v>
      </c>
      <c r="F9928" s="6" t="s">
        <v>357</v>
      </c>
      <c r="G9928" s="6" t="s">
        <v>358</v>
      </c>
      <c r="H9928" s="6" t="s">
        <v>359</v>
      </c>
      <c r="I9928" s="6" t="s">
        <v>360</v>
      </c>
      <c r="J9928" s="6" t="s">
        <v>361</v>
      </c>
      <c r="K9928" s="6" t="s">
        <v>362</v>
      </c>
      <c r="L9928" s="6" t="s">
        <v>363</v>
      </c>
      <c r="M9928" s="6" t="s">
        <v>364</v>
      </c>
      <c r="N9928" s="6" t="s">
        <v>365</v>
      </c>
      <c r="P9928" s="6" t="s">
        <v>445</v>
      </c>
      <c r="Q9928" s="6" t="s">
        <v>446</v>
      </c>
      <c r="R9928" s="6" t="s">
        <v>447</v>
      </c>
      <c r="S9928" s="6" t="s">
        <v>448</v>
      </c>
    </row>
    <row r="9929" customFormat="false" ht="15" hidden="false" customHeight="false" outlineLevel="0" collapsed="false">
      <c r="A9929" s="4" t="s">
        <v>449</v>
      </c>
      <c r="B9929" s="36" t="s">
        <v>450</v>
      </c>
      <c r="C9929" s="34" t="n">
        <f aca="false">'Market Sizing'!$C$17*Assumptions!$E$10*Assumptions!$E$11*(1-Assumptions!$E$12)</f>
        <v>843.03944704</v>
      </c>
    </row>
    <row r="9930" customFormat="false" ht="15" hidden="false" customHeight="false" outlineLevel="0" collapsed="false">
      <c r="A9930" s="4" t="s">
        <v>451</v>
      </c>
      <c r="B9930" s="36" t="s">
        <v>450</v>
      </c>
      <c r="C9930" s="34" t="n">
        <f aca="false">'Market Sizing'!$D$17*Assumptions!$E$10*Assumptions!$E$11*(1-Assumptions!$E$12)</f>
        <v>211.19616</v>
      </c>
    </row>
    <row r="9931" customFormat="false" ht="15" hidden="false" customHeight="false" outlineLevel="0" collapsed="false">
      <c r="A9931" s="4" t="s">
        <v>452</v>
      </c>
      <c r="B9931" s="36" t="s">
        <v>450</v>
      </c>
      <c r="C9931" s="34" t="n">
        <f aca="false">'Market Sizing'!$E$17*Assumptions!$E$10*Assumptions!$E$11*(1-Assumptions!$E$12)</f>
        <v>49.53984</v>
      </c>
    </row>
    <row r="9932" customFormat="false" ht="15" hidden="false" customHeight="false" outlineLevel="0" collapsed="false">
      <c r="A9932" s="4" t="s">
        <v>453</v>
      </c>
      <c r="B9932" s="36"/>
      <c r="C9932" s="34" t="n">
        <f aca="false">$C$9929+$C$9930+$C$9931</f>
        <v>1103.77544704</v>
      </c>
    </row>
    <row r="9933" customFormat="false" ht="15" hidden="false" customHeight="false" outlineLevel="0" collapsed="false">
      <c r="A9933" s="4" t="s">
        <v>454</v>
      </c>
      <c r="B9933" s="36" t="s">
        <v>450</v>
      </c>
      <c r="C9933" s="34" t="n">
        <f aca="false">'Market Sizing'!$C$18*Assumptions!$E$10*Assumptions!$E$11*(1-Assumptions!$E$12)</f>
        <v>612.57706944</v>
      </c>
    </row>
    <row r="9934" customFormat="false" ht="15" hidden="false" customHeight="false" outlineLevel="0" collapsed="false">
      <c r="A9934" s="4" t="s">
        <v>455</v>
      </c>
      <c r="B9934" s="36" t="s">
        <v>450</v>
      </c>
      <c r="C9934" s="34" t="n">
        <f aca="false">'Market Sizing'!$D$18*Assumptions!$E$10*Assumptions!$E$11*(1-Assumptions!$E$12)</f>
        <v>142.10112</v>
      </c>
    </row>
    <row r="9935" customFormat="false" ht="15" hidden="false" customHeight="false" outlineLevel="0" collapsed="false">
      <c r="A9935" s="4" t="s">
        <v>456</v>
      </c>
      <c r="B9935" s="36" t="s">
        <v>450</v>
      </c>
      <c r="C9935" s="34" t="n">
        <f aca="false">'Market Sizing'!$E$18*Assumptions!$E$10*Assumptions!$E$11*(1-Assumptions!$E$12)</f>
        <v>24.76992</v>
      </c>
    </row>
    <row r="9936" customFormat="false" ht="15" hidden="false" customHeight="false" outlineLevel="0" collapsed="false">
      <c r="A9936" s="4" t="s">
        <v>457</v>
      </c>
      <c r="B9936" s="36"/>
      <c r="C9936" s="34" t="n">
        <f aca="false">$C$9933+$C$9934+$C$9935</f>
        <v>779.44810944</v>
      </c>
    </row>
    <row r="9937" customFormat="false" ht="15" hidden="false" customHeight="false" outlineLevel="0" collapsed="false">
      <c r="A9937" s="4" t="s">
        <v>458</v>
      </c>
      <c r="B9937" s="36" t="s">
        <v>450</v>
      </c>
      <c r="C9937" s="34" t="n">
        <f aca="false">'Market Sizing'!$C$19*Assumptions!$E$10*Assumptions!$E$11*(1-Assumptions!$E$12)</f>
        <v>2060.77303936</v>
      </c>
    </row>
    <row r="9938" customFormat="false" ht="15" hidden="false" customHeight="false" outlineLevel="0" collapsed="false">
      <c r="A9938" s="4" t="s">
        <v>459</v>
      </c>
      <c r="B9938" s="36" t="s">
        <v>450</v>
      </c>
      <c r="C9938" s="34" t="n">
        <f aca="false">'Market Sizing'!$D$19*Assumptions!$E$10*Assumptions!$E$11*(1-Assumptions!$E$12)</f>
        <v>428.47616</v>
      </c>
    </row>
    <row r="9939" customFormat="false" ht="15" hidden="false" customHeight="false" outlineLevel="0" collapsed="false">
      <c r="A9939" s="4" t="s">
        <v>460</v>
      </c>
      <c r="B9939" s="36" t="s">
        <v>450</v>
      </c>
      <c r="C9939" s="34" t="n">
        <f aca="false">'Market Sizing'!$E$19*Assumptions!$E$10*Assumptions!$E$11*(1-Assumptions!$E$12)</f>
        <v>79.52448</v>
      </c>
    </row>
    <row r="9940" customFormat="false" ht="15" hidden="false" customHeight="false" outlineLevel="0" collapsed="false">
      <c r="A9940" s="4" t="s">
        <v>461</v>
      </c>
      <c r="B9940" s="36"/>
      <c r="C9940" s="34" t="n">
        <f aca="false">$C$9937+$C$9938+$C$9939</f>
        <v>2568.77367936</v>
      </c>
    </row>
    <row r="9941" customFormat="false" ht="15" hidden="false" customHeight="false" outlineLevel="0" collapsed="false">
      <c r="A9941" s="4" t="s">
        <v>462</v>
      </c>
      <c r="B9941" s="36" t="s">
        <v>463</v>
      </c>
      <c r="C9941" s="33" t="n">
        <f aca="false">MAX((Assumptions!$E$51+Assumptions!$E$53)*12,(((('Market Sizing'!$E$25*Assumptions!$E$41*Assumptions!$E$42*1)*Assumptions!$E$44)*Assumptions!$E$45*Assumptions!$E$46+('Market Sizing'!$E$25*Assumptions!$E$41*Assumptions!$E$42*1)*Assumptions!$E$47+('Market Sizing'!$E$25*Assumptions!$E$41*Assumptions!$E$42*1)*Assumptions!$E$48*Assumptions!$E$49)*(Assumptions!$E$51*12/Assumptions!$E$52)+((('Market Sizing'!$E$25*Assumptions!$E$41*Assumptions!$E$42*1)*Assumptions!$E$44)*Assumptions!$E$45+('Market Sizing'!$E$25*Assumptions!$E$41*Assumptions!$E$42*1)+('Market Sizing'!$E$25*Assumptions!$E$41*Assumptions!$E$42*1)*Assumptions!$E$48)*Assumptions!$E$50*(Assumptions!$E$53*12/Assumptions!$E$54)))</f>
        <v>5352</v>
      </c>
    </row>
    <row r="9942" customFormat="false" ht="15" hidden="false" customHeight="false" outlineLevel="0" collapsed="false">
      <c r="A9942" s="4" t="s">
        <v>464</v>
      </c>
      <c r="B9942" s="36" t="s">
        <v>463</v>
      </c>
      <c r="C9942" s="33" t="n">
        <f aca="false">MAX((Assumptions!$E$51+Assumptions!$E$53)*12,(((('Market Sizing'!$E$26*Assumptions!$E$41*Assumptions!$E$42*1)*Assumptions!$E$44)*Assumptions!$E$45*Assumptions!$E$46+('Market Sizing'!$E$26*Assumptions!$E$41*Assumptions!$E$42*1)*Assumptions!$E$47+('Market Sizing'!$E$26*Assumptions!$E$41*Assumptions!$E$42*1)*Assumptions!$E$48*Assumptions!$E$49)*(Assumptions!$E$51*12/Assumptions!$E$52)+((('Market Sizing'!$E$26*Assumptions!$E$41*Assumptions!$E$42*1)*Assumptions!$E$44)*Assumptions!$E$45+('Market Sizing'!$E$26*Assumptions!$E$41*Assumptions!$E$42*1)+('Market Sizing'!$E$26*Assumptions!$E$41*Assumptions!$E$42*1)*Assumptions!$E$48)*Assumptions!$E$50*(Assumptions!$E$53*12/Assumptions!$E$54)))</f>
        <v>9766.72012875208</v>
      </c>
    </row>
    <row r="9943" customFormat="false" ht="15" hidden="false" customHeight="false" outlineLevel="0" collapsed="false">
      <c r="A9943" s="4" t="s">
        <v>465</v>
      </c>
      <c r="B9943" s="36" t="s">
        <v>463</v>
      </c>
      <c r="C9943" s="33" t="n">
        <f aca="false">MAX(Assumptions!$E$55*(Assumptions!$E$51*12/Assumptions!$E$52)+Assumptions!$E$56*(Assumptions!$E$53*12/Assumptions!$E$54),(((('Market Sizing'!$E$27*Assumptions!$E$41*Assumptions!$E$42*1)*Assumptions!$E$44)*Assumptions!$E$45*Assumptions!$E$46+('Market Sizing'!$E$27*Assumptions!$E$41*Assumptions!$E$42*1)*Assumptions!$E$47+('Market Sizing'!$E$27*Assumptions!$E$41*Assumptions!$E$42*1)*Assumptions!$E$48*Assumptions!$E$49)*(Assumptions!$E$51*12/Assumptions!$E$52)+((('Market Sizing'!$E$27*Assumptions!$E$41*Assumptions!$E$42*1)*Assumptions!$E$44)*Assumptions!$E$45+('Market Sizing'!$E$27*Assumptions!$E$41*Assumptions!$E$42*1)+('Market Sizing'!$E$27*Assumptions!$E$41*Assumptions!$E$42*1)*Assumptions!$E$48)*Assumptions!$E$50*(Assumptions!$E$53*12/Assumptions!$E$54)))*(1-Assumptions!$E$57)</f>
        <v>61778.2562194386</v>
      </c>
    </row>
    <row r="9944" customFormat="false" ht="23.85" hidden="false" customHeight="false" outlineLevel="0" collapsed="false">
      <c r="A9944" s="4" t="s">
        <v>466</v>
      </c>
      <c r="B9944" s="36" t="s">
        <v>467</v>
      </c>
      <c r="C9944" s="37" t="n">
        <f aca="false">Assumptions!$E$17*Assumptions!$D$106</f>
        <v>0.4</v>
      </c>
    </row>
    <row r="9945" customFormat="false" ht="23.85" hidden="false" customHeight="false" outlineLevel="0" collapsed="false">
      <c r="A9945" s="4" t="s">
        <v>468</v>
      </c>
      <c r="B9945" s="36" t="s">
        <v>469</v>
      </c>
      <c r="C9945" s="33" t="n">
        <f aca="false">Assumptions!$E$68/Assumptions!$E$69</f>
        <v>285714.285714286</v>
      </c>
    </row>
    <row r="9946" customFormat="false" ht="23.85" hidden="false" customHeight="false" outlineLevel="0" collapsed="false">
      <c r="A9946" s="4" t="s">
        <v>470</v>
      </c>
      <c r="B9946" s="36" t="s">
        <v>471</v>
      </c>
      <c r="C9946" s="33" t="n">
        <f aca="false">Assumptions!$E$66*Assumptions!$E$67/4</f>
        <v>153125</v>
      </c>
    </row>
    <row r="9947" customFormat="false" ht="15" hidden="false" customHeight="false" outlineLevel="0" collapsed="false">
      <c r="A9947" s="4" t="s">
        <v>472</v>
      </c>
      <c r="B9947" s="36"/>
      <c r="C9947" s="38" t="n">
        <f aca="false">$C$9945/Assumptions!$E$66/Assumptions!$E$67</f>
        <v>0.466472303206997</v>
      </c>
    </row>
    <row r="9948" customFormat="false" ht="15" hidden="false" customHeight="false" outlineLevel="0" collapsed="false">
      <c r="A9948" s="4" t="s">
        <v>473</v>
      </c>
      <c r="B9948" s="36"/>
      <c r="C9948" s="33" t="n">
        <f aca="false">MAX(0,Assumptions!$D$103-Assumptions!$E$78)</f>
        <v>0</v>
      </c>
    </row>
    <row r="9949" customFormat="false" ht="15" hidden="false" customHeight="false" outlineLevel="0" collapsed="false">
      <c r="A9949" s="35" t="s">
        <v>474</v>
      </c>
      <c r="B9949" s="35" t="s">
        <v>444</v>
      </c>
      <c r="C9949" s="6" t="s">
        <v>354</v>
      </c>
      <c r="D9949" s="6" t="s">
        <v>355</v>
      </c>
      <c r="E9949" s="6" t="s">
        <v>356</v>
      </c>
      <c r="F9949" s="6" t="s">
        <v>357</v>
      </c>
      <c r="G9949" s="6" t="s">
        <v>358</v>
      </c>
      <c r="H9949" s="6" t="s">
        <v>359</v>
      </c>
      <c r="I9949" s="6" t="s">
        <v>360</v>
      </c>
      <c r="J9949" s="6" t="s">
        <v>361</v>
      </c>
      <c r="K9949" s="6" t="s">
        <v>362</v>
      </c>
      <c r="L9949" s="6" t="s">
        <v>363</v>
      </c>
      <c r="M9949" s="6" t="s">
        <v>364</v>
      </c>
      <c r="N9949" s="6" t="s">
        <v>365</v>
      </c>
      <c r="P9949" s="6" t="s">
        <v>445</v>
      </c>
      <c r="Q9949" s="6" t="s">
        <v>446</v>
      </c>
      <c r="R9949" s="6" t="s">
        <v>447</v>
      </c>
      <c r="S9949" s="6" t="s">
        <v>448</v>
      </c>
    </row>
    <row r="9950" customFormat="false" ht="15" hidden="false" customHeight="false" outlineLevel="0" collapsed="false">
      <c r="A9950" s="4" t="s">
        <v>475</v>
      </c>
      <c r="B9950" s="36" t="s">
        <v>133</v>
      </c>
      <c r="C9950" s="39" t="n">
        <v>1</v>
      </c>
      <c r="D9950" s="39" t="n">
        <v>2</v>
      </c>
      <c r="E9950" s="39" t="n">
        <v>3</v>
      </c>
      <c r="F9950" s="39" t="n">
        <v>4</v>
      </c>
      <c r="G9950" s="39" t="n">
        <v>5</v>
      </c>
      <c r="H9950" s="39" t="n">
        <v>6</v>
      </c>
      <c r="I9950" s="39" t="n">
        <v>7</v>
      </c>
      <c r="J9950" s="39" t="n">
        <v>8</v>
      </c>
      <c r="K9950" s="39" t="n">
        <v>9</v>
      </c>
      <c r="L9950" s="39" t="n">
        <v>10</v>
      </c>
      <c r="M9950" s="39" t="n">
        <v>11</v>
      </c>
      <c r="N9950" s="39" t="n">
        <v>12</v>
      </c>
      <c r="P9950" s="40"/>
      <c r="Q9950" s="40"/>
      <c r="R9950" s="40"/>
      <c r="S9950" s="41"/>
    </row>
    <row r="9951" customFormat="false" ht="15" hidden="false" customHeight="false" outlineLevel="0" collapsed="false">
      <c r="A9951" s="4" t="s">
        <v>476</v>
      </c>
      <c r="B9951" s="36" t="s">
        <v>343</v>
      </c>
      <c r="C9951" s="39" t="n">
        <f aca="false">IF(C9950&lt;=Assumptions!$E$84,1,0)</f>
        <v>1</v>
      </c>
      <c r="D9951" s="39" t="n">
        <f aca="false">IF(D9950&lt;=Assumptions!$E$84,1,0)</f>
        <v>1</v>
      </c>
      <c r="E9951" s="39" t="n">
        <f aca="false">IF(E9950&lt;=Assumptions!$E$84,1,0)</f>
        <v>1</v>
      </c>
      <c r="F9951" s="39" t="n">
        <f aca="false">IF(F9950&lt;=Assumptions!$E$84,1,0)</f>
        <v>1</v>
      </c>
      <c r="G9951" s="39" t="n">
        <f aca="false">IF(G9950&lt;=Assumptions!$E$84,1,0)</f>
        <v>1</v>
      </c>
      <c r="H9951" s="39" t="n">
        <f aca="false">IF(H9950&lt;=Assumptions!$E$84,1,0)</f>
        <v>1</v>
      </c>
      <c r="I9951" s="39" t="n">
        <f aca="false">IF(I9950&lt;=Assumptions!$E$84,1,0)</f>
        <v>1</v>
      </c>
      <c r="J9951" s="39" t="n">
        <f aca="false">IF(J9950&lt;=Assumptions!$E$84,1,0)</f>
        <v>1</v>
      </c>
      <c r="K9951" s="39" t="n">
        <f aca="false">IF(K9950&lt;=Assumptions!$E$84,1,0)</f>
        <v>1</v>
      </c>
      <c r="L9951" s="39" t="n">
        <f aca="false">IF(L9950&lt;=Assumptions!$E$84,1,0)</f>
        <v>1</v>
      </c>
      <c r="M9951" s="39" t="n">
        <f aca="false">IF(M9950&lt;=Assumptions!$E$84,1,0)</f>
        <v>1</v>
      </c>
      <c r="N9951" s="39" t="n">
        <f aca="false">IF(N9950&lt;=Assumptions!$E$84,1,0)</f>
        <v>1</v>
      </c>
      <c r="P9951" s="40"/>
      <c r="Q9951" s="40"/>
      <c r="R9951" s="40"/>
      <c r="S9951" s="41"/>
    </row>
    <row r="9952" customFormat="false" ht="15" hidden="false" customHeight="false" outlineLevel="0" collapsed="false">
      <c r="A9952" s="4" t="s">
        <v>477</v>
      </c>
      <c r="B9952" s="36" t="s">
        <v>478</v>
      </c>
      <c r="C9952" s="42" t="n">
        <f aca="false">IF(C9950=Assumptions!$E$13,0.5,IF(C9950&gt;Assumptions!$E$13,1,0))</f>
        <v>0.5</v>
      </c>
      <c r="D9952" s="42" t="n">
        <f aca="false">IF(D9950=Assumptions!$E$13,0.5,IF(D9950&gt;Assumptions!$E$13,1,0))</f>
        <v>1</v>
      </c>
      <c r="E9952" s="42" t="n">
        <f aca="false">IF(E9950=Assumptions!$E$13,0.5,IF(E9950&gt;Assumptions!$E$13,1,0))</f>
        <v>1</v>
      </c>
      <c r="F9952" s="42" t="n">
        <f aca="false">IF(F9950=Assumptions!$E$13,0.5,IF(F9950&gt;Assumptions!$E$13,1,0))</f>
        <v>1</v>
      </c>
      <c r="G9952" s="42" t="n">
        <f aca="false">IF(G9950=Assumptions!$E$13,0.5,IF(G9950&gt;Assumptions!$E$13,1,0))</f>
        <v>1</v>
      </c>
      <c r="H9952" s="42" t="n">
        <f aca="false">IF(H9950=Assumptions!$E$13,0.5,IF(H9950&gt;Assumptions!$E$13,1,0))</f>
        <v>1</v>
      </c>
      <c r="I9952" s="42" t="n">
        <f aca="false">IF(I9950=Assumptions!$E$13,0.5,IF(I9950&gt;Assumptions!$E$13,1,0))</f>
        <v>1</v>
      </c>
      <c r="J9952" s="42" t="n">
        <f aca="false">IF(J9950=Assumptions!$E$13,0.5,IF(J9950&gt;Assumptions!$E$13,1,0))</f>
        <v>1</v>
      </c>
      <c r="K9952" s="42" t="n">
        <f aca="false">IF(K9950=Assumptions!$E$13,0.5,IF(K9950&gt;Assumptions!$E$13,1,0))</f>
        <v>1</v>
      </c>
      <c r="L9952" s="42" t="n">
        <f aca="false">IF(L9950=Assumptions!$E$13,0.5,IF(L9950&gt;Assumptions!$E$13,1,0))</f>
        <v>1</v>
      </c>
      <c r="M9952" s="42" t="n">
        <f aca="false">IF(M9950=Assumptions!$E$13,0.5,IF(M9950&gt;Assumptions!$E$13,1,0))</f>
        <v>1</v>
      </c>
      <c r="N9952" s="42" t="n">
        <f aca="false">IF(N9950=Assumptions!$E$13,0.5,IF(N9950&gt;Assumptions!$E$13,1,0))</f>
        <v>1</v>
      </c>
      <c r="P9952" s="43"/>
      <c r="Q9952" s="43"/>
      <c r="R9952" s="43"/>
      <c r="S9952" s="44"/>
    </row>
    <row r="9953" customFormat="false" ht="15" hidden="false" customHeight="false" outlineLevel="0" collapsed="false">
      <c r="A9953" s="4" t="s">
        <v>479</v>
      </c>
      <c r="B9953" s="36" t="s">
        <v>478</v>
      </c>
      <c r="C9953" s="42" t="n">
        <f aca="false">IF(C9950=Assumptions!$E$14,0.5,IF(C9950&gt;Assumptions!$E$14,1,0))</f>
        <v>0</v>
      </c>
      <c r="D9953" s="42" t="n">
        <f aca="false">IF(D9950=Assumptions!$E$14,0.5,IF(D9950&gt;Assumptions!$E$14,1,0))</f>
        <v>0</v>
      </c>
      <c r="E9953" s="42" t="n">
        <f aca="false">IF(E9950=Assumptions!$E$14,0.5,IF(E9950&gt;Assumptions!$E$14,1,0))</f>
        <v>0</v>
      </c>
      <c r="F9953" s="42" t="n">
        <f aca="false">IF(F9950=Assumptions!$E$14,0.5,IF(F9950&gt;Assumptions!$E$14,1,0))</f>
        <v>0</v>
      </c>
      <c r="G9953" s="42" t="n">
        <f aca="false">IF(G9950=Assumptions!$E$14,0.5,IF(G9950&gt;Assumptions!$E$14,1,0))</f>
        <v>0.5</v>
      </c>
      <c r="H9953" s="42" t="n">
        <f aca="false">IF(H9950=Assumptions!$E$14,0.5,IF(H9950&gt;Assumptions!$E$14,1,0))</f>
        <v>1</v>
      </c>
      <c r="I9953" s="42" t="n">
        <f aca="false">IF(I9950=Assumptions!$E$14,0.5,IF(I9950&gt;Assumptions!$E$14,1,0))</f>
        <v>1</v>
      </c>
      <c r="J9953" s="42" t="n">
        <f aca="false">IF(J9950=Assumptions!$E$14,0.5,IF(J9950&gt;Assumptions!$E$14,1,0))</f>
        <v>1</v>
      </c>
      <c r="K9953" s="42" t="n">
        <f aca="false">IF(K9950=Assumptions!$E$14,0.5,IF(K9950&gt;Assumptions!$E$14,1,0))</f>
        <v>1</v>
      </c>
      <c r="L9953" s="42" t="n">
        <f aca="false">IF(L9950=Assumptions!$E$14,0.5,IF(L9950&gt;Assumptions!$E$14,1,0))</f>
        <v>1</v>
      </c>
      <c r="M9953" s="42" t="n">
        <f aca="false">IF(M9950=Assumptions!$E$14,0.5,IF(M9950&gt;Assumptions!$E$14,1,0))</f>
        <v>1</v>
      </c>
      <c r="N9953" s="42" t="n">
        <f aca="false">IF(N9950=Assumptions!$E$14,0.5,IF(N9950&gt;Assumptions!$E$14,1,0))</f>
        <v>1</v>
      </c>
      <c r="P9953" s="43"/>
      <c r="Q9953" s="43"/>
      <c r="R9953" s="43"/>
      <c r="S9953" s="44"/>
    </row>
    <row r="9954" customFormat="false" ht="15" hidden="false" customHeight="false" outlineLevel="0" collapsed="false">
      <c r="A9954" s="4" t="s">
        <v>480</v>
      </c>
      <c r="B9954" s="36" t="s">
        <v>478</v>
      </c>
      <c r="C9954" s="42" t="n">
        <f aca="false">IF(C9950=Assumptions!$E$15,0.5,IF(C9950&gt;Assumptions!$E$15,1,0))</f>
        <v>0</v>
      </c>
      <c r="D9954" s="42" t="n">
        <f aca="false">IF(D9950=Assumptions!$E$15,0.5,IF(D9950&gt;Assumptions!$E$15,1,0))</f>
        <v>0</v>
      </c>
      <c r="E9954" s="42" t="n">
        <f aca="false">IF(E9950=Assumptions!$E$15,0.5,IF(E9950&gt;Assumptions!$E$15,1,0))</f>
        <v>0</v>
      </c>
      <c r="F9954" s="42" t="n">
        <f aca="false">IF(F9950=Assumptions!$E$15,0.5,IF(F9950&gt;Assumptions!$E$15,1,0))</f>
        <v>0</v>
      </c>
      <c r="G9954" s="42" t="n">
        <f aca="false">IF(G9950=Assumptions!$E$15,0.5,IF(G9950&gt;Assumptions!$E$15,1,0))</f>
        <v>0</v>
      </c>
      <c r="H9954" s="42" t="n">
        <f aca="false">IF(H9950=Assumptions!$E$15,0.5,IF(H9950&gt;Assumptions!$E$15,1,0))</f>
        <v>0</v>
      </c>
      <c r="I9954" s="42" t="n">
        <f aca="false">IF(I9950=Assumptions!$E$15,0.5,IF(I9950&gt;Assumptions!$E$15,1,0))</f>
        <v>0.5</v>
      </c>
      <c r="J9954" s="42" t="n">
        <f aca="false">IF(J9950=Assumptions!$E$15,0.5,IF(J9950&gt;Assumptions!$E$15,1,0))</f>
        <v>1</v>
      </c>
      <c r="K9954" s="42" t="n">
        <f aca="false">IF(K9950=Assumptions!$E$15,0.5,IF(K9950&gt;Assumptions!$E$15,1,0))</f>
        <v>1</v>
      </c>
      <c r="L9954" s="42" t="n">
        <f aca="false">IF(L9950=Assumptions!$E$15,0.5,IF(L9950&gt;Assumptions!$E$15,1,0))</f>
        <v>1</v>
      </c>
      <c r="M9954" s="42" t="n">
        <f aca="false">IF(M9950=Assumptions!$E$15,0.5,IF(M9950&gt;Assumptions!$E$15,1,0))</f>
        <v>1</v>
      </c>
      <c r="N9954" s="42" t="n">
        <f aca="false">IF(N9950=Assumptions!$E$15,0.5,IF(N9950&gt;Assumptions!$E$15,1,0))</f>
        <v>1</v>
      </c>
      <c r="P9954" s="43"/>
      <c r="Q9954" s="43"/>
      <c r="R9954" s="43"/>
      <c r="S9954" s="44"/>
    </row>
    <row r="9955" customFormat="false" ht="15" hidden="false" customHeight="false" outlineLevel="0" collapsed="false">
      <c r="A9955" s="4" t="s">
        <v>481</v>
      </c>
      <c r="B9955" s="36" t="s">
        <v>478</v>
      </c>
      <c r="C9955" s="45" t="n">
        <f aca="false">Assumptions!$E$21^(MAX(0,C9950-Assumptions!$E$13)/4)</f>
        <v>1</v>
      </c>
      <c r="D9955" s="45" t="n">
        <f aca="false">Assumptions!$E$21^(MAX(0,D9950-Assumptions!$E$13)/4)</f>
        <v>0.9306048591021</v>
      </c>
      <c r="E9955" s="45" t="n">
        <f aca="false">Assumptions!$E$21^(MAX(0,E9950-Assumptions!$E$13)/4)</f>
        <v>0.866025403784439</v>
      </c>
      <c r="F9955" s="45" t="n">
        <f aca="false">Assumptions!$E$21^(MAX(0,F9950-Assumptions!$E$13)/4)</f>
        <v>0.805927448867656</v>
      </c>
      <c r="G9955" s="45" t="n">
        <f aca="false">Assumptions!$E$21^(MAX(0,G9950-Assumptions!$E$13)/4)</f>
        <v>0.75</v>
      </c>
      <c r="H9955" s="45" t="n">
        <f aca="false">Assumptions!$E$21^(MAX(0,H9950-Assumptions!$E$13)/4)</f>
        <v>0.697953644326575</v>
      </c>
      <c r="I9955" s="45" t="n">
        <f aca="false">Assumptions!$E$21^(MAX(0,I9950-Assumptions!$E$13)/4)</f>
        <v>0.649519052838329</v>
      </c>
      <c r="J9955" s="45" t="n">
        <f aca="false">Assumptions!$E$21^(MAX(0,J9950-Assumptions!$E$13)/4)</f>
        <v>0.604445586650742</v>
      </c>
      <c r="K9955" s="45" t="n">
        <f aca="false">Assumptions!$E$21^(MAX(0,K9950-Assumptions!$E$13)/4)</f>
        <v>0.5625</v>
      </c>
      <c r="L9955" s="45" t="n">
        <f aca="false">Assumptions!$E$21^(MAX(0,L9950-Assumptions!$E$13)/4)</f>
        <v>0.523465233244931</v>
      </c>
      <c r="M9955" s="45" t="n">
        <f aca="false">Assumptions!$E$21^(MAX(0,M9950-Assumptions!$E$13)/4)</f>
        <v>0.487139289628747</v>
      </c>
      <c r="N9955" s="45" t="n">
        <f aca="false">Assumptions!$E$21^(MAX(0,N9950-Assumptions!$E$13)/4)</f>
        <v>0.453334189988057</v>
      </c>
      <c r="P9955" s="46"/>
      <c r="Q9955" s="46"/>
      <c r="R9955" s="46"/>
      <c r="S9955" s="47"/>
    </row>
    <row r="9956" customFormat="false" ht="15" hidden="false" customHeight="false" outlineLevel="0" collapsed="false">
      <c r="A9956" s="4" t="s">
        <v>482</v>
      </c>
      <c r="B9956" s="36" t="s">
        <v>478</v>
      </c>
      <c r="C9956" s="45" t="n">
        <f aca="false">Assumptions!$E$21^(MAX(0,C9950-Assumptions!$E$14)/4)</f>
        <v>1</v>
      </c>
      <c r="D9956" s="45" t="n">
        <f aca="false">Assumptions!$E$21^(MAX(0,D9950-Assumptions!$E$14)/4)</f>
        <v>1</v>
      </c>
      <c r="E9956" s="45" t="n">
        <f aca="false">Assumptions!$E$21^(MAX(0,E9950-Assumptions!$E$14)/4)</f>
        <v>1</v>
      </c>
      <c r="F9956" s="45" t="n">
        <f aca="false">Assumptions!$E$21^(MAX(0,F9950-Assumptions!$E$14)/4)</f>
        <v>1</v>
      </c>
      <c r="G9956" s="45" t="n">
        <f aca="false">Assumptions!$E$21^(MAX(0,G9950-Assumptions!$E$14)/4)</f>
        <v>1</v>
      </c>
      <c r="H9956" s="45" t="n">
        <f aca="false">Assumptions!$E$21^(MAX(0,H9950-Assumptions!$E$14)/4)</f>
        <v>0.9306048591021</v>
      </c>
      <c r="I9956" s="45" t="n">
        <f aca="false">Assumptions!$E$21^(MAX(0,I9950-Assumptions!$E$14)/4)</f>
        <v>0.866025403784439</v>
      </c>
      <c r="J9956" s="45" t="n">
        <f aca="false">Assumptions!$E$21^(MAX(0,J9950-Assumptions!$E$14)/4)</f>
        <v>0.805927448867656</v>
      </c>
      <c r="K9956" s="45" t="n">
        <f aca="false">Assumptions!$E$21^(MAX(0,K9950-Assumptions!$E$14)/4)</f>
        <v>0.75</v>
      </c>
      <c r="L9956" s="45" t="n">
        <f aca="false">Assumptions!$E$21^(MAX(0,L9950-Assumptions!$E$14)/4)</f>
        <v>0.697953644326575</v>
      </c>
      <c r="M9956" s="45" t="n">
        <f aca="false">Assumptions!$E$21^(MAX(0,M9950-Assumptions!$E$14)/4)</f>
        <v>0.649519052838329</v>
      </c>
      <c r="N9956" s="45" t="n">
        <f aca="false">Assumptions!$E$21^(MAX(0,N9950-Assumptions!$E$14)/4)</f>
        <v>0.604445586650742</v>
      </c>
      <c r="P9956" s="46"/>
      <c r="Q9956" s="46"/>
      <c r="R9956" s="46"/>
      <c r="S9956" s="47"/>
    </row>
    <row r="9957" customFormat="false" ht="15" hidden="false" customHeight="false" outlineLevel="0" collapsed="false">
      <c r="A9957" s="4" t="s">
        <v>483</v>
      </c>
      <c r="B9957" s="36" t="s">
        <v>478</v>
      </c>
      <c r="C9957" s="45" t="n">
        <f aca="false">Assumptions!$E$21^(MAX(0,C9950-Assumptions!$E$15)/4)</f>
        <v>1</v>
      </c>
      <c r="D9957" s="45" t="n">
        <f aca="false">Assumptions!$E$21^(MAX(0,D9950-Assumptions!$E$15)/4)</f>
        <v>1</v>
      </c>
      <c r="E9957" s="45" t="n">
        <f aca="false">Assumptions!$E$21^(MAX(0,E9950-Assumptions!$E$15)/4)</f>
        <v>1</v>
      </c>
      <c r="F9957" s="45" t="n">
        <f aca="false">Assumptions!$E$21^(MAX(0,F9950-Assumptions!$E$15)/4)</f>
        <v>1</v>
      </c>
      <c r="G9957" s="45" t="n">
        <f aca="false">Assumptions!$E$21^(MAX(0,G9950-Assumptions!$E$15)/4)</f>
        <v>1</v>
      </c>
      <c r="H9957" s="45" t="n">
        <f aca="false">Assumptions!$E$21^(MAX(0,H9950-Assumptions!$E$15)/4)</f>
        <v>1</v>
      </c>
      <c r="I9957" s="45" t="n">
        <f aca="false">Assumptions!$E$21^(MAX(0,I9950-Assumptions!$E$15)/4)</f>
        <v>1</v>
      </c>
      <c r="J9957" s="45" t="n">
        <f aca="false">Assumptions!$E$21^(MAX(0,J9950-Assumptions!$E$15)/4)</f>
        <v>0.9306048591021</v>
      </c>
      <c r="K9957" s="45" t="n">
        <f aca="false">Assumptions!$E$21^(MAX(0,K9950-Assumptions!$E$15)/4)</f>
        <v>0.866025403784439</v>
      </c>
      <c r="L9957" s="45" t="n">
        <f aca="false">Assumptions!$E$21^(MAX(0,L9950-Assumptions!$E$15)/4)</f>
        <v>0.805927448867656</v>
      </c>
      <c r="M9957" s="45" t="n">
        <f aca="false">Assumptions!$E$21^(MAX(0,M9950-Assumptions!$E$15)/4)</f>
        <v>0.75</v>
      </c>
      <c r="N9957" s="45" t="n">
        <f aca="false">Assumptions!$E$21^(MAX(0,N9950-Assumptions!$E$15)/4)</f>
        <v>0.697953644326575</v>
      </c>
      <c r="P9957" s="46"/>
      <c r="Q9957" s="46"/>
      <c r="R9957" s="46"/>
      <c r="S9957" s="47"/>
    </row>
    <row r="9958" customFormat="false" ht="15" hidden="false" customHeight="false" outlineLevel="0" collapsed="false">
      <c r="A9958" s="4" t="s">
        <v>484</v>
      </c>
      <c r="B9958" s="36" t="s">
        <v>485</v>
      </c>
      <c r="C9958" s="39" t="n">
        <f aca="false">$C$9929*C9952+$C$9933*C9953+$C$9937*C9954</f>
        <v>421.51972352</v>
      </c>
      <c r="D9958" s="39" t="n">
        <f aca="false">$C$9929*D9952+$C$9933*D9953+$C$9937*D9954</f>
        <v>843.03944704</v>
      </c>
      <c r="E9958" s="39" t="n">
        <f aca="false">$C$9929*E9952+$C$9933*E9953+$C$9937*E9954</f>
        <v>843.03944704</v>
      </c>
      <c r="F9958" s="39" t="n">
        <f aca="false">$C$9929*F9952+$C$9933*F9953+$C$9937*F9954</f>
        <v>843.03944704</v>
      </c>
      <c r="G9958" s="39" t="n">
        <f aca="false">$C$9929*G9952+$C$9933*G9953+$C$9937*G9954</f>
        <v>1149.32798176</v>
      </c>
      <c r="H9958" s="39" t="n">
        <f aca="false">$C$9929*H9952+$C$9933*H9953+$C$9937*H9954</f>
        <v>1455.61651648</v>
      </c>
      <c r="I9958" s="39" t="n">
        <f aca="false">$C$9929*I9952+$C$9933*I9953+$C$9937*I9954</f>
        <v>2486.00303616</v>
      </c>
      <c r="J9958" s="39" t="n">
        <f aca="false">$C$9929*J9952+$C$9933*J9953+$C$9937*J9954</f>
        <v>3516.38955584</v>
      </c>
      <c r="K9958" s="39" t="n">
        <f aca="false">$C$9929*K9952+$C$9933*K9953+$C$9937*K9954</f>
        <v>3516.38955584</v>
      </c>
      <c r="L9958" s="39" t="n">
        <f aca="false">$C$9929*L9952+$C$9933*L9953+$C$9937*L9954</f>
        <v>3516.38955584</v>
      </c>
      <c r="M9958" s="39" t="n">
        <f aca="false">$C$9929*M9952+$C$9933*M9953+$C$9937*M9954</f>
        <v>3516.38955584</v>
      </c>
      <c r="N9958" s="39" t="n">
        <f aca="false">$C$9929*N9952+$C$9933*N9953+$C$9937*N9954</f>
        <v>3516.38955584</v>
      </c>
      <c r="P9958" s="40" t="n">
        <f aca="false">F9958</f>
        <v>843.03944704</v>
      </c>
      <c r="Q9958" s="40" t="n">
        <f aca="false">J9958</f>
        <v>3516.38955584</v>
      </c>
      <c r="R9958" s="40" t="n">
        <f aca="false">N9958</f>
        <v>3516.38955584</v>
      </c>
      <c r="S9958" s="41" t="n">
        <f aca="false">R9958</f>
        <v>3516.38955584</v>
      </c>
    </row>
    <row r="9959" customFormat="false" ht="15" hidden="false" customHeight="false" outlineLevel="0" collapsed="false">
      <c r="A9959" s="4" t="s">
        <v>486</v>
      </c>
      <c r="B9959" s="36" t="s">
        <v>485</v>
      </c>
      <c r="C9959" s="39" t="n">
        <f aca="false">$C$9930*C9952+$C$9934*C9953+$C$9938*C9954</f>
        <v>105.59808</v>
      </c>
      <c r="D9959" s="39" t="n">
        <f aca="false">$C$9930*D9952+$C$9934*D9953+$C$9938*D9954</f>
        <v>211.19616</v>
      </c>
      <c r="E9959" s="39" t="n">
        <f aca="false">$C$9930*E9952+$C$9934*E9953+$C$9938*E9954</f>
        <v>211.19616</v>
      </c>
      <c r="F9959" s="39" t="n">
        <f aca="false">$C$9930*F9952+$C$9934*F9953+$C$9938*F9954</f>
        <v>211.19616</v>
      </c>
      <c r="G9959" s="39" t="n">
        <f aca="false">$C$9930*G9952+$C$9934*G9953+$C$9938*G9954</f>
        <v>282.24672</v>
      </c>
      <c r="H9959" s="39" t="n">
        <f aca="false">$C$9930*H9952+$C$9934*H9953+$C$9938*H9954</f>
        <v>353.29728</v>
      </c>
      <c r="I9959" s="39" t="n">
        <f aca="false">$C$9930*I9952+$C$9934*I9953+$C$9938*I9954</f>
        <v>567.53536</v>
      </c>
      <c r="J9959" s="39" t="n">
        <f aca="false">$C$9930*J9952+$C$9934*J9953+$C$9938*J9954</f>
        <v>781.77344</v>
      </c>
      <c r="K9959" s="39" t="n">
        <f aca="false">$C$9930*K9952+$C$9934*K9953+$C$9938*K9954</f>
        <v>781.77344</v>
      </c>
      <c r="L9959" s="39" t="n">
        <f aca="false">$C$9930*L9952+$C$9934*L9953+$C$9938*L9954</f>
        <v>781.77344</v>
      </c>
      <c r="M9959" s="39" t="n">
        <f aca="false">$C$9930*M9952+$C$9934*M9953+$C$9938*M9954</f>
        <v>781.77344</v>
      </c>
      <c r="N9959" s="39" t="n">
        <f aca="false">$C$9930*N9952+$C$9934*N9953+$C$9938*N9954</f>
        <v>781.77344</v>
      </c>
      <c r="P9959" s="40" t="n">
        <f aca="false">F9959</f>
        <v>211.19616</v>
      </c>
      <c r="Q9959" s="40" t="n">
        <f aca="false">J9959</f>
        <v>781.77344</v>
      </c>
      <c r="R9959" s="40" t="n">
        <f aca="false">N9959</f>
        <v>781.77344</v>
      </c>
      <c r="S9959" s="41" t="n">
        <f aca="false">R9959</f>
        <v>781.77344</v>
      </c>
    </row>
    <row r="9960" customFormat="false" ht="15" hidden="false" customHeight="false" outlineLevel="0" collapsed="false">
      <c r="A9960" s="4" t="s">
        <v>487</v>
      </c>
      <c r="B9960" s="36" t="s">
        <v>485</v>
      </c>
      <c r="C9960" s="39" t="n">
        <f aca="false">$C$9931*C9952+$C$9935*C9953+$C$9939*C9954</f>
        <v>24.76992</v>
      </c>
      <c r="D9960" s="39" t="n">
        <f aca="false">$C$9931*D9952+$C$9935*D9953+$C$9939*D9954</f>
        <v>49.53984</v>
      </c>
      <c r="E9960" s="39" t="n">
        <f aca="false">$C$9931*E9952+$C$9935*E9953+$C$9939*E9954</f>
        <v>49.53984</v>
      </c>
      <c r="F9960" s="39" t="n">
        <f aca="false">$C$9931*F9952+$C$9935*F9953+$C$9939*F9954</f>
        <v>49.53984</v>
      </c>
      <c r="G9960" s="39" t="n">
        <f aca="false">$C$9931*G9952+$C$9935*G9953+$C$9939*G9954</f>
        <v>61.9248</v>
      </c>
      <c r="H9960" s="39" t="n">
        <f aca="false">$C$9931*H9952+$C$9935*H9953+$C$9939*H9954</f>
        <v>74.30976</v>
      </c>
      <c r="I9960" s="39" t="n">
        <f aca="false">$C$9931*I9952+$C$9935*I9953+$C$9939*I9954</f>
        <v>114.072</v>
      </c>
      <c r="J9960" s="39" t="n">
        <f aca="false">$C$9931*J9952+$C$9935*J9953+$C$9939*J9954</f>
        <v>153.83424</v>
      </c>
      <c r="K9960" s="39" t="n">
        <f aca="false">$C$9931*K9952+$C$9935*K9953+$C$9939*K9954</f>
        <v>153.83424</v>
      </c>
      <c r="L9960" s="39" t="n">
        <f aca="false">$C$9931*L9952+$C$9935*L9953+$C$9939*L9954</f>
        <v>153.83424</v>
      </c>
      <c r="M9960" s="39" t="n">
        <f aca="false">$C$9931*M9952+$C$9935*M9953+$C$9939*M9954</f>
        <v>153.83424</v>
      </c>
      <c r="N9960" s="39" t="n">
        <f aca="false">$C$9931*N9952+$C$9935*N9953+$C$9939*N9954</f>
        <v>153.83424</v>
      </c>
      <c r="P9960" s="40" t="n">
        <f aca="false">F9960</f>
        <v>49.53984</v>
      </c>
      <c r="Q9960" s="40" t="n">
        <f aca="false">J9960</f>
        <v>153.83424</v>
      </c>
      <c r="R9960" s="40" t="n">
        <f aca="false">N9960</f>
        <v>153.83424</v>
      </c>
      <c r="S9960" s="41" t="n">
        <f aca="false">R9960</f>
        <v>153.83424</v>
      </c>
    </row>
    <row r="9961" customFormat="false" ht="15" hidden="false" customHeight="false" outlineLevel="0" collapsed="false">
      <c r="A9961" s="4" t="s">
        <v>488</v>
      </c>
      <c r="B9961" s="36" t="s">
        <v>485</v>
      </c>
      <c r="C9961" s="39" t="n">
        <f aca="false">C9958+C9959+C9960</f>
        <v>551.88772352</v>
      </c>
      <c r="D9961" s="39" t="n">
        <f aca="false">D9958+D9959+D9960</f>
        <v>1103.77544704</v>
      </c>
      <c r="E9961" s="39" t="n">
        <f aca="false">E9958+E9959+E9960</f>
        <v>1103.77544704</v>
      </c>
      <c r="F9961" s="39" t="n">
        <f aca="false">F9958+F9959+F9960</f>
        <v>1103.77544704</v>
      </c>
      <c r="G9961" s="39" t="n">
        <f aca="false">G9958+G9959+G9960</f>
        <v>1493.49950176</v>
      </c>
      <c r="H9961" s="39" t="n">
        <f aca="false">H9958+H9959+H9960</f>
        <v>1883.22355648</v>
      </c>
      <c r="I9961" s="39" t="n">
        <f aca="false">I9958+I9959+I9960</f>
        <v>3167.61039616</v>
      </c>
      <c r="J9961" s="39" t="n">
        <f aca="false">J9958+J9959+J9960</f>
        <v>4451.99723584</v>
      </c>
      <c r="K9961" s="39" t="n">
        <f aca="false">K9958+K9959+K9960</f>
        <v>4451.99723584</v>
      </c>
      <c r="L9961" s="39" t="n">
        <f aca="false">L9958+L9959+L9960</f>
        <v>4451.99723584</v>
      </c>
      <c r="M9961" s="39" t="n">
        <f aca="false">M9958+M9959+M9960</f>
        <v>4451.99723584</v>
      </c>
      <c r="N9961" s="39" t="n">
        <f aca="false">N9958+N9959+N9960</f>
        <v>4451.99723584</v>
      </c>
      <c r="P9961" s="40" t="n">
        <f aca="false">F9961</f>
        <v>1103.77544704</v>
      </c>
      <c r="Q9961" s="40" t="n">
        <f aca="false">J9961</f>
        <v>4451.99723584</v>
      </c>
      <c r="R9961" s="40" t="n">
        <f aca="false">N9961</f>
        <v>4451.99723584</v>
      </c>
      <c r="S9961" s="41" t="n">
        <f aca="false">R9961</f>
        <v>4451.99723584</v>
      </c>
    </row>
    <row r="9962" customFormat="false" ht="15" hidden="false" customHeight="false" outlineLevel="0" collapsed="false">
      <c r="A9962" s="4" t="s">
        <v>489</v>
      </c>
      <c r="B9962" s="36" t="s">
        <v>485</v>
      </c>
      <c r="C9962" s="39" t="n">
        <f aca="false">$C$9932*C9952*C9955+$C$9936*C9953*C9956+$C$9940*C9954*C9957</f>
        <v>551.88772352</v>
      </c>
      <c r="D9962" s="39" t="n">
        <f aca="false">$C$9932*D9952*D9955+$C$9936*D9953*D9956+$C$9940*D9954*D9957</f>
        <v>1027.17879437302</v>
      </c>
      <c r="E9962" s="39" t="n">
        <f aca="false">$C$9932*E9952*E9955+$C$9936*E9953*E9956+$C$9940*E9954*E9957</f>
        <v>955.897577210165</v>
      </c>
      <c r="F9962" s="39" t="n">
        <f aca="false">$C$9932*F9952*F9955+$C$9936*F9953*F9956+$C$9940*F9954*F9957</f>
        <v>889.562930155704</v>
      </c>
      <c r="G9962" s="39" t="n">
        <f aca="false">$C$9932*G9952*G9955+$C$9936*G9953*G9956+$C$9940*G9954*G9957</f>
        <v>1217.55564</v>
      </c>
      <c r="H9962" s="39" t="n">
        <f aca="false">$C$9932*H9952*H9955+$C$9936*H9953*H9956+$C$9940*H9954*H9957</f>
        <v>1495.74229384257</v>
      </c>
      <c r="I9962" s="39" t="n">
        <f aca="false">$C$9932*I9952*I9955+$C$9936*I9953*I9956+$C$9940*I9954*I9957</f>
        <v>2676.33188629442</v>
      </c>
      <c r="J9962" s="39" t="n">
        <f aca="false">$C$9932*J9952*J9955+$C$9936*J9953*J9956+$C$9940*J9954*J9957</f>
        <v>3685.86409192847</v>
      </c>
      <c r="K9962" s="39" t="n">
        <f aca="false">$C$9932*K9952*K9955+$C$9936*K9953*K9956+$C$9940*K9954*K9957</f>
        <v>3430.08303393858</v>
      </c>
      <c r="L9962" s="39" t="n">
        <f aca="false">$C$9932*L9952*L9955+$C$9936*L9953*L9956+$C$9940*L9954*L9957</f>
        <v>3192.05193850692</v>
      </c>
      <c r="M9962" s="39" t="n">
        <f aca="false">$C$9932*M9952*M9955+$C$9936*M9953*M9956+$C$9940*M9954*M9957</f>
        <v>2970.53904448081</v>
      </c>
      <c r="N9962" s="39" t="n">
        <f aca="false">$C$9932*N9952*N9955+$C$9936*N9953*N9956+$C$9940*N9954*N9957</f>
        <v>2764.39806894635</v>
      </c>
      <c r="P9962" s="40"/>
      <c r="Q9962" s="40"/>
      <c r="R9962" s="40"/>
      <c r="S9962" s="41"/>
    </row>
    <row r="9963" customFormat="false" ht="15" hidden="false" customHeight="false" outlineLevel="0" collapsed="false">
      <c r="A9963" s="4" t="s">
        <v>490</v>
      </c>
      <c r="B9963" s="36" t="s">
        <v>491</v>
      </c>
      <c r="C9963" s="48" t="n">
        <f aca="false">$C$9944*Assumptions!$E$20*C9951*C9962</f>
        <v>6.62265268224</v>
      </c>
      <c r="D9963" s="48" t="n">
        <f aca="false">$C$9944*Assumptions!$E$20*D9951*D9962</f>
        <v>12.3261455324762</v>
      </c>
      <c r="E9963" s="48" t="n">
        <f aca="false">$C$9944*Assumptions!$E$20*E9951*E9962</f>
        <v>11.470770926522</v>
      </c>
      <c r="F9963" s="48" t="n">
        <f aca="false">$C$9944*Assumptions!$E$20*F9951*F9962</f>
        <v>10.6747551618685</v>
      </c>
      <c r="G9963" s="48" t="n">
        <f aca="false">$C$9944*Assumptions!$E$20*G9951*G9962</f>
        <v>14.61066768</v>
      </c>
      <c r="H9963" s="48" t="n">
        <f aca="false">$C$9944*Assumptions!$E$20*H9951*H9962</f>
        <v>17.9489075261109</v>
      </c>
      <c r="I9963" s="48" t="n">
        <f aca="false">$C$9944*Assumptions!$E$20*I9951*I9962</f>
        <v>32.115982635533</v>
      </c>
      <c r="J9963" s="48" t="n">
        <f aca="false">$C$9944*Assumptions!$E$20*J9951*J9962</f>
        <v>44.2303691031417</v>
      </c>
      <c r="K9963" s="48" t="n">
        <f aca="false">$C$9944*Assumptions!$E$20*K9951*K9962</f>
        <v>41.160996407263</v>
      </c>
      <c r="L9963" s="48" t="n">
        <f aca="false">$C$9944*Assumptions!$E$20*L9951*L9962</f>
        <v>38.304623262083</v>
      </c>
      <c r="M9963" s="48" t="n">
        <f aca="false">$C$9944*Assumptions!$E$20*M9951*M9962</f>
        <v>35.6464685337698</v>
      </c>
      <c r="N9963" s="48" t="n">
        <f aca="false">$C$9944*Assumptions!$E$20*N9951*N9962</f>
        <v>33.1727768273562</v>
      </c>
      <c r="P9963" s="49" t="n">
        <f aca="false">SUM(C9963:F9963)</f>
        <v>41.0943243031066</v>
      </c>
      <c r="Q9963" s="49" t="n">
        <f aca="false">SUM(G9963:J9963)</f>
        <v>108.905926944786</v>
      </c>
      <c r="R9963" s="49" t="n">
        <f aca="false">SUM(K9963:N9963)</f>
        <v>148.284865030472</v>
      </c>
      <c r="S9963" s="50" t="n">
        <f aca="false">SUM(P9963:R9963)</f>
        <v>298.285116278364</v>
      </c>
    </row>
    <row r="9964" customFormat="false" ht="15" hidden="false" customHeight="false" outlineLevel="0" collapsed="false">
      <c r="A9964" s="4" t="s">
        <v>492</v>
      </c>
      <c r="B9964" s="36" t="s">
        <v>321</v>
      </c>
      <c r="C9964" s="48" t="n">
        <f aca="false">Assumptions!$D$111</f>
        <v>0</v>
      </c>
      <c r="D9964" s="48" t="n">
        <f aca="false">Assumptions!$E$111</f>
        <v>0</v>
      </c>
      <c r="E9964" s="48" t="n">
        <f aca="false">Assumptions!$F$111</f>
        <v>0</v>
      </c>
      <c r="F9964" s="48" t="n">
        <f aca="false">Assumptions!$G$111</f>
        <v>0</v>
      </c>
      <c r="G9964" s="48" t="n">
        <f aca="false">Assumptions!$H$111</f>
        <v>0</v>
      </c>
      <c r="H9964" s="48" t="n">
        <f aca="false">Assumptions!$I$111</f>
        <v>0</v>
      </c>
      <c r="I9964" s="48" t="n">
        <f aca="false">Assumptions!$J$111</f>
        <v>0</v>
      </c>
      <c r="J9964" s="48" t="n">
        <f aca="false">Assumptions!$K$111</f>
        <v>0</v>
      </c>
      <c r="K9964" s="48" t="n">
        <f aca="false">Assumptions!$L$111</f>
        <v>0</v>
      </c>
      <c r="L9964" s="48" t="n">
        <f aca="false">Assumptions!$M$111</f>
        <v>0</v>
      </c>
      <c r="M9964" s="48" t="n">
        <f aca="false">Assumptions!$N$111</f>
        <v>0</v>
      </c>
      <c r="N9964" s="48" t="n">
        <f aca="false">Assumptions!$O$111</f>
        <v>0</v>
      </c>
      <c r="P9964" s="49" t="n">
        <f aca="false">F9964</f>
        <v>0</v>
      </c>
      <c r="Q9964" s="49" t="n">
        <f aca="false">J9964</f>
        <v>0</v>
      </c>
      <c r="R9964" s="49" t="n">
        <f aca="false">N9964</f>
        <v>0</v>
      </c>
      <c r="S9964" s="50" t="n">
        <f aca="false">R9964</f>
        <v>0</v>
      </c>
    </row>
    <row r="9965" customFormat="false" ht="15" hidden="false" customHeight="false" outlineLevel="0" collapsed="false">
      <c r="A9965" s="4" t="s">
        <v>493</v>
      </c>
      <c r="B9965" s="36" t="s">
        <v>321</v>
      </c>
      <c r="C9965" s="48" t="n">
        <f aca="false">0</f>
        <v>0</v>
      </c>
      <c r="D9965" s="48" t="n">
        <f aca="false">0.5*C9964</f>
        <v>0</v>
      </c>
      <c r="E9965" s="48" t="n">
        <f aca="false">C9964+0.5*(D9964-C9964)</f>
        <v>0</v>
      </c>
      <c r="F9965" s="48" t="n">
        <f aca="false">D9964+0.5*(E9964-D9964)</f>
        <v>0</v>
      </c>
      <c r="G9965" s="48" t="n">
        <f aca="false">E9964+0.5*(F9964-E9964)</f>
        <v>0</v>
      </c>
      <c r="H9965" s="48" t="n">
        <f aca="false">F9964+0.5*(G9964-F9964)</f>
        <v>0</v>
      </c>
      <c r="I9965" s="48" t="n">
        <f aca="false">G9964+0.5*(H9964-G9964)</f>
        <v>0</v>
      </c>
      <c r="J9965" s="48" t="n">
        <f aca="false">H9964+0.5*(I9964-H9964)</f>
        <v>0</v>
      </c>
      <c r="K9965" s="48" t="n">
        <f aca="false">I9964+0.5*(J9964-I9964)</f>
        <v>0</v>
      </c>
      <c r="L9965" s="48" t="n">
        <f aca="false">J9964+0.5*(K9964-J9964)</f>
        <v>0</v>
      </c>
      <c r="M9965" s="48" t="n">
        <f aca="false">K9964+0.5*(L9964-K9964)</f>
        <v>0</v>
      </c>
      <c r="N9965" s="48" t="n">
        <f aca="false">L9964+0.5*(M9964-L9964)</f>
        <v>0</v>
      </c>
      <c r="P9965" s="49" t="n">
        <f aca="false">F9965</f>
        <v>0</v>
      </c>
      <c r="Q9965" s="49" t="n">
        <f aca="false">J9965</f>
        <v>0</v>
      </c>
      <c r="R9965" s="49" t="n">
        <f aca="false">N9965</f>
        <v>0</v>
      </c>
      <c r="S9965" s="50" t="n">
        <f aca="false">R9965</f>
        <v>0</v>
      </c>
    </row>
    <row r="9966" customFormat="false" ht="15" hidden="false" customHeight="false" outlineLevel="0" collapsed="false">
      <c r="A9966" s="4" t="s">
        <v>494</v>
      </c>
      <c r="B9966" s="36" t="s">
        <v>485</v>
      </c>
      <c r="C9966" s="39" t="n">
        <f aca="false">MIN(C9965*Assumptions!$E$38,C9961*(1-$C$9944))</f>
        <v>0</v>
      </c>
      <c r="D9966" s="39" t="n">
        <f aca="false">MIN(D9965*Assumptions!$E$38,D9961*(1-$C$9944))</f>
        <v>0</v>
      </c>
      <c r="E9966" s="39" t="n">
        <f aca="false">MIN(E9965*Assumptions!$E$38,E9961*(1-$C$9944))</f>
        <v>0</v>
      </c>
      <c r="F9966" s="39" t="n">
        <f aca="false">MIN(F9965*Assumptions!$E$38,F9961*(1-$C$9944))</f>
        <v>0</v>
      </c>
      <c r="G9966" s="39" t="n">
        <f aca="false">MIN(G9965*Assumptions!$E$38,G9961*(1-$C$9944))</f>
        <v>0</v>
      </c>
      <c r="H9966" s="39" t="n">
        <f aca="false">MIN(H9965*Assumptions!$E$38,H9961*(1-$C$9944))</f>
        <v>0</v>
      </c>
      <c r="I9966" s="39" t="n">
        <f aca="false">MIN(I9965*Assumptions!$E$38,I9961*(1-$C$9944))</f>
        <v>0</v>
      </c>
      <c r="J9966" s="39" t="n">
        <f aca="false">MIN(J9965*Assumptions!$E$38,J9961*(1-$C$9944))</f>
        <v>0</v>
      </c>
      <c r="K9966" s="39" t="n">
        <f aca="false">MIN(K9965*Assumptions!$E$38,K9961*(1-$C$9944))</f>
        <v>0</v>
      </c>
      <c r="L9966" s="39" t="n">
        <f aca="false">MIN(L9965*Assumptions!$E$38,L9961*(1-$C$9944))</f>
        <v>0</v>
      </c>
      <c r="M9966" s="39" t="n">
        <f aca="false">MIN(M9965*Assumptions!$E$38,M9961*(1-$C$9944))</f>
        <v>0</v>
      </c>
      <c r="N9966" s="39" t="n">
        <f aca="false">MIN(N9965*Assumptions!$E$38,N9961*(1-$C$9944))</f>
        <v>0</v>
      </c>
      <c r="P9966" s="40" t="n">
        <f aca="false">SUM(C9966:F9966)</f>
        <v>0</v>
      </c>
      <c r="Q9966" s="40" t="n">
        <f aca="false">SUM(G9966:J9966)</f>
        <v>0</v>
      </c>
      <c r="R9966" s="40" t="n">
        <f aca="false">SUM(K9966:N9966)</f>
        <v>0</v>
      </c>
      <c r="S9966" s="41" t="n">
        <f aca="false">SUM(P9966:R9966)</f>
        <v>0</v>
      </c>
    </row>
    <row r="9967" customFormat="false" ht="15" hidden="false" customHeight="false" outlineLevel="0" collapsed="false">
      <c r="A9967" s="4" t="s">
        <v>495</v>
      </c>
      <c r="B9967" s="36" t="s">
        <v>491</v>
      </c>
      <c r="C9967" s="48" t="n">
        <f aca="false">C9966*Assumptions!$E$20*Assumptions!$E$39*IF(C9961&gt;0,C9962/C9961,0)*C9951</f>
        <v>0</v>
      </c>
      <c r="D9967" s="48" t="n">
        <f aca="false">D9966*Assumptions!$E$20*Assumptions!$E$39*IF(D9961&gt;0,D9962/D9961,0)*D9951</f>
        <v>0</v>
      </c>
      <c r="E9967" s="48" t="n">
        <f aca="false">E9966*Assumptions!$E$20*Assumptions!$E$39*IF(E9961&gt;0,E9962/E9961,0)*E9951</f>
        <v>0</v>
      </c>
      <c r="F9967" s="48" t="n">
        <f aca="false">F9966*Assumptions!$E$20*Assumptions!$E$39*IF(F9961&gt;0,F9962/F9961,0)*F9951</f>
        <v>0</v>
      </c>
      <c r="G9967" s="48" t="n">
        <f aca="false">G9966*Assumptions!$E$20*Assumptions!$E$39*IF(G9961&gt;0,G9962/G9961,0)*G9951</f>
        <v>0</v>
      </c>
      <c r="H9967" s="48" t="n">
        <f aca="false">H9966*Assumptions!$E$20*Assumptions!$E$39*IF(H9961&gt;0,H9962/H9961,0)*H9951</f>
        <v>0</v>
      </c>
      <c r="I9967" s="48" t="n">
        <f aca="false">I9966*Assumptions!$E$20*Assumptions!$E$39*IF(I9961&gt;0,I9962/I9961,0)*I9951</f>
        <v>0</v>
      </c>
      <c r="J9967" s="48" t="n">
        <f aca="false">J9966*Assumptions!$E$20*Assumptions!$E$39*IF(J9961&gt;0,J9962/J9961,0)*J9951</f>
        <v>0</v>
      </c>
      <c r="K9967" s="48" t="n">
        <f aca="false">K9966*Assumptions!$E$20*Assumptions!$E$39*IF(K9961&gt;0,K9962/K9961,0)*K9951</f>
        <v>0</v>
      </c>
      <c r="L9967" s="48" t="n">
        <f aca="false">L9966*Assumptions!$E$20*Assumptions!$E$39*IF(L9961&gt;0,L9962/L9961,0)*L9951</f>
        <v>0</v>
      </c>
      <c r="M9967" s="48" t="n">
        <f aca="false">M9966*Assumptions!$E$20*Assumptions!$E$39*IF(M9961&gt;0,M9962/M9961,0)*M9951</f>
        <v>0</v>
      </c>
      <c r="N9967" s="48" t="n">
        <f aca="false">N9966*Assumptions!$E$20*Assumptions!$E$39*IF(N9961&gt;0,N9962/N9961,0)*N9951</f>
        <v>0</v>
      </c>
      <c r="P9967" s="49" t="n">
        <f aca="false">SUM(C9967:F9967)</f>
        <v>0</v>
      </c>
      <c r="Q9967" s="49" t="n">
        <f aca="false">SUM(G9967:J9967)</f>
        <v>0</v>
      </c>
      <c r="R9967" s="49" t="n">
        <f aca="false">SUM(K9967:N9967)</f>
        <v>0</v>
      </c>
      <c r="S9967" s="50" t="n">
        <f aca="false">SUM(P9967:R9967)</f>
        <v>0</v>
      </c>
    </row>
    <row r="9968" customFormat="false" ht="15" hidden="false" customHeight="false" outlineLevel="0" collapsed="false">
      <c r="A9968" s="4" t="s">
        <v>496</v>
      </c>
      <c r="B9968" s="36" t="s">
        <v>497</v>
      </c>
      <c r="C9968" s="48" t="n">
        <f aca="false">IF(AND(C9961&gt;0,$C$9948&gt;0),C9961*Assumptions!$E$24*(1-EXP(-$C$9948/(Assumptions!$E$23*C9961*Assumptions!$E$24))),0)</f>
        <v>0</v>
      </c>
      <c r="D9968" s="48" t="n">
        <f aca="false">IF(AND(D9961&gt;0,$C$9948&gt;0),D9961*Assumptions!$E$24*(1-EXP(-$C$9948/(Assumptions!$E$23*D9961*Assumptions!$E$24))),0)</f>
        <v>0</v>
      </c>
      <c r="E9968" s="48" t="n">
        <f aca="false">IF(AND(E9961&gt;0,$C$9948&gt;0),E9961*Assumptions!$E$24*(1-EXP(-$C$9948/(Assumptions!$E$23*E9961*Assumptions!$E$24))),0)</f>
        <v>0</v>
      </c>
      <c r="F9968" s="48" t="n">
        <f aca="false">IF(AND(F9961&gt;0,$C$9948&gt;0),F9961*Assumptions!$E$24*(1-EXP(-$C$9948/(Assumptions!$E$23*F9961*Assumptions!$E$24))),0)</f>
        <v>0</v>
      </c>
      <c r="G9968" s="48" t="n">
        <f aca="false">IF(AND(G9961&gt;0,$C$9948&gt;0),G9961*Assumptions!$E$24*(1-EXP(-$C$9948/(Assumptions!$E$23*G9961*Assumptions!$E$24))),0)</f>
        <v>0</v>
      </c>
      <c r="H9968" s="48" t="n">
        <f aca="false">IF(AND(H9961&gt;0,$C$9948&gt;0),H9961*Assumptions!$E$24*(1-EXP(-$C$9948/(Assumptions!$E$23*H9961*Assumptions!$E$24))),0)</f>
        <v>0</v>
      </c>
      <c r="I9968" s="48" t="n">
        <f aca="false">IF(AND(I9961&gt;0,$C$9948&gt;0),I9961*Assumptions!$E$24*(1-EXP(-$C$9948/(Assumptions!$E$23*I9961*Assumptions!$E$24))),0)</f>
        <v>0</v>
      </c>
      <c r="J9968" s="48" t="n">
        <f aca="false">IF(AND(J9961&gt;0,$C$9948&gt;0),J9961*Assumptions!$E$24*(1-EXP(-$C$9948/(Assumptions!$E$23*J9961*Assumptions!$E$24))),0)</f>
        <v>0</v>
      </c>
      <c r="K9968" s="48" t="n">
        <f aca="false">IF(AND(K9961&gt;0,$C$9948&gt;0),K9961*Assumptions!$E$24*(1-EXP(-$C$9948/(Assumptions!$E$23*K9961*Assumptions!$E$24))),0)</f>
        <v>0</v>
      </c>
      <c r="L9968" s="48" t="n">
        <f aca="false">IF(AND(L9961&gt;0,$C$9948&gt;0),L9961*Assumptions!$E$24*(1-EXP(-$C$9948/(Assumptions!$E$23*L9961*Assumptions!$E$24))),0)</f>
        <v>0</v>
      </c>
      <c r="M9968" s="48" t="n">
        <f aca="false">IF(AND(M9961&gt;0,$C$9948&gt;0),M9961*Assumptions!$E$24*(1-EXP(-$C$9948/(Assumptions!$E$23*M9961*Assumptions!$E$24))),0)</f>
        <v>0</v>
      </c>
      <c r="N9968" s="48" t="n">
        <f aca="false">IF(AND(N9961&gt;0,$C$9948&gt;0),N9961*Assumptions!$E$24*(1-EXP(-$C$9948/(Assumptions!$E$23*N9961*Assumptions!$E$24))),0)</f>
        <v>0</v>
      </c>
      <c r="P9968" s="49" t="n">
        <f aca="false">SUM(C9968:F9968)</f>
        <v>0</v>
      </c>
      <c r="Q9968" s="49" t="n">
        <f aca="false">SUM(G9968:J9968)</f>
        <v>0</v>
      </c>
      <c r="R9968" s="49" t="n">
        <f aca="false">SUM(K9968:N9968)</f>
        <v>0</v>
      </c>
      <c r="S9968" s="50" t="n">
        <f aca="false">SUM(P9968:R9968)</f>
        <v>0</v>
      </c>
    </row>
    <row r="9969" customFormat="false" ht="15" hidden="false" customHeight="false" outlineLevel="0" collapsed="false">
      <c r="A9969" s="4" t="s">
        <v>498</v>
      </c>
      <c r="B9969" s="36" t="s">
        <v>497</v>
      </c>
      <c r="C9969" s="48" t="n">
        <f aca="false">(C9961*Assumptions!$E$22*MIN(1,Assumptions!$D$103/Assumptions!$E$78)+C9968)*C9951</f>
        <v>5.5188772352</v>
      </c>
      <c r="D9969" s="48" t="n">
        <f aca="false">(D9961*Assumptions!$E$22*MIN(1,Assumptions!$D$103/Assumptions!$E$78)+D9968)*D9951</f>
        <v>11.0377544704</v>
      </c>
      <c r="E9969" s="48" t="n">
        <f aca="false">(E9961*Assumptions!$E$22*MIN(1,Assumptions!$D$103/Assumptions!$E$78)+E9968)*E9951</f>
        <v>11.0377544704</v>
      </c>
      <c r="F9969" s="48" t="n">
        <f aca="false">(F9961*Assumptions!$E$22*MIN(1,Assumptions!$D$103/Assumptions!$E$78)+F9968)*F9951</f>
        <v>11.0377544704</v>
      </c>
      <c r="G9969" s="48" t="n">
        <f aca="false">(G9961*Assumptions!$E$22*MIN(1,Assumptions!$D$103/Assumptions!$E$78)+G9968)*G9951</f>
        <v>14.9349950176</v>
      </c>
      <c r="H9969" s="48" t="n">
        <f aca="false">(H9961*Assumptions!$E$22*MIN(1,Assumptions!$D$103/Assumptions!$E$78)+H9968)*H9951</f>
        <v>18.8322355648</v>
      </c>
      <c r="I9969" s="48" t="n">
        <f aca="false">(I9961*Assumptions!$E$22*MIN(1,Assumptions!$D$103/Assumptions!$E$78)+I9968)*I9951</f>
        <v>31.6761039616</v>
      </c>
      <c r="J9969" s="48" t="n">
        <f aca="false">(J9961*Assumptions!$E$22*MIN(1,Assumptions!$D$103/Assumptions!$E$78)+J9968)*J9951</f>
        <v>44.5199723584</v>
      </c>
      <c r="K9969" s="48" t="n">
        <f aca="false">(K9961*Assumptions!$E$22*MIN(1,Assumptions!$D$103/Assumptions!$E$78)+K9968)*K9951</f>
        <v>44.5199723584</v>
      </c>
      <c r="L9969" s="48" t="n">
        <f aca="false">(L9961*Assumptions!$E$22*MIN(1,Assumptions!$D$103/Assumptions!$E$78)+L9968)*L9951</f>
        <v>44.5199723584</v>
      </c>
      <c r="M9969" s="48" t="n">
        <f aca="false">(M9961*Assumptions!$E$22*MIN(1,Assumptions!$D$103/Assumptions!$E$78)+M9968)*M9951</f>
        <v>44.5199723584</v>
      </c>
      <c r="N9969" s="48" t="n">
        <f aca="false">(N9961*Assumptions!$E$22*MIN(1,Assumptions!$D$103/Assumptions!$E$78)+N9968)*N9951</f>
        <v>44.5199723584</v>
      </c>
      <c r="P9969" s="49" t="n">
        <f aca="false">SUM(C9969:F9969)</f>
        <v>38.6321406464</v>
      </c>
      <c r="Q9969" s="49" t="n">
        <f aca="false">SUM(G9969:J9969)</f>
        <v>109.9633069024</v>
      </c>
      <c r="R9969" s="49" t="n">
        <f aca="false">SUM(K9969:N9969)</f>
        <v>178.0798894336</v>
      </c>
      <c r="S9969" s="50" t="n">
        <f aca="false">SUM(P9969:R9969)</f>
        <v>326.6753369824</v>
      </c>
    </row>
    <row r="9970" customFormat="false" ht="15" hidden="false" customHeight="false" outlineLevel="0" collapsed="false">
      <c r="A9970" s="4" t="s">
        <v>499</v>
      </c>
      <c r="B9970" s="36" t="s">
        <v>500</v>
      </c>
      <c r="C9970" s="48" t="n">
        <f aca="false">C9951*MIN(Assumptions!$E$27,Assumptions!$E$25+Assumptions!$E$26*(C9950-1))*Assumptions!$D$107</f>
        <v>2</v>
      </c>
      <c r="D9970" s="48" t="n">
        <f aca="false">D9951*MIN(Assumptions!$E$27,Assumptions!$E$25+Assumptions!$E$26*(D9950-1))*Assumptions!$D$107</f>
        <v>3</v>
      </c>
      <c r="E9970" s="48" t="n">
        <f aca="false">E9951*MIN(Assumptions!$E$27,Assumptions!$E$25+Assumptions!$E$26*(E9950-1))*Assumptions!$D$107</f>
        <v>4</v>
      </c>
      <c r="F9970" s="48" t="n">
        <f aca="false">F9951*MIN(Assumptions!$E$27,Assumptions!$E$25+Assumptions!$E$26*(F9950-1))*Assumptions!$D$107</f>
        <v>5</v>
      </c>
      <c r="G9970" s="48" t="n">
        <f aca="false">G9951*MIN(Assumptions!$E$27,Assumptions!$E$25+Assumptions!$E$26*(G9950-1))*Assumptions!$D$107</f>
        <v>6</v>
      </c>
      <c r="H9970" s="48" t="n">
        <f aca="false">H9951*MIN(Assumptions!$E$27,Assumptions!$E$25+Assumptions!$E$26*(H9950-1))*Assumptions!$D$107</f>
        <v>7</v>
      </c>
      <c r="I9970" s="48" t="n">
        <f aca="false">I9951*MIN(Assumptions!$E$27,Assumptions!$E$25+Assumptions!$E$26*(I9950-1))*Assumptions!$D$107</f>
        <v>8</v>
      </c>
      <c r="J9970" s="48" t="n">
        <f aca="false">J9951*MIN(Assumptions!$E$27,Assumptions!$E$25+Assumptions!$E$26*(J9950-1))*Assumptions!$D$107</f>
        <v>9</v>
      </c>
      <c r="K9970" s="48" t="n">
        <f aca="false">K9951*MIN(Assumptions!$E$27,Assumptions!$E$25+Assumptions!$E$26*(K9950-1))*Assumptions!$D$107</f>
        <v>10</v>
      </c>
      <c r="L9970" s="48" t="n">
        <f aca="false">L9951*MIN(Assumptions!$E$27,Assumptions!$E$25+Assumptions!$E$26*(L9950-1))*Assumptions!$D$107</f>
        <v>10</v>
      </c>
      <c r="M9970" s="48" t="n">
        <f aca="false">M9951*MIN(Assumptions!$E$27,Assumptions!$E$25+Assumptions!$E$26*(M9950-1))*Assumptions!$D$107</f>
        <v>10</v>
      </c>
      <c r="N9970" s="48" t="n">
        <f aca="false">N9951*MIN(Assumptions!$E$27,Assumptions!$E$25+Assumptions!$E$26*(N9950-1))*Assumptions!$D$107</f>
        <v>10</v>
      </c>
      <c r="P9970" s="49" t="n">
        <f aca="false">F9970</f>
        <v>5</v>
      </c>
      <c r="Q9970" s="49" t="n">
        <f aca="false">J9970</f>
        <v>9</v>
      </c>
      <c r="R9970" s="49" t="n">
        <f aca="false">N9970</f>
        <v>10</v>
      </c>
      <c r="S9970" s="50" t="n">
        <f aca="false">R9970</f>
        <v>10</v>
      </c>
    </row>
    <row r="9971" customFormat="false" ht="15" hidden="false" customHeight="false" outlineLevel="0" collapsed="false">
      <c r="A9971" s="4" t="s">
        <v>501</v>
      </c>
      <c r="B9971" s="36" t="s">
        <v>502</v>
      </c>
      <c r="C9971" s="48" t="n">
        <f aca="false">C9970*Assumptions!$E$28</f>
        <v>6</v>
      </c>
      <c r="D9971" s="48" t="n">
        <f aca="false">D9970*Assumptions!$E$28</f>
        <v>9</v>
      </c>
      <c r="E9971" s="48" t="n">
        <f aca="false">E9970*Assumptions!$E$28</f>
        <v>12</v>
      </c>
      <c r="F9971" s="48" t="n">
        <f aca="false">F9970*Assumptions!$E$28</f>
        <v>15</v>
      </c>
      <c r="G9971" s="48" t="n">
        <f aca="false">G9970*Assumptions!$E$28</f>
        <v>18</v>
      </c>
      <c r="H9971" s="48" t="n">
        <f aca="false">H9970*Assumptions!$E$28</f>
        <v>21</v>
      </c>
      <c r="I9971" s="48" t="n">
        <f aca="false">I9970*Assumptions!$E$28</f>
        <v>24</v>
      </c>
      <c r="J9971" s="48" t="n">
        <f aca="false">J9970*Assumptions!$E$28</f>
        <v>27</v>
      </c>
      <c r="K9971" s="48" t="n">
        <f aca="false">K9970*Assumptions!$E$28</f>
        <v>30</v>
      </c>
      <c r="L9971" s="48" t="n">
        <f aca="false">L9970*Assumptions!$E$28</f>
        <v>30</v>
      </c>
      <c r="M9971" s="48" t="n">
        <f aca="false">M9970*Assumptions!$E$28</f>
        <v>30</v>
      </c>
      <c r="N9971" s="48" t="n">
        <f aca="false">N9970*Assumptions!$E$28</f>
        <v>30</v>
      </c>
      <c r="P9971" s="49" t="n">
        <f aca="false">SUM(C9971:F9971)</f>
        <v>42</v>
      </c>
      <c r="Q9971" s="49" t="n">
        <f aca="false">SUM(G9971:J9971)</f>
        <v>90</v>
      </c>
      <c r="R9971" s="49" t="n">
        <f aca="false">SUM(K9971:N9971)</f>
        <v>120</v>
      </c>
      <c r="S9971" s="50" t="n">
        <f aca="false">SUM(P9971:R9971)</f>
        <v>252</v>
      </c>
    </row>
    <row r="9972" customFormat="false" ht="15" hidden="false" customHeight="false" outlineLevel="0" collapsed="false">
      <c r="A9972" s="4" t="s">
        <v>503</v>
      </c>
      <c r="B9972" s="36" t="s">
        <v>504</v>
      </c>
      <c r="C9972" s="48" t="n">
        <f aca="false">(C9963+C9967)*Assumptions!$E$29</f>
        <v>2.649061072896</v>
      </c>
      <c r="D9972" s="48" t="n">
        <f aca="false">(D9963+D9967)*Assumptions!$E$29</f>
        <v>4.93045821299048</v>
      </c>
      <c r="E9972" s="48" t="n">
        <f aca="false">(E9963+E9967)*Assumptions!$E$29</f>
        <v>4.58830837060879</v>
      </c>
      <c r="F9972" s="48" t="n">
        <f aca="false">(F9963+F9967)*Assumptions!$E$29</f>
        <v>4.26990206474738</v>
      </c>
      <c r="G9972" s="48" t="n">
        <f aca="false">(G9963+G9967)*Assumptions!$E$29</f>
        <v>5.844267072</v>
      </c>
      <c r="H9972" s="48" t="n">
        <f aca="false">(H9963+H9967)*Assumptions!$E$29</f>
        <v>7.17956301044434</v>
      </c>
      <c r="I9972" s="48" t="n">
        <f aca="false">(I9963+I9967)*Assumptions!$E$29</f>
        <v>12.8463930542132</v>
      </c>
      <c r="J9972" s="48" t="n">
        <f aca="false">(J9963+J9967)*Assumptions!$E$29</f>
        <v>17.6921476412567</v>
      </c>
      <c r="K9972" s="48" t="n">
        <f aca="false">(K9963+K9967)*Assumptions!$E$29</f>
        <v>16.4643985629052</v>
      </c>
      <c r="L9972" s="48" t="n">
        <f aca="false">(L9963+L9967)*Assumptions!$E$29</f>
        <v>15.3218493048332</v>
      </c>
      <c r="M9972" s="48" t="n">
        <f aca="false">(M9963+M9967)*Assumptions!$E$29</f>
        <v>14.2585874135079</v>
      </c>
      <c r="N9972" s="48" t="n">
        <f aca="false">(N9963+N9967)*Assumptions!$E$29</f>
        <v>13.2691107309425</v>
      </c>
      <c r="P9972" s="49" t="n">
        <f aca="false">SUM(C9972:F9972)</f>
        <v>16.4377297212427</v>
      </c>
      <c r="Q9972" s="49" t="n">
        <f aca="false">SUM(G9972:J9972)</f>
        <v>43.5623707779142</v>
      </c>
      <c r="R9972" s="49" t="n">
        <f aca="false">SUM(K9972:N9972)</f>
        <v>59.3139460121888</v>
      </c>
      <c r="S9972" s="50" t="n">
        <f aca="false">SUM(P9972:R9972)</f>
        <v>119.314046511346</v>
      </c>
    </row>
    <row r="9973" customFormat="false" ht="15" hidden="false" customHeight="false" outlineLevel="0" collapsed="false">
      <c r="A9973" s="4" t="s">
        <v>505</v>
      </c>
      <c r="B9973" s="36" t="s">
        <v>504</v>
      </c>
      <c r="C9973" s="48" t="n">
        <f aca="false">C9969*Assumptions!$E$31</f>
        <v>0.883020357632</v>
      </c>
      <c r="D9973" s="48" t="n">
        <f aca="false">D9969*Assumptions!$E$31</f>
        <v>1.766040715264</v>
      </c>
      <c r="E9973" s="48" t="n">
        <f aca="false">E9969*Assumptions!$E$31</f>
        <v>1.766040715264</v>
      </c>
      <c r="F9973" s="48" t="n">
        <f aca="false">F9969*Assumptions!$E$31</f>
        <v>1.766040715264</v>
      </c>
      <c r="G9973" s="48" t="n">
        <f aca="false">G9969*Assumptions!$E$31</f>
        <v>2.389599202816</v>
      </c>
      <c r="H9973" s="48" t="n">
        <f aca="false">H9969*Assumptions!$E$31</f>
        <v>3.013157690368</v>
      </c>
      <c r="I9973" s="48" t="n">
        <f aca="false">I9969*Assumptions!$E$31</f>
        <v>5.068176633856</v>
      </c>
      <c r="J9973" s="48" t="n">
        <f aca="false">J9969*Assumptions!$E$31</f>
        <v>7.123195577344</v>
      </c>
      <c r="K9973" s="48" t="n">
        <f aca="false">K9969*Assumptions!$E$31</f>
        <v>7.123195577344</v>
      </c>
      <c r="L9973" s="48" t="n">
        <f aca="false">L9969*Assumptions!$E$31</f>
        <v>7.123195577344</v>
      </c>
      <c r="M9973" s="48" t="n">
        <f aca="false">M9969*Assumptions!$E$31</f>
        <v>7.123195577344</v>
      </c>
      <c r="N9973" s="48" t="n">
        <f aca="false">N9969*Assumptions!$E$31</f>
        <v>7.123195577344</v>
      </c>
      <c r="P9973" s="49" t="n">
        <f aca="false">SUM(C9973:F9973)</f>
        <v>6.181142503424</v>
      </c>
      <c r="Q9973" s="49" t="n">
        <f aca="false">SUM(G9973:J9973)</f>
        <v>17.594129104384</v>
      </c>
      <c r="R9973" s="49" t="n">
        <f aca="false">SUM(K9973:N9973)</f>
        <v>28.492782309376</v>
      </c>
      <c r="S9973" s="50" t="n">
        <f aca="false">SUM(P9973:R9973)</f>
        <v>52.268053917184</v>
      </c>
    </row>
    <row r="9974" customFormat="false" ht="15" hidden="false" customHeight="false" outlineLevel="0" collapsed="false">
      <c r="A9974" s="4" t="s">
        <v>506</v>
      </c>
      <c r="B9974" s="36" t="s">
        <v>504</v>
      </c>
      <c r="C9974" s="48" t="n">
        <f aca="false">C9971*Assumptions!$E$30</f>
        <v>3</v>
      </c>
      <c r="D9974" s="48" t="n">
        <f aca="false">D9971*Assumptions!$E$30</f>
        <v>4.5</v>
      </c>
      <c r="E9974" s="48" t="n">
        <f aca="false">E9971*Assumptions!$E$30</f>
        <v>6</v>
      </c>
      <c r="F9974" s="48" t="n">
        <f aca="false">F9971*Assumptions!$E$30</f>
        <v>7.5</v>
      </c>
      <c r="G9974" s="48" t="n">
        <f aca="false">G9971*Assumptions!$E$30</f>
        <v>9</v>
      </c>
      <c r="H9974" s="48" t="n">
        <f aca="false">H9971*Assumptions!$E$30</f>
        <v>10.5</v>
      </c>
      <c r="I9974" s="48" t="n">
        <f aca="false">I9971*Assumptions!$E$30</f>
        <v>12</v>
      </c>
      <c r="J9974" s="48" t="n">
        <f aca="false">J9971*Assumptions!$E$30</f>
        <v>13.5</v>
      </c>
      <c r="K9974" s="48" t="n">
        <f aca="false">K9971*Assumptions!$E$30</f>
        <v>15</v>
      </c>
      <c r="L9974" s="48" t="n">
        <f aca="false">L9971*Assumptions!$E$30</f>
        <v>15</v>
      </c>
      <c r="M9974" s="48" t="n">
        <f aca="false">M9971*Assumptions!$E$30</f>
        <v>15</v>
      </c>
      <c r="N9974" s="48" t="n">
        <f aca="false">N9971*Assumptions!$E$30</f>
        <v>15</v>
      </c>
      <c r="P9974" s="49" t="n">
        <f aca="false">SUM(C9974:F9974)</f>
        <v>21</v>
      </c>
      <c r="Q9974" s="49" t="n">
        <f aca="false">SUM(G9974:J9974)</f>
        <v>45</v>
      </c>
      <c r="R9974" s="49" t="n">
        <f aca="false">SUM(K9974:N9974)</f>
        <v>60</v>
      </c>
      <c r="S9974" s="50" t="n">
        <f aca="false">SUM(P9974:R9974)</f>
        <v>126</v>
      </c>
    </row>
    <row r="9975" customFormat="false" ht="15" hidden="false" customHeight="false" outlineLevel="0" collapsed="false">
      <c r="A9975" s="9" t="s">
        <v>507</v>
      </c>
      <c r="B9975" s="36" t="s">
        <v>504</v>
      </c>
      <c r="C9975" s="49" t="n">
        <f aca="false">C9972+C9973+C9974</f>
        <v>6.532081430528</v>
      </c>
      <c r="D9975" s="49" t="n">
        <f aca="false">D9972+D9973+D9974</f>
        <v>11.1964989282545</v>
      </c>
      <c r="E9975" s="49" t="n">
        <f aca="false">E9972+E9973+E9974</f>
        <v>12.3543490858728</v>
      </c>
      <c r="F9975" s="49" t="n">
        <f aca="false">F9972+F9973+F9974</f>
        <v>13.5359427800114</v>
      </c>
      <c r="G9975" s="49" t="n">
        <f aca="false">G9972+G9973+G9974</f>
        <v>17.233866274816</v>
      </c>
      <c r="H9975" s="49" t="n">
        <f aca="false">H9972+H9973+H9974</f>
        <v>20.6927207008123</v>
      </c>
      <c r="I9975" s="49" t="n">
        <f aca="false">I9972+I9973+I9974</f>
        <v>29.9145696880692</v>
      </c>
      <c r="J9975" s="49" t="n">
        <f aca="false">J9972+J9973+J9974</f>
        <v>38.3153432186007</v>
      </c>
      <c r="K9975" s="49" t="n">
        <f aca="false">K9972+K9973+K9974</f>
        <v>38.5875941402492</v>
      </c>
      <c r="L9975" s="49" t="n">
        <f aca="false">L9972+L9973+L9974</f>
        <v>37.4450448821772</v>
      </c>
      <c r="M9975" s="49" t="n">
        <f aca="false">M9972+M9973+M9974</f>
        <v>36.3817829908519</v>
      </c>
      <c r="N9975" s="49" t="n">
        <f aca="false">N9972+N9973+N9974</f>
        <v>35.3923063082865</v>
      </c>
      <c r="P9975" s="49" t="n">
        <f aca="false">SUM(C9975:F9975)</f>
        <v>43.6188722246667</v>
      </c>
      <c r="Q9975" s="49" t="n">
        <f aca="false">SUM(G9975:J9975)</f>
        <v>106.156499882298</v>
      </c>
      <c r="R9975" s="49" t="n">
        <f aca="false">SUM(K9975:N9975)</f>
        <v>147.806728321565</v>
      </c>
      <c r="S9975" s="50" t="n">
        <f aca="false">SUM(P9975:R9975)</f>
        <v>297.58210042853</v>
      </c>
    </row>
    <row r="9976" customFormat="false" ht="15" hidden="false" customHeight="false" outlineLevel="0" collapsed="false">
      <c r="A9976" s="4" t="s">
        <v>508</v>
      </c>
      <c r="B9976" s="36" t="s">
        <v>509</v>
      </c>
      <c r="C9976" s="48" t="n">
        <f aca="false">C9958</f>
        <v>421.51972352</v>
      </c>
      <c r="D9976" s="48" t="n">
        <f aca="false">D9958</f>
        <v>843.03944704</v>
      </c>
      <c r="E9976" s="48" t="n">
        <f aca="false">E9958</f>
        <v>843.03944704</v>
      </c>
      <c r="F9976" s="48" t="n">
        <f aca="false">F9958</f>
        <v>843.03944704</v>
      </c>
      <c r="G9976" s="48" t="n">
        <f aca="false">G9958</f>
        <v>1149.32798176</v>
      </c>
      <c r="H9976" s="48" t="n">
        <f aca="false">H9958</f>
        <v>1455.61651648</v>
      </c>
      <c r="I9976" s="48" t="n">
        <f aca="false">I9958</f>
        <v>2486.00303616</v>
      </c>
      <c r="J9976" s="48" t="n">
        <f aca="false">J9958</f>
        <v>3516.38955584</v>
      </c>
      <c r="K9976" s="48" t="n">
        <f aca="false">K9958</f>
        <v>3516.38955584</v>
      </c>
      <c r="L9976" s="48" t="n">
        <f aca="false">L9958</f>
        <v>3516.38955584</v>
      </c>
      <c r="M9976" s="48" t="n">
        <f aca="false">M9958</f>
        <v>3516.38955584</v>
      </c>
      <c r="N9976" s="48" t="n">
        <f aca="false">N9958</f>
        <v>3516.38955584</v>
      </c>
      <c r="P9976" s="49"/>
      <c r="Q9976" s="49"/>
      <c r="R9976" s="49"/>
      <c r="S9976" s="50"/>
    </row>
    <row r="9977" customFormat="false" ht="15" hidden="false" customHeight="false" outlineLevel="0" collapsed="false">
      <c r="A9977" s="4" t="s">
        <v>510</v>
      </c>
      <c r="B9977" s="36" t="s">
        <v>509</v>
      </c>
      <c r="C9977" s="48" t="n">
        <f aca="false">C9959*Assumptions!$E$18*Assumptions!$E$33</f>
        <v>211.19616</v>
      </c>
      <c r="D9977" s="48" t="n">
        <f aca="false">D9959*Assumptions!$E$18*Assumptions!$E$33</f>
        <v>422.39232</v>
      </c>
      <c r="E9977" s="48" t="n">
        <f aca="false">E9959*Assumptions!$E$18*Assumptions!$E$33</f>
        <v>422.39232</v>
      </c>
      <c r="F9977" s="48" t="n">
        <f aca="false">F9959*Assumptions!$E$18*Assumptions!$E$33</f>
        <v>422.39232</v>
      </c>
      <c r="G9977" s="48" t="n">
        <f aca="false">G9959*Assumptions!$E$18*Assumptions!$E$33</f>
        <v>564.49344</v>
      </c>
      <c r="H9977" s="48" t="n">
        <f aca="false">H9959*Assumptions!$E$18*Assumptions!$E$33</f>
        <v>706.59456</v>
      </c>
      <c r="I9977" s="48" t="n">
        <f aca="false">I9959*Assumptions!$E$18*Assumptions!$E$33</f>
        <v>1135.07072</v>
      </c>
      <c r="J9977" s="48" t="n">
        <f aca="false">J9959*Assumptions!$E$18*Assumptions!$E$33</f>
        <v>1563.54688</v>
      </c>
      <c r="K9977" s="48" t="n">
        <f aca="false">K9959*Assumptions!$E$18*Assumptions!$E$33</f>
        <v>1563.54688</v>
      </c>
      <c r="L9977" s="48" t="n">
        <f aca="false">L9959*Assumptions!$E$18*Assumptions!$E$33</f>
        <v>1563.54688</v>
      </c>
      <c r="M9977" s="48" t="n">
        <f aca="false">M9959*Assumptions!$E$18*Assumptions!$E$33</f>
        <v>1563.54688</v>
      </c>
      <c r="N9977" s="48" t="n">
        <f aca="false">N9959*Assumptions!$E$18*Assumptions!$E$33</f>
        <v>1563.54688</v>
      </c>
      <c r="P9977" s="49"/>
      <c r="Q9977" s="49"/>
      <c r="R9977" s="49"/>
      <c r="S9977" s="50"/>
    </row>
    <row r="9978" customFormat="false" ht="15" hidden="false" customHeight="false" outlineLevel="0" collapsed="false">
      <c r="A9978" s="4" t="s">
        <v>511</v>
      </c>
      <c r="B9978" s="36" t="s">
        <v>509</v>
      </c>
      <c r="C9978" s="48" t="n">
        <f aca="false">C9960*Assumptions!$E$19*Assumptions!$E$34</f>
        <v>34.677888</v>
      </c>
      <c r="D9978" s="48" t="n">
        <f aca="false">D9960*Assumptions!$E$19*Assumptions!$E$34</f>
        <v>69.355776</v>
      </c>
      <c r="E9978" s="48" t="n">
        <f aca="false">E9960*Assumptions!$E$19*Assumptions!$E$34</f>
        <v>69.355776</v>
      </c>
      <c r="F9978" s="48" t="n">
        <f aca="false">F9960*Assumptions!$E$19*Assumptions!$E$34</f>
        <v>69.355776</v>
      </c>
      <c r="G9978" s="48" t="n">
        <f aca="false">G9960*Assumptions!$E$19*Assumptions!$E$34</f>
        <v>86.69472</v>
      </c>
      <c r="H9978" s="48" t="n">
        <f aca="false">H9960*Assumptions!$E$19*Assumptions!$E$34</f>
        <v>104.033664</v>
      </c>
      <c r="I9978" s="48" t="n">
        <f aca="false">I9960*Assumptions!$E$19*Assumptions!$E$34</f>
        <v>159.7008</v>
      </c>
      <c r="J9978" s="48" t="n">
        <f aca="false">J9960*Assumptions!$E$19*Assumptions!$E$34</f>
        <v>215.367936</v>
      </c>
      <c r="K9978" s="48" t="n">
        <f aca="false">K9960*Assumptions!$E$19*Assumptions!$E$34</f>
        <v>215.367936</v>
      </c>
      <c r="L9978" s="48" t="n">
        <f aca="false">L9960*Assumptions!$E$19*Assumptions!$E$34</f>
        <v>215.367936</v>
      </c>
      <c r="M9978" s="48" t="n">
        <f aca="false">M9960*Assumptions!$E$19*Assumptions!$E$34</f>
        <v>215.367936</v>
      </c>
      <c r="N9978" s="48" t="n">
        <f aca="false">N9960*Assumptions!$E$19*Assumptions!$E$34</f>
        <v>215.367936</v>
      </c>
      <c r="P9978" s="49"/>
      <c r="Q9978" s="49"/>
      <c r="R9978" s="49"/>
      <c r="S9978" s="50"/>
    </row>
    <row r="9979" customFormat="false" ht="15" hidden="false" customHeight="false" outlineLevel="0" collapsed="false">
      <c r="A9979" s="4" t="s">
        <v>512</v>
      </c>
      <c r="B9979" s="36" t="s">
        <v>77</v>
      </c>
      <c r="C9979" s="51" t="n">
        <f aca="false">IFERROR(C9976/(C9976+C9977+C9978),0)</f>
        <v>0.631590736245533</v>
      </c>
      <c r="D9979" s="51" t="n">
        <f aca="false">IFERROR(D9976/(D9976+D9977+D9978),0)</f>
        <v>0.631590736245533</v>
      </c>
      <c r="E9979" s="51" t="n">
        <f aca="false">IFERROR(E9976/(E9976+E9977+E9978),0)</f>
        <v>0.631590736245533</v>
      </c>
      <c r="F9979" s="51" t="n">
        <f aca="false">IFERROR(F9976/(F9976+F9977+F9978),0)</f>
        <v>0.631590736245533</v>
      </c>
      <c r="G9979" s="51" t="n">
        <f aca="false">IFERROR(G9976/(G9976+G9977+G9978),0)</f>
        <v>0.638332506498128</v>
      </c>
      <c r="H9979" s="51" t="n">
        <f aca="false">IFERROR(H9976/(H9976+H9977+H9978),0)</f>
        <v>0.642303318118984</v>
      </c>
      <c r="I9979" s="51" t="n">
        <f aca="false">IFERROR(I9976/(I9976+I9977+I9978),0)</f>
        <v>0.657538025405288</v>
      </c>
      <c r="J9979" s="51" t="n">
        <f aca="false">IFERROR(J9976/(J9976+J9977+J9978),0)</f>
        <v>0.664058061428891</v>
      </c>
      <c r="K9979" s="51" t="n">
        <f aca="false">IFERROR(K9976/(K9976+K9977+K9978),0)</f>
        <v>0.664058061428891</v>
      </c>
      <c r="L9979" s="51" t="n">
        <f aca="false">IFERROR(L9976/(L9976+L9977+L9978),0)</f>
        <v>0.664058061428891</v>
      </c>
      <c r="M9979" s="51" t="n">
        <f aca="false">IFERROR(M9976/(M9976+M9977+M9978),0)</f>
        <v>0.664058061428891</v>
      </c>
      <c r="N9979" s="51" t="n">
        <f aca="false">IFERROR(N9976/(N9976+N9977+N9978),0)</f>
        <v>0.664058061428891</v>
      </c>
      <c r="P9979" s="52"/>
      <c r="Q9979" s="52"/>
      <c r="R9979" s="52"/>
      <c r="S9979" s="53"/>
    </row>
    <row r="9980" customFormat="false" ht="15" hidden="false" customHeight="false" outlineLevel="0" collapsed="false">
      <c r="A9980" s="4" t="s">
        <v>513</v>
      </c>
      <c r="B9980" s="36" t="s">
        <v>77</v>
      </c>
      <c r="C9980" s="51" t="n">
        <f aca="false">IFERROR(C9977/(C9976+C9977+C9978),0)</f>
        <v>0.316449102482628</v>
      </c>
      <c r="D9980" s="51" t="n">
        <f aca="false">IFERROR(D9977/(D9976+D9977+D9978),0)</f>
        <v>0.316449102482628</v>
      </c>
      <c r="E9980" s="51" t="n">
        <f aca="false">IFERROR(E9977/(E9976+E9977+E9978),0)</f>
        <v>0.316449102482628</v>
      </c>
      <c r="F9980" s="51" t="n">
        <f aca="false">IFERROR(F9977/(F9976+F9977+F9978),0)</f>
        <v>0.316449102482628</v>
      </c>
      <c r="G9980" s="51" t="n">
        <f aca="false">IFERROR(G9977/(G9976+G9977+G9978),0)</f>
        <v>0.313517566939561</v>
      </c>
      <c r="H9980" s="51" t="n">
        <f aca="false">IFERROR(H9977/(H9976+H9977+H9978),0)</f>
        <v>0.311790932099567</v>
      </c>
      <c r="I9980" s="51" t="n">
        <f aca="false">IFERROR(I9977/(I9976+I9977+I9978),0)</f>
        <v>0.300221741111391</v>
      </c>
      <c r="J9980" s="51" t="n">
        <f aca="false">IFERROR(J9977/(J9976+J9977+J9978),0)</f>
        <v>0.295270445324128</v>
      </c>
      <c r="K9980" s="51" t="n">
        <f aca="false">IFERROR(K9977/(K9976+K9977+K9978),0)</f>
        <v>0.295270445324128</v>
      </c>
      <c r="L9980" s="51" t="n">
        <f aca="false">IFERROR(L9977/(L9976+L9977+L9978),0)</f>
        <v>0.295270445324128</v>
      </c>
      <c r="M9980" s="51" t="n">
        <f aca="false">IFERROR(M9977/(M9976+M9977+M9978),0)</f>
        <v>0.295270445324128</v>
      </c>
      <c r="N9980" s="51" t="n">
        <f aca="false">IFERROR(N9977/(N9976+N9977+N9978),0)</f>
        <v>0.295270445324128</v>
      </c>
      <c r="P9980" s="52"/>
      <c r="Q9980" s="52"/>
      <c r="R9980" s="52"/>
      <c r="S9980" s="53"/>
    </row>
    <row r="9981" customFormat="false" ht="15" hidden="false" customHeight="false" outlineLevel="0" collapsed="false">
      <c r="A9981" s="4" t="s">
        <v>514</v>
      </c>
      <c r="B9981" s="36" t="s">
        <v>77</v>
      </c>
      <c r="C9981" s="51" t="n">
        <f aca="false">IFERROR(C9978/(C9976+C9977+C9978),0)</f>
        <v>0.0519601612718389</v>
      </c>
      <c r="D9981" s="51" t="n">
        <f aca="false">IFERROR(D9978/(D9976+D9977+D9978),0)</f>
        <v>0.0519601612718389</v>
      </c>
      <c r="E9981" s="51" t="n">
        <f aca="false">IFERROR(E9978/(E9976+E9977+E9978),0)</f>
        <v>0.0519601612718389</v>
      </c>
      <c r="F9981" s="51" t="n">
        <f aca="false">IFERROR(F9978/(F9976+F9977+F9978),0)</f>
        <v>0.0519601612718389</v>
      </c>
      <c r="G9981" s="51" t="n">
        <f aca="false">IFERROR(G9978/(G9976+G9977+G9978),0)</f>
        <v>0.0481499265623113</v>
      </c>
      <c r="H9981" s="51" t="n">
        <f aca="false">IFERROR(H9978/(H9976+H9977+H9978),0)</f>
        <v>0.0459057497814491</v>
      </c>
      <c r="I9981" s="51" t="n">
        <f aca="false">IFERROR(I9978/(I9976+I9977+I9978),0)</f>
        <v>0.0422402334833216</v>
      </c>
      <c r="J9981" s="51" t="n">
        <f aca="false">IFERROR(J9978/(J9976+J9977+J9978),0)</f>
        <v>0.0406714932469811</v>
      </c>
      <c r="K9981" s="51" t="n">
        <f aca="false">IFERROR(K9978/(K9976+K9977+K9978),0)</f>
        <v>0.0406714932469811</v>
      </c>
      <c r="L9981" s="51" t="n">
        <f aca="false">IFERROR(L9978/(L9976+L9977+L9978),0)</f>
        <v>0.0406714932469811</v>
      </c>
      <c r="M9981" s="51" t="n">
        <f aca="false">IFERROR(M9978/(M9976+M9977+M9978),0)</f>
        <v>0.0406714932469811</v>
      </c>
      <c r="N9981" s="51" t="n">
        <f aca="false">IFERROR(N9978/(N9976+N9977+N9978),0)</f>
        <v>0.0406714932469811</v>
      </c>
      <c r="P9981" s="52"/>
      <c r="Q9981" s="52"/>
      <c r="R9981" s="52"/>
      <c r="S9981" s="53"/>
    </row>
    <row r="9982" customFormat="false" ht="15" hidden="false" customHeight="false" outlineLevel="0" collapsed="false">
      <c r="A9982" s="4" t="s">
        <v>515</v>
      </c>
      <c r="B9982" s="36" t="s">
        <v>516</v>
      </c>
      <c r="C9982" s="48" t="n">
        <f aca="false">IF(C9950-Assumptions!$E$35&lt;1,0,INDEX($C$9975:$N$9975,1,C9950-Assumptions!$E$35)*INDEX($C$9979:$N$9979,1,C9950-Assumptions!$E$35)*0.4)</f>
        <v>0</v>
      </c>
      <c r="D9982" s="48" t="n">
        <f aca="false">IF(D9950-Assumptions!$E$35&lt;1,0,INDEX($C$9975:$N$9975,1,D9950-Assumptions!$E$35)*INDEX($C$9979:$N$9979,1,D9950-Assumptions!$E$35)*0.4)</f>
        <v>1.65024084796918</v>
      </c>
      <c r="E9982" s="48" t="n">
        <f aca="false">IF(E9950-Assumptions!$E$35&lt;1,0,INDEX($C$9975:$N$9975,1,E9950-Assumptions!$E$35)*INDEX($C$9979:$N$9979,1,E9950-Assumptions!$E$35)*0.4)</f>
        <v>2.82864200058743</v>
      </c>
      <c r="F9982" s="48" t="n">
        <f aca="false">IF(F9950-Assumptions!$E$35&lt;1,0,INDEX($C$9975:$N$9975,1,F9950-Assumptions!$E$35)*INDEX($C$9979:$N$9979,1,F9950-Assumptions!$E$35)*0.4)</f>
        <v>3.12115697399229</v>
      </c>
      <c r="G9982" s="48" t="n">
        <f aca="false">IF(G9950-Assumptions!$E$35&lt;1,0,INDEX($C$9975:$N$9975,1,G9950-Assumptions!$E$35)*INDEX($C$9979:$N$9979,1,G9950-Assumptions!$E$35)*0.4)</f>
        <v>3.41967042648192</v>
      </c>
      <c r="H9982" s="48" t="n">
        <f aca="false">IF(H9950-Assumptions!$E$35&lt;1,0,INDEX($C$9975:$N$9975,1,H9950-Assumptions!$E$35)*INDEX($C$9979:$N$9979,1,H9950-Assumptions!$E$35)*0.4)</f>
        <v>4.40037482234274</v>
      </c>
      <c r="I9982" s="48" t="n">
        <f aca="false">IF(I9950-Assumptions!$E$35&lt;1,0,INDEX($C$9975:$N$9975,1,I9950-Assumptions!$E$35)*INDEX($C$9979:$N$9979,1,I9950-Assumptions!$E$35)*0.4)</f>
        <v>5.31640126681646</v>
      </c>
      <c r="J9982" s="48" t="n">
        <f aca="false">IF(J9950-Assumptions!$E$35&lt;1,0,INDEX($C$9975:$N$9975,1,J9950-Assumptions!$E$35)*INDEX($C$9979:$N$9979,1,J9950-Assumptions!$E$35)*0.4)</f>
        <v>7.86798683341676</v>
      </c>
      <c r="K9982" s="48" t="n">
        <f aca="false">IF(K9950-Assumptions!$E$35&lt;1,0,INDEX($C$9975:$N$9975,1,K9950-Assumptions!$E$35)*INDEX($C$9979:$N$9979,1,K9950-Assumptions!$E$35)*0.4)</f>
        <v>10.1774450162906</v>
      </c>
      <c r="L9982" s="48" t="n">
        <f aca="false">IF(L9950-Assumptions!$E$35&lt;1,0,INDEX($C$9975:$N$9975,1,L9950-Assumptions!$E$35)*INDEX($C$9979:$N$9979,1,L9950-Assumptions!$E$35)*0.4)</f>
        <v>10.2497611839915</v>
      </c>
      <c r="M9982" s="48" t="n">
        <f aca="false">IF(M9950-Assumptions!$E$35&lt;1,0,INDEX($C$9975:$N$9975,1,M9950-Assumptions!$E$35)*INDEX($C$9979:$N$9979,1,M9950-Assumptions!$E$35)*0.4)</f>
        <v>9.94627356583056</v>
      </c>
      <c r="N9982" s="48" t="n">
        <f aca="false">IF(N9950-Assumptions!$E$35&lt;1,0,INDEX($C$9975:$N$9975,1,N9950-Assumptions!$E$35)*INDEX($C$9979:$N$9979,1,N9950-Assumptions!$E$35)*0.4)</f>
        <v>9.66384651369268</v>
      </c>
      <c r="P9982" s="49" t="n">
        <f aca="false">SUM(C9982:F9982)</f>
        <v>7.6000398225489</v>
      </c>
      <c r="Q9982" s="49" t="n">
        <f aca="false">SUM(G9982:J9982)</f>
        <v>21.0044333490579</v>
      </c>
      <c r="R9982" s="49" t="n">
        <f aca="false">SUM(K9982:N9982)</f>
        <v>40.0373262798053</v>
      </c>
      <c r="S9982" s="50" t="n">
        <f aca="false">SUM(P9982:R9982)</f>
        <v>68.6417994514121</v>
      </c>
    </row>
    <row r="9983" customFormat="false" ht="15" hidden="false" customHeight="false" outlineLevel="0" collapsed="false">
      <c r="A9983" s="4" t="s">
        <v>517</v>
      </c>
      <c r="B9983" s="36" t="s">
        <v>516</v>
      </c>
      <c r="C9983" s="48" t="n">
        <f aca="false">IF(C9950-Assumptions!$E$35&lt;1,0,INDEX($C$9975:$N$9975,1,C9950-Assumptions!$E$35)*INDEX($C$9980:$N$9980,1,C9950-Assumptions!$E$35)*0.4)</f>
        <v>0</v>
      </c>
      <c r="D9983" s="48" t="n">
        <f aca="false">IF(D9950-Assumptions!$E$35&lt;1,0,INDEX($C$9975:$N$9975,1,D9950-Assumptions!$E$35)*INDEX($C$9980:$N$9980,1,D9950-Assumptions!$E$35)*0.4)</f>
        <v>0.82682852241361</v>
      </c>
      <c r="E9983" s="48" t="n">
        <f aca="false">IF(E9950-Assumptions!$E$35&lt;1,0,INDEX($C$9975:$N$9975,1,E9950-Assumptions!$E$35)*INDEX($C$9980:$N$9980,1,E9950-Assumptions!$E$35)*0.4)</f>
        <v>1.41724881471753</v>
      </c>
      <c r="F9983" s="48" t="n">
        <f aca="false">IF(F9950-Assumptions!$E$35&lt;1,0,INDEX($C$9975:$N$9975,1,F9950-Assumptions!$E$35)*INDEX($C$9980:$N$9980,1,F9950-Assumptions!$E$35)*0.4)</f>
        <v>1.56380907199261</v>
      </c>
      <c r="G9983" s="48" t="n">
        <f aca="false">IF(G9950-Assumptions!$E$35&lt;1,0,INDEX($C$9975:$N$9975,1,G9950-Assumptions!$E$35)*INDEX($C$9980:$N$9980,1,G9950-Assumptions!$E$35)*0.4)</f>
        <v>1.71337477759632</v>
      </c>
      <c r="H9983" s="48" t="n">
        <f aca="false">IF(H9950-Assumptions!$E$35&lt;1,0,INDEX($C$9975:$N$9975,1,H9950-Assumptions!$E$35)*INDEX($C$9980:$N$9980,1,H9950-Assumptions!$E$35)*0.4)</f>
        <v>2.16124792937682</v>
      </c>
      <c r="I9983" s="48" t="n">
        <f aca="false">IF(I9950-Assumptions!$E$35&lt;1,0,INDEX($C$9975:$N$9975,1,I9950-Assumptions!$E$35)*INDEX($C$9980:$N$9980,1,I9950-Assumptions!$E$35)*0.4)</f>
        <v>2.58072106999291</v>
      </c>
      <c r="J9983" s="48" t="n">
        <f aca="false">IF(J9950-Assumptions!$E$35&lt;1,0,INDEX($C$9975:$N$9975,1,J9950-Assumptions!$E$35)*INDEX($C$9980:$N$9980,1,J9950-Assumptions!$E$35)*0.4)</f>
        <v>3.59240167854007</v>
      </c>
      <c r="K9983" s="48" t="n">
        <f aca="false">IF(K9950-Assumptions!$E$35&lt;1,0,INDEX($C$9975:$N$9975,1,K9950-Assumptions!$E$35)*INDEX($C$9980:$N$9980,1,K9950-Assumptions!$E$35)*0.4)</f>
        <v>4.52535538196121</v>
      </c>
      <c r="L9983" s="48" t="n">
        <f aca="false">IF(L9950-Assumptions!$E$35&lt;1,0,INDEX($C$9975:$N$9975,1,L9950-Assumptions!$E$35)*INDEX($C$9980:$N$9980,1,L9950-Assumptions!$E$35)*0.4)</f>
        <v>4.55751044231124</v>
      </c>
      <c r="M9983" s="48" t="n">
        <f aca="false">IF(M9950-Assumptions!$E$35&lt;1,0,INDEX($C$9975:$N$9975,1,M9950-Assumptions!$E$35)*INDEX($C$9980:$N$9980,1,M9950-Assumptions!$E$35)*0.4)</f>
        <v>4.42256603101697</v>
      </c>
      <c r="N9983" s="48" t="n">
        <f aca="false">IF(N9950-Assumptions!$E$35&lt;1,0,INDEX($C$9975:$N$9975,1,N9950-Assumptions!$E$35)*INDEX($C$9980:$N$9980,1,N9950-Assumptions!$E$35)*0.4)</f>
        <v>4.29698610615785</v>
      </c>
      <c r="P9983" s="49" t="n">
        <f aca="false">SUM(C9983:F9983)</f>
        <v>3.80788640912375</v>
      </c>
      <c r="Q9983" s="49" t="n">
        <f aca="false">SUM(G9983:J9983)</f>
        <v>10.0477454555061</v>
      </c>
      <c r="R9983" s="49" t="n">
        <f aca="false">SUM(K9983:N9983)</f>
        <v>17.8024179614473</v>
      </c>
      <c r="S9983" s="50" t="n">
        <f aca="false">SUM(P9983:R9983)</f>
        <v>31.6580498260772</v>
      </c>
    </row>
    <row r="9984" customFormat="false" ht="15" hidden="false" customHeight="false" outlineLevel="0" collapsed="false">
      <c r="A9984" s="4" t="s">
        <v>518</v>
      </c>
      <c r="B9984" s="36" t="s">
        <v>516</v>
      </c>
      <c r="C9984" s="48" t="n">
        <f aca="false">IF(C9950-Assumptions!$E$36&lt;1,0,INDEX($C$9975:$N$9975,1,C9950-Assumptions!$E$36)*INDEX($C$9981:$N$9981,1,C9950-Assumptions!$E$36)*0.4)</f>
        <v>0</v>
      </c>
      <c r="D9984" s="48" t="n">
        <f aca="false">IF(D9950-Assumptions!$E$36&lt;1,0,INDEX($C$9975:$N$9975,1,D9950-Assumptions!$E$36)*INDEX($C$9981:$N$9981,1,D9950-Assumptions!$E$36)*0.4)</f>
        <v>0</v>
      </c>
      <c r="E9984" s="48" t="n">
        <f aca="false">IF(E9950-Assumptions!$E$36&lt;1,0,INDEX($C$9975:$N$9975,1,E9950-Assumptions!$E$36)*INDEX($C$9981:$N$9981,1,E9950-Assumptions!$E$36)*0.4)</f>
        <v>0.135763201828408</v>
      </c>
      <c r="F9984" s="48" t="n">
        <f aca="false">IF(F9950-Assumptions!$E$36&lt;1,0,INDEX($C$9975:$N$9975,1,F9950-Assumptions!$E$36)*INDEX($C$9981:$N$9981,1,F9950-Assumptions!$E$36)*0.4)</f>
        <v>0.23270875599683</v>
      </c>
      <c r="G9984" s="48" t="n">
        <f aca="false">IF(G9950-Assumptions!$E$36&lt;1,0,INDEX($C$9975:$N$9975,1,G9950-Assumptions!$E$36)*INDEX($C$9981:$N$9981,1,G9950-Assumptions!$E$36)*0.4)</f>
        <v>0.256773588364218</v>
      </c>
      <c r="H9984" s="48" t="n">
        <f aca="false">IF(H9950-Assumptions!$E$36&lt;1,0,INDEX($C$9975:$N$9975,1,H9950-Assumptions!$E$36)*INDEX($C$9981:$N$9981,1,H9950-Assumptions!$E$36)*0.4)</f>
        <v>0.28133190792631</v>
      </c>
      <c r="I9984" s="48" t="n">
        <f aca="false">IF(I9950-Assumptions!$E$36&lt;1,0,INDEX($C$9975:$N$9975,1,I9950-Assumptions!$E$36)*INDEX($C$9981:$N$9981,1,I9950-Assumptions!$E$36)*0.4)</f>
        <v>0.331923758206833</v>
      </c>
      <c r="J9984" s="48" t="n">
        <f aca="false">IF(J9950-Assumptions!$E$36&lt;1,0,INDEX($C$9975:$N$9975,1,J9950-Assumptions!$E$36)*INDEX($C$9981:$N$9981,1,J9950-Assumptions!$E$36)*0.4)</f>
        <v>0.379965943515562</v>
      </c>
      <c r="K9984" s="48" t="n">
        <f aca="false">IF(K9950-Assumptions!$E$36&lt;1,0,INDEX($C$9975:$N$9975,1,K9950-Assumptions!$E$36)*INDEX($C$9981:$N$9981,1,K9950-Assumptions!$E$36)*0.4)</f>
        <v>0.505439363270855</v>
      </c>
      <c r="L9984" s="48" t="n">
        <f aca="false">IF(L9950-Assumptions!$E$36&lt;1,0,INDEX($C$9975:$N$9975,1,L9950-Assumptions!$E$36)*INDEX($C$9981:$N$9981,1,L9950-Assumptions!$E$36)*0.4)</f>
        <v>0.623336889188432</v>
      </c>
      <c r="M9984" s="48" t="n">
        <f aca="false">IF(M9950-Assumptions!$E$36&lt;1,0,INDEX($C$9975:$N$9975,1,M9950-Assumptions!$E$36)*INDEX($C$9981:$N$9981,1,M9950-Assumptions!$E$36)*0.4)</f>
        <v>0.627766029796957</v>
      </c>
      <c r="N9984" s="48" t="n">
        <f aca="false">IF(N9950-Assumptions!$E$36&lt;1,0,INDEX($C$9975:$N$9975,1,N9950-Assumptions!$E$36)*INDEX($C$9981:$N$9981,1,N9950-Assumptions!$E$36)*0.4)</f>
        <v>0.60917835602335</v>
      </c>
      <c r="P9984" s="49" t="n">
        <f aca="false">SUM(C9984:F9984)</f>
        <v>0.368471957825237</v>
      </c>
      <c r="Q9984" s="49" t="n">
        <f aca="false">SUM(G9984:J9984)</f>
        <v>1.24999519801292</v>
      </c>
      <c r="R9984" s="49" t="n">
        <f aca="false">SUM(K9984:N9984)</f>
        <v>2.36572063827959</v>
      </c>
      <c r="S9984" s="50" t="n">
        <f aca="false">SUM(P9984:R9984)</f>
        <v>3.98418779411775</v>
      </c>
    </row>
    <row r="9985" customFormat="false" ht="15" hidden="false" customHeight="false" outlineLevel="0" collapsed="false">
      <c r="A9985" s="4" t="s">
        <v>519</v>
      </c>
      <c r="B9985" s="36" t="s">
        <v>77</v>
      </c>
      <c r="C9985" s="51" t="n">
        <f aca="false">IF(C9950-Assumptions!$E$35&lt;1,0,IFERROR(INDEX($C$9974:$N$9974,1,C9950-Assumptions!$E$35)/INDEX($C$9975:$N$9975,1,C9950-Assumptions!$E$35),0))</f>
        <v>0</v>
      </c>
      <c r="D9985" s="51" t="n">
        <f aca="false">IF(D9950-Assumptions!$E$35&lt;1,0,IFERROR(INDEX($C$9974:$N$9974,1,D9950-Assumptions!$E$35)/INDEX($C$9975:$N$9975,1,D9950-Assumptions!$E$35),0))</f>
        <v>0.459271678087073</v>
      </c>
      <c r="E9985" s="51" t="n">
        <f aca="false">IF(E9950-Assumptions!$E$35&lt;1,0,IFERROR(INDEX($C$9974:$N$9974,1,E9950-Assumptions!$E$35)/INDEX($C$9975:$N$9975,1,E9950-Assumptions!$E$35),0))</f>
        <v>0.401911350042128</v>
      </c>
      <c r="F9985" s="51" t="n">
        <f aca="false">IF(F9950-Assumptions!$E$35&lt;1,0,IFERROR(INDEX($C$9974:$N$9974,1,F9950-Assumptions!$E$35)/INDEX($C$9975:$N$9975,1,F9950-Assumptions!$E$35),0))</f>
        <v>0.485658933408398</v>
      </c>
      <c r="G9985" s="51" t="n">
        <f aca="false">IF(G9950-Assumptions!$E$35&lt;1,0,IFERROR(INDEX($C$9974:$N$9974,1,G9950-Assumptions!$E$35)/INDEX($C$9975:$N$9975,1,G9950-Assumptions!$E$35),0))</f>
        <v>0.554080356417826</v>
      </c>
      <c r="H9985" s="51" t="n">
        <f aca="false">IF(H9950-Assumptions!$E$35&lt;1,0,IFERROR(INDEX($C$9974:$N$9974,1,H9950-Assumptions!$E$35)/INDEX($C$9975:$N$9975,1,H9950-Assumptions!$E$35),0))</f>
        <v>0.522227563825987</v>
      </c>
      <c r="I9985" s="51" t="n">
        <f aca="false">IF(I9950-Assumptions!$E$35&lt;1,0,IFERROR(INDEX($C$9974:$N$9974,1,I9950-Assumptions!$E$35)/INDEX($C$9975:$N$9975,1,I9950-Assumptions!$E$35),0))</f>
        <v>0.507424816282752</v>
      </c>
      <c r="J9985" s="51" t="n">
        <f aca="false">IF(J9950-Assumptions!$E$35&lt;1,0,IFERROR(INDEX($C$9974:$N$9974,1,J9950-Assumptions!$E$35)/INDEX($C$9975:$N$9975,1,J9950-Assumptions!$E$35),0))</f>
        <v>0.401142323795015</v>
      </c>
      <c r="K9985" s="51" t="n">
        <f aca="false">IF(K9950-Assumptions!$E$35&lt;1,0,IFERROR(INDEX($C$9974:$N$9974,1,K9950-Assumptions!$E$35)/INDEX($C$9975:$N$9975,1,K9950-Assumptions!$E$35),0))</f>
        <v>0.352339268448632</v>
      </c>
      <c r="L9985" s="51" t="n">
        <f aca="false">IF(L9950-Assumptions!$E$35&lt;1,0,IFERROR(INDEX($C$9974:$N$9974,1,L9950-Assumptions!$E$35)/INDEX($C$9975:$N$9975,1,L9950-Assumptions!$E$35),0))</f>
        <v>0.388725970981282</v>
      </c>
      <c r="M9985" s="51" t="n">
        <f aca="false">IF(M9950-Assumptions!$E$35&lt;1,0,IFERROR(INDEX($C$9974:$N$9974,1,M9950-Assumptions!$E$35)/INDEX($C$9975:$N$9975,1,M9950-Assumptions!$E$35),0))</f>
        <v>0.400587048224893</v>
      </c>
      <c r="N9985" s="51" t="n">
        <f aca="false">IF(N9950-Assumptions!$E$35&lt;1,0,IFERROR(INDEX($C$9974:$N$9974,1,N9950-Assumptions!$E$35)/INDEX($C$9975:$N$9975,1,N9950-Assumptions!$E$35),0))</f>
        <v>0.412294251872474</v>
      </c>
      <c r="P9985" s="52"/>
      <c r="Q9985" s="52"/>
      <c r="R9985" s="52"/>
      <c r="S9985" s="53"/>
    </row>
    <row r="9986" customFormat="false" ht="15" hidden="false" customHeight="false" outlineLevel="0" collapsed="false">
      <c r="A9986" s="4" t="s">
        <v>520</v>
      </c>
      <c r="B9986" s="36" t="s">
        <v>516</v>
      </c>
      <c r="C9986" s="48" t="n">
        <f aca="false">C9982*Assumptions!$E$37</f>
        <v>0</v>
      </c>
      <c r="D9986" s="48" t="n">
        <f aca="false">D9982*Assumptions!$E$37</f>
        <v>0.495072254390755</v>
      </c>
      <c r="E9986" s="48" t="n">
        <f aca="false">E9982*Assumptions!$E$37</f>
        <v>0.848592600176228</v>
      </c>
      <c r="F9986" s="48" t="n">
        <f aca="false">F9982*Assumptions!$E$37</f>
        <v>0.936347092197688</v>
      </c>
      <c r="G9986" s="48" t="n">
        <f aca="false">G9982*Assumptions!$E$37</f>
        <v>1.02590112794458</v>
      </c>
      <c r="H9986" s="48" t="n">
        <f aca="false">H9982*Assumptions!$E$37</f>
        <v>1.32011244670282</v>
      </c>
      <c r="I9986" s="48" t="n">
        <f aca="false">I9982*Assumptions!$E$37</f>
        <v>1.59492038004494</v>
      </c>
      <c r="J9986" s="48" t="n">
        <f aca="false">J9982*Assumptions!$E$37</f>
        <v>2.36039605002503</v>
      </c>
      <c r="K9986" s="48" t="n">
        <f aca="false">K9982*Assumptions!$E$37</f>
        <v>3.05323350488719</v>
      </c>
      <c r="L9986" s="48" t="n">
        <f aca="false">L9982*Assumptions!$E$37</f>
        <v>3.07492835519744</v>
      </c>
      <c r="M9986" s="48" t="n">
        <f aca="false">M9982*Assumptions!$E$37</f>
        <v>2.98388206974917</v>
      </c>
      <c r="N9986" s="48" t="n">
        <f aca="false">N9982*Assumptions!$E$37</f>
        <v>2.89915395410781</v>
      </c>
      <c r="P9986" s="49" t="n">
        <f aca="false">SUM(C9986:F9986)</f>
        <v>2.28001194676467</v>
      </c>
      <c r="Q9986" s="49" t="n">
        <f aca="false">SUM(G9986:J9986)</f>
        <v>6.30133000471737</v>
      </c>
      <c r="R9986" s="49" t="n">
        <f aca="false">SUM(K9986:N9986)</f>
        <v>12.0111978839416</v>
      </c>
      <c r="S9986" s="50" t="n">
        <f aca="false">SUM(P9986:R9986)</f>
        <v>20.5925398354236</v>
      </c>
    </row>
    <row r="9987" customFormat="false" ht="15" hidden="false" customHeight="false" outlineLevel="0" collapsed="false">
      <c r="A9987" s="4" t="s">
        <v>521</v>
      </c>
      <c r="B9987" s="36" t="s">
        <v>516</v>
      </c>
      <c r="C9987" s="48" t="n">
        <f aca="false">C9982*(1-Assumptions!$E$37)</f>
        <v>0</v>
      </c>
      <c r="D9987" s="48" t="n">
        <f aca="false">D9982*(1-Assumptions!$E$37)</f>
        <v>1.15516859357843</v>
      </c>
      <c r="E9987" s="48" t="n">
        <f aca="false">E9982*(1-Assumptions!$E$37)</f>
        <v>1.9800494004112</v>
      </c>
      <c r="F9987" s="48" t="n">
        <f aca="false">F9982*(1-Assumptions!$E$37)</f>
        <v>2.1848098817946</v>
      </c>
      <c r="G9987" s="48" t="n">
        <f aca="false">G9982*(1-Assumptions!$E$37)</f>
        <v>2.39376929853734</v>
      </c>
      <c r="H9987" s="48" t="n">
        <f aca="false">H9982*(1-Assumptions!$E$37)</f>
        <v>3.08026237563992</v>
      </c>
      <c r="I9987" s="48" t="n">
        <f aca="false">I9982*(1-Assumptions!$E$37)</f>
        <v>3.72148088677152</v>
      </c>
      <c r="J9987" s="48" t="n">
        <f aca="false">J9982*(1-Assumptions!$E$37)</f>
        <v>5.50759078339173</v>
      </c>
      <c r="K9987" s="48" t="n">
        <f aca="false">K9982*(1-Assumptions!$E$37)</f>
        <v>7.12421151140343</v>
      </c>
      <c r="L9987" s="48" t="n">
        <f aca="false">L9982*(1-Assumptions!$E$37)</f>
        <v>7.17483282879404</v>
      </c>
      <c r="M9987" s="48" t="n">
        <f aca="false">M9982*(1-Assumptions!$E$37)</f>
        <v>6.96239149608139</v>
      </c>
      <c r="N9987" s="48" t="n">
        <f aca="false">N9982*(1-Assumptions!$E$37)</f>
        <v>6.76469255958488</v>
      </c>
      <c r="P9987" s="49" t="n">
        <f aca="false">SUM(C9987:F9987)</f>
        <v>5.32002787578423</v>
      </c>
      <c r="Q9987" s="49" t="n">
        <f aca="false">SUM(G9987:J9987)</f>
        <v>14.7031033443405</v>
      </c>
      <c r="R9987" s="49" t="n">
        <f aca="false">SUM(K9987:N9987)</f>
        <v>28.0261283958637</v>
      </c>
      <c r="S9987" s="50" t="n">
        <f aca="false">SUM(P9987:R9987)</f>
        <v>48.0492596159885</v>
      </c>
    </row>
    <row r="9988" customFormat="false" ht="15" hidden="false" customHeight="false" outlineLevel="0" collapsed="false">
      <c r="A9988" s="4" t="s">
        <v>522</v>
      </c>
      <c r="B9988" s="36" t="s">
        <v>125</v>
      </c>
      <c r="C9988" s="54" t="n">
        <f aca="false">C9987*$C$9941+C9983*$C$9942+C9984*$C$9943</f>
        <v>0</v>
      </c>
      <c r="D9988" s="54" t="n">
        <f aca="false">D9987*$C$9941+D9983*$C$9942+D9984*$C$9943</f>
        <v>14257.8650857151</v>
      </c>
      <c r="E9988" s="54" t="n">
        <f aca="false">E9987*$C$9941+E9983*$C$9942+E9984*$C$9943</f>
        <v>32826.3107848792</v>
      </c>
      <c r="F9988" s="54" t="n">
        <f aca="false">F9987*$C$9941+F9983*$C$9942+F9984*$C$9943</f>
        <v>41342.729180799</v>
      </c>
      <c r="G9988" s="54" t="n">
        <f aca="false">G9987*$C$9941+G9983*$C$9942+G9984*$C$9943</f>
        <v>45408.5297465673</v>
      </c>
      <c r="H9988" s="54" t="n">
        <f aca="false">H9987*$C$9941+H9983*$C$9942+H9984*$C$9943</f>
        <v>54974.0625800683</v>
      </c>
      <c r="I9988" s="54" t="n">
        <f aca="false">I9987*$C$9941+I9983*$C$9942+I9984*$C$9943</f>
        <v>65628.2171068163</v>
      </c>
      <c r="J9988" s="54" t="n">
        <f aca="false">J9987*$C$9941+J9983*$C$9942+J9984*$C$9943</f>
        <v>88036.2410702377</v>
      </c>
      <c r="K9988" s="54" t="n">
        <f aca="false">K9987*$C$9941+K9983*$C$9942+K9984*$C$9943</f>
        <v>113551.821995325</v>
      </c>
      <c r="L9988" s="54" t="n">
        <f aca="false">L9987*$C$9941+L9983*$C$9942+L9984*$C$9943</f>
        <v>121420.300324935</v>
      </c>
      <c r="M9988" s="54" t="n">
        <f aca="false">M9987*$C$9941+M9983*$C$9942+M9984*$C$9943</f>
        <v>119238.974597552</v>
      </c>
      <c r="N9988" s="54" t="n">
        <f aca="false">N9987*$C$9941+N9983*$C$9942+N9984*$C$9943</f>
        <v>115806.071836625</v>
      </c>
      <c r="P9988" s="55" t="n">
        <f aca="false">SUM(C9988:F9988)</f>
        <v>88426.9050513933</v>
      </c>
      <c r="Q9988" s="55" t="n">
        <f aca="false">SUM(G9988:J9988)</f>
        <v>254047.05050369</v>
      </c>
      <c r="R9988" s="55" t="n">
        <f aca="false">SUM(K9988:N9988)</f>
        <v>470017.168754438</v>
      </c>
      <c r="S9988" s="56" t="n">
        <f aca="false">SUM(P9988:R9988)</f>
        <v>812491.124309521</v>
      </c>
    </row>
    <row r="9989" customFormat="false" ht="15" hidden="false" customHeight="false" outlineLevel="0" collapsed="false">
      <c r="A9989" s="4" t="s">
        <v>523</v>
      </c>
      <c r="B9989" s="36" t="s">
        <v>125</v>
      </c>
      <c r="C9989" s="54" t="n">
        <f aca="false">(C9965+Assumptions!$D$104*C9951)*$C$9946</f>
        <v>306250</v>
      </c>
      <c r="D9989" s="54" t="n">
        <f aca="false">(D9965+Assumptions!$D$104*D9951)*$C$9946</f>
        <v>306250</v>
      </c>
      <c r="E9989" s="54" t="n">
        <f aca="false">(E9965+Assumptions!$D$104*E9951)*$C$9946</f>
        <v>306250</v>
      </c>
      <c r="F9989" s="54" t="n">
        <f aca="false">(F9965+Assumptions!$D$104*F9951)*$C$9946</f>
        <v>306250</v>
      </c>
      <c r="G9989" s="54" t="n">
        <f aca="false">(G9965+Assumptions!$D$104*G9951)*$C$9946</f>
        <v>306250</v>
      </c>
      <c r="H9989" s="54" t="n">
        <f aca="false">(H9965+Assumptions!$D$104*H9951)*$C$9946</f>
        <v>306250</v>
      </c>
      <c r="I9989" s="54" t="n">
        <f aca="false">(I9965+Assumptions!$D$104*I9951)*$C$9946</f>
        <v>306250</v>
      </c>
      <c r="J9989" s="54" t="n">
        <f aca="false">(J9965+Assumptions!$D$104*J9951)*$C$9946</f>
        <v>306250</v>
      </c>
      <c r="K9989" s="54" t="n">
        <f aca="false">(K9965+Assumptions!$D$104*K9951)*$C$9946</f>
        <v>306250</v>
      </c>
      <c r="L9989" s="54" t="n">
        <f aca="false">(L9965+Assumptions!$D$104*L9951)*$C$9946</f>
        <v>306250</v>
      </c>
      <c r="M9989" s="54" t="n">
        <f aca="false">(M9965+Assumptions!$D$104*M9951)*$C$9946</f>
        <v>306250</v>
      </c>
      <c r="N9989" s="54" t="n">
        <f aca="false">(N9965+Assumptions!$D$104*N9951)*$C$9946</f>
        <v>306250</v>
      </c>
      <c r="P9989" s="55" t="n">
        <f aca="false">SUM(C9989:F9989)</f>
        <v>1225000</v>
      </c>
      <c r="Q9989" s="55" t="n">
        <f aca="false">SUM(G9989:J9989)</f>
        <v>1225000</v>
      </c>
      <c r="R9989" s="55" t="n">
        <f aca="false">SUM(K9989:N9989)</f>
        <v>1225000</v>
      </c>
      <c r="S9989" s="56" t="n">
        <f aca="false">SUM(P9989:R9989)</f>
        <v>3675000</v>
      </c>
    </row>
    <row r="9990" customFormat="false" ht="15" hidden="false" customHeight="false" outlineLevel="0" collapsed="false">
      <c r="A9990" s="4" t="s">
        <v>524</v>
      </c>
      <c r="B9990" s="36" t="s">
        <v>77</v>
      </c>
      <c r="C9990" s="51" t="n">
        <f aca="false">IF(C9988&gt;0,MIN(1,C9989/C9988),1)</f>
        <v>1</v>
      </c>
      <c r="D9990" s="51" t="n">
        <f aca="false">IF(D9988&gt;0,MIN(1,D9989/D9988),1)</f>
        <v>1</v>
      </c>
      <c r="E9990" s="51" t="n">
        <f aca="false">IF(E9988&gt;0,MIN(1,E9989/E9988),1)</f>
        <v>1</v>
      </c>
      <c r="F9990" s="51" t="n">
        <f aca="false">IF(F9988&gt;0,MIN(1,F9989/F9988),1)</f>
        <v>1</v>
      </c>
      <c r="G9990" s="51" t="n">
        <f aca="false">IF(G9988&gt;0,MIN(1,G9989/G9988),1)</f>
        <v>1</v>
      </c>
      <c r="H9990" s="51" t="n">
        <f aca="false">IF(H9988&gt;0,MIN(1,H9989/H9988),1)</f>
        <v>1</v>
      </c>
      <c r="I9990" s="51" t="n">
        <f aca="false">IF(I9988&gt;0,MIN(1,I9989/I9988),1)</f>
        <v>1</v>
      </c>
      <c r="J9990" s="51" t="n">
        <f aca="false">IF(J9988&gt;0,MIN(1,J9989/J9988),1)</f>
        <v>1</v>
      </c>
      <c r="K9990" s="51" t="n">
        <f aca="false">IF(K9988&gt;0,MIN(1,K9989/K9988),1)</f>
        <v>1</v>
      </c>
      <c r="L9990" s="51" t="n">
        <f aca="false">IF(L9988&gt;0,MIN(1,L9989/L9988),1)</f>
        <v>1</v>
      </c>
      <c r="M9990" s="51" t="n">
        <f aca="false">IF(M9988&gt;0,MIN(1,M9989/M9988),1)</f>
        <v>1</v>
      </c>
      <c r="N9990" s="51" t="n">
        <f aca="false">IF(N9988&gt;0,MIN(1,N9989/N9988),1)</f>
        <v>1</v>
      </c>
      <c r="P9990" s="52"/>
      <c r="Q9990" s="52"/>
      <c r="R9990" s="52"/>
      <c r="S9990" s="53"/>
    </row>
    <row r="9991" customFormat="false" ht="15" hidden="false" customHeight="false" outlineLevel="0" collapsed="false">
      <c r="A9991" s="4" t="s">
        <v>525</v>
      </c>
      <c r="B9991" s="36" t="s">
        <v>125</v>
      </c>
      <c r="C9991" s="54" t="n">
        <f aca="false">C9988*(1-C9990)</f>
        <v>0</v>
      </c>
      <c r="D9991" s="54" t="n">
        <f aca="false">D9988*(1-D9990)</f>
        <v>0</v>
      </c>
      <c r="E9991" s="54" t="n">
        <f aca="false">E9988*(1-E9990)</f>
        <v>0</v>
      </c>
      <c r="F9991" s="54" t="n">
        <f aca="false">F9988*(1-F9990)</f>
        <v>0</v>
      </c>
      <c r="G9991" s="54" t="n">
        <f aca="false">G9988*(1-G9990)</f>
        <v>0</v>
      </c>
      <c r="H9991" s="54" t="n">
        <f aca="false">H9988*(1-H9990)</f>
        <v>0</v>
      </c>
      <c r="I9991" s="54" t="n">
        <f aca="false">I9988*(1-I9990)</f>
        <v>0</v>
      </c>
      <c r="J9991" s="54" t="n">
        <f aca="false">J9988*(1-J9990)</f>
        <v>0</v>
      </c>
      <c r="K9991" s="54" t="n">
        <f aca="false">K9988*(1-K9990)</f>
        <v>0</v>
      </c>
      <c r="L9991" s="54" t="n">
        <f aca="false">L9988*(1-L9990)</f>
        <v>0</v>
      </c>
      <c r="M9991" s="54" t="n">
        <f aca="false">M9988*(1-M9990)</f>
        <v>0</v>
      </c>
      <c r="N9991" s="54" t="n">
        <f aca="false">N9988*(1-N9990)</f>
        <v>0</v>
      </c>
      <c r="P9991" s="55" t="n">
        <f aca="false">SUM(C9991:F9991)</f>
        <v>0</v>
      </c>
      <c r="Q9991" s="55" t="n">
        <f aca="false">SUM(G9991:J9991)</f>
        <v>0</v>
      </c>
      <c r="R9991" s="55" t="n">
        <f aca="false">SUM(K9991:N9991)</f>
        <v>0</v>
      </c>
      <c r="S9991" s="56" t="n">
        <f aca="false">SUM(P9991:R9991)</f>
        <v>0</v>
      </c>
    </row>
    <row r="9992" customFormat="false" ht="15" hidden="false" customHeight="false" outlineLevel="0" collapsed="false">
      <c r="A9992" s="4" t="s">
        <v>526</v>
      </c>
      <c r="B9992" s="36" t="s">
        <v>527</v>
      </c>
      <c r="C9992" s="48" t="n">
        <f aca="false">C9986+C9987*C9990</f>
        <v>0</v>
      </c>
      <c r="D9992" s="48" t="n">
        <f aca="false">D9986+D9987*D9990</f>
        <v>1.65024084796918</v>
      </c>
      <c r="E9992" s="48" t="n">
        <f aca="false">E9986+E9987*E9990</f>
        <v>2.82864200058743</v>
      </c>
      <c r="F9992" s="48" t="n">
        <f aca="false">F9986+F9987*F9990</f>
        <v>3.12115697399229</v>
      </c>
      <c r="G9992" s="48" t="n">
        <f aca="false">G9986+G9987*G9990</f>
        <v>3.41967042648192</v>
      </c>
      <c r="H9992" s="48" t="n">
        <f aca="false">H9986+H9987*H9990</f>
        <v>4.40037482234274</v>
      </c>
      <c r="I9992" s="48" t="n">
        <f aca="false">I9986+I9987*I9990</f>
        <v>5.31640126681646</v>
      </c>
      <c r="J9992" s="48" t="n">
        <f aca="false">J9986+J9987*J9990</f>
        <v>7.86798683341676</v>
      </c>
      <c r="K9992" s="48" t="n">
        <f aca="false">K9986+K9987*K9990</f>
        <v>10.1774450162906</v>
      </c>
      <c r="L9992" s="48" t="n">
        <f aca="false">L9986+L9987*L9990</f>
        <v>10.2497611839915</v>
      </c>
      <c r="M9992" s="48" t="n">
        <f aca="false">M9986+M9987*M9990</f>
        <v>9.94627356583056</v>
      </c>
      <c r="N9992" s="48" t="n">
        <f aca="false">N9986+N9987*N9990</f>
        <v>9.66384651369268</v>
      </c>
      <c r="P9992" s="49" t="n">
        <f aca="false">SUM(C9992:F9992)</f>
        <v>7.6000398225489</v>
      </c>
      <c r="Q9992" s="49" t="n">
        <f aca="false">SUM(G9992:J9992)</f>
        <v>21.0044333490579</v>
      </c>
      <c r="R9992" s="49" t="n">
        <f aca="false">SUM(K9992:N9992)</f>
        <v>40.0373262798053</v>
      </c>
      <c r="S9992" s="50" t="n">
        <f aca="false">SUM(P9992:R9992)</f>
        <v>68.6417994514121</v>
      </c>
    </row>
    <row r="9993" customFormat="false" ht="15" hidden="false" customHeight="false" outlineLevel="0" collapsed="false">
      <c r="A9993" s="4" t="s">
        <v>528</v>
      </c>
      <c r="B9993" s="36" t="s">
        <v>527</v>
      </c>
      <c r="C9993" s="48" t="n">
        <f aca="false">C9983*C9990</f>
        <v>0</v>
      </c>
      <c r="D9993" s="48" t="n">
        <f aca="false">D9983*D9990</f>
        <v>0.82682852241361</v>
      </c>
      <c r="E9993" s="48" t="n">
        <f aca="false">E9983*E9990</f>
        <v>1.41724881471753</v>
      </c>
      <c r="F9993" s="48" t="n">
        <f aca="false">F9983*F9990</f>
        <v>1.56380907199261</v>
      </c>
      <c r="G9993" s="48" t="n">
        <f aca="false">G9983*G9990</f>
        <v>1.71337477759632</v>
      </c>
      <c r="H9993" s="48" t="n">
        <f aca="false">H9983*H9990</f>
        <v>2.16124792937682</v>
      </c>
      <c r="I9993" s="48" t="n">
        <f aca="false">I9983*I9990</f>
        <v>2.58072106999291</v>
      </c>
      <c r="J9993" s="48" t="n">
        <f aca="false">J9983*J9990</f>
        <v>3.59240167854007</v>
      </c>
      <c r="K9993" s="48" t="n">
        <f aca="false">K9983*K9990</f>
        <v>4.52535538196121</v>
      </c>
      <c r="L9993" s="48" t="n">
        <f aca="false">L9983*L9990</f>
        <v>4.55751044231124</v>
      </c>
      <c r="M9993" s="48" t="n">
        <f aca="false">M9983*M9990</f>
        <v>4.42256603101697</v>
      </c>
      <c r="N9993" s="48" t="n">
        <f aca="false">N9983*N9990</f>
        <v>4.29698610615785</v>
      </c>
      <c r="P9993" s="49" t="n">
        <f aca="false">SUM(C9993:F9993)</f>
        <v>3.80788640912375</v>
      </c>
      <c r="Q9993" s="49" t="n">
        <f aca="false">SUM(G9993:J9993)</f>
        <v>10.0477454555061</v>
      </c>
      <c r="R9993" s="49" t="n">
        <f aca="false">SUM(K9993:N9993)</f>
        <v>17.8024179614473</v>
      </c>
      <c r="S9993" s="50" t="n">
        <f aca="false">SUM(P9993:R9993)</f>
        <v>31.6580498260772</v>
      </c>
    </row>
    <row r="9994" customFormat="false" ht="15" hidden="false" customHeight="false" outlineLevel="0" collapsed="false">
      <c r="A9994" s="4" t="s">
        <v>529</v>
      </c>
      <c r="B9994" s="36" t="s">
        <v>527</v>
      </c>
      <c r="C9994" s="48" t="n">
        <f aca="false">C9984*C9990</f>
        <v>0</v>
      </c>
      <c r="D9994" s="48" t="n">
        <f aca="false">D9984*D9990</f>
        <v>0</v>
      </c>
      <c r="E9994" s="48" t="n">
        <f aca="false">E9984*E9990</f>
        <v>0.135763201828408</v>
      </c>
      <c r="F9994" s="48" t="n">
        <f aca="false">F9984*F9990</f>
        <v>0.23270875599683</v>
      </c>
      <c r="G9994" s="48" t="n">
        <f aca="false">G9984*G9990</f>
        <v>0.256773588364218</v>
      </c>
      <c r="H9994" s="48" t="n">
        <f aca="false">H9984*H9990</f>
        <v>0.28133190792631</v>
      </c>
      <c r="I9994" s="48" t="n">
        <f aca="false">I9984*I9990</f>
        <v>0.331923758206833</v>
      </c>
      <c r="J9994" s="48" t="n">
        <f aca="false">J9984*J9990</f>
        <v>0.379965943515562</v>
      </c>
      <c r="K9994" s="48" t="n">
        <f aca="false">K9984*K9990</f>
        <v>0.505439363270855</v>
      </c>
      <c r="L9994" s="48" t="n">
        <f aca="false">L9984*L9990</f>
        <v>0.623336889188432</v>
      </c>
      <c r="M9994" s="48" t="n">
        <f aca="false">M9984*M9990</f>
        <v>0.627766029796957</v>
      </c>
      <c r="N9994" s="48" t="n">
        <f aca="false">N9984*N9990</f>
        <v>0.60917835602335</v>
      </c>
      <c r="P9994" s="49" t="n">
        <f aca="false">SUM(C9994:F9994)</f>
        <v>0.368471957825237</v>
      </c>
      <c r="Q9994" s="49" t="n">
        <f aca="false">SUM(G9994:J9994)</f>
        <v>1.24999519801292</v>
      </c>
      <c r="R9994" s="49" t="n">
        <f aca="false">SUM(K9994:N9994)</f>
        <v>2.36572063827959</v>
      </c>
      <c r="S9994" s="50" t="n">
        <f aca="false">SUM(P9994:R9994)</f>
        <v>3.98418779411775</v>
      </c>
    </row>
    <row r="9995" customFormat="false" ht="15" hidden="false" customHeight="false" outlineLevel="0" collapsed="false">
      <c r="A9995" s="9" t="s">
        <v>530</v>
      </c>
      <c r="B9995" s="36" t="s">
        <v>527</v>
      </c>
      <c r="C9995" s="49" t="n">
        <f aca="false">C9992+C9993+C9994</f>
        <v>0</v>
      </c>
      <c r="D9995" s="49" t="n">
        <f aca="false">D9992+D9993+D9994</f>
        <v>2.47706937038279</v>
      </c>
      <c r="E9995" s="49" t="n">
        <f aca="false">E9992+E9993+E9994</f>
        <v>4.38165401713337</v>
      </c>
      <c r="F9995" s="49" t="n">
        <f aca="false">F9992+F9993+F9994</f>
        <v>4.91767480198173</v>
      </c>
      <c r="G9995" s="49" t="n">
        <f aca="false">G9992+G9993+G9994</f>
        <v>5.38981879244246</v>
      </c>
      <c r="H9995" s="49" t="n">
        <f aca="false">H9992+H9993+H9994</f>
        <v>6.84295465964588</v>
      </c>
      <c r="I9995" s="49" t="n">
        <f aca="false">I9992+I9993+I9994</f>
        <v>8.22904609501621</v>
      </c>
      <c r="J9995" s="49" t="n">
        <f aca="false">J9992+J9993+J9994</f>
        <v>11.8403544554724</v>
      </c>
      <c r="K9995" s="49" t="n">
        <f aca="false">K9992+K9993+K9994</f>
        <v>15.2082397615227</v>
      </c>
      <c r="L9995" s="49" t="n">
        <f aca="false">L9992+L9993+L9994</f>
        <v>15.4306085154912</v>
      </c>
      <c r="M9995" s="49" t="n">
        <f aca="false">M9992+M9993+M9994</f>
        <v>14.9966056266445</v>
      </c>
      <c r="N9995" s="49" t="n">
        <f aca="false">N9992+N9993+N9994</f>
        <v>14.5700109758739</v>
      </c>
      <c r="P9995" s="49" t="n">
        <f aca="false">SUM(C9995:F9995)</f>
        <v>11.7763981894979</v>
      </c>
      <c r="Q9995" s="49" t="n">
        <f aca="false">SUM(G9995:J9995)</f>
        <v>32.3021740025769</v>
      </c>
      <c r="R9995" s="49" t="n">
        <f aca="false">SUM(K9995:N9995)</f>
        <v>60.2054648795322</v>
      </c>
      <c r="S9995" s="50" t="n">
        <f aca="false">SUM(P9995:R9995)</f>
        <v>104.284037071607</v>
      </c>
    </row>
    <row r="9996" customFormat="false" ht="15" hidden="false" customHeight="false" outlineLevel="0" collapsed="false">
      <c r="A9996" s="35" t="s">
        <v>533</v>
      </c>
      <c r="B9996" s="35" t="s">
        <v>444</v>
      </c>
      <c r="C9996" s="6" t="s">
        <v>354</v>
      </c>
      <c r="D9996" s="6" t="s">
        <v>355</v>
      </c>
      <c r="E9996" s="6" t="s">
        <v>356</v>
      </c>
      <c r="F9996" s="6" t="s">
        <v>357</v>
      </c>
      <c r="G9996" s="6" t="s">
        <v>358</v>
      </c>
      <c r="H9996" s="6" t="s">
        <v>359</v>
      </c>
      <c r="I9996" s="6" t="s">
        <v>360</v>
      </c>
      <c r="J9996" s="6" t="s">
        <v>361</v>
      </c>
      <c r="K9996" s="6" t="s">
        <v>362</v>
      </c>
      <c r="L9996" s="6" t="s">
        <v>363</v>
      </c>
      <c r="M9996" s="6" t="s">
        <v>364</v>
      </c>
      <c r="N9996" s="6" t="s">
        <v>365</v>
      </c>
      <c r="P9996" s="6" t="s">
        <v>445</v>
      </c>
      <c r="Q9996" s="6" t="s">
        <v>446</v>
      </c>
      <c r="R9996" s="6" t="s">
        <v>447</v>
      </c>
      <c r="S9996" s="6" t="s">
        <v>448</v>
      </c>
    </row>
    <row r="9997" customFormat="false" ht="15" hidden="false" customHeight="false" outlineLevel="0" collapsed="false">
      <c r="A9997" s="4" t="s">
        <v>534</v>
      </c>
      <c r="B9997" s="36" t="s">
        <v>527</v>
      </c>
      <c r="C9997" s="48" t="n">
        <f aca="false">0*Assumptions!$E$59^(1/4)+C9992</f>
        <v>0</v>
      </c>
      <c r="D9997" s="48" t="n">
        <f aca="false">C9997*Assumptions!$E$59^(1/4)+D9992</f>
        <v>1.65024084796918</v>
      </c>
      <c r="E9997" s="48" t="n">
        <f aca="false">D9997*Assumptions!$E$59^(1/4)+E9992</f>
        <v>4.42697770454101</v>
      </c>
      <c r="F9997" s="48" t="n">
        <f aca="false">E9997*Assumptions!$E$59^(1/4)+F9992</f>
        <v>7.4088926305675</v>
      </c>
      <c r="G9997" s="48" t="n">
        <f aca="false">F9997*Assumptions!$E$59^(1/4)+G9992</f>
        <v>10.595530624566</v>
      </c>
      <c r="H9997" s="48" t="n">
        <f aca="false">G9997*Assumptions!$E$59^(1/4)+H9992</f>
        <v>14.6626434605347</v>
      </c>
      <c r="I9997" s="48" t="n">
        <f aca="false">H9997*Assumptions!$E$59^(1/4)+I9992</f>
        <v>19.5178595485907</v>
      </c>
      <c r="J9997" s="48" t="n">
        <f aca="false">I9997*Assumptions!$E$59^(1/4)+J9992</f>
        <v>26.7719497426214</v>
      </c>
      <c r="K9997" s="48" t="n">
        <f aca="false">J9997*Assumptions!$E$59^(1/4)+K9992</f>
        <v>36.1073346992067</v>
      </c>
      <c r="L9997" s="48" t="n">
        <f aca="false">K9997*Assumptions!$E$59^(1/4)+L9992</f>
        <v>45.2214092893969</v>
      </c>
      <c r="M9997" s="48" t="n">
        <f aca="false">L9997*Assumptions!$E$59^(1/4)+M9992</f>
        <v>53.745330618193</v>
      </c>
      <c r="N9997" s="48" t="n">
        <f aca="false">M9997*Assumptions!$E$59^(1/4)+N9992</f>
        <v>61.7187213845708</v>
      </c>
      <c r="P9997" s="49" t="n">
        <f aca="false">F9997</f>
        <v>7.4088926305675</v>
      </c>
      <c r="Q9997" s="49" t="n">
        <f aca="false">J9997</f>
        <v>26.7719497426214</v>
      </c>
      <c r="R9997" s="49" t="n">
        <f aca="false">N9997</f>
        <v>61.7187213845708</v>
      </c>
      <c r="S9997" s="50" t="n">
        <f aca="false">R9997</f>
        <v>61.7187213845708</v>
      </c>
    </row>
    <row r="9998" customFormat="false" ht="15" hidden="false" customHeight="false" outlineLevel="0" collapsed="false">
      <c r="A9998" s="4" t="s">
        <v>535</v>
      </c>
      <c r="B9998" s="36" t="s">
        <v>527</v>
      </c>
      <c r="C9998" s="48" t="n">
        <f aca="false">0*Assumptions!$E$60^(1/4)+C9993</f>
        <v>0</v>
      </c>
      <c r="D9998" s="48" t="n">
        <f aca="false">C9998*Assumptions!$E$60^(1/4)+D9993</f>
        <v>0.82682852241361</v>
      </c>
      <c r="E9998" s="48" t="n">
        <f aca="false">D9998*Assumptions!$E$60^(1/4)+E9993</f>
        <v>2.22258289319968</v>
      </c>
      <c r="F9998" s="48" t="n">
        <f aca="false">E9998*Assumptions!$E$60^(1/4)+F9993</f>
        <v>3.72861313670987</v>
      </c>
      <c r="G9998" s="48" t="n">
        <f aca="false">F9998*Assumptions!$E$60^(1/4)+G9993</f>
        <v>5.34505794172232</v>
      </c>
      <c r="H9998" s="48" t="n">
        <f aca="false">G9998*Assumptions!$E$60^(1/4)+H9993</f>
        <v>7.36735438947465</v>
      </c>
      <c r="I9998" s="48" t="n">
        <f aca="false">H9998*Assumptions!$E$60^(1/4)+I9993</f>
        <v>9.75655184658408</v>
      </c>
      <c r="J9998" s="48" t="n">
        <f aca="false">I9998*Assumptions!$E$60^(1/4)+J9993</f>
        <v>13.0953197293056</v>
      </c>
      <c r="K9998" s="48" t="n">
        <f aca="false">J9998*Assumptions!$E$60^(1/4)+K9993</f>
        <v>17.280245858942</v>
      </c>
      <c r="L9998" s="48" t="n">
        <f aca="false">K9998*Assumptions!$E$60^(1/4)+L9993</f>
        <v>21.3885346480709</v>
      </c>
      <c r="M9998" s="48" t="n">
        <f aca="false">L9998*Assumptions!$E$60^(1/4)+M9993</f>
        <v>25.2550789087853</v>
      </c>
      <c r="N9998" s="48" t="n">
        <f aca="false">M9998*Assumptions!$E$60^(1/4)+N9993</f>
        <v>28.8955275795813</v>
      </c>
      <c r="P9998" s="49" t="n">
        <f aca="false">F9998</f>
        <v>3.72861313670987</v>
      </c>
      <c r="Q9998" s="49" t="n">
        <f aca="false">J9998</f>
        <v>13.0953197293056</v>
      </c>
      <c r="R9998" s="49" t="n">
        <f aca="false">N9998</f>
        <v>28.8955275795813</v>
      </c>
      <c r="S9998" s="50" t="n">
        <f aca="false">R9998</f>
        <v>28.8955275795813</v>
      </c>
    </row>
    <row r="9999" customFormat="false" ht="15" hidden="false" customHeight="false" outlineLevel="0" collapsed="false">
      <c r="A9999" s="4" t="s">
        <v>536</v>
      </c>
      <c r="B9999" s="36" t="s">
        <v>527</v>
      </c>
      <c r="C9999" s="48" t="n">
        <f aca="false">0*Assumptions!$E$61^(1/4)+C9994</f>
        <v>0</v>
      </c>
      <c r="D9999" s="48" t="n">
        <f aca="false">C9999*Assumptions!$E$61^(1/4)+D9994</f>
        <v>0</v>
      </c>
      <c r="E9999" s="48" t="n">
        <f aca="false">D9999*Assumptions!$E$61^(1/4)+E9994</f>
        <v>0.135763201828408</v>
      </c>
      <c r="F9999" s="48" t="n">
        <f aca="false">E9999*Assumptions!$E$61^(1/4)+F9994</f>
        <v>0.36567121202759</v>
      </c>
      <c r="G9999" s="48" t="n">
        <f aca="false">F9999*Assumptions!$E$61^(1/4)+G9994</f>
        <v>0.614901135417691</v>
      </c>
      <c r="H9999" s="48" t="n">
        <f aca="false">G9999*Assumptions!$E$61^(1/4)+H9994</f>
        <v>0.883547855105979</v>
      </c>
      <c r="I9999" s="48" t="n">
        <f aca="false">H9999*Assumptions!$E$61^(1/4)+I9994</f>
        <v>1.19724434031923</v>
      </c>
      <c r="J9999" s="48" t="n">
        <f aca="false">I9999*Assumptions!$E$61^(1/4)+J9994</f>
        <v>1.55251156570096</v>
      </c>
      <c r="K9999" s="48" t="n">
        <f aca="false">J9999*Assumptions!$E$61^(1/4)+K9994</f>
        <v>2.02592317634904</v>
      </c>
      <c r="L9999" s="48" t="n">
        <f aca="false">K9999*Assumptions!$E$61^(1/4)+L9994</f>
        <v>2.60746600244748</v>
      </c>
      <c r="M9999" s="48" t="n">
        <f aca="false">L9999*Assumptions!$E$61^(1/4)+M9994</f>
        <v>3.18144095078413</v>
      </c>
      <c r="N9999" s="48" t="n">
        <f aca="false">M9999*Assumptions!$E$61^(1/4)+N9994</f>
        <v>3.72498732956055</v>
      </c>
      <c r="P9999" s="49" t="n">
        <f aca="false">F9999</f>
        <v>0.36567121202759</v>
      </c>
      <c r="Q9999" s="49" t="n">
        <f aca="false">J9999</f>
        <v>1.55251156570096</v>
      </c>
      <c r="R9999" s="49" t="n">
        <f aca="false">N9999</f>
        <v>3.72498732956055</v>
      </c>
      <c r="S9999" s="50" t="n">
        <f aca="false">R9999</f>
        <v>3.72498732956055</v>
      </c>
    </row>
    <row r="10000" customFormat="false" ht="15" hidden="false" customHeight="false" outlineLevel="0" collapsed="false">
      <c r="A10000" s="9" t="s">
        <v>537</v>
      </c>
      <c r="B10000" s="36" t="s">
        <v>527</v>
      </c>
      <c r="C10000" s="49" t="n">
        <f aca="false">C9997+C9998+C9999</f>
        <v>0</v>
      </c>
      <c r="D10000" s="49" t="n">
        <f aca="false">D9997+D9998+D9999</f>
        <v>2.47706937038279</v>
      </c>
      <c r="E10000" s="49" t="n">
        <f aca="false">E9997+E9998+E9999</f>
        <v>6.7853237995691</v>
      </c>
      <c r="F10000" s="49" t="n">
        <f aca="false">F9997+F9998+F9999</f>
        <v>11.503176979305</v>
      </c>
      <c r="G10000" s="49" t="n">
        <f aca="false">G9997+G9998+G9999</f>
        <v>16.555489701706</v>
      </c>
      <c r="H10000" s="49" t="n">
        <f aca="false">H9997+H9998+H9999</f>
        <v>22.9135457051153</v>
      </c>
      <c r="I10000" s="49" t="n">
        <f aca="false">I9997+I9998+I9999</f>
        <v>30.471655735494</v>
      </c>
      <c r="J10000" s="49" t="n">
        <f aca="false">J9997+J9998+J9999</f>
        <v>41.419781037628</v>
      </c>
      <c r="K10000" s="49" t="n">
        <f aca="false">K9997+K9998+K9999</f>
        <v>55.4135037344977</v>
      </c>
      <c r="L10000" s="49" t="n">
        <f aca="false">L9997+L9998+L9999</f>
        <v>69.2174099399153</v>
      </c>
      <c r="M10000" s="49" t="n">
        <f aca="false">M9997+M9998+M9999</f>
        <v>82.1818504777625</v>
      </c>
      <c r="N10000" s="49" t="n">
        <f aca="false">N9997+N9998+N9999</f>
        <v>94.3392362937126</v>
      </c>
      <c r="P10000" s="49" t="n">
        <f aca="false">F10000</f>
        <v>11.503176979305</v>
      </c>
      <c r="Q10000" s="49" t="n">
        <f aca="false">J10000</f>
        <v>41.419781037628</v>
      </c>
      <c r="R10000" s="49" t="n">
        <f aca="false">N10000</f>
        <v>94.3392362937126</v>
      </c>
      <c r="S10000" s="50" t="n">
        <f aca="false">R10000</f>
        <v>94.3392362937126</v>
      </c>
    </row>
    <row r="10001" customFormat="false" ht="15" hidden="false" customHeight="false" outlineLevel="0" collapsed="false">
      <c r="A10001" s="4" t="s">
        <v>538</v>
      </c>
      <c r="B10001" s="36" t="s">
        <v>125</v>
      </c>
      <c r="C10001" s="54" t="n">
        <f aca="false">0*Assumptions!$E$62^(1/4)+C9992*$C$9941</f>
        <v>0</v>
      </c>
      <c r="D10001" s="54" t="n">
        <f aca="false">C10001*Assumptions!$E$62^(1/4)+D9992*$C$9941</f>
        <v>8832.08901833107</v>
      </c>
      <c r="E10001" s="54" t="n">
        <f aca="false">D10001*Assumptions!$E$62^(1/4)+E9992*$C$9941</f>
        <v>23970.981005475</v>
      </c>
      <c r="F10001" s="54" t="n">
        <f aca="false">E10001*Assumptions!$E$62^(1/4)+F9992*$C$9941</f>
        <v>40675.4131302817</v>
      </c>
      <c r="G10001" s="54" t="n">
        <f aca="false">F10001*Assumptions!$E$62^(1/4)+G9992*$C$9941</f>
        <v>58977.489252813</v>
      </c>
      <c r="H10001" s="54" t="n">
        <f aca="false">G10001*Assumptions!$E$62^(1/4)+H9992*$C$9941</f>
        <v>82528.2953019913</v>
      </c>
      <c r="I10001" s="54" t="n">
        <f aca="false">H10001*Assumptions!$E$62^(1/4)+I9992*$C$9941</f>
        <v>110981.674881993</v>
      </c>
      <c r="J10001" s="54" t="n">
        <f aca="false">I10001*Assumptions!$E$62^(1/4)+J9992*$C$9941</f>
        <v>153091.14041444</v>
      </c>
      <c r="K10001" s="54" t="n">
        <f aca="false">J10001*Assumptions!$E$62^(1/4)+K9992*$C$9941</f>
        <v>207560.826141627</v>
      </c>
      <c r="L10001" s="54" t="n">
        <f aca="false">K10001*Assumptions!$E$62^(1/4)+L9992*$C$9941</f>
        <v>262417.547998349</v>
      </c>
      <c r="M10001" s="54" t="n">
        <f aca="false">L10001*Assumptions!$E$62^(1/4)+M9992*$C$9941</f>
        <v>315650.004122674</v>
      </c>
      <c r="N10001" s="54" t="n">
        <f aca="false">M10001*Assumptions!$E$62^(1/4)+N9992*$C$9941</f>
        <v>367370.910663958</v>
      </c>
      <c r="P10001" s="55" t="n">
        <f aca="false">F10001</f>
        <v>40675.4131302817</v>
      </c>
      <c r="Q10001" s="55" t="n">
        <f aca="false">J10001</f>
        <v>153091.14041444</v>
      </c>
      <c r="R10001" s="55" t="n">
        <f aca="false">N10001</f>
        <v>367370.910663958</v>
      </c>
      <c r="S10001" s="56" t="n">
        <f aca="false">R10001</f>
        <v>367370.910663958</v>
      </c>
    </row>
    <row r="10002" customFormat="false" ht="15" hidden="false" customHeight="false" outlineLevel="0" collapsed="false">
      <c r="A10002" s="4" t="s">
        <v>539</v>
      </c>
      <c r="B10002" s="36" t="s">
        <v>125</v>
      </c>
      <c r="C10002" s="54" t="n">
        <f aca="false">0*Assumptions!$E$63^(1/4)+C9993*$C$9942</f>
        <v>0</v>
      </c>
      <c r="D10002" s="54" t="n">
        <f aca="false">C10002*Assumptions!$E$63^(1/4)+D9993*$C$9942</f>
        <v>8075.40277288335</v>
      </c>
      <c r="E10002" s="54" t="n">
        <f aca="false">D10002*Assumptions!$E$63^(1/4)+E9993*$C$9942</f>
        <v>22035.7725170744</v>
      </c>
      <c r="F10002" s="54" t="n">
        <f aca="false">E10002*Assumptions!$E$63^(1/4)+F9993*$C$9942</f>
        <v>37632.4075941528</v>
      </c>
      <c r="G10002" s="54" t="n">
        <f aca="false">F10002*Assumptions!$E$63^(1/4)+G9993*$C$9942</f>
        <v>54918.6716825918</v>
      </c>
      <c r="H10002" s="54" t="n">
        <f aca="false">G10002*Assumptions!$E$63^(1/4)+H9993*$C$9942</f>
        <v>76832.8434777177</v>
      </c>
      <c r="I10002" s="54" t="n">
        <f aca="false">H10002*Assumptions!$E$63^(1/4)+I9993*$C$9942</f>
        <v>103165.457224605</v>
      </c>
      <c r="J10002" s="54" t="n">
        <f aca="false">I10002*Assumptions!$E$63^(1/4)+J9993*$C$9942</f>
        <v>139765.273058198</v>
      </c>
      <c r="K10002" s="54" t="n">
        <f aca="false">J10002*Assumptions!$E$63^(1/4)+K9993*$C$9942</f>
        <v>186014.046673532</v>
      </c>
      <c r="L10002" s="54" t="n">
        <f aca="false">K10002*Assumptions!$E$63^(1/4)+L9993*$C$9942</f>
        <v>233255.517153548</v>
      </c>
      <c r="M10002" s="54" t="n">
        <f aca="false">L10002*Assumptions!$E$63^(1/4)+M9993*$C$9942</f>
        <v>279872.237406119</v>
      </c>
      <c r="N10002" s="54" t="n">
        <f aca="false">M10002*Assumptions!$E$63^(1/4)+N9993*$C$9942</f>
        <v>325946.500260675</v>
      </c>
      <c r="P10002" s="55" t="n">
        <f aca="false">F10002</f>
        <v>37632.4075941528</v>
      </c>
      <c r="Q10002" s="55" t="n">
        <f aca="false">J10002</f>
        <v>139765.273058198</v>
      </c>
      <c r="R10002" s="55" t="n">
        <f aca="false">N10002</f>
        <v>325946.500260675</v>
      </c>
      <c r="S10002" s="56" t="n">
        <f aca="false">R10002</f>
        <v>325946.500260675</v>
      </c>
    </row>
    <row r="10003" customFormat="false" ht="15" hidden="false" customHeight="false" outlineLevel="0" collapsed="false">
      <c r="A10003" s="4" t="s">
        <v>540</v>
      </c>
      <c r="B10003" s="36" t="s">
        <v>125</v>
      </c>
      <c r="C10003" s="54" t="n">
        <f aca="false">0*Assumptions!$E$64^(1/4)+C9994*$C$9943</f>
        <v>0</v>
      </c>
      <c r="D10003" s="54" t="n">
        <f aca="false">C10003*Assumptions!$E$64^(1/4)+D9994*$C$9943</f>
        <v>0</v>
      </c>
      <c r="E10003" s="54" t="n">
        <f aca="false">D10003*Assumptions!$E$64^(1/4)+E9994*$C$9943</f>
        <v>8387.21386772671</v>
      </c>
      <c r="F10003" s="54" t="n">
        <f aca="false">E10003*Assumptions!$E$64^(1/4)+F9994*$C$9943</f>
        <v>23061.7882112078</v>
      </c>
      <c r="G10003" s="54" t="n">
        <f aca="false">F10003*Assumptions!$E$64^(1/4)+G9994*$C$9943</f>
        <v>39744.8455693456</v>
      </c>
      <c r="H10003" s="54" t="n">
        <f aca="false">G10003*Assumptions!$E$64^(1/4)+H9994*$C$9943</f>
        <v>58538.2905128614</v>
      </c>
      <c r="I10003" s="54" t="n">
        <f aca="false">H10003*Assumptions!$E$64^(1/4)+I9994*$C$9943</f>
        <v>81125.4704956465</v>
      </c>
      <c r="J10003" s="54" t="n">
        <f aca="false">I10003*Assumptions!$E$64^(1/4)+J9994*$C$9943</f>
        <v>107483.769581946</v>
      </c>
      <c r="K10003" s="54" t="n">
        <f aca="false">J10003*Assumptions!$E$64^(1/4)+K9994*$C$9943</f>
        <v>142530.848153763</v>
      </c>
      <c r="L10003" s="54" t="n">
        <f aca="false">K10003*Assumptions!$E$64^(1/4)+L9994*$C$9943</f>
        <v>186107.636984761</v>
      </c>
      <c r="M10003" s="54" t="n">
        <f aca="false">L10003*Assumptions!$E$64^(1/4)+M9994*$C$9943</f>
        <v>231507.55718308</v>
      </c>
      <c r="N10003" s="54" t="n">
        <f aca="false">M10003*Assumptions!$E$64^(1/4)+N9994*$C$9943</f>
        <v>277373.497136806</v>
      </c>
      <c r="P10003" s="55" t="n">
        <f aca="false">F10003</f>
        <v>23061.7882112078</v>
      </c>
      <c r="Q10003" s="55" t="n">
        <f aca="false">J10003</f>
        <v>107483.769581946</v>
      </c>
      <c r="R10003" s="55" t="n">
        <f aca="false">N10003</f>
        <v>277373.497136806</v>
      </c>
      <c r="S10003" s="56" t="n">
        <f aca="false">R10003</f>
        <v>277373.497136806</v>
      </c>
    </row>
    <row r="10004" customFormat="false" ht="15" hidden="false" customHeight="false" outlineLevel="0" collapsed="false">
      <c r="A10004" s="9" t="s">
        <v>541</v>
      </c>
      <c r="B10004" s="36" t="s">
        <v>125</v>
      </c>
      <c r="C10004" s="55" t="n">
        <f aca="false">C10001+C10002+C10003</f>
        <v>0</v>
      </c>
      <c r="D10004" s="55" t="n">
        <f aca="false">D10001+D10002+D10003</f>
        <v>16907.4917912144</v>
      </c>
      <c r="E10004" s="55" t="n">
        <f aca="false">E10001+E10002+E10003</f>
        <v>54393.9673902761</v>
      </c>
      <c r="F10004" s="55" t="n">
        <f aca="false">F10001+F10002+F10003</f>
        <v>101369.608935642</v>
      </c>
      <c r="G10004" s="55" t="n">
        <f aca="false">G10001+G10002+G10003</f>
        <v>153641.00650475</v>
      </c>
      <c r="H10004" s="55" t="n">
        <f aca="false">H10001+H10002+H10003</f>
        <v>217899.42929257</v>
      </c>
      <c r="I10004" s="55" t="n">
        <f aca="false">I10001+I10002+I10003</f>
        <v>295272.602602244</v>
      </c>
      <c r="J10004" s="55" t="n">
        <f aca="false">J10001+J10002+J10003</f>
        <v>400340.183054583</v>
      </c>
      <c r="K10004" s="55" t="n">
        <f aca="false">K10001+K10002+K10003</f>
        <v>536105.720968922</v>
      </c>
      <c r="L10004" s="55" t="n">
        <f aca="false">L10001+L10002+L10003</f>
        <v>681780.702136659</v>
      </c>
      <c r="M10004" s="55" t="n">
        <f aca="false">M10001+M10002+M10003</f>
        <v>827029.798711874</v>
      </c>
      <c r="N10004" s="55" t="n">
        <f aca="false">N10001+N10002+N10003</f>
        <v>970690.908061438</v>
      </c>
      <c r="P10004" s="55" t="n">
        <f aca="false">F10004</f>
        <v>101369.608935642</v>
      </c>
      <c r="Q10004" s="55" t="n">
        <f aca="false">J10004</f>
        <v>400340.183054583</v>
      </c>
      <c r="R10004" s="55" t="n">
        <f aca="false">N10004</f>
        <v>970690.908061438</v>
      </c>
      <c r="S10004" s="56" t="n">
        <f aca="false">R10004</f>
        <v>970690.908061438</v>
      </c>
    </row>
    <row r="10005" customFormat="false" ht="15" hidden="false" customHeight="false" outlineLevel="0" collapsed="false">
      <c r="A10005" s="4" t="s">
        <v>542</v>
      </c>
      <c r="B10005" s="36" t="s">
        <v>125</v>
      </c>
      <c r="C10005" s="54" t="n">
        <f aca="false">C9992*$C$9941+C9993*$C$9942+C9994*$C$9943</f>
        <v>0</v>
      </c>
      <c r="D10005" s="54" t="n">
        <f aca="false">D9992*$C$9941+D9993*$C$9942+D9994*$C$9943</f>
        <v>16907.4917912144</v>
      </c>
      <c r="E10005" s="54" t="n">
        <f aca="false">E9992*$C$9941+E9993*$C$9942+E9994*$C$9943</f>
        <v>37367.9783810224</v>
      </c>
      <c r="F10005" s="54" t="n">
        <f aca="false">F9992*$C$9941+F9993*$C$9942+F9994*$C$9943</f>
        <v>46354.058818241</v>
      </c>
      <c r="G10005" s="54" t="n">
        <f aca="false">G9992*$C$9941+G9993*$C$9942+G9994*$C$9943</f>
        <v>50899.1525833267</v>
      </c>
      <c r="H10005" s="54" t="n">
        <f aca="false">H9992*$C$9941+H9993*$C$9942+H9994*$C$9943</f>
        <v>62039.3043948218</v>
      </c>
      <c r="I10005" s="54" t="n">
        <f aca="false">I9992*$C$9941+I9993*$C$9942+I9994*$C$9943</f>
        <v>74164.2309808168</v>
      </c>
      <c r="J10005" s="54" t="n">
        <f aca="false">J9992*$C$9941+J9993*$C$9942+J9994*$C$9943</f>
        <v>100669.080729972</v>
      </c>
      <c r="K10005" s="54" t="n">
        <f aca="false">K9992*$C$9941+K9993*$C$9942+K9994*$C$9943</f>
        <v>129892.727713481</v>
      </c>
      <c r="L10005" s="54" t="n">
        <f aca="false">L9992*$C$9941+L9993*$C$9942+L9994*$C$9943</f>
        <v>137877.316881952</v>
      </c>
      <c r="M10005" s="54" t="n">
        <f aca="false">M9992*$C$9941+M9993*$C$9942+M9994*$C$9943</f>
        <v>135208.71143485</v>
      </c>
      <c r="N10005" s="54" t="n">
        <f aca="false">N9992*$C$9941+N9993*$C$9942+N9994*$C$9943</f>
        <v>131322.34379901</v>
      </c>
      <c r="P10005" s="55" t="n">
        <f aca="false">SUM(C10005:F10005)</f>
        <v>100629.528990478</v>
      </c>
      <c r="Q10005" s="55" t="n">
        <f aca="false">SUM(G10005:J10005)</f>
        <v>287771.768688937</v>
      </c>
      <c r="R10005" s="55" t="n">
        <f aca="false">SUM(K10005:N10005)</f>
        <v>534301.099829293</v>
      </c>
      <c r="S10005" s="56" t="n">
        <f aca="false">SUM(P10005:R10005)</f>
        <v>922702.397508708</v>
      </c>
    </row>
    <row r="10006" customFormat="false" ht="15" hidden="false" customHeight="false" outlineLevel="0" collapsed="false">
      <c r="A10006" s="9" t="s">
        <v>543</v>
      </c>
      <c r="B10006" s="36" t="s">
        <v>125</v>
      </c>
      <c r="C10006" s="55" t="n">
        <f aca="false">(0+C10004)/8</f>
        <v>0</v>
      </c>
      <c r="D10006" s="55" t="n">
        <f aca="false">(C10004+D10004)/8</f>
        <v>2113.4364739018</v>
      </c>
      <c r="E10006" s="55" t="n">
        <f aca="false">(D10004+E10004)/8</f>
        <v>8912.68239768631</v>
      </c>
      <c r="F10006" s="55" t="n">
        <f aca="false">(E10004+F10004)/8</f>
        <v>19470.4470407398</v>
      </c>
      <c r="G10006" s="55" t="n">
        <f aca="false">(F10004+G10004)/8</f>
        <v>31876.3269300491</v>
      </c>
      <c r="H10006" s="55" t="n">
        <f aca="false">(G10004+H10004)/8</f>
        <v>46442.5544746651</v>
      </c>
      <c r="I10006" s="55" t="n">
        <f aca="false">(H10004+I10004)/8</f>
        <v>64146.5039868519</v>
      </c>
      <c r="J10006" s="55" t="n">
        <f aca="false">(I10004+J10004)/8</f>
        <v>86951.5982071035</v>
      </c>
      <c r="K10006" s="55" t="n">
        <f aca="false">(J10004+K10004)/8</f>
        <v>117055.738002938</v>
      </c>
      <c r="L10006" s="55" t="n">
        <f aca="false">(K10004+L10004)/8</f>
        <v>152235.802888198</v>
      </c>
      <c r="M10006" s="55" t="n">
        <f aca="false">(L10004+M10004)/8</f>
        <v>188601.312606067</v>
      </c>
      <c r="N10006" s="55" t="n">
        <f aca="false">(M10004+N10004)/8</f>
        <v>224715.088346664</v>
      </c>
      <c r="P10006" s="55" t="n">
        <f aca="false">SUM(C10006:F10006)</f>
        <v>30496.5659123279</v>
      </c>
      <c r="Q10006" s="55" t="n">
        <f aca="false">SUM(G10006:J10006)</f>
        <v>229416.98359867</v>
      </c>
      <c r="R10006" s="55" t="n">
        <f aca="false">SUM(K10006:N10006)</f>
        <v>682607.941843866</v>
      </c>
      <c r="S10006" s="56" t="n">
        <f aca="false">SUM(P10006:R10006)</f>
        <v>942521.491354864</v>
      </c>
    </row>
    <row r="10007" customFormat="false" ht="15" hidden="false" customHeight="false" outlineLevel="0" collapsed="false">
      <c r="A10007" s="4" t="s">
        <v>544</v>
      </c>
      <c r="B10007" s="36" t="s">
        <v>125</v>
      </c>
      <c r="C10007" s="54" t="n">
        <f aca="false">C10006*Assumptions!$E$76</f>
        <v>0</v>
      </c>
      <c r="D10007" s="54" t="n">
        <f aca="false">D10006*Assumptions!$E$76</f>
        <v>1373.73370803617</v>
      </c>
      <c r="E10007" s="54" t="n">
        <f aca="false">E10006*Assumptions!$E$76</f>
        <v>5793.2435584961</v>
      </c>
      <c r="F10007" s="54" t="n">
        <f aca="false">F10006*Assumptions!$E$76</f>
        <v>12655.7905764809</v>
      </c>
      <c r="G10007" s="54" t="n">
        <f aca="false">G10006*Assumptions!$E$76</f>
        <v>20719.6125045319</v>
      </c>
      <c r="H10007" s="54" t="n">
        <f aca="false">H10006*Assumptions!$E$76</f>
        <v>30187.6604085323</v>
      </c>
      <c r="I10007" s="54" t="n">
        <f aca="false">I10006*Assumptions!$E$76</f>
        <v>41695.2275914537</v>
      </c>
      <c r="J10007" s="54" t="n">
        <f aca="false">J10006*Assumptions!$E$76</f>
        <v>56518.5388346173</v>
      </c>
      <c r="K10007" s="54" t="n">
        <f aca="false">K10006*Assumptions!$E$76</f>
        <v>76086.2297019098</v>
      </c>
      <c r="L10007" s="54" t="n">
        <f aca="false">L10006*Assumptions!$E$76</f>
        <v>98953.2718773284</v>
      </c>
      <c r="M10007" s="54" t="n">
        <f aca="false">M10006*Assumptions!$E$76</f>
        <v>122590.853193943</v>
      </c>
      <c r="N10007" s="54" t="n">
        <f aca="false">N10006*Assumptions!$E$76</f>
        <v>146064.807425332</v>
      </c>
      <c r="P10007" s="55" t="n">
        <f aca="false">SUM(C10007:F10007)</f>
        <v>19822.7678430131</v>
      </c>
      <c r="Q10007" s="55" t="n">
        <f aca="false">SUM(G10007:J10007)</f>
        <v>149121.039339135</v>
      </c>
      <c r="R10007" s="55" t="n">
        <f aca="false">SUM(K10007:N10007)</f>
        <v>443695.162198513</v>
      </c>
      <c r="S10007" s="56" t="n">
        <f aca="false">SUM(P10007:R10007)</f>
        <v>612638.969380661</v>
      </c>
    </row>
    <row r="10008" customFormat="false" ht="15" hidden="false" customHeight="false" outlineLevel="0" collapsed="false">
      <c r="A10008" s="35" t="s">
        <v>547</v>
      </c>
      <c r="B10008" s="35" t="s">
        <v>444</v>
      </c>
      <c r="C10008" s="6" t="s">
        <v>354</v>
      </c>
      <c r="D10008" s="6" t="s">
        <v>355</v>
      </c>
      <c r="E10008" s="6" t="s">
        <v>356</v>
      </c>
      <c r="F10008" s="6" t="s">
        <v>357</v>
      </c>
      <c r="G10008" s="6" t="s">
        <v>358</v>
      </c>
      <c r="H10008" s="6" t="s">
        <v>359</v>
      </c>
      <c r="I10008" s="6" t="s">
        <v>360</v>
      </c>
      <c r="J10008" s="6" t="s">
        <v>361</v>
      </c>
      <c r="K10008" s="6" t="s">
        <v>362</v>
      </c>
      <c r="L10008" s="6" t="s">
        <v>363</v>
      </c>
      <c r="M10008" s="6" t="s">
        <v>364</v>
      </c>
      <c r="N10008" s="6" t="s">
        <v>365</v>
      </c>
      <c r="P10008" s="6" t="s">
        <v>445</v>
      </c>
      <c r="Q10008" s="6" t="s">
        <v>446</v>
      </c>
      <c r="R10008" s="6" t="s">
        <v>447</v>
      </c>
      <c r="S10008" s="6" t="s">
        <v>448</v>
      </c>
    </row>
    <row r="10009" customFormat="false" ht="15" hidden="false" customHeight="false" outlineLevel="0" collapsed="false">
      <c r="A10009" s="4" t="s">
        <v>548</v>
      </c>
      <c r="B10009" s="36" t="s">
        <v>321</v>
      </c>
      <c r="C10009" s="48" t="n">
        <f aca="false">Assumptions!$D$97*C9951</f>
        <v>1</v>
      </c>
      <c r="D10009" s="48" t="n">
        <f aca="false">Assumptions!$D$97*D9951</f>
        <v>1</v>
      </c>
      <c r="E10009" s="48" t="n">
        <f aca="false">Assumptions!$D$97*E9951</f>
        <v>1</v>
      </c>
      <c r="F10009" s="48" t="n">
        <f aca="false">Assumptions!$D$97*F9951</f>
        <v>1</v>
      </c>
      <c r="G10009" s="48" t="n">
        <f aca="false">Assumptions!$D$97*G9951</f>
        <v>1</v>
      </c>
      <c r="H10009" s="48" t="n">
        <f aca="false">Assumptions!$D$97*H9951</f>
        <v>1</v>
      </c>
      <c r="I10009" s="48" t="n">
        <f aca="false">Assumptions!$D$97*I9951</f>
        <v>1</v>
      </c>
      <c r="J10009" s="48" t="n">
        <f aca="false">Assumptions!$D$97*J9951</f>
        <v>1</v>
      </c>
      <c r="K10009" s="48" t="n">
        <f aca="false">Assumptions!$D$97*K9951</f>
        <v>1</v>
      </c>
      <c r="L10009" s="48" t="n">
        <f aca="false">Assumptions!$D$97*L9951</f>
        <v>1</v>
      </c>
      <c r="M10009" s="48" t="n">
        <f aca="false">Assumptions!$D$97*M9951</f>
        <v>1</v>
      </c>
      <c r="N10009" s="48" t="n">
        <f aca="false">Assumptions!$D$97*N9951</f>
        <v>1</v>
      </c>
      <c r="P10009" s="49" t="n">
        <f aca="false">AVERAGE(C10009:F10009)</f>
        <v>1</v>
      </c>
      <c r="Q10009" s="49" t="n">
        <f aca="false">AVERAGE(G10009:J10009)</f>
        <v>1</v>
      </c>
      <c r="R10009" s="49" t="n">
        <f aca="false">AVERAGE(K10009:N10009)</f>
        <v>1</v>
      </c>
      <c r="S10009" s="50"/>
    </row>
    <row r="10010" customFormat="false" ht="15" hidden="false" customHeight="false" outlineLevel="0" collapsed="false">
      <c r="A10010" s="4" t="s">
        <v>549</v>
      </c>
      <c r="B10010" s="36" t="s">
        <v>321</v>
      </c>
      <c r="C10010" s="48" t="n">
        <f aca="false">C9964*C9951</f>
        <v>0</v>
      </c>
      <c r="D10010" s="48" t="n">
        <f aca="false">D9964*D9951</f>
        <v>0</v>
      </c>
      <c r="E10010" s="48" t="n">
        <f aca="false">E9964*E9951</f>
        <v>0</v>
      </c>
      <c r="F10010" s="48" t="n">
        <f aca="false">F9964*F9951</f>
        <v>0</v>
      </c>
      <c r="G10010" s="48" t="n">
        <f aca="false">G9964*G9951</f>
        <v>0</v>
      </c>
      <c r="H10010" s="48" t="n">
        <f aca="false">H9964*H9951</f>
        <v>0</v>
      </c>
      <c r="I10010" s="48" t="n">
        <f aca="false">I9964*I9951</f>
        <v>0</v>
      </c>
      <c r="J10010" s="48" t="n">
        <f aca="false">J9964*J9951</f>
        <v>0</v>
      </c>
      <c r="K10010" s="48" t="n">
        <f aca="false">K9964*K9951</f>
        <v>0</v>
      </c>
      <c r="L10010" s="48" t="n">
        <f aca="false">L9964*L9951</f>
        <v>0</v>
      </c>
      <c r="M10010" s="48" t="n">
        <f aca="false">M9964*M9951</f>
        <v>0</v>
      </c>
      <c r="N10010" s="48" t="n">
        <f aca="false">N9964*N9951</f>
        <v>0</v>
      </c>
      <c r="P10010" s="49" t="n">
        <f aca="false">AVERAGE(C10010:F10010)</f>
        <v>0</v>
      </c>
      <c r="Q10010" s="49" t="n">
        <f aca="false">AVERAGE(G10010:J10010)</f>
        <v>0</v>
      </c>
      <c r="R10010" s="49" t="n">
        <f aca="false">AVERAGE(K10010:N10010)</f>
        <v>0</v>
      </c>
      <c r="S10010" s="50"/>
    </row>
    <row r="10011" customFormat="false" ht="15" hidden="false" customHeight="false" outlineLevel="0" collapsed="false">
      <c r="A10011" s="4" t="s">
        <v>550</v>
      </c>
      <c r="B10011" s="36" t="s">
        <v>321</v>
      </c>
      <c r="C10011" s="48" t="n">
        <f aca="false">IF(C9950&lt;=4,Assumptions!$D$98,Assumptions!$D$99)*C9951</f>
        <v>0</v>
      </c>
      <c r="D10011" s="48" t="n">
        <f aca="false">IF(D9950&lt;=4,Assumptions!$D$98,Assumptions!$D$99)*D9951</f>
        <v>0</v>
      </c>
      <c r="E10011" s="48" t="n">
        <f aca="false">IF(E9950&lt;=4,Assumptions!$D$98,Assumptions!$D$99)*E9951</f>
        <v>0</v>
      </c>
      <c r="F10011" s="48" t="n">
        <f aca="false">IF(F9950&lt;=4,Assumptions!$D$98,Assumptions!$D$99)*F9951</f>
        <v>0</v>
      </c>
      <c r="G10011" s="48" t="n">
        <f aca="false">IF(G9950&lt;=4,Assumptions!$D$98,Assumptions!$D$99)*G9951</f>
        <v>0.5</v>
      </c>
      <c r="H10011" s="48" t="n">
        <f aca="false">IF(H9950&lt;=4,Assumptions!$D$98,Assumptions!$D$99)*H9951</f>
        <v>0.5</v>
      </c>
      <c r="I10011" s="48" t="n">
        <f aca="false">IF(I9950&lt;=4,Assumptions!$D$98,Assumptions!$D$99)*I9951</f>
        <v>0.5</v>
      </c>
      <c r="J10011" s="48" t="n">
        <f aca="false">IF(J9950&lt;=4,Assumptions!$D$98,Assumptions!$D$99)*J9951</f>
        <v>0.5</v>
      </c>
      <c r="K10011" s="48" t="n">
        <f aca="false">IF(K9950&lt;=4,Assumptions!$D$98,Assumptions!$D$99)*K9951</f>
        <v>0.5</v>
      </c>
      <c r="L10011" s="48" t="n">
        <f aca="false">IF(L9950&lt;=4,Assumptions!$D$98,Assumptions!$D$99)*L9951</f>
        <v>0.5</v>
      </c>
      <c r="M10011" s="48" t="n">
        <f aca="false">IF(M9950&lt;=4,Assumptions!$D$98,Assumptions!$D$99)*M9951</f>
        <v>0.5</v>
      </c>
      <c r="N10011" s="48" t="n">
        <f aca="false">IF(N9950&lt;=4,Assumptions!$D$98,Assumptions!$D$99)*N9951</f>
        <v>0.5</v>
      </c>
      <c r="P10011" s="49" t="n">
        <f aca="false">AVERAGE(C10011:F10011)</f>
        <v>0</v>
      </c>
      <c r="Q10011" s="49" t="n">
        <f aca="false">AVERAGE(G10011:J10011)</f>
        <v>0.5</v>
      </c>
      <c r="R10011" s="49" t="n">
        <f aca="false">AVERAGE(K10011:N10011)</f>
        <v>0.5</v>
      </c>
      <c r="S10011" s="50"/>
    </row>
    <row r="10012" customFormat="false" ht="15" hidden="false" customHeight="false" outlineLevel="0" collapsed="false">
      <c r="A10012" s="4" t="s">
        <v>551</v>
      </c>
      <c r="B10012" s="36" t="s">
        <v>321</v>
      </c>
      <c r="C10012" s="48" t="n">
        <f aca="false">IF(C9950&lt;=4,Assumptions!$D$100,Assumptions!$D$101)*C9951</f>
        <v>1</v>
      </c>
      <c r="D10012" s="48" t="n">
        <f aca="false">IF(D9950&lt;=4,Assumptions!$D$100,Assumptions!$D$101)*D9951</f>
        <v>1</v>
      </c>
      <c r="E10012" s="48" t="n">
        <f aca="false">IF(E9950&lt;=4,Assumptions!$D$100,Assumptions!$D$101)*E9951</f>
        <v>1</v>
      </c>
      <c r="F10012" s="48" t="n">
        <f aca="false">IF(F9950&lt;=4,Assumptions!$D$100,Assumptions!$D$101)*F9951</f>
        <v>1</v>
      </c>
      <c r="G10012" s="48" t="n">
        <f aca="false">IF(G9950&lt;=4,Assumptions!$D$100,Assumptions!$D$101)*G9951</f>
        <v>0.5</v>
      </c>
      <c r="H10012" s="48" t="n">
        <f aca="false">IF(H9950&lt;=4,Assumptions!$D$100,Assumptions!$D$101)*H9951</f>
        <v>0.5</v>
      </c>
      <c r="I10012" s="48" t="n">
        <f aca="false">IF(I9950&lt;=4,Assumptions!$D$100,Assumptions!$D$101)*I9951</f>
        <v>0.5</v>
      </c>
      <c r="J10012" s="48" t="n">
        <f aca="false">IF(J9950&lt;=4,Assumptions!$D$100,Assumptions!$D$101)*J9951</f>
        <v>0.5</v>
      </c>
      <c r="K10012" s="48" t="n">
        <f aca="false">IF(K9950&lt;=4,Assumptions!$D$100,Assumptions!$D$101)*K9951</f>
        <v>0.5</v>
      </c>
      <c r="L10012" s="48" t="n">
        <f aca="false">IF(L9950&lt;=4,Assumptions!$D$100,Assumptions!$D$101)*L9951</f>
        <v>0.5</v>
      </c>
      <c r="M10012" s="48" t="n">
        <f aca="false">IF(M9950&lt;=4,Assumptions!$D$100,Assumptions!$D$101)*M9951</f>
        <v>0.5</v>
      </c>
      <c r="N10012" s="48" t="n">
        <f aca="false">IF(N9950&lt;=4,Assumptions!$D$100,Assumptions!$D$101)*N9951</f>
        <v>0.5</v>
      </c>
      <c r="P10012" s="49" t="n">
        <f aca="false">AVERAGE(C10012:F10012)</f>
        <v>1</v>
      </c>
      <c r="Q10012" s="49" t="n">
        <f aca="false">AVERAGE(G10012:J10012)</f>
        <v>0.5</v>
      </c>
      <c r="R10012" s="49" t="n">
        <f aca="false">AVERAGE(K10012:N10012)</f>
        <v>0.5</v>
      </c>
      <c r="S10012" s="50"/>
    </row>
    <row r="10013" customFormat="false" ht="15" hidden="false" customHeight="false" outlineLevel="0" collapsed="false">
      <c r="A10013" s="4" t="s">
        <v>552</v>
      </c>
      <c r="B10013" s="36" t="s">
        <v>321</v>
      </c>
      <c r="C10013" s="48" t="n">
        <f aca="false">Assumptions!$D$102*C9951</f>
        <v>0.25</v>
      </c>
      <c r="D10013" s="48" t="n">
        <f aca="false">Assumptions!$D$102*D9951</f>
        <v>0.25</v>
      </c>
      <c r="E10013" s="48" t="n">
        <f aca="false">Assumptions!$D$102*E9951</f>
        <v>0.25</v>
      </c>
      <c r="F10013" s="48" t="n">
        <f aca="false">Assumptions!$D$102*F9951</f>
        <v>0.25</v>
      </c>
      <c r="G10013" s="48" t="n">
        <f aca="false">Assumptions!$D$102*G9951</f>
        <v>0.25</v>
      </c>
      <c r="H10013" s="48" t="n">
        <f aca="false">Assumptions!$D$102*H9951</f>
        <v>0.25</v>
      </c>
      <c r="I10013" s="48" t="n">
        <f aca="false">Assumptions!$D$102*I9951</f>
        <v>0.25</v>
      </c>
      <c r="J10013" s="48" t="n">
        <f aca="false">Assumptions!$D$102*J9951</f>
        <v>0.25</v>
      </c>
      <c r="K10013" s="48" t="n">
        <f aca="false">Assumptions!$D$102*K9951</f>
        <v>0.25</v>
      </c>
      <c r="L10013" s="48" t="n">
        <f aca="false">Assumptions!$D$102*L9951</f>
        <v>0.25</v>
      </c>
      <c r="M10013" s="48" t="n">
        <f aca="false">Assumptions!$D$102*M9951</f>
        <v>0.25</v>
      </c>
      <c r="N10013" s="48" t="n">
        <f aca="false">Assumptions!$D$102*N9951</f>
        <v>0.25</v>
      </c>
      <c r="P10013" s="49" t="n">
        <f aca="false">AVERAGE(C10013:F10013)</f>
        <v>0.25</v>
      </c>
      <c r="Q10013" s="49" t="n">
        <f aca="false">AVERAGE(G10013:J10013)</f>
        <v>0.25</v>
      </c>
      <c r="R10013" s="49" t="n">
        <f aca="false">AVERAGE(K10013:N10013)</f>
        <v>0.25</v>
      </c>
      <c r="S10013" s="50"/>
    </row>
    <row r="10014" customFormat="false" ht="15" hidden="false" customHeight="false" outlineLevel="0" collapsed="false">
      <c r="A10014" s="4" t="s">
        <v>553</v>
      </c>
      <c r="B10014" s="36" t="s">
        <v>321</v>
      </c>
      <c r="C10014" s="48" t="n">
        <f aca="false">(C9998+C9999)/Assumptions!$E$74+C9997/Assumptions!$E$75</f>
        <v>0</v>
      </c>
      <c r="D10014" s="48" t="n">
        <f aca="false">(D9998+D9999)/Assumptions!$E$74+D9997/Assumptions!$E$75</f>
        <v>0.027271676452217</v>
      </c>
      <c r="E10014" s="48" t="n">
        <f aca="false">(E9998+E9999)/Assumptions!$E$74+E9997/Assumptions!$E$75</f>
        <v>0.0766665631938663</v>
      </c>
      <c r="F10014" s="48" t="n">
        <f aca="false">(F9998+F9999)/Assumptions!$E$74+F9997/Assumptions!$E$75</f>
        <v>0.131992679240707</v>
      </c>
      <c r="G10014" s="48" t="n">
        <f aca="false">(G9998+G9999)/Assumptions!$E$74+G9997/Assumptions!$E$75</f>
        <v>0.191381099426764</v>
      </c>
      <c r="H10014" s="48" t="n">
        <f aca="false">(H9998+H9999)/Assumptions!$E$74+H9997/Assumptions!$E$75</f>
        <v>0.264923129956655</v>
      </c>
      <c r="I10014" s="48" t="n">
        <f aca="false">(I9998+I9999)/Assumptions!$E$74+I9997/Assumptions!$E$75</f>
        <v>0.351916342866946</v>
      </c>
      <c r="J10014" s="48" t="n">
        <f aca="false">(J9998+J9999)/Assumptions!$E$74+J9997/Assumptions!$E$75</f>
        <v>0.47328358134565</v>
      </c>
      <c r="K10014" s="48" t="n">
        <f aca="false">(K9998+K9999)/Assumptions!$E$74+K9997/Assumptions!$E$75</f>
        <v>0.627083564679102</v>
      </c>
      <c r="L10014" s="48" t="n">
        <f aca="false">(L9998+L9999)/Assumptions!$E$74+L9997/Assumptions!$E$75</f>
        <v>0.780785653420548</v>
      </c>
      <c r="M10014" s="48" t="n">
        <f aca="false">(M9998+M9999)/Assumptions!$E$74+M9997/Assumptions!$E$75</f>
        <v>0.925894318962009</v>
      </c>
      <c r="N10014" s="48" t="n">
        <f aca="false">(N9998+N9999)/Assumptions!$E$74+N9997/Assumptions!$E$75</f>
        <v>1.06238775826683</v>
      </c>
      <c r="P10014" s="49" t="n">
        <f aca="false">AVERAGE(C10014:F10014)</f>
        <v>0.0589827297216975</v>
      </c>
      <c r="Q10014" s="49" t="n">
        <f aca="false">AVERAGE(G10014:J10014)</f>
        <v>0.320376038399004</v>
      </c>
      <c r="R10014" s="49" t="n">
        <f aca="false">AVERAGE(K10014:N10014)</f>
        <v>0.849037823832122</v>
      </c>
      <c r="S10014" s="50"/>
    </row>
    <row r="10015" customFormat="false" ht="15" hidden="false" customHeight="false" outlineLevel="0" collapsed="false">
      <c r="A10015" s="4" t="s">
        <v>554</v>
      </c>
      <c r="B10015" s="36" t="s">
        <v>125</v>
      </c>
      <c r="C10015" s="54" t="n">
        <f aca="false">(C10009+C10011)*Assumptions!$E$70/Assumptions!$E$69/4</f>
        <v>66753.5714285714</v>
      </c>
      <c r="D10015" s="54" t="n">
        <f aca="false">(D10009+D10011)*Assumptions!$E$70/Assumptions!$E$69/4</f>
        <v>66753.5714285714</v>
      </c>
      <c r="E10015" s="54" t="n">
        <f aca="false">(E10009+E10011)*Assumptions!$E$70/Assumptions!$E$69/4</f>
        <v>66753.5714285714</v>
      </c>
      <c r="F10015" s="54" t="n">
        <f aca="false">(F10009+F10011)*Assumptions!$E$70/Assumptions!$E$69/4</f>
        <v>66753.5714285714</v>
      </c>
      <c r="G10015" s="54" t="n">
        <f aca="false">(G10009+G10011)*Assumptions!$E$70/Assumptions!$E$69/4</f>
        <v>100130.357142857</v>
      </c>
      <c r="H10015" s="54" t="n">
        <f aca="false">(H10009+H10011)*Assumptions!$E$70/Assumptions!$E$69/4</f>
        <v>100130.357142857</v>
      </c>
      <c r="I10015" s="54" t="n">
        <f aca="false">(I10009+I10011)*Assumptions!$E$70/Assumptions!$E$69/4</f>
        <v>100130.357142857</v>
      </c>
      <c r="J10015" s="54" t="n">
        <f aca="false">(J10009+J10011)*Assumptions!$E$70/Assumptions!$E$69/4</f>
        <v>100130.357142857</v>
      </c>
      <c r="K10015" s="54" t="n">
        <f aca="false">(K10009+K10011)*Assumptions!$E$70/Assumptions!$E$69/4</f>
        <v>100130.357142857</v>
      </c>
      <c r="L10015" s="54" t="n">
        <f aca="false">(L10009+L10011)*Assumptions!$E$70/Assumptions!$E$69/4</f>
        <v>100130.357142857</v>
      </c>
      <c r="M10015" s="54" t="n">
        <f aca="false">(M10009+M10011)*Assumptions!$E$70/Assumptions!$E$69/4</f>
        <v>100130.357142857</v>
      </c>
      <c r="N10015" s="54" t="n">
        <f aca="false">(N10009+N10011)*Assumptions!$E$70/Assumptions!$E$69/4</f>
        <v>100130.357142857</v>
      </c>
      <c r="P10015" s="55" t="n">
        <f aca="false">SUM(C10015:F10015)</f>
        <v>267014.285714286</v>
      </c>
      <c r="Q10015" s="55" t="n">
        <f aca="false">SUM(G10015:J10015)</f>
        <v>400521.428571429</v>
      </c>
      <c r="R10015" s="55" t="n">
        <f aca="false">SUM(K10015:N10015)</f>
        <v>400521.428571429</v>
      </c>
      <c r="S10015" s="56" t="n">
        <f aca="false">SUM(P10015:R10015)</f>
        <v>1068057.14285714</v>
      </c>
    </row>
    <row r="10016" customFormat="false" ht="15" hidden="false" customHeight="false" outlineLevel="0" collapsed="false">
      <c r="A10016" s="4" t="s">
        <v>555</v>
      </c>
      <c r="B10016" s="36" t="s">
        <v>125</v>
      </c>
      <c r="C10016" s="54" t="n">
        <f aca="false">C10010*$C$9945/4</f>
        <v>0</v>
      </c>
      <c r="D10016" s="54" t="n">
        <f aca="false">D10010*$C$9945/4</f>
        <v>0</v>
      </c>
      <c r="E10016" s="54" t="n">
        <f aca="false">E10010*$C$9945/4</f>
        <v>0</v>
      </c>
      <c r="F10016" s="54" t="n">
        <f aca="false">F10010*$C$9945/4</f>
        <v>0</v>
      </c>
      <c r="G10016" s="54" t="n">
        <f aca="false">G10010*$C$9945/4</f>
        <v>0</v>
      </c>
      <c r="H10016" s="54" t="n">
        <f aca="false">H10010*$C$9945/4</f>
        <v>0</v>
      </c>
      <c r="I10016" s="54" t="n">
        <f aca="false">I10010*$C$9945/4</f>
        <v>0</v>
      </c>
      <c r="J10016" s="54" t="n">
        <f aca="false">J10010*$C$9945/4</f>
        <v>0</v>
      </c>
      <c r="K10016" s="54" t="n">
        <f aca="false">K10010*$C$9945/4</f>
        <v>0</v>
      </c>
      <c r="L10016" s="54" t="n">
        <f aca="false">L10010*$C$9945/4</f>
        <v>0</v>
      </c>
      <c r="M10016" s="54" t="n">
        <f aca="false">M10010*$C$9945/4</f>
        <v>0</v>
      </c>
      <c r="N10016" s="54" t="n">
        <f aca="false">N10010*$C$9945/4</f>
        <v>0</v>
      </c>
      <c r="P10016" s="55" t="n">
        <f aca="false">SUM(C10016:F10016)</f>
        <v>0</v>
      </c>
      <c r="Q10016" s="55" t="n">
        <f aca="false">SUM(G10016:J10016)</f>
        <v>0</v>
      </c>
      <c r="R10016" s="55" t="n">
        <f aca="false">SUM(K10016:N10016)</f>
        <v>0</v>
      </c>
      <c r="S10016" s="56" t="n">
        <f aca="false">SUM(P10016:R10016)</f>
        <v>0</v>
      </c>
    </row>
    <row r="10017" customFormat="false" ht="15" hidden="false" customHeight="false" outlineLevel="0" collapsed="false">
      <c r="A10017" s="4" t="s">
        <v>556</v>
      </c>
      <c r="B10017" s="36" t="s">
        <v>125</v>
      </c>
      <c r="C10017" s="54" t="n">
        <f aca="false">MAX(0,(C10005-C9986*$C$9941)-C9965*$C$9946)*$C$9947*Assumptions!$D$105</f>
        <v>0</v>
      </c>
      <c r="D10017" s="54" t="n">
        <f aca="false">MAX(0,(D10005-D9986*$C$9941)-D9965*$C$9946)*$C$9947*Assumptions!$D$105</f>
        <v>6650.89916534815</v>
      </c>
      <c r="E10017" s="54" t="n">
        <f aca="false">MAX(0,(E10005-E9986*$C$9941)-E9965*$C$9946)*$C$9947*Assumptions!$D$105</f>
        <v>15312.5647976113</v>
      </c>
      <c r="F10017" s="54" t="n">
        <f aca="false">MAX(0,(F10005-F9986*$C$9941)-F9965*$C$9946)*$C$9947*Assumptions!$D$105</f>
        <v>19285.2381018304</v>
      </c>
      <c r="G10017" s="54" t="n">
        <f aca="false">MAX(0,(G10005-G9986*$C$9941)-G9965*$C$9946)*$C$9947*Assumptions!$D$105</f>
        <v>21181.8214561247</v>
      </c>
      <c r="H10017" s="54" t="n">
        <f aca="false">MAX(0,(H10005-H9986*$C$9941)-H9965*$C$9946)*$C$9947*Assumptions!$D$105</f>
        <v>25643.8775883701</v>
      </c>
      <c r="I10017" s="54" t="n">
        <f aca="false">MAX(0,(I10005-I9986*$C$9941)-I9965*$C$9946)*$C$9947*Assumptions!$D$105</f>
        <v>30613.7455891855</v>
      </c>
      <c r="J10017" s="54" t="n">
        <f aca="false">MAX(0,(J10005-J9986*$C$9941)-J9965*$C$9946)*$C$9947*Assumptions!$D$105</f>
        <v>41066.4681377202</v>
      </c>
      <c r="K10017" s="54" t="n">
        <f aca="false">MAX(0,(K10005-K9986*$C$9941)-K9965*$C$9946)*$C$9947*Assumptions!$D$105</f>
        <v>52968.7799395103</v>
      </c>
      <c r="L10017" s="54" t="n">
        <f aca="false">MAX(0,(L10005-L9986*$C$9941)-L9965*$C$9946)*$C$9947*Assumptions!$D$105</f>
        <v>56639.2071486579</v>
      </c>
      <c r="M10017" s="54" t="n">
        <f aca="false">MAX(0,(M10005-M9986*$C$9941)-M9965*$C$9946)*$C$9947*Assumptions!$D$105</f>
        <v>55621.6791125609</v>
      </c>
      <c r="N10017" s="54" t="n">
        <f aca="false">MAX(0,(N10005-N9986*$C$9941)-N9965*$C$9946)*$C$9947*Assumptions!$D$105</f>
        <v>54020.3250549855</v>
      </c>
      <c r="P10017" s="55" t="n">
        <f aca="false">SUM(C10017:F10017)</f>
        <v>41248.7020647899</v>
      </c>
      <c r="Q10017" s="55" t="n">
        <f aca="false">SUM(G10017:J10017)</f>
        <v>118505.9127714</v>
      </c>
      <c r="R10017" s="55" t="n">
        <f aca="false">SUM(K10017:N10017)</f>
        <v>219249.991255715</v>
      </c>
      <c r="S10017" s="56" t="n">
        <f aca="false">SUM(P10017:R10017)</f>
        <v>379004.606091905</v>
      </c>
    </row>
    <row r="10018" customFormat="false" ht="15" hidden="false" customHeight="false" outlineLevel="0" collapsed="false">
      <c r="A10018" s="4" t="s">
        <v>557</v>
      </c>
      <c r="B10018" s="36" t="s">
        <v>125</v>
      </c>
      <c r="C10018" s="54" t="n">
        <f aca="false">C10013*Assumptions!$E$71/Assumptions!$E$69/4</f>
        <v>18475.8928571429</v>
      </c>
      <c r="D10018" s="54" t="n">
        <f aca="false">D10013*Assumptions!$E$71/Assumptions!$E$69/4</f>
        <v>18475.8928571429</v>
      </c>
      <c r="E10018" s="54" t="n">
        <f aca="false">E10013*Assumptions!$E$71/Assumptions!$E$69/4</f>
        <v>18475.8928571429</v>
      </c>
      <c r="F10018" s="54" t="n">
        <f aca="false">F10013*Assumptions!$E$71/Assumptions!$E$69/4</f>
        <v>18475.8928571429</v>
      </c>
      <c r="G10018" s="54" t="n">
        <f aca="false">G10013*Assumptions!$E$71/Assumptions!$E$69/4</f>
        <v>18475.8928571429</v>
      </c>
      <c r="H10018" s="54" t="n">
        <f aca="false">H10013*Assumptions!$E$71/Assumptions!$E$69/4</f>
        <v>18475.8928571429</v>
      </c>
      <c r="I10018" s="54" t="n">
        <f aca="false">I10013*Assumptions!$E$71/Assumptions!$E$69/4</f>
        <v>18475.8928571429</v>
      </c>
      <c r="J10018" s="54" t="n">
        <f aca="false">J10013*Assumptions!$E$71/Assumptions!$E$69/4</f>
        <v>18475.8928571429</v>
      </c>
      <c r="K10018" s="54" t="n">
        <f aca="false">K10013*Assumptions!$E$71/Assumptions!$E$69/4</f>
        <v>18475.8928571429</v>
      </c>
      <c r="L10018" s="54" t="n">
        <f aca="false">L10013*Assumptions!$E$71/Assumptions!$E$69/4</f>
        <v>18475.8928571429</v>
      </c>
      <c r="M10018" s="54" t="n">
        <f aca="false">M10013*Assumptions!$E$71/Assumptions!$E$69/4</f>
        <v>18475.8928571429</v>
      </c>
      <c r="N10018" s="54" t="n">
        <f aca="false">N10013*Assumptions!$E$71/Assumptions!$E$69/4</f>
        <v>18475.8928571429</v>
      </c>
      <c r="P10018" s="55" t="n">
        <f aca="false">SUM(C10018:F10018)</f>
        <v>73903.5714285714</v>
      </c>
      <c r="Q10018" s="55" t="n">
        <f aca="false">SUM(G10018:J10018)</f>
        <v>73903.5714285714</v>
      </c>
      <c r="R10018" s="55" t="n">
        <f aca="false">SUM(K10018:N10018)</f>
        <v>73903.5714285714</v>
      </c>
      <c r="S10018" s="56" t="n">
        <f aca="false">SUM(P10018:R10018)</f>
        <v>221710.714285714</v>
      </c>
    </row>
    <row r="10019" customFormat="false" ht="15" hidden="false" customHeight="false" outlineLevel="0" collapsed="false">
      <c r="A10019" s="4" t="s">
        <v>558</v>
      </c>
      <c r="B10019" s="36" t="s">
        <v>125</v>
      </c>
      <c r="C10019" s="54" t="n">
        <f aca="false">(Assumptions!$D$103+Assumptions!$E$77*((C9950=Assumptions!$E$13)+(C9950=Assumptions!$E$14)+(C9950=Assumptions!$E$15)))*C9951</f>
        <v>65000</v>
      </c>
      <c r="D10019" s="54" t="n">
        <f aca="false">(Assumptions!$D$103+Assumptions!$E$77*((D9950=Assumptions!$E$13)+(D9950=Assumptions!$E$14)+(D9950=Assumptions!$E$15)))*D9951</f>
        <v>25000</v>
      </c>
      <c r="E10019" s="54" t="n">
        <f aca="false">(Assumptions!$D$103+Assumptions!$E$77*((E9950=Assumptions!$E$13)+(E9950=Assumptions!$E$14)+(E9950=Assumptions!$E$15)))*E9951</f>
        <v>25000</v>
      </c>
      <c r="F10019" s="54" t="n">
        <f aca="false">(Assumptions!$D$103+Assumptions!$E$77*((F9950=Assumptions!$E$13)+(F9950=Assumptions!$E$14)+(F9950=Assumptions!$E$15)))*F9951</f>
        <v>25000</v>
      </c>
      <c r="G10019" s="54" t="n">
        <f aca="false">(Assumptions!$D$103+Assumptions!$E$77*((G9950=Assumptions!$E$13)+(G9950=Assumptions!$E$14)+(G9950=Assumptions!$E$15)))*G9951</f>
        <v>65000</v>
      </c>
      <c r="H10019" s="54" t="n">
        <f aca="false">(Assumptions!$D$103+Assumptions!$E$77*((H9950=Assumptions!$E$13)+(H9950=Assumptions!$E$14)+(H9950=Assumptions!$E$15)))*H9951</f>
        <v>25000</v>
      </c>
      <c r="I10019" s="54" t="n">
        <f aca="false">(Assumptions!$D$103+Assumptions!$E$77*((I9950=Assumptions!$E$13)+(I9950=Assumptions!$E$14)+(I9950=Assumptions!$E$15)))*I9951</f>
        <v>65000</v>
      </c>
      <c r="J10019" s="54" t="n">
        <f aca="false">(Assumptions!$D$103+Assumptions!$E$77*((J9950=Assumptions!$E$13)+(J9950=Assumptions!$E$14)+(J9950=Assumptions!$E$15)))*J9951</f>
        <v>25000</v>
      </c>
      <c r="K10019" s="54" t="n">
        <f aca="false">(Assumptions!$D$103+Assumptions!$E$77*((K9950=Assumptions!$E$13)+(K9950=Assumptions!$E$14)+(K9950=Assumptions!$E$15)))*K9951</f>
        <v>25000</v>
      </c>
      <c r="L10019" s="54" t="n">
        <f aca="false">(Assumptions!$D$103+Assumptions!$E$77*((L9950=Assumptions!$E$13)+(L9950=Assumptions!$E$14)+(L9950=Assumptions!$E$15)))*L9951</f>
        <v>25000</v>
      </c>
      <c r="M10019" s="54" t="n">
        <f aca="false">(Assumptions!$D$103+Assumptions!$E$77*((M9950=Assumptions!$E$13)+(M9950=Assumptions!$E$14)+(M9950=Assumptions!$E$15)))*M9951</f>
        <v>25000</v>
      </c>
      <c r="N10019" s="54" t="n">
        <f aca="false">(Assumptions!$D$103+Assumptions!$E$77*((N9950=Assumptions!$E$13)+(N9950=Assumptions!$E$14)+(N9950=Assumptions!$E$15)))*N9951</f>
        <v>25000</v>
      </c>
      <c r="P10019" s="55" t="n">
        <f aca="false">SUM(C10019:F10019)</f>
        <v>140000</v>
      </c>
      <c r="Q10019" s="55" t="n">
        <f aca="false">SUM(G10019:J10019)</f>
        <v>180000</v>
      </c>
      <c r="R10019" s="55" t="n">
        <f aca="false">SUM(K10019:N10019)</f>
        <v>100000</v>
      </c>
      <c r="S10019" s="56" t="n">
        <f aca="false">SUM(P10019:R10019)</f>
        <v>420000</v>
      </c>
    </row>
    <row r="10020" customFormat="false" ht="15" hidden="false" customHeight="false" outlineLevel="0" collapsed="false">
      <c r="A10020" s="4" t="s">
        <v>559</v>
      </c>
      <c r="B10020" s="36" t="s">
        <v>125</v>
      </c>
      <c r="C10020" s="54" t="n">
        <f aca="false">C10005*C9985*Assumptions!$E$79</f>
        <v>0</v>
      </c>
      <c r="D10020" s="54" t="n">
        <f aca="false">D10005*D9985*Assumptions!$E$79</f>
        <v>1553.02642543889</v>
      </c>
      <c r="E10020" s="54" t="n">
        <f aca="false">E10005*E9985*Assumptions!$E$79</f>
        <v>3003.72292789236</v>
      </c>
      <c r="F10020" s="54" t="n">
        <f aca="false">F10005*F9985*Assumptions!$E$79</f>
        <v>4502.45255296342</v>
      </c>
      <c r="G10020" s="54" t="n">
        <f aca="false">G10005*G9985*Assumptions!$E$79</f>
        <v>5640.44412094699</v>
      </c>
      <c r="H10020" s="54" t="n">
        <f aca="false">H10005*H9985*Assumptions!$E$79</f>
        <v>6479.72695911333</v>
      </c>
      <c r="I10020" s="54" t="n">
        <f aca="false">I10005*I9985*Assumptions!$E$79</f>
        <v>7526.55425603851</v>
      </c>
      <c r="J10020" s="54" t="n">
        <f aca="false">J10005*J9985*Assumptions!$E$79</f>
        <v>8076.52579566576</v>
      </c>
      <c r="K10020" s="54" t="n">
        <f aca="false">K10005*K9985*Assumptions!$E$79</f>
        <v>9153.26173187306</v>
      </c>
      <c r="L10020" s="54" t="n">
        <f aca="false">L10005*L9985*Assumptions!$E$79</f>
        <v>10719.2987762461</v>
      </c>
      <c r="M10020" s="54" t="n">
        <f aca="false">M10005*M9985*Assumptions!$E$79</f>
        <v>10832.5717215956</v>
      </c>
      <c r="N10020" s="54" t="n">
        <f aca="false">N10005*N9985*Assumptions!$E$79</f>
        <v>10828.6894981505</v>
      </c>
      <c r="P10020" s="55" t="n">
        <f aca="false">SUM(C10020:F10020)</f>
        <v>9059.20190629466</v>
      </c>
      <c r="Q10020" s="55" t="n">
        <f aca="false">SUM(G10020:J10020)</f>
        <v>27723.2511317646</v>
      </c>
      <c r="R10020" s="55" t="n">
        <f aca="false">SUM(K10020:N10020)</f>
        <v>41533.8217278653</v>
      </c>
      <c r="S10020" s="56" t="n">
        <f aca="false">SUM(P10020:R10020)</f>
        <v>78316.2747659246</v>
      </c>
    </row>
    <row r="10021" customFormat="false" ht="15" hidden="false" customHeight="false" outlineLevel="0" collapsed="false">
      <c r="A10021" s="4" t="s">
        <v>560</v>
      </c>
      <c r="B10021" s="36" t="s">
        <v>125</v>
      </c>
      <c r="C10021" s="54" t="n">
        <f aca="false">C9970*Assumptions!$E$80</f>
        <v>4000</v>
      </c>
      <c r="D10021" s="54" t="n">
        <f aca="false">D9970*Assumptions!$E$80</f>
        <v>6000</v>
      </c>
      <c r="E10021" s="54" t="n">
        <f aca="false">E9970*Assumptions!$E$80</f>
        <v>8000</v>
      </c>
      <c r="F10021" s="54" t="n">
        <f aca="false">F9970*Assumptions!$E$80</f>
        <v>10000</v>
      </c>
      <c r="G10021" s="54" t="n">
        <f aca="false">G9970*Assumptions!$E$80</f>
        <v>12000</v>
      </c>
      <c r="H10021" s="54" t="n">
        <f aca="false">H9970*Assumptions!$E$80</f>
        <v>14000</v>
      </c>
      <c r="I10021" s="54" t="n">
        <f aca="false">I9970*Assumptions!$E$80</f>
        <v>16000</v>
      </c>
      <c r="J10021" s="54" t="n">
        <f aca="false">J9970*Assumptions!$E$80</f>
        <v>18000</v>
      </c>
      <c r="K10021" s="54" t="n">
        <f aca="false">K9970*Assumptions!$E$80</f>
        <v>20000</v>
      </c>
      <c r="L10021" s="54" t="n">
        <f aca="false">L9970*Assumptions!$E$80</f>
        <v>20000</v>
      </c>
      <c r="M10021" s="54" t="n">
        <f aca="false">M9970*Assumptions!$E$80</f>
        <v>20000</v>
      </c>
      <c r="N10021" s="54" t="n">
        <f aca="false">N9970*Assumptions!$E$80</f>
        <v>20000</v>
      </c>
      <c r="P10021" s="55" t="n">
        <f aca="false">SUM(C10021:F10021)</f>
        <v>28000</v>
      </c>
      <c r="Q10021" s="55" t="n">
        <f aca="false">SUM(G10021:J10021)</f>
        <v>60000</v>
      </c>
      <c r="R10021" s="55" t="n">
        <f aca="false">SUM(K10021:N10021)</f>
        <v>80000</v>
      </c>
      <c r="S10021" s="56" t="n">
        <f aca="false">SUM(P10021:R10021)</f>
        <v>168000</v>
      </c>
    </row>
    <row r="10022" customFormat="false" ht="15" hidden="false" customHeight="false" outlineLevel="0" collapsed="false">
      <c r="A10022" s="4" t="s">
        <v>561</v>
      </c>
      <c r="B10022" s="36" t="s">
        <v>125</v>
      </c>
      <c r="C10022" s="54" t="n">
        <f aca="false">(C9993*$C$9942+C9994*$C$9943)*Assumptions!$E$81</f>
        <v>0</v>
      </c>
      <c r="D10022" s="54" t="n">
        <f aca="false">(D9993*$C$9942+D9994*$C$9943)*Assumptions!$E$81</f>
        <v>1211.3104159325</v>
      </c>
      <c r="E10022" s="54" t="n">
        <f aca="false">(E9993*$C$9942+E9994*$C$9943)*Assumptions!$E$81</f>
        <v>3334.36295908177</v>
      </c>
      <c r="F10022" s="54" t="n">
        <f aca="false">(F9993*$C$9942+F9994*$C$9943)*Assumptions!$E$81</f>
        <v>4447.44400401514</v>
      </c>
      <c r="G10022" s="54" t="n">
        <f aca="false">(G9993*$C$9942+G9994*$C$9943)*Assumptions!$E$81</f>
        <v>4889.56146911932</v>
      </c>
      <c r="H10022" s="54" t="n">
        <f aca="false">(H9993*$C$9942+H9994*$C$9943)*Assumptions!$E$81</f>
        <v>5773.27475184652</v>
      </c>
      <c r="I10022" s="54" t="n">
        <f aca="false">(I9993*$C$9942+I9994*$C$9943)*Assumptions!$E$81</f>
        <v>6856.62771012227</v>
      </c>
      <c r="J10022" s="54" t="n">
        <f aca="false">(J9993*$C$9942+J9994*$C$9943)*Assumptions!$E$81</f>
        <v>8783.94227962877</v>
      </c>
      <c r="K10022" s="54" t="n">
        <f aca="false">(K9993*$C$9942+K9994*$C$9943)*Assumptions!$E$81</f>
        <v>11313.4562979441</v>
      </c>
      <c r="L10022" s="54" t="n">
        <f aca="false">(L9993*$C$9942+L9994*$C$9943)*Assumptions!$E$81</f>
        <v>12453.0892537845</v>
      </c>
      <c r="M10022" s="54" t="n">
        <f aca="false">(M9993*$C$9942+M9994*$C$9943)*Assumptions!$E$81</f>
        <v>12296.4382965787</v>
      </c>
      <c r="N10022" s="54" t="n">
        <f aca="false">(N9993*$C$9942+N9994*$C$9943)*Assumptions!$E$81</f>
        <v>11940.215588659</v>
      </c>
      <c r="P10022" s="55" t="n">
        <f aca="false">SUM(C10022:F10022)</f>
        <v>8993.11737902942</v>
      </c>
      <c r="Q10022" s="55" t="n">
        <f aca="false">SUM(G10022:J10022)</f>
        <v>26303.4062107169</v>
      </c>
      <c r="R10022" s="55" t="n">
        <f aca="false">SUM(K10022:N10022)</f>
        <v>48003.1994369663</v>
      </c>
      <c r="S10022" s="56" t="n">
        <f aca="false">SUM(P10022:R10022)</f>
        <v>83299.7230267126</v>
      </c>
    </row>
    <row r="10023" customFormat="false" ht="15" hidden="false" customHeight="false" outlineLevel="0" collapsed="false">
      <c r="A10023" s="9" t="s">
        <v>562</v>
      </c>
      <c r="B10023" s="36" t="s">
        <v>125</v>
      </c>
      <c r="C10023" s="55" t="n">
        <f aca="false">C10015+C10016+C10017+C10018+C10019+C10020+C10021+C10022</f>
        <v>154229.464285714</v>
      </c>
      <c r="D10023" s="55" t="n">
        <f aca="false">D10015+D10016+D10017+D10018+D10019+D10020+D10021+D10022</f>
        <v>125644.700292434</v>
      </c>
      <c r="E10023" s="55" t="n">
        <f aca="false">E10015+E10016+E10017+E10018+E10019+E10020+E10021+E10022</f>
        <v>139880.1149703</v>
      </c>
      <c r="F10023" s="55" t="n">
        <f aca="false">F10015+F10016+F10017+F10018+F10019+F10020+F10021+F10022</f>
        <v>148464.598944523</v>
      </c>
      <c r="G10023" s="55" t="n">
        <f aca="false">G10015+G10016+G10017+G10018+G10019+G10020+G10021+G10022</f>
        <v>227318.077046191</v>
      </c>
      <c r="H10023" s="55" t="n">
        <f aca="false">H10015+H10016+H10017+H10018+H10019+H10020+H10021+H10022</f>
        <v>195503.12929933</v>
      </c>
      <c r="I10023" s="55" t="n">
        <f aca="false">I10015+I10016+I10017+I10018+I10019+I10020+I10021+I10022</f>
        <v>244603.177555346</v>
      </c>
      <c r="J10023" s="55" t="n">
        <f aca="false">J10015+J10016+J10017+J10018+J10019+J10020+J10021+J10022</f>
        <v>219533.186213015</v>
      </c>
      <c r="K10023" s="55" t="n">
        <f aca="false">K10015+K10016+K10017+K10018+K10019+K10020+K10021+K10022</f>
        <v>237041.747969327</v>
      </c>
      <c r="L10023" s="55" t="n">
        <f aca="false">L10015+L10016+L10017+L10018+L10019+L10020+L10021+L10022</f>
        <v>243417.845178689</v>
      </c>
      <c r="M10023" s="55" t="n">
        <f aca="false">M10015+M10016+M10017+M10018+M10019+M10020+M10021+M10022</f>
        <v>242356.939130735</v>
      </c>
      <c r="N10023" s="55" t="n">
        <f aca="false">N10015+N10016+N10017+N10018+N10019+N10020+N10021+N10022</f>
        <v>240395.480141795</v>
      </c>
      <c r="P10023" s="55" t="n">
        <f aca="false">SUM(C10023:F10023)</f>
        <v>568218.878492971</v>
      </c>
      <c r="Q10023" s="55" t="n">
        <f aca="false">SUM(G10023:J10023)</f>
        <v>886957.570113882</v>
      </c>
      <c r="R10023" s="55" t="n">
        <f aca="false">SUM(K10023:N10023)</f>
        <v>963212.012420546</v>
      </c>
      <c r="S10023" s="56" t="n">
        <f aca="false">SUM(P10023:R10023)</f>
        <v>2418388.4610274</v>
      </c>
    </row>
    <row r="10024" customFormat="false" ht="15" hidden="false" customHeight="false" outlineLevel="0" collapsed="false">
      <c r="A10024" s="4" t="s">
        <v>563</v>
      </c>
      <c r="B10024" s="36" t="s">
        <v>125</v>
      </c>
      <c r="C10024" s="54" t="n">
        <f aca="false">C10012*Assumptions!$E$72/Assumptions!$E$69/4</f>
        <v>56535.7142857143</v>
      </c>
      <c r="D10024" s="54" t="n">
        <f aca="false">D10012*Assumptions!$E$72/Assumptions!$E$69/4</f>
        <v>56535.7142857143</v>
      </c>
      <c r="E10024" s="54" t="n">
        <f aca="false">E10012*Assumptions!$E$72/Assumptions!$E$69/4</f>
        <v>56535.7142857143</v>
      </c>
      <c r="F10024" s="54" t="n">
        <f aca="false">F10012*Assumptions!$E$72/Assumptions!$E$69/4</f>
        <v>56535.7142857143</v>
      </c>
      <c r="G10024" s="54" t="n">
        <f aca="false">G10012*Assumptions!$E$72/Assumptions!$E$69/4</f>
        <v>28267.8571428571</v>
      </c>
      <c r="H10024" s="54" t="n">
        <f aca="false">H10012*Assumptions!$E$72/Assumptions!$E$69/4</f>
        <v>28267.8571428571</v>
      </c>
      <c r="I10024" s="54" t="n">
        <f aca="false">I10012*Assumptions!$E$72/Assumptions!$E$69/4</f>
        <v>28267.8571428571</v>
      </c>
      <c r="J10024" s="54" t="n">
        <f aca="false">J10012*Assumptions!$E$72/Assumptions!$E$69/4</f>
        <v>28267.8571428571</v>
      </c>
      <c r="K10024" s="54" t="n">
        <f aca="false">K10012*Assumptions!$E$72/Assumptions!$E$69/4</f>
        <v>28267.8571428571</v>
      </c>
      <c r="L10024" s="54" t="n">
        <f aca="false">L10012*Assumptions!$E$72/Assumptions!$E$69/4</f>
        <v>28267.8571428571</v>
      </c>
      <c r="M10024" s="54" t="n">
        <f aca="false">M10012*Assumptions!$E$72/Assumptions!$E$69/4</f>
        <v>28267.8571428571</v>
      </c>
      <c r="N10024" s="54" t="n">
        <f aca="false">N10012*Assumptions!$E$72/Assumptions!$E$69/4</f>
        <v>28267.8571428571</v>
      </c>
      <c r="P10024" s="55" t="n">
        <f aca="false">SUM(C10024:F10024)</f>
        <v>226142.857142857</v>
      </c>
      <c r="Q10024" s="55" t="n">
        <f aca="false">SUM(G10024:J10024)</f>
        <v>113071.428571429</v>
      </c>
      <c r="R10024" s="55" t="n">
        <f aca="false">SUM(K10024:N10024)</f>
        <v>113071.428571429</v>
      </c>
      <c r="S10024" s="56" t="n">
        <f aca="false">SUM(P10024:R10024)</f>
        <v>452285.714285714</v>
      </c>
    </row>
    <row r="10025" customFormat="false" ht="15" hidden="false" customHeight="false" outlineLevel="0" collapsed="false">
      <c r="A10025" s="4" t="s">
        <v>564</v>
      </c>
      <c r="B10025" s="36" t="s">
        <v>125</v>
      </c>
      <c r="C10025" s="54" t="n">
        <f aca="false">IF(C9950&lt;=Assumptions!$E$83,Assumptions!$E$82*Assumptions!$D$108/Assumptions!$E$83,0)</f>
        <v>62500</v>
      </c>
      <c r="D10025" s="54" t="n">
        <f aca="false">IF(D9950&lt;=Assumptions!$E$83,Assumptions!$E$82*Assumptions!$D$108/Assumptions!$E$83,0)</f>
        <v>62500</v>
      </c>
      <c r="E10025" s="54" t="n">
        <f aca="false">IF(E9950&lt;=Assumptions!$E$83,Assumptions!$E$82*Assumptions!$D$108/Assumptions!$E$83,0)</f>
        <v>62500</v>
      </c>
      <c r="F10025" s="54" t="n">
        <f aca="false">IF(F9950&lt;=Assumptions!$E$83,Assumptions!$E$82*Assumptions!$D$108/Assumptions!$E$83,0)</f>
        <v>62500</v>
      </c>
      <c r="G10025" s="54" t="n">
        <f aca="false">IF(G9950&lt;=Assumptions!$E$83,Assumptions!$E$82*Assumptions!$D$108/Assumptions!$E$83,0)</f>
        <v>0</v>
      </c>
      <c r="H10025" s="54" t="n">
        <f aca="false">IF(H9950&lt;=Assumptions!$E$83,Assumptions!$E$82*Assumptions!$D$108/Assumptions!$E$83,0)</f>
        <v>0</v>
      </c>
      <c r="I10025" s="54" t="n">
        <f aca="false">IF(I9950&lt;=Assumptions!$E$83,Assumptions!$E$82*Assumptions!$D$108/Assumptions!$E$83,0)</f>
        <v>0</v>
      </c>
      <c r="J10025" s="54" t="n">
        <f aca="false">IF(J9950&lt;=Assumptions!$E$83,Assumptions!$E$82*Assumptions!$D$108/Assumptions!$E$83,0)</f>
        <v>0</v>
      </c>
      <c r="K10025" s="54" t="n">
        <f aca="false">IF(K9950&lt;=Assumptions!$E$83,Assumptions!$E$82*Assumptions!$D$108/Assumptions!$E$83,0)</f>
        <v>0</v>
      </c>
      <c r="L10025" s="54" t="n">
        <f aca="false">IF(L9950&lt;=Assumptions!$E$83,Assumptions!$E$82*Assumptions!$D$108/Assumptions!$E$83,0)</f>
        <v>0</v>
      </c>
      <c r="M10025" s="54" t="n">
        <f aca="false">IF(M9950&lt;=Assumptions!$E$83,Assumptions!$E$82*Assumptions!$D$108/Assumptions!$E$83,0)</f>
        <v>0</v>
      </c>
      <c r="N10025" s="54" t="n">
        <f aca="false">IF(N9950&lt;=Assumptions!$E$83,Assumptions!$E$82*Assumptions!$D$108/Assumptions!$E$83,0)</f>
        <v>0</v>
      </c>
      <c r="P10025" s="55" t="n">
        <f aca="false">SUM(C10025:F10025)</f>
        <v>250000</v>
      </c>
      <c r="Q10025" s="55" t="n">
        <f aca="false">SUM(G10025:J10025)</f>
        <v>0</v>
      </c>
      <c r="R10025" s="55" t="n">
        <f aca="false">SUM(K10025:N10025)</f>
        <v>0</v>
      </c>
      <c r="S10025" s="56" t="n">
        <f aca="false">SUM(P10025:R10025)</f>
        <v>250000</v>
      </c>
    </row>
    <row r="10026" customFormat="false" ht="15" hidden="false" customHeight="false" outlineLevel="0" collapsed="false">
      <c r="A10026" s="4" t="s">
        <v>565</v>
      </c>
      <c r="B10026" s="36" t="s">
        <v>125</v>
      </c>
      <c r="C10026" s="54" t="n">
        <f aca="false">C10014*Assumptions!$E$73/Assumptions!$E$69/4</f>
        <v>0</v>
      </c>
      <c r="D10026" s="54" t="n">
        <f aca="false">D10014*Assumptions!$E$73/Assumptions!$E$69/4</f>
        <v>1095.83439915676</v>
      </c>
      <c r="E10026" s="54" t="n">
        <f aca="false">E10014*Assumptions!$E$73/Assumptions!$E$69/4</f>
        <v>3080.62679462211</v>
      </c>
      <c r="F10026" s="54" t="n">
        <f aca="false">F10014*Assumptions!$E$73/Assumptions!$E$69/4</f>
        <v>5303.74869334711</v>
      </c>
      <c r="G10026" s="54" t="n">
        <f aca="false">G10014*Assumptions!$E$73/Assumptions!$E$69/4</f>
        <v>7690.1026773233</v>
      </c>
      <c r="H10026" s="54" t="n">
        <f aca="false">H10014*Assumptions!$E$73/Assumptions!$E$69/4</f>
        <v>10645.1790540797</v>
      </c>
      <c r="I10026" s="54" t="n">
        <f aca="false">I10014*Assumptions!$E$73/Assumptions!$E$69/4</f>
        <v>14140.7527628429</v>
      </c>
      <c r="J10026" s="54" t="n">
        <f aca="false">J10014*Assumptions!$E$73/Assumptions!$E$69/4</f>
        <v>19017.5484775711</v>
      </c>
      <c r="K10026" s="54" t="n">
        <f aca="false">K10014*Assumptions!$E$73/Assumptions!$E$69/4</f>
        <v>25197.5613793021</v>
      </c>
      <c r="L10026" s="54" t="n">
        <f aca="false">L10014*Assumptions!$E$73/Assumptions!$E$69/4</f>
        <v>31373.6406665521</v>
      </c>
      <c r="M10026" s="54" t="n">
        <f aca="false">M10014*Assumptions!$E$73/Assumptions!$E$69/4</f>
        <v>37204.4177951484</v>
      </c>
      <c r="N10026" s="54" t="n">
        <f aca="false">N10014*Assumptions!$E$73/Assumptions!$E$69/4</f>
        <v>42689.0166723575</v>
      </c>
      <c r="P10026" s="55" t="n">
        <f aca="false">SUM(C10026:F10026)</f>
        <v>9480.20988712598</v>
      </c>
      <c r="Q10026" s="55" t="n">
        <f aca="false">SUM(G10026:J10026)</f>
        <v>51493.582971817</v>
      </c>
      <c r="R10026" s="55" t="n">
        <f aca="false">SUM(K10026:N10026)</f>
        <v>136464.63651336</v>
      </c>
      <c r="S10026" s="56" t="n">
        <f aca="false">SUM(P10026:R10026)</f>
        <v>197438.429372303</v>
      </c>
    </row>
    <row r="10027" customFormat="false" ht="15" hidden="false" customHeight="false" outlineLevel="0" collapsed="false">
      <c r="A10027" s="9" t="s">
        <v>566</v>
      </c>
      <c r="B10027" s="36" t="s">
        <v>125</v>
      </c>
      <c r="C10027" s="55" t="n">
        <f aca="false">C10023+C10024+C10025+C10026</f>
        <v>273265.178571429</v>
      </c>
      <c r="D10027" s="55" t="n">
        <f aca="false">D10023+D10024+D10025+D10026</f>
        <v>245776.248977305</v>
      </c>
      <c r="E10027" s="55" t="n">
        <f aca="false">E10023+E10024+E10025+E10026</f>
        <v>261996.456050636</v>
      </c>
      <c r="F10027" s="55" t="n">
        <f aca="false">F10023+F10024+F10025+F10026</f>
        <v>272804.061923585</v>
      </c>
      <c r="G10027" s="55" t="n">
        <f aca="false">G10023+G10024+G10025+G10026</f>
        <v>263276.036866372</v>
      </c>
      <c r="H10027" s="55" t="n">
        <f aca="false">H10023+H10024+H10025+H10026</f>
        <v>234416.165496267</v>
      </c>
      <c r="I10027" s="55" t="n">
        <f aca="false">I10023+I10024+I10025+I10026</f>
        <v>287011.787461046</v>
      </c>
      <c r="J10027" s="55" t="n">
        <f aca="false">J10023+J10024+J10025+J10026</f>
        <v>266818.591833443</v>
      </c>
      <c r="K10027" s="55" t="n">
        <f aca="false">K10023+K10024+K10025+K10026</f>
        <v>290507.166491487</v>
      </c>
      <c r="L10027" s="55" t="n">
        <f aca="false">L10023+L10024+L10025+L10026</f>
        <v>303059.342988098</v>
      </c>
      <c r="M10027" s="55" t="n">
        <f aca="false">M10023+M10024+M10025+M10026</f>
        <v>307829.214068741</v>
      </c>
      <c r="N10027" s="55" t="n">
        <f aca="false">N10023+N10024+N10025+N10026</f>
        <v>311352.35395701</v>
      </c>
      <c r="P10027" s="55" t="n">
        <f aca="false">SUM(C10027:F10027)</f>
        <v>1053841.94552295</v>
      </c>
      <c r="Q10027" s="55" t="n">
        <f aca="false">SUM(G10027:J10027)</f>
        <v>1051522.58165713</v>
      </c>
      <c r="R10027" s="55" t="n">
        <f aca="false">SUM(K10027:N10027)</f>
        <v>1212748.07750533</v>
      </c>
      <c r="S10027" s="56" t="n">
        <f aca="false">SUM(P10027:R10027)</f>
        <v>3318112.60468542</v>
      </c>
    </row>
    <row r="10028" customFormat="false" ht="15" hidden="false" customHeight="false" outlineLevel="0" collapsed="false">
      <c r="A10028" s="35" t="s">
        <v>567</v>
      </c>
      <c r="B10028" s="35" t="s">
        <v>444</v>
      </c>
      <c r="C10028" s="6" t="s">
        <v>354</v>
      </c>
      <c r="D10028" s="6" t="s">
        <v>355</v>
      </c>
      <c r="E10028" s="6" t="s">
        <v>356</v>
      </c>
      <c r="F10028" s="6" t="s">
        <v>357</v>
      </c>
      <c r="G10028" s="6" t="s">
        <v>358</v>
      </c>
      <c r="H10028" s="6" t="s">
        <v>359</v>
      </c>
      <c r="I10028" s="6" t="s">
        <v>360</v>
      </c>
      <c r="J10028" s="6" t="s">
        <v>361</v>
      </c>
      <c r="K10028" s="6" t="s">
        <v>362</v>
      </c>
      <c r="L10028" s="6" t="s">
        <v>363</v>
      </c>
      <c r="M10028" s="6" t="s">
        <v>364</v>
      </c>
      <c r="N10028" s="6" t="s">
        <v>365</v>
      </c>
      <c r="P10028" s="6" t="s">
        <v>445</v>
      </c>
      <c r="Q10028" s="6" t="s">
        <v>446</v>
      </c>
      <c r="R10028" s="6" t="s">
        <v>447</v>
      </c>
      <c r="S10028" s="6" t="s">
        <v>448</v>
      </c>
    </row>
    <row r="10029" customFormat="false" ht="15" hidden="false" customHeight="false" outlineLevel="0" collapsed="false">
      <c r="A10029" s="9" t="s">
        <v>568</v>
      </c>
      <c r="B10029" s="36" t="s">
        <v>125</v>
      </c>
      <c r="C10029" s="55" t="n">
        <f aca="false">C10007-C10027</f>
        <v>-273265.178571429</v>
      </c>
      <c r="D10029" s="55" t="n">
        <f aca="false">D10007-D10027</f>
        <v>-244402.515269269</v>
      </c>
      <c r="E10029" s="55" t="n">
        <f aca="false">E10007-E10027</f>
        <v>-256203.21249214</v>
      </c>
      <c r="F10029" s="55" t="n">
        <f aca="false">F10007-F10027</f>
        <v>-260148.271347104</v>
      </c>
      <c r="G10029" s="55" t="n">
        <f aca="false">G10007-G10027</f>
        <v>-242556.42436184</v>
      </c>
      <c r="H10029" s="55" t="n">
        <f aca="false">H10007-H10027</f>
        <v>-204228.505087734</v>
      </c>
      <c r="I10029" s="55" t="n">
        <f aca="false">I10007-I10027</f>
        <v>-245316.559869593</v>
      </c>
      <c r="J10029" s="55" t="n">
        <f aca="false">J10007-J10027</f>
        <v>-210300.052998826</v>
      </c>
      <c r="K10029" s="55" t="n">
        <f aca="false">K10007-K10027</f>
        <v>-214420.936789577</v>
      </c>
      <c r="L10029" s="55" t="n">
        <f aca="false">L10007-L10027</f>
        <v>-204106.071110769</v>
      </c>
      <c r="M10029" s="55" t="n">
        <f aca="false">M10007-M10027</f>
        <v>-185238.360874798</v>
      </c>
      <c r="N10029" s="55" t="n">
        <f aca="false">N10007-N10027</f>
        <v>-165287.546531678</v>
      </c>
      <c r="P10029" s="55" t="n">
        <f aca="false">SUM(C10029:F10029)</f>
        <v>-1034019.17767994</v>
      </c>
      <c r="Q10029" s="55" t="n">
        <f aca="false">SUM(G10029:J10029)</f>
        <v>-902401.542317992</v>
      </c>
      <c r="R10029" s="55" t="n">
        <f aca="false">SUM(K10029:N10029)</f>
        <v>-769052.915306822</v>
      </c>
      <c r="S10029" s="56" t="n">
        <f aca="false">SUM(P10029:R10029)</f>
        <v>-2705473.63530476</v>
      </c>
    </row>
    <row r="10030" customFormat="false" ht="15" hidden="false" customHeight="false" outlineLevel="0" collapsed="false">
      <c r="A10030" s="9" t="s">
        <v>569</v>
      </c>
      <c r="B10030" s="36" t="s">
        <v>125</v>
      </c>
      <c r="C10030" s="55" t="n">
        <f aca="false">0+C10029</f>
        <v>-273265.178571429</v>
      </c>
      <c r="D10030" s="55" t="n">
        <f aca="false">C10030+D10029</f>
        <v>-517667.693840697</v>
      </c>
      <c r="E10030" s="55" t="n">
        <f aca="false">D10030+E10029</f>
        <v>-773870.906332837</v>
      </c>
      <c r="F10030" s="55" t="n">
        <f aca="false">E10030+F10029</f>
        <v>-1034019.17767994</v>
      </c>
      <c r="G10030" s="55" t="n">
        <f aca="false">F10030+G10029</f>
        <v>-1276575.60204178</v>
      </c>
      <c r="H10030" s="55" t="n">
        <f aca="false">G10030+H10029</f>
        <v>-1480804.10712952</v>
      </c>
      <c r="I10030" s="55" t="n">
        <f aca="false">H10030+I10029</f>
        <v>-1726120.66699911</v>
      </c>
      <c r="J10030" s="55" t="n">
        <f aca="false">I10030+J10029</f>
        <v>-1936420.71999793</v>
      </c>
      <c r="K10030" s="55" t="n">
        <f aca="false">J10030+K10029</f>
        <v>-2150841.65678751</v>
      </c>
      <c r="L10030" s="55" t="n">
        <f aca="false">K10030+L10029</f>
        <v>-2354947.72789828</v>
      </c>
      <c r="M10030" s="55" t="n">
        <f aca="false">L10030+M10029</f>
        <v>-2540186.08877308</v>
      </c>
      <c r="N10030" s="55" t="n">
        <f aca="false">M10030+N10029</f>
        <v>-2705473.63530476</v>
      </c>
      <c r="P10030" s="55" t="n">
        <f aca="false">F10030</f>
        <v>-1034019.17767994</v>
      </c>
      <c r="Q10030" s="55" t="n">
        <f aca="false">J10030</f>
        <v>-1936420.71999793</v>
      </c>
      <c r="R10030" s="55" t="n">
        <f aca="false">N10030</f>
        <v>-2705473.63530476</v>
      </c>
      <c r="S10030" s="56" t="n">
        <f aca="false">R10030</f>
        <v>-2705473.63530476</v>
      </c>
    </row>
    <row r="10031" customFormat="false" ht="15" hidden="false" customHeight="false" outlineLevel="0" collapsed="false">
      <c r="A10031" s="4" t="s">
        <v>570</v>
      </c>
      <c r="B10031" s="36" t="s">
        <v>107</v>
      </c>
      <c r="C10031" s="57" t="n">
        <f aca="false">1/(1+Assumptions!$E$87)^(C9950/4)</f>
        <v>0.972065420906982</v>
      </c>
      <c r="D10031" s="57" t="n">
        <f aca="false">1/(1+Assumptions!$E$87)^(D9950/4)</f>
        <v>0.944911182523068</v>
      </c>
      <c r="E10031" s="57" t="n">
        <f aca="false">1/(1+Assumptions!$E$87)^(E9950/4)</f>
        <v>0.918515486359</v>
      </c>
      <c r="F10031" s="57" t="n">
        <f aca="false">1/(1+Assumptions!$E$87)^(F9950/4)</f>
        <v>0.892857142857143</v>
      </c>
      <c r="G10031" s="57" t="n">
        <f aca="false">1/(1+Assumptions!$E$87)^(G9950/4)</f>
        <v>0.867915554381234</v>
      </c>
      <c r="H10031" s="57" t="n">
        <f aca="false">1/(1+Assumptions!$E$87)^(H9950/4)</f>
        <v>0.843670698681311</v>
      </c>
      <c r="I10031" s="57" t="n">
        <f aca="false">1/(1+Assumptions!$E$87)^(I9950/4)</f>
        <v>0.820103112820536</v>
      </c>
      <c r="J10031" s="57" t="n">
        <f aca="false">1/(1+Assumptions!$E$87)^(J9950/4)</f>
        <v>0.79719387755102</v>
      </c>
      <c r="K10031" s="57" t="n">
        <f aca="false">1/(1+Assumptions!$E$87)^(K9950/4)</f>
        <v>0.774924602126102</v>
      </c>
      <c r="L10031" s="57" t="n">
        <f aca="false">1/(1+Assumptions!$E$87)^(L9950/4)</f>
        <v>0.753277409536885</v>
      </c>
      <c r="M10031" s="57" t="n">
        <f aca="false">1/(1+Assumptions!$E$87)^(M9950/4)</f>
        <v>0.732234922161193</v>
      </c>
      <c r="N10031" s="57" t="n">
        <f aca="false">1/(1+Assumptions!$E$87)^(N9950/4)</f>
        <v>0.711780247813411</v>
      </c>
      <c r="P10031" s="58"/>
      <c r="Q10031" s="58"/>
      <c r="R10031" s="58"/>
      <c r="S10031" s="59"/>
    </row>
    <row r="10032" customFormat="false" ht="15" hidden="false" customHeight="false" outlineLevel="0" collapsed="false">
      <c r="A10032" s="4" t="s">
        <v>571</v>
      </c>
      <c r="B10032" s="36" t="s">
        <v>125</v>
      </c>
      <c r="C10032" s="54" t="n">
        <f aca="false">(C10007*(1-Assumptions!$E$88)-C10027)*C10031</f>
        <v>-265631.630827257</v>
      </c>
      <c r="D10032" s="54" t="n">
        <f aca="false">(D10007*(1-Assumptions!$E$88)-D10027)*D10031</f>
        <v>-231198.280983203</v>
      </c>
      <c r="E10032" s="54" t="n">
        <f aca="false">(E10007*(1-Assumptions!$E$88)-E10027)*E10031</f>
        <v>-236390.855113902</v>
      </c>
      <c r="F10032" s="54" t="n">
        <f aca="false">(F10007*(1-Assumptions!$E$88)-F10027)*F10031</f>
        <v>-234535.204877143</v>
      </c>
      <c r="G10032" s="54" t="n">
        <f aca="false">(G10007*(1-Assumptions!$E$88)-G10027)*G10031</f>
        <v>-214115.068313423</v>
      </c>
      <c r="H10032" s="54" t="n">
        <f aca="false">(H10007*(1-Assumptions!$E$88)-H10027)*H10031</f>
        <v>-177395.294487693</v>
      </c>
      <c r="I10032" s="54" t="n">
        <f aca="false">(I10007*(1-Assumptions!$E$88)-I10027)*I10031</f>
        <v>-208023.751562981</v>
      </c>
      <c r="J10032" s="54" t="n">
        <f aca="false">(J10007*(1-Assumptions!$E$88)-J10027)*J10031</f>
        <v>-176661.161324736</v>
      </c>
      <c r="K10032" s="54" t="n">
        <f aca="false">(K10007*(1-Assumptions!$E$88)-K10027)*K10031</f>
        <v>-177952.277384974</v>
      </c>
      <c r="L10032" s="54" t="n">
        <f aca="false">(L10007*(1-Assumptions!$E$88)-L10027)*L10031</f>
        <v>-168656.345378062</v>
      </c>
      <c r="M10032" s="54" t="n">
        <f aca="false">(M10007*(1-Assumptions!$E$88)-M10027)*M10031</f>
        <v>-153591.057525653</v>
      </c>
      <c r="N10032" s="54" t="n">
        <f aca="false">(N10007*(1-Assumptions!$E$88)-N10027)*N10031</f>
        <v>-138441.619795993</v>
      </c>
      <c r="P10032" s="55" t="n">
        <f aca="false">SUM(C10032:F10032)</f>
        <v>-967755.971801505</v>
      </c>
      <c r="Q10032" s="55" t="n">
        <f aca="false">SUM(G10032:J10032)</f>
        <v>-776195.275688832</v>
      </c>
      <c r="R10032" s="55" t="n">
        <f aca="false">SUM(K10032:N10032)</f>
        <v>-638641.300084682</v>
      </c>
      <c r="S10032" s="56" t="n">
        <f aca="false">SUM(P10032:R10032)</f>
        <v>-2382592.54757502</v>
      </c>
    </row>
    <row r="10033" customFormat="false" ht="15" hidden="false" customHeight="false" outlineLevel="0" collapsed="false">
      <c r="A10033" s="4" t="s">
        <v>572</v>
      </c>
      <c r="B10033" s="36" t="s">
        <v>125</v>
      </c>
      <c r="C10033" s="54" t="n">
        <f aca="false">(C10027-C10026)*12/(Assumptions!$E$89*Assumptions!$E$76)*Assumptions!$E$90</f>
        <v>189183.585164835</v>
      </c>
      <c r="D10033" s="54" t="n">
        <f aca="false">(D10027-D10026)*12/(Assumptions!$E$89*Assumptions!$E$76)*Assumptions!$E$90</f>
        <v>169394.133169487</v>
      </c>
      <c r="E10033" s="54" t="n">
        <f aca="false">(E10027-E10026)*12/(Assumptions!$E$89*Assumptions!$E$76)*Assumptions!$E$90</f>
        <v>179249.420254164</v>
      </c>
      <c r="F10033" s="54" t="n">
        <f aca="false">(F10027-F10026)*12/(Assumptions!$E$89*Assumptions!$E$76)*Assumptions!$E$90</f>
        <v>185192.524544011</v>
      </c>
      <c r="G10033" s="54" t="n">
        <f aca="false">(G10027-G10026)*12/(Assumptions!$E$89*Assumptions!$E$76)*Assumptions!$E$90</f>
        <v>176944.108284726</v>
      </c>
      <c r="H10033" s="54" t="n">
        <f aca="false">(H10027-H10026)*12/(Assumptions!$E$89*Assumptions!$E$76)*Assumptions!$E$90</f>
        <v>154918.375229206</v>
      </c>
      <c r="I10033" s="54" t="n">
        <f aca="false">(I10027-I10026)*12/(Assumptions!$E$89*Assumptions!$E$76)*Assumptions!$E$90</f>
        <v>188910.716329525</v>
      </c>
      <c r="J10033" s="54" t="n">
        <f aca="false">(J10027-J10026)*12/(Assumptions!$E$89*Assumptions!$E$76)*Assumptions!$E$90</f>
        <v>171554.568477142</v>
      </c>
      <c r="K10033" s="54" t="n">
        <f aca="false">(K10027-K10026)*12/(Assumptions!$E$89*Assumptions!$E$76)*Assumptions!$E$90</f>
        <v>183675.880462282</v>
      </c>
      <c r="L10033" s="54" t="n">
        <f aca="false">(L10027-L10026)*12/(Assumptions!$E$89*Assumptions!$E$76)*Assumptions!$E$90</f>
        <v>188090.101607224</v>
      </c>
      <c r="M10033" s="54" t="n">
        <f aca="false">(M10027-M10026)*12/(Assumptions!$E$89*Assumptions!$E$76)*Assumptions!$E$90</f>
        <v>187355.62818941</v>
      </c>
      <c r="N10033" s="54" t="n">
        <f aca="false">(N10027-N10026)*12/(Assumptions!$E$89*Assumptions!$E$76)*Assumptions!$E$90</f>
        <v>185997.695043221</v>
      </c>
      <c r="P10033" s="55" t="n">
        <f aca="false">SUM(C10033:F10033)</f>
        <v>723019.663132496</v>
      </c>
      <c r="Q10033" s="55" t="n">
        <f aca="false">SUM(G10033:J10033)</f>
        <v>692327.7683206</v>
      </c>
      <c r="R10033" s="55" t="n">
        <f aca="false">SUM(K10033:N10033)</f>
        <v>745119.305302136</v>
      </c>
      <c r="S10033" s="56" t="n">
        <f aca="false">SUM(P10033:R10033)</f>
        <v>2160466.73675523</v>
      </c>
    </row>
    <row r="10034" customFormat="false" ht="15" hidden="false" customHeight="false" outlineLevel="0" collapsed="false">
      <c r="A10034" s="4" t="s">
        <v>573</v>
      </c>
      <c r="B10034" s="36" t="s">
        <v>125</v>
      </c>
      <c r="C10034" s="54" t="n">
        <f aca="false">0*Assumptions!$E$92^(1/4)+C10033</f>
        <v>189183.585164835</v>
      </c>
      <c r="D10034" s="54" t="n">
        <f aca="false">C10034*Assumptions!$E$92^(1/4)+D10033</f>
        <v>359048.913976501</v>
      </c>
      <c r="E10034" s="54" t="n">
        <f aca="false">D10034*Assumptions!$E$92^(1/4)+E10033</f>
        <v>539192.609933536</v>
      </c>
      <c r="F10034" s="54" t="n">
        <f aca="false">E10034*Assumptions!$E$92^(1/4)+F10033</f>
        <v>725728.090357543</v>
      </c>
      <c r="G10034" s="54" t="n">
        <f aca="false">F10034*Assumptions!$E$92^(1/4)+G10033</f>
        <v>904479.754584744</v>
      </c>
      <c r="H10034" s="54" t="n">
        <f aca="false">G10034*Assumptions!$E$92^(1/4)+H10033</f>
        <v>1061650.89882892</v>
      </c>
      <c r="I10034" s="54" t="n">
        <f aca="false">H10034*Assumptions!$E$92^(1/4)+I10033</f>
        <v>1253205.84709119</v>
      </c>
      <c r="J10034" s="54" t="n">
        <f aca="false">I10034*Assumptions!$E$92^(1/4)+J10033</f>
        <v>1427881.74944826</v>
      </c>
      <c r="K10034" s="54" t="n">
        <f aca="false">J10034*Assumptions!$E$92^(1/4)+K10033</f>
        <v>1615114.02544719</v>
      </c>
      <c r="L10034" s="54" t="n">
        <f aca="false">K10034*Assumptions!$E$92^(1/4)+L10033</f>
        <v>1807226.85814787</v>
      </c>
      <c r="M10034" s="54" t="n">
        <f aca="false">L10034*Assumptions!$E$92^(1/4)+M10033</f>
        <v>1999083.70888915</v>
      </c>
      <c r="N10034" s="54" t="n">
        <f aca="false">M10034*Assumptions!$E$92^(1/4)+N10033</f>
        <v>2190060.4803737</v>
      </c>
      <c r="P10034" s="55" t="n">
        <f aca="false">F10034</f>
        <v>725728.090357543</v>
      </c>
      <c r="Q10034" s="55" t="n">
        <f aca="false">J10034</f>
        <v>1427881.74944826</v>
      </c>
      <c r="R10034" s="55" t="n">
        <f aca="false">N10034</f>
        <v>2190060.4803737</v>
      </c>
      <c r="S10034" s="56" t="n">
        <f aca="false">R10034</f>
        <v>2190060.4803737</v>
      </c>
    </row>
    <row r="10035" customFormat="false" ht="15" hidden="false" customHeight="false" outlineLevel="0" collapsed="false">
      <c r="A10035" s="4" t="s">
        <v>574</v>
      </c>
      <c r="B10035" s="36" t="s">
        <v>125</v>
      </c>
      <c r="C10035" s="54" t="n">
        <f aca="false">(0+C10034)/8*Assumptions!$E$76-(C10027-C10026)-C10034*Assumptions!$E$93/4</f>
        <v>-260258.807091346</v>
      </c>
      <c r="D10035" s="54" t="n">
        <f aca="false">(C10034+D10034)/8*Assumptions!$E$76-(D10027-D10026)-D10034*Assumptions!$E$93/4</f>
        <v>-204624.635447621</v>
      </c>
      <c r="E10035" s="54" t="n">
        <f aca="false">(D10034+E10034)/8*Assumptions!$E$76-(E10027-E10026)-E10034*Assumptions!$E$93/4</f>
        <v>-192673.613062493</v>
      </c>
      <c r="F10035" s="54" t="n">
        <f aca="false">(E10034+F10034)/8*Assumptions!$E$76-(F10027-F10026)-F10034*Assumptions!$E$93/4</f>
        <v>-173797.107461057</v>
      </c>
      <c r="G10035" s="54" t="n">
        <f aca="false">(F10034+G10034)/8*Assumptions!$E$76-(G10027-G10026)-G10034*Assumptions!$E$93/4</f>
        <v>-134437.543719797</v>
      </c>
      <c r="H10035" s="54" t="n">
        <f aca="false">(G10034+H10034)/8*Assumptions!$E$76-(H10027-H10026)-H10034*Assumptions!$E$93/4</f>
        <v>-77293.5070876886</v>
      </c>
      <c r="I10035" s="54" t="n">
        <f aca="false">(H10034+I10034)/8*Assumptions!$E$76-(I10027-I10026)-I10034*Assumptions!$E$93/4</f>
        <v>-100453.997180835</v>
      </c>
      <c r="J10035" s="54" t="n">
        <f aca="false">(I10034+J10034)/8*Assumptions!$E$76-(J10027-J10026)-J10034*Assumptions!$E$93/4</f>
        <v>-47811.1980051449</v>
      </c>
      <c r="K10035" s="54" t="n">
        <f aca="false">(J10034+K10034)/8*Assumptions!$E$76-(K10027-K10026)-K10034*Assumptions!$E$93/4</f>
        <v>-38255.1237200186</v>
      </c>
      <c r="L10035" s="54" t="n">
        <f aca="false">(K10034+L10034)/8*Assumptions!$E$76-(L10027-L10026)-L10034*Assumptions!$E$93/4</f>
        <v>-16210.8412562953</v>
      </c>
      <c r="M10035" s="54" t="n">
        <f aca="false">(L10034+M10034)/8*Assumptions!$E$76-(M10027-M10026)-M10034*Assumptions!$E$93/4</f>
        <v>13649.3909370512</v>
      </c>
      <c r="N10035" s="54" t="n">
        <f aca="false">(M10034+N10034)/8*Assumptions!$E$76-(N10027-N10026)-N10034*Assumptions!$E$93/4</f>
        <v>44328.8720882834</v>
      </c>
      <c r="P10035" s="55" t="n">
        <f aca="false">SUM(C10035:F10035)</f>
        <v>-831354.163062516</v>
      </c>
      <c r="Q10035" s="55" t="n">
        <f aca="false">SUM(G10035:J10035)</f>
        <v>-359996.245993465</v>
      </c>
      <c r="R10035" s="55" t="n">
        <f aca="false">SUM(K10035:N10035)</f>
        <v>3512.2980490207</v>
      </c>
      <c r="S10035" s="56" t="n">
        <f aca="false">SUM(P10035:R10035)</f>
        <v>-1187838.11100696</v>
      </c>
    </row>
    <row r="10036" customFormat="false" ht="15" hidden="false" customHeight="false" outlineLevel="0" collapsed="false">
      <c r="A10036" s="4" t="s">
        <v>575</v>
      </c>
      <c r="B10036" s="36" t="s">
        <v>125</v>
      </c>
      <c r="C10036" s="54" t="n">
        <f aca="false">C10035*C10031</f>
        <v>-252988.586859998</v>
      </c>
      <c r="D10036" s="54" t="n">
        <f aca="false">D10035*D10031</f>
        <v>-193352.106254163</v>
      </c>
      <c r="E10036" s="54" t="n">
        <f aca="false">E10035*E10031</f>
        <v>-176973.697410641</v>
      </c>
      <c r="F10036" s="54" t="n">
        <f aca="false">F10035*F10031</f>
        <v>-155175.988804515</v>
      </c>
      <c r="G10036" s="54" t="n">
        <f aca="false">G10035*G10031</f>
        <v>-116680.435287219</v>
      </c>
      <c r="H10036" s="54" t="n">
        <f aca="false">H10035*H10031</f>
        <v>-65210.2671281991</v>
      </c>
      <c r="I10036" s="54" t="n">
        <f aca="false">I10035*I10031</f>
        <v>-82382.635783268</v>
      </c>
      <c r="J10036" s="54" t="n">
        <f aca="false">J10035*J10031</f>
        <v>-38114.794328081</v>
      </c>
      <c r="K10036" s="54" t="n">
        <f aca="false">K10035*K10031</f>
        <v>-29644.8365280202</v>
      </c>
      <c r="L10036" s="54" t="n">
        <f aca="false">L10035*L10031</f>
        <v>-12211.2605079558</v>
      </c>
      <c r="M10036" s="54" t="n">
        <f aca="false">M10035*M10031</f>
        <v>9994.56071033939</v>
      </c>
      <c r="N10036" s="54" t="n">
        <f aca="false">N10035*N10031</f>
        <v>31552.4155602873</v>
      </c>
      <c r="P10036" s="55" t="n">
        <f aca="false">SUM(C10036:F10036)</f>
        <v>-778490.379329318</v>
      </c>
      <c r="Q10036" s="55" t="n">
        <f aca="false">SUM(G10036:J10036)</f>
        <v>-302388.132526767</v>
      </c>
      <c r="R10036" s="55" t="n">
        <f aca="false">SUM(K10036:N10036)</f>
        <v>-309.120765349253</v>
      </c>
      <c r="S10036" s="56" t="n">
        <f aca="false">SUM(P10036:R10036)</f>
        <v>-1081187.63262143</v>
      </c>
    </row>
    <row r="10037" customFormat="false" ht="15" hidden="false" customHeight="false" outlineLevel="0" collapsed="false">
      <c r="A10037" s="4" t="s">
        <v>576</v>
      </c>
      <c r="B10037" s="36"/>
      <c r="C10037" s="37" t="n">
        <f aca="false">IFERROR((S9992*$C$9941*Assumptions!$E$59+S9993*$C$9942*Assumptions!$E$60+S9994*$C$9943*Assumptions!$E$61)/(S9992*$C$9941+S9993*$C$9942+S9994*$C$9943),0.9)</f>
        <v>0.897372181179545</v>
      </c>
    </row>
    <row r="10038" customFormat="false" ht="15" hidden="false" customHeight="false" outlineLevel="0" collapsed="false">
      <c r="A10038" s="4" t="s">
        <v>577</v>
      </c>
      <c r="B10038" s="36"/>
      <c r="C10038" s="37" t="n">
        <f aca="false">IFERROR(N10026*4/N10004,0)</f>
        <v>0.175911884278844</v>
      </c>
    </row>
    <row r="10039" customFormat="false" ht="15" hidden="false" customHeight="false" outlineLevel="0" collapsed="false">
      <c r="A10039" s="4" t="s">
        <v>578</v>
      </c>
      <c r="B10039" s="36"/>
      <c r="C10039" s="60" t="n">
        <f aca="false">$C$10037/(1+Assumptions!$E$87)</f>
        <v>0.801225161767451</v>
      </c>
    </row>
    <row r="10040" customFormat="false" ht="15" hidden="false" customHeight="false" outlineLevel="0" collapsed="false">
      <c r="A10040" s="4" t="s">
        <v>579</v>
      </c>
      <c r="B10040" s="36"/>
      <c r="C10040" s="60" t="n">
        <f aca="false">Assumptions!$E$91/(1+Assumptions!$E$87)</f>
        <v>0.803571428571429</v>
      </c>
    </row>
    <row r="10041" customFormat="false" ht="15" hidden="false" customHeight="false" outlineLevel="0" collapsed="false">
      <c r="A10041" s="35" t="s">
        <v>580</v>
      </c>
      <c r="B10041" s="35" t="s">
        <v>444</v>
      </c>
      <c r="C10041" s="6" t="s">
        <v>354</v>
      </c>
      <c r="D10041" s="6" t="s">
        <v>355</v>
      </c>
      <c r="E10041" s="6" t="s">
        <v>356</v>
      </c>
      <c r="F10041" s="6" t="s">
        <v>357</v>
      </c>
      <c r="G10041" s="6" t="s">
        <v>358</v>
      </c>
      <c r="H10041" s="6" t="s">
        <v>359</v>
      </c>
      <c r="I10041" s="6" t="s">
        <v>360</v>
      </c>
      <c r="J10041" s="6" t="s">
        <v>361</v>
      </c>
      <c r="K10041" s="6" t="s">
        <v>362</v>
      </c>
      <c r="L10041" s="6" t="s">
        <v>363</v>
      </c>
      <c r="M10041" s="6" t="s">
        <v>364</v>
      </c>
      <c r="N10041" s="6" t="s">
        <v>365</v>
      </c>
      <c r="P10041" s="6" t="s">
        <v>445</v>
      </c>
      <c r="Q10041" s="6" t="s">
        <v>446</v>
      </c>
      <c r="R10041" s="6" t="s">
        <v>447</v>
      </c>
      <c r="S10041" s="6" t="s">
        <v>448</v>
      </c>
    </row>
    <row r="10042" customFormat="false" ht="15" hidden="false" customHeight="false" outlineLevel="0" collapsed="false">
      <c r="A10042" s="9" t="s">
        <v>581</v>
      </c>
      <c r="C10042" s="61" t="n">
        <f aca="false">N10004</f>
        <v>970690.908061438</v>
      </c>
      <c r="D10042" s="61"/>
    </row>
    <row r="10043" customFormat="false" ht="15" hidden="false" customHeight="false" outlineLevel="0" collapsed="false">
      <c r="A10043" s="9" t="s">
        <v>582</v>
      </c>
      <c r="C10043" s="62" t="n">
        <f aca="false">N10000</f>
        <v>94.3392362937126</v>
      </c>
      <c r="D10043" s="62"/>
    </row>
    <row r="10044" customFormat="false" ht="15" hidden="false" customHeight="false" outlineLevel="0" collapsed="false">
      <c r="A10044" s="9" t="s">
        <v>583</v>
      </c>
      <c r="C10044" s="63" t="n">
        <f aca="false">S9995</f>
        <v>104.284037071607</v>
      </c>
      <c r="D10044" s="63"/>
    </row>
    <row r="10045" customFormat="false" ht="15" hidden="false" customHeight="false" outlineLevel="0" collapsed="false">
      <c r="A10045" s="9" t="s">
        <v>584</v>
      </c>
      <c r="C10045" s="61" t="n">
        <f aca="false">S10006</f>
        <v>942521.491354864</v>
      </c>
      <c r="D10045" s="61"/>
    </row>
    <row r="10046" customFormat="false" ht="15" hidden="false" customHeight="false" outlineLevel="0" collapsed="false">
      <c r="A10046" s="9" t="s">
        <v>22</v>
      </c>
      <c r="C10046" s="61" t="n">
        <f aca="false">IFERROR(S10005/S9995,0)</f>
        <v>8847.97350983958</v>
      </c>
      <c r="D10046" s="61"/>
    </row>
    <row r="10047" customFormat="false" ht="15" hidden="false" customHeight="false" outlineLevel="0" collapsed="false">
      <c r="A10047" s="9" t="s">
        <v>585</v>
      </c>
      <c r="C10047" s="61" t="n">
        <f aca="false">IFERROR(S10023/S9995,0)</f>
        <v>23190.3993069122</v>
      </c>
      <c r="D10047" s="61"/>
    </row>
    <row r="10048" customFormat="false" ht="23.85" hidden="false" customHeight="false" outlineLevel="0" collapsed="false">
      <c r="A10048" s="9" t="s">
        <v>586</v>
      </c>
      <c r="C10048" s="61" t="n">
        <f aca="false">IFERROR((S10017+S10019+S10020+S10021+S10022)/S9995,0)</f>
        <v>10822.563410252</v>
      </c>
      <c r="D10048" s="61"/>
    </row>
    <row r="10049" customFormat="false" ht="15" hidden="false" customHeight="false" outlineLevel="0" collapsed="false">
      <c r="A10049" s="9" t="s">
        <v>587</v>
      </c>
      <c r="C10049" s="64" t="n">
        <f aca="false">IFERROR('Engine Runs'!$C$10047/('Engine Runs'!$C$10046*Assumptions!$E$76/12),0)</f>
        <v>48.3874017329372</v>
      </c>
      <c r="D10049" s="64"/>
    </row>
    <row r="10050" customFormat="false" ht="15" hidden="false" customHeight="false" outlineLevel="0" collapsed="false">
      <c r="A10050" s="9" t="s">
        <v>588</v>
      </c>
      <c r="C10050" s="64" t="n">
        <f aca="false">IFERROR((R10023/R9995)/((R10005/R9995)*Assumptions!$E$76/12),0)</f>
        <v>33.2815628109303</v>
      </c>
      <c r="D10050" s="64"/>
    </row>
    <row r="10051" customFormat="false" ht="15" hidden="false" customHeight="false" outlineLevel="0" collapsed="false">
      <c r="A10051" s="9" t="s">
        <v>589</v>
      </c>
      <c r="C10051" s="61" t="n">
        <f aca="false">S10027</f>
        <v>3318112.60468542</v>
      </c>
      <c r="D10051" s="61"/>
    </row>
    <row r="10052" customFormat="false" ht="15" hidden="false" customHeight="false" outlineLevel="0" collapsed="false">
      <c r="A10052" s="9" t="s">
        <v>590</v>
      </c>
      <c r="C10052" s="61" t="n">
        <f aca="false">N10030</f>
        <v>-2705473.63530476</v>
      </c>
      <c r="D10052" s="61"/>
    </row>
    <row r="10053" customFormat="false" ht="15" hidden="false" customHeight="false" outlineLevel="0" collapsed="false">
      <c r="A10053" s="9" t="s">
        <v>591</v>
      </c>
      <c r="C10053" s="61" t="n">
        <f aca="false">MIN($C$10030:$N$10030)</f>
        <v>-2705473.63530476</v>
      </c>
      <c r="D10053" s="61"/>
    </row>
    <row r="10054" customFormat="false" ht="15" hidden="false" customHeight="false" outlineLevel="0" collapsed="false">
      <c r="A10054" s="9" t="s">
        <v>592</v>
      </c>
      <c r="C10054" s="61" t="n">
        <f aca="false">N10004*(Assumptions!$E$76-$C$10038)*$C$10037*(1-$C$10037^Assumptions!$E$85)/(1-$C$10037)</f>
        <v>1682314.95748299</v>
      </c>
      <c r="D10054" s="61"/>
    </row>
    <row r="10055" customFormat="false" ht="15" hidden="false" customHeight="false" outlineLevel="0" collapsed="false">
      <c r="A10055" s="9" t="s">
        <v>593</v>
      </c>
      <c r="C10055" s="61" t="n">
        <f aca="false">N10004*(Assumptions!$E$76-$C$10038)*(1-Assumptions!$E$88)/(1+Assumptions!$E$87)^2.5*$C$10039*(1-$C$10039^Assumptions!$E$85)/(1-$C$10039)</f>
        <v>748730.166590905</v>
      </c>
      <c r="D10055" s="61"/>
    </row>
    <row r="10056" customFormat="false" ht="15" hidden="false" customHeight="false" outlineLevel="0" collapsed="false">
      <c r="A10056" s="9" t="s">
        <v>594</v>
      </c>
      <c r="C10056" s="61" t="n">
        <f aca="false">SUM($C$10032:$N$10032)+'Engine Runs'!$C$10055</f>
        <v>-1633862.38098411</v>
      </c>
      <c r="D10056" s="61"/>
    </row>
    <row r="10057" customFormat="false" ht="15" hidden="false" customHeight="false" outlineLevel="0" collapsed="false">
      <c r="A10057" s="9" t="s">
        <v>595</v>
      </c>
      <c r="C10057" s="61" t="n">
        <f aca="false">SUM($C$10036:$N$10036)+N10034*(Assumptions!$E$76-Assumptions!$E$93)/(1+Assumptions!$E$87)^2.5*$C$10040*(1-$C$10040^Assumptions!$E$85)/(1-$C$10040)</f>
        <v>1611367.87757311</v>
      </c>
      <c r="D10057" s="61"/>
    </row>
    <row r="10058" customFormat="false" ht="15" hidden="false" customHeight="false" outlineLevel="0" collapsed="false">
      <c r="A10058" s="9" t="s">
        <v>596</v>
      </c>
      <c r="C10058" s="61" t="n">
        <f aca="false">'Engine Runs'!$C$10056-'Engine Runs'!$C$10057</f>
        <v>-3245230.25855722</v>
      </c>
      <c r="D10058" s="61"/>
    </row>
    <row r="10059" customFormat="false" ht="15" hidden="false" customHeight="false" outlineLevel="0" collapsed="false">
      <c r="A10059" s="9" t="s">
        <v>597</v>
      </c>
      <c r="C10059" s="61" t="n">
        <f aca="false">S9991</f>
        <v>0</v>
      </c>
      <c r="D10059" s="61"/>
    </row>
    <row r="10060" customFormat="false" ht="15" hidden="false" customHeight="false" outlineLevel="0" collapsed="false">
      <c r="A10060" s="9" t="s">
        <v>598</v>
      </c>
      <c r="C10060" s="63" t="n">
        <f aca="false">P9975</f>
        <v>43.6188722246667</v>
      </c>
      <c r="D10060" s="63"/>
    </row>
    <row r="10061" customFormat="false" ht="15" hidden="false" customHeight="false" outlineLevel="0" collapsed="false">
      <c r="A10061" s="9" t="s">
        <v>599</v>
      </c>
      <c r="C10061" s="63" t="n">
        <f aca="false">P9995</f>
        <v>11.7763981894979</v>
      </c>
      <c r="D10061" s="63"/>
    </row>
    <row r="10062" customFormat="false" ht="15" hidden="false" customHeight="false" outlineLevel="0" collapsed="false">
      <c r="A10062" s="9" t="s">
        <v>600</v>
      </c>
      <c r="C10062" s="63" t="n">
        <f aca="false">P9971</f>
        <v>42</v>
      </c>
      <c r="D10062" s="63"/>
    </row>
    <row r="10063" customFormat="false" ht="15" hidden="false" customHeight="false" outlineLevel="0" collapsed="false">
      <c r="A10063" s="9" t="s">
        <v>601</v>
      </c>
      <c r="C10063" s="61" t="n">
        <f aca="false">IFERROR(P10005/P9995,0)</f>
        <v>8545.01753177967</v>
      </c>
      <c r="D10063" s="61"/>
    </row>
    <row r="10066" customFormat="false" ht="15" hidden="false" customHeight="true" outlineLevel="0" collapsed="false">
      <c r="A10066" s="78" t="s">
        <v>957</v>
      </c>
      <c r="B10066" s="78"/>
      <c r="C10066" s="78"/>
      <c r="D10066" s="78"/>
      <c r="E10066" s="78"/>
      <c r="F10066" s="78"/>
      <c r="G10066" s="78"/>
      <c r="H10066" s="78"/>
      <c r="I10066" s="78"/>
      <c r="J10066" s="78"/>
      <c r="K10066" s="78"/>
      <c r="L10066" s="78"/>
      <c r="M10066" s="78"/>
      <c r="N10066" s="78"/>
    </row>
    <row r="10067" customFormat="false" ht="15" hidden="false" customHeight="true" outlineLevel="0" collapsed="false">
      <c r="A10067" s="79" t="s">
        <v>958</v>
      </c>
      <c r="B10067" s="79"/>
      <c r="C10067" s="79"/>
      <c r="D10067" s="79"/>
      <c r="E10067" s="79"/>
      <c r="F10067" s="79"/>
      <c r="G10067" s="79"/>
      <c r="H10067" s="79"/>
      <c r="I10067" s="79"/>
      <c r="J10067" s="79"/>
      <c r="K10067" s="79"/>
      <c r="L10067" s="79"/>
      <c r="M10067" s="79"/>
      <c r="N10067" s="79"/>
    </row>
    <row r="10068" customFormat="false" ht="15" hidden="false" customHeight="false" outlineLevel="0" collapsed="false">
      <c r="A10068" s="35" t="s">
        <v>959</v>
      </c>
      <c r="B10068" s="35" t="s">
        <v>444</v>
      </c>
      <c r="C10068" s="6" t="s">
        <v>354</v>
      </c>
      <c r="D10068" s="6" t="s">
        <v>355</v>
      </c>
      <c r="E10068" s="6" t="s">
        <v>356</v>
      </c>
      <c r="F10068" s="6" t="s">
        <v>357</v>
      </c>
      <c r="G10068" s="6" t="s">
        <v>358</v>
      </c>
      <c r="H10068" s="6" t="s">
        <v>359</v>
      </c>
      <c r="I10068" s="6" t="s">
        <v>360</v>
      </c>
      <c r="J10068" s="6" t="s">
        <v>361</v>
      </c>
      <c r="K10068" s="6" t="s">
        <v>362</v>
      </c>
      <c r="L10068" s="6" t="s">
        <v>363</v>
      </c>
      <c r="M10068" s="6" t="s">
        <v>364</v>
      </c>
      <c r="N10068" s="6" t="s">
        <v>365</v>
      </c>
      <c r="P10068" s="6" t="s">
        <v>445</v>
      </c>
      <c r="Q10068" s="6" t="s">
        <v>446</v>
      </c>
      <c r="R10068" s="6" t="s">
        <v>447</v>
      </c>
      <c r="S10068" s="6" t="s">
        <v>448</v>
      </c>
    </row>
    <row r="10069" customFormat="false" ht="15" hidden="false" customHeight="false" outlineLevel="0" collapsed="false">
      <c r="A10069" s="4" t="s">
        <v>449</v>
      </c>
      <c r="B10069" s="36" t="s">
        <v>450</v>
      </c>
      <c r="C10069" s="34" t="n">
        <f aca="false">'Market Sizing'!$C$17*Assumptions!$E$10*Assumptions!$E$11*(1-Assumptions!$E$12)</f>
        <v>843.03944704</v>
      </c>
    </row>
    <row r="10070" customFormat="false" ht="15" hidden="false" customHeight="false" outlineLevel="0" collapsed="false">
      <c r="A10070" s="4" t="s">
        <v>451</v>
      </c>
      <c r="B10070" s="36" t="s">
        <v>450</v>
      </c>
      <c r="C10070" s="34" t="n">
        <f aca="false">'Market Sizing'!$D$17*Assumptions!$E$10*Assumptions!$E$11*(1-Assumptions!$E$12)</f>
        <v>211.19616</v>
      </c>
    </row>
    <row r="10071" customFormat="false" ht="15" hidden="false" customHeight="false" outlineLevel="0" collapsed="false">
      <c r="A10071" s="4" t="s">
        <v>452</v>
      </c>
      <c r="B10071" s="36" t="s">
        <v>450</v>
      </c>
      <c r="C10071" s="34" t="n">
        <f aca="false">'Market Sizing'!$E$17*Assumptions!$E$10*Assumptions!$E$11*(1-Assumptions!$E$12)</f>
        <v>49.53984</v>
      </c>
    </row>
    <row r="10072" customFormat="false" ht="15" hidden="false" customHeight="false" outlineLevel="0" collapsed="false">
      <c r="A10072" s="4" t="s">
        <v>453</v>
      </c>
      <c r="B10072" s="36"/>
      <c r="C10072" s="34" t="n">
        <f aca="false">$C$10069+$C$10070+$C$10071</f>
        <v>1103.77544704</v>
      </c>
    </row>
    <row r="10073" customFormat="false" ht="15" hidden="false" customHeight="false" outlineLevel="0" collapsed="false">
      <c r="A10073" s="4" t="s">
        <v>454</v>
      </c>
      <c r="B10073" s="36" t="s">
        <v>450</v>
      </c>
      <c r="C10073" s="34" t="n">
        <f aca="false">'Market Sizing'!$C$18*Assumptions!$E$10*Assumptions!$E$11*(1-Assumptions!$E$12)</f>
        <v>612.57706944</v>
      </c>
    </row>
    <row r="10074" customFormat="false" ht="15" hidden="false" customHeight="false" outlineLevel="0" collapsed="false">
      <c r="A10074" s="4" t="s">
        <v>455</v>
      </c>
      <c r="B10074" s="36" t="s">
        <v>450</v>
      </c>
      <c r="C10074" s="34" t="n">
        <f aca="false">'Market Sizing'!$D$18*Assumptions!$E$10*Assumptions!$E$11*(1-Assumptions!$E$12)</f>
        <v>142.10112</v>
      </c>
    </row>
    <row r="10075" customFormat="false" ht="15" hidden="false" customHeight="false" outlineLevel="0" collapsed="false">
      <c r="A10075" s="4" t="s">
        <v>456</v>
      </c>
      <c r="B10075" s="36" t="s">
        <v>450</v>
      </c>
      <c r="C10075" s="34" t="n">
        <f aca="false">'Market Sizing'!$E$18*Assumptions!$E$10*Assumptions!$E$11*(1-Assumptions!$E$12)</f>
        <v>24.76992</v>
      </c>
    </row>
    <row r="10076" customFormat="false" ht="15" hidden="false" customHeight="false" outlineLevel="0" collapsed="false">
      <c r="A10076" s="4" t="s">
        <v>457</v>
      </c>
      <c r="B10076" s="36"/>
      <c r="C10076" s="34" t="n">
        <f aca="false">$C$10073+$C$10074+$C$10075</f>
        <v>779.44810944</v>
      </c>
    </row>
    <row r="10077" customFormat="false" ht="15" hidden="false" customHeight="false" outlineLevel="0" collapsed="false">
      <c r="A10077" s="4" t="s">
        <v>458</v>
      </c>
      <c r="B10077" s="36" t="s">
        <v>450</v>
      </c>
      <c r="C10077" s="34" t="n">
        <f aca="false">'Market Sizing'!$C$19*Assumptions!$E$10*Assumptions!$E$11*(1-Assumptions!$E$12)</f>
        <v>2060.77303936</v>
      </c>
    </row>
    <row r="10078" customFormat="false" ht="15" hidden="false" customHeight="false" outlineLevel="0" collapsed="false">
      <c r="A10078" s="4" t="s">
        <v>459</v>
      </c>
      <c r="B10078" s="36" t="s">
        <v>450</v>
      </c>
      <c r="C10078" s="34" t="n">
        <f aca="false">'Market Sizing'!$D$19*Assumptions!$E$10*Assumptions!$E$11*(1-Assumptions!$E$12)</f>
        <v>428.47616</v>
      </c>
    </row>
    <row r="10079" customFormat="false" ht="15" hidden="false" customHeight="false" outlineLevel="0" collapsed="false">
      <c r="A10079" s="4" t="s">
        <v>460</v>
      </c>
      <c r="B10079" s="36" t="s">
        <v>450</v>
      </c>
      <c r="C10079" s="34" t="n">
        <f aca="false">'Market Sizing'!$E$19*Assumptions!$E$10*Assumptions!$E$11*(1-Assumptions!$E$12)</f>
        <v>79.52448</v>
      </c>
    </row>
    <row r="10080" customFormat="false" ht="15" hidden="false" customHeight="false" outlineLevel="0" collapsed="false">
      <c r="A10080" s="4" t="s">
        <v>461</v>
      </c>
      <c r="B10080" s="36"/>
      <c r="C10080" s="34" t="n">
        <f aca="false">$C$10077+$C$10078+$C$10079</f>
        <v>2568.77367936</v>
      </c>
    </row>
    <row r="10081" customFormat="false" ht="15" hidden="false" customHeight="false" outlineLevel="0" collapsed="false">
      <c r="A10081" s="4" t="s">
        <v>462</v>
      </c>
      <c r="B10081" s="36" t="s">
        <v>463</v>
      </c>
      <c r="C10081" s="33" t="n">
        <f aca="false">MAX((Assumptions!$E$51+Assumptions!$E$53)*12,(((('Market Sizing'!$E$25*Assumptions!$E$41*Assumptions!$E$42*1.5)*Assumptions!$E$44)*Assumptions!$E$45*Assumptions!$E$46+('Market Sizing'!$E$25*Assumptions!$E$41*Assumptions!$E$42*1.5)*Assumptions!$E$47+('Market Sizing'!$E$25*Assumptions!$E$41*Assumptions!$E$42*1.5)*Assumptions!$E$48*Assumptions!$E$49)*(Assumptions!$E$51*12/Assumptions!$E$52)+((('Market Sizing'!$E$25*Assumptions!$E$41*Assumptions!$E$42*1.5)*Assumptions!$E$44)*Assumptions!$E$45+('Market Sizing'!$E$25*Assumptions!$E$41*Assumptions!$E$42*1.5)+('Market Sizing'!$E$25*Assumptions!$E$41*Assumptions!$E$42*1.5)*Assumptions!$E$48)*Assumptions!$E$50*(Assumptions!$E$53*12/Assumptions!$E$54)))</f>
        <v>5352</v>
      </c>
    </row>
    <row r="10082" customFormat="false" ht="15" hidden="false" customHeight="false" outlineLevel="0" collapsed="false">
      <c r="A10082" s="4" t="s">
        <v>464</v>
      </c>
      <c r="B10082" s="36" t="s">
        <v>463</v>
      </c>
      <c r="C10082" s="33" t="n">
        <f aca="false">MAX((Assumptions!$E$51+Assumptions!$E$53)*12,(((('Market Sizing'!$E$26*Assumptions!$E$41*Assumptions!$E$42*1.5)*Assumptions!$E$44)*Assumptions!$E$45*Assumptions!$E$46+('Market Sizing'!$E$26*Assumptions!$E$41*Assumptions!$E$42*1.5)*Assumptions!$E$47+('Market Sizing'!$E$26*Assumptions!$E$41*Assumptions!$E$42*1.5)*Assumptions!$E$48*Assumptions!$E$49)*(Assumptions!$E$51*12/Assumptions!$E$52)+((('Market Sizing'!$E$26*Assumptions!$E$41*Assumptions!$E$42*1.5)*Assumptions!$E$44)*Assumptions!$E$45+('Market Sizing'!$E$26*Assumptions!$E$41*Assumptions!$E$42*1.5)+('Market Sizing'!$E$26*Assumptions!$E$41*Assumptions!$E$42*1.5)*Assumptions!$E$48)*Assumptions!$E$50*(Assumptions!$E$53*12/Assumptions!$E$54)))</f>
        <v>14650.0801931281</v>
      </c>
    </row>
    <row r="10083" customFormat="false" ht="15" hidden="false" customHeight="false" outlineLevel="0" collapsed="false">
      <c r="A10083" s="4" t="s">
        <v>465</v>
      </c>
      <c r="B10083" s="36" t="s">
        <v>463</v>
      </c>
      <c r="C10083" s="33" t="n">
        <f aca="false">MAX(Assumptions!$E$55*(Assumptions!$E$51*12/Assumptions!$E$52)+Assumptions!$E$56*(Assumptions!$E$53*12/Assumptions!$E$54),(((('Market Sizing'!$E$27*Assumptions!$E$41*Assumptions!$E$42*1.5)*Assumptions!$E$44)*Assumptions!$E$45*Assumptions!$E$46+('Market Sizing'!$E$27*Assumptions!$E$41*Assumptions!$E$42*1.5)*Assumptions!$E$47+('Market Sizing'!$E$27*Assumptions!$E$41*Assumptions!$E$42*1.5)*Assumptions!$E$48*Assumptions!$E$49)*(Assumptions!$E$51*12/Assumptions!$E$52)+((('Market Sizing'!$E$27*Assumptions!$E$41*Assumptions!$E$42*1.5)*Assumptions!$E$44)*Assumptions!$E$45+('Market Sizing'!$E$27*Assumptions!$E$41*Assumptions!$E$42*1.5)+('Market Sizing'!$E$27*Assumptions!$E$41*Assumptions!$E$42*1.5)*Assumptions!$E$48)*Assumptions!$E$50*(Assumptions!$E$53*12/Assumptions!$E$54)))*(1-Assumptions!$E$57)</f>
        <v>92667.3843291578</v>
      </c>
    </row>
    <row r="10084" customFormat="false" ht="23.85" hidden="false" customHeight="false" outlineLevel="0" collapsed="false">
      <c r="A10084" s="4" t="s">
        <v>466</v>
      </c>
      <c r="B10084" s="36" t="s">
        <v>467</v>
      </c>
      <c r="C10084" s="37" t="n">
        <f aca="false">Assumptions!$E$17*Assumptions!$D$106</f>
        <v>0.4</v>
      </c>
    </row>
    <row r="10085" customFormat="false" ht="23.85" hidden="false" customHeight="false" outlineLevel="0" collapsed="false">
      <c r="A10085" s="4" t="s">
        <v>468</v>
      </c>
      <c r="B10085" s="36" t="s">
        <v>469</v>
      </c>
      <c r="C10085" s="33" t="n">
        <f aca="false">Assumptions!$E$68/Assumptions!$E$69</f>
        <v>285714.285714286</v>
      </c>
    </row>
    <row r="10086" customFormat="false" ht="23.85" hidden="false" customHeight="false" outlineLevel="0" collapsed="false">
      <c r="A10086" s="4" t="s">
        <v>470</v>
      </c>
      <c r="B10086" s="36" t="s">
        <v>471</v>
      </c>
      <c r="C10086" s="33" t="n">
        <f aca="false">Assumptions!$E$66*Assumptions!$E$67/4</f>
        <v>153125</v>
      </c>
    </row>
    <row r="10087" customFormat="false" ht="15" hidden="false" customHeight="false" outlineLevel="0" collapsed="false">
      <c r="A10087" s="4" t="s">
        <v>472</v>
      </c>
      <c r="B10087" s="36"/>
      <c r="C10087" s="38" t="n">
        <f aca="false">$C$10085/Assumptions!$E$66/Assumptions!$E$67</f>
        <v>0.466472303206997</v>
      </c>
    </row>
    <row r="10088" customFormat="false" ht="15" hidden="false" customHeight="false" outlineLevel="0" collapsed="false">
      <c r="A10088" s="4" t="s">
        <v>473</v>
      </c>
      <c r="B10088" s="36"/>
      <c r="C10088" s="33" t="n">
        <f aca="false">MAX(0,Assumptions!$D$103-Assumptions!$E$78)</f>
        <v>0</v>
      </c>
    </row>
    <row r="10089" customFormat="false" ht="15" hidden="false" customHeight="false" outlineLevel="0" collapsed="false">
      <c r="A10089" s="35" t="s">
        <v>474</v>
      </c>
      <c r="B10089" s="35" t="s">
        <v>444</v>
      </c>
      <c r="C10089" s="6" t="s">
        <v>354</v>
      </c>
      <c r="D10089" s="6" t="s">
        <v>355</v>
      </c>
      <c r="E10089" s="6" t="s">
        <v>356</v>
      </c>
      <c r="F10089" s="6" t="s">
        <v>357</v>
      </c>
      <c r="G10089" s="6" t="s">
        <v>358</v>
      </c>
      <c r="H10089" s="6" t="s">
        <v>359</v>
      </c>
      <c r="I10089" s="6" t="s">
        <v>360</v>
      </c>
      <c r="J10089" s="6" t="s">
        <v>361</v>
      </c>
      <c r="K10089" s="6" t="s">
        <v>362</v>
      </c>
      <c r="L10089" s="6" t="s">
        <v>363</v>
      </c>
      <c r="M10089" s="6" t="s">
        <v>364</v>
      </c>
      <c r="N10089" s="6" t="s">
        <v>365</v>
      </c>
      <c r="P10089" s="6" t="s">
        <v>445</v>
      </c>
      <c r="Q10089" s="6" t="s">
        <v>446</v>
      </c>
      <c r="R10089" s="6" t="s">
        <v>447</v>
      </c>
      <c r="S10089" s="6" t="s">
        <v>448</v>
      </c>
    </row>
    <row r="10090" customFormat="false" ht="15" hidden="false" customHeight="false" outlineLevel="0" collapsed="false">
      <c r="A10090" s="4" t="s">
        <v>475</v>
      </c>
      <c r="B10090" s="36" t="s">
        <v>133</v>
      </c>
      <c r="C10090" s="39" t="n">
        <v>1</v>
      </c>
      <c r="D10090" s="39" t="n">
        <v>2</v>
      </c>
      <c r="E10090" s="39" t="n">
        <v>3</v>
      </c>
      <c r="F10090" s="39" t="n">
        <v>4</v>
      </c>
      <c r="G10090" s="39" t="n">
        <v>5</v>
      </c>
      <c r="H10090" s="39" t="n">
        <v>6</v>
      </c>
      <c r="I10090" s="39" t="n">
        <v>7</v>
      </c>
      <c r="J10090" s="39" t="n">
        <v>8</v>
      </c>
      <c r="K10090" s="39" t="n">
        <v>9</v>
      </c>
      <c r="L10090" s="39" t="n">
        <v>10</v>
      </c>
      <c r="M10090" s="39" t="n">
        <v>11</v>
      </c>
      <c r="N10090" s="39" t="n">
        <v>12</v>
      </c>
      <c r="P10090" s="40"/>
      <c r="Q10090" s="40"/>
      <c r="R10090" s="40"/>
      <c r="S10090" s="41"/>
    </row>
    <row r="10091" customFormat="false" ht="15" hidden="false" customHeight="false" outlineLevel="0" collapsed="false">
      <c r="A10091" s="4" t="s">
        <v>476</v>
      </c>
      <c r="B10091" s="36" t="s">
        <v>343</v>
      </c>
      <c r="C10091" s="39" t="n">
        <f aca="false">IF(C10090&lt;=Assumptions!$E$84,1,0)</f>
        <v>1</v>
      </c>
      <c r="D10091" s="39" t="n">
        <f aca="false">IF(D10090&lt;=Assumptions!$E$84,1,0)</f>
        <v>1</v>
      </c>
      <c r="E10091" s="39" t="n">
        <f aca="false">IF(E10090&lt;=Assumptions!$E$84,1,0)</f>
        <v>1</v>
      </c>
      <c r="F10091" s="39" t="n">
        <f aca="false">IF(F10090&lt;=Assumptions!$E$84,1,0)</f>
        <v>1</v>
      </c>
      <c r="G10091" s="39" t="n">
        <f aca="false">IF(G10090&lt;=Assumptions!$E$84,1,0)</f>
        <v>1</v>
      </c>
      <c r="H10091" s="39" t="n">
        <f aca="false">IF(H10090&lt;=Assumptions!$E$84,1,0)</f>
        <v>1</v>
      </c>
      <c r="I10091" s="39" t="n">
        <f aca="false">IF(I10090&lt;=Assumptions!$E$84,1,0)</f>
        <v>1</v>
      </c>
      <c r="J10091" s="39" t="n">
        <f aca="false">IF(J10090&lt;=Assumptions!$E$84,1,0)</f>
        <v>1</v>
      </c>
      <c r="K10091" s="39" t="n">
        <f aca="false">IF(K10090&lt;=Assumptions!$E$84,1,0)</f>
        <v>1</v>
      </c>
      <c r="L10091" s="39" t="n">
        <f aca="false">IF(L10090&lt;=Assumptions!$E$84,1,0)</f>
        <v>1</v>
      </c>
      <c r="M10091" s="39" t="n">
        <f aca="false">IF(M10090&lt;=Assumptions!$E$84,1,0)</f>
        <v>1</v>
      </c>
      <c r="N10091" s="39" t="n">
        <f aca="false">IF(N10090&lt;=Assumptions!$E$84,1,0)</f>
        <v>1</v>
      </c>
      <c r="P10091" s="40"/>
      <c r="Q10091" s="40"/>
      <c r="R10091" s="40"/>
      <c r="S10091" s="41"/>
    </row>
    <row r="10092" customFormat="false" ht="15" hidden="false" customHeight="false" outlineLevel="0" collapsed="false">
      <c r="A10092" s="4" t="s">
        <v>477</v>
      </c>
      <c r="B10092" s="36" t="s">
        <v>478</v>
      </c>
      <c r="C10092" s="42" t="n">
        <f aca="false">IF(C10090=Assumptions!$E$13,0.5,IF(C10090&gt;Assumptions!$E$13,1,0))</f>
        <v>0.5</v>
      </c>
      <c r="D10092" s="42" t="n">
        <f aca="false">IF(D10090=Assumptions!$E$13,0.5,IF(D10090&gt;Assumptions!$E$13,1,0))</f>
        <v>1</v>
      </c>
      <c r="E10092" s="42" t="n">
        <f aca="false">IF(E10090=Assumptions!$E$13,0.5,IF(E10090&gt;Assumptions!$E$13,1,0))</f>
        <v>1</v>
      </c>
      <c r="F10092" s="42" t="n">
        <f aca="false">IF(F10090=Assumptions!$E$13,0.5,IF(F10090&gt;Assumptions!$E$13,1,0))</f>
        <v>1</v>
      </c>
      <c r="G10092" s="42" t="n">
        <f aca="false">IF(G10090=Assumptions!$E$13,0.5,IF(G10090&gt;Assumptions!$E$13,1,0))</f>
        <v>1</v>
      </c>
      <c r="H10092" s="42" t="n">
        <f aca="false">IF(H10090=Assumptions!$E$13,0.5,IF(H10090&gt;Assumptions!$E$13,1,0))</f>
        <v>1</v>
      </c>
      <c r="I10092" s="42" t="n">
        <f aca="false">IF(I10090=Assumptions!$E$13,0.5,IF(I10090&gt;Assumptions!$E$13,1,0))</f>
        <v>1</v>
      </c>
      <c r="J10092" s="42" t="n">
        <f aca="false">IF(J10090=Assumptions!$E$13,0.5,IF(J10090&gt;Assumptions!$E$13,1,0))</f>
        <v>1</v>
      </c>
      <c r="K10092" s="42" t="n">
        <f aca="false">IF(K10090=Assumptions!$E$13,0.5,IF(K10090&gt;Assumptions!$E$13,1,0))</f>
        <v>1</v>
      </c>
      <c r="L10092" s="42" t="n">
        <f aca="false">IF(L10090=Assumptions!$E$13,0.5,IF(L10090&gt;Assumptions!$E$13,1,0))</f>
        <v>1</v>
      </c>
      <c r="M10092" s="42" t="n">
        <f aca="false">IF(M10090=Assumptions!$E$13,0.5,IF(M10090&gt;Assumptions!$E$13,1,0))</f>
        <v>1</v>
      </c>
      <c r="N10092" s="42" t="n">
        <f aca="false">IF(N10090=Assumptions!$E$13,0.5,IF(N10090&gt;Assumptions!$E$13,1,0))</f>
        <v>1</v>
      </c>
      <c r="P10092" s="43"/>
      <c r="Q10092" s="43"/>
      <c r="R10092" s="43"/>
      <c r="S10092" s="44"/>
    </row>
    <row r="10093" customFormat="false" ht="15" hidden="false" customHeight="false" outlineLevel="0" collapsed="false">
      <c r="A10093" s="4" t="s">
        <v>479</v>
      </c>
      <c r="B10093" s="36" t="s">
        <v>478</v>
      </c>
      <c r="C10093" s="42" t="n">
        <f aca="false">IF(C10090=Assumptions!$E$14,0.5,IF(C10090&gt;Assumptions!$E$14,1,0))</f>
        <v>0</v>
      </c>
      <c r="D10093" s="42" t="n">
        <f aca="false">IF(D10090=Assumptions!$E$14,0.5,IF(D10090&gt;Assumptions!$E$14,1,0))</f>
        <v>0</v>
      </c>
      <c r="E10093" s="42" t="n">
        <f aca="false">IF(E10090=Assumptions!$E$14,0.5,IF(E10090&gt;Assumptions!$E$14,1,0))</f>
        <v>0</v>
      </c>
      <c r="F10093" s="42" t="n">
        <f aca="false">IF(F10090=Assumptions!$E$14,0.5,IF(F10090&gt;Assumptions!$E$14,1,0))</f>
        <v>0</v>
      </c>
      <c r="G10093" s="42" t="n">
        <f aca="false">IF(G10090=Assumptions!$E$14,0.5,IF(G10090&gt;Assumptions!$E$14,1,0))</f>
        <v>0.5</v>
      </c>
      <c r="H10093" s="42" t="n">
        <f aca="false">IF(H10090=Assumptions!$E$14,0.5,IF(H10090&gt;Assumptions!$E$14,1,0))</f>
        <v>1</v>
      </c>
      <c r="I10093" s="42" t="n">
        <f aca="false">IF(I10090=Assumptions!$E$14,0.5,IF(I10090&gt;Assumptions!$E$14,1,0))</f>
        <v>1</v>
      </c>
      <c r="J10093" s="42" t="n">
        <f aca="false">IF(J10090=Assumptions!$E$14,0.5,IF(J10090&gt;Assumptions!$E$14,1,0))</f>
        <v>1</v>
      </c>
      <c r="K10093" s="42" t="n">
        <f aca="false">IF(K10090=Assumptions!$E$14,0.5,IF(K10090&gt;Assumptions!$E$14,1,0))</f>
        <v>1</v>
      </c>
      <c r="L10093" s="42" t="n">
        <f aca="false">IF(L10090=Assumptions!$E$14,0.5,IF(L10090&gt;Assumptions!$E$14,1,0))</f>
        <v>1</v>
      </c>
      <c r="M10093" s="42" t="n">
        <f aca="false">IF(M10090=Assumptions!$E$14,0.5,IF(M10090&gt;Assumptions!$E$14,1,0))</f>
        <v>1</v>
      </c>
      <c r="N10093" s="42" t="n">
        <f aca="false">IF(N10090=Assumptions!$E$14,0.5,IF(N10090&gt;Assumptions!$E$14,1,0))</f>
        <v>1</v>
      </c>
      <c r="P10093" s="43"/>
      <c r="Q10093" s="43"/>
      <c r="R10093" s="43"/>
      <c r="S10093" s="44"/>
    </row>
    <row r="10094" customFormat="false" ht="15" hidden="false" customHeight="false" outlineLevel="0" collapsed="false">
      <c r="A10094" s="4" t="s">
        <v>480</v>
      </c>
      <c r="B10094" s="36" t="s">
        <v>478</v>
      </c>
      <c r="C10094" s="42" t="n">
        <f aca="false">IF(C10090=Assumptions!$E$15,0.5,IF(C10090&gt;Assumptions!$E$15,1,0))</f>
        <v>0</v>
      </c>
      <c r="D10094" s="42" t="n">
        <f aca="false">IF(D10090=Assumptions!$E$15,0.5,IF(D10090&gt;Assumptions!$E$15,1,0))</f>
        <v>0</v>
      </c>
      <c r="E10094" s="42" t="n">
        <f aca="false">IF(E10090=Assumptions!$E$15,0.5,IF(E10090&gt;Assumptions!$E$15,1,0))</f>
        <v>0</v>
      </c>
      <c r="F10094" s="42" t="n">
        <f aca="false">IF(F10090=Assumptions!$E$15,0.5,IF(F10090&gt;Assumptions!$E$15,1,0))</f>
        <v>0</v>
      </c>
      <c r="G10094" s="42" t="n">
        <f aca="false">IF(G10090=Assumptions!$E$15,0.5,IF(G10090&gt;Assumptions!$E$15,1,0))</f>
        <v>0</v>
      </c>
      <c r="H10094" s="42" t="n">
        <f aca="false">IF(H10090=Assumptions!$E$15,0.5,IF(H10090&gt;Assumptions!$E$15,1,0))</f>
        <v>0</v>
      </c>
      <c r="I10094" s="42" t="n">
        <f aca="false">IF(I10090=Assumptions!$E$15,0.5,IF(I10090&gt;Assumptions!$E$15,1,0))</f>
        <v>0.5</v>
      </c>
      <c r="J10094" s="42" t="n">
        <f aca="false">IF(J10090=Assumptions!$E$15,0.5,IF(J10090&gt;Assumptions!$E$15,1,0))</f>
        <v>1</v>
      </c>
      <c r="K10094" s="42" t="n">
        <f aca="false">IF(K10090=Assumptions!$E$15,0.5,IF(K10090&gt;Assumptions!$E$15,1,0))</f>
        <v>1</v>
      </c>
      <c r="L10094" s="42" t="n">
        <f aca="false">IF(L10090=Assumptions!$E$15,0.5,IF(L10090&gt;Assumptions!$E$15,1,0))</f>
        <v>1</v>
      </c>
      <c r="M10094" s="42" t="n">
        <f aca="false">IF(M10090=Assumptions!$E$15,0.5,IF(M10090&gt;Assumptions!$E$15,1,0))</f>
        <v>1</v>
      </c>
      <c r="N10094" s="42" t="n">
        <f aca="false">IF(N10090=Assumptions!$E$15,0.5,IF(N10090&gt;Assumptions!$E$15,1,0))</f>
        <v>1</v>
      </c>
      <c r="P10094" s="43"/>
      <c r="Q10094" s="43"/>
      <c r="R10094" s="43"/>
      <c r="S10094" s="44"/>
    </row>
    <row r="10095" customFormat="false" ht="15" hidden="false" customHeight="false" outlineLevel="0" collapsed="false">
      <c r="A10095" s="4" t="s">
        <v>481</v>
      </c>
      <c r="B10095" s="36" t="s">
        <v>478</v>
      </c>
      <c r="C10095" s="45" t="n">
        <f aca="false">Assumptions!$E$21^(MAX(0,C10090-Assumptions!$E$13)/4)</f>
        <v>1</v>
      </c>
      <c r="D10095" s="45" t="n">
        <f aca="false">Assumptions!$E$21^(MAX(0,D10090-Assumptions!$E$13)/4)</f>
        <v>0.9306048591021</v>
      </c>
      <c r="E10095" s="45" t="n">
        <f aca="false">Assumptions!$E$21^(MAX(0,E10090-Assumptions!$E$13)/4)</f>
        <v>0.866025403784439</v>
      </c>
      <c r="F10095" s="45" t="n">
        <f aca="false">Assumptions!$E$21^(MAX(0,F10090-Assumptions!$E$13)/4)</f>
        <v>0.805927448867656</v>
      </c>
      <c r="G10095" s="45" t="n">
        <f aca="false">Assumptions!$E$21^(MAX(0,G10090-Assumptions!$E$13)/4)</f>
        <v>0.75</v>
      </c>
      <c r="H10095" s="45" t="n">
        <f aca="false">Assumptions!$E$21^(MAX(0,H10090-Assumptions!$E$13)/4)</f>
        <v>0.697953644326575</v>
      </c>
      <c r="I10095" s="45" t="n">
        <f aca="false">Assumptions!$E$21^(MAX(0,I10090-Assumptions!$E$13)/4)</f>
        <v>0.649519052838329</v>
      </c>
      <c r="J10095" s="45" t="n">
        <f aca="false">Assumptions!$E$21^(MAX(0,J10090-Assumptions!$E$13)/4)</f>
        <v>0.604445586650742</v>
      </c>
      <c r="K10095" s="45" t="n">
        <f aca="false">Assumptions!$E$21^(MAX(0,K10090-Assumptions!$E$13)/4)</f>
        <v>0.5625</v>
      </c>
      <c r="L10095" s="45" t="n">
        <f aca="false">Assumptions!$E$21^(MAX(0,L10090-Assumptions!$E$13)/4)</f>
        <v>0.523465233244931</v>
      </c>
      <c r="M10095" s="45" t="n">
        <f aca="false">Assumptions!$E$21^(MAX(0,M10090-Assumptions!$E$13)/4)</f>
        <v>0.487139289628747</v>
      </c>
      <c r="N10095" s="45" t="n">
        <f aca="false">Assumptions!$E$21^(MAX(0,N10090-Assumptions!$E$13)/4)</f>
        <v>0.453334189988057</v>
      </c>
      <c r="P10095" s="46"/>
      <c r="Q10095" s="46"/>
      <c r="R10095" s="46"/>
      <c r="S10095" s="47"/>
    </row>
    <row r="10096" customFormat="false" ht="15" hidden="false" customHeight="false" outlineLevel="0" collapsed="false">
      <c r="A10096" s="4" t="s">
        <v>482</v>
      </c>
      <c r="B10096" s="36" t="s">
        <v>478</v>
      </c>
      <c r="C10096" s="45" t="n">
        <f aca="false">Assumptions!$E$21^(MAX(0,C10090-Assumptions!$E$14)/4)</f>
        <v>1</v>
      </c>
      <c r="D10096" s="45" t="n">
        <f aca="false">Assumptions!$E$21^(MAX(0,D10090-Assumptions!$E$14)/4)</f>
        <v>1</v>
      </c>
      <c r="E10096" s="45" t="n">
        <f aca="false">Assumptions!$E$21^(MAX(0,E10090-Assumptions!$E$14)/4)</f>
        <v>1</v>
      </c>
      <c r="F10096" s="45" t="n">
        <f aca="false">Assumptions!$E$21^(MAX(0,F10090-Assumptions!$E$14)/4)</f>
        <v>1</v>
      </c>
      <c r="G10096" s="45" t="n">
        <f aca="false">Assumptions!$E$21^(MAX(0,G10090-Assumptions!$E$14)/4)</f>
        <v>1</v>
      </c>
      <c r="H10096" s="45" t="n">
        <f aca="false">Assumptions!$E$21^(MAX(0,H10090-Assumptions!$E$14)/4)</f>
        <v>0.9306048591021</v>
      </c>
      <c r="I10096" s="45" t="n">
        <f aca="false">Assumptions!$E$21^(MAX(0,I10090-Assumptions!$E$14)/4)</f>
        <v>0.866025403784439</v>
      </c>
      <c r="J10096" s="45" t="n">
        <f aca="false">Assumptions!$E$21^(MAX(0,J10090-Assumptions!$E$14)/4)</f>
        <v>0.805927448867656</v>
      </c>
      <c r="K10096" s="45" t="n">
        <f aca="false">Assumptions!$E$21^(MAX(0,K10090-Assumptions!$E$14)/4)</f>
        <v>0.75</v>
      </c>
      <c r="L10096" s="45" t="n">
        <f aca="false">Assumptions!$E$21^(MAX(0,L10090-Assumptions!$E$14)/4)</f>
        <v>0.697953644326575</v>
      </c>
      <c r="M10096" s="45" t="n">
        <f aca="false">Assumptions!$E$21^(MAX(0,M10090-Assumptions!$E$14)/4)</f>
        <v>0.649519052838329</v>
      </c>
      <c r="N10096" s="45" t="n">
        <f aca="false">Assumptions!$E$21^(MAX(0,N10090-Assumptions!$E$14)/4)</f>
        <v>0.604445586650742</v>
      </c>
      <c r="P10096" s="46"/>
      <c r="Q10096" s="46"/>
      <c r="R10096" s="46"/>
      <c r="S10096" s="47"/>
    </row>
    <row r="10097" customFormat="false" ht="15" hidden="false" customHeight="false" outlineLevel="0" collapsed="false">
      <c r="A10097" s="4" t="s">
        <v>483</v>
      </c>
      <c r="B10097" s="36" t="s">
        <v>478</v>
      </c>
      <c r="C10097" s="45" t="n">
        <f aca="false">Assumptions!$E$21^(MAX(0,C10090-Assumptions!$E$15)/4)</f>
        <v>1</v>
      </c>
      <c r="D10097" s="45" t="n">
        <f aca="false">Assumptions!$E$21^(MAX(0,D10090-Assumptions!$E$15)/4)</f>
        <v>1</v>
      </c>
      <c r="E10097" s="45" t="n">
        <f aca="false">Assumptions!$E$21^(MAX(0,E10090-Assumptions!$E$15)/4)</f>
        <v>1</v>
      </c>
      <c r="F10097" s="45" t="n">
        <f aca="false">Assumptions!$E$21^(MAX(0,F10090-Assumptions!$E$15)/4)</f>
        <v>1</v>
      </c>
      <c r="G10097" s="45" t="n">
        <f aca="false">Assumptions!$E$21^(MAX(0,G10090-Assumptions!$E$15)/4)</f>
        <v>1</v>
      </c>
      <c r="H10097" s="45" t="n">
        <f aca="false">Assumptions!$E$21^(MAX(0,H10090-Assumptions!$E$15)/4)</f>
        <v>1</v>
      </c>
      <c r="I10097" s="45" t="n">
        <f aca="false">Assumptions!$E$21^(MAX(0,I10090-Assumptions!$E$15)/4)</f>
        <v>1</v>
      </c>
      <c r="J10097" s="45" t="n">
        <f aca="false">Assumptions!$E$21^(MAX(0,J10090-Assumptions!$E$15)/4)</f>
        <v>0.9306048591021</v>
      </c>
      <c r="K10097" s="45" t="n">
        <f aca="false">Assumptions!$E$21^(MAX(0,K10090-Assumptions!$E$15)/4)</f>
        <v>0.866025403784439</v>
      </c>
      <c r="L10097" s="45" t="n">
        <f aca="false">Assumptions!$E$21^(MAX(0,L10090-Assumptions!$E$15)/4)</f>
        <v>0.805927448867656</v>
      </c>
      <c r="M10097" s="45" t="n">
        <f aca="false">Assumptions!$E$21^(MAX(0,M10090-Assumptions!$E$15)/4)</f>
        <v>0.75</v>
      </c>
      <c r="N10097" s="45" t="n">
        <f aca="false">Assumptions!$E$21^(MAX(0,N10090-Assumptions!$E$15)/4)</f>
        <v>0.697953644326575</v>
      </c>
      <c r="P10097" s="46"/>
      <c r="Q10097" s="46"/>
      <c r="R10097" s="46"/>
      <c r="S10097" s="47"/>
    </row>
    <row r="10098" customFormat="false" ht="15" hidden="false" customHeight="false" outlineLevel="0" collapsed="false">
      <c r="A10098" s="4" t="s">
        <v>484</v>
      </c>
      <c r="B10098" s="36" t="s">
        <v>485</v>
      </c>
      <c r="C10098" s="39" t="n">
        <f aca="false">$C$10069*C10092+$C$10073*C10093+$C$10077*C10094</f>
        <v>421.51972352</v>
      </c>
      <c r="D10098" s="39" t="n">
        <f aca="false">$C$10069*D10092+$C$10073*D10093+$C$10077*D10094</f>
        <v>843.03944704</v>
      </c>
      <c r="E10098" s="39" t="n">
        <f aca="false">$C$10069*E10092+$C$10073*E10093+$C$10077*E10094</f>
        <v>843.03944704</v>
      </c>
      <c r="F10098" s="39" t="n">
        <f aca="false">$C$10069*F10092+$C$10073*F10093+$C$10077*F10094</f>
        <v>843.03944704</v>
      </c>
      <c r="G10098" s="39" t="n">
        <f aca="false">$C$10069*G10092+$C$10073*G10093+$C$10077*G10094</f>
        <v>1149.32798176</v>
      </c>
      <c r="H10098" s="39" t="n">
        <f aca="false">$C$10069*H10092+$C$10073*H10093+$C$10077*H10094</f>
        <v>1455.61651648</v>
      </c>
      <c r="I10098" s="39" t="n">
        <f aca="false">$C$10069*I10092+$C$10073*I10093+$C$10077*I10094</f>
        <v>2486.00303616</v>
      </c>
      <c r="J10098" s="39" t="n">
        <f aca="false">$C$10069*J10092+$C$10073*J10093+$C$10077*J10094</f>
        <v>3516.38955584</v>
      </c>
      <c r="K10098" s="39" t="n">
        <f aca="false">$C$10069*K10092+$C$10073*K10093+$C$10077*K10094</f>
        <v>3516.38955584</v>
      </c>
      <c r="L10098" s="39" t="n">
        <f aca="false">$C$10069*L10092+$C$10073*L10093+$C$10077*L10094</f>
        <v>3516.38955584</v>
      </c>
      <c r="M10098" s="39" t="n">
        <f aca="false">$C$10069*M10092+$C$10073*M10093+$C$10077*M10094</f>
        <v>3516.38955584</v>
      </c>
      <c r="N10098" s="39" t="n">
        <f aca="false">$C$10069*N10092+$C$10073*N10093+$C$10077*N10094</f>
        <v>3516.38955584</v>
      </c>
      <c r="P10098" s="40" t="n">
        <f aca="false">F10098</f>
        <v>843.03944704</v>
      </c>
      <c r="Q10098" s="40" t="n">
        <f aca="false">J10098</f>
        <v>3516.38955584</v>
      </c>
      <c r="R10098" s="40" t="n">
        <f aca="false">N10098</f>
        <v>3516.38955584</v>
      </c>
      <c r="S10098" s="41" t="n">
        <f aca="false">R10098</f>
        <v>3516.38955584</v>
      </c>
    </row>
    <row r="10099" customFormat="false" ht="15" hidden="false" customHeight="false" outlineLevel="0" collapsed="false">
      <c r="A10099" s="4" t="s">
        <v>486</v>
      </c>
      <c r="B10099" s="36" t="s">
        <v>485</v>
      </c>
      <c r="C10099" s="39" t="n">
        <f aca="false">$C$10070*C10092+$C$10074*C10093+$C$10078*C10094</f>
        <v>105.59808</v>
      </c>
      <c r="D10099" s="39" t="n">
        <f aca="false">$C$10070*D10092+$C$10074*D10093+$C$10078*D10094</f>
        <v>211.19616</v>
      </c>
      <c r="E10099" s="39" t="n">
        <f aca="false">$C$10070*E10092+$C$10074*E10093+$C$10078*E10094</f>
        <v>211.19616</v>
      </c>
      <c r="F10099" s="39" t="n">
        <f aca="false">$C$10070*F10092+$C$10074*F10093+$C$10078*F10094</f>
        <v>211.19616</v>
      </c>
      <c r="G10099" s="39" t="n">
        <f aca="false">$C$10070*G10092+$C$10074*G10093+$C$10078*G10094</f>
        <v>282.24672</v>
      </c>
      <c r="H10099" s="39" t="n">
        <f aca="false">$C$10070*H10092+$C$10074*H10093+$C$10078*H10094</f>
        <v>353.29728</v>
      </c>
      <c r="I10099" s="39" t="n">
        <f aca="false">$C$10070*I10092+$C$10074*I10093+$C$10078*I10094</f>
        <v>567.53536</v>
      </c>
      <c r="J10099" s="39" t="n">
        <f aca="false">$C$10070*J10092+$C$10074*J10093+$C$10078*J10094</f>
        <v>781.77344</v>
      </c>
      <c r="K10099" s="39" t="n">
        <f aca="false">$C$10070*K10092+$C$10074*K10093+$C$10078*K10094</f>
        <v>781.77344</v>
      </c>
      <c r="L10099" s="39" t="n">
        <f aca="false">$C$10070*L10092+$C$10074*L10093+$C$10078*L10094</f>
        <v>781.77344</v>
      </c>
      <c r="M10099" s="39" t="n">
        <f aca="false">$C$10070*M10092+$C$10074*M10093+$C$10078*M10094</f>
        <v>781.77344</v>
      </c>
      <c r="N10099" s="39" t="n">
        <f aca="false">$C$10070*N10092+$C$10074*N10093+$C$10078*N10094</f>
        <v>781.77344</v>
      </c>
      <c r="P10099" s="40" t="n">
        <f aca="false">F10099</f>
        <v>211.19616</v>
      </c>
      <c r="Q10099" s="40" t="n">
        <f aca="false">J10099</f>
        <v>781.77344</v>
      </c>
      <c r="R10099" s="40" t="n">
        <f aca="false">N10099</f>
        <v>781.77344</v>
      </c>
      <c r="S10099" s="41" t="n">
        <f aca="false">R10099</f>
        <v>781.77344</v>
      </c>
    </row>
    <row r="10100" customFormat="false" ht="15" hidden="false" customHeight="false" outlineLevel="0" collapsed="false">
      <c r="A10100" s="4" t="s">
        <v>487</v>
      </c>
      <c r="B10100" s="36" t="s">
        <v>485</v>
      </c>
      <c r="C10100" s="39" t="n">
        <f aca="false">$C$10071*C10092+$C$10075*C10093+$C$10079*C10094</f>
        <v>24.76992</v>
      </c>
      <c r="D10100" s="39" t="n">
        <f aca="false">$C$10071*D10092+$C$10075*D10093+$C$10079*D10094</f>
        <v>49.53984</v>
      </c>
      <c r="E10100" s="39" t="n">
        <f aca="false">$C$10071*E10092+$C$10075*E10093+$C$10079*E10094</f>
        <v>49.53984</v>
      </c>
      <c r="F10100" s="39" t="n">
        <f aca="false">$C$10071*F10092+$C$10075*F10093+$C$10079*F10094</f>
        <v>49.53984</v>
      </c>
      <c r="G10100" s="39" t="n">
        <f aca="false">$C$10071*G10092+$C$10075*G10093+$C$10079*G10094</f>
        <v>61.9248</v>
      </c>
      <c r="H10100" s="39" t="n">
        <f aca="false">$C$10071*H10092+$C$10075*H10093+$C$10079*H10094</f>
        <v>74.30976</v>
      </c>
      <c r="I10100" s="39" t="n">
        <f aca="false">$C$10071*I10092+$C$10075*I10093+$C$10079*I10094</f>
        <v>114.072</v>
      </c>
      <c r="J10100" s="39" t="n">
        <f aca="false">$C$10071*J10092+$C$10075*J10093+$C$10079*J10094</f>
        <v>153.83424</v>
      </c>
      <c r="K10100" s="39" t="n">
        <f aca="false">$C$10071*K10092+$C$10075*K10093+$C$10079*K10094</f>
        <v>153.83424</v>
      </c>
      <c r="L10100" s="39" t="n">
        <f aca="false">$C$10071*L10092+$C$10075*L10093+$C$10079*L10094</f>
        <v>153.83424</v>
      </c>
      <c r="M10100" s="39" t="n">
        <f aca="false">$C$10071*M10092+$C$10075*M10093+$C$10079*M10094</f>
        <v>153.83424</v>
      </c>
      <c r="N10100" s="39" t="n">
        <f aca="false">$C$10071*N10092+$C$10075*N10093+$C$10079*N10094</f>
        <v>153.83424</v>
      </c>
      <c r="P10100" s="40" t="n">
        <f aca="false">F10100</f>
        <v>49.53984</v>
      </c>
      <c r="Q10100" s="40" t="n">
        <f aca="false">J10100</f>
        <v>153.83424</v>
      </c>
      <c r="R10100" s="40" t="n">
        <f aca="false">N10100</f>
        <v>153.83424</v>
      </c>
      <c r="S10100" s="41" t="n">
        <f aca="false">R10100</f>
        <v>153.83424</v>
      </c>
    </row>
    <row r="10101" customFormat="false" ht="15" hidden="false" customHeight="false" outlineLevel="0" collapsed="false">
      <c r="A10101" s="4" t="s">
        <v>488</v>
      </c>
      <c r="B10101" s="36" t="s">
        <v>485</v>
      </c>
      <c r="C10101" s="39" t="n">
        <f aca="false">C10098+C10099+C10100</f>
        <v>551.88772352</v>
      </c>
      <c r="D10101" s="39" t="n">
        <f aca="false">D10098+D10099+D10100</f>
        <v>1103.77544704</v>
      </c>
      <c r="E10101" s="39" t="n">
        <f aca="false">E10098+E10099+E10100</f>
        <v>1103.77544704</v>
      </c>
      <c r="F10101" s="39" t="n">
        <f aca="false">F10098+F10099+F10100</f>
        <v>1103.77544704</v>
      </c>
      <c r="G10101" s="39" t="n">
        <f aca="false">G10098+G10099+G10100</f>
        <v>1493.49950176</v>
      </c>
      <c r="H10101" s="39" t="n">
        <f aca="false">H10098+H10099+H10100</f>
        <v>1883.22355648</v>
      </c>
      <c r="I10101" s="39" t="n">
        <f aca="false">I10098+I10099+I10100</f>
        <v>3167.61039616</v>
      </c>
      <c r="J10101" s="39" t="n">
        <f aca="false">J10098+J10099+J10100</f>
        <v>4451.99723584</v>
      </c>
      <c r="K10101" s="39" t="n">
        <f aca="false">K10098+K10099+K10100</f>
        <v>4451.99723584</v>
      </c>
      <c r="L10101" s="39" t="n">
        <f aca="false">L10098+L10099+L10100</f>
        <v>4451.99723584</v>
      </c>
      <c r="M10101" s="39" t="n">
        <f aca="false">M10098+M10099+M10100</f>
        <v>4451.99723584</v>
      </c>
      <c r="N10101" s="39" t="n">
        <f aca="false">N10098+N10099+N10100</f>
        <v>4451.99723584</v>
      </c>
      <c r="P10101" s="40" t="n">
        <f aca="false">F10101</f>
        <v>1103.77544704</v>
      </c>
      <c r="Q10101" s="40" t="n">
        <f aca="false">J10101</f>
        <v>4451.99723584</v>
      </c>
      <c r="R10101" s="40" t="n">
        <f aca="false">N10101</f>
        <v>4451.99723584</v>
      </c>
      <c r="S10101" s="41" t="n">
        <f aca="false">R10101</f>
        <v>4451.99723584</v>
      </c>
    </row>
    <row r="10102" customFormat="false" ht="15" hidden="false" customHeight="false" outlineLevel="0" collapsed="false">
      <c r="A10102" s="4" t="s">
        <v>489</v>
      </c>
      <c r="B10102" s="36" t="s">
        <v>485</v>
      </c>
      <c r="C10102" s="39" t="n">
        <f aca="false">$C$10072*C10092*C10095+$C$10076*C10093*C10096+$C$10080*C10094*C10097</f>
        <v>551.88772352</v>
      </c>
      <c r="D10102" s="39" t="n">
        <f aca="false">$C$10072*D10092*D10095+$C$10076*D10093*D10096+$C$10080*D10094*D10097</f>
        <v>1027.17879437302</v>
      </c>
      <c r="E10102" s="39" t="n">
        <f aca="false">$C$10072*E10092*E10095+$C$10076*E10093*E10096+$C$10080*E10094*E10097</f>
        <v>955.897577210165</v>
      </c>
      <c r="F10102" s="39" t="n">
        <f aca="false">$C$10072*F10092*F10095+$C$10076*F10093*F10096+$C$10080*F10094*F10097</f>
        <v>889.562930155704</v>
      </c>
      <c r="G10102" s="39" t="n">
        <f aca="false">$C$10072*G10092*G10095+$C$10076*G10093*G10096+$C$10080*G10094*G10097</f>
        <v>1217.55564</v>
      </c>
      <c r="H10102" s="39" t="n">
        <f aca="false">$C$10072*H10092*H10095+$C$10076*H10093*H10096+$C$10080*H10094*H10097</f>
        <v>1495.74229384257</v>
      </c>
      <c r="I10102" s="39" t="n">
        <f aca="false">$C$10072*I10092*I10095+$C$10076*I10093*I10096+$C$10080*I10094*I10097</f>
        <v>2676.33188629442</v>
      </c>
      <c r="J10102" s="39" t="n">
        <f aca="false">$C$10072*J10092*J10095+$C$10076*J10093*J10096+$C$10080*J10094*J10097</f>
        <v>3685.86409192847</v>
      </c>
      <c r="K10102" s="39" t="n">
        <f aca="false">$C$10072*K10092*K10095+$C$10076*K10093*K10096+$C$10080*K10094*K10097</f>
        <v>3430.08303393858</v>
      </c>
      <c r="L10102" s="39" t="n">
        <f aca="false">$C$10072*L10092*L10095+$C$10076*L10093*L10096+$C$10080*L10094*L10097</f>
        <v>3192.05193850692</v>
      </c>
      <c r="M10102" s="39" t="n">
        <f aca="false">$C$10072*M10092*M10095+$C$10076*M10093*M10096+$C$10080*M10094*M10097</f>
        <v>2970.53904448081</v>
      </c>
      <c r="N10102" s="39" t="n">
        <f aca="false">$C$10072*N10092*N10095+$C$10076*N10093*N10096+$C$10080*N10094*N10097</f>
        <v>2764.39806894635</v>
      </c>
      <c r="P10102" s="40"/>
      <c r="Q10102" s="40"/>
      <c r="R10102" s="40"/>
      <c r="S10102" s="41"/>
    </row>
    <row r="10103" customFormat="false" ht="15" hidden="false" customHeight="false" outlineLevel="0" collapsed="false">
      <c r="A10103" s="4" t="s">
        <v>490</v>
      </c>
      <c r="B10103" s="36" t="s">
        <v>491</v>
      </c>
      <c r="C10103" s="48" t="n">
        <f aca="false">$C$10084*Assumptions!$E$20*C10091*C10102</f>
        <v>6.62265268224</v>
      </c>
      <c r="D10103" s="48" t="n">
        <f aca="false">$C$10084*Assumptions!$E$20*D10091*D10102</f>
        <v>12.3261455324762</v>
      </c>
      <c r="E10103" s="48" t="n">
        <f aca="false">$C$10084*Assumptions!$E$20*E10091*E10102</f>
        <v>11.470770926522</v>
      </c>
      <c r="F10103" s="48" t="n">
        <f aca="false">$C$10084*Assumptions!$E$20*F10091*F10102</f>
        <v>10.6747551618685</v>
      </c>
      <c r="G10103" s="48" t="n">
        <f aca="false">$C$10084*Assumptions!$E$20*G10091*G10102</f>
        <v>14.61066768</v>
      </c>
      <c r="H10103" s="48" t="n">
        <f aca="false">$C$10084*Assumptions!$E$20*H10091*H10102</f>
        <v>17.9489075261109</v>
      </c>
      <c r="I10103" s="48" t="n">
        <f aca="false">$C$10084*Assumptions!$E$20*I10091*I10102</f>
        <v>32.115982635533</v>
      </c>
      <c r="J10103" s="48" t="n">
        <f aca="false">$C$10084*Assumptions!$E$20*J10091*J10102</f>
        <v>44.2303691031417</v>
      </c>
      <c r="K10103" s="48" t="n">
        <f aca="false">$C$10084*Assumptions!$E$20*K10091*K10102</f>
        <v>41.160996407263</v>
      </c>
      <c r="L10103" s="48" t="n">
        <f aca="false">$C$10084*Assumptions!$E$20*L10091*L10102</f>
        <v>38.304623262083</v>
      </c>
      <c r="M10103" s="48" t="n">
        <f aca="false">$C$10084*Assumptions!$E$20*M10091*M10102</f>
        <v>35.6464685337698</v>
      </c>
      <c r="N10103" s="48" t="n">
        <f aca="false">$C$10084*Assumptions!$E$20*N10091*N10102</f>
        <v>33.1727768273562</v>
      </c>
      <c r="P10103" s="49" t="n">
        <f aca="false">SUM(C10103:F10103)</f>
        <v>41.0943243031066</v>
      </c>
      <c r="Q10103" s="49" t="n">
        <f aca="false">SUM(G10103:J10103)</f>
        <v>108.905926944786</v>
      </c>
      <c r="R10103" s="49" t="n">
        <f aca="false">SUM(K10103:N10103)</f>
        <v>148.284865030472</v>
      </c>
      <c r="S10103" s="50" t="n">
        <f aca="false">SUM(P10103:R10103)</f>
        <v>298.285116278364</v>
      </c>
    </row>
    <row r="10104" customFormat="false" ht="15" hidden="false" customHeight="false" outlineLevel="0" collapsed="false">
      <c r="A10104" s="4" t="s">
        <v>492</v>
      </c>
      <c r="B10104" s="36" t="s">
        <v>321</v>
      </c>
      <c r="C10104" s="48" t="n">
        <f aca="false">Assumptions!$D$111</f>
        <v>0</v>
      </c>
      <c r="D10104" s="48" t="n">
        <f aca="false">Assumptions!$E$111</f>
        <v>0</v>
      </c>
      <c r="E10104" s="48" t="n">
        <f aca="false">Assumptions!$F$111</f>
        <v>0</v>
      </c>
      <c r="F10104" s="48" t="n">
        <f aca="false">Assumptions!$G$111</f>
        <v>0</v>
      </c>
      <c r="G10104" s="48" t="n">
        <f aca="false">Assumptions!$H$111</f>
        <v>0</v>
      </c>
      <c r="H10104" s="48" t="n">
        <f aca="false">Assumptions!$I$111</f>
        <v>0</v>
      </c>
      <c r="I10104" s="48" t="n">
        <f aca="false">Assumptions!$J$111</f>
        <v>0</v>
      </c>
      <c r="J10104" s="48" t="n">
        <f aca="false">Assumptions!$K$111</f>
        <v>0</v>
      </c>
      <c r="K10104" s="48" t="n">
        <f aca="false">Assumptions!$L$111</f>
        <v>0</v>
      </c>
      <c r="L10104" s="48" t="n">
        <f aca="false">Assumptions!$M$111</f>
        <v>0</v>
      </c>
      <c r="M10104" s="48" t="n">
        <f aca="false">Assumptions!$N$111</f>
        <v>0</v>
      </c>
      <c r="N10104" s="48" t="n">
        <f aca="false">Assumptions!$O$111</f>
        <v>0</v>
      </c>
      <c r="P10104" s="49" t="n">
        <f aca="false">F10104</f>
        <v>0</v>
      </c>
      <c r="Q10104" s="49" t="n">
        <f aca="false">J10104</f>
        <v>0</v>
      </c>
      <c r="R10104" s="49" t="n">
        <f aca="false">N10104</f>
        <v>0</v>
      </c>
      <c r="S10104" s="50" t="n">
        <f aca="false">R10104</f>
        <v>0</v>
      </c>
    </row>
    <row r="10105" customFormat="false" ht="15" hidden="false" customHeight="false" outlineLevel="0" collapsed="false">
      <c r="A10105" s="4" t="s">
        <v>493</v>
      </c>
      <c r="B10105" s="36" t="s">
        <v>321</v>
      </c>
      <c r="C10105" s="48" t="n">
        <f aca="false">0</f>
        <v>0</v>
      </c>
      <c r="D10105" s="48" t="n">
        <f aca="false">0.5*C10104</f>
        <v>0</v>
      </c>
      <c r="E10105" s="48" t="n">
        <f aca="false">C10104+0.5*(D10104-C10104)</f>
        <v>0</v>
      </c>
      <c r="F10105" s="48" t="n">
        <f aca="false">D10104+0.5*(E10104-D10104)</f>
        <v>0</v>
      </c>
      <c r="G10105" s="48" t="n">
        <f aca="false">E10104+0.5*(F10104-E10104)</f>
        <v>0</v>
      </c>
      <c r="H10105" s="48" t="n">
        <f aca="false">F10104+0.5*(G10104-F10104)</f>
        <v>0</v>
      </c>
      <c r="I10105" s="48" t="n">
        <f aca="false">G10104+0.5*(H10104-G10104)</f>
        <v>0</v>
      </c>
      <c r="J10105" s="48" t="n">
        <f aca="false">H10104+0.5*(I10104-H10104)</f>
        <v>0</v>
      </c>
      <c r="K10105" s="48" t="n">
        <f aca="false">I10104+0.5*(J10104-I10104)</f>
        <v>0</v>
      </c>
      <c r="L10105" s="48" t="n">
        <f aca="false">J10104+0.5*(K10104-J10104)</f>
        <v>0</v>
      </c>
      <c r="M10105" s="48" t="n">
        <f aca="false">K10104+0.5*(L10104-K10104)</f>
        <v>0</v>
      </c>
      <c r="N10105" s="48" t="n">
        <f aca="false">L10104+0.5*(M10104-L10104)</f>
        <v>0</v>
      </c>
      <c r="P10105" s="49" t="n">
        <f aca="false">F10105</f>
        <v>0</v>
      </c>
      <c r="Q10105" s="49" t="n">
        <f aca="false">J10105</f>
        <v>0</v>
      </c>
      <c r="R10105" s="49" t="n">
        <f aca="false">N10105</f>
        <v>0</v>
      </c>
      <c r="S10105" s="50" t="n">
        <f aca="false">R10105</f>
        <v>0</v>
      </c>
    </row>
    <row r="10106" customFormat="false" ht="15" hidden="false" customHeight="false" outlineLevel="0" collapsed="false">
      <c r="A10106" s="4" t="s">
        <v>494</v>
      </c>
      <c r="B10106" s="36" t="s">
        <v>485</v>
      </c>
      <c r="C10106" s="39" t="n">
        <f aca="false">MIN(C10105*Assumptions!$E$38,C10101*(1-$C$10084))</f>
        <v>0</v>
      </c>
      <c r="D10106" s="39" t="n">
        <f aca="false">MIN(D10105*Assumptions!$E$38,D10101*(1-$C$10084))</f>
        <v>0</v>
      </c>
      <c r="E10106" s="39" t="n">
        <f aca="false">MIN(E10105*Assumptions!$E$38,E10101*(1-$C$10084))</f>
        <v>0</v>
      </c>
      <c r="F10106" s="39" t="n">
        <f aca="false">MIN(F10105*Assumptions!$E$38,F10101*(1-$C$10084))</f>
        <v>0</v>
      </c>
      <c r="G10106" s="39" t="n">
        <f aca="false">MIN(G10105*Assumptions!$E$38,G10101*(1-$C$10084))</f>
        <v>0</v>
      </c>
      <c r="H10106" s="39" t="n">
        <f aca="false">MIN(H10105*Assumptions!$E$38,H10101*(1-$C$10084))</f>
        <v>0</v>
      </c>
      <c r="I10106" s="39" t="n">
        <f aca="false">MIN(I10105*Assumptions!$E$38,I10101*(1-$C$10084))</f>
        <v>0</v>
      </c>
      <c r="J10106" s="39" t="n">
        <f aca="false">MIN(J10105*Assumptions!$E$38,J10101*(1-$C$10084))</f>
        <v>0</v>
      </c>
      <c r="K10106" s="39" t="n">
        <f aca="false">MIN(K10105*Assumptions!$E$38,K10101*(1-$C$10084))</f>
        <v>0</v>
      </c>
      <c r="L10106" s="39" t="n">
        <f aca="false">MIN(L10105*Assumptions!$E$38,L10101*(1-$C$10084))</f>
        <v>0</v>
      </c>
      <c r="M10106" s="39" t="n">
        <f aca="false">MIN(M10105*Assumptions!$E$38,M10101*(1-$C$10084))</f>
        <v>0</v>
      </c>
      <c r="N10106" s="39" t="n">
        <f aca="false">MIN(N10105*Assumptions!$E$38,N10101*(1-$C$10084))</f>
        <v>0</v>
      </c>
      <c r="P10106" s="40" t="n">
        <f aca="false">SUM(C10106:F10106)</f>
        <v>0</v>
      </c>
      <c r="Q10106" s="40" t="n">
        <f aca="false">SUM(G10106:J10106)</f>
        <v>0</v>
      </c>
      <c r="R10106" s="40" t="n">
        <f aca="false">SUM(K10106:N10106)</f>
        <v>0</v>
      </c>
      <c r="S10106" s="41" t="n">
        <f aca="false">SUM(P10106:R10106)</f>
        <v>0</v>
      </c>
    </row>
    <row r="10107" customFormat="false" ht="15" hidden="false" customHeight="false" outlineLevel="0" collapsed="false">
      <c r="A10107" s="4" t="s">
        <v>495</v>
      </c>
      <c r="B10107" s="36" t="s">
        <v>491</v>
      </c>
      <c r="C10107" s="48" t="n">
        <f aca="false">C10106*Assumptions!$E$20*Assumptions!$E$39*IF(C10101&gt;0,C10102/C10101,0)*C10091</f>
        <v>0</v>
      </c>
      <c r="D10107" s="48" t="n">
        <f aca="false">D10106*Assumptions!$E$20*Assumptions!$E$39*IF(D10101&gt;0,D10102/D10101,0)*D10091</f>
        <v>0</v>
      </c>
      <c r="E10107" s="48" t="n">
        <f aca="false">E10106*Assumptions!$E$20*Assumptions!$E$39*IF(E10101&gt;0,E10102/E10101,0)*E10091</f>
        <v>0</v>
      </c>
      <c r="F10107" s="48" t="n">
        <f aca="false">F10106*Assumptions!$E$20*Assumptions!$E$39*IF(F10101&gt;0,F10102/F10101,0)*F10091</f>
        <v>0</v>
      </c>
      <c r="G10107" s="48" t="n">
        <f aca="false">G10106*Assumptions!$E$20*Assumptions!$E$39*IF(G10101&gt;0,G10102/G10101,0)*G10091</f>
        <v>0</v>
      </c>
      <c r="H10107" s="48" t="n">
        <f aca="false">H10106*Assumptions!$E$20*Assumptions!$E$39*IF(H10101&gt;0,H10102/H10101,0)*H10091</f>
        <v>0</v>
      </c>
      <c r="I10107" s="48" t="n">
        <f aca="false">I10106*Assumptions!$E$20*Assumptions!$E$39*IF(I10101&gt;0,I10102/I10101,0)*I10091</f>
        <v>0</v>
      </c>
      <c r="J10107" s="48" t="n">
        <f aca="false">J10106*Assumptions!$E$20*Assumptions!$E$39*IF(J10101&gt;0,J10102/J10101,0)*J10091</f>
        <v>0</v>
      </c>
      <c r="K10107" s="48" t="n">
        <f aca="false">K10106*Assumptions!$E$20*Assumptions!$E$39*IF(K10101&gt;0,K10102/K10101,0)*K10091</f>
        <v>0</v>
      </c>
      <c r="L10107" s="48" t="n">
        <f aca="false">L10106*Assumptions!$E$20*Assumptions!$E$39*IF(L10101&gt;0,L10102/L10101,0)*L10091</f>
        <v>0</v>
      </c>
      <c r="M10107" s="48" t="n">
        <f aca="false">M10106*Assumptions!$E$20*Assumptions!$E$39*IF(M10101&gt;0,M10102/M10101,0)*M10091</f>
        <v>0</v>
      </c>
      <c r="N10107" s="48" t="n">
        <f aca="false">N10106*Assumptions!$E$20*Assumptions!$E$39*IF(N10101&gt;0,N10102/N10101,0)*N10091</f>
        <v>0</v>
      </c>
      <c r="P10107" s="49" t="n">
        <f aca="false">SUM(C10107:F10107)</f>
        <v>0</v>
      </c>
      <c r="Q10107" s="49" t="n">
        <f aca="false">SUM(G10107:J10107)</f>
        <v>0</v>
      </c>
      <c r="R10107" s="49" t="n">
        <f aca="false">SUM(K10107:N10107)</f>
        <v>0</v>
      </c>
      <c r="S10107" s="50" t="n">
        <f aca="false">SUM(P10107:R10107)</f>
        <v>0</v>
      </c>
    </row>
    <row r="10108" customFormat="false" ht="15" hidden="false" customHeight="false" outlineLevel="0" collapsed="false">
      <c r="A10108" s="4" t="s">
        <v>496</v>
      </c>
      <c r="B10108" s="36" t="s">
        <v>497</v>
      </c>
      <c r="C10108" s="48" t="n">
        <f aca="false">IF(AND(C10101&gt;0,$C$10088&gt;0),C10101*Assumptions!$E$24*(1-EXP(-$C$10088/(Assumptions!$E$23*C10101*Assumptions!$E$24))),0)</f>
        <v>0</v>
      </c>
      <c r="D10108" s="48" t="n">
        <f aca="false">IF(AND(D10101&gt;0,$C$10088&gt;0),D10101*Assumptions!$E$24*(1-EXP(-$C$10088/(Assumptions!$E$23*D10101*Assumptions!$E$24))),0)</f>
        <v>0</v>
      </c>
      <c r="E10108" s="48" t="n">
        <f aca="false">IF(AND(E10101&gt;0,$C$10088&gt;0),E10101*Assumptions!$E$24*(1-EXP(-$C$10088/(Assumptions!$E$23*E10101*Assumptions!$E$24))),0)</f>
        <v>0</v>
      </c>
      <c r="F10108" s="48" t="n">
        <f aca="false">IF(AND(F10101&gt;0,$C$10088&gt;0),F10101*Assumptions!$E$24*(1-EXP(-$C$10088/(Assumptions!$E$23*F10101*Assumptions!$E$24))),0)</f>
        <v>0</v>
      </c>
      <c r="G10108" s="48" t="n">
        <f aca="false">IF(AND(G10101&gt;0,$C$10088&gt;0),G10101*Assumptions!$E$24*(1-EXP(-$C$10088/(Assumptions!$E$23*G10101*Assumptions!$E$24))),0)</f>
        <v>0</v>
      </c>
      <c r="H10108" s="48" t="n">
        <f aca="false">IF(AND(H10101&gt;0,$C$10088&gt;0),H10101*Assumptions!$E$24*(1-EXP(-$C$10088/(Assumptions!$E$23*H10101*Assumptions!$E$24))),0)</f>
        <v>0</v>
      </c>
      <c r="I10108" s="48" t="n">
        <f aca="false">IF(AND(I10101&gt;0,$C$10088&gt;0),I10101*Assumptions!$E$24*(1-EXP(-$C$10088/(Assumptions!$E$23*I10101*Assumptions!$E$24))),0)</f>
        <v>0</v>
      </c>
      <c r="J10108" s="48" t="n">
        <f aca="false">IF(AND(J10101&gt;0,$C$10088&gt;0),J10101*Assumptions!$E$24*(1-EXP(-$C$10088/(Assumptions!$E$23*J10101*Assumptions!$E$24))),0)</f>
        <v>0</v>
      </c>
      <c r="K10108" s="48" t="n">
        <f aca="false">IF(AND(K10101&gt;0,$C$10088&gt;0),K10101*Assumptions!$E$24*(1-EXP(-$C$10088/(Assumptions!$E$23*K10101*Assumptions!$E$24))),0)</f>
        <v>0</v>
      </c>
      <c r="L10108" s="48" t="n">
        <f aca="false">IF(AND(L10101&gt;0,$C$10088&gt;0),L10101*Assumptions!$E$24*(1-EXP(-$C$10088/(Assumptions!$E$23*L10101*Assumptions!$E$24))),0)</f>
        <v>0</v>
      </c>
      <c r="M10108" s="48" t="n">
        <f aca="false">IF(AND(M10101&gt;0,$C$10088&gt;0),M10101*Assumptions!$E$24*(1-EXP(-$C$10088/(Assumptions!$E$23*M10101*Assumptions!$E$24))),0)</f>
        <v>0</v>
      </c>
      <c r="N10108" s="48" t="n">
        <f aca="false">IF(AND(N10101&gt;0,$C$10088&gt;0),N10101*Assumptions!$E$24*(1-EXP(-$C$10088/(Assumptions!$E$23*N10101*Assumptions!$E$24))),0)</f>
        <v>0</v>
      </c>
      <c r="P10108" s="49" t="n">
        <f aca="false">SUM(C10108:F10108)</f>
        <v>0</v>
      </c>
      <c r="Q10108" s="49" t="n">
        <f aca="false">SUM(G10108:J10108)</f>
        <v>0</v>
      </c>
      <c r="R10108" s="49" t="n">
        <f aca="false">SUM(K10108:N10108)</f>
        <v>0</v>
      </c>
      <c r="S10108" s="50" t="n">
        <f aca="false">SUM(P10108:R10108)</f>
        <v>0</v>
      </c>
    </row>
    <row r="10109" customFormat="false" ht="15" hidden="false" customHeight="false" outlineLevel="0" collapsed="false">
      <c r="A10109" s="4" t="s">
        <v>498</v>
      </c>
      <c r="B10109" s="36" t="s">
        <v>497</v>
      </c>
      <c r="C10109" s="48" t="n">
        <f aca="false">(C10101*Assumptions!$E$22*MIN(1,Assumptions!$D$103/Assumptions!$E$78)+C10108)*C10091</f>
        <v>5.5188772352</v>
      </c>
      <c r="D10109" s="48" t="n">
        <f aca="false">(D10101*Assumptions!$E$22*MIN(1,Assumptions!$D$103/Assumptions!$E$78)+D10108)*D10091</f>
        <v>11.0377544704</v>
      </c>
      <c r="E10109" s="48" t="n">
        <f aca="false">(E10101*Assumptions!$E$22*MIN(1,Assumptions!$D$103/Assumptions!$E$78)+E10108)*E10091</f>
        <v>11.0377544704</v>
      </c>
      <c r="F10109" s="48" t="n">
        <f aca="false">(F10101*Assumptions!$E$22*MIN(1,Assumptions!$D$103/Assumptions!$E$78)+F10108)*F10091</f>
        <v>11.0377544704</v>
      </c>
      <c r="G10109" s="48" t="n">
        <f aca="false">(G10101*Assumptions!$E$22*MIN(1,Assumptions!$D$103/Assumptions!$E$78)+G10108)*G10091</f>
        <v>14.9349950176</v>
      </c>
      <c r="H10109" s="48" t="n">
        <f aca="false">(H10101*Assumptions!$E$22*MIN(1,Assumptions!$D$103/Assumptions!$E$78)+H10108)*H10091</f>
        <v>18.8322355648</v>
      </c>
      <c r="I10109" s="48" t="n">
        <f aca="false">(I10101*Assumptions!$E$22*MIN(1,Assumptions!$D$103/Assumptions!$E$78)+I10108)*I10091</f>
        <v>31.6761039616</v>
      </c>
      <c r="J10109" s="48" t="n">
        <f aca="false">(J10101*Assumptions!$E$22*MIN(1,Assumptions!$D$103/Assumptions!$E$78)+J10108)*J10091</f>
        <v>44.5199723584</v>
      </c>
      <c r="K10109" s="48" t="n">
        <f aca="false">(K10101*Assumptions!$E$22*MIN(1,Assumptions!$D$103/Assumptions!$E$78)+K10108)*K10091</f>
        <v>44.5199723584</v>
      </c>
      <c r="L10109" s="48" t="n">
        <f aca="false">(L10101*Assumptions!$E$22*MIN(1,Assumptions!$D$103/Assumptions!$E$78)+L10108)*L10091</f>
        <v>44.5199723584</v>
      </c>
      <c r="M10109" s="48" t="n">
        <f aca="false">(M10101*Assumptions!$E$22*MIN(1,Assumptions!$D$103/Assumptions!$E$78)+M10108)*M10091</f>
        <v>44.5199723584</v>
      </c>
      <c r="N10109" s="48" t="n">
        <f aca="false">(N10101*Assumptions!$E$22*MIN(1,Assumptions!$D$103/Assumptions!$E$78)+N10108)*N10091</f>
        <v>44.5199723584</v>
      </c>
      <c r="P10109" s="49" t="n">
        <f aca="false">SUM(C10109:F10109)</f>
        <v>38.6321406464</v>
      </c>
      <c r="Q10109" s="49" t="n">
        <f aca="false">SUM(G10109:J10109)</f>
        <v>109.9633069024</v>
      </c>
      <c r="R10109" s="49" t="n">
        <f aca="false">SUM(K10109:N10109)</f>
        <v>178.0798894336</v>
      </c>
      <c r="S10109" s="50" t="n">
        <f aca="false">SUM(P10109:R10109)</f>
        <v>326.6753369824</v>
      </c>
    </row>
    <row r="10110" customFormat="false" ht="15" hidden="false" customHeight="false" outlineLevel="0" collapsed="false">
      <c r="A10110" s="4" t="s">
        <v>499</v>
      </c>
      <c r="B10110" s="36" t="s">
        <v>500</v>
      </c>
      <c r="C10110" s="48" t="n">
        <f aca="false">C10091*MIN(Assumptions!$E$27,Assumptions!$E$25+Assumptions!$E$26*(C10090-1))*Assumptions!$D$107</f>
        <v>2</v>
      </c>
      <c r="D10110" s="48" t="n">
        <f aca="false">D10091*MIN(Assumptions!$E$27,Assumptions!$E$25+Assumptions!$E$26*(D10090-1))*Assumptions!$D$107</f>
        <v>3</v>
      </c>
      <c r="E10110" s="48" t="n">
        <f aca="false">E10091*MIN(Assumptions!$E$27,Assumptions!$E$25+Assumptions!$E$26*(E10090-1))*Assumptions!$D$107</f>
        <v>4</v>
      </c>
      <c r="F10110" s="48" t="n">
        <f aca="false">F10091*MIN(Assumptions!$E$27,Assumptions!$E$25+Assumptions!$E$26*(F10090-1))*Assumptions!$D$107</f>
        <v>5</v>
      </c>
      <c r="G10110" s="48" t="n">
        <f aca="false">G10091*MIN(Assumptions!$E$27,Assumptions!$E$25+Assumptions!$E$26*(G10090-1))*Assumptions!$D$107</f>
        <v>6</v>
      </c>
      <c r="H10110" s="48" t="n">
        <f aca="false">H10091*MIN(Assumptions!$E$27,Assumptions!$E$25+Assumptions!$E$26*(H10090-1))*Assumptions!$D$107</f>
        <v>7</v>
      </c>
      <c r="I10110" s="48" t="n">
        <f aca="false">I10091*MIN(Assumptions!$E$27,Assumptions!$E$25+Assumptions!$E$26*(I10090-1))*Assumptions!$D$107</f>
        <v>8</v>
      </c>
      <c r="J10110" s="48" t="n">
        <f aca="false">J10091*MIN(Assumptions!$E$27,Assumptions!$E$25+Assumptions!$E$26*(J10090-1))*Assumptions!$D$107</f>
        <v>9</v>
      </c>
      <c r="K10110" s="48" t="n">
        <f aca="false">K10091*MIN(Assumptions!$E$27,Assumptions!$E$25+Assumptions!$E$26*(K10090-1))*Assumptions!$D$107</f>
        <v>10</v>
      </c>
      <c r="L10110" s="48" t="n">
        <f aca="false">L10091*MIN(Assumptions!$E$27,Assumptions!$E$25+Assumptions!$E$26*(L10090-1))*Assumptions!$D$107</f>
        <v>10</v>
      </c>
      <c r="M10110" s="48" t="n">
        <f aca="false">M10091*MIN(Assumptions!$E$27,Assumptions!$E$25+Assumptions!$E$26*(M10090-1))*Assumptions!$D$107</f>
        <v>10</v>
      </c>
      <c r="N10110" s="48" t="n">
        <f aca="false">N10091*MIN(Assumptions!$E$27,Assumptions!$E$25+Assumptions!$E$26*(N10090-1))*Assumptions!$D$107</f>
        <v>10</v>
      </c>
      <c r="P10110" s="49" t="n">
        <f aca="false">F10110</f>
        <v>5</v>
      </c>
      <c r="Q10110" s="49" t="n">
        <f aca="false">J10110</f>
        <v>9</v>
      </c>
      <c r="R10110" s="49" t="n">
        <f aca="false">N10110</f>
        <v>10</v>
      </c>
      <c r="S10110" s="50" t="n">
        <f aca="false">R10110</f>
        <v>10</v>
      </c>
    </row>
    <row r="10111" customFormat="false" ht="15" hidden="false" customHeight="false" outlineLevel="0" collapsed="false">
      <c r="A10111" s="4" t="s">
        <v>501</v>
      </c>
      <c r="B10111" s="36" t="s">
        <v>502</v>
      </c>
      <c r="C10111" s="48" t="n">
        <f aca="false">C10110*Assumptions!$E$28</f>
        <v>6</v>
      </c>
      <c r="D10111" s="48" t="n">
        <f aca="false">D10110*Assumptions!$E$28</f>
        <v>9</v>
      </c>
      <c r="E10111" s="48" t="n">
        <f aca="false">E10110*Assumptions!$E$28</f>
        <v>12</v>
      </c>
      <c r="F10111" s="48" t="n">
        <f aca="false">F10110*Assumptions!$E$28</f>
        <v>15</v>
      </c>
      <c r="G10111" s="48" t="n">
        <f aca="false">G10110*Assumptions!$E$28</f>
        <v>18</v>
      </c>
      <c r="H10111" s="48" t="n">
        <f aca="false">H10110*Assumptions!$E$28</f>
        <v>21</v>
      </c>
      <c r="I10111" s="48" t="n">
        <f aca="false">I10110*Assumptions!$E$28</f>
        <v>24</v>
      </c>
      <c r="J10111" s="48" t="n">
        <f aca="false">J10110*Assumptions!$E$28</f>
        <v>27</v>
      </c>
      <c r="K10111" s="48" t="n">
        <f aca="false">K10110*Assumptions!$E$28</f>
        <v>30</v>
      </c>
      <c r="L10111" s="48" t="n">
        <f aca="false">L10110*Assumptions!$E$28</f>
        <v>30</v>
      </c>
      <c r="M10111" s="48" t="n">
        <f aca="false">M10110*Assumptions!$E$28</f>
        <v>30</v>
      </c>
      <c r="N10111" s="48" t="n">
        <f aca="false">N10110*Assumptions!$E$28</f>
        <v>30</v>
      </c>
      <c r="P10111" s="49" t="n">
        <f aca="false">SUM(C10111:F10111)</f>
        <v>42</v>
      </c>
      <c r="Q10111" s="49" t="n">
        <f aca="false">SUM(G10111:J10111)</f>
        <v>90</v>
      </c>
      <c r="R10111" s="49" t="n">
        <f aca="false">SUM(K10111:N10111)</f>
        <v>120</v>
      </c>
      <c r="S10111" s="50" t="n">
        <f aca="false">SUM(P10111:R10111)</f>
        <v>252</v>
      </c>
    </row>
    <row r="10112" customFormat="false" ht="15" hidden="false" customHeight="false" outlineLevel="0" collapsed="false">
      <c r="A10112" s="4" t="s">
        <v>503</v>
      </c>
      <c r="B10112" s="36" t="s">
        <v>504</v>
      </c>
      <c r="C10112" s="48" t="n">
        <f aca="false">(C10103+C10107)*Assumptions!$E$29</f>
        <v>2.649061072896</v>
      </c>
      <c r="D10112" s="48" t="n">
        <f aca="false">(D10103+D10107)*Assumptions!$E$29</f>
        <v>4.93045821299048</v>
      </c>
      <c r="E10112" s="48" t="n">
        <f aca="false">(E10103+E10107)*Assumptions!$E$29</f>
        <v>4.58830837060879</v>
      </c>
      <c r="F10112" s="48" t="n">
        <f aca="false">(F10103+F10107)*Assumptions!$E$29</f>
        <v>4.26990206474738</v>
      </c>
      <c r="G10112" s="48" t="n">
        <f aca="false">(G10103+G10107)*Assumptions!$E$29</f>
        <v>5.844267072</v>
      </c>
      <c r="H10112" s="48" t="n">
        <f aca="false">(H10103+H10107)*Assumptions!$E$29</f>
        <v>7.17956301044434</v>
      </c>
      <c r="I10112" s="48" t="n">
        <f aca="false">(I10103+I10107)*Assumptions!$E$29</f>
        <v>12.8463930542132</v>
      </c>
      <c r="J10112" s="48" t="n">
        <f aca="false">(J10103+J10107)*Assumptions!$E$29</f>
        <v>17.6921476412567</v>
      </c>
      <c r="K10112" s="48" t="n">
        <f aca="false">(K10103+K10107)*Assumptions!$E$29</f>
        <v>16.4643985629052</v>
      </c>
      <c r="L10112" s="48" t="n">
        <f aca="false">(L10103+L10107)*Assumptions!$E$29</f>
        <v>15.3218493048332</v>
      </c>
      <c r="M10112" s="48" t="n">
        <f aca="false">(M10103+M10107)*Assumptions!$E$29</f>
        <v>14.2585874135079</v>
      </c>
      <c r="N10112" s="48" t="n">
        <f aca="false">(N10103+N10107)*Assumptions!$E$29</f>
        <v>13.2691107309425</v>
      </c>
      <c r="P10112" s="49" t="n">
        <f aca="false">SUM(C10112:F10112)</f>
        <v>16.4377297212427</v>
      </c>
      <c r="Q10112" s="49" t="n">
        <f aca="false">SUM(G10112:J10112)</f>
        <v>43.5623707779142</v>
      </c>
      <c r="R10112" s="49" t="n">
        <f aca="false">SUM(K10112:N10112)</f>
        <v>59.3139460121888</v>
      </c>
      <c r="S10112" s="50" t="n">
        <f aca="false">SUM(P10112:R10112)</f>
        <v>119.314046511346</v>
      </c>
    </row>
    <row r="10113" customFormat="false" ht="15" hidden="false" customHeight="false" outlineLevel="0" collapsed="false">
      <c r="A10113" s="4" t="s">
        <v>505</v>
      </c>
      <c r="B10113" s="36" t="s">
        <v>504</v>
      </c>
      <c r="C10113" s="48" t="n">
        <f aca="false">C10109*Assumptions!$E$31</f>
        <v>0.883020357632</v>
      </c>
      <c r="D10113" s="48" t="n">
        <f aca="false">D10109*Assumptions!$E$31</f>
        <v>1.766040715264</v>
      </c>
      <c r="E10113" s="48" t="n">
        <f aca="false">E10109*Assumptions!$E$31</f>
        <v>1.766040715264</v>
      </c>
      <c r="F10113" s="48" t="n">
        <f aca="false">F10109*Assumptions!$E$31</f>
        <v>1.766040715264</v>
      </c>
      <c r="G10113" s="48" t="n">
        <f aca="false">G10109*Assumptions!$E$31</f>
        <v>2.389599202816</v>
      </c>
      <c r="H10113" s="48" t="n">
        <f aca="false">H10109*Assumptions!$E$31</f>
        <v>3.013157690368</v>
      </c>
      <c r="I10113" s="48" t="n">
        <f aca="false">I10109*Assumptions!$E$31</f>
        <v>5.068176633856</v>
      </c>
      <c r="J10113" s="48" t="n">
        <f aca="false">J10109*Assumptions!$E$31</f>
        <v>7.123195577344</v>
      </c>
      <c r="K10113" s="48" t="n">
        <f aca="false">K10109*Assumptions!$E$31</f>
        <v>7.123195577344</v>
      </c>
      <c r="L10113" s="48" t="n">
        <f aca="false">L10109*Assumptions!$E$31</f>
        <v>7.123195577344</v>
      </c>
      <c r="M10113" s="48" t="n">
        <f aca="false">M10109*Assumptions!$E$31</f>
        <v>7.123195577344</v>
      </c>
      <c r="N10113" s="48" t="n">
        <f aca="false">N10109*Assumptions!$E$31</f>
        <v>7.123195577344</v>
      </c>
      <c r="P10113" s="49" t="n">
        <f aca="false">SUM(C10113:F10113)</f>
        <v>6.181142503424</v>
      </c>
      <c r="Q10113" s="49" t="n">
        <f aca="false">SUM(G10113:J10113)</f>
        <v>17.594129104384</v>
      </c>
      <c r="R10113" s="49" t="n">
        <f aca="false">SUM(K10113:N10113)</f>
        <v>28.492782309376</v>
      </c>
      <c r="S10113" s="50" t="n">
        <f aca="false">SUM(P10113:R10113)</f>
        <v>52.268053917184</v>
      </c>
    </row>
    <row r="10114" customFormat="false" ht="15" hidden="false" customHeight="false" outlineLevel="0" collapsed="false">
      <c r="A10114" s="4" t="s">
        <v>506</v>
      </c>
      <c r="B10114" s="36" t="s">
        <v>504</v>
      </c>
      <c r="C10114" s="48" t="n">
        <f aca="false">C10111*Assumptions!$E$30</f>
        <v>3</v>
      </c>
      <c r="D10114" s="48" t="n">
        <f aca="false">D10111*Assumptions!$E$30</f>
        <v>4.5</v>
      </c>
      <c r="E10114" s="48" t="n">
        <f aca="false">E10111*Assumptions!$E$30</f>
        <v>6</v>
      </c>
      <c r="F10114" s="48" t="n">
        <f aca="false">F10111*Assumptions!$E$30</f>
        <v>7.5</v>
      </c>
      <c r="G10114" s="48" t="n">
        <f aca="false">G10111*Assumptions!$E$30</f>
        <v>9</v>
      </c>
      <c r="H10114" s="48" t="n">
        <f aca="false">H10111*Assumptions!$E$30</f>
        <v>10.5</v>
      </c>
      <c r="I10114" s="48" t="n">
        <f aca="false">I10111*Assumptions!$E$30</f>
        <v>12</v>
      </c>
      <c r="J10114" s="48" t="n">
        <f aca="false">J10111*Assumptions!$E$30</f>
        <v>13.5</v>
      </c>
      <c r="K10114" s="48" t="n">
        <f aca="false">K10111*Assumptions!$E$30</f>
        <v>15</v>
      </c>
      <c r="L10114" s="48" t="n">
        <f aca="false">L10111*Assumptions!$E$30</f>
        <v>15</v>
      </c>
      <c r="M10114" s="48" t="n">
        <f aca="false">M10111*Assumptions!$E$30</f>
        <v>15</v>
      </c>
      <c r="N10114" s="48" t="n">
        <f aca="false">N10111*Assumptions!$E$30</f>
        <v>15</v>
      </c>
      <c r="P10114" s="49" t="n">
        <f aca="false">SUM(C10114:F10114)</f>
        <v>21</v>
      </c>
      <c r="Q10114" s="49" t="n">
        <f aca="false">SUM(G10114:J10114)</f>
        <v>45</v>
      </c>
      <c r="R10114" s="49" t="n">
        <f aca="false">SUM(K10114:N10114)</f>
        <v>60</v>
      </c>
      <c r="S10114" s="50" t="n">
        <f aca="false">SUM(P10114:R10114)</f>
        <v>126</v>
      </c>
    </row>
    <row r="10115" customFormat="false" ht="15" hidden="false" customHeight="false" outlineLevel="0" collapsed="false">
      <c r="A10115" s="9" t="s">
        <v>507</v>
      </c>
      <c r="B10115" s="36" t="s">
        <v>504</v>
      </c>
      <c r="C10115" s="49" t="n">
        <f aca="false">C10112+C10113+C10114</f>
        <v>6.532081430528</v>
      </c>
      <c r="D10115" s="49" t="n">
        <f aca="false">D10112+D10113+D10114</f>
        <v>11.1964989282545</v>
      </c>
      <c r="E10115" s="49" t="n">
        <f aca="false">E10112+E10113+E10114</f>
        <v>12.3543490858728</v>
      </c>
      <c r="F10115" s="49" t="n">
        <f aca="false">F10112+F10113+F10114</f>
        <v>13.5359427800114</v>
      </c>
      <c r="G10115" s="49" t="n">
        <f aca="false">G10112+G10113+G10114</f>
        <v>17.233866274816</v>
      </c>
      <c r="H10115" s="49" t="n">
        <f aca="false">H10112+H10113+H10114</f>
        <v>20.6927207008123</v>
      </c>
      <c r="I10115" s="49" t="n">
        <f aca="false">I10112+I10113+I10114</f>
        <v>29.9145696880692</v>
      </c>
      <c r="J10115" s="49" t="n">
        <f aca="false">J10112+J10113+J10114</f>
        <v>38.3153432186007</v>
      </c>
      <c r="K10115" s="49" t="n">
        <f aca="false">K10112+K10113+K10114</f>
        <v>38.5875941402492</v>
      </c>
      <c r="L10115" s="49" t="n">
        <f aca="false">L10112+L10113+L10114</f>
        <v>37.4450448821772</v>
      </c>
      <c r="M10115" s="49" t="n">
        <f aca="false">M10112+M10113+M10114</f>
        <v>36.3817829908519</v>
      </c>
      <c r="N10115" s="49" t="n">
        <f aca="false">N10112+N10113+N10114</f>
        <v>35.3923063082865</v>
      </c>
      <c r="P10115" s="49" t="n">
        <f aca="false">SUM(C10115:F10115)</f>
        <v>43.6188722246667</v>
      </c>
      <c r="Q10115" s="49" t="n">
        <f aca="false">SUM(G10115:J10115)</f>
        <v>106.156499882298</v>
      </c>
      <c r="R10115" s="49" t="n">
        <f aca="false">SUM(K10115:N10115)</f>
        <v>147.806728321565</v>
      </c>
      <c r="S10115" s="50" t="n">
        <f aca="false">SUM(P10115:R10115)</f>
        <v>297.58210042853</v>
      </c>
    </row>
    <row r="10116" customFormat="false" ht="15" hidden="false" customHeight="false" outlineLevel="0" collapsed="false">
      <c r="A10116" s="4" t="s">
        <v>508</v>
      </c>
      <c r="B10116" s="36" t="s">
        <v>509</v>
      </c>
      <c r="C10116" s="48" t="n">
        <f aca="false">C10098</f>
        <v>421.51972352</v>
      </c>
      <c r="D10116" s="48" t="n">
        <f aca="false">D10098</f>
        <v>843.03944704</v>
      </c>
      <c r="E10116" s="48" t="n">
        <f aca="false">E10098</f>
        <v>843.03944704</v>
      </c>
      <c r="F10116" s="48" t="n">
        <f aca="false">F10098</f>
        <v>843.03944704</v>
      </c>
      <c r="G10116" s="48" t="n">
        <f aca="false">G10098</f>
        <v>1149.32798176</v>
      </c>
      <c r="H10116" s="48" t="n">
        <f aca="false">H10098</f>
        <v>1455.61651648</v>
      </c>
      <c r="I10116" s="48" t="n">
        <f aca="false">I10098</f>
        <v>2486.00303616</v>
      </c>
      <c r="J10116" s="48" t="n">
        <f aca="false">J10098</f>
        <v>3516.38955584</v>
      </c>
      <c r="K10116" s="48" t="n">
        <f aca="false">K10098</f>
        <v>3516.38955584</v>
      </c>
      <c r="L10116" s="48" t="n">
        <f aca="false">L10098</f>
        <v>3516.38955584</v>
      </c>
      <c r="M10116" s="48" t="n">
        <f aca="false">M10098</f>
        <v>3516.38955584</v>
      </c>
      <c r="N10116" s="48" t="n">
        <f aca="false">N10098</f>
        <v>3516.38955584</v>
      </c>
      <c r="P10116" s="49"/>
      <c r="Q10116" s="49"/>
      <c r="R10116" s="49"/>
      <c r="S10116" s="50"/>
    </row>
    <row r="10117" customFormat="false" ht="15" hidden="false" customHeight="false" outlineLevel="0" collapsed="false">
      <c r="A10117" s="4" t="s">
        <v>510</v>
      </c>
      <c r="B10117" s="36" t="s">
        <v>509</v>
      </c>
      <c r="C10117" s="48" t="n">
        <f aca="false">C10099*Assumptions!$E$18*Assumptions!$E$33</f>
        <v>211.19616</v>
      </c>
      <c r="D10117" s="48" t="n">
        <f aca="false">D10099*Assumptions!$E$18*Assumptions!$E$33</f>
        <v>422.39232</v>
      </c>
      <c r="E10117" s="48" t="n">
        <f aca="false">E10099*Assumptions!$E$18*Assumptions!$E$33</f>
        <v>422.39232</v>
      </c>
      <c r="F10117" s="48" t="n">
        <f aca="false">F10099*Assumptions!$E$18*Assumptions!$E$33</f>
        <v>422.39232</v>
      </c>
      <c r="G10117" s="48" t="n">
        <f aca="false">G10099*Assumptions!$E$18*Assumptions!$E$33</f>
        <v>564.49344</v>
      </c>
      <c r="H10117" s="48" t="n">
        <f aca="false">H10099*Assumptions!$E$18*Assumptions!$E$33</f>
        <v>706.59456</v>
      </c>
      <c r="I10117" s="48" t="n">
        <f aca="false">I10099*Assumptions!$E$18*Assumptions!$E$33</f>
        <v>1135.07072</v>
      </c>
      <c r="J10117" s="48" t="n">
        <f aca="false">J10099*Assumptions!$E$18*Assumptions!$E$33</f>
        <v>1563.54688</v>
      </c>
      <c r="K10117" s="48" t="n">
        <f aca="false">K10099*Assumptions!$E$18*Assumptions!$E$33</f>
        <v>1563.54688</v>
      </c>
      <c r="L10117" s="48" t="n">
        <f aca="false">L10099*Assumptions!$E$18*Assumptions!$E$33</f>
        <v>1563.54688</v>
      </c>
      <c r="M10117" s="48" t="n">
        <f aca="false">M10099*Assumptions!$E$18*Assumptions!$E$33</f>
        <v>1563.54688</v>
      </c>
      <c r="N10117" s="48" t="n">
        <f aca="false">N10099*Assumptions!$E$18*Assumptions!$E$33</f>
        <v>1563.54688</v>
      </c>
      <c r="P10117" s="49"/>
      <c r="Q10117" s="49"/>
      <c r="R10117" s="49"/>
      <c r="S10117" s="50"/>
    </row>
    <row r="10118" customFormat="false" ht="15" hidden="false" customHeight="false" outlineLevel="0" collapsed="false">
      <c r="A10118" s="4" t="s">
        <v>511</v>
      </c>
      <c r="B10118" s="36" t="s">
        <v>509</v>
      </c>
      <c r="C10118" s="48" t="n">
        <f aca="false">C10100*Assumptions!$E$19*Assumptions!$E$34</f>
        <v>34.677888</v>
      </c>
      <c r="D10118" s="48" t="n">
        <f aca="false">D10100*Assumptions!$E$19*Assumptions!$E$34</f>
        <v>69.355776</v>
      </c>
      <c r="E10118" s="48" t="n">
        <f aca="false">E10100*Assumptions!$E$19*Assumptions!$E$34</f>
        <v>69.355776</v>
      </c>
      <c r="F10118" s="48" t="n">
        <f aca="false">F10100*Assumptions!$E$19*Assumptions!$E$34</f>
        <v>69.355776</v>
      </c>
      <c r="G10118" s="48" t="n">
        <f aca="false">G10100*Assumptions!$E$19*Assumptions!$E$34</f>
        <v>86.69472</v>
      </c>
      <c r="H10118" s="48" t="n">
        <f aca="false">H10100*Assumptions!$E$19*Assumptions!$E$34</f>
        <v>104.033664</v>
      </c>
      <c r="I10118" s="48" t="n">
        <f aca="false">I10100*Assumptions!$E$19*Assumptions!$E$34</f>
        <v>159.7008</v>
      </c>
      <c r="J10118" s="48" t="n">
        <f aca="false">J10100*Assumptions!$E$19*Assumptions!$E$34</f>
        <v>215.367936</v>
      </c>
      <c r="K10118" s="48" t="n">
        <f aca="false">K10100*Assumptions!$E$19*Assumptions!$E$34</f>
        <v>215.367936</v>
      </c>
      <c r="L10118" s="48" t="n">
        <f aca="false">L10100*Assumptions!$E$19*Assumptions!$E$34</f>
        <v>215.367936</v>
      </c>
      <c r="M10118" s="48" t="n">
        <f aca="false">M10100*Assumptions!$E$19*Assumptions!$E$34</f>
        <v>215.367936</v>
      </c>
      <c r="N10118" s="48" t="n">
        <f aca="false">N10100*Assumptions!$E$19*Assumptions!$E$34</f>
        <v>215.367936</v>
      </c>
      <c r="P10118" s="49"/>
      <c r="Q10118" s="49"/>
      <c r="R10118" s="49"/>
      <c r="S10118" s="50"/>
    </row>
    <row r="10119" customFormat="false" ht="15" hidden="false" customHeight="false" outlineLevel="0" collapsed="false">
      <c r="A10119" s="4" t="s">
        <v>512</v>
      </c>
      <c r="B10119" s="36" t="s">
        <v>77</v>
      </c>
      <c r="C10119" s="51" t="n">
        <f aca="false">IFERROR(C10116/(C10116+C10117+C10118),0)</f>
        <v>0.631590736245533</v>
      </c>
      <c r="D10119" s="51" t="n">
        <f aca="false">IFERROR(D10116/(D10116+D10117+D10118),0)</f>
        <v>0.631590736245533</v>
      </c>
      <c r="E10119" s="51" t="n">
        <f aca="false">IFERROR(E10116/(E10116+E10117+E10118),0)</f>
        <v>0.631590736245533</v>
      </c>
      <c r="F10119" s="51" t="n">
        <f aca="false">IFERROR(F10116/(F10116+F10117+F10118),0)</f>
        <v>0.631590736245533</v>
      </c>
      <c r="G10119" s="51" t="n">
        <f aca="false">IFERROR(G10116/(G10116+G10117+G10118),0)</f>
        <v>0.638332506498128</v>
      </c>
      <c r="H10119" s="51" t="n">
        <f aca="false">IFERROR(H10116/(H10116+H10117+H10118),0)</f>
        <v>0.642303318118984</v>
      </c>
      <c r="I10119" s="51" t="n">
        <f aca="false">IFERROR(I10116/(I10116+I10117+I10118),0)</f>
        <v>0.657538025405288</v>
      </c>
      <c r="J10119" s="51" t="n">
        <f aca="false">IFERROR(J10116/(J10116+J10117+J10118),0)</f>
        <v>0.664058061428891</v>
      </c>
      <c r="K10119" s="51" t="n">
        <f aca="false">IFERROR(K10116/(K10116+K10117+K10118),0)</f>
        <v>0.664058061428891</v>
      </c>
      <c r="L10119" s="51" t="n">
        <f aca="false">IFERROR(L10116/(L10116+L10117+L10118),0)</f>
        <v>0.664058061428891</v>
      </c>
      <c r="M10119" s="51" t="n">
        <f aca="false">IFERROR(M10116/(M10116+M10117+M10118),0)</f>
        <v>0.664058061428891</v>
      </c>
      <c r="N10119" s="51" t="n">
        <f aca="false">IFERROR(N10116/(N10116+N10117+N10118),0)</f>
        <v>0.664058061428891</v>
      </c>
      <c r="P10119" s="52"/>
      <c r="Q10119" s="52"/>
      <c r="R10119" s="52"/>
      <c r="S10119" s="53"/>
    </row>
    <row r="10120" customFormat="false" ht="15" hidden="false" customHeight="false" outlineLevel="0" collapsed="false">
      <c r="A10120" s="4" t="s">
        <v>513</v>
      </c>
      <c r="B10120" s="36" t="s">
        <v>77</v>
      </c>
      <c r="C10120" s="51" t="n">
        <f aca="false">IFERROR(C10117/(C10116+C10117+C10118),0)</f>
        <v>0.316449102482628</v>
      </c>
      <c r="D10120" s="51" t="n">
        <f aca="false">IFERROR(D10117/(D10116+D10117+D10118),0)</f>
        <v>0.316449102482628</v>
      </c>
      <c r="E10120" s="51" t="n">
        <f aca="false">IFERROR(E10117/(E10116+E10117+E10118),0)</f>
        <v>0.316449102482628</v>
      </c>
      <c r="F10120" s="51" t="n">
        <f aca="false">IFERROR(F10117/(F10116+F10117+F10118),0)</f>
        <v>0.316449102482628</v>
      </c>
      <c r="G10120" s="51" t="n">
        <f aca="false">IFERROR(G10117/(G10116+G10117+G10118),0)</f>
        <v>0.313517566939561</v>
      </c>
      <c r="H10120" s="51" t="n">
        <f aca="false">IFERROR(H10117/(H10116+H10117+H10118),0)</f>
        <v>0.311790932099567</v>
      </c>
      <c r="I10120" s="51" t="n">
        <f aca="false">IFERROR(I10117/(I10116+I10117+I10118),0)</f>
        <v>0.300221741111391</v>
      </c>
      <c r="J10120" s="51" t="n">
        <f aca="false">IFERROR(J10117/(J10116+J10117+J10118),0)</f>
        <v>0.295270445324128</v>
      </c>
      <c r="K10120" s="51" t="n">
        <f aca="false">IFERROR(K10117/(K10116+K10117+K10118),0)</f>
        <v>0.295270445324128</v>
      </c>
      <c r="L10120" s="51" t="n">
        <f aca="false">IFERROR(L10117/(L10116+L10117+L10118),0)</f>
        <v>0.295270445324128</v>
      </c>
      <c r="M10120" s="51" t="n">
        <f aca="false">IFERROR(M10117/(M10116+M10117+M10118),0)</f>
        <v>0.295270445324128</v>
      </c>
      <c r="N10120" s="51" t="n">
        <f aca="false">IFERROR(N10117/(N10116+N10117+N10118),0)</f>
        <v>0.295270445324128</v>
      </c>
      <c r="P10120" s="52"/>
      <c r="Q10120" s="52"/>
      <c r="R10120" s="52"/>
      <c r="S10120" s="53"/>
    </row>
    <row r="10121" customFormat="false" ht="15" hidden="false" customHeight="false" outlineLevel="0" collapsed="false">
      <c r="A10121" s="4" t="s">
        <v>514</v>
      </c>
      <c r="B10121" s="36" t="s">
        <v>77</v>
      </c>
      <c r="C10121" s="51" t="n">
        <f aca="false">IFERROR(C10118/(C10116+C10117+C10118),0)</f>
        <v>0.0519601612718389</v>
      </c>
      <c r="D10121" s="51" t="n">
        <f aca="false">IFERROR(D10118/(D10116+D10117+D10118),0)</f>
        <v>0.0519601612718389</v>
      </c>
      <c r="E10121" s="51" t="n">
        <f aca="false">IFERROR(E10118/(E10116+E10117+E10118),0)</f>
        <v>0.0519601612718389</v>
      </c>
      <c r="F10121" s="51" t="n">
        <f aca="false">IFERROR(F10118/(F10116+F10117+F10118),0)</f>
        <v>0.0519601612718389</v>
      </c>
      <c r="G10121" s="51" t="n">
        <f aca="false">IFERROR(G10118/(G10116+G10117+G10118),0)</f>
        <v>0.0481499265623113</v>
      </c>
      <c r="H10121" s="51" t="n">
        <f aca="false">IFERROR(H10118/(H10116+H10117+H10118),0)</f>
        <v>0.0459057497814491</v>
      </c>
      <c r="I10121" s="51" t="n">
        <f aca="false">IFERROR(I10118/(I10116+I10117+I10118),0)</f>
        <v>0.0422402334833216</v>
      </c>
      <c r="J10121" s="51" t="n">
        <f aca="false">IFERROR(J10118/(J10116+J10117+J10118),0)</f>
        <v>0.0406714932469811</v>
      </c>
      <c r="K10121" s="51" t="n">
        <f aca="false">IFERROR(K10118/(K10116+K10117+K10118),0)</f>
        <v>0.0406714932469811</v>
      </c>
      <c r="L10121" s="51" t="n">
        <f aca="false">IFERROR(L10118/(L10116+L10117+L10118),0)</f>
        <v>0.0406714932469811</v>
      </c>
      <c r="M10121" s="51" t="n">
        <f aca="false">IFERROR(M10118/(M10116+M10117+M10118),0)</f>
        <v>0.0406714932469811</v>
      </c>
      <c r="N10121" s="51" t="n">
        <f aca="false">IFERROR(N10118/(N10116+N10117+N10118),0)</f>
        <v>0.0406714932469811</v>
      </c>
      <c r="P10121" s="52"/>
      <c r="Q10121" s="52"/>
      <c r="R10121" s="52"/>
      <c r="S10121" s="53"/>
    </row>
    <row r="10122" customFormat="false" ht="15" hidden="false" customHeight="false" outlineLevel="0" collapsed="false">
      <c r="A10122" s="4" t="s">
        <v>515</v>
      </c>
      <c r="B10122" s="36" t="s">
        <v>516</v>
      </c>
      <c r="C10122" s="48" t="n">
        <f aca="false">IF(C10090-Assumptions!$E$35&lt;1,0,INDEX($C$10115:$N$10115,1,C10090-Assumptions!$E$35)*INDEX($C$10119:$N$10119,1,C10090-Assumptions!$E$35)*0.4)</f>
        <v>0</v>
      </c>
      <c r="D10122" s="48" t="n">
        <f aca="false">IF(D10090-Assumptions!$E$35&lt;1,0,INDEX($C$10115:$N$10115,1,D10090-Assumptions!$E$35)*INDEX($C$10119:$N$10119,1,D10090-Assumptions!$E$35)*0.4)</f>
        <v>1.65024084796918</v>
      </c>
      <c r="E10122" s="48" t="n">
        <f aca="false">IF(E10090-Assumptions!$E$35&lt;1,0,INDEX($C$10115:$N$10115,1,E10090-Assumptions!$E$35)*INDEX($C$10119:$N$10119,1,E10090-Assumptions!$E$35)*0.4)</f>
        <v>2.82864200058743</v>
      </c>
      <c r="F10122" s="48" t="n">
        <f aca="false">IF(F10090-Assumptions!$E$35&lt;1,0,INDEX($C$10115:$N$10115,1,F10090-Assumptions!$E$35)*INDEX($C$10119:$N$10119,1,F10090-Assumptions!$E$35)*0.4)</f>
        <v>3.12115697399229</v>
      </c>
      <c r="G10122" s="48" t="n">
        <f aca="false">IF(G10090-Assumptions!$E$35&lt;1,0,INDEX($C$10115:$N$10115,1,G10090-Assumptions!$E$35)*INDEX($C$10119:$N$10119,1,G10090-Assumptions!$E$35)*0.4)</f>
        <v>3.41967042648192</v>
      </c>
      <c r="H10122" s="48" t="n">
        <f aca="false">IF(H10090-Assumptions!$E$35&lt;1,0,INDEX($C$10115:$N$10115,1,H10090-Assumptions!$E$35)*INDEX($C$10119:$N$10119,1,H10090-Assumptions!$E$35)*0.4)</f>
        <v>4.40037482234274</v>
      </c>
      <c r="I10122" s="48" t="n">
        <f aca="false">IF(I10090-Assumptions!$E$35&lt;1,0,INDEX($C$10115:$N$10115,1,I10090-Assumptions!$E$35)*INDEX($C$10119:$N$10119,1,I10090-Assumptions!$E$35)*0.4)</f>
        <v>5.31640126681646</v>
      </c>
      <c r="J10122" s="48" t="n">
        <f aca="false">IF(J10090-Assumptions!$E$35&lt;1,0,INDEX($C$10115:$N$10115,1,J10090-Assumptions!$E$35)*INDEX($C$10119:$N$10119,1,J10090-Assumptions!$E$35)*0.4)</f>
        <v>7.86798683341676</v>
      </c>
      <c r="K10122" s="48" t="n">
        <f aca="false">IF(K10090-Assumptions!$E$35&lt;1,0,INDEX($C$10115:$N$10115,1,K10090-Assumptions!$E$35)*INDEX($C$10119:$N$10119,1,K10090-Assumptions!$E$35)*0.4)</f>
        <v>10.1774450162906</v>
      </c>
      <c r="L10122" s="48" t="n">
        <f aca="false">IF(L10090-Assumptions!$E$35&lt;1,0,INDEX($C$10115:$N$10115,1,L10090-Assumptions!$E$35)*INDEX($C$10119:$N$10119,1,L10090-Assumptions!$E$35)*0.4)</f>
        <v>10.2497611839915</v>
      </c>
      <c r="M10122" s="48" t="n">
        <f aca="false">IF(M10090-Assumptions!$E$35&lt;1,0,INDEX($C$10115:$N$10115,1,M10090-Assumptions!$E$35)*INDEX($C$10119:$N$10119,1,M10090-Assumptions!$E$35)*0.4)</f>
        <v>9.94627356583056</v>
      </c>
      <c r="N10122" s="48" t="n">
        <f aca="false">IF(N10090-Assumptions!$E$35&lt;1,0,INDEX($C$10115:$N$10115,1,N10090-Assumptions!$E$35)*INDEX($C$10119:$N$10119,1,N10090-Assumptions!$E$35)*0.4)</f>
        <v>9.66384651369268</v>
      </c>
      <c r="P10122" s="49" t="n">
        <f aca="false">SUM(C10122:F10122)</f>
        <v>7.6000398225489</v>
      </c>
      <c r="Q10122" s="49" t="n">
        <f aca="false">SUM(G10122:J10122)</f>
        <v>21.0044333490579</v>
      </c>
      <c r="R10122" s="49" t="n">
        <f aca="false">SUM(K10122:N10122)</f>
        <v>40.0373262798053</v>
      </c>
      <c r="S10122" s="50" t="n">
        <f aca="false">SUM(P10122:R10122)</f>
        <v>68.6417994514121</v>
      </c>
    </row>
    <row r="10123" customFormat="false" ht="15" hidden="false" customHeight="false" outlineLevel="0" collapsed="false">
      <c r="A10123" s="4" t="s">
        <v>517</v>
      </c>
      <c r="B10123" s="36" t="s">
        <v>516</v>
      </c>
      <c r="C10123" s="48" t="n">
        <f aca="false">IF(C10090-Assumptions!$E$35&lt;1,0,INDEX($C$10115:$N$10115,1,C10090-Assumptions!$E$35)*INDEX($C$10120:$N$10120,1,C10090-Assumptions!$E$35)*0.4)</f>
        <v>0</v>
      </c>
      <c r="D10123" s="48" t="n">
        <f aca="false">IF(D10090-Assumptions!$E$35&lt;1,0,INDEX($C$10115:$N$10115,1,D10090-Assumptions!$E$35)*INDEX($C$10120:$N$10120,1,D10090-Assumptions!$E$35)*0.4)</f>
        <v>0.82682852241361</v>
      </c>
      <c r="E10123" s="48" t="n">
        <f aca="false">IF(E10090-Assumptions!$E$35&lt;1,0,INDEX($C$10115:$N$10115,1,E10090-Assumptions!$E$35)*INDEX($C$10120:$N$10120,1,E10090-Assumptions!$E$35)*0.4)</f>
        <v>1.41724881471753</v>
      </c>
      <c r="F10123" s="48" t="n">
        <f aca="false">IF(F10090-Assumptions!$E$35&lt;1,0,INDEX($C$10115:$N$10115,1,F10090-Assumptions!$E$35)*INDEX($C$10120:$N$10120,1,F10090-Assumptions!$E$35)*0.4)</f>
        <v>1.56380907199261</v>
      </c>
      <c r="G10123" s="48" t="n">
        <f aca="false">IF(G10090-Assumptions!$E$35&lt;1,0,INDEX($C$10115:$N$10115,1,G10090-Assumptions!$E$35)*INDEX($C$10120:$N$10120,1,G10090-Assumptions!$E$35)*0.4)</f>
        <v>1.71337477759632</v>
      </c>
      <c r="H10123" s="48" t="n">
        <f aca="false">IF(H10090-Assumptions!$E$35&lt;1,0,INDEX($C$10115:$N$10115,1,H10090-Assumptions!$E$35)*INDEX($C$10120:$N$10120,1,H10090-Assumptions!$E$35)*0.4)</f>
        <v>2.16124792937682</v>
      </c>
      <c r="I10123" s="48" t="n">
        <f aca="false">IF(I10090-Assumptions!$E$35&lt;1,0,INDEX($C$10115:$N$10115,1,I10090-Assumptions!$E$35)*INDEX($C$10120:$N$10120,1,I10090-Assumptions!$E$35)*0.4)</f>
        <v>2.58072106999291</v>
      </c>
      <c r="J10123" s="48" t="n">
        <f aca="false">IF(J10090-Assumptions!$E$35&lt;1,0,INDEX($C$10115:$N$10115,1,J10090-Assumptions!$E$35)*INDEX($C$10120:$N$10120,1,J10090-Assumptions!$E$35)*0.4)</f>
        <v>3.59240167854007</v>
      </c>
      <c r="K10123" s="48" t="n">
        <f aca="false">IF(K10090-Assumptions!$E$35&lt;1,0,INDEX($C$10115:$N$10115,1,K10090-Assumptions!$E$35)*INDEX($C$10120:$N$10120,1,K10090-Assumptions!$E$35)*0.4)</f>
        <v>4.52535538196121</v>
      </c>
      <c r="L10123" s="48" t="n">
        <f aca="false">IF(L10090-Assumptions!$E$35&lt;1,0,INDEX($C$10115:$N$10115,1,L10090-Assumptions!$E$35)*INDEX($C$10120:$N$10120,1,L10090-Assumptions!$E$35)*0.4)</f>
        <v>4.55751044231124</v>
      </c>
      <c r="M10123" s="48" t="n">
        <f aca="false">IF(M10090-Assumptions!$E$35&lt;1,0,INDEX($C$10115:$N$10115,1,M10090-Assumptions!$E$35)*INDEX($C$10120:$N$10120,1,M10090-Assumptions!$E$35)*0.4)</f>
        <v>4.42256603101697</v>
      </c>
      <c r="N10123" s="48" t="n">
        <f aca="false">IF(N10090-Assumptions!$E$35&lt;1,0,INDEX($C$10115:$N$10115,1,N10090-Assumptions!$E$35)*INDEX($C$10120:$N$10120,1,N10090-Assumptions!$E$35)*0.4)</f>
        <v>4.29698610615785</v>
      </c>
      <c r="P10123" s="49" t="n">
        <f aca="false">SUM(C10123:F10123)</f>
        <v>3.80788640912375</v>
      </c>
      <c r="Q10123" s="49" t="n">
        <f aca="false">SUM(G10123:J10123)</f>
        <v>10.0477454555061</v>
      </c>
      <c r="R10123" s="49" t="n">
        <f aca="false">SUM(K10123:N10123)</f>
        <v>17.8024179614473</v>
      </c>
      <c r="S10123" s="50" t="n">
        <f aca="false">SUM(P10123:R10123)</f>
        <v>31.6580498260772</v>
      </c>
    </row>
    <row r="10124" customFormat="false" ht="15" hidden="false" customHeight="false" outlineLevel="0" collapsed="false">
      <c r="A10124" s="4" t="s">
        <v>518</v>
      </c>
      <c r="B10124" s="36" t="s">
        <v>516</v>
      </c>
      <c r="C10124" s="48" t="n">
        <f aca="false">IF(C10090-Assumptions!$E$36&lt;1,0,INDEX($C$10115:$N$10115,1,C10090-Assumptions!$E$36)*INDEX($C$10121:$N$10121,1,C10090-Assumptions!$E$36)*0.4)</f>
        <v>0</v>
      </c>
      <c r="D10124" s="48" t="n">
        <f aca="false">IF(D10090-Assumptions!$E$36&lt;1,0,INDEX($C$10115:$N$10115,1,D10090-Assumptions!$E$36)*INDEX($C$10121:$N$10121,1,D10090-Assumptions!$E$36)*0.4)</f>
        <v>0</v>
      </c>
      <c r="E10124" s="48" t="n">
        <f aca="false">IF(E10090-Assumptions!$E$36&lt;1,0,INDEX($C$10115:$N$10115,1,E10090-Assumptions!$E$36)*INDEX($C$10121:$N$10121,1,E10090-Assumptions!$E$36)*0.4)</f>
        <v>0.135763201828408</v>
      </c>
      <c r="F10124" s="48" t="n">
        <f aca="false">IF(F10090-Assumptions!$E$36&lt;1,0,INDEX($C$10115:$N$10115,1,F10090-Assumptions!$E$36)*INDEX($C$10121:$N$10121,1,F10090-Assumptions!$E$36)*0.4)</f>
        <v>0.23270875599683</v>
      </c>
      <c r="G10124" s="48" t="n">
        <f aca="false">IF(G10090-Assumptions!$E$36&lt;1,0,INDEX($C$10115:$N$10115,1,G10090-Assumptions!$E$36)*INDEX($C$10121:$N$10121,1,G10090-Assumptions!$E$36)*0.4)</f>
        <v>0.256773588364218</v>
      </c>
      <c r="H10124" s="48" t="n">
        <f aca="false">IF(H10090-Assumptions!$E$36&lt;1,0,INDEX($C$10115:$N$10115,1,H10090-Assumptions!$E$36)*INDEX($C$10121:$N$10121,1,H10090-Assumptions!$E$36)*0.4)</f>
        <v>0.28133190792631</v>
      </c>
      <c r="I10124" s="48" t="n">
        <f aca="false">IF(I10090-Assumptions!$E$36&lt;1,0,INDEX($C$10115:$N$10115,1,I10090-Assumptions!$E$36)*INDEX($C$10121:$N$10121,1,I10090-Assumptions!$E$36)*0.4)</f>
        <v>0.331923758206833</v>
      </c>
      <c r="J10124" s="48" t="n">
        <f aca="false">IF(J10090-Assumptions!$E$36&lt;1,0,INDEX($C$10115:$N$10115,1,J10090-Assumptions!$E$36)*INDEX($C$10121:$N$10121,1,J10090-Assumptions!$E$36)*0.4)</f>
        <v>0.379965943515562</v>
      </c>
      <c r="K10124" s="48" t="n">
        <f aca="false">IF(K10090-Assumptions!$E$36&lt;1,0,INDEX($C$10115:$N$10115,1,K10090-Assumptions!$E$36)*INDEX($C$10121:$N$10121,1,K10090-Assumptions!$E$36)*0.4)</f>
        <v>0.505439363270855</v>
      </c>
      <c r="L10124" s="48" t="n">
        <f aca="false">IF(L10090-Assumptions!$E$36&lt;1,0,INDEX($C$10115:$N$10115,1,L10090-Assumptions!$E$36)*INDEX($C$10121:$N$10121,1,L10090-Assumptions!$E$36)*0.4)</f>
        <v>0.623336889188432</v>
      </c>
      <c r="M10124" s="48" t="n">
        <f aca="false">IF(M10090-Assumptions!$E$36&lt;1,0,INDEX($C$10115:$N$10115,1,M10090-Assumptions!$E$36)*INDEX($C$10121:$N$10121,1,M10090-Assumptions!$E$36)*0.4)</f>
        <v>0.627766029796957</v>
      </c>
      <c r="N10124" s="48" t="n">
        <f aca="false">IF(N10090-Assumptions!$E$36&lt;1,0,INDEX($C$10115:$N$10115,1,N10090-Assumptions!$E$36)*INDEX($C$10121:$N$10121,1,N10090-Assumptions!$E$36)*0.4)</f>
        <v>0.60917835602335</v>
      </c>
      <c r="P10124" s="49" t="n">
        <f aca="false">SUM(C10124:F10124)</f>
        <v>0.368471957825237</v>
      </c>
      <c r="Q10124" s="49" t="n">
        <f aca="false">SUM(G10124:J10124)</f>
        <v>1.24999519801292</v>
      </c>
      <c r="R10124" s="49" t="n">
        <f aca="false">SUM(K10124:N10124)</f>
        <v>2.36572063827959</v>
      </c>
      <c r="S10124" s="50" t="n">
        <f aca="false">SUM(P10124:R10124)</f>
        <v>3.98418779411775</v>
      </c>
    </row>
    <row r="10125" customFormat="false" ht="15" hidden="false" customHeight="false" outlineLevel="0" collapsed="false">
      <c r="A10125" s="4" t="s">
        <v>519</v>
      </c>
      <c r="B10125" s="36" t="s">
        <v>77</v>
      </c>
      <c r="C10125" s="51" t="n">
        <f aca="false">IF(C10090-Assumptions!$E$35&lt;1,0,IFERROR(INDEX($C$10114:$N$10114,1,C10090-Assumptions!$E$35)/INDEX($C$10115:$N$10115,1,C10090-Assumptions!$E$35),0))</f>
        <v>0</v>
      </c>
      <c r="D10125" s="51" t="n">
        <f aca="false">IF(D10090-Assumptions!$E$35&lt;1,0,IFERROR(INDEX($C$10114:$N$10114,1,D10090-Assumptions!$E$35)/INDEX($C$10115:$N$10115,1,D10090-Assumptions!$E$35),0))</f>
        <v>0.459271678087073</v>
      </c>
      <c r="E10125" s="51" t="n">
        <f aca="false">IF(E10090-Assumptions!$E$35&lt;1,0,IFERROR(INDEX($C$10114:$N$10114,1,E10090-Assumptions!$E$35)/INDEX($C$10115:$N$10115,1,E10090-Assumptions!$E$35),0))</f>
        <v>0.401911350042128</v>
      </c>
      <c r="F10125" s="51" t="n">
        <f aca="false">IF(F10090-Assumptions!$E$35&lt;1,0,IFERROR(INDEX($C$10114:$N$10114,1,F10090-Assumptions!$E$35)/INDEX($C$10115:$N$10115,1,F10090-Assumptions!$E$35),0))</f>
        <v>0.485658933408398</v>
      </c>
      <c r="G10125" s="51" t="n">
        <f aca="false">IF(G10090-Assumptions!$E$35&lt;1,0,IFERROR(INDEX($C$10114:$N$10114,1,G10090-Assumptions!$E$35)/INDEX($C$10115:$N$10115,1,G10090-Assumptions!$E$35),0))</f>
        <v>0.554080356417826</v>
      </c>
      <c r="H10125" s="51" t="n">
        <f aca="false">IF(H10090-Assumptions!$E$35&lt;1,0,IFERROR(INDEX($C$10114:$N$10114,1,H10090-Assumptions!$E$35)/INDEX($C$10115:$N$10115,1,H10090-Assumptions!$E$35),0))</f>
        <v>0.522227563825987</v>
      </c>
      <c r="I10125" s="51" t="n">
        <f aca="false">IF(I10090-Assumptions!$E$35&lt;1,0,IFERROR(INDEX($C$10114:$N$10114,1,I10090-Assumptions!$E$35)/INDEX($C$10115:$N$10115,1,I10090-Assumptions!$E$35),0))</f>
        <v>0.507424816282752</v>
      </c>
      <c r="J10125" s="51" t="n">
        <f aca="false">IF(J10090-Assumptions!$E$35&lt;1,0,IFERROR(INDEX($C$10114:$N$10114,1,J10090-Assumptions!$E$35)/INDEX($C$10115:$N$10115,1,J10090-Assumptions!$E$35),0))</f>
        <v>0.401142323795015</v>
      </c>
      <c r="K10125" s="51" t="n">
        <f aca="false">IF(K10090-Assumptions!$E$35&lt;1,0,IFERROR(INDEX($C$10114:$N$10114,1,K10090-Assumptions!$E$35)/INDEX($C$10115:$N$10115,1,K10090-Assumptions!$E$35),0))</f>
        <v>0.352339268448632</v>
      </c>
      <c r="L10125" s="51" t="n">
        <f aca="false">IF(L10090-Assumptions!$E$35&lt;1,0,IFERROR(INDEX($C$10114:$N$10114,1,L10090-Assumptions!$E$35)/INDEX($C$10115:$N$10115,1,L10090-Assumptions!$E$35),0))</f>
        <v>0.388725970981282</v>
      </c>
      <c r="M10125" s="51" t="n">
        <f aca="false">IF(M10090-Assumptions!$E$35&lt;1,0,IFERROR(INDEX($C$10114:$N$10114,1,M10090-Assumptions!$E$35)/INDEX($C$10115:$N$10115,1,M10090-Assumptions!$E$35),0))</f>
        <v>0.400587048224893</v>
      </c>
      <c r="N10125" s="51" t="n">
        <f aca="false">IF(N10090-Assumptions!$E$35&lt;1,0,IFERROR(INDEX($C$10114:$N$10114,1,N10090-Assumptions!$E$35)/INDEX($C$10115:$N$10115,1,N10090-Assumptions!$E$35),0))</f>
        <v>0.412294251872474</v>
      </c>
      <c r="P10125" s="52"/>
      <c r="Q10125" s="52"/>
      <c r="R10125" s="52"/>
      <c r="S10125" s="53"/>
    </row>
    <row r="10126" customFormat="false" ht="15" hidden="false" customHeight="false" outlineLevel="0" collapsed="false">
      <c r="A10126" s="4" t="s">
        <v>520</v>
      </c>
      <c r="B10126" s="36" t="s">
        <v>516</v>
      </c>
      <c r="C10126" s="48" t="n">
        <f aca="false">C10122*Assumptions!$E$37</f>
        <v>0</v>
      </c>
      <c r="D10126" s="48" t="n">
        <f aca="false">D10122*Assumptions!$E$37</f>
        <v>0.495072254390755</v>
      </c>
      <c r="E10126" s="48" t="n">
        <f aca="false">E10122*Assumptions!$E$37</f>
        <v>0.848592600176228</v>
      </c>
      <c r="F10126" s="48" t="n">
        <f aca="false">F10122*Assumptions!$E$37</f>
        <v>0.936347092197688</v>
      </c>
      <c r="G10126" s="48" t="n">
        <f aca="false">G10122*Assumptions!$E$37</f>
        <v>1.02590112794458</v>
      </c>
      <c r="H10126" s="48" t="n">
        <f aca="false">H10122*Assumptions!$E$37</f>
        <v>1.32011244670282</v>
      </c>
      <c r="I10126" s="48" t="n">
        <f aca="false">I10122*Assumptions!$E$37</f>
        <v>1.59492038004494</v>
      </c>
      <c r="J10126" s="48" t="n">
        <f aca="false">J10122*Assumptions!$E$37</f>
        <v>2.36039605002503</v>
      </c>
      <c r="K10126" s="48" t="n">
        <f aca="false">K10122*Assumptions!$E$37</f>
        <v>3.05323350488719</v>
      </c>
      <c r="L10126" s="48" t="n">
        <f aca="false">L10122*Assumptions!$E$37</f>
        <v>3.07492835519744</v>
      </c>
      <c r="M10126" s="48" t="n">
        <f aca="false">M10122*Assumptions!$E$37</f>
        <v>2.98388206974917</v>
      </c>
      <c r="N10126" s="48" t="n">
        <f aca="false">N10122*Assumptions!$E$37</f>
        <v>2.89915395410781</v>
      </c>
      <c r="P10126" s="49" t="n">
        <f aca="false">SUM(C10126:F10126)</f>
        <v>2.28001194676467</v>
      </c>
      <c r="Q10126" s="49" t="n">
        <f aca="false">SUM(G10126:J10126)</f>
        <v>6.30133000471737</v>
      </c>
      <c r="R10126" s="49" t="n">
        <f aca="false">SUM(K10126:N10126)</f>
        <v>12.0111978839416</v>
      </c>
      <c r="S10126" s="50" t="n">
        <f aca="false">SUM(P10126:R10126)</f>
        <v>20.5925398354236</v>
      </c>
    </row>
    <row r="10127" customFormat="false" ht="15" hidden="false" customHeight="false" outlineLevel="0" collapsed="false">
      <c r="A10127" s="4" t="s">
        <v>521</v>
      </c>
      <c r="B10127" s="36" t="s">
        <v>516</v>
      </c>
      <c r="C10127" s="48" t="n">
        <f aca="false">C10122*(1-Assumptions!$E$37)</f>
        <v>0</v>
      </c>
      <c r="D10127" s="48" t="n">
        <f aca="false">D10122*(1-Assumptions!$E$37)</f>
        <v>1.15516859357843</v>
      </c>
      <c r="E10127" s="48" t="n">
        <f aca="false">E10122*(1-Assumptions!$E$37)</f>
        <v>1.9800494004112</v>
      </c>
      <c r="F10127" s="48" t="n">
        <f aca="false">F10122*(1-Assumptions!$E$37)</f>
        <v>2.1848098817946</v>
      </c>
      <c r="G10127" s="48" t="n">
        <f aca="false">G10122*(1-Assumptions!$E$37)</f>
        <v>2.39376929853734</v>
      </c>
      <c r="H10127" s="48" t="n">
        <f aca="false">H10122*(1-Assumptions!$E$37)</f>
        <v>3.08026237563992</v>
      </c>
      <c r="I10127" s="48" t="n">
        <f aca="false">I10122*(1-Assumptions!$E$37)</f>
        <v>3.72148088677152</v>
      </c>
      <c r="J10127" s="48" t="n">
        <f aca="false">J10122*(1-Assumptions!$E$37)</f>
        <v>5.50759078339173</v>
      </c>
      <c r="K10127" s="48" t="n">
        <f aca="false">K10122*(1-Assumptions!$E$37)</f>
        <v>7.12421151140343</v>
      </c>
      <c r="L10127" s="48" t="n">
        <f aca="false">L10122*(1-Assumptions!$E$37)</f>
        <v>7.17483282879404</v>
      </c>
      <c r="M10127" s="48" t="n">
        <f aca="false">M10122*(1-Assumptions!$E$37)</f>
        <v>6.96239149608139</v>
      </c>
      <c r="N10127" s="48" t="n">
        <f aca="false">N10122*(1-Assumptions!$E$37)</f>
        <v>6.76469255958488</v>
      </c>
      <c r="P10127" s="49" t="n">
        <f aca="false">SUM(C10127:F10127)</f>
        <v>5.32002787578423</v>
      </c>
      <c r="Q10127" s="49" t="n">
        <f aca="false">SUM(G10127:J10127)</f>
        <v>14.7031033443405</v>
      </c>
      <c r="R10127" s="49" t="n">
        <f aca="false">SUM(K10127:N10127)</f>
        <v>28.0261283958637</v>
      </c>
      <c r="S10127" s="50" t="n">
        <f aca="false">SUM(P10127:R10127)</f>
        <v>48.0492596159885</v>
      </c>
    </row>
    <row r="10128" customFormat="false" ht="15" hidden="false" customHeight="false" outlineLevel="0" collapsed="false">
      <c r="A10128" s="4" t="s">
        <v>522</v>
      </c>
      <c r="B10128" s="36" t="s">
        <v>125</v>
      </c>
      <c r="C10128" s="54" t="n">
        <f aca="false">C10127*$C$10081+C10123*$C$10082+C10124*$C$10083</f>
        <v>0</v>
      </c>
      <c r="D10128" s="54" t="n">
        <f aca="false">D10127*$C$10081+D10123*$C$10082+D10124*$C$10083</f>
        <v>18295.5664721568</v>
      </c>
      <c r="E10128" s="54" t="n">
        <f aca="false">E10127*$C$10081+E10123*$C$10082+E10124*$C$10083</f>
        <v>43940.8539818185</v>
      </c>
      <c r="F10128" s="54" t="n">
        <f aca="false">F10127*$C$10081+F10123*$C$10082+F10124*$C$10083</f>
        <v>56167.5425275161</v>
      </c>
      <c r="G10128" s="54" t="n">
        <f aca="false">G10127*$C$10081+G10123*$C$10082+G10124*$C$10083</f>
        <v>61707.067976965</v>
      </c>
      <c r="H10128" s="54" t="n">
        <f aca="false">H10127*$C$10081+H10123*$C$10082+H10124*$C$10083</f>
        <v>74218.31175289</v>
      </c>
      <c r="I10128" s="54" t="n">
        <f aca="false">I10127*$C$10081+I10123*$C$10082+I10124*$C$10083</f>
        <v>88483.6428072239</v>
      </c>
      <c r="J10128" s="54" t="n">
        <f aca="false">J10127*$C$10081+J10123*$C$10082+J10124*$C$10083</f>
        <v>117316.048669</v>
      </c>
      <c r="K10128" s="54" t="n">
        <f aca="false">K10127*$C$10081+K10123*$C$10082+K10124*$C$10083</f>
        <v>151263.342988472</v>
      </c>
      <c r="L10128" s="54" t="n">
        <f aca="false">L10127*$C$10081+L10123*$C$10082+L10124*$C$10083</f>
        <v>162930.59783755</v>
      </c>
      <c r="M10128" s="54" t="n">
        <f aca="false">M10127*$C$10081+M10123*$C$10082+M10124*$C$10083</f>
        <v>160227.102252815</v>
      </c>
      <c r="N10128" s="54" t="n">
        <f aca="false">N10127*$C$10081+N10123*$C$10082+N10124*$C$10083</f>
        <v>155606.790465488</v>
      </c>
      <c r="P10128" s="55" t="n">
        <f aca="false">SUM(C10128:F10128)</f>
        <v>118403.962981491</v>
      </c>
      <c r="Q10128" s="55" t="n">
        <f aca="false">SUM(G10128:J10128)</f>
        <v>341725.071206079</v>
      </c>
      <c r="R10128" s="55" t="n">
        <f aca="false">SUM(K10128:N10128)</f>
        <v>630027.833544325</v>
      </c>
      <c r="S10128" s="56" t="n">
        <f aca="false">SUM(P10128:R10128)</f>
        <v>1090156.8677319</v>
      </c>
    </row>
    <row r="10129" customFormat="false" ht="15" hidden="false" customHeight="false" outlineLevel="0" collapsed="false">
      <c r="A10129" s="4" t="s">
        <v>523</v>
      </c>
      <c r="B10129" s="36" t="s">
        <v>125</v>
      </c>
      <c r="C10129" s="54" t="n">
        <f aca="false">(C10105+Assumptions!$D$104*C10091)*$C$10086</f>
        <v>306250</v>
      </c>
      <c r="D10129" s="54" t="n">
        <f aca="false">(D10105+Assumptions!$D$104*D10091)*$C$10086</f>
        <v>306250</v>
      </c>
      <c r="E10129" s="54" t="n">
        <f aca="false">(E10105+Assumptions!$D$104*E10091)*$C$10086</f>
        <v>306250</v>
      </c>
      <c r="F10129" s="54" t="n">
        <f aca="false">(F10105+Assumptions!$D$104*F10091)*$C$10086</f>
        <v>306250</v>
      </c>
      <c r="G10129" s="54" t="n">
        <f aca="false">(G10105+Assumptions!$D$104*G10091)*$C$10086</f>
        <v>306250</v>
      </c>
      <c r="H10129" s="54" t="n">
        <f aca="false">(H10105+Assumptions!$D$104*H10091)*$C$10086</f>
        <v>306250</v>
      </c>
      <c r="I10129" s="54" t="n">
        <f aca="false">(I10105+Assumptions!$D$104*I10091)*$C$10086</f>
        <v>306250</v>
      </c>
      <c r="J10129" s="54" t="n">
        <f aca="false">(J10105+Assumptions!$D$104*J10091)*$C$10086</f>
        <v>306250</v>
      </c>
      <c r="K10129" s="54" t="n">
        <f aca="false">(K10105+Assumptions!$D$104*K10091)*$C$10086</f>
        <v>306250</v>
      </c>
      <c r="L10129" s="54" t="n">
        <f aca="false">(L10105+Assumptions!$D$104*L10091)*$C$10086</f>
        <v>306250</v>
      </c>
      <c r="M10129" s="54" t="n">
        <f aca="false">(M10105+Assumptions!$D$104*M10091)*$C$10086</f>
        <v>306250</v>
      </c>
      <c r="N10129" s="54" t="n">
        <f aca="false">(N10105+Assumptions!$D$104*N10091)*$C$10086</f>
        <v>306250</v>
      </c>
      <c r="P10129" s="55" t="n">
        <f aca="false">SUM(C10129:F10129)</f>
        <v>1225000</v>
      </c>
      <c r="Q10129" s="55" t="n">
        <f aca="false">SUM(G10129:J10129)</f>
        <v>1225000</v>
      </c>
      <c r="R10129" s="55" t="n">
        <f aca="false">SUM(K10129:N10129)</f>
        <v>1225000</v>
      </c>
      <c r="S10129" s="56" t="n">
        <f aca="false">SUM(P10129:R10129)</f>
        <v>3675000</v>
      </c>
    </row>
    <row r="10130" customFormat="false" ht="15" hidden="false" customHeight="false" outlineLevel="0" collapsed="false">
      <c r="A10130" s="4" t="s">
        <v>524</v>
      </c>
      <c r="B10130" s="36" t="s">
        <v>77</v>
      </c>
      <c r="C10130" s="51" t="n">
        <f aca="false">IF(C10128&gt;0,MIN(1,C10129/C10128),1)</f>
        <v>1</v>
      </c>
      <c r="D10130" s="51" t="n">
        <f aca="false">IF(D10128&gt;0,MIN(1,D10129/D10128),1)</f>
        <v>1</v>
      </c>
      <c r="E10130" s="51" t="n">
        <f aca="false">IF(E10128&gt;0,MIN(1,E10129/E10128),1)</f>
        <v>1</v>
      </c>
      <c r="F10130" s="51" t="n">
        <f aca="false">IF(F10128&gt;0,MIN(1,F10129/F10128),1)</f>
        <v>1</v>
      </c>
      <c r="G10130" s="51" t="n">
        <f aca="false">IF(G10128&gt;0,MIN(1,G10129/G10128),1)</f>
        <v>1</v>
      </c>
      <c r="H10130" s="51" t="n">
        <f aca="false">IF(H10128&gt;0,MIN(1,H10129/H10128),1)</f>
        <v>1</v>
      </c>
      <c r="I10130" s="51" t="n">
        <f aca="false">IF(I10128&gt;0,MIN(1,I10129/I10128),1)</f>
        <v>1</v>
      </c>
      <c r="J10130" s="51" t="n">
        <f aca="false">IF(J10128&gt;0,MIN(1,J10129/J10128),1)</f>
        <v>1</v>
      </c>
      <c r="K10130" s="51" t="n">
        <f aca="false">IF(K10128&gt;0,MIN(1,K10129/K10128),1)</f>
        <v>1</v>
      </c>
      <c r="L10130" s="51" t="n">
        <f aca="false">IF(L10128&gt;0,MIN(1,L10129/L10128),1)</f>
        <v>1</v>
      </c>
      <c r="M10130" s="51" t="n">
        <f aca="false">IF(M10128&gt;0,MIN(1,M10129/M10128),1)</f>
        <v>1</v>
      </c>
      <c r="N10130" s="51" t="n">
        <f aca="false">IF(N10128&gt;0,MIN(1,N10129/N10128),1)</f>
        <v>1</v>
      </c>
      <c r="P10130" s="52"/>
      <c r="Q10130" s="52"/>
      <c r="R10130" s="52"/>
      <c r="S10130" s="53"/>
    </row>
    <row r="10131" customFormat="false" ht="15" hidden="false" customHeight="false" outlineLevel="0" collapsed="false">
      <c r="A10131" s="4" t="s">
        <v>525</v>
      </c>
      <c r="B10131" s="36" t="s">
        <v>125</v>
      </c>
      <c r="C10131" s="54" t="n">
        <f aca="false">C10128*(1-C10130)</f>
        <v>0</v>
      </c>
      <c r="D10131" s="54" t="n">
        <f aca="false">D10128*(1-D10130)</f>
        <v>0</v>
      </c>
      <c r="E10131" s="54" t="n">
        <f aca="false">E10128*(1-E10130)</f>
        <v>0</v>
      </c>
      <c r="F10131" s="54" t="n">
        <f aca="false">F10128*(1-F10130)</f>
        <v>0</v>
      </c>
      <c r="G10131" s="54" t="n">
        <f aca="false">G10128*(1-G10130)</f>
        <v>0</v>
      </c>
      <c r="H10131" s="54" t="n">
        <f aca="false">H10128*(1-H10130)</f>
        <v>0</v>
      </c>
      <c r="I10131" s="54" t="n">
        <f aca="false">I10128*(1-I10130)</f>
        <v>0</v>
      </c>
      <c r="J10131" s="54" t="n">
        <f aca="false">J10128*(1-J10130)</f>
        <v>0</v>
      </c>
      <c r="K10131" s="54" t="n">
        <f aca="false">K10128*(1-K10130)</f>
        <v>0</v>
      </c>
      <c r="L10131" s="54" t="n">
        <f aca="false">L10128*(1-L10130)</f>
        <v>0</v>
      </c>
      <c r="M10131" s="54" t="n">
        <f aca="false">M10128*(1-M10130)</f>
        <v>0</v>
      </c>
      <c r="N10131" s="54" t="n">
        <f aca="false">N10128*(1-N10130)</f>
        <v>0</v>
      </c>
      <c r="P10131" s="55" t="n">
        <f aca="false">SUM(C10131:F10131)</f>
        <v>0</v>
      </c>
      <c r="Q10131" s="55" t="n">
        <f aca="false">SUM(G10131:J10131)</f>
        <v>0</v>
      </c>
      <c r="R10131" s="55" t="n">
        <f aca="false">SUM(K10131:N10131)</f>
        <v>0</v>
      </c>
      <c r="S10131" s="56" t="n">
        <f aca="false">SUM(P10131:R10131)</f>
        <v>0</v>
      </c>
    </row>
    <row r="10132" customFormat="false" ht="15" hidden="false" customHeight="false" outlineLevel="0" collapsed="false">
      <c r="A10132" s="4" t="s">
        <v>526</v>
      </c>
      <c r="B10132" s="36" t="s">
        <v>527</v>
      </c>
      <c r="C10132" s="48" t="n">
        <f aca="false">C10126+C10127*C10130</f>
        <v>0</v>
      </c>
      <c r="D10132" s="48" t="n">
        <f aca="false">D10126+D10127*D10130</f>
        <v>1.65024084796918</v>
      </c>
      <c r="E10132" s="48" t="n">
        <f aca="false">E10126+E10127*E10130</f>
        <v>2.82864200058743</v>
      </c>
      <c r="F10132" s="48" t="n">
        <f aca="false">F10126+F10127*F10130</f>
        <v>3.12115697399229</v>
      </c>
      <c r="G10132" s="48" t="n">
        <f aca="false">G10126+G10127*G10130</f>
        <v>3.41967042648192</v>
      </c>
      <c r="H10132" s="48" t="n">
        <f aca="false">H10126+H10127*H10130</f>
        <v>4.40037482234274</v>
      </c>
      <c r="I10132" s="48" t="n">
        <f aca="false">I10126+I10127*I10130</f>
        <v>5.31640126681646</v>
      </c>
      <c r="J10132" s="48" t="n">
        <f aca="false">J10126+J10127*J10130</f>
        <v>7.86798683341676</v>
      </c>
      <c r="K10132" s="48" t="n">
        <f aca="false">K10126+K10127*K10130</f>
        <v>10.1774450162906</v>
      </c>
      <c r="L10132" s="48" t="n">
        <f aca="false">L10126+L10127*L10130</f>
        <v>10.2497611839915</v>
      </c>
      <c r="M10132" s="48" t="n">
        <f aca="false">M10126+M10127*M10130</f>
        <v>9.94627356583056</v>
      </c>
      <c r="N10132" s="48" t="n">
        <f aca="false">N10126+N10127*N10130</f>
        <v>9.66384651369268</v>
      </c>
      <c r="P10132" s="49" t="n">
        <f aca="false">SUM(C10132:F10132)</f>
        <v>7.6000398225489</v>
      </c>
      <c r="Q10132" s="49" t="n">
        <f aca="false">SUM(G10132:J10132)</f>
        <v>21.0044333490579</v>
      </c>
      <c r="R10132" s="49" t="n">
        <f aca="false">SUM(K10132:N10132)</f>
        <v>40.0373262798053</v>
      </c>
      <c r="S10132" s="50" t="n">
        <f aca="false">SUM(P10132:R10132)</f>
        <v>68.6417994514121</v>
      </c>
    </row>
    <row r="10133" customFormat="false" ht="15" hidden="false" customHeight="false" outlineLevel="0" collapsed="false">
      <c r="A10133" s="4" t="s">
        <v>528</v>
      </c>
      <c r="B10133" s="36" t="s">
        <v>527</v>
      </c>
      <c r="C10133" s="48" t="n">
        <f aca="false">C10123*C10130</f>
        <v>0</v>
      </c>
      <c r="D10133" s="48" t="n">
        <f aca="false">D10123*D10130</f>
        <v>0.82682852241361</v>
      </c>
      <c r="E10133" s="48" t="n">
        <f aca="false">E10123*E10130</f>
        <v>1.41724881471753</v>
      </c>
      <c r="F10133" s="48" t="n">
        <f aca="false">F10123*F10130</f>
        <v>1.56380907199261</v>
      </c>
      <c r="G10133" s="48" t="n">
        <f aca="false">G10123*G10130</f>
        <v>1.71337477759632</v>
      </c>
      <c r="H10133" s="48" t="n">
        <f aca="false">H10123*H10130</f>
        <v>2.16124792937682</v>
      </c>
      <c r="I10133" s="48" t="n">
        <f aca="false">I10123*I10130</f>
        <v>2.58072106999291</v>
      </c>
      <c r="J10133" s="48" t="n">
        <f aca="false">J10123*J10130</f>
        <v>3.59240167854007</v>
      </c>
      <c r="K10133" s="48" t="n">
        <f aca="false">K10123*K10130</f>
        <v>4.52535538196121</v>
      </c>
      <c r="L10133" s="48" t="n">
        <f aca="false">L10123*L10130</f>
        <v>4.55751044231124</v>
      </c>
      <c r="M10133" s="48" t="n">
        <f aca="false">M10123*M10130</f>
        <v>4.42256603101697</v>
      </c>
      <c r="N10133" s="48" t="n">
        <f aca="false">N10123*N10130</f>
        <v>4.29698610615785</v>
      </c>
      <c r="P10133" s="49" t="n">
        <f aca="false">SUM(C10133:F10133)</f>
        <v>3.80788640912375</v>
      </c>
      <c r="Q10133" s="49" t="n">
        <f aca="false">SUM(G10133:J10133)</f>
        <v>10.0477454555061</v>
      </c>
      <c r="R10133" s="49" t="n">
        <f aca="false">SUM(K10133:N10133)</f>
        <v>17.8024179614473</v>
      </c>
      <c r="S10133" s="50" t="n">
        <f aca="false">SUM(P10133:R10133)</f>
        <v>31.6580498260772</v>
      </c>
    </row>
    <row r="10134" customFormat="false" ht="15" hidden="false" customHeight="false" outlineLevel="0" collapsed="false">
      <c r="A10134" s="4" t="s">
        <v>529</v>
      </c>
      <c r="B10134" s="36" t="s">
        <v>527</v>
      </c>
      <c r="C10134" s="48" t="n">
        <f aca="false">C10124*C10130</f>
        <v>0</v>
      </c>
      <c r="D10134" s="48" t="n">
        <f aca="false">D10124*D10130</f>
        <v>0</v>
      </c>
      <c r="E10134" s="48" t="n">
        <f aca="false">E10124*E10130</f>
        <v>0.135763201828408</v>
      </c>
      <c r="F10134" s="48" t="n">
        <f aca="false">F10124*F10130</f>
        <v>0.23270875599683</v>
      </c>
      <c r="G10134" s="48" t="n">
        <f aca="false">G10124*G10130</f>
        <v>0.256773588364218</v>
      </c>
      <c r="H10134" s="48" t="n">
        <f aca="false">H10124*H10130</f>
        <v>0.28133190792631</v>
      </c>
      <c r="I10134" s="48" t="n">
        <f aca="false">I10124*I10130</f>
        <v>0.331923758206833</v>
      </c>
      <c r="J10134" s="48" t="n">
        <f aca="false">J10124*J10130</f>
        <v>0.379965943515562</v>
      </c>
      <c r="K10134" s="48" t="n">
        <f aca="false">K10124*K10130</f>
        <v>0.505439363270855</v>
      </c>
      <c r="L10134" s="48" t="n">
        <f aca="false">L10124*L10130</f>
        <v>0.623336889188432</v>
      </c>
      <c r="M10134" s="48" t="n">
        <f aca="false">M10124*M10130</f>
        <v>0.627766029796957</v>
      </c>
      <c r="N10134" s="48" t="n">
        <f aca="false">N10124*N10130</f>
        <v>0.60917835602335</v>
      </c>
      <c r="P10134" s="49" t="n">
        <f aca="false">SUM(C10134:F10134)</f>
        <v>0.368471957825237</v>
      </c>
      <c r="Q10134" s="49" t="n">
        <f aca="false">SUM(G10134:J10134)</f>
        <v>1.24999519801292</v>
      </c>
      <c r="R10134" s="49" t="n">
        <f aca="false">SUM(K10134:N10134)</f>
        <v>2.36572063827959</v>
      </c>
      <c r="S10134" s="50" t="n">
        <f aca="false">SUM(P10134:R10134)</f>
        <v>3.98418779411775</v>
      </c>
    </row>
    <row r="10135" customFormat="false" ht="15" hidden="false" customHeight="false" outlineLevel="0" collapsed="false">
      <c r="A10135" s="9" t="s">
        <v>530</v>
      </c>
      <c r="B10135" s="36" t="s">
        <v>527</v>
      </c>
      <c r="C10135" s="49" t="n">
        <f aca="false">C10132+C10133+C10134</f>
        <v>0</v>
      </c>
      <c r="D10135" s="49" t="n">
        <f aca="false">D10132+D10133+D10134</f>
        <v>2.47706937038279</v>
      </c>
      <c r="E10135" s="49" t="n">
        <f aca="false">E10132+E10133+E10134</f>
        <v>4.38165401713337</v>
      </c>
      <c r="F10135" s="49" t="n">
        <f aca="false">F10132+F10133+F10134</f>
        <v>4.91767480198173</v>
      </c>
      <c r="G10135" s="49" t="n">
        <f aca="false">G10132+G10133+G10134</f>
        <v>5.38981879244246</v>
      </c>
      <c r="H10135" s="49" t="n">
        <f aca="false">H10132+H10133+H10134</f>
        <v>6.84295465964588</v>
      </c>
      <c r="I10135" s="49" t="n">
        <f aca="false">I10132+I10133+I10134</f>
        <v>8.22904609501621</v>
      </c>
      <c r="J10135" s="49" t="n">
        <f aca="false">J10132+J10133+J10134</f>
        <v>11.8403544554724</v>
      </c>
      <c r="K10135" s="49" t="n">
        <f aca="false">K10132+K10133+K10134</f>
        <v>15.2082397615227</v>
      </c>
      <c r="L10135" s="49" t="n">
        <f aca="false">L10132+L10133+L10134</f>
        <v>15.4306085154912</v>
      </c>
      <c r="M10135" s="49" t="n">
        <f aca="false">M10132+M10133+M10134</f>
        <v>14.9966056266445</v>
      </c>
      <c r="N10135" s="49" t="n">
        <f aca="false">N10132+N10133+N10134</f>
        <v>14.5700109758739</v>
      </c>
      <c r="P10135" s="49" t="n">
        <f aca="false">SUM(C10135:F10135)</f>
        <v>11.7763981894979</v>
      </c>
      <c r="Q10135" s="49" t="n">
        <f aca="false">SUM(G10135:J10135)</f>
        <v>32.3021740025769</v>
      </c>
      <c r="R10135" s="49" t="n">
        <f aca="false">SUM(K10135:N10135)</f>
        <v>60.2054648795322</v>
      </c>
      <c r="S10135" s="50" t="n">
        <f aca="false">SUM(P10135:R10135)</f>
        <v>104.284037071607</v>
      </c>
    </row>
    <row r="10136" customFormat="false" ht="15" hidden="false" customHeight="false" outlineLevel="0" collapsed="false">
      <c r="A10136" s="35" t="s">
        <v>533</v>
      </c>
      <c r="B10136" s="35" t="s">
        <v>444</v>
      </c>
      <c r="C10136" s="6" t="s">
        <v>354</v>
      </c>
      <c r="D10136" s="6" t="s">
        <v>355</v>
      </c>
      <c r="E10136" s="6" t="s">
        <v>356</v>
      </c>
      <c r="F10136" s="6" t="s">
        <v>357</v>
      </c>
      <c r="G10136" s="6" t="s">
        <v>358</v>
      </c>
      <c r="H10136" s="6" t="s">
        <v>359</v>
      </c>
      <c r="I10136" s="6" t="s">
        <v>360</v>
      </c>
      <c r="J10136" s="6" t="s">
        <v>361</v>
      </c>
      <c r="K10136" s="6" t="s">
        <v>362</v>
      </c>
      <c r="L10136" s="6" t="s">
        <v>363</v>
      </c>
      <c r="M10136" s="6" t="s">
        <v>364</v>
      </c>
      <c r="N10136" s="6" t="s">
        <v>365</v>
      </c>
      <c r="P10136" s="6" t="s">
        <v>445</v>
      </c>
      <c r="Q10136" s="6" t="s">
        <v>446</v>
      </c>
      <c r="R10136" s="6" t="s">
        <v>447</v>
      </c>
      <c r="S10136" s="6" t="s">
        <v>448</v>
      </c>
    </row>
    <row r="10137" customFormat="false" ht="15" hidden="false" customHeight="false" outlineLevel="0" collapsed="false">
      <c r="A10137" s="4" t="s">
        <v>534</v>
      </c>
      <c r="B10137" s="36" t="s">
        <v>527</v>
      </c>
      <c r="C10137" s="48" t="n">
        <f aca="false">0*Assumptions!$E$59^(1/4)+C10132</f>
        <v>0</v>
      </c>
      <c r="D10137" s="48" t="n">
        <f aca="false">C10137*Assumptions!$E$59^(1/4)+D10132</f>
        <v>1.65024084796918</v>
      </c>
      <c r="E10137" s="48" t="n">
        <f aca="false">D10137*Assumptions!$E$59^(1/4)+E10132</f>
        <v>4.42697770454101</v>
      </c>
      <c r="F10137" s="48" t="n">
        <f aca="false">E10137*Assumptions!$E$59^(1/4)+F10132</f>
        <v>7.4088926305675</v>
      </c>
      <c r="G10137" s="48" t="n">
        <f aca="false">F10137*Assumptions!$E$59^(1/4)+G10132</f>
        <v>10.595530624566</v>
      </c>
      <c r="H10137" s="48" t="n">
        <f aca="false">G10137*Assumptions!$E$59^(1/4)+H10132</f>
        <v>14.6626434605347</v>
      </c>
      <c r="I10137" s="48" t="n">
        <f aca="false">H10137*Assumptions!$E$59^(1/4)+I10132</f>
        <v>19.5178595485907</v>
      </c>
      <c r="J10137" s="48" t="n">
        <f aca="false">I10137*Assumptions!$E$59^(1/4)+J10132</f>
        <v>26.7719497426214</v>
      </c>
      <c r="K10137" s="48" t="n">
        <f aca="false">J10137*Assumptions!$E$59^(1/4)+K10132</f>
        <v>36.1073346992067</v>
      </c>
      <c r="L10137" s="48" t="n">
        <f aca="false">K10137*Assumptions!$E$59^(1/4)+L10132</f>
        <v>45.2214092893969</v>
      </c>
      <c r="M10137" s="48" t="n">
        <f aca="false">L10137*Assumptions!$E$59^(1/4)+M10132</f>
        <v>53.745330618193</v>
      </c>
      <c r="N10137" s="48" t="n">
        <f aca="false">M10137*Assumptions!$E$59^(1/4)+N10132</f>
        <v>61.7187213845708</v>
      </c>
      <c r="P10137" s="49" t="n">
        <f aca="false">F10137</f>
        <v>7.4088926305675</v>
      </c>
      <c r="Q10137" s="49" t="n">
        <f aca="false">J10137</f>
        <v>26.7719497426214</v>
      </c>
      <c r="R10137" s="49" t="n">
        <f aca="false">N10137</f>
        <v>61.7187213845708</v>
      </c>
      <c r="S10137" s="50" t="n">
        <f aca="false">R10137</f>
        <v>61.7187213845708</v>
      </c>
    </row>
    <row r="10138" customFormat="false" ht="15" hidden="false" customHeight="false" outlineLevel="0" collapsed="false">
      <c r="A10138" s="4" t="s">
        <v>535</v>
      </c>
      <c r="B10138" s="36" t="s">
        <v>527</v>
      </c>
      <c r="C10138" s="48" t="n">
        <f aca="false">0*Assumptions!$E$60^(1/4)+C10133</f>
        <v>0</v>
      </c>
      <c r="D10138" s="48" t="n">
        <f aca="false">C10138*Assumptions!$E$60^(1/4)+D10133</f>
        <v>0.82682852241361</v>
      </c>
      <c r="E10138" s="48" t="n">
        <f aca="false">D10138*Assumptions!$E$60^(1/4)+E10133</f>
        <v>2.22258289319968</v>
      </c>
      <c r="F10138" s="48" t="n">
        <f aca="false">E10138*Assumptions!$E$60^(1/4)+F10133</f>
        <v>3.72861313670987</v>
      </c>
      <c r="G10138" s="48" t="n">
        <f aca="false">F10138*Assumptions!$E$60^(1/4)+G10133</f>
        <v>5.34505794172232</v>
      </c>
      <c r="H10138" s="48" t="n">
        <f aca="false">G10138*Assumptions!$E$60^(1/4)+H10133</f>
        <v>7.36735438947465</v>
      </c>
      <c r="I10138" s="48" t="n">
        <f aca="false">H10138*Assumptions!$E$60^(1/4)+I10133</f>
        <v>9.75655184658408</v>
      </c>
      <c r="J10138" s="48" t="n">
        <f aca="false">I10138*Assumptions!$E$60^(1/4)+J10133</f>
        <v>13.0953197293056</v>
      </c>
      <c r="K10138" s="48" t="n">
        <f aca="false">J10138*Assumptions!$E$60^(1/4)+K10133</f>
        <v>17.280245858942</v>
      </c>
      <c r="L10138" s="48" t="n">
        <f aca="false">K10138*Assumptions!$E$60^(1/4)+L10133</f>
        <v>21.3885346480709</v>
      </c>
      <c r="M10138" s="48" t="n">
        <f aca="false">L10138*Assumptions!$E$60^(1/4)+M10133</f>
        <v>25.2550789087853</v>
      </c>
      <c r="N10138" s="48" t="n">
        <f aca="false">M10138*Assumptions!$E$60^(1/4)+N10133</f>
        <v>28.8955275795813</v>
      </c>
      <c r="P10138" s="49" t="n">
        <f aca="false">F10138</f>
        <v>3.72861313670987</v>
      </c>
      <c r="Q10138" s="49" t="n">
        <f aca="false">J10138</f>
        <v>13.0953197293056</v>
      </c>
      <c r="R10138" s="49" t="n">
        <f aca="false">N10138</f>
        <v>28.8955275795813</v>
      </c>
      <c r="S10138" s="50" t="n">
        <f aca="false">R10138</f>
        <v>28.8955275795813</v>
      </c>
    </row>
    <row r="10139" customFormat="false" ht="15" hidden="false" customHeight="false" outlineLevel="0" collapsed="false">
      <c r="A10139" s="4" t="s">
        <v>536</v>
      </c>
      <c r="B10139" s="36" t="s">
        <v>527</v>
      </c>
      <c r="C10139" s="48" t="n">
        <f aca="false">0*Assumptions!$E$61^(1/4)+C10134</f>
        <v>0</v>
      </c>
      <c r="D10139" s="48" t="n">
        <f aca="false">C10139*Assumptions!$E$61^(1/4)+D10134</f>
        <v>0</v>
      </c>
      <c r="E10139" s="48" t="n">
        <f aca="false">D10139*Assumptions!$E$61^(1/4)+E10134</f>
        <v>0.135763201828408</v>
      </c>
      <c r="F10139" s="48" t="n">
        <f aca="false">E10139*Assumptions!$E$61^(1/4)+F10134</f>
        <v>0.36567121202759</v>
      </c>
      <c r="G10139" s="48" t="n">
        <f aca="false">F10139*Assumptions!$E$61^(1/4)+G10134</f>
        <v>0.614901135417691</v>
      </c>
      <c r="H10139" s="48" t="n">
        <f aca="false">G10139*Assumptions!$E$61^(1/4)+H10134</f>
        <v>0.883547855105979</v>
      </c>
      <c r="I10139" s="48" t="n">
        <f aca="false">H10139*Assumptions!$E$61^(1/4)+I10134</f>
        <v>1.19724434031923</v>
      </c>
      <c r="J10139" s="48" t="n">
        <f aca="false">I10139*Assumptions!$E$61^(1/4)+J10134</f>
        <v>1.55251156570096</v>
      </c>
      <c r="K10139" s="48" t="n">
        <f aca="false">J10139*Assumptions!$E$61^(1/4)+K10134</f>
        <v>2.02592317634904</v>
      </c>
      <c r="L10139" s="48" t="n">
        <f aca="false">K10139*Assumptions!$E$61^(1/4)+L10134</f>
        <v>2.60746600244748</v>
      </c>
      <c r="M10139" s="48" t="n">
        <f aca="false">L10139*Assumptions!$E$61^(1/4)+M10134</f>
        <v>3.18144095078413</v>
      </c>
      <c r="N10139" s="48" t="n">
        <f aca="false">M10139*Assumptions!$E$61^(1/4)+N10134</f>
        <v>3.72498732956055</v>
      </c>
      <c r="P10139" s="49" t="n">
        <f aca="false">F10139</f>
        <v>0.36567121202759</v>
      </c>
      <c r="Q10139" s="49" t="n">
        <f aca="false">J10139</f>
        <v>1.55251156570096</v>
      </c>
      <c r="R10139" s="49" t="n">
        <f aca="false">N10139</f>
        <v>3.72498732956055</v>
      </c>
      <c r="S10139" s="50" t="n">
        <f aca="false">R10139</f>
        <v>3.72498732956055</v>
      </c>
    </row>
    <row r="10140" customFormat="false" ht="15" hidden="false" customHeight="false" outlineLevel="0" collapsed="false">
      <c r="A10140" s="9" t="s">
        <v>537</v>
      </c>
      <c r="B10140" s="36" t="s">
        <v>527</v>
      </c>
      <c r="C10140" s="49" t="n">
        <f aca="false">C10137+C10138+C10139</f>
        <v>0</v>
      </c>
      <c r="D10140" s="49" t="n">
        <f aca="false">D10137+D10138+D10139</f>
        <v>2.47706937038279</v>
      </c>
      <c r="E10140" s="49" t="n">
        <f aca="false">E10137+E10138+E10139</f>
        <v>6.7853237995691</v>
      </c>
      <c r="F10140" s="49" t="n">
        <f aca="false">F10137+F10138+F10139</f>
        <v>11.503176979305</v>
      </c>
      <c r="G10140" s="49" t="n">
        <f aca="false">G10137+G10138+G10139</f>
        <v>16.555489701706</v>
      </c>
      <c r="H10140" s="49" t="n">
        <f aca="false">H10137+H10138+H10139</f>
        <v>22.9135457051153</v>
      </c>
      <c r="I10140" s="49" t="n">
        <f aca="false">I10137+I10138+I10139</f>
        <v>30.471655735494</v>
      </c>
      <c r="J10140" s="49" t="n">
        <f aca="false">J10137+J10138+J10139</f>
        <v>41.419781037628</v>
      </c>
      <c r="K10140" s="49" t="n">
        <f aca="false">K10137+K10138+K10139</f>
        <v>55.4135037344977</v>
      </c>
      <c r="L10140" s="49" t="n">
        <f aca="false">L10137+L10138+L10139</f>
        <v>69.2174099399153</v>
      </c>
      <c r="M10140" s="49" t="n">
        <f aca="false">M10137+M10138+M10139</f>
        <v>82.1818504777625</v>
      </c>
      <c r="N10140" s="49" t="n">
        <f aca="false">N10137+N10138+N10139</f>
        <v>94.3392362937126</v>
      </c>
      <c r="P10140" s="49" t="n">
        <f aca="false">F10140</f>
        <v>11.503176979305</v>
      </c>
      <c r="Q10140" s="49" t="n">
        <f aca="false">J10140</f>
        <v>41.419781037628</v>
      </c>
      <c r="R10140" s="49" t="n">
        <f aca="false">N10140</f>
        <v>94.3392362937126</v>
      </c>
      <c r="S10140" s="50" t="n">
        <f aca="false">R10140</f>
        <v>94.3392362937126</v>
      </c>
    </row>
    <row r="10141" customFormat="false" ht="15" hidden="false" customHeight="false" outlineLevel="0" collapsed="false">
      <c r="A10141" s="4" t="s">
        <v>538</v>
      </c>
      <c r="B10141" s="36" t="s">
        <v>125</v>
      </c>
      <c r="C10141" s="54" t="n">
        <f aca="false">0*Assumptions!$E$62^(1/4)+C10132*$C$10081</f>
        <v>0</v>
      </c>
      <c r="D10141" s="54" t="n">
        <f aca="false">C10141*Assumptions!$E$62^(1/4)+D10132*$C$10081</f>
        <v>8832.08901833107</v>
      </c>
      <c r="E10141" s="54" t="n">
        <f aca="false">D10141*Assumptions!$E$62^(1/4)+E10132*$C$10081</f>
        <v>23970.981005475</v>
      </c>
      <c r="F10141" s="54" t="n">
        <f aca="false">E10141*Assumptions!$E$62^(1/4)+F10132*$C$10081</f>
        <v>40675.4131302817</v>
      </c>
      <c r="G10141" s="54" t="n">
        <f aca="false">F10141*Assumptions!$E$62^(1/4)+G10132*$C$10081</f>
        <v>58977.489252813</v>
      </c>
      <c r="H10141" s="54" t="n">
        <f aca="false">G10141*Assumptions!$E$62^(1/4)+H10132*$C$10081</f>
        <v>82528.2953019913</v>
      </c>
      <c r="I10141" s="54" t="n">
        <f aca="false">H10141*Assumptions!$E$62^(1/4)+I10132*$C$10081</f>
        <v>110981.674881993</v>
      </c>
      <c r="J10141" s="54" t="n">
        <f aca="false">I10141*Assumptions!$E$62^(1/4)+J10132*$C$10081</f>
        <v>153091.14041444</v>
      </c>
      <c r="K10141" s="54" t="n">
        <f aca="false">J10141*Assumptions!$E$62^(1/4)+K10132*$C$10081</f>
        <v>207560.826141627</v>
      </c>
      <c r="L10141" s="54" t="n">
        <f aca="false">K10141*Assumptions!$E$62^(1/4)+L10132*$C$10081</f>
        <v>262417.547998349</v>
      </c>
      <c r="M10141" s="54" t="n">
        <f aca="false">L10141*Assumptions!$E$62^(1/4)+M10132*$C$10081</f>
        <v>315650.004122674</v>
      </c>
      <c r="N10141" s="54" t="n">
        <f aca="false">M10141*Assumptions!$E$62^(1/4)+N10132*$C$10081</f>
        <v>367370.910663958</v>
      </c>
      <c r="P10141" s="55" t="n">
        <f aca="false">F10141</f>
        <v>40675.4131302817</v>
      </c>
      <c r="Q10141" s="55" t="n">
        <f aca="false">J10141</f>
        <v>153091.14041444</v>
      </c>
      <c r="R10141" s="55" t="n">
        <f aca="false">N10141</f>
        <v>367370.910663958</v>
      </c>
      <c r="S10141" s="56" t="n">
        <f aca="false">R10141</f>
        <v>367370.910663958</v>
      </c>
    </row>
    <row r="10142" customFormat="false" ht="15" hidden="false" customHeight="false" outlineLevel="0" collapsed="false">
      <c r="A10142" s="4" t="s">
        <v>539</v>
      </c>
      <c r="B10142" s="36" t="s">
        <v>125</v>
      </c>
      <c r="C10142" s="54" t="n">
        <f aca="false">0*Assumptions!$E$63^(1/4)+C10133*$C$10082</f>
        <v>0</v>
      </c>
      <c r="D10142" s="54" t="n">
        <f aca="false">C10142*Assumptions!$E$63^(1/4)+D10133*$C$10082</f>
        <v>12113.104159325</v>
      </c>
      <c r="E10142" s="54" t="n">
        <f aca="false">D10142*Assumptions!$E$63^(1/4)+E10133*$C$10082</f>
        <v>33053.6587756116</v>
      </c>
      <c r="F10142" s="54" t="n">
        <f aca="false">E10142*Assumptions!$E$63^(1/4)+F10133*$C$10082</f>
        <v>56448.6113912292</v>
      </c>
      <c r="G10142" s="54" t="n">
        <f aca="false">F10142*Assumptions!$E$63^(1/4)+G10133*$C$10082</f>
        <v>82378.0075238877</v>
      </c>
      <c r="H10142" s="54" t="n">
        <f aca="false">G10142*Assumptions!$E$63^(1/4)+H10133*$C$10082</f>
        <v>115249.265216576</v>
      </c>
      <c r="I10142" s="54" t="n">
        <f aca="false">H10142*Assumptions!$E$63^(1/4)+I10133*$C$10082</f>
        <v>154748.185836907</v>
      </c>
      <c r="J10142" s="54" t="n">
        <f aca="false">I10142*Assumptions!$E$63^(1/4)+J10133*$C$10082</f>
        <v>209647.909587297</v>
      </c>
      <c r="K10142" s="54" t="n">
        <f aca="false">J10142*Assumptions!$E$63^(1/4)+K10133*$C$10082</f>
        <v>279021.070010298</v>
      </c>
      <c r="L10142" s="54" t="n">
        <f aca="false">K10142*Assumptions!$E$63^(1/4)+L10133*$C$10082</f>
        <v>349883.275730322</v>
      </c>
      <c r="M10142" s="54" t="n">
        <f aca="false">L10142*Assumptions!$E$63^(1/4)+M10133*$C$10082</f>
        <v>419808.356109178</v>
      </c>
      <c r="N10142" s="54" t="n">
        <f aca="false">M10142*Assumptions!$E$63^(1/4)+N10133*$C$10082</f>
        <v>488919.750391012</v>
      </c>
      <c r="P10142" s="55" t="n">
        <f aca="false">F10142</f>
        <v>56448.6113912292</v>
      </c>
      <c r="Q10142" s="55" t="n">
        <f aca="false">J10142</f>
        <v>209647.909587297</v>
      </c>
      <c r="R10142" s="55" t="n">
        <f aca="false">N10142</f>
        <v>488919.750391012</v>
      </c>
      <c r="S10142" s="56" t="n">
        <f aca="false">R10142</f>
        <v>488919.750391012</v>
      </c>
    </row>
    <row r="10143" customFormat="false" ht="15" hidden="false" customHeight="false" outlineLevel="0" collapsed="false">
      <c r="A10143" s="4" t="s">
        <v>540</v>
      </c>
      <c r="B10143" s="36" t="s">
        <v>125</v>
      </c>
      <c r="C10143" s="54" t="n">
        <f aca="false">0*Assumptions!$E$64^(1/4)+C10134*$C$10083</f>
        <v>0</v>
      </c>
      <c r="D10143" s="54" t="n">
        <f aca="false">C10143*Assumptions!$E$64^(1/4)+D10134*$C$10083</f>
        <v>0</v>
      </c>
      <c r="E10143" s="54" t="n">
        <f aca="false">D10143*Assumptions!$E$64^(1/4)+E10134*$C$10083</f>
        <v>12580.8208015901</v>
      </c>
      <c r="F10143" s="54" t="n">
        <f aca="false">E10143*Assumptions!$E$64^(1/4)+F10134*$C$10083</f>
        <v>34592.6823168117</v>
      </c>
      <c r="G10143" s="54" t="n">
        <f aca="false">F10143*Assumptions!$E$64^(1/4)+G10134*$C$10083</f>
        <v>59617.2683540184</v>
      </c>
      <c r="H10143" s="54" t="n">
        <f aca="false">G10143*Assumptions!$E$64^(1/4)+H10134*$C$10083</f>
        <v>87807.4357692921</v>
      </c>
      <c r="I10143" s="54" t="n">
        <f aca="false">H10143*Assumptions!$E$64^(1/4)+I10134*$C$10083</f>
        <v>121688.20574347</v>
      </c>
      <c r="J10143" s="54" t="n">
        <f aca="false">I10143*Assumptions!$E$64^(1/4)+J10134*$C$10083</f>
        <v>161225.654372919</v>
      </c>
      <c r="K10143" s="54" t="n">
        <f aca="false">J10143*Assumptions!$E$64^(1/4)+K10134*$C$10083</f>
        <v>213796.272230644</v>
      </c>
      <c r="L10143" s="54" t="n">
        <f aca="false">K10143*Assumptions!$E$64^(1/4)+L10134*$C$10083</f>
        <v>279161.455477142</v>
      </c>
      <c r="M10143" s="54" t="n">
        <f aca="false">L10143*Assumptions!$E$64^(1/4)+M10134*$C$10083</f>
        <v>347261.33577462</v>
      </c>
      <c r="N10143" s="54" t="n">
        <f aca="false">M10143*Assumptions!$E$64^(1/4)+N10134*$C$10083</f>
        <v>416060.245705208</v>
      </c>
      <c r="P10143" s="55" t="n">
        <f aca="false">F10143</f>
        <v>34592.6823168117</v>
      </c>
      <c r="Q10143" s="55" t="n">
        <f aca="false">J10143</f>
        <v>161225.654372919</v>
      </c>
      <c r="R10143" s="55" t="n">
        <f aca="false">N10143</f>
        <v>416060.245705208</v>
      </c>
      <c r="S10143" s="56" t="n">
        <f aca="false">R10143</f>
        <v>416060.245705208</v>
      </c>
    </row>
    <row r="10144" customFormat="false" ht="15" hidden="false" customHeight="false" outlineLevel="0" collapsed="false">
      <c r="A10144" s="9" t="s">
        <v>541</v>
      </c>
      <c r="B10144" s="36" t="s">
        <v>125</v>
      </c>
      <c r="C10144" s="55" t="n">
        <f aca="false">C10141+C10142+C10143</f>
        <v>0</v>
      </c>
      <c r="D10144" s="55" t="n">
        <f aca="false">D10141+D10142+D10143</f>
        <v>20945.1931776561</v>
      </c>
      <c r="E10144" s="55" t="n">
        <f aca="false">E10141+E10142+E10143</f>
        <v>69605.4605826766</v>
      </c>
      <c r="F10144" s="55" t="n">
        <f aca="false">F10141+F10142+F10143</f>
        <v>131716.706838323</v>
      </c>
      <c r="G10144" s="55" t="n">
        <f aca="false">G10141+G10142+G10143</f>
        <v>200972.765130719</v>
      </c>
      <c r="H10144" s="55" t="n">
        <f aca="false">H10141+H10142+H10143</f>
        <v>285584.99628786</v>
      </c>
      <c r="I10144" s="55" t="n">
        <f aca="false">I10141+I10142+I10143</f>
        <v>387418.06646237</v>
      </c>
      <c r="J10144" s="55" t="n">
        <f aca="false">J10141+J10142+J10143</f>
        <v>523964.704374655</v>
      </c>
      <c r="K10144" s="55" t="n">
        <f aca="false">K10141+K10142+K10143</f>
        <v>700378.168382569</v>
      </c>
      <c r="L10144" s="55" t="n">
        <f aca="false">L10141+L10142+L10143</f>
        <v>891462.279205813</v>
      </c>
      <c r="M10144" s="55" t="n">
        <f aca="false">M10141+M10142+M10143</f>
        <v>1082719.69600647</v>
      </c>
      <c r="N10144" s="55" t="n">
        <f aca="false">N10141+N10142+N10143</f>
        <v>1272350.90676018</v>
      </c>
      <c r="P10144" s="55" t="n">
        <f aca="false">F10144</f>
        <v>131716.706838323</v>
      </c>
      <c r="Q10144" s="55" t="n">
        <f aca="false">J10144</f>
        <v>523964.704374655</v>
      </c>
      <c r="R10144" s="55" t="n">
        <f aca="false">N10144</f>
        <v>1272350.90676018</v>
      </c>
      <c r="S10144" s="56" t="n">
        <f aca="false">R10144</f>
        <v>1272350.90676018</v>
      </c>
    </row>
    <row r="10145" customFormat="false" ht="15" hidden="false" customHeight="false" outlineLevel="0" collapsed="false">
      <c r="A10145" s="4" t="s">
        <v>542</v>
      </c>
      <c r="B10145" s="36" t="s">
        <v>125</v>
      </c>
      <c r="C10145" s="54" t="n">
        <f aca="false">C10132*$C$10081+C10133*$C$10082+C10134*$C$10083</f>
        <v>0</v>
      </c>
      <c r="D10145" s="54" t="n">
        <f aca="false">D10132*$C$10081+D10133*$C$10082+D10134*$C$10083</f>
        <v>20945.1931776561</v>
      </c>
      <c r="E10145" s="54" t="n">
        <f aca="false">E10132*$C$10081+E10133*$C$10082+E10134*$C$10083</f>
        <v>48482.5215779616</v>
      </c>
      <c r="F10145" s="54" t="n">
        <f aca="false">F10132*$C$10081+F10133*$C$10082+F10134*$C$10083</f>
        <v>61178.8721649581</v>
      </c>
      <c r="G10145" s="54" t="n">
        <f aca="false">G10132*$C$10081+G10133*$C$10082+G10134*$C$10083</f>
        <v>67197.6908137244</v>
      </c>
      <c r="H10145" s="54" t="n">
        <f aca="false">H10132*$C$10081+H10133*$C$10082+H10134*$C$10083</f>
        <v>81283.5535676435</v>
      </c>
      <c r="I10145" s="54" t="n">
        <f aca="false">I10132*$C$10081+I10133*$C$10082+I10134*$C$10083</f>
        <v>97019.6566812244</v>
      </c>
      <c r="J10145" s="54" t="n">
        <f aca="false">J10132*$C$10081+J10133*$C$10082+J10134*$C$10083</f>
        <v>129948.888328734</v>
      </c>
      <c r="K10145" s="54" t="n">
        <f aca="false">K10132*$C$10081+K10133*$C$10082+K10134*$C$10083</f>
        <v>167604.248706628</v>
      </c>
      <c r="L10145" s="54" t="n">
        <f aca="false">L10132*$C$10081+L10133*$C$10082+L10134*$C$10083</f>
        <v>179387.614394567</v>
      </c>
      <c r="M10145" s="54" t="n">
        <f aca="false">M10132*$C$10081+M10133*$C$10082+M10134*$C$10083</f>
        <v>176196.839090112</v>
      </c>
      <c r="N10145" s="54" t="n">
        <f aca="false">N10132*$C$10081+N10133*$C$10082+N10134*$C$10083</f>
        <v>171123.062427873</v>
      </c>
      <c r="P10145" s="55" t="n">
        <f aca="false">SUM(C10145:F10145)</f>
        <v>130606.586920576</v>
      </c>
      <c r="Q10145" s="55" t="n">
        <f aca="false">SUM(G10145:J10145)</f>
        <v>375449.789391327</v>
      </c>
      <c r="R10145" s="55" t="n">
        <f aca="false">SUM(K10145:N10145)</f>
        <v>694311.764619181</v>
      </c>
      <c r="S10145" s="56" t="n">
        <f aca="false">SUM(P10145:R10145)</f>
        <v>1200368.14093108</v>
      </c>
    </row>
    <row r="10146" customFormat="false" ht="15" hidden="false" customHeight="false" outlineLevel="0" collapsed="false">
      <c r="A10146" s="9" t="s">
        <v>543</v>
      </c>
      <c r="B10146" s="36" t="s">
        <v>125</v>
      </c>
      <c r="C10146" s="55" t="n">
        <f aca="false">(0+C10144)/8</f>
        <v>0</v>
      </c>
      <c r="D10146" s="55" t="n">
        <f aca="false">(C10144+D10144)/8</f>
        <v>2618.14914720701</v>
      </c>
      <c r="E10146" s="55" t="n">
        <f aca="false">(D10144+E10144)/8</f>
        <v>11318.8317200416</v>
      </c>
      <c r="F10146" s="55" t="n">
        <f aca="false">(E10144+F10144)/8</f>
        <v>25165.2709276249</v>
      </c>
      <c r="G10146" s="55" t="n">
        <f aca="false">(F10144+G10144)/8</f>
        <v>41586.1839961302</v>
      </c>
      <c r="H10146" s="55" t="n">
        <f aca="false">(G10144+H10144)/8</f>
        <v>60819.7201773224</v>
      </c>
      <c r="I10146" s="55" t="n">
        <f aca="false">(H10144+I10144)/8</f>
        <v>84125.3828437787</v>
      </c>
      <c r="J10146" s="55" t="n">
        <f aca="false">(I10144+J10144)/8</f>
        <v>113922.846354628</v>
      </c>
      <c r="K10146" s="55" t="n">
        <f aca="false">(J10144+K10144)/8</f>
        <v>153042.859094653</v>
      </c>
      <c r="L10146" s="55" t="n">
        <f aca="false">(K10144+L10144)/8</f>
        <v>198980.055948548</v>
      </c>
      <c r="M10146" s="55" t="n">
        <f aca="false">(L10144+M10144)/8</f>
        <v>246772.746901536</v>
      </c>
      <c r="N10146" s="55" t="n">
        <f aca="false">(M10144+N10144)/8</f>
        <v>294383.825345831</v>
      </c>
      <c r="P10146" s="55" t="n">
        <f aca="false">SUM(C10146:F10146)</f>
        <v>39102.2517948735</v>
      </c>
      <c r="Q10146" s="55" t="n">
        <f aca="false">SUM(G10146:J10146)</f>
        <v>300454.133371859</v>
      </c>
      <c r="R10146" s="55" t="n">
        <f aca="false">SUM(K10146:N10146)</f>
        <v>893179.487290568</v>
      </c>
      <c r="S10146" s="56" t="n">
        <f aca="false">SUM(P10146:R10146)</f>
        <v>1232735.8724573</v>
      </c>
    </row>
    <row r="10147" customFormat="false" ht="15" hidden="false" customHeight="false" outlineLevel="0" collapsed="false">
      <c r="A10147" s="4" t="s">
        <v>544</v>
      </c>
      <c r="B10147" s="36" t="s">
        <v>125</v>
      </c>
      <c r="C10147" s="54" t="n">
        <f aca="false">C10146*Assumptions!$E$76</f>
        <v>0</v>
      </c>
      <c r="D10147" s="54" t="n">
        <f aca="false">D10146*Assumptions!$E$76</f>
        <v>1701.79694568456</v>
      </c>
      <c r="E10147" s="54" t="n">
        <f aca="false">E10146*Assumptions!$E$76</f>
        <v>7357.24061802703</v>
      </c>
      <c r="F10147" s="54" t="n">
        <f aca="false">F10146*Assumptions!$E$76</f>
        <v>16357.4261029562</v>
      </c>
      <c r="G10147" s="54" t="n">
        <f aca="false">G10146*Assumptions!$E$76</f>
        <v>27031.0195974846</v>
      </c>
      <c r="H10147" s="54" t="n">
        <f aca="false">H10146*Assumptions!$E$76</f>
        <v>39532.8181152595</v>
      </c>
      <c r="I10147" s="54" t="n">
        <f aca="false">I10146*Assumptions!$E$76</f>
        <v>54681.4988484562</v>
      </c>
      <c r="J10147" s="54" t="n">
        <f aca="false">J10146*Assumptions!$E$76</f>
        <v>74049.8501305083</v>
      </c>
      <c r="K10147" s="54" t="n">
        <f aca="false">K10146*Assumptions!$E$76</f>
        <v>99477.8584115244</v>
      </c>
      <c r="L10147" s="54" t="n">
        <f aca="false">L10146*Assumptions!$E$76</f>
        <v>129337.036366556</v>
      </c>
      <c r="M10147" s="54" t="n">
        <f aca="false">M10146*Assumptions!$E$76</f>
        <v>160402.285485998</v>
      </c>
      <c r="N10147" s="54" t="n">
        <f aca="false">N10146*Assumptions!$E$76</f>
        <v>191349.48647479</v>
      </c>
      <c r="P10147" s="55" t="n">
        <f aca="false">SUM(C10147:F10147)</f>
        <v>25416.4636666678</v>
      </c>
      <c r="Q10147" s="55" t="n">
        <f aca="false">SUM(G10147:J10147)</f>
        <v>195295.186691709</v>
      </c>
      <c r="R10147" s="55" t="n">
        <f aca="false">SUM(K10147:N10147)</f>
        <v>580566.666738869</v>
      </c>
      <c r="S10147" s="56" t="n">
        <f aca="false">SUM(P10147:R10147)</f>
        <v>801278.317097246</v>
      </c>
    </row>
    <row r="10148" customFormat="false" ht="15" hidden="false" customHeight="false" outlineLevel="0" collapsed="false">
      <c r="A10148" s="35" t="s">
        <v>547</v>
      </c>
      <c r="B10148" s="35" t="s">
        <v>444</v>
      </c>
      <c r="C10148" s="6" t="s">
        <v>354</v>
      </c>
      <c r="D10148" s="6" t="s">
        <v>355</v>
      </c>
      <c r="E10148" s="6" t="s">
        <v>356</v>
      </c>
      <c r="F10148" s="6" t="s">
        <v>357</v>
      </c>
      <c r="G10148" s="6" t="s">
        <v>358</v>
      </c>
      <c r="H10148" s="6" t="s">
        <v>359</v>
      </c>
      <c r="I10148" s="6" t="s">
        <v>360</v>
      </c>
      <c r="J10148" s="6" t="s">
        <v>361</v>
      </c>
      <c r="K10148" s="6" t="s">
        <v>362</v>
      </c>
      <c r="L10148" s="6" t="s">
        <v>363</v>
      </c>
      <c r="M10148" s="6" t="s">
        <v>364</v>
      </c>
      <c r="N10148" s="6" t="s">
        <v>365</v>
      </c>
      <c r="P10148" s="6" t="s">
        <v>445</v>
      </c>
      <c r="Q10148" s="6" t="s">
        <v>446</v>
      </c>
      <c r="R10148" s="6" t="s">
        <v>447</v>
      </c>
      <c r="S10148" s="6" t="s">
        <v>448</v>
      </c>
    </row>
    <row r="10149" customFormat="false" ht="15" hidden="false" customHeight="false" outlineLevel="0" collapsed="false">
      <c r="A10149" s="4" t="s">
        <v>548</v>
      </c>
      <c r="B10149" s="36" t="s">
        <v>321</v>
      </c>
      <c r="C10149" s="48" t="n">
        <f aca="false">Assumptions!$D$97*C10091</f>
        <v>1</v>
      </c>
      <c r="D10149" s="48" t="n">
        <f aca="false">Assumptions!$D$97*D10091</f>
        <v>1</v>
      </c>
      <c r="E10149" s="48" t="n">
        <f aca="false">Assumptions!$D$97*E10091</f>
        <v>1</v>
      </c>
      <c r="F10149" s="48" t="n">
        <f aca="false">Assumptions!$D$97*F10091</f>
        <v>1</v>
      </c>
      <c r="G10149" s="48" t="n">
        <f aca="false">Assumptions!$D$97*G10091</f>
        <v>1</v>
      </c>
      <c r="H10149" s="48" t="n">
        <f aca="false">Assumptions!$D$97*H10091</f>
        <v>1</v>
      </c>
      <c r="I10149" s="48" t="n">
        <f aca="false">Assumptions!$D$97*I10091</f>
        <v>1</v>
      </c>
      <c r="J10149" s="48" t="n">
        <f aca="false">Assumptions!$D$97*J10091</f>
        <v>1</v>
      </c>
      <c r="K10149" s="48" t="n">
        <f aca="false">Assumptions!$D$97*K10091</f>
        <v>1</v>
      </c>
      <c r="L10149" s="48" t="n">
        <f aca="false">Assumptions!$D$97*L10091</f>
        <v>1</v>
      </c>
      <c r="M10149" s="48" t="n">
        <f aca="false">Assumptions!$D$97*M10091</f>
        <v>1</v>
      </c>
      <c r="N10149" s="48" t="n">
        <f aca="false">Assumptions!$D$97*N10091</f>
        <v>1</v>
      </c>
      <c r="P10149" s="49" t="n">
        <f aca="false">AVERAGE(C10149:F10149)</f>
        <v>1</v>
      </c>
      <c r="Q10149" s="49" t="n">
        <f aca="false">AVERAGE(G10149:J10149)</f>
        <v>1</v>
      </c>
      <c r="R10149" s="49" t="n">
        <f aca="false">AVERAGE(K10149:N10149)</f>
        <v>1</v>
      </c>
      <c r="S10149" s="50"/>
    </row>
    <row r="10150" customFormat="false" ht="15" hidden="false" customHeight="false" outlineLevel="0" collapsed="false">
      <c r="A10150" s="4" t="s">
        <v>549</v>
      </c>
      <c r="B10150" s="36" t="s">
        <v>321</v>
      </c>
      <c r="C10150" s="48" t="n">
        <f aca="false">C10104*C10091</f>
        <v>0</v>
      </c>
      <c r="D10150" s="48" t="n">
        <f aca="false">D10104*D10091</f>
        <v>0</v>
      </c>
      <c r="E10150" s="48" t="n">
        <f aca="false">E10104*E10091</f>
        <v>0</v>
      </c>
      <c r="F10150" s="48" t="n">
        <f aca="false">F10104*F10091</f>
        <v>0</v>
      </c>
      <c r="G10150" s="48" t="n">
        <f aca="false">G10104*G10091</f>
        <v>0</v>
      </c>
      <c r="H10150" s="48" t="n">
        <f aca="false">H10104*H10091</f>
        <v>0</v>
      </c>
      <c r="I10150" s="48" t="n">
        <f aca="false">I10104*I10091</f>
        <v>0</v>
      </c>
      <c r="J10150" s="48" t="n">
        <f aca="false">J10104*J10091</f>
        <v>0</v>
      </c>
      <c r="K10150" s="48" t="n">
        <f aca="false">K10104*K10091</f>
        <v>0</v>
      </c>
      <c r="L10150" s="48" t="n">
        <f aca="false">L10104*L10091</f>
        <v>0</v>
      </c>
      <c r="M10150" s="48" t="n">
        <f aca="false">M10104*M10091</f>
        <v>0</v>
      </c>
      <c r="N10150" s="48" t="n">
        <f aca="false">N10104*N10091</f>
        <v>0</v>
      </c>
      <c r="P10150" s="49" t="n">
        <f aca="false">AVERAGE(C10150:F10150)</f>
        <v>0</v>
      </c>
      <c r="Q10150" s="49" t="n">
        <f aca="false">AVERAGE(G10150:J10150)</f>
        <v>0</v>
      </c>
      <c r="R10150" s="49" t="n">
        <f aca="false">AVERAGE(K10150:N10150)</f>
        <v>0</v>
      </c>
      <c r="S10150" s="50"/>
    </row>
    <row r="10151" customFormat="false" ht="15" hidden="false" customHeight="false" outlineLevel="0" collapsed="false">
      <c r="A10151" s="4" t="s">
        <v>550</v>
      </c>
      <c r="B10151" s="36" t="s">
        <v>321</v>
      </c>
      <c r="C10151" s="48" t="n">
        <f aca="false">IF(C10090&lt;=4,Assumptions!$D$98,Assumptions!$D$99)*C10091</f>
        <v>0</v>
      </c>
      <c r="D10151" s="48" t="n">
        <f aca="false">IF(D10090&lt;=4,Assumptions!$D$98,Assumptions!$D$99)*D10091</f>
        <v>0</v>
      </c>
      <c r="E10151" s="48" t="n">
        <f aca="false">IF(E10090&lt;=4,Assumptions!$D$98,Assumptions!$D$99)*E10091</f>
        <v>0</v>
      </c>
      <c r="F10151" s="48" t="n">
        <f aca="false">IF(F10090&lt;=4,Assumptions!$D$98,Assumptions!$D$99)*F10091</f>
        <v>0</v>
      </c>
      <c r="G10151" s="48" t="n">
        <f aca="false">IF(G10090&lt;=4,Assumptions!$D$98,Assumptions!$D$99)*G10091</f>
        <v>0.5</v>
      </c>
      <c r="H10151" s="48" t="n">
        <f aca="false">IF(H10090&lt;=4,Assumptions!$D$98,Assumptions!$D$99)*H10091</f>
        <v>0.5</v>
      </c>
      <c r="I10151" s="48" t="n">
        <f aca="false">IF(I10090&lt;=4,Assumptions!$D$98,Assumptions!$D$99)*I10091</f>
        <v>0.5</v>
      </c>
      <c r="J10151" s="48" t="n">
        <f aca="false">IF(J10090&lt;=4,Assumptions!$D$98,Assumptions!$D$99)*J10091</f>
        <v>0.5</v>
      </c>
      <c r="K10151" s="48" t="n">
        <f aca="false">IF(K10090&lt;=4,Assumptions!$D$98,Assumptions!$D$99)*K10091</f>
        <v>0.5</v>
      </c>
      <c r="L10151" s="48" t="n">
        <f aca="false">IF(L10090&lt;=4,Assumptions!$D$98,Assumptions!$D$99)*L10091</f>
        <v>0.5</v>
      </c>
      <c r="M10151" s="48" t="n">
        <f aca="false">IF(M10090&lt;=4,Assumptions!$D$98,Assumptions!$D$99)*M10091</f>
        <v>0.5</v>
      </c>
      <c r="N10151" s="48" t="n">
        <f aca="false">IF(N10090&lt;=4,Assumptions!$D$98,Assumptions!$D$99)*N10091</f>
        <v>0.5</v>
      </c>
      <c r="P10151" s="49" t="n">
        <f aca="false">AVERAGE(C10151:F10151)</f>
        <v>0</v>
      </c>
      <c r="Q10151" s="49" t="n">
        <f aca="false">AVERAGE(G10151:J10151)</f>
        <v>0.5</v>
      </c>
      <c r="R10151" s="49" t="n">
        <f aca="false">AVERAGE(K10151:N10151)</f>
        <v>0.5</v>
      </c>
      <c r="S10151" s="50"/>
    </row>
    <row r="10152" customFormat="false" ht="15" hidden="false" customHeight="false" outlineLevel="0" collapsed="false">
      <c r="A10152" s="4" t="s">
        <v>551</v>
      </c>
      <c r="B10152" s="36" t="s">
        <v>321</v>
      </c>
      <c r="C10152" s="48" t="n">
        <f aca="false">IF(C10090&lt;=4,Assumptions!$D$100,Assumptions!$D$101)*C10091</f>
        <v>1</v>
      </c>
      <c r="D10152" s="48" t="n">
        <f aca="false">IF(D10090&lt;=4,Assumptions!$D$100,Assumptions!$D$101)*D10091</f>
        <v>1</v>
      </c>
      <c r="E10152" s="48" t="n">
        <f aca="false">IF(E10090&lt;=4,Assumptions!$D$100,Assumptions!$D$101)*E10091</f>
        <v>1</v>
      </c>
      <c r="F10152" s="48" t="n">
        <f aca="false">IF(F10090&lt;=4,Assumptions!$D$100,Assumptions!$D$101)*F10091</f>
        <v>1</v>
      </c>
      <c r="G10152" s="48" t="n">
        <f aca="false">IF(G10090&lt;=4,Assumptions!$D$100,Assumptions!$D$101)*G10091</f>
        <v>0.5</v>
      </c>
      <c r="H10152" s="48" t="n">
        <f aca="false">IF(H10090&lt;=4,Assumptions!$D$100,Assumptions!$D$101)*H10091</f>
        <v>0.5</v>
      </c>
      <c r="I10152" s="48" t="n">
        <f aca="false">IF(I10090&lt;=4,Assumptions!$D$100,Assumptions!$D$101)*I10091</f>
        <v>0.5</v>
      </c>
      <c r="J10152" s="48" t="n">
        <f aca="false">IF(J10090&lt;=4,Assumptions!$D$100,Assumptions!$D$101)*J10091</f>
        <v>0.5</v>
      </c>
      <c r="K10152" s="48" t="n">
        <f aca="false">IF(K10090&lt;=4,Assumptions!$D$100,Assumptions!$D$101)*K10091</f>
        <v>0.5</v>
      </c>
      <c r="L10152" s="48" t="n">
        <f aca="false">IF(L10090&lt;=4,Assumptions!$D$100,Assumptions!$D$101)*L10091</f>
        <v>0.5</v>
      </c>
      <c r="M10152" s="48" t="n">
        <f aca="false">IF(M10090&lt;=4,Assumptions!$D$100,Assumptions!$D$101)*M10091</f>
        <v>0.5</v>
      </c>
      <c r="N10152" s="48" t="n">
        <f aca="false">IF(N10090&lt;=4,Assumptions!$D$100,Assumptions!$D$101)*N10091</f>
        <v>0.5</v>
      </c>
      <c r="P10152" s="49" t="n">
        <f aca="false">AVERAGE(C10152:F10152)</f>
        <v>1</v>
      </c>
      <c r="Q10152" s="49" t="n">
        <f aca="false">AVERAGE(G10152:J10152)</f>
        <v>0.5</v>
      </c>
      <c r="R10152" s="49" t="n">
        <f aca="false">AVERAGE(K10152:N10152)</f>
        <v>0.5</v>
      </c>
      <c r="S10152" s="50"/>
    </row>
    <row r="10153" customFormat="false" ht="15" hidden="false" customHeight="false" outlineLevel="0" collapsed="false">
      <c r="A10153" s="4" t="s">
        <v>552</v>
      </c>
      <c r="B10153" s="36" t="s">
        <v>321</v>
      </c>
      <c r="C10153" s="48" t="n">
        <f aca="false">Assumptions!$D$102*C10091</f>
        <v>0.25</v>
      </c>
      <c r="D10153" s="48" t="n">
        <f aca="false">Assumptions!$D$102*D10091</f>
        <v>0.25</v>
      </c>
      <c r="E10153" s="48" t="n">
        <f aca="false">Assumptions!$D$102*E10091</f>
        <v>0.25</v>
      </c>
      <c r="F10153" s="48" t="n">
        <f aca="false">Assumptions!$D$102*F10091</f>
        <v>0.25</v>
      </c>
      <c r="G10153" s="48" t="n">
        <f aca="false">Assumptions!$D$102*G10091</f>
        <v>0.25</v>
      </c>
      <c r="H10153" s="48" t="n">
        <f aca="false">Assumptions!$D$102*H10091</f>
        <v>0.25</v>
      </c>
      <c r="I10153" s="48" t="n">
        <f aca="false">Assumptions!$D$102*I10091</f>
        <v>0.25</v>
      </c>
      <c r="J10153" s="48" t="n">
        <f aca="false">Assumptions!$D$102*J10091</f>
        <v>0.25</v>
      </c>
      <c r="K10153" s="48" t="n">
        <f aca="false">Assumptions!$D$102*K10091</f>
        <v>0.25</v>
      </c>
      <c r="L10153" s="48" t="n">
        <f aca="false">Assumptions!$D$102*L10091</f>
        <v>0.25</v>
      </c>
      <c r="M10153" s="48" t="n">
        <f aca="false">Assumptions!$D$102*M10091</f>
        <v>0.25</v>
      </c>
      <c r="N10153" s="48" t="n">
        <f aca="false">Assumptions!$D$102*N10091</f>
        <v>0.25</v>
      </c>
      <c r="P10153" s="49" t="n">
        <f aca="false">AVERAGE(C10153:F10153)</f>
        <v>0.25</v>
      </c>
      <c r="Q10153" s="49" t="n">
        <f aca="false">AVERAGE(G10153:J10153)</f>
        <v>0.25</v>
      </c>
      <c r="R10153" s="49" t="n">
        <f aca="false">AVERAGE(K10153:N10153)</f>
        <v>0.25</v>
      </c>
      <c r="S10153" s="50"/>
    </row>
    <row r="10154" customFormat="false" ht="15" hidden="false" customHeight="false" outlineLevel="0" collapsed="false">
      <c r="A10154" s="4" t="s">
        <v>553</v>
      </c>
      <c r="B10154" s="36" t="s">
        <v>321</v>
      </c>
      <c r="C10154" s="48" t="n">
        <f aca="false">(C10138+C10139)/Assumptions!$E$74+C10137/Assumptions!$E$75</f>
        <v>0</v>
      </c>
      <c r="D10154" s="48" t="n">
        <f aca="false">(D10138+D10139)/Assumptions!$E$74+D10137/Assumptions!$E$75</f>
        <v>0.027271676452217</v>
      </c>
      <c r="E10154" s="48" t="n">
        <f aca="false">(E10138+E10139)/Assumptions!$E$74+E10137/Assumptions!$E$75</f>
        <v>0.0766665631938663</v>
      </c>
      <c r="F10154" s="48" t="n">
        <f aca="false">(F10138+F10139)/Assumptions!$E$74+F10137/Assumptions!$E$75</f>
        <v>0.131992679240707</v>
      </c>
      <c r="G10154" s="48" t="n">
        <f aca="false">(G10138+G10139)/Assumptions!$E$74+G10137/Assumptions!$E$75</f>
        <v>0.191381099426764</v>
      </c>
      <c r="H10154" s="48" t="n">
        <f aca="false">(H10138+H10139)/Assumptions!$E$74+H10137/Assumptions!$E$75</f>
        <v>0.264923129956655</v>
      </c>
      <c r="I10154" s="48" t="n">
        <f aca="false">(I10138+I10139)/Assumptions!$E$74+I10137/Assumptions!$E$75</f>
        <v>0.351916342866946</v>
      </c>
      <c r="J10154" s="48" t="n">
        <f aca="false">(J10138+J10139)/Assumptions!$E$74+J10137/Assumptions!$E$75</f>
        <v>0.47328358134565</v>
      </c>
      <c r="K10154" s="48" t="n">
        <f aca="false">(K10138+K10139)/Assumptions!$E$74+K10137/Assumptions!$E$75</f>
        <v>0.627083564679102</v>
      </c>
      <c r="L10154" s="48" t="n">
        <f aca="false">(L10138+L10139)/Assumptions!$E$74+L10137/Assumptions!$E$75</f>
        <v>0.780785653420548</v>
      </c>
      <c r="M10154" s="48" t="n">
        <f aca="false">(M10138+M10139)/Assumptions!$E$74+M10137/Assumptions!$E$75</f>
        <v>0.925894318962009</v>
      </c>
      <c r="N10154" s="48" t="n">
        <f aca="false">(N10138+N10139)/Assumptions!$E$74+N10137/Assumptions!$E$75</f>
        <v>1.06238775826683</v>
      </c>
      <c r="P10154" s="49" t="n">
        <f aca="false">AVERAGE(C10154:F10154)</f>
        <v>0.0589827297216975</v>
      </c>
      <c r="Q10154" s="49" t="n">
        <f aca="false">AVERAGE(G10154:J10154)</f>
        <v>0.320376038399004</v>
      </c>
      <c r="R10154" s="49" t="n">
        <f aca="false">AVERAGE(K10154:N10154)</f>
        <v>0.849037823832122</v>
      </c>
      <c r="S10154" s="50"/>
    </row>
    <row r="10155" customFormat="false" ht="15" hidden="false" customHeight="false" outlineLevel="0" collapsed="false">
      <c r="A10155" s="4" t="s">
        <v>554</v>
      </c>
      <c r="B10155" s="36" t="s">
        <v>125</v>
      </c>
      <c r="C10155" s="54" t="n">
        <f aca="false">(C10149+C10151)*Assumptions!$E$70/Assumptions!$E$69/4</f>
        <v>66753.5714285714</v>
      </c>
      <c r="D10155" s="54" t="n">
        <f aca="false">(D10149+D10151)*Assumptions!$E$70/Assumptions!$E$69/4</f>
        <v>66753.5714285714</v>
      </c>
      <c r="E10155" s="54" t="n">
        <f aca="false">(E10149+E10151)*Assumptions!$E$70/Assumptions!$E$69/4</f>
        <v>66753.5714285714</v>
      </c>
      <c r="F10155" s="54" t="n">
        <f aca="false">(F10149+F10151)*Assumptions!$E$70/Assumptions!$E$69/4</f>
        <v>66753.5714285714</v>
      </c>
      <c r="G10155" s="54" t="n">
        <f aca="false">(G10149+G10151)*Assumptions!$E$70/Assumptions!$E$69/4</f>
        <v>100130.357142857</v>
      </c>
      <c r="H10155" s="54" t="n">
        <f aca="false">(H10149+H10151)*Assumptions!$E$70/Assumptions!$E$69/4</f>
        <v>100130.357142857</v>
      </c>
      <c r="I10155" s="54" t="n">
        <f aca="false">(I10149+I10151)*Assumptions!$E$70/Assumptions!$E$69/4</f>
        <v>100130.357142857</v>
      </c>
      <c r="J10155" s="54" t="n">
        <f aca="false">(J10149+J10151)*Assumptions!$E$70/Assumptions!$E$69/4</f>
        <v>100130.357142857</v>
      </c>
      <c r="K10155" s="54" t="n">
        <f aca="false">(K10149+K10151)*Assumptions!$E$70/Assumptions!$E$69/4</f>
        <v>100130.357142857</v>
      </c>
      <c r="L10155" s="54" t="n">
        <f aca="false">(L10149+L10151)*Assumptions!$E$70/Assumptions!$E$69/4</f>
        <v>100130.357142857</v>
      </c>
      <c r="M10155" s="54" t="n">
        <f aca="false">(M10149+M10151)*Assumptions!$E$70/Assumptions!$E$69/4</f>
        <v>100130.357142857</v>
      </c>
      <c r="N10155" s="54" t="n">
        <f aca="false">(N10149+N10151)*Assumptions!$E$70/Assumptions!$E$69/4</f>
        <v>100130.357142857</v>
      </c>
      <c r="P10155" s="55" t="n">
        <f aca="false">SUM(C10155:F10155)</f>
        <v>267014.285714286</v>
      </c>
      <c r="Q10155" s="55" t="n">
        <f aca="false">SUM(G10155:J10155)</f>
        <v>400521.428571429</v>
      </c>
      <c r="R10155" s="55" t="n">
        <f aca="false">SUM(K10155:N10155)</f>
        <v>400521.428571429</v>
      </c>
      <c r="S10155" s="56" t="n">
        <f aca="false">SUM(P10155:R10155)</f>
        <v>1068057.14285714</v>
      </c>
    </row>
    <row r="10156" customFormat="false" ht="15" hidden="false" customHeight="false" outlineLevel="0" collapsed="false">
      <c r="A10156" s="4" t="s">
        <v>555</v>
      </c>
      <c r="B10156" s="36" t="s">
        <v>125</v>
      </c>
      <c r="C10156" s="54" t="n">
        <f aca="false">C10150*$C$10085/4</f>
        <v>0</v>
      </c>
      <c r="D10156" s="54" t="n">
        <f aca="false">D10150*$C$10085/4</f>
        <v>0</v>
      </c>
      <c r="E10156" s="54" t="n">
        <f aca="false">E10150*$C$10085/4</f>
        <v>0</v>
      </c>
      <c r="F10156" s="54" t="n">
        <f aca="false">F10150*$C$10085/4</f>
        <v>0</v>
      </c>
      <c r="G10156" s="54" t="n">
        <f aca="false">G10150*$C$10085/4</f>
        <v>0</v>
      </c>
      <c r="H10156" s="54" t="n">
        <f aca="false">H10150*$C$10085/4</f>
        <v>0</v>
      </c>
      <c r="I10156" s="54" t="n">
        <f aca="false">I10150*$C$10085/4</f>
        <v>0</v>
      </c>
      <c r="J10156" s="54" t="n">
        <f aca="false">J10150*$C$10085/4</f>
        <v>0</v>
      </c>
      <c r="K10156" s="54" t="n">
        <f aca="false">K10150*$C$10085/4</f>
        <v>0</v>
      </c>
      <c r="L10156" s="54" t="n">
        <f aca="false">L10150*$C$10085/4</f>
        <v>0</v>
      </c>
      <c r="M10156" s="54" t="n">
        <f aca="false">M10150*$C$10085/4</f>
        <v>0</v>
      </c>
      <c r="N10156" s="54" t="n">
        <f aca="false">N10150*$C$10085/4</f>
        <v>0</v>
      </c>
      <c r="P10156" s="55" t="n">
        <f aca="false">SUM(C10156:F10156)</f>
        <v>0</v>
      </c>
      <c r="Q10156" s="55" t="n">
        <f aca="false">SUM(G10156:J10156)</f>
        <v>0</v>
      </c>
      <c r="R10156" s="55" t="n">
        <f aca="false">SUM(K10156:N10156)</f>
        <v>0</v>
      </c>
      <c r="S10156" s="56" t="n">
        <f aca="false">SUM(P10156:R10156)</f>
        <v>0</v>
      </c>
    </row>
    <row r="10157" customFormat="false" ht="15" hidden="false" customHeight="false" outlineLevel="0" collapsed="false">
      <c r="A10157" s="4" t="s">
        <v>556</v>
      </c>
      <c r="B10157" s="36" t="s">
        <v>125</v>
      </c>
      <c r="C10157" s="54" t="n">
        <f aca="false">MAX(0,(C10145-C10126*$C$10081)-C10105*$C$10086)*$C$10087*Assumptions!$D$105</f>
        <v>0</v>
      </c>
      <c r="D10157" s="54" t="n">
        <f aca="false">MAX(0,(D10145-D10126*$C$10081)-D10105*$C$10086)*$C$10087*Assumptions!$D$105</f>
        <v>8534.37503074368</v>
      </c>
      <c r="E10157" s="54" t="n">
        <f aca="false">MAX(0,(E10145-E10126*$C$10081)-E10105*$C$10086)*$C$10087*Assumptions!$D$105</f>
        <v>20497.1913617812</v>
      </c>
      <c r="F10157" s="54" t="n">
        <f aca="false">MAX(0,(F10145-F10126*$C$10081)-F10105*$C$10086)*$C$10087*Assumptions!$D$105</f>
        <v>26200.6029282874</v>
      </c>
      <c r="G10157" s="54" t="n">
        <f aca="false">MAX(0,(G10145-G10126*$C$10081)-G10105*$C$10086)*$C$10087*Assumptions!$D$105</f>
        <v>28784.6381233656</v>
      </c>
      <c r="H10157" s="54" t="n">
        <f aca="false">MAX(0,(H10145-H10126*$C$10081)-H10105*$C$10086)*$C$10087*Assumptions!$D$105</f>
        <v>34620.7868235056</v>
      </c>
      <c r="I10157" s="54" t="n">
        <f aca="false">MAX(0,(I10145-I10126*$C$10081)-I10105*$C$10086)*$C$10087*Assumptions!$D$105</f>
        <v>41275.168656431</v>
      </c>
      <c r="J10157" s="54" t="n">
        <f aca="false">MAX(0,(J10145-J10126*$C$10081)-J10105*$C$10086)*$C$10087*Assumptions!$D$105</f>
        <v>54724.6874257727</v>
      </c>
      <c r="K10157" s="54" t="n">
        <f aca="false">MAX(0,(K10145-K10126*$C$10081)-K10105*$C$10086)*$C$10087*Assumptions!$D$105</f>
        <v>70560.1599946226</v>
      </c>
      <c r="L10157" s="54" t="n">
        <f aca="false">MAX(0,(L10145-L10126*$C$10081)-L10105*$C$10086)*$C$10087*Assumptions!$D$105</f>
        <v>76002.6112361751</v>
      </c>
      <c r="M10157" s="54" t="n">
        <f aca="false">MAX(0,(M10145-M10126*$C$10081)-M10105*$C$10086)*$C$10087*Assumptions!$D$105</f>
        <v>74741.5054240535</v>
      </c>
      <c r="N10157" s="54" t="n">
        <f aca="false">MAX(0,(N10145-N10126*$C$10081)-N10105*$C$10086)*$C$10087*Assumptions!$D$105</f>
        <v>72586.257943085</v>
      </c>
      <c r="P10157" s="55" t="n">
        <f aca="false">SUM(C10157:F10157)</f>
        <v>55232.1693208123</v>
      </c>
      <c r="Q10157" s="55" t="n">
        <f aca="false">SUM(G10157:J10157)</f>
        <v>159405.281029075</v>
      </c>
      <c r="R10157" s="55" t="n">
        <f aca="false">SUM(K10157:N10157)</f>
        <v>293890.534597936</v>
      </c>
      <c r="S10157" s="56" t="n">
        <f aca="false">SUM(P10157:R10157)</f>
        <v>508527.984947823</v>
      </c>
    </row>
    <row r="10158" customFormat="false" ht="15" hidden="false" customHeight="false" outlineLevel="0" collapsed="false">
      <c r="A10158" s="4" t="s">
        <v>557</v>
      </c>
      <c r="B10158" s="36" t="s">
        <v>125</v>
      </c>
      <c r="C10158" s="54" t="n">
        <f aca="false">C10153*Assumptions!$E$71/Assumptions!$E$69/4</f>
        <v>18475.8928571429</v>
      </c>
      <c r="D10158" s="54" t="n">
        <f aca="false">D10153*Assumptions!$E$71/Assumptions!$E$69/4</f>
        <v>18475.8928571429</v>
      </c>
      <c r="E10158" s="54" t="n">
        <f aca="false">E10153*Assumptions!$E$71/Assumptions!$E$69/4</f>
        <v>18475.8928571429</v>
      </c>
      <c r="F10158" s="54" t="n">
        <f aca="false">F10153*Assumptions!$E$71/Assumptions!$E$69/4</f>
        <v>18475.8928571429</v>
      </c>
      <c r="G10158" s="54" t="n">
        <f aca="false">G10153*Assumptions!$E$71/Assumptions!$E$69/4</f>
        <v>18475.8928571429</v>
      </c>
      <c r="H10158" s="54" t="n">
        <f aca="false">H10153*Assumptions!$E$71/Assumptions!$E$69/4</f>
        <v>18475.8928571429</v>
      </c>
      <c r="I10158" s="54" t="n">
        <f aca="false">I10153*Assumptions!$E$71/Assumptions!$E$69/4</f>
        <v>18475.8928571429</v>
      </c>
      <c r="J10158" s="54" t="n">
        <f aca="false">J10153*Assumptions!$E$71/Assumptions!$E$69/4</f>
        <v>18475.8928571429</v>
      </c>
      <c r="K10158" s="54" t="n">
        <f aca="false">K10153*Assumptions!$E$71/Assumptions!$E$69/4</f>
        <v>18475.8928571429</v>
      </c>
      <c r="L10158" s="54" t="n">
        <f aca="false">L10153*Assumptions!$E$71/Assumptions!$E$69/4</f>
        <v>18475.8928571429</v>
      </c>
      <c r="M10158" s="54" t="n">
        <f aca="false">M10153*Assumptions!$E$71/Assumptions!$E$69/4</f>
        <v>18475.8928571429</v>
      </c>
      <c r="N10158" s="54" t="n">
        <f aca="false">N10153*Assumptions!$E$71/Assumptions!$E$69/4</f>
        <v>18475.8928571429</v>
      </c>
      <c r="P10158" s="55" t="n">
        <f aca="false">SUM(C10158:F10158)</f>
        <v>73903.5714285714</v>
      </c>
      <c r="Q10158" s="55" t="n">
        <f aca="false">SUM(G10158:J10158)</f>
        <v>73903.5714285714</v>
      </c>
      <c r="R10158" s="55" t="n">
        <f aca="false">SUM(K10158:N10158)</f>
        <v>73903.5714285714</v>
      </c>
      <c r="S10158" s="56" t="n">
        <f aca="false">SUM(P10158:R10158)</f>
        <v>221710.714285714</v>
      </c>
    </row>
    <row r="10159" customFormat="false" ht="15" hidden="false" customHeight="false" outlineLevel="0" collapsed="false">
      <c r="A10159" s="4" t="s">
        <v>558</v>
      </c>
      <c r="B10159" s="36" t="s">
        <v>125</v>
      </c>
      <c r="C10159" s="54" t="n">
        <f aca="false">(Assumptions!$D$103+Assumptions!$E$77*((C10090=Assumptions!$E$13)+(C10090=Assumptions!$E$14)+(C10090=Assumptions!$E$15)))*C10091</f>
        <v>65000</v>
      </c>
      <c r="D10159" s="54" t="n">
        <f aca="false">(Assumptions!$D$103+Assumptions!$E$77*((D10090=Assumptions!$E$13)+(D10090=Assumptions!$E$14)+(D10090=Assumptions!$E$15)))*D10091</f>
        <v>25000</v>
      </c>
      <c r="E10159" s="54" t="n">
        <f aca="false">(Assumptions!$D$103+Assumptions!$E$77*((E10090=Assumptions!$E$13)+(E10090=Assumptions!$E$14)+(E10090=Assumptions!$E$15)))*E10091</f>
        <v>25000</v>
      </c>
      <c r="F10159" s="54" t="n">
        <f aca="false">(Assumptions!$D$103+Assumptions!$E$77*((F10090=Assumptions!$E$13)+(F10090=Assumptions!$E$14)+(F10090=Assumptions!$E$15)))*F10091</f>
        <v>25000</v>
      </c>
      <c r="G10159" s="54" t="n">
        <f aca="false">(Assumptions!$D$103+Assumptions!$E$77*((G10090=Assumptions!$E$13)+(G10090=Assumptions!$E$14)+(G10090=Assumptions!$E$15)))*G10091</f>
        <v>65000</v>
      </c>
      <c r="H10159" s="54" t="n">
        <f aca="false">(Assumptions!$D$103+Assumptions!$E$77*((H10090=Assumptions!$E$13)+(H10090=Assumptions!$E$14)+(H10090=Assumptions!$E$15)))*H10091</f>
        <v>25000</v>
      </c>
      <c r="I10159" s="54" t="n">
        <f aca="false">(Assumptions!$D$103+Assumptions!$E$77*((I10090=Assumptions!$E$13)+(I10090=Assumptions!$E$14)+(I10090=Assumptions!$E$15)))*I10091</f>
        <v>65000</v>
      </c>
      <c r="J10159" s="54" t="n">
        <f aca="false">(Assumptions!$D$103+Assumptions!$E$77*((J10090=Assumptions!$E$13)+(J10090=Assumptions!$E$14)+(J10090=Assumptions!$E$15)))*J10091</f>
        <v>25000</v>
      </c>
      <c r="K10159" s="54" t="n">
        <f aca="false">(Assumptions!$D$103+Assumptions!$E$77*((K10090=Assumptions!$E$13)+(K10090=Assumptions!$E$14)+(K10090=Assumptions!$E$15)))*K10091</f>
        <v>25000</v>
      </c>
      <c r="L10159" s="54" t="n">
        <f aca="false">(Assumptions!$D$103+Assumptions!$E$77*((L10090=Assumptions!$E$13)+(L10090=Assumptions!$E$14)+(L10090=Assumptions!$E$15)))*L10091</f>
        <v>25000</v>
      </c>
      <c r="M10159" s="54" t="n">
        <f aca="false">(Assumptions!$D$103+Assumptions!$E$77*((M10090=Assumptions!$E$13)+(M10090=Assumptions!$E$14)+(M10090=Assumptions!$E$15)))*M10091</f>
        <v>25000</v>
      </c>
      <c r="N10159" s="54" t="n">
        <f aca="false">(Assumptions!$D$103+Assumptions!$E$77*((N10090=Assumptions!$E$13)+(N10090=Assumptions!$E$14)+(N10090=Assumptions!$E$15)))*N10091</f>
        <v>25000</v>
      </c>
      <c r="P10159" s="55" t="n">
        <f aca="false">SUM(C10159:F10159)</f>
        <v>140000</v>
      </c>
      <c r="Q10159" s="55" t="n">
        <f aca="false">SUM(G10159:J10159)</f>
        <v>180000</v>
      </c>
      <c r="R10159" s="55" t="n">
        <f aca="false">SUM(K10159:N10159)</f>
        <v>100000</v>
      </c>
      <c r="S10159" s="56" t="n">
        <f aca="false">SUM(P10159:R10159)</f>
        <v>420000</v>
      </c>
    </row>
    <row r="10160" customFormat="false" ht="15" hidden="false" customHeight="false" outlineLevel="0" collapsed="false">
      <c r="A10160" s="4" t="s">
        <v>559</v>
      </c>
      <c r="B10160" s="36" t="s">
        <v>125</v>
      </c>
      <c r="C10160" s="54" t="n">
        <f aca="false">C10145*C10125*Assumptions!$E$79</f>
        <v>0</v>
      </c>
      <c r="D10160" s="54" t="n">
        <f aca="false">D10145*D10125*Assumptions!$E$79</f>
        <v>1923.906803712</v>
      </c>
      <c r="E10160" s="54" t="n">
        <f aca="false">E10145*E10125*Assumptions!$E$79</f>
        <v>3897.13514016904</v>
      </c>
      <c r="F10160" s="54" t="n">
        <f aca="false">F10145*F10125*Assumptions!$E$79</f>
        <v>5942.41316055246</v>
      </c>
      <c r="G10160" s="54" t="n">
        <f aca="false">G10145*G10125*Assumptions!$E$79</f>
        <v>7446.58409530465</v>
      </c>
      <c r="H10160" s="54" t="n">
        <f aca="false">H10145*H10125*Assumptions!$E$79</f>
        <v>8489.70243174992</v>
      </c>
      <c r="I10160" s="54" t="n">
        <f aca="false">I10145*I10125*Assumptions!$E$79</f>
        <v>9846.03629345719</v>
      </c>
      <c r="J10160" s="54" t="n">
        <f aca="false">J10145*J10125*Assumptions!$E$79</f>
        <v>10425.5998077535</v>
      </c>
      <c r="K10160" s="54" t="n">
        <f aca="false">K10145*K10125*Assumptions!$E$79</f>
        <v>11810.7116756352</v>
      </c>
      <c r="L10160" s="54" t="n">
        <f aca="false">L10145*L10125*Assumptions!$E$79</f>
        <v>13946.5249175088</v>
      </c>
      <c r="M10160" s="54" t="n">
        <f aca="false">M10145*M10125*Assumptions!$E$79</f>
        <v>14116.4343355329</v>
      </c>
      <c r="N10160" s="54" t="n">
        <f aca="false">N10145*N10125*Assumptions!$E$79</f>
        <v>14110.6110003654</v>
      </c>
      <c r="P10160" s="55" t="n">
        <f aca="false">SUM(C10160:F10160)</f>
        <v>11763.4551044335</v>
      </c>
      <c r="Q10160" s="55" t="n">
        <f aca="false">SUM(G10160:J10160)</f>
        <v>36207.9226282652</v>
      </c>
      <c r="R10160" s="55" t="n">
        <f aca="false">SUM(K10160:N10160)</f>
        <v>53984.2819290422</v>
      </c>
      <c r="S10160" s="56" t="n">
        <f aca="false">SUM(P10160:R10160)</f>
        <v>101955.659661741</v>
      </c>
    </row>
    <row r="10161" customFormat="false" ht="15" hidden="false" customHeight="false" outlineLevel="0" collapsed="false">
      <c r="A10161" s="4" t="s">
        <v>560</v>
      </c>
      <c r="B10161" s="36" t="s">
        <v>125</v>
      </c>
      <c r="C10161" s="54" t="n">
        <f aca="false">C10110*Assumptions!$E$80</f>
        <v>4000</v>
      </c>
      <c r="D10161" s="54" t="n">
        <f aca="false">D10110*Assumptions!$E$80</f>
        <v>6000</v>
      </c>
      <c r="E10161" s="54" t="n">
        <f aca="false">E10110*Assumptions!$E$80</f>
        <v>8000</v>
      </c>
      <c r="F10161" s="54" t="n">
        <f aca="false">F10110*Assumptions!$E$80</f>
        <v>10000</v>
      </c>
      <c r="G10161" s="54" t="n">
        <f aca="false">G10110*Assumptions!$E$80</f>
        <v>12000</v>
      </c>
      <c r="H10161" s="54" t="n">
        <f aca="false">H10110*Assumptions!$E$80</f>
        <v>14000</v>
      </c>
      <c r="I10161" s="54" t="n">
        <f aca="false">I10110*Assumptions!$E$80</f>
        <v>16000</v>
      </c>
      <c r="J10161" s="54" t="n">
        <f aca="false">J10110*Assumptions!$E$80</f>
        <v>18000</v>
      </c>
      <c r="K10161" s="54" t="n">
        <f aca="false">K10110*Assumptions!$E$80</f>
        <v>20000</v>
      </c>
      <c r="L10161" s="54" t="n">
        <f aca="false">L10110*Assumptions!$E$80</f>
        <v>20000</v>
      </c>
      <c r="M10161" s="54" t="n">
        <f aca="false">M10110*Assumptions!$E$80</f>
        <v>20000</v>
      </c>
      <c r="N10161" s="54" t="n">
        <f aca="false">N10110*Assumptions!$E$80</f>
        <v>20000</v>
      </c>
      <c r="P10161" s="55" t="n">
        <f aca="false">SUM(C10161:F10161)</f>
        <v>28000</v>
      </c>
      <c r="Q10161" s="55" t="n">
        <f aca="false">SUM(G10161:J10161)</f>
        <v>60000</v>
      </c>
      <c r="R10161" s="55" t="n">
        <f aca="false">SUM(K10161:N10161)</f>
        <v>80000</v>
      </c>
      <c r="S10161" s="56" t="n">
        <f aca="false">SUM(P10161:R10161)</f>
        <v>168000</v>
      </c>
    </row>
    <row r="10162" customFormat="false" ht="15" hidden="false" customHeight="false" outlineLevel="0" collapsed="false">
      <c r="A10162" s="4" t="s">
        <v>561</v>
      </c>
      <c r="B10162" s="36" t="s">
        <v>125</v>
      </c>
      <c r="C10162" s="54" t="n">
        <f aca="false">(C10133*$C$10082+C10134*$C$10083)*Assumptions!$E$81</f>
        <v>0</v>
      </c>
      <c r="D10162" s="54" t="n">
        <f aca="false">(D10133*$C$10082+D10134*$C$10083)*Assumptions!$E$81</f>
        <v>1816.96562389875</v>
      </c>
      <c r="E10162" s="54" t="n">
        <f aca="false">(E10133*$C$10082+E10134*$C$10083)*Assumptions!$E$81</f>
        <v>5001.54443862266</v>
      </c>
      <c r="F10162" s="54" t="n">
        <f aca="false">(F10133*$C$10082+F10134*$C$10083)*Assumptions!$E$81</f>
        <v>6671.16600602271</v>
      </c>
      <c r="G10162" s="54" t="n">
        <f aca="false">(G10133*$C$10082+G10134*$C$10083)*Assumptions!$E$81</f>
        <v>7334.34220367898</v>
      </c>
      <c r="H10162" s="54" t="n">
        <f aca="false">(H10133*$C$10082+H10134*$C$10083)*Assumptions!$E$81</f>
        <v>8659.91212776978</v>
      </c>
      <c r="I10162" s="54" t="n">
        <f aca="false">(I10133*$C$10082+I10134*$C$10083)*Assumptions!$E$81</f>
        <v>10284.9415651834</v>
      </c>
      <c r="J10162" s="54" t="n">
        <f aca="false">(J10133*$C$10082+J10134*$C$10083)*Assumptions!$E$81</f>
        <v>13175.9134194431</v>
      </c>
      <c r="K10162" s="54" t="n">
        <f aca="false">(K10133*$C$10082+K10134*$C$10083)*Assumptions!$E$81</f>
        <v>16970.1844469161</v>
      </c>
      <c r="L10162" s="54" t="n">
        <f aca="false">(L10133*$C$10082+L10134*$C$10083)*Assumptions!$E$81</f>
        <v>18679.6338806767</v>
      </c>
      <c r="M10162" s="54" t="n">
        <f aca="false">(M10133*$C$10082+M10134*$C$10083)*Assumptions!$E$81</f>
        <v>18444.6574448681</v>
      </c>
      <c r="N10162" s="54" t="n">
        <f aca="false">(N10133*$C$10082+N10134*$C$10083)*Assumptions!$E$81</f>
        <v>17910.3233829885</v>
      </c>
      <c r="P10162" s="55" t="n">
        <f aca="false">SUM(C10162:F10162)</f>
        <v>13489.6760685441</v>
      </c>
      <c r="Q10162" s="55" t="n">
        <f aca="false">SUM(G10162:J10162)</f>
        <v>39455.1093160753</v>
      </c>
      <c r="R10162" s="55" t="n">
        <f aca="false">SUM(K10162:N10162)</f>
        <v>72004.7991554494</v>
      </c>
      <c r="S10162" s="56" t="n">
        <f aca="false">SUM(P10162:R10162)</f>
        <v>124949.584540069</v>
      </c>
    </row>
    <row r="10163" customFormat="false" ht="15" hidden="false" customHeight="false" outlineLevel="0" collapsed="false">
      <c r="A10163" s="9" t="s">
        <v>562</v>
      </c>
      <c r="B10163" s="36" t="s">
        <v>125</v>
      </c>
      <c r="C10163" s="55" t="n">
        <f aca="false">C10155+C10156+C10157+C10158+C10159+C10160+C10161+C10162</f>
        <v>154229.464285714</v>
      </c>
      <c r="D10163" s="55" t="n">
        <f aca="false">D10155+D10156+D10157+D10158+D10159+D10160+D10161+D10162</f>
        <v>128504.711744069</v>
      </c>
      <c r="E10163" s="55" t="n">
        <f aca="false">E10155+E10156+E10157+E10158+E10159+E10160+E10161+E10162</f>
        <v>147625.335226287</v>
      </c>
      <c r="F10163" s="55" t="n">
        <f aca="false">F10155+F10156+F10157+F10158+F10159+F10160+F10161+F10162</f>
        <v>159043.646380577</v>
      </c>
      <c r="G10163" s="55" t="n">
        <f aca="false">G10155+G10156+G10157+G10158+G10159+G10160+G10161+G10162</f>
        <v>239171.814422349</v>
      </c>
      <c r="H10163" s="55" t="n">
        <f aca="false">H10155+H10156+H10157+H10158+H10159+H10160+H10161+H10162</f>
        <v>209376.651383025</v>
      </c>
      <c r="I10163" s="55" t="n">
        <f aca="false">I10155+I10156+I10157+I10158+I10159+I10160+I10161+I10162</f>
        <v>261012.396515072</v>
      </c>
      <c r="J10163" s="55" t="n">
        <f aca="false">J10155+J10156+J10157+J10158+J10159+J10160+J10161+J10162</f>
        <v>239932.450652969</v>
      </c>
      <c r="K10163" s="55" t="n">
        <f aca="false">K10155+K10156+K10157+K10158+K10159+K10160+K10161+K10162</f>
        <v>262947.306117174</v>
      </c>
      <c r="L10163" s="55" t="n">
        <f aca="false">L10155+L10156+L10157+L10158+L10159+L10160+L10161+L10162</f>
        <v>272235.020034361</v>
      </c>
      <c r="M10163" s="55" t="n">
        <f aca="false">M10155+M10156+M10157+M10158+M10159+M10160+M10161+M10162</f>
        <v>270908.847204455</v>
      </c>
      <c r="N10163" s="55" t="n">
        <f aca="false">N10155+N10156+N10157+N10158+N10159+N10160+N10161+N10162</f>
        <v>268213.442326439</v>
      </c>
      <c r="P10163" s="55" t="n">
        <f aca="false">SUM(C10163:F10163)</f>
        <v>589403.157636647</v>
      </c>
      <c r="Q10163" s="55" t="n">
        <f aca="false">SUM(G10163:J10163)</f>
        <v>949493.312973415</v>
      </c>
      <c r="R10163" s="55" t="n">
        <f aca="false">SUM(K10163:N10163)</f>
        <v>1074304.61568243</v>
      </c>
      <c r="S10163" s="56" t="n">
        <f aca="false">SUM(P10163:R10163)</f>
        <v>2613201.08629249</v>
      </c>
    </row>
    <row r="10164" customFormat="false" ht="15" hidden="false" customHeight="false" outlineLevel="0" collapsed="false">
      <c r="A10164" s="4" t="s">
        <v>563</v>
      </c>
      <c r="B10164" s="36" t="s">
        <v>125</v>
      </c>
      <c r="C10164" s="54" t="n">
        <f aca="false">C10152*Assumptions!$E$72/Assumptions!$E$69/4</f>
        <v>56535.7142857143</v>
      </c>
      <c r="D10164" s="54" t="n">
        <f aca="false">D10152*Assumptions!$E$72/Assumptions!$E$69/4</f>
        <v>56535.7142857143</v>
      </c>
      <c r="E10164" s="54" t="n">
        <f aca="false">E10152*Assumptions!$E$72/Assumptions!$E$69/4</f>
        <v>56535.7142857143</v>
      </c>
      <c r="F10164" s="54" t="n">
        <f aca="false">F10152*Assumptions!$E$72/Assumptions!$E$69/4</f>
        <v>56535.7142857143</v>
      </c>
      <c r="G10164" s="54" t="n">
        <f aca="false">G10152*Assumptions!$E$72/Assumptions!$E$69/4</f>
        <v>28267.8571428571</v>
      </c>
      <c r="H10164" s="54" t="n">
        <f aca="false">H10152*Assumptions!$E$72/Assumptions!$E$69/4</f>
        <v>28267.8571428571</v>
      </c>
      <c r="I10164" s="54" t="n">
        <f aca="false">I10152*Assumptions!$E$72/Assumptions!$E$69/4</f>
        <v>28267.8571428571</v>
      </c>
      <c r="J10164" s="54" t="n">
        <f aca="false">J10152*Assumptions!$E$72/Assumptions!$E$69/4</f>
        <v>28267.8571428571</v>
      </c>
      <c r="K10164" s="54" t="n">
        <f aca="false">K10152*Assumptions!$E$72/Assumptions!$E$69/4</f>
        <v>28267.8571428571</v>
      </c>
      <c r="L10164" s="54" t="n">
        <f aca="false">L10152*Assumptions!$E$72/Assumptions!$E$69/4</f>
        <v>28267.8571428571</v>
      </c>
      <c r="M10164" s="54" t="n">
        <f aca="false">M10152*Assumptions!$E$72/Assumptions!$E$69/4</f>
        <v>28267.8571428571</v>
      </c>
      <c r="N10164" s="54" t="n">
        <f aca="false">N10152*Assumptions!$E$72/Assumptions!$E$69/4</f>
        <v>28267.8571428571</v>
      </c>
      <c r="P10164" s="55" t="n">
        <f aca="false">SUM(C10164:F10164)</f>
        <v>226142.857142857</v>
      </c>
      <c r="Q10164" s="55" t="n">
        <f aca="false">SUM(G10164:J10164)</f>
        <v>113071.428571429</v>
      </c>
      <c r="R10164" s="55" t="n">
        <f aca="false">SUM(K10164:N10164)</f>
        <v>113071.428571429</v>
      </c>
      <c r="S10164" s="56" t="n">
        <f aca="false">SUM(P10164:R10164)</f>
        <v>452285.714285714</v>
      </c>
    </row>
    <row r="10165" customFormat="false" ht="15" hidden="false" customHeight="false" outlineLevel="0" collapsed="false">
      <c r="A10165" s="4" t="s">
        <v>564</v>
      </c>
      <c r="B10165" s="36" t="s">
        <v>125</v>
      </c>
      <c r="C10165" s="54" t="n">
        <f aca="false">IF(C10090&lt;=Assumptions!$E$83,Assumptions!$E$82*Assumptions!$D$108/Assumptions!$E$83,0)</f>
        <v>62500</v>
      </c>
      <c r="D10165" s="54" t="n">
        <f aca="false">IF(D10090&lt;=Assumptions!$E$83,Assumptions!$E$82*Assumptions!$D$108/Assumptions!$E$83,0)</f>
        <v>62500</v>
      </c>
      <c r="E10165" s="54" t="n">
        <f aca="false">IF(E10090&lt;=Assumptions!$E$83,Assumptions!$E$82*Assumptions!$D$108/Assumptions!$E$83,0)</f>
        <v>62500</v>
      </c>
      <c r="F10165" s="54" t="n">
        <f aca="false">IF(F10090&lt;=Assumptions!$E$83,Assumptions!$E$82*Assumptions!$D$108/Assumptions!$E$83,0)</f>
        <v>62500</v>
      </c>
      <c r="G10165" s="54" t="n">
        <f aca="false">IF(G10090&lt;=Assumptions!$E$83,Assumptions!$E$82*Assumptions!$D$108/Assumptions!$E$83,0)</f>
        <v>0</v>
      </c>
      <c r="H10165" s="54" t="n">
        <f aca="false">IF(H10090&lt;=Assumptions!$E$83,Assumptions!$E$82*Assumptions!$D$108/Assumptions!$E$83,0)</f>
        <v>0</v>
      </c>
      <c r="I10165" s="54" t="n">
        <f aca="false">IF(I10090&lt;=Assumptions!$E$83,Assumptions!$E$82*Assumptions!$D$108/Assumptions!$E$83,0)</f>
        <v>0</v>
      </c>
      <c r="J10165" s="54" t="n">
        <f aca="false">IF(J10090&lt;=Assumptions!$E$83,Assumptions!$E$82*Assumptions!$D$108/Assumptions!$E$83,0)</f>
        <v>0</v>
      </c>
      <c r="K10165" s="54" t="n">
        <f aca="false">IF(K10090&lt;=Assumptions!$E$83,Assumptions!$E$82*Assumptions!$D$108/Assumptions!$E$83,0)</f>
        <v>0</v>
      </c>
      <c r="L10165" s="54" t="n">
        <f aca="false">IF(L10090&lt;=Assumptions!$E$83,Assumptions!$E$82*Assumptions!$D$108/Assumptions!$E$83,0)</f>
        <v>0</v>
      </c>
      <c r="M10165" s="54" t="n">
        <f aca="false">IF(M10090&lt;=Assumptions!$E$83,Assumptions!$E$82*Assumptions!$D$108/Assumptions!$E$83,0)</f>
        <v>0</v>
      </c>
      <c r="N10165" s="54" t="n">
        <f aca="false">IF(N10090&lt;=Assumptions!$E$83,Assumptions!$E$82*Assumptions!$D$108/Assumptions!$E$83,0)</f>
        <v>0</v>
      </c>
      <c r="P10165" s="55" t="n">
        <f aca="false">SUM(C10165:F10165)</f>
        <v>250000</v>
      </c>
      <c r="Q10165" s="55" t="n">
        <f aca="false">SUM(G10165:J10165)</f>
        <v>0</v>
      </c>
      <c r="R10165" s="55" t="n">
        <f aca="false">SUM(K10165:N10165)</f>
        <v>0</v>
      </c>
      <c r="S10165" s="56" t="n">
        <f aca="false">SUM(P10165:R10165)</f>
        <v>250000</v>
      </c>
    </row>
    <row r="10166" customFormat="false" ht="15" hidden="false" customHeight="false" outlineLevel="0" collapsed="false">
      <c r="A10166" s="4" t="s">
        <v>565</v>
      </c>
      <c r="B10166" s="36" t="s">
        <v>125</v>
      </c>
      <c r="C10166" s="54" t="n">
        <f aca="false">C10154*Assumptions!$E$73/Assumptions!$E$69/4</f>
        <v>0</v>
      </c>
      <c r="D10166" s="54" t="n">
        <f aca="false">D10154*Assumptions!$E$73/Assumptions!$E$69/4</f>
        <v>1095.83439915676</v>
      </c>
      <c r="E10166" s="54" t="n">
        <f aca="false">E10154*Assumptions!$E$73/Assumptions!$E$69/4</f>
        <v>3080.62679462211</v>
      </c>
      <c r="F10166" s="54" t="n">
        <f aca="false">F10154*Assumptions!$E$73/Assumptions!$E$69/4</f>
        <v>5303.74869334711</v>
      </c>
      <c r="G10166" s="54" t="n">
        <f aca="false">G10154*Assumptions!$E$73/Assumptions!$E$69/4</f>
        <v>7690.1026773233</v>
      </c>
      <c r="H10166" s="54" t="n">
        <f aca="false">H10154*Assumptions!$E$73/Assumptions!$E$69/4</f>
        <v>10645.1790540797</v>
      </c>
      <c r="I10166" s="54" t="n">
        <f aca="false">I10154*Assumptions!$E$73/Assumptions!$E$69/4</f>
        <v>14140.7527628429</v>
      </c>
      <c r="J10166" s="54" t="n">
        <f aca="false">J10154*Assumptions!$E$73/Assumptions!$E$69/4</f>
        <v>19017.5484775711</v>
      </c>
      <c r="K10166" s="54" t="n">
        <f aca="false">K10154*Assumptions!$E$73/Assumptions!$E$69/4</f>
        <v>25197.5613793021</v>
      </c>
      <c r="L10166" s="54" t="n">
        <f aca="false">L10154*Assumptions!$E$73/Assumptions!$E$69/4</f>
        <v>31373.6406665521</v>
      </c>
      <c r="M10166" s="54" t="n">
        <f aca="false">M10154*Assumptions!$E$73/Assumptions!$E$69/4</f>
        <v>37204.4177951484</v>
      </c>
      <c r="N10166" s="54" t="n">
        <f aca="false">N10154*Assumptions!$E$73/Assumptions!$E$69/4</f>
        <v>42689.0166723575</v>
      </c>
      <c r="P10166" s="55" t="n">
        <f aca="false">SUM(C10166:F10166)</f>
        <v>9480.20988712598</v>
      </c>
      <c r="Q10166" s="55" t="n">
        <f aca="false">SUM(G10166:J10166)</f>
        <v>51493.582971817</v>
      </c>
      <c r="R10166" s="55" t="n">
        <f aca="false">SUM(K10166:N10166)</f>
        <v>136464.63651336</v>
      </c>
      <c r="S10166" s="56" t="n">
        <f aca="false">SUM(P10166:R10166)</f>
        <v>197438.429372303</v>
      </c>
    </row>
    <row r="10167" customFormat="false" ht="15" hidden="false" customHeight="false" outlineLevel="0" collapsed="false">
      <c r="A10167" s="9" t="s">
        <v>566</v>
      </c>
      <c r="B10167" s="36" t="s">
        <v>125</v>
      </c>
      <c r="C10167" s="55" t="n">
        <f aca="false">C10163+C10164+C10165+C10166</f>
        <v>273265.178571429</v>
      </c>
      <c r="D10167" s="55" t="n">
        <f aca="false">D10163+D10164+D10165+D10166</f>
        <v>248636.26042894</v>
      </c>
      <c r="E10167" s="55" t="n">
        <f aca="false">E10163+E10164+E10165+E10166</f>
        <v>269741.676306624</v>
      </c>
      <c r="F10167" s="55" t="n">
        <f aca="false">F10163+F10164+F10165+F10166</f>
        <v>283383.109359638</v>
      </c>
      <c r="G10167" s="55" t="n">
        <f aca="false">G10163+G10164+G10165+G10166</f>
        <v>275129.77424253</v>
      </c>
      <c r="H10167" s="55" t="n">
        <f aca="false">H10163+H10164+H10165+H10166</f>
        <v>248289.687579962</v>
      </c>
      <c r="I10167" s="55" t="n">
        <f aca="false">I10163+I10164+I10165+I10166</f>
        <v>303421.006420772</v>
      </c>
      <c r="J10167" s="55" t="n">
        <f aca="false">J10163+J10164+J10165+J10166</f>
        <v>287217.856273398</v>
      </c>
      <c r="K10167" s="55" t="n">
        <f aca="false">K10163+K10164+K10165+K10166</f>
        <v>316412.724639333</v>
      </c>
      <c r="L10167" s="55" t="n">
        <f aca="false">L10163+L10164+L10165+L10166</f>
        <v>331876.51784377</v>
      </c>
      <c r="M10167" s="55" t="n">
        <f aca="false">M10163+M10164+M10165+M10166</f>
        <v>336381.12214246</v>
      </c>
      <c r="N10167" s="55" t="n">
        <f aca="false">N10163+N10164+N10165+N10166</f>
        <v>339170.316141654</v>
      </c>
      <c r="P10167" s="55" t="n">
        <f aca="false">SUM(C10167:F10167)</f>
        <v>1075026.22466663</v>
      </c>
      <c r="Q10167" s="55" t="n">
        <f aca="false">SUM(G10167:J10167)</f>
        <v>1114058.32451666</v>
      </c>
      <c r="R10167" s="55" t="n">
        <f aca="false">SUM(K10167:N10167)</f>
        <v>1323840.68076722</v>
      </c>
      <c r="S10167" s="56" t="n">
        <f aca="false">SUM(P10167:R10167)</f>
        <v>3512925.22995051</v>
      </c>
    </row>
    <row r="10168" customFormat="false" ht="15" hidden="false" customHeight="false" outlineLevel="0" collapsed="false">
      <c r="A10168" s="35" t="s">
        <v>567</v>
      </c>
      <c r="B10168" s="35" t="s">
        <v>444</v>
      </c>
      <c r="C10168" s="6" t="s">
        <v>354</v>
      </c>
      <c r="D10168" s="6" t="s">
        <v>355</v>
      </c>
      <c r="E10168" s="6" t="s">
        <v>356</v>
      </c>
      <c r="F10168" s="6" t="s">
        <v>357</v>
      </c>
      <c r="G10168" s="6" t="s">
        <v>358</v>
      </c>
      <c r="H10168" s="6" t="s">
        <v>359</v>
      </c>
      <c r="I10168" s="6" t="s">
        <v>360</v>
      </c>
      <c r="J10168" s="6" t="s">
        <v>361</v>
      </c>
      <c r="K10168" s="6" t="s">
        <v>362</v>
      </c>
      <c r="L10168" s="6" t="s">
        <v>363</v>
      </c>
      <c r="M10168" s="6" t="s">
        <v>364</v>
      </c>
      <c r="N10168" s="6" t="s">
        <v>365</v>
      </c>
      <c r="P10168" s="6" t="s">
        <v>445</v>
      </c>
      <c r="Q10168" s="6" t="s">
        <v>446</v>
      </c>
      <c r="R10168" s="6" t="s">
        <v>447</v>
      </c>
      <c r="S10168" s="6" t="s">
        <v>448</v>
      </c>
    </row>
    <row r="10169" customFormat="false" ht="15" hidden="false" customHeight="false" outlineLevel="0" collapsed="false">
      <c r="A10169" s="9" t="s">
        <v>568</v>
      </c>
      <c r="B10169" s="36" t="s">
        <v>125</v>
      </c>
      <c r="C10169" s="55" t="n">
        <f aca="false">C10147-C10167</f>
        <v>-273265.178571429</v>
      </c>
      <c r="D10169" s="55" t="n">
        <f aca="false">D10147-D10167</f>
        <v>-246934.463483255</v>
      </c>
      <c r="E10169" s="55" t="n">
        <f aca="false">E10147-E10167</f>
        <v>-262384.435688597</v>
      </c>
      <c r="F10169" s="55" t="n">
        <f aca="false">F10147-F10167</f>
        <v>-267025.683256682</v>
      </c>
      <c r="G10169" s="55" t="n">
        <f aca="false">G10147-G10167</f>
        <v>-248098.754645045</v>
      </c>
      <c r="H10169" s="55" t="n">
        <f aca="false">H10147-H10167</f>
        <v>-208756.869464703</v>
      </c>
      <c r="I10169" s="55" t="n">
        <f aca="false">I10147-I10167</f>
        <v>-248739.507572315</v>
      </c>
      <c r="J10169" s="55" t="n">
        <f aca="false">J10147-J10167</f>
        <v>-213168.006142889</v>
      </c>
      <c r="K10169" s="55" t="n">
        <f aca="false">K10147-K10167</f>
        <v>-216934.866227809</v>
      </c>
      <c r="L10169" s="55" t="n">
        <f aca="false">L10147-L10167</f>
        <v>-202539.481477214</v>
      </c>
      <c r="M10169" s="55" t="n">
        <f aca="false">M10147-M10167</f>
        <v>-175978.836656462</v>
      </c>
      <c r="N10169" s="55" t="n">
        <f aca="false">N10147-N10167</f>
        <v>-147820.829666863</v>
      </c>
      <c r="P10169" s="55" t="n">
        <f aca="false">SUM(C10169:F10169)</f>
        <v>-1049609.76099996</v>
      </c>
      <c r="Q10169" s="55" t="n">
        <f aca="false">SUM(G10169:J10169)</f>
        <v>-918763.137824952</v>
      </c>
      <c r="R10169" s="55" t="n">
        <f aca="false">SUM(K10169:N10169)</f>
        <v>-743274.014028347</v>
      </c>
      <c r="S10169" s="56" t="n">
        <f aca="false">SUM(P10169:R10169)</f>
        <v>-2711646.91285326</v>
      </c>
    </row>
    <row r="10170" customFormat="false" ht="15" hidden="false" customHeight="false" outlineLevel="0" collapsed="false">
      <c r="A10170" s="9" t="s">
        <v>569</v>
      </c>
      <c r="B10170" s="36" t="s">
        <v>125</v>
      </c>
      <c r="C10170" s="55" t="n">
        <f aca="false">0+C10169</f>
        <v>-273265.178571429</v>
      </c>
      <c r="D10170" s="55" t="n">
        <f aca="false">C10170+D10169</f>
        <v>-520199.642054684</v>
      </c>
      <c r="E10170" s="55" t="n">
        <f aca="false">D10170+E10169</f>
        <v>-782584.07774328</v>
      </c>
      <c r="F10170" s="55" t="n">
        <f aca="false">E10170+F10169</f>
        <v>-1049609.76099996</v>
      </c>
      <c r="G10170" s="55" t="n">
        <f aca="false">F10170+G10169</f>
        <v>-1297708.51564501</v>
      </c>
      <c r="H10170" s="55" t="n">
        <f aca="false">G10170+H10169</f>
        <v>-1506465.38510971</v>
      </c>
      <c r="I10170" s="55" t="n">
        <f aca="false">H10170+I10169</f>
        <v>-1755204.89268203</v>
      </c>
      <c r="J10170" s="55" t="n">
        <f aca="false">I10170+J10169</f>
        <v>-1968372.89882491</v>
      </c>
      <c r="K10170" s="55" t="n">
        <f aca="false">J10170+K10169</f>
        <v>-2185307.76505272</v>
      </c>
      <c r="L10170" s="55" t="n">
        <f aca="false">K10170+L10169</f>
        <v>-2387847.24652994</v>
      </c>
      <c r="M10170" s="55" t="n">
        <f aca="false">L10170+M10169</f>
        <v>-2563826.0831864</v>
      </c>
      <c r="N10170" s="55" t="n">
        <f aca="false">M10170+N10169</f>
        <v>-2711646.91285326</v>
      </c>
      <c r="P10170" s="55" t="n">
        <f aca="false">F10170</f>
        <v>-1049609.76099996</v>
      </c>
      <c r="Q10170" s="55" t="n">
        <f aca="false">J10170</f>
        <v>-1968372.89882491</v>
      </c>
      <c r="R10170" s="55" t="n">
        <f aca="false">N10170</f>
        <v>-2711646.91285326</v>
      </c>
      <c r="S10170" s="56" t="n">
        <f aca="false">R10170</f>
        <v>-2711646.91285326</v>
      </c>
    </row>
    <row r="10171" customFormat="false" ht="15" hidden="false" customHeight="false" outlineLevel="0" collapsed="false">
      <c r="A10171" s="4" t="s">
        <v>570</v>
      </c>
      <c r="B10171" s="36" t="s">
        <v>107</v>
      </c>
      <c r="C10171" s="57" t="n">
        <f aca="false">1/(1+Assumptions!$E$87)^(C10090/4)</f>
        <v>0.972065420906982</v>
      </c>
      <c r="D10171" s="57" t="n">
        <f aca="false">1/(1+Assumptions!$E$87)^(D10090/4)</f>
        <v>0.944911182523068</v>
      </c>
      <c r="E10171" s="57" t="n">
        <f aca="false">1/(1+Assumptions!$E$87)^(E10090/4)</f>
        <v>0.918515486359</v>
      </c>
      <c r="F10171" s="57" t="n">
        <f aca="false">1/(1+Assumptions!$E$87)^(F10090/4)</f>
        <v>0.892857142857143</v>
      </c>
      <c r="G10171" s="57" t="n">
        <f aca="false">1/(1+Assumptions!$E$87)^(G10090/4)</f>
        <v>0.867915554381234</v>
      </c>
      <c r="H10171" s="57" t="n">
        <f aca="false">1/(1+Assumptions!$E$87)^(H10090/4)</f>
        <v>0.843670698681311</v>
      </c>
      <c r="I10171" s="57" t="n">
        <f aca="false">1/(1+Assumptions!$E$87)^(I10090/4)</f>
        <v>0.820103112820536</v>
      </c>
      <c r="J10171" s="57" t="n">
        <f aca="false">1/(1+Assumptions!$E$87)^(J10090/4)</f>
        <v>0.79719387755102</v>
      </c>
      <c r="K10171" s="57" t="n">
        <f aca="false">1/(1+Assumptions!$E$87)^(K10090/4)</f>
        <v>0.774924602126102</v>
      </c>
      <c r="L10171" s="57" t="n">
        <f aca="false">1/(1+Assumptions!$E$87)^(L10090/4)</f>
        <v>0.753277409536885</v>
      </c>
      <c r="M10171" s="57" t="n">
        <f aca="false">1/(1+Assumptions!$E$87)^(M10090/4)</f>
        <v>0.732234922161193</v>
      </c>
      <c r="N10171" s="57" t="n">
        <f aca="false">1/(1+Assumptions!$E$87)^(N10090/4)</f>
        <v>0.711780247813411</v>
      </c>
      <c r="P10171" s="58"/>
      <c r="Q10171" s="58"/>
      <c r="R10171" s="58"/>
      <c r="S10171" s="59"/>
    </row>
    <row r="10172" customFormat="false" ht="15" hidden="false" customHeight="false" outlineLevel="0" collapsed="false">
      <c r="A10172" s="4" t="s">
        <v>571</v>
      </c>
      <c r="B10172" s="36" t="s">
        <v>125</v>
      </c>
      <c r="C10172" s="54" t="n">
        <f aca="false">(C10147*(1-Assumptions!$E$88)-C10167)*C10171</f>
        <v>-265631.630827257</v>
      </c>
      <c r="D10172" s="54" t="n">
        <f aca="false">(D10147*(1-Assumptions!$E$88)-D10167)*D10171</f>
        <v>-233652.745288534</v>
      </c>
      <c r="E10172" s="54" t="n">
        <f aca="false">(E10147*(1-Assumptions!$E$88)-E10167)*E10171</f>
        <v>-242355.715448449</v>
      </c>
      <c r="F10172" s="54" t="n">
        <f aca="false">(F10147*(1-Assumptions!$E$88)-F10167)*F10171</f>
        <v>-241336.757568994</v>
      </c>
      <c r="G10172" s="54" t="n">
        <f aca="false">(G10147*(1-Assumptions!$E$88)-G10167)*G10171</f>
        <v>-220020.896650936</v>
      </c>
      <c r="H10172" s="54" t="n">
        <f aca="false">(H10147*(1-Assumptions!$E$88)-H10167)*H10171</f>
        <v>-182792.589971837</v>
      </c>
      <c r="I10172" s="54" t="n">
        <f aca="false">(I10147*(1-Assumptions!$E$88)-I10167)*I10171</f>
        <v>-212960.937925365</v>
      </c>
      <c r="J10172" s="54" t="n">
        <f aca="false">(J10147*(1-Assumptions!$E$88)-J10167)*J10171</f>
        <v>-181742.646818392</v>
      </c>
      <c r="K10172" s="54" t="n">
        <f aca="false">(K10147*(1-Assumptions!$E$88)-K10167)*K10171</f>
        <v>-183525.732868845</v>
      </c>
      <c r="L10172" s="54" t="n">
        <f aca="false">(L10147*(1-Assumptions!$E$88)-L10167)*L10171</f>
        <v>-172053.749478375</v>
      </c>
      <c r="M10172" s="54" t="n">
        <f aca="false">(M10147*(1-Assumptions!$E$88)-M10167)*M10171</f>
        <v>-152348.280766625</v>
      </c>
      <c r="N10172" s="54" t="n">
        <f aca="false">(N10147*(1-Assumptions!$E$88)-N10167)*N10171</f>
        <v>-132455.703752663</v>
      </c>
      <c r="P10172" s="55" t="n">
        <f aca="false">SUM(C10172:F10172)</f>
        <v>-982976.849133234</v>
      </c>
      <c r="Q10172" s="55" t="n">
        <f aca="false">SUM(G10172:J10172)</f>
        <v>-797517.071366531</v>
      </c>
      <c r="R10172" s="55" t="n">
        <f aca="false">SUM(K10172:N10172)</f>
        <v>-640383.466866508</v>
      </c>
      <c r="S10172" s="56" t="n">
        <f aca="false">SUM(P10172:R10172)</f>
        <v>-2420877.38736627</v>
      </c>
    </row>
    <row r="10173" customFormat="false" ht="15" hidden="false" customHeight="false" outlineLevel="0" collapsed="false">
      <c r="A10173" s="4" t="s">
        <v>572</v>
      </c>
      <c r="B10173" s="36" t="s">
        <v>125</v>
      </c>
      <c r="C10173" s="54" t="n">
        <f aca="false">(C10167-C10166)*12/(Assumptions!$E$89*Assumptions!$E$76)*Assumptions!$E$90</f>
        <v>189183.585164835</v>
      </c>
      <c r="D10173" s="54" t="n">
        <f aca="false">(D10167-D10166)*12/(Assumptions!$E$89*Assumptions!$E$76)*Assumptions!$E$90</f>
        <v>171374.141097542</v>
      </c>
      <c r="E10173" s="54" t="n">
        <f aca="false">(E10167-E10166)*12/(Assumptions!$E$89*Assumptions!$E$76)*Assumptions!$E$90</f>
        <v>184611.495816001</v>
      </c>
      <c r="F10173" s="54" t="n">
        <f aca="false">(F10167-F10166)*12/(Assumptions!$E$89*Assumptions!$E$76)*Assumptions!$E$90</f>
        <v>192516.480461279</v>
      </c>
      <c r="G10173" s="54" t="n">
        <f aca="false">(G10167-G10166)*12/(Assumptions!$E$89*Assumptions!$E$76)*Assumptions!$E$90</f>
        <v>185150.541852835</v>
      </c>
      <c r="H10173" s="54" t="n">
        <f aca="false">(H10167-H10166)*12/(Assumptions!$E$89*Assumptions!$E$76)*Assumptions!$E$90</f>
        <v>164523.121287149</v>
      </c>
      <c r="I10173" s="54" t="n">
        <f aca="false">(I10167-I10166)*12/(Assumptions!$E$89*Assumptions!$E$76)*Assumptions!$E$90</f>
        <v>200270.944840104</v>
      </c>
      <c r="J10173" s="54" t="n">
        <f aca="false">(J10167-J10166)*12/(Assumptions!$E$89*Assumptions!$E$76)*Assumptions!$E$90</f>
        <v>185677.136166341</v>
      </c>
      <c r="K10173" s="54" t="n">
        <f aca="false">(K10167-K10166)*12/(Assumptions!$E$89*Assumptions!$E$76)*Assumptions!$E$90</f>
        <v>201610.49764156</v>
      </c>
      <c r="L10173" s="54" t="n">
        <f aca="false">(L10167-L10166)*12/(Assumptions!$E$89*Assumptions!$E$76)*Assumptions!$E$90</f>
        <v>208040.453430381</v>
      </c>
      <c r="M10173" s="54" t="n">
        <f aca="false">(M10167-M10166)*12/(Assumptions!$E$89*Assumptions!$E$76)*Assumptions!$E$90</f>
        <v>207122.333778908</v>
      </c>
      <c r="N10173" s="54" t="n">
        <f aca="false">(N10167-N10166)*12/(Assumptions!$E$89*Assumptions!$E$76)*Assumptions!$E$90</f>
        <v>205256.284247974</v>
      </c>
      <c r="P10173" s="55" t="n">
        <f aca="false">SUM(C10173:F10173)</f>
        <v>737685.702539657</v>
      </c>
      <c r="Q10173" s="55" t="n">
        <f aca="false">SUM(G10173:J10173)</f>
        <v>735621.74414643</v>
      </c>
      <c r="R10173" s="55" t="n">
        <f aca="false">SUM(K10173:N10173)</f>
        <v>822029.569098824</v>
      </c>
      <c r="S10173" s="56" t="n">
        <f aca="false">SUM(P10173:R10173)</f>
        <v>2295337.01578491</v>
      </c>
    </row>
    <row r="10174" customFormat="false" ht="15" hidden="false" customHeight="false" outlineLevel="0" collapsed="false">
      <c r="A10174" s="4" t="s">
        <v>573</v>
      </c>
      <c r="B10174" s="36" t="s">
        <v>125</v>
      </c>
      <c r="C10174" s="54" t="n">
        <f aca="false">0*Assumptions!$E$92^(1/4)+C10173</f>
        <v>189183.585164835</v>
      </c>
      <c r="D10174" s="54" t="n">
        <f aca="false">C10174*Assumptions!$E$92^(1/4)+D10173</f>
        <v>361028.921904556</v>
      </c>
      <c r="E10174" s="54" t="n">
        <f aca="false">D10174*Assumptions!$E$92^(1/4)+E10173</f>
        <v>546539.624988217</v>
      </c>
      <c r="F10174" s="54" t="n">
        <f aca="false">E10174*Assumptions!$E$92^(1/4)+F10173</f>
        <v>740417.36038791</v>
      </c>
      <c r="G10174" s="54" t="n">
        <f aca="false">F10174*Assumptions!$E$92^(1/4)+G10173</f>
        <v>927412.044444228</v>
      </c>
      <c r="H10174" s="54" t="n">
        <f aca="false">G10174*Assumptions!$E$92^(1/4)+H10173</f>
        <v>1094245.05172633</v>
      </c>
      <c r="I10174" s="54" t="n">
        <f aca="false">H10174*Assumptions!$E$92^(1/4)+I10173</f>
        <v>1297241.41008156</v>
      </c>
      <c r="J10174" s="54" t="n">
        <f aca="false">I10174*Assumptions!$E$92^(1/4)+J10173</f>
        <v>1486149.55859368</v>
      </c>
      <c r="K10174" s="54" t="n">
        <f aca="false">J10174*Assumptions!$E$92^(1/4)+K10173</f>
        <v>1691461.57819881</v>
      </c>
      <c r="L10174" s="54" t="n">
        <f aca="false">K10174*Assumptions!$E$92^(1/4)+L10173</f>
        <v>1903714.91999298</v>
      </c>
      <c r="M10174" s="54" t="n">
        <f aca="false">L10174*Assumptions!$E$92^(1/4)+M10173</f>
        <v>2115578.79714348</v>
      </c>
      <c r="N10174" s="54" t="n">
        <f aca="false">M10174*Assumptions!$E$92^(1/4)+N10173</f>
        <v>2326104.30973932</v>
      </c>
      <c r="P10174" s="55" t="n">
        <f aca="false">F10174</f>
        <v>740417.36038791</v>
      </c>
      <c r="Q10174" s="55" t="n">
        <f aca="false">J10174</f>
        <v>1486149.55859368</v>
      </c>
      <c r="R10174" s="55" t="n">
        <f aca="false">N10174</f>
        <v>2326104.30973932</v>
      </c>
      <c r="S10174" s="56" t="n">
        <f aca="false">R10174</f>
        <v>2326104.30973932</v>
      </c>
    </row>
    <row r="10175" customFormat="false" ht="15" hidden="false" customHeight="false" outlineLevel="0" collapsed="false">
      <c r="A10175" s="4" t="s">
        <v>574</v>
      </c>
      <c r="B10175" s="36" t="s">
        <v>125</v>
      </c>
      <c r="C10175" s="54" t="n">
        <f aca="false">(0+C10174)/8*Assumptions!$E$76-(C10167-C10166)-C10174*Assumptions!$E$93/4</f>
        <v>-260258.807091346</v>
      </c>
      <c r="D10175" s="54" t="n">
        <f aca="false">(C10174+D10174)/8*Assumptions!$E$76-(D10167-D10166)-D10174*Assumptions!$E$93/4</f>
        <v>-207348.521354202</v>
      </c>
      <c r="E10175" s="54" t="n">
        <f aca="false">(D10174+E10174)/8*Assumptions!$E$76-(E10167-E10166)-E10174*Assumptions!$E$93/4</f>
        <v>-199752.850389316</v>
      </c>
      <c r="F10175" s="54" t="n">
        <f aca="false">(E10174+F10174)/8*Assumptions!$E$76-(F10167-F10166)-F10174*Assumptions!$E$93/4</f>
        <v>-182769.32260933</v>
      </c>
      <c r="G10175" s="54" t="n">
        <f aca="false">(F10174+G10174)/8*Assumptions!$E$76-(G10167-G10166)-G10174*Assumptions!$E$93/4</f>
        <v>-143521.182978148</v>
      </c>
      <c r="H10175" s="54" t="n">
        <f aca="false">(G10174+H10174)/8*Assumptions!$E$76-(H10167-H10166)-H10174*Assumptions!$E$93/4</f>
        <v>-87062.9326086039</v>
      </c>
      <c r="I10175" s="54" t="n">
        <f aca="false">(H10174+I10174)/8*Assumptions!$E$76-(I10167-I10166)-I10174*Assumptions!$E$93/4</f>
        <v>-111187.496262057</v>
      </c>
      <c r="J10175" s="54" t="n">
        <f aca="false">(I10174+J10174)/8*Assumptions!$E$76-(J10167-J10166)-J10174*Assumptions!$E$93/4</f>
        <v>-60626.6610733841</v>
      </c>
      <c r="K10175" s="54" t="n">
        <f aca="false">(J10174+K10174)/8*Assumptions!$E$76-(K10167-K10166)-K10174*Assumptions!$E$93/4</f>
        <v>-54177.5281231263</v>
      </c>
      <c r="L10175" s="54" t="n">
        <f aca="false">(K10174+L10174)/8*Assumptions!$E$76-(L10167-L10166)-L10174*Assumptions!$E$93/4</f>
        <v>-32191.2231990465</v>
      </c>
      <c r="M10175" s="54" t="n">
        <f aca="false">(L10174+M10174)/8*Assumptions!$E$76-(M10167-M10166)-M10174*Assumptions!$E$93/4</f>
        <v>946.175205732649</v>
      </c>
      <c r="N10175" s="54" t="n">
        <f aca="false">(M10174+N10174)/8*Assumptions!$E$76-(N10167-N10166)-N10174*Assumptions!$E$93/4</f>
        <v>35329.1490931901</v>
      </c>
      <c r="P10175" s="55" t="n">
        <f aca="false">SUM(C10175:F10175)</f>
        <v>-850129.501444194</v>
      </c>
      <c r="Q10175" s="55" t="n">
        <f aca="false">SUM(G10175:J10175)</f>
        <v>-402398.272922193</v>
      </c>
      <c r="R10175" s="55" t="n">
        <f aca="false">SUM(K10175:N10175)</f>
        <v>-50093.4270232501</v>
      </c>
      <c r="S10175" s="56" t="n">
        <f aca="false">SUM(P10175:R10175)</f>
        <v>-1302621.20138964</v>
      </c>
    </row>
    <row r="10176" customFormat="false" ht="15" hidden="false" customHeight="false" outlineLevel="0" collapsed="false">
      <c r="A10176" s="4" t="s">
        <v>575</v>
      </c>
      <c r="B10176" s="36" t="s">
        <v>125</v>
      </c>
      <c r="C10176" s="54" t="n">
        <f aca="false">C10175*C10171</f>
        <v>-252988.586859998</v>
      </c>
      <c r="D10176" s="54" t="n">
        <f aca="false">D10175*D10171</f>
        <v>-195925.936507209</v>
      </c>
      <c r="E10176" s="54" t="n">
        <f aca="false">E10175*E10171</f>
        <v>-183476.08652694</v>
      </c>
      <c r="F10176" s="54" t="n">
        <f aca="false">F10175*F10171</f>
        <v>-163186.895186902</v>
      </c>
      <c r="G10176" s="54" t="n">
        <f aca="false">G10175*G10171</f>
        <v>-124564.26708993</v>
      </c>
      <c r="H10176" s="54" t="n">
        <f aca="false">H10175*H10171</f>
        <v>-73452.4451831447</v>
      </c>
      <c r="I10176" s="54" t="n">
        <f aca="false">I10175*I10171</f>
        <v>-91185.2117912347</v>
      </c>
      <c r="J10176" s="54" t="n">
        <f aca="false">J10175*J10171</f>
        <v>-48331.2030240626</v>
      </c>
      <c r="K10176" s="54" t="n">
        <f aca="false">K10175*K10171</f>
        <v>-41983.4994249894</v>
      </c>
      <c r="L10176" s="54" t="n">
        <f aca="false">L10175*L10171</f>
        <v>-24248.9212212014</v>
      </c>
      <c r="M10176" s="54" t="n">
        <f aca="false">M10175*M10171</f>
        <v>692.822528120496</v>
      </c>
      <c r="N10176" s="54" t="n">
        <f aca="false">N10175*N10171</f>
        <v>25146.5904965878</v>
      </c>
      <c r="P10176" s="55" t="n">
        <f aca="false">SUM(C10176:F10176)</f>
        <v>-795577.505081048</v>
      </c>
      <c r="Q10176" s="55" t="n">
        <f aca="false">SUM(G10176:J10176)</f>
        <v>-337533.127088372</v>
      </c>
      <c r="R10176" s="55" t="n">
        <f aca="false">SUM(K10176:N10176)</f>
        <v>-40393.0076214825</v>
      </c>
      <c r="S10176" s="56" t="n">
        <f aca="false">SUM(P10176:R10176)</f>
        <v>-1173503.6397909</v>
      </c>
    </row>
    <row r="10177" customFormat="false" ht="15" hidden="false" customHeight="false" outlineLevel="0" collapsed="false">
      <c r="A10177" s="4" t="s">
        <v>576</v>
      </c>
      <c r="B10177" s="36"/>
      <c r="C10177" s="37" t="n">
        <f aca="false">IFERROR((S10132*$C$10081*Assumptions!$E$59+S10133*$C$10082*Assumptions!$E$60+S10134*$C$10083*Assumptions!$E$61)/(S10132*$C$10081+S10133*$C$10082+S10134*$C$10083),0.9)</f>
        <v>0.900030546477044</v>
      </c>
    </row>
    <row r="10178" customFormat="false" ht="15" hidden="false" customHeight="false" outlineLevel="0" collapsed="false">
      <c r="A10178" s="4" t="s">
        <v>577</v>
      </c>
      <c r="B10178" s="36"/>
      <c r="C10178" s="37" t="n">
        <f aca="false">IFERROR(N10166*4/N10144,0)</f>
        <v>0.134205167601311</v>
      </c>
    </row>
    <row r="10179" customFormat="false" ht="15" hidden="false" customHeight="false" outlineLevel="0" collapsed="false">
      <c r="A10179" s="4" t="s">
        <v>578</v>
      </c>
      <c r="B10179" s="36"/>
      <c r="C10179" s="60" t="n">
        <f aca="false">$C$10177/(1+Assumptions!$E$87)</f>
        <v>0.803598702211647</v>
      </c>
    </row>
    <row r="10180" customFormat="false" ht="15" hidden="false" customHeight="false" outlineLevel="0" collapsed="false">
      <c r="A10180" s="4" t="s">
        <v>579</v>
      </c>
      <c r="B10180" s="36"/>
      <c r="C10180" s="60" t="n">
        <f aca="false">Assumptions!$E$91/(1+Assumptions!$E$87)</f>
        <v>0.803571428571429</v>
      </c>
    </row>
    <row r="10181" customFormat="false" ht="15" hidden="false" customHeight="false" outlineLevel="0" collapsed="false">
      <c r="A10181" s="35" t="s">
        <v>580</v>
      </c>
      <c r="B10181" s="35" t="s">
        <v>444</v>
      </c>
      <c r="C10181" s="6" t="s">
        <v>354</v>
      </c>
      <c r="D10181" s="6" t="s">
        <v>355</v>
      </c>
      <c r="E10181" s="6" t="s">
        <v>356</v>
      </c>
      <c r="F10181" s="6" t="s">
        <v>357</v>
      </c>
      <c r="G10181" s="6" t="s">
        <v>358</v>
      </c>
      <c r="H10181" s="6" t="s">
        <v>359</v>
      </c>
      <c r="I10181" s="6" t="s">
        <v>360</v>
      </c>
      <c r="J10181" s="6" t="s">
        <v>361</v>
      </c>
      <c r="K10181" s="6" t="s">
        <v>362</v>
      </c>
      <c r="L10181" s="6" t="s">
        <v>363</v>
      </c>
      <c r="M10181" s="6" t="s">
        <v>364</v>
      </c>
      <c r="N10181" s="6" t="s">
        <v>365</v>
      </c>
      <c r="P10181" s="6" t="s">
        <v>445</v>
      </c>
      <c r="Q10181" s="6" t="s">
        <v>446</v>
      </c>
      <c r="R10181" s="6" t="s">
        <v>447</v>
      </c>
      <c r="S10181" s="6" t="s">
        <v>448</v>
      </c>
    </row>
    <row r="10182" customFormat="false" ht="15" hidden="false" customHeight="false" outlineLevel="0" collapsed="false">
      <c r="A10182" s="9" t="s">
        <v>581</v>
      </c>
      <c r="C10182" s="61" t="n">
        <f aca="false">N10144</f>
        <v>1272350.90676018</v>
      </c>
      <c r="D10182" s="61"/>
    </row>
    <row r="10183" customFormat="false" ht="15" hidden="false" customHeight="false" outlineLevel="0" collapsed="false">
      <c r="A10183" s="9" t="s">
        <v>582</v>
      </c>
      <c r="C10183" s="62" t="n">
        <f aca="false">N10140</f>
        <v>94.3392362937126</v>
      </c>
      <c r="D10183" s="62"/>
    </row>
    <row r="10184" customFormat="false" ht="15" hidden="false" customHeight="false" outlineLevel="0" collapsed="false">
      <c r="A10184" s="9" t="s">
        <v>583</v>
      </c>
      <c r="C10184" s="63" t="n">
        <f aca="false">S10135</f>
        <v>104.284037071607</v>
      </c>
      <c r="D10184" s="63"/>
    </row>
    <row r="10185" customFormat="false" ht="15" hidden="false" customHeight="false" outlineLevel="0" collapsed="false">
      <c r="A10185" s="9" t="s">
        <v>584</v>
      </c>
      <c r="C10185" s="61" t="n">
        <f aca="false">S10146</f>
        <v>1232735.8724573</v>
      </c>
      <c r="D10185" s="61"/>
    </row>
    <row r="10186" customFormat="false" ht="15" hidden="false" customHeight="false" outlineLevel="0" collapsed="false">
      <c r="A10186" s="9" t="s">
        <v>22</v>
      </c>
      <c r="C10186" s="61" t="n">
        <f aca="false">IFERROR(S10145/S10135,0)</f>
        <v>11510.5645565567</v>
      </c>
      <c r="D10186" s="61"/>
    </row>
    <row r="10187" customFormat="false" ht="15" hidden="false" customHeight="false" outlineLevel="0" collapsed="false">
      <c r="A10187" s="9" t="s">
        <v>585</v>
      </c>
      <c r="C10187" s="61" t="n">
        <f aca="false">IFERROR(S10163/S10135,0)</f>
        <v>25058.4956209369</v>
      </c>
      <c r="D10187" s="61"/>
    </row>
    <row r="10188" customFormat="false" ht="23.85" hidden="false" customHeight="false" outlineLevel="0" collapsed="false">
      <c r="A10188" s="9" t="s">
        <v>586</v>
      </c>
      <c r="C10188" s="61" t="n">
        <f aca="false">IFERROR((S10157+S10159+S10160+S10161+S10162)/S10135,0)</f>
        <v>12690.6597242768</v>
      </c>
      <c r="D10188" s="61"/>
    </row>
    <row r="10189" customFormat="false" ht="15" hidden="false" customHeight="false" outlineLevel="0" collapsed="false">
      <c r="A10189" s="9" t="s">
        <v>587</v>
      </c>
      <c r="C10189" s="64" t="n">
        <f aca="false">IFERROR('Engine Runs'!$C$10187/('Engine Runs'!$C$10186*Assumptions!$E$76/12),0)</f>
        <v>40.1907637476132</v>
      </c>
      <c r="D10189" s="64"/>
    </row>
    <row r="10190" customFormat="false" ht="15" hidden="false" customHeight="false" outlineLevel="0" collapsed="false">
      <c r="A10190" s="9" t="s">
        <v>588</v>
      </c>
      <c r="C10190" s="64" t="n">
        <f aca="false">IFERROR((R10163/R10135)/((R10145/R10135)*Assumptions!$E$76/12),0)</f>
        <v>28.5654326953652</v>
      </c>
      <c r="D10190" s="64"/>
    </row>
    <row r="10191" customFormat="false" ht="15" hidden="false" customHeight="false" outlineLevel="0" collapsed="false">
      <c r="A10191" s="9" t="s">
        <v>589</v>
      </c>
      <c r="C10191" s="61" t="n">
        <f aca="false">S10167</f>
        <v>3512925.22995051</v>
      </c>
      <c r="D10191" s="61"/>
    </row>
    <row r="10192" customFormat="false" ht="15" hidden="false" customHeight="false" outlineLevel="0" collapsed="false">
      <c r="A10192" s="9" t="s">
        <v>590</v>
      </c>
      <c r="C10192" s="61" t="n">
        <f aca="false">N10170</f>
        <v>-2711646.91285326</v>
      </c>
      <c r="D10192" s="61"/>
    </row>
    <row r="10193" customFormat="false" ht="15" hidden="false" customHeight="false" outlineLevel="0" collapsed="false">
      <c r="A10193" s="9" t="s">
        <v>591</v>
      </c>
      <c r="C10193" s="61" t="n">
        <f aca="false">MIN($C$10170:$N$10170)</f>
        <v>-2711646.91285326</v>
      </c>
      <c r="D10193" s="61"/>
    </row>
    <row r="10194" customFormat="false" ht="15" hidden="false" customHeight="false" outlineLevel="0" collapsed="false">
      <c r="A10194" s="9" t="s">
        <v>592</v>
      </c>
      <c r="C10194" s="61" t="n">
        <f aca="false">N10144*(Assumptions!$E$76-$C$10178)*$C$10177*(1-$C$10177^Assumptions!$E$85)/(1-$C$10177)</f>
        <v>2418978.6786068</v>
      </c>
      <c r="D10194" s="61"/>
    </row>
    <row r="10195" customFormat="false" ht="15" hidden="false" customHeight="false" outlineLevel="0" collapsed="false">
      <c r="A10195" s="9" t="s">
        <v>593</v>
      </c>
      <c r="C10195" s="61" t="n">
        <f aca="false">N10144*(Assumptions!$E$76-$C$10178)*(1-Assumptions!$E$88)/(1+Assumptions!$E$87)^2.5*$C$10179*(1-$C$10179^Assumptions!$E$85)/(1-$C$10179)</f>
        <v>1075893.01361154</v>
      </c>
      <c r="D10195" s="61"/>
    </row>
    <row r="10196" customFormat="false" ht="15" hidden="false" customHeight="false" outlineLevel="0" collapsed="false">
      <c r="A10196" s="9" t="s">
        <v>594</v>
      </c>
      <c r="C10196" s="61" t="n">
        <f aca="false">SUM($C$10172:$N$10172)+'Engine Runs'!$C$10195</f>
        <v>-1344984.37375473</v>
      </c>
      <c r="D10196" s="61"/>
    </row>
    <row r="10197" customFormat="false" ht="15" hidden="false" customHeight="false" outlineLevel="0" collapsed="false">
      <c r="A10197" s="9" t="s">
        <v>595</v>
      </c>
      <c r="C10197" s="61" t="n">
        <f aca="false">SUM($C$10176:$N$10176)+N10174*(Assumptions!$E$76-Assumptions!$E$93)/(1+Assumptions!$E$87)^2.5*$C$10180*(1-$C$10180^Assumptions!$E$85)/(1-$C$10180)</f>
        <v>1686310.06517453</v>
      </c>
      <c r="D10197" s="61"/>
    </row>
    <row r="10198" customFormat="false" ht="15" hidden="false" customHeight="false" outlineLevel="0" collapsed="false">
      <c r="A10198" s="9" t="s">
        <v>596</v>
      </c>
      <c r="C10198" s="61" t="n">
        <f aca="false">'Engine Runs'!$C$10196-'Engine Runs'!$C$10197</f>
        <v>-3031294.43892925</v>
      </c>
      <c r="D10198" s="61"/>
    </row>
    <row r="10199" customFormat="false" ht="15" hidden="false" customHeight="false" outlineLevel="0" collapsed="false">
      <c r="A10199" s="9" t="s">
        <v>597</v>
      </c>
      <c r="C10199" s="61" t="n">
        <f aca="false">S10131</f>
        <v>0</v>
      </c>
      <c r="D10199" s="61"/>
    </row>
    <row r="10200" customFormat="false" ht="15" hidden="false" customHeight="false" outlineLevel="0" collapsed="false">
      <c r="A10200" s="9" t="s">
        <v>598</v>
      </c>
      <c r="C10200" s="63" t="n">
        <f aca="false">P10115</f>
        <v>43.6188722246667</v>
      </c>
      <c r="D10200" s="63"/>
    </row>
    <row r="10201" customFormat="false" ht="15" hidden="false" customHeight="false" outlineLevel="0" collapsed="false">
      <c r="A10201" s="9" t="s">
        <v>599</v>
      </c>
      <c r="C10201" s="63" t="n">
        <f aca="false">P10135</f>
        <v>11.7763981894979</v>
      </c>
      <c r="D10201" s="63"/>
    </row>
    <row r="10202" customFormat="false" ht="15" hidden="false" customHeight="false" outlineLevel="0" collapsed="false">
      <c r="A10202" s="9" t="s">
        <v>600</v>
      </c>
      <c r="C10202" s="63" t="n">
        <f aca="false">P10111</f>
        <v>42</v>
      </c>
      <c r="D10202" s="63"/>
    </row>
    <row r="10203" customFormat="false" ht="15" hidden="false" customHeight="false" outlineLevel="0" collapsed="false">
      <c r="A10203" s="9" t="s">
        <v>601</v>
      </c>
      <c r="C10203" s="61" t="n">
        <f aca="false">IFERROR(P10145/P10135,0)</f>
        <v>11090.5376006265</v>
      </c>
      <c r="D10203" s="61"/>
    </row>
    <row r="10206" customFormat="false" ht="15" hidden="false" customHeight="true" outlineLevel="0" collapsed="false">
      <c r="A10206" s="78" t="s">
        <v>960</v>
      </c>
      <c r="B10206" s="78"/>
      <c r="C10206" s="78"/>
      <c r="D10206" s="78"/>
      <c r="E10206" s="78"/>
      <c r="F10206" s="78"/>
      <c r="G10206" s="78"/>
      <c r="H10206" s="78"/>
      <c r="I10206" s="78"/>
      <c r="J10206" s="78"/>
      <c r="K10206" s="78"/>
      <c r="L10206" s="78"/>
      <c r="M10206" s="78"/>
      <c r="N10206" s="78"/>
    </row>
    <row r="10207" customFormat="false" ht="15" hidden="false" customHeight="true" outlineLevel="0" collapsed="false">
      <c r="A10207" s="79" t="s">
        <v>961</v>
      </c>
      <c r="B10207" s="79"/>
      <c r="C10207" s="79"/>
      <c r="D10207" s="79"/>
      <c r="E10207" s="79"/>
      <c r="F10207" s="79"/>
      <c r="G10207" s="79"/>
      <c r="H10207" s="79"/>
      <c r="I10207" s="79"/>
      <c r="J10207" s="79"/>
      <c r="K10207" s="79"/>
      <c r="L10207" s="79"/>
      <c r="M10207" s="79"/>
      <c r="N10207" s="79"/>
    </row>
    <row r="10208" customFormat="false" ht="15" hidden="false" customHeight="false" outlineLevel="0" collapsed="false">
      <c r="A10208" s="35" t="s">
        <v>962</v>
      </c>
      <c r="B10208" s="35" t="s">
        <v>444</v>
      </c>
      <c r="C10208" s="6" t="s">
        <v>354</v>
      </c>
      <c r="D10208" s="6" t="s">
        <v>355</v>
      </c>
      <c r="E10208" s="6" t="s">
        <v>356</v>
      </c>
      <c r="F10208" s="6" t="s">
        <v>357</v>
      </c>
      <c r="G10208" s="6" t="s">
        <v>358</v>
      </c>
      <c r="H10208" s="6" t="s">
        <v>359</v>
      </c>
      <c r="I10208" s="6" t="s">
        <v>360</v>
      </c>
      <c r="J10208" s="6" t="s">
        <v>361</v>
      </c>
      <c r="K10208" s="6" t="s">
        <v>362</v>
      </c>
      <c r="L10208" s="6" t="s">
        <v>363</v>
      </c>
      <c r="M10208" s="6" t="s">
        <v>364</v>
      </c>
      <c r="N10208" s="6" t="s">
        <v>365</v>
      </c>
      <c r="P10208" s="6" t="s">
        <v>445</v>
      </c>
      <c r="Q10208" s="6" t="s">
        <v>446</v>
      </c>
      <c r="R10208" s="6" t="s">
        <v>447</v>
      </c>
      <c r="S10208" s="6" t="s">
        <v>448</v>
      </c>
    </row>
    <row r="10209" customFormat="false" ht="15" hidden="false" customHeight="false" outlineLevel="0" collapsed="false">
      <c r="A10209" s="4" t="s">
        <v>449</v>
      </c>
      <c r="B10209" s="36" t="s">
        <v>450</v>
      </c>
      <c r="C10209" s="34" t="n">
        <f aca="false">'Market Sizing'!$C$17*Assumptions!$E$10*Assumptions!$E$11*(1-Assumptions!$E$12)</f>
        <v>843.03944704</v>
      </c>
    </row>
    <row r="10210" customFormat="false" ht="15" hidden="false" customHeight="false" outlineLevel="0" collapsed="false">
      <c r="A10210" s="4" t="s">
        <v>451</v>
      </c>
      <c r="B10210" s="36" t="s">
        <v>450</v>
      </c>
      <c r="C10210" s="34" t="n">
        <f aca="false">'Market Sizing'!$D$17*Assumptions!$E$10*Assumptions!$E$11*(1-Assumptions!$E$12)</f>
        <v>211.19616</v>
      </c>
    </row>
    <row r="10211" customFormat="false" ht="15" hidden="false" customHeight="false" outlineLevel="0" collapsed="false">
      <c r="A10211" s="4" t="s">
        <v>452</v>
      </c>
      <c r="B10211" s="36" t="s">
        <v>450</v>
      </c>
      <c r="C10211" s="34" t="n">
        <f aca="false">'Market Sizing'!$E$17*Assumptions!$E$10*Assumptions!$E$11*(1-Assumptions!$E$12)</f>
        <v>49.53984</v>
      </c>
    </row>
    <row r="10212" customFormat="false" ht="15" hidden="false" customHeight="false" outlineLevel="0" collapsed="false">
      <c r="A10212" s="4" t="s">
        <v>453</v>
      </c>
      <c r="B10212" s="36"/>
      <c r="C10212" s="34" t="n">
        <f aca="false">$C$10209+$C$10210+$C$10211</f>
        <v>1103.77544704</v>
      </c>
    </row>
    <row r="10213" customFormat="false" ht="15" hidden="false" customHeight="false" outlineLevel="0" collapsed="false">
      <c r="A10213" s="4" t="s">
        <v>454</v>
      </c>
      <c r="B10213" s="36" t="s">
        <v>450</v>
      </c>
      <c r="C10213" s="34" t="n">
        <f aca="false">'Market Sizing'!$C$18*Assumptions!$E$10*Assumptions!$E$11*(1-Assumptions!$E$12)</f>
        <v>612.57706944</v>
      </c>
    </row>
    <row r="10214" customFormat="false" ht="15" hidden="false" customHeight="false" outlineLevel="0" collapsed="false">
      <c r="A10214" s="4" t="s">
        <v>455</v>
      </c>
      <c r="B10214" s="36" t="s">
        <v>450</v>
      </c>
      <c r="C10214" s="34" t="n">
        <f aca="false">'Market Sizing'!$D$18*Assumptions!$E$10*Assumptions!$E$11*(1-Assumptions!$E$12)</f>
        <v>142.10112</v>
      </c>
    </row>
    <row r="10215" customFormat="false" ht="15" hidden="false" customHeight="false" outlineLevel="0" collapsed="false">
      <c r="A10215" s="4" t="s">
        <v>456</v>
      </c>
      <c r="B10215" s="36" t="s">
        <v>450</v>
      </c>
      <c r="C10215" s="34" t="n">
        <f aca="false">'Market Sizing'!$E$18*Assumptions!$E$10*Assumptions!$E$11*(1-Assumptions!$E$12)</f>
        <v>24.76992</v>
      </c>
    </row>
    <row r="10216" customFormat="false" ht="15" hidden="false" customHeight="false" outlineLevel="0" collapsed="false">
      <c r="A10216" s="4" t="s">
        <v>457</v>
      </c>
      <c r="B10216" s="36"/>
      <c r="C10216" s="34" t="n">
        <f aca="false">$C$10213+$C$10214+$C$10215</f>
        <v>779.44810944</v>
      </c>
    </row>
    <row r="10217" customFormat="false" ht="15" hidden="false" customHeight="false" outlineLevel="0" collapsed="false">
      <c r="A10217" s="4" t="s">
        <v>458</v>
      </c>
      <c r="B10217" s="36" t="s">
        <v>450</v>
      </c>
      <c r="C10217" s="34" t="n">
        <f aca="false">'Market Sizing'!$C$19*Assumptions!$E$10*Assumptions!$E$11*(1-Assumptions!$E$12)</f>
        <v>2060.77303936</v>
      </c>
    </row>
    <row r="10218" customFormat="false" ht="15" hidden="false" customHeight="false" outlineLevel="0" collapsed="false">
      <c r="A10218" s="4" t="s">
        <v>459</v>
      </c>
      <c r="B10218" s="36" t="s">
        <v>450</v>
      </c>
      <c r="C10218" s="34" t="n">
        <f aca="false">'Market Sizing'!$D$19*Assumptions!$E$10*Assumptions!$E$11*(1-Assumptions!$E$12)</f>
        <v>428.47616</v>
      </c>
    </row>
    <row r="10219" customFormat="false" ht="15" hidden="false" customHeight="false" outlineLevel="0" collapsed="false">
      <c r="A10219" s="4" t="s">
        <v>460</v>
      </c>
      <c r="B10219" s="36" t="s">
        <v>450</v>
      </c>
      <c r="C10219" s="34" t="n">
        <f aca="false">'Market Sizing'!$E$19*Assumptions!$E$10*Assumptions!$E$11*(1-Assumptions!$E$12)</f>
        <v>79.52448</v>
      </c>
    </row>
    <row r="10220" customFormat="false" ht="15" hidden="false" customHeight="false" outlineLevel="0" collapsed="false">
      <c r="A10220" s="4" t="s">
        <v>461</v>
      </c>
      <c r="B10220" s="36"/>
      <c r="C10220" s="34" t="n">
        <f aca="false">$C$10217+$C$10218+$C$10219</f>
        <v>2568.77367936</v>
      </c>
    </row>
    <row r="10221" customFormat="false" ht="15" hidden="false" customHeight="false" outlineLevel="0" collapsed="false">
      <c r="A10221" s="4" t="s">
        <v>462</v>
      </c>
      <c r="B10221" s="36" t="s">
        <v>463</v>
      </c>
      <c r="C10221" s="33" t="n">
        <f aca="false">MAX((Assumptions!$E$51+Assumptions!$E$53)*12,(((('Market Sizing'!$E$25*Assumptions!$E$41*Assumptions!$E$42*2.5)*Assumptions!$E$44)*Assumptions!$E$45*Assumptions!$E$46+('Market Sizing'!$E$25*Assumptions!$E$41*Assumptions!$E$42*2.5)*Assumptions!$E$47+('Market Sizing'!$E$25*Assumptions!$E$41*Assumptions!$E$42*2.5)*Assumptions!$E$48*Assumptions!$E$49)*(Assumptions!$E$51*12/Assumptions!$E$52)+((('Market Sizing'!$E$25*Assumptions!$E$41*Assumptions!$E$42*2.5)*Assumptions!$E$44)*Assumptions!$E$45+('Market Sizing'!$E$25*Assumptions!$E$41*Assumptions!$E$42*2.5)+('Market Sizing'!$E$25*Assumptions!$E$41*Assumptions!$E$42*2.5)*Assumptions!$E$48)*Assumptions!$E$50*(Assumptions!$E$53*12/Assumptions!$E$54)))</f>
        <v>5352</v>
      </c>
    </row>
    <row r="10222" customFormat="false" ht="15" hidden="false" customHeight="false" outlineLevel="0" collapsed="false">
      <c r="A10222" s="4" t="s">
        <v>464</v>
      </c>
      <c r="B10222" s="36" t="s">
        <v>463</v>
      </c>
      <c r="C10222" s="33" t="n">
        <f aca="false">MAX((Assumptions!$E$51+Assumptions!$E$53)*12,(((('Market Sizing'!$E$26*Assumptions!$E$41*Assumptions!$E$42*2.5)*Assumptions!$E$44)*Assumptions!$E$45*Assumptions!$E$46+('Market Sizing'!$E$26*Assumptions!$E$41*Assumptions!$E$42*2.5)*Assumptions!$E$47+('Market Sizing'!$E$26*Assumptions!$E$41*Assumptions!$E$42*2.5)*Assumptions!$E$48*Assumptions!$E$49)*(Assumptions!$E$51*12/Assumptions!$E$52)+((('Market Sizing'!$E$26*Assumptions!$E$41*Assumptions!$E$42*2.5)*Assumptions!$E$44)*Assumptions!$E$45+('Market Sizing'!$E$26*Assumptions!$E$41*Assumptions!$E$42*2.5)+('Market Sizing'!$E$26*Assumptions!$E$41*Assumptions!$E$42*2.5)*Assumptions!$E$48)*Assumptions!$E$50*(Assumptions!$E$53*12/Assumptions!$E$54)))</f>
        <v>24416.8003218802</v>
      </c>
    </row>
    <row r="10223" customFormat="false" ht="15" hidden="false" customHeight="false" outlineLevel="0" collapsed="false">
      <c r="A10223" s="4" t="s">
        <v>465</v>
      </c>
      <c r="B10223" s="36" t="s">
        <v>463</v>
      </c>
      <c r="C10223" s="33" t="n">
        <f aca="false">MAX(Assumptions!$E$55*(Assumptions!$E$51*12/Assumptions!$E$52)+Assumptions!$E$56*(Assumptions!$E$53*12/Assumptions!$E$54),(((('Market Sizing'!$E$27*Assumptions!$E$41*Assumptions!$E$42*2.5)*Assumptions!$E$44)*Assumptions!$E$45*Assumptions!$E$46+('Market Sizing'!$E$27*Assumptions!$E$41*Assumptions!$E$42*2.5)*Assumptions!$E$47+('Market Sizing'!$E$27*Assumptions!$E$41*Assumptions!$E$42*2.5)*Assumptions!$E$48*Assumptions!$E$49)*(Assumptions!$E$51*12/Assumptions!$E$52)+((('Market Sizing'!$E$27*Assumptions!$E$41*Assumptions!$E$42*2.5)*Assumptions!$E$44)*Assumptions!$E$45+('Market Sizing'!$E$27*Assumptions!$E$41*Assumptions!$E$42*2.5)+('Market Sizing'!$E$27*Assumptions!$E$41*Assumptions!$E$42*2.5)*Assumptions!$E$48)*Assumptions!$E$50*(Assumptions!$E$53*12/Assumptions!$E$54)))*(1-Assumptions!$E$57)</f>
        <v>154445.640548596</v>
      </c>
    </row>
    <row r="10224" customFormat="false" ht="23.85" hidden="false" customHeight="false" outlineLevel="0" collapsed="false">
      <c r="A10224" s="4" t="s">
        <v>466</v>
      </c>
      <c r="B10224" s="36" t="s">
        <v>467</v>
      </c>
      <c r="C10224" s="37" t="n">
        <f aca="false">Assumptions!$E$17*Assumptions!$D$106</f>
        <v>0.4</v>
      </c>
    </row>
    <row r="10225" customFormat="false" ht="23.85" hidden="false" customHeight="false" outlineLevel="0" collapsed="false">
      <c r="A10225" s="4" t="s">
        <v>468</v>
      </c>
      <c r="B10225" s="36" t="s">
        <v>469</v>
      </c>
      <c r="C10225" s="33" t="n">
        <f aca="false">Assumptions!$E$68/Assumptions!$E$69</f>
        <v>285714.285714286</v>
      </c>
    </row>
    <row r="10226" customFormat="false" ht="23.85" hidden="false" customHeight="false" outlineLevel="0" collapsed="false">
      <c r="A10226" s="4" t="s">
        <v>470</v>
      </c>
      <c r="B10226" s="36" t="s">
        <v>471</v>
      </c>
      <c r="C10226" s="33" t="n">
        <f aca="false">Assumptions!$E$66*Assumptions!$E$67/4</f>
        <v>153125</v>
      </c>
    </row>
    <row r="10227" customFormat="false" ht="15" hidden="false" customHeight="false" outlineLevel="0" collapsed="false">
      <c r="A10227" s="4" t="s">
        <v>472</v>
      </c>
      <c r="B10227" s="36"/>
      <c r="C10227" s="38" t="n">
        <f aca="false">$C$10225/Assumptions!$E$66/Assumptions!$E$67</f>
        <v>0.466472303206997</v>
      </c>
    </row>
    <row r="10228" customFormat="false" ht="15" hidden="false" customHeight="false" outlineLevel="0" collapsed="false">
      <c r="A10228" s="4" t="s">
        <v>473</v>
      </c>
      <c r="B10228" s="36"/>
      <c r="C10228" s="33" t="n">
        <f aca="false">MAX(0,Assumptions!$D$103-Assumptions!$E$78)</f>
        <v>0</v>
      </c>
    </row>
    <row r="10229" customFormat="false" ht="15" hidden="false" customHeight="false" outlineLevel="0" collapsed="false">
      <c r="A10229" s="35" t="s">
        <v>474</v>
      </c>
      <c r="B10229" s="35" t="s">
        <v>444</v>
      </c>
      <c r="C10229" s="6" t="s">
        <v>354</v>
      </c>
      <c r="D10229" s="6" t="s">
        <v>355</v>
      </c>
      <c r="E10229" s="6" t="s">
        <v>356</v>
      </c>
      <c r="F10229" s="6" t="s">
        <v>357</v>
      </c>
      <c r="G10229" s="6" t="s">
        <v>358</v>
      </c>
      <c r="H10229" s="6" t="s">
        <v>359</v>
      </c>
      <c r="I10229" s="6" t="s">
        <v>360</v>
      </c>
      <c r="J10229" s="6" t="s">
        <v>361</v>
      </c>
      <c r="K10229" s="6" t="s">
        <v>362</v>
      </c>
      <c r="L10229" s="6" t="s">
        <v>363</v>
      </c>
      <c r="M10229" s="6" t="s">
        <v>364</v>
      </c>
      <c r="N10229" s="6" t="s">
        <v>365</v>
      </c>
      <c r="P10229" s="6" t="s">
        <v>445</v>
      </c>
      <c r="Q10229" s="6" t="s">
        <v>446</v>
      </c>
      <c r="R10229" s="6" t="s">
        <v>447</v>
      </c>
      <c r="S10229" s="6" t="s">
        <v>448</v>
      </c>
    </row>
    <row r="10230" customFormat="false" ht="15" hidden="false" customHeight="false" outlineLevel="0" collapsed="false">
      <c r="A10230" s="4" t="s">
        <v>475</v>
      </c>
      <c r="B10230" s="36" t="s">
        <v>133</v>
      </c>
      <c r="C10230" s="39" t="n">
        <v>1</v>
      </c>
      <c r="D10230" s="39" t="n">
        <v>2</v>
      </c>
      <c r="E10230" s="39" t="n">
        <v>3</v>
      </c>
      <c r="F10230" s="39" t="n">
        <v>4</v>
      </c>
      <c r="G10230" s="39" t="n">
        <v>5</v>
      </c>
      <c r="H10230" s="39" t="n">
        <v>6</v>
      </c>
      <c r="I10230" s="39" t="n">
        <v>7</v>
      </c>
      <c r="J10230" s="39" t="n">
        <v>8</v>
      </c>
      <c r="K10230" s="39" t="n">
        <v>9</v>
      </c>
      <c r="L10230" s="39" t="n">
        <v>10</v>
      </c>
      <c r="M10230" s="39" t="n">
        <v>11</v>
      </c>
      <c r="N10230" s="39" t="n">
        <v>12</v>
      </c>
      <c r="P10230" s="40"/>
      <c r="Q10230" s="40"/>
      <c r="R10230" s="40"/>
      <c r="S10230" s="41"/>
    </row>
    <row r="10231" customFormat="false" ht="15" hidden="false" customHeight="false" outlineLevel="0" collapsed="false">
      <c r="A10231" s="4" t="s">
        <v>476</v>
      </c>
      <c r="B10231" s="36" t="s">
        <v>343</v>
      </c>
      <c r="C10231" s="39" t="n">
        <f aca="false">IF(C10230&lt;=Assumptions!$E$84,1,0)</f>
        <v>1</v>
      </c>
      <c r="D10231" s="39" t="n">
        <f aca="false">IF(D10230&lt;=Assumptions!$E$84,1,0)</f>
        <v>1</v>
      </c>
      <c r="E10231" s="39" t="n">
        <f aca="false">IF(E10230&lt;=Assumptions!$E$84,1,0)</f>
        <v>1</v>
      </c>
      <c r="F10231" s="39" t="n">
        <f aca="false">IF(F10230&lt;=Assumptions!$E$84,1,0)</f>
        <v>1</v>
      </c>
      <c r="G10231" s="39" t="n">
        <f aca="false">IF(G10230&lt;=Assumptions!$E$84,1,0)</f>
        <v>1</v>
      </c>
      <c r="H10231" s="39" t="n">
        <f aca="false">IF(H10230&lt;=Assumptions!$E$84,1,0)</f>
        <v>1</v>
      </c>
      <c r="I10231" s="39" t="n">
        <f aca="false">IF(I10230&lt;=Assumptions!$E$84,1,0)</f>
        <v>1</v>
      </c>
      <c r="J10231" s="39" t="n">
        <f aca="false">IF(J10230&lt;=Assumptions!$E$84,1,0)</f>
        <v>1</v>
      </c>
      <c r="K10231" s="39" t="n">
        <f aca="false">IF(K10230&lt;=Assumptions!$E$84,1,0)</f>
        <v>1</v>
      </c>
      <c r="L10231" s="39" t="n">
        <f aca="false">IF(L10230&lt;=Assumptions!$E$84,1,0)</f>
        <v>1</v>
      </c>
      <c r="M10231" s="39" t="n">
        <f aca="false">IF(M10230&lt;=Assumptions!$E$84,1,0)</f>
        <v>1</v>
      </c>
      <c r="N10231" s="39" t="n">
        <f aca="false">IF(N10230&lt;=Assumptions!$E$84,1,0)</f>
        <v>1</v>
      </c>
      <c r="P10231" s="40"/>
      <c r="Q10231" s="40"/>
      <c r="R10231" s="40"/>
      <c r="S10231" s="41"/>
    </row>
    <row r="10232" customFormat="false" ht="15" hidden="false" customHeight="false" outlineLevel="0" collapsed="false">
      <c r="A10232" s="4" t="s">
        <v>477</v>
      </c>
      <c r="B10232" s="36" t="s">
        <v>478</v>
      </c>
      <c r="C10232" s="42" t="n">
        <f aca="false">IF(C10230=Assumptions!$E$13,0.5,IF(C10230&gt;Assumptions!$E$13,1,0))</f>
        <v>0.5</v>
      </c>
      <c r="D10232" s="42" t="n">
        <f aca="false">IF(D10230=Assumptions!$E$13,0.5,IF(D10230&gt;Assumptions!$E$13,1,0))</f>
        <v>1</v>
      </c>
      <c r="E10232" s="42" t="n">
        <f aca="false">IF(E10230=Assumptions!$E$13,0.5,IF(E10230&gt;Assumptions!$E$13,1,0))</f>
        <v>1</v>
      </c>
      <c r="F10232" s="42" t="n">
        <f aca="false">IF(F10230=Assumptions!$E$13,0.5,IF(F10230&gt;Assumptions!$E$13,1,0))</f>
        <v>1</v>
      </c>
      <c r="G10232" s="42" t="n">
        <f aca="false">IF(G10230=Assumptions!$E$13,0.5,IF(G10230&gt;Assumptions!$E$13,1,0))</f>
        <v>1</v>
      </c>
      <c r="H10232" s="42" t="n">
        <f aca="false">IF(H10230=Assumptions!$E$13,0.5,IF(H10230&gt;Assumptions!$E$13,1,0))</f>
        <v>1</v>
      </c>
      <c r="I10232" s="42" t="n">
        <f aca="false">IF(I10230=Assumptions!$E$13,0.5,IF(I10230&gt;Assumptions!$E$13,1,0))</f>
        <v>1</v>
      </c>
      <c r="J10232" s="42" t="n">
        <f aca="false">IF(J10230=Assumptions!$E$13,0.5,IF(J10230&gt;Assumptions!$E$13,1,0))</f>
        <v>1</v>
      </c>
      <c r="K10232" s="42" t="n">
        <f aca="false">IF(K10230=Assumptions!$E$13,0.5,IF(K10230&gt;Assumptions!$E$13,1,0))</f>
        <v>1</v>
      </c>
      <c r="L10232" s="42" t="n">
        <f aca="false">IF(L10230=Assumptions!$E$13,0.5,IF(L10230&gt;Assumptions!$E$13,1,0))</f>
        <v>1</v>
      </c>
      <c r="M10232" s="42" t="n">
        <f aca="false">IF(M10230=Assumptions!$E$13,0.5,IF(M10230&gt;Assumptions!$E$13,1,0))</f>
        <v>1</v>
      </c>
      <c r="N10232" s="42" t="n">
        <f aca="false">IF(N10230=Assumptions!$E$13,0.5,IF(N10230&gt;Assumptions!$E$13,1,0))</f>
        <v>1</v>
      </c>
      <c r="P10232" s="43"/>
      <c r="Q10232" s="43"/>
      <c r="R10232" s="43"/>
      <c r="S10232" s="44"/>
    </row>
    <row r="10233" customFormat="false" ht="15" hidden="false" customHeight="false" outlineLevel="0" collapsed="false">
      <c r="A10233" s="4" t="s">
        <v>479</v>
      </c>
      <c r="B10233" s="36" t="s">
        <v>478</v>
      </c>
      <c r="C10233" s="42" t="n">
        <f aca="false">IF(C10230=Assumptions!$E$14,0.5,IF(C10230&gt;Assumptions!$E$14,1,0))</f>
        <v>0</v>
      </c>
      <c r="D10233" s="42" t="n">
        <f aca="false">IF(D10230=Assumptions!$E$14,0.5,IF(D10230&gt;Assumptions!$E$14,1,0))</f>
        <v>0</v>
      </c>
      <c r="E10233" s="42" t="n">
        <f aca="false">IF(E10230=Assumptions!$E$14,0.5,IF(E10230&gt;Assumptions!$E$14,1,0))</f>
        <v>0</v>
      </c>
      <c r="F10233" s="42" t="n">
        <f aca="false">IF(F10230=Assumptions!$E$14,0.5,IF(F10230&gt;Assumptions!$E$14,1,0))</f>
        <v>0</v>
      </c>
      <c r="G10233" s="42" t="n">
        <f aca="false">IF(G10230=Assumptions!$E$14,0.5,IF(G10230&gt;Assumptions!$E$14,1,0))</f>
        <v>0.5</v>
      </c>
      <c r="H10233" s="42" t="n">
        <f aca="false">IF(H10230=Assumptions!$E$14,0.5,IF(H10230&gt;Assumptions!$E$14,1,0))</f>
        <v>1</v>
      </c>
      <c r="I10233" s="42" t="n">
        <f aca="false">IF(I10230=Assumptions!$E$14,0.5,IF(I10230&gt;Assumptions!$E$14,1,0))</f>
        <v>1</v>
      </c>
      <c r="J10233" s="42" t="n">
        <f aca="false">IF(J10230=Assumptions!$E$14,0.5,IF(J10230&gt;Assumptions!$E$14,1,0))</f>
        <v>1</v>
      </c>
      <c r="K10233" s="42" t="n">
        <f aca="false">IF(K10230=Assumptions!$E$14,0.5,IF(K10230&gt;Assumptions!$E$14,1,0))</f>
        <v>1</v>
      </c>
      <c r="L10233" s="42" t="n">
        <f aca="false">IF(L10230=Assumptions!$E$14,0.5,IF(L10230&gt;Assumptions!$E$14,1,0))</f>
        <v>1</v>
      </c>
      <c r="M10233" s="42" t="n">
        <f aca="false">IF(M10230=Assumptions!$E$14,0.5,IF(M10230&gt;Assumptions!$E$14,1,0))</f>
        <v>1</v>
      </c>
      <c r="N10233" s="42" t="n">
        <f aca="false">IF(N10230=Assumptions!$E$14,0.5,IF(N10230&gt;Assumptions!$E$14,1,0))</f>
        <v>1</v>
      </c>
      <c r="P10233" s="43"/>
      <c r="Q10233" s="43"/>
      <c r="R10233" s="43"/>
      <c r="S10233" s="44"/>
    </row>
    <row r="10234" customFormat="false" ht="15" hidden="false" customHeight="false" outlineLevel="0" collapsed="false">
      <c r="A10234" s="4" t="s">
        <v>480</v>
      </c>
      <c r="B10234" s="36" t="s">
        <v>478</v>
      </c>
      <c r="C10234" s="42" t="n">
        <f aca="false">IF(C10230=Assumptions!$E$15,0.5,IF(C10230&gt;Assumptions!$E$15,1,0))</f>
        <v>0</v>
      </c>
      <c r="D10234" s="42" t="n">
        <f aca="false">IF(D10230=Assumptions!$E$15,0.5,IF(D10230&gt;Assumptions!$E$15,1,0))</f>
        <v>0</v>
      </c>
      <c r="E10234" s="42" t="n">
        <f aca="false">IF(E10230=Assumptions!$E$15,0.5,IF(E10230&gt;Assumptions!$E$15,1,0))</f>
        <v>0</v>
      </c>
      <c r="F10234" s="42" t="n">
        <f aca="false">IF(F10230=Assumptions!$E$15,0.5,IF(F10230&gt;Assumptions!$E$15,1,0))</f>
        <v>0</v>
      </c>
      <c r="G10234" s="42" t="n">
        <f aca="false">IF(G10230=Assumptions!$E$15,0.5,IF(G10230&gt;Assumptions!$E$15,1,0))</f>
        <v>0</v>
      </c>
      <c r="H10234" s="42" t="n">
        <f aca="false">IF(H10230=Assumptions!$E$15,0.5,IF(H10230&gt;Assumptions!$E$15,1,0))</f>
        <v>0</v>
      </c>
      <c r="I10234" s="42" t="n">
        <f aca="false">IF(I10230=Assumptions!$E$15,0.5,IF(I10230&gt;Assumptions!$E$15,1,0))</f>
        <v>0.5</v>
      </c>
      <c r="J10234" s="42" t="n">
        <f aca="false">IF(J10230=Assumptions!$E$15,0.5,IF(J10230&gt;Assumptions!$E$15,1,0))</f>
        <v>1</v>
      </c>
      <c r="K10234" s="42" t="n">
        <f aca="false">IF(K10230=Assumptions!$E$15,0.5,IF(K10230&gt;Assumptions!$E$15,1,0))</f>
        <v>1</v>
      </c>
      <c r="L10234" s="42" t="n">
        <f aca="false">IF(L10230=Assumptions!$E$15,0.5,IF(L10230&gt;Assumptions!$E$15,1,0))</f>
        <v>1</v>
      </c>
      <c r="M10234" s="42" t="n">
        <f aca="false">IF(M10230=Assumptions!$E$15,0.5,IF(M10230&gt;Assumptions!$E$15,1,0))</f>
        <v>1</v>
      </c>
      <c r="N10234" s="42" t="n">
        <f aca="false">IF(N10230=Assumptions!$E$15,0.5,IF(N10230&gt;Assumptions!$E$15,1,0))</f>
        <v>1</v>
      </c>
      <c r="P10234" s="43"/>
      <c r="Q10234" s="43"/>
      <c r="R10234" s="43"/>
      <c r="S10234" s="44"/>
    </row>
    <row r="10235" customFormat="false" ht="15" hidden="false" customHeight="false" outlineLevel="0" collapsed="false">
      <c r="A10235" s="4" t="s">
        <v>481</v>
      </c>
      <c r="B10235" s="36" t="s">
        <v>478</v>
      </c>
      <c r="C10235" s="45" t="n">
        <f aca="false">Assumptions!$E$21^(MAX(0,C10230-Assumptions!$E$13)/4)</f>
        <v>1</v>
      </c>
      <c r="D10235" s="45" t="n">
        <f aca="false">Assumptions!$E$21^(MAX(0,D10230-Assumptions!$E$13)/4)</f>
        <v>0.9306048591021</v>
      </c>
      <c r="E10235" s="45" t="n">
        <f aca="false">Assumptions!$E$21^(MAX(0,E10230-Assumptions!$E$13)/4)</f>
        <v>0.866025403784439</v>
      </c>
      <c r="F10235" s="45" t="n">
        <f aca="false">Assumptions!$E$21^(MAX(0,F10230-Assumptions!$E$13)/4)</f>
        <v>0.805927448867656</v>
      </c>
      <c r="G10235" s="45" t="n">
        <f aca="false">Assumptions!$E$21^(MAX(0,G10230-Assumptions!$E$13)/4)</f>
        <v>0.75</v>
      </c>
      <c r="H10235" s="45" t="n">
        <f aca="false">Assumptions!$E$21^(MAX(0,H10230-Assumptions!$E$13)/4)</f>
        <v>0.697953644326575</v>
      </c>
      <c r="I10235" s="45" t="n">
        <f aca="false">Assumptions!$E$21^(MAX(0,I10230-Assumptions!$E$13)/4)</f>
        <v>0.649519052838329</v>
      </c>
      <c r="J10235" s="45" t="n">
        <f aca="false">Assumptions!$E$21^(MAX(0,J10230-Assumptions!$E$13)/4)</f>
        <v>0.604445586650742</v>
      </c>
      <c r="K10235" s="45" t="n">
        <f aca="false">Assumptions!$E$21^(MAX(0,K10230-Assumptions!$E$13)/4)</f>
        <v>0.5625</v>
      </c>
      <c r="L10235" s="45" t="n">
        <f aca="false">Assumptions!$E$21^(MAX(0,L10230-Assumptions!$E$13)/4)</f>
        <v>0.523465233244931</v>
      </c>
      <c r="M10235" s="45" t="n">
        <f aca="false">Assumptions!$E$21^(MAX(0,M10230-Assumptions!$E$13)/4)</f>
        <v>0.487139289628747</v>
      </c>
      <c r="N10235" s="45" t="n">
        <f aca="false">Assumptions!$E$21^(MAX(0,N10230-Assumptions!$E$13)/4)</f>
        <v>0.453334189988057</v>
      </c>
      <c r="P10235" s="46"/>
      <c r="Q10235" s="46"/>
      <c r="R10235" s="46"/>
      <c r="S10235" s="47"/>
    </row>
    <row r="10236" customFormat="false" ht="15" hidden="false" customHeight="false" outlineLevel="0" collapsed="false">
      <c r="A10236" s="4" t="s">
        <v>482</v>
      </c>
      <c r="B10236" s="36" t="s">
        <v>478</v>
      </c>
      <c r="C10236" s="45" t="n">
        <f aca="false">Assumptions!$E$21^(MAX(0,C10230-Assumptions!$E$14)/4)</f>
        <v>1</v>
      </c>
      <c r="D10236" s="45" t="n">
        <f aca="false">Assumptions!$E$21^(MAX(0,D10230-Assumptions!$E$14)/4)</f>
        <v>1</v>
      </c>
      <c r="E10236" s="45" t="n">
        <f aca="false">Assumptions!$E$21^(MAX(0,E10230-Assumptions!$E$14)/4)</f>
        <v>1</v>
      </c>
      <c r="F10236" s="45" t="n">
        <f aca="false">Assumptions!$E$21^(MAX(0,F10230-Assumptions!$E$14)/4)</f>
        <v>1</v>
      </c>
      <c r="G10236" s="45" t="n">
        <f aca="false">Assumptions!$E$21^(MAX(0,G10230-Assumptions!$E$14)/4)</f>
        <v>1</v>
      </c>
      <c r="H10236" s="45" t="n">
        <f aca="false">Assumptions!$E$21^(MAX(0,H10230-Assumptions!$E$14)/4)</f>
        <v>0.9306048591021</v>
      </c>
      <c r="I10236" s="45" t="n">
        <f aca="false">Assumptions!$E$21^(MAX(0,I10230-Assumptions!$E$14)/4)</f>
        <v>0.866025403784439</v>
      </c>
      <c r="J10236" s="45" t="n">
        <f aca="false">Assumptions!$E$21^(MAX(0,J10230-Assumptions!$E$14)/4)</f>
        <v>0.805927448867656</v>
      </c>
      <c r="K10236" s="45" t="n">
        <f aca="false">Assumptions!$E$21^(MAX(0,K10230-Assumptions!$E$14)/4)</f>
        <v>0.75</v>
      </c>
      <c r="L10236" s="45" t="n">
        <f aca="false">Assumptions!$E$21^(MAX(0,L10230-Assumptions!$E$14)/4)</f>
        <v>0.697953644326575</v>
      </c>
      <c r="M10236" s="45" t="n">
        <f aca="false">Assumptions!$E$21^(MAX(0,M10230-Assumptions!$E$14)/4)</f>
        <v>0.649519052838329</v>
      </c>
      <c r="N10236" s="45" t="n">
        <f aca="false">Assumptions!$E$21^(MAX(0,N10230-Assumptions!$E$14)/4)</f>
        <v>0.604445586650742</v>
      </c>
      <c r="P10236" s="46"/>
      <c r="Q10236" s="46"/>
      <c r="R10236" s="46"/>
      <c r="S10236" s="47"/>
    </row>
    <row r="10237" customFormat="false" ht="15" hidden="false" customHeight="false" outlineLevel="0" collapsed="false">
      <c r="A10237" s="4" t="s">
        <v>483</v>
      </c>
      <c r="B10237" s="36" t="s">
        <v>478</v>
      </c>
      <c r="C10237" s="45" t="n">
        <f aca="false">Assumptions!$E$21^(MAX(0,C10230-Assumptions!$E$15)/4)</f>
        <v>1</v>
      </c>
      <c r="D10237" s="45" t="n">
        <f aca="false">Assumptions!$E$21^(MAX(0,D10230-Assumptions!$E$15)/4)</f>
        <v>1</v>
      </c>
      <c r="E10237" s="45" t="n">
        <f aca="false">Assumptions!$E$21^(MAX(0,E10230-Assumptions!$E$15)/4)</f>
        <v>1</v>
      </c>
      <c r="F10237" s="45" t="n">
        <f aca="false">Assumptions!$E$21^(MAX(0,F10230-Assumptions!$E$15)/4)</f>
        <v>1</v>
      </c>
      <c r="G10237" s="45" t="n">
        <f aca="false">Assumptions!$E$21^(MAX(0,G10230-Assumptions!$E$15)/4)</f>
        <v>1</v>
      </c>
      <c r="H10237" s="45" t="n">
        <f aca="false">Assumptions!$E$21^(MAX(0,H10230-Assumptions!$E$15)/4)</f>
        <v>1</v>
      </c>
      <c r="I10237" s="45" t="n">
        <f aca="false">Assumptions!$E$21^(MAX(0,I10230-Assumptions!$E$15)/4)</f>
        <v>1</v>
      </c>
      <c r="J10237" s="45" t="n">
        <f aca="false">Assumptions!$E$21^(MAX(0,J10230-Assumptions!$E$15)/4)</f>
        <v>0.9306048591021</v>
      </c>
      <c r="K10237" s="45" t="n">
        <f aca="false">Assumptions!$E$21^(MAX(0,K10230-Assumptions!$E$15)/4)</f>
        <v>0.866025403784439</v>
      </c>
      <c r="L10237" s="45" t="n">
        <f aca="false">Assumptions!$E$21^(MAX(0,L10230-Assumptions!$E$15)/4)</f>
        <v>0.805927448867656</v>
      </c>
      <c r="M10237" s="45" t="n">
        <f aca="false">Assumptions!$E$21^(MAX(0,M10230-Assumptions!$E$15)/4)</f>
        <v>0.75</v>
      </c>
      <c r="N10237" s="45" t="n">
        <f aca="false">Assumptions!$E$21^(MAX(0,N10230-Assumptions!$E$15)/4)</f>
        <v>0.697953644326575</v>
      </c>
      <c r="P10237" s="46"/>
      <c r="Q10237" s="46"/>
      <c r="R10237" s="46"/>
      <c r="S10237" s="47"/>
    </row>
    <row r="10238" customFormat="false" ht="15" hidden="false" customHeight="false" outlineLevel="0" collapsed="false">
      <c r="A10238" s="4" t="s">
        <v>484</v>
      </c>
      <c r="B10238" s="36" t="s">
        <v>485</v>
      </c>
      <c r="C10238" s="39" t="n">
        <f aca="false">$C$10209*C10232+$C$10213*C10233+$C$10217*C10234</f>
        <v>421.51972352</v>
      </c>
      <c r="D10238" s="39" t="n">
        <f aca="false">$C$10209*D10232+$C$10213*D10233+$C$10217*D10234</f>
        <v>843.03944704</v>
      </c>
      <c r="E10238" s="39" t="n">
        <f aca="false">$C$10209*E10232+$C$10213*E10233+$C$10217*E10234</f>
        <v>843.03944704</v>
      </c>
      <c r="F10238" s="39" t="n">
        <f aca="false">$C$10209*F10232+$C$10213*F10233+$C$10217*F10234</f>
        <v>843.03944704</v>
      </c>
      <c r="G10238" s="39" t="n">
        <f aca="false">$C$10209*G10232+$C$10213*G10233+$C$10217*G10234</f>
        <v>1149.32798176</v>
      </c>
      <c r="H10238" s="39" t="n">
        <f aca="false">$C$10209*H10232+$C$10213*H10233+$C$10217*H10234</f>
        <v>1455.61651648</v>
      </c>
      <c r="I10238" s="39" t="n">
        <f aca="false">$C$10209*I10232+$C$10213*I10233+$C$10217*I10234</f>
        <v>2486.00303616</v>
      </c>
      <c r="J10238" s="39" t="n">
        <f aca="false">$C$10209*J10232+$C$10213*J10233+$C$10217*J10234</f>
        <v>3516.38955584</v>
      </c>
      <c r="K10238" s="39" t="n">
        <f aca="false">$C$10209*K10232+$C$10213*K10233+$C$10217*K10234</f>
        <v>3516.38955584</v>
      </c>
      <c r="L10238" s="39" t="n">
        <f aca="false">$C$10209*L10232+$C$10213*L10233+$C$10217*L10234</f>
        <v>3516.38955584</v>
      </c>
      <c r="M10238" s="39" t="n">
        <f aca="false">$C$10209*M10232+$C$10213*M10233+$C$10217*M10234</f>
        <v>3516.38955584</v>
      </c>
      <c r="N10238" s="39" t="n">
        <f aca="false">$C$10209*N10232+$C$10213*N10233+$C$10217*N10234</f>
        <v>3516.38955584</v>
      </c>
      <c r="P10238" s="40" t="n">
        <f aca="false">F10238</f>
        <v>843.03944704</v>
      </c>
      <c r="Q10238" s="40" t="n">
        <f aca="false">J10238</f>
        <v>3516.38955584</v>
      </c>
      <c r="R10238" s="40" t="n">
        <f aca="false">N10238</f>
        <v>3516.38955584</v>
      </c>
      <c r="S10238" s="41" t="n">
        <f aca="false">R10238</f>
        <v>3516.38955584</v>
      </c>
    </row>
    <row r="10239" customFormat="false" ht="15" hidden="false" customHeight="false" outlineLevel="0" collapsed="false">
      <c r="A10239" s="4" t="s">
        <v>486</v>
      </c>
      <c r="B10239" s="36" t="s">
        <v>485</v>
      </c>
      <c r="C10239" s="39" t="n">
        <f aca="false">$C$10210*C10232+$C$10214*C10233+$C$10218*C10234</f>
        <v>105.59808</v>
      </c>
      <c r="D10239" s="39" t="n">
        <f aca="false">$C$10210*D10232+$C$10214*D10233+$C$10218*D10234</f>
        <v>211.19616</v>
      </c>
      <c r="E10239" s="39" t="n">
        <f aca="false">$C$10210*E10232+$C$10214*E10233+$C$10218*E10234</f>
        <v>211.19616</v>
      </c>
      <c r="F10239" s="39" t="n">
        <f aca="false">$C$10210*F10232+$C$10214*F10233+$C$10218*F10234</f>
        <v>211.19616</v>
      </c>
      <c r="G10239" s="39" t="n">
        <f aca="false">$C$10210*G10232+$C$10214*G10233+$C$10218*G10234</f>
        <v>282.24672</v>
      </c>
      <c r="H10239" s="39" t="n">
        <f aca="false">$C$10210*H10232+$C$10214*H10233+$C$10218*H10234</f>
        <v>353.29728</v>
      </c>
      <c r="I10239" s="39" t="n">
        <f aca="false">$C$10210*I10232+$C$10214*I10233+$C$10218*I10234</f>
        <v>567.53536</v>
      </c>
      <c r="J10239" s="39" t="n">
        <f aca="false">$C$10210*J10232+$C$10214*J10233+$C$10218*J10234</f>
        <v>781.77344</v>
      </c>
      <c r="K10239" s="39" t="n">
        <f aca="false">$C$10210*K10232+$C$10214*K10233+$C$10218*K10234</f>
        <v>781.77344</v>
      </c>
      <c r="L10239" s="39" t="n">
        <f aca="false">$C$10210*L10232+$C$10214*L10233+$C$10218*L10234</f>
        <v>781.77344</v>
      </c>
      <c r="M10239" s="39" t="n">
        <f aca="false">$C$10210*M10232+$C$10214*M10233+$C$10218*M10234</f>
        <v>781.77344</v>
      </c>
      <c r="N10239" s="39" t="n">
        <f aca="false">$C$10210*N10232+$C$10214*N10233+$C$10218*N10234</f>
        <v>781.77344</v>
      </c>
      <c r="P10239" s="40" t="n">
        <f aca="false">F10239</f>
        <v>211.19616</v>
      </c>
      <c r="Q10239" s="40" t="n">
        <f aca="false">J10239</f>
        <v>781.77344</v>
      </c>
      <c r="R10239" s="40" t="n">
        <f aca="false">N10239</f>
        <v>781.77344</v>
      </c>
      <c r="S10239" s="41" t="n">
        <f aca="false">R10239</f>
        <v>781.77344</v>
      </c>
    </row>
    <row r="10240" customFormat="false" ht="15" hidden="false" customHeight="false" outlineLevel="0" collapsed="false">
      <c r="A10240" s="4" t="s">
        <v>487</v>
      </c>
      <c r="B10240" s="36" t="s">
        <v>485</v>
      </c>
      <c r="C10240" s="39" t="n">
        <f aca="false">$C$10211*C10232+$C$10215*C10233+$C$10219*C10234</f>
        <v>24.76992</v>
      </c>
      <c r="D10240" s="39" t="n">
        <f aca="false">$C$10211*D10232+$C$10215*D10233+$C$10219*D10234</f>
        <v>49.53984</v>
      </c>
      <c r="E10240" s="39" t="n">
        <f aca="false">$C$10211*E10232+$C$10215*E10233+$C$10219*E10234</f>
        <v>49.53984</v>
      </c>
      <c r="F10240" s="39" t="n">
        <f aca="false">$C$10211*F10232+$C$10215*F10233+$C$10219*F10234</f>
        <v>49.53984</v>
      </c>
      <c r="G10240" s="39" t="n">
        <f aca="false">$C$10211*G10232+$C$10215*G10233+$C$10219*G10234</f>
        <v>61.9248</v>
      </c>
      <c r="H10240" s="39" t="n">
        <f aca="false">$C$10211*H10232+$C$10215*H10233+$C$10219*H10234</f>
        <v>74.30976</v>
      </c>
      <c r="I10240" s="39" t="n">
        <f aca="false">$C$10211*I10232+$C$10215*I10233+$C$10219*I10234</f>
        <v>114.072</v>
      </c>
      <c r="J10240" s="39" t="n">
        <f aca="false">$C$10211*J10232+$C$10215*J10233+$C$10219*J10234</f>
        <v>153.83424</v>
      </c>
      <c r="K10240" s="39" t="n">
        <f aca="false">$C$10211*K10232+$C$10215*K10233+$C$10219*K10234</f>
        <v>153.83424</v>
      </c>
      <c r="L10240" s="39" t="n">
        <f aca="false">$C$10211*L10232+$C$10215*L10233+$C$10219*L10234</f>
        <v>153.83424</v>
      </c>
      <c r="M10240" s="39" t="n">
        <f aca="false">$C$10211*M10232+$C$10215*M10233+$C$10219*M10234</f>
        <v>153.83424</v>
      </c>
      <c r="N10240" s="39" t="n">
        <f aca="false">$C$10211*N10232+$C$10215*N10233+$C$10219*N10234</f>
        <v>153.83424</v>
      </c>
      <c r="P10240" s="40" t="n">
        <f aca="false">F10240</f>
        <v>49.53984</v>
      </c>
      <c r="Q10240" s="40" t="n">
        <f aca="false">J10240</f>
        <v>153.83424</v>
      </c>
      <c r="R10240" s="40" t="n">
        <f aca="false">N10240</f>
        <v>153.83424</v>
      </c>
      <c r="S10240" s="41" t="n">
        <f aca="false">R10240</f>
        <v>153.83424</v>
      </c>
    </row>
    <row r="10241" customFormat="false" ht="15" hidden="false" customHeight="false" outlineLevel="0" collapsed="false">
      <c r="A10241" s="4" t="s">
        <v>488</v>
      </c>
      <c r="B10241" s="36" t="s">
        <v>485</v>
      </c>
      <c r="C10241" s="39" t="n">
        <f aca="false">C10238+C10239+C10240</f>
        <v>551.88772352</v>
      </c>
      <c r="D10241" s="39" t="n">
        <f aca="false">D10238+D10239+D10240</f>
        <v>1103.77544704</v>
      </c>
      <c r="E10241" s="39" t="n">
        <f aca="false">E10238+E10239+E10240</f>
        <v>1103.77544704</v>
      </c>
      <c r="F10241" s="39" t="n">
        <f aca="false">F10238+F10239+F10240</f>
        <v>1103.77544704</v>
      </c>
      <c r="G10241" s="39" t="n">
        <f aca="false">G10238+G10239+G10240</f>
        <v>1493.49950176</v>
      </c>
      <c r="H10241" s="39" t="n">
        <f aca="false">H10238+H10239+H10240</f>
        <v>1883.22355648</v>
      </c>
      <c r="I10241" s="39" t="n">
        <f aca="false">I10238+I10239+I10240</f>
        <v>3167.61039616</v>
      </c>
      <c r="J10241" s="39" t="n">
        <f aca="false">J10238+J10239+J10240</f>
        <v>4451.99723584</v>
      </c>
      <c r="K10241" s="39" t="n">
        <f aca="false">K10238+K10239+K10240</f>
        <v>4451.99723584</v>
      </c>
      <c r="L10241" s="39" t="n">
        <f aca="false">L10238+L10239+L10240</f>
        <v>4451.99723584</v>
      </c>
      <c r="M10241" s="39" t="n">
        <f aca="false">M10238+M10239+M10240</f>
        <v>4451.99723584</v>
      </c>
      <c r="N10241" s="39" t="n">
        <f aca="false">N10238+N10239+N10240</f>
        <v>4451.99723584</v>
      </c>
      <c r="P10241" s="40" t="n">
        <f aca="false">F10241</f>
        <v>1103.77544704</v>
      </c>
      <c r="Q10241" s="40" t="n">
        <f aca="false">J10241</f>
        <v>4451.99723584</v>
      </c>
      <c r="R10241" s="40" t="n">
        <f aca="false">N10241</f>
        <v>4451.99723584</v>
      </c>
      <c r="S10241" s="41" t="n">
        <f aca="false">R10241</f>
        <v>4451.99723584</v>
      </c>
    </row>
    <row r="10242" customFormat="false" ht="15" hidden="false" customHeight="false" outlineLevel="0" collapsed="false">
      <c r="A10242" s="4" t="s">
        <v>489</v>
      </c>
      <c r="B10242" s="36" t="s">
        <v>485</v>
      </c>
      <c r="C10242" s="39" t="n">
        <f aca="false">$C$10212*C10232*C10235+$C$10216*C10233*C10236+$C$10220*C10234*C10237</f>
        <v>551.88772352</v>
      </c>
      <c r="D10242" s="39" t="n">
        <f aca="false">$C$10212*D10232*D10235+$C$10216*D10233*D10236+$C$10220*D10234*D10237</f>
        <v>1027.17879437302</v>
      </c>
      <c r="E10242" s="39" t="n">
        <f aca="false">$C$10212*E10232*E10235+$C$10216*E10233*E10236+$C$10220*E10234*E10237</f>
        <v>955.897577210165</v>
      </c>
      <c r="F10242" s="39" t="n">
        <f aca="false">$C$10212*F10232*F10235+$C$10216*F10233*F10236+$C$10220*F10234*F10237</f>
        <v>889.562930155704</v>
      </c>
      <c r="G10242" s="39" t="n">
        <f aca="false">$C$10212*G10232*G10235+$C$10216*G10233*G10236+$C$10220*G10234*G10237</f>
        <v>1217.55564</v>
      </c>
      <c r="H10242" s="39" t="n">
        <f aca="false">$C$10212*H10232*H10235+$C$10216*H10233*H10236+$C$10220*H10234*H10237</f>
        <v>1495.74229384257</v>
      </c>
      <c r="I10242" s="39" t="n">
        <f aca="false">$C$10212*I10232*I10235+$C$10216*I10233*I10236+$C$10220*I10234*I10237</f>
        <v>2676.33188629442</v>
      </c>
      <c r="J10242" s="39" t="n">
        <f aca="false">$C$10212*J10232*J10235+$C$10216*J10233*J10236+$C$10220*J10234*J10237</f>
        <v>3685.86409192847</v>
      </c>
      <c r="K10242" s="39" t="n">
        <f aca="false">$C$10212*K10232*K10235+$C$10216*K10233*K10236+$C$10220*K10234*K10237</f>
        <v>3430.08303393858</v>
      </c>
      <c r="L10242" s="39" t="n">
        <f aca="false">$C$10212*L10232*L10235+$C$10216*L10233*L10236+$C$10220*L10234*L10237</f>
        <v>3192.05193850692</v>
      </c>
      <c r="M10242" s="39" t="n">
        <f aca="false">$C$10212*M10232*M10235+$C$10216*M10233*M10236+$C$10220*M10234*M10237</f>
        <v>2970.53904448081</v>
      </c>
      <c r="N10242" s="39" t="n">
        <f aca="false">$C$10212*N10232*N10235+$C$10216*N10233*N10236+$C$10220*N10234*N10237</f>
        <v>2764.39806894635</v>
      </c>
      <c r="P10242" s="40"/>
      <c r="Q10242" s="40"/>
      <c r="R10242" s="40"/>
      <c r="S10242" s="41"/>
    </row>
    <row r="10243" customFormat="false" ht="15" hidden="false" customHeight="false" outlineLevel="0" collapsed="false">
      <c r="A10243" s="4" t="s">
        <v>490</v>
      </c>
      <c r="B10243" s="36" t="s">
        <v>491</v>
      </c>
      <c r="C10243" s="48" t="n">
        <f aca="false">$C$10224*Assumptions!$E$20*C10231*C10242</f>
        <v>6.62265268224</v>
      </c>
      <c r="D10243" s="48" t="n">
        <f aca="false">$C$10224*Assumptions!$E$20*D10231*D10242</f>
        <v>12.3261455324762</v>
      </c>
      <c r="E10243" s="48" t="n">
        <f aca="false">$C$10224*Assumptions!$E$20*E10231*E10242</f>
        <v>11.470770926522</v>
      </c>
      <c r="F10243" s="48" t="n">
        <f aca="false">$C$10224*Assumptions!$E$20*F10231*F10242</f>
        <v>10.6747551618685</v>
      </c>
      <c r="G10243" s="48" t="n">
        <f aca="false">$C$10224*Assumptions!$E$20*G10231*G10242</f>
        <v>14.61066768</v>
      </c>
      <c r="H10243" s="48" t="n">
        <f aca="false">$C$10224*Assumptions!$E$20*H10231*H10242</f>
        <v>17.9489075261109</v>
      </c>
      <c r="I10243" s="48" t="n">
        <f aca="false">$C$10224*Assumptions!$E$20*I10231*I10242</f>
        <v>32.115982635533</v>
      </c>
      <c r="J10243" s="48" t="n">
        <f aca="false">$C$10224*Assumptions!$E$20*J10231*J10242</f>
        <v>44.2303691031417</v>
      </c>
      <c r="K10243" s="48" t="n">
        <f aca="false">$C$10224*Assumptions!$E$20*K10231*K10242</f>
        <v>41.160996407263</v>
      </c>
      <c r="L10243" s="48" t="n">
        <f aca="false">$C$10224*Assumptions!$E$20*L10231*L10242</f>
        <v>38.304623262083</v>
      </c>
      <c r="M10243" s="48" t="n">
        <f aca="false">$C$10224*Assumptions!$E$20*M10231*M10242</f>
        <v>35.6464685337698</v>
      </c>
      <c r="N10243" s="48" t="n">
        <f aca="false">$C$10224*Assumptions!$E$20*N10231*N10242</f>
        <v>33.1727768273562</v>
      </c>
      <c r="P10243" s="49" t="n">
        <f aca="false">SUM(C10243:F10243)</f>
        <v>41.0943243031066</v>
      </c>
      <c r="Q10243" s="49" t="n">
        <f aca="false">SUM(G10243:J10243)</f>
        <v>108.905926944786</v>
      </c>
      <c r="R10243" s="49" t="n">
        <f aca="false">SUM(K10243:N10243)</f>
        <v>148.284865030472</v>
      </c>
      <c r="S10243" s="50" t="n">
        <f aca="false">SUM(P10243:R10243)</f>
        <v>298.285116278364</v>
      </c>
    </row>
    <row r="10244" customFormat="false" ht="15" hidden="false" customHeight="false" outlineLevel="0" collapsed="false">
      <c r="A10244" s="4" t="s">
        <v>492</v>
      </c>
      <c r="B10244" s="36" t="s">
        <v>321</v>
      </c>
      <c r="C10244" s="48" t="n">
        <f aca="false">Assumptions!$D$111</f>
        <v>0</v>
      </c>
      <c r="D10244" s="48" t="n">
        <f aca="false">Assumptions!$E$111</f>
        <v>0</v>
      </c>
      <c r="E10244" s="48" t="n">
        <f aca="false">Assumptions!$F$111</f>
        <v>0</v>
      </c>
      <c r="F10244" s="48" t="n">
        <f aca="false">Assumptions!$G$111</f>
        <v>0</v>
      </c>
      <c r="G10244" s="48" t="n">
        <f aca="false">Assumptions!$H$111</f>
        <v>0</v>
      </c>
      <c r="H10244" s="48" t="n">
        <f aca="false">Assumptions!$I$111</f>
        <v>0</v>
      </c>
      <c r="I10244" s="48" t="n">
        <f aca="false">Assumptions!$J$111</f>
        <v>0</v>
      </c>
      <c r="J10244" s="48" t="n">
        <f aca="false">Assumptions!$K$111</f>
        <v>0</v>
      </c>
      <c r="K10244" s="48" t="n">
        <f aca="false">Assumptions!$L$111</f>
        <v>0</v>
      </c>
      <c r="L10244" s="48" t="n">
        <f aca="false">Assumptions!$M$111</f>
        <v>0</v>
      </c>
      <c r="M10244" s="48" t="n">
        <f aca="false">Assumptions!$N$111</f>
        <v>0</v>
      </c>
      <c r="N10244" s="48" t="n">
        <f aca="false">Assumptions!$O$111</f>
        <v>0</v>
      </c>
      <c r="P10244" s="49" t="n">
        <f aca="false">F10244</f>
        <v>0</v>
      </c>
      <c r="Q10244" s="49" t="n">
        <f aca="false">J10244</f>
        <v>0</v>
      </c>
      <c r="R10244" s="49" t="n">
        <f aca="false">N10244</f>
        <v>0</v>
      </c>
      <c r="S10244" s="50" t="n">
        <f aca="false">R10244</f>
        <v>0</v>
      </c>
    </row>
    <row r="10245" customFormat="false" ht="15" hidden="false" customHeight="false" outlineLevel="0" collapsed="false">
      <c r="A10245" s="4" t="s">
        <v>493</v>
      </c>
      <c r="B10245" s="36" t="s">
        <v>321</v>
      </c>
      <c r="C10245" s="48" t="n">
        <f aca="false">0</f>
        <v>0</v>
      </c>
      <c r="D10245" s="48" t="n">
        <f aca="false">0.5*C10244</f>
        <v>0</v>
      </c>
      <c r="E10245" s="48" t="n">
        <f aca="false">C10244+0.5*(D10244-C10244)</f>
        <v>0</v>
      </c>
      <c r="F10245" s="48" t="n">
        <f aca="false">D10244+0.5*(E10244-D10244)</f>
        <v>0</v>
      </c>
      <c r="G10245" s="48" t="n">
        <f aca="false">E10244+0.5*(F10244-E10244)</f>
        <v>0</v>
      </c>
      <c r="H10245" s="48" t="n">
        <f aca="false">F10244+0.5*(G10244-F10244)</f>
        <v>0</v>
      </c>
      <c r="I10245" s="48" t="n">
        <f aca="false">G10244+0.5*(H10244-G10244)</f>
        <v>0</v>
      </c>
      <c r="J10245" s="48" t="n">
        <f aca="false">H10244+0.5*(I10244-H10244)</f>
        <v>0</v>
      </c>
      <c r="K10245" s="48" t="n">
        <f aca="false">I10244+0.5*(J10244-I10244)</f>
        <v>0</v>
      </c>
      <c r="L10245" s="48" t="n">
        <f aca="false">J10244+0.5*(K10244-J10244)</f>
        <v>0</v>
      </c>
      <c r="M10245" s="48" t="n">
        <f aca="false">K10244+0.5*(L10244-K10244)</f>
        <v>0</v>
      </c>
      <c r="N10245" s="48" t="n">
        <f aca="false">L10244+0.5*(M10244-L10244)</f>
        <v>0</v>
      </c>
      <c r="P10245" s="49" t="n">
        <f aca="false">F10245</f>
        <v>0</v>
      </c>
      <c r="Q10245" s="49" t="n">
        <f aca="false">J10245</f>
        <v>0</v>
      </c>
      <c r="R10245" s="49" t="n">
        <f aca="false">N10245</f>
        <v>0</v>
      </c>
      <c r="S10245" s="50" t="n">
        <f aca="false">R10245</f>
        <v>0</v>
      </c>
    </row>
    <row r="10246" customFormat="false" ht="15" hidden="false" customHeight="false" outlineLevel="0" collapsed="false">
      <c r="A10246" s="4" t="s">
        <v>494</v>
      </c>
      <c r="B10246" s="36" t="s">
        <v>485</v>
      </c>
      <c r="C10246" s="39" t="n">
        <f aca="false">MIN(C10245*Assumptions!$E$38,C10241*(1-$C$10224))</f>
        <v>0</v>
      </c>
      <c r="D10246" s="39" t="n">
        <f aca="false">MIN(D10245*Assumptions!$E$38,D10241*(1-$C$10224))</f>
        <v>0</v>
      </c>
      <c r="E10246" s="39" t="n">
        <f aca="false">MIN(E10245*Assumptions!$E$38,E10241*(1-$C$10224))</f>
        <v>0</v>
      </c>
      <c r="F10246" s="39" t="n">
        <f aca="false">MIN(F10245*Assumptions!$E$38,F10241*(1-$C$10224))</f>
        <v>0</v>
      </c>
      <c r="G10246" s="39" t="n">
        <f aca="false">MIN(G10245*Assumptions!$E$38,G10241*(1-$C$10224))</f>
        <v>0</v>
      </c>
      <c r="H10246" s="39" t="n">
        <f aca="false">MIN(H10245*Assumptions!$E$38,H10241*(1-$C$10224))</f>
        <v>0</v>
      </c>
      <c r="I10246" s="39" t="n">
        <f aca="false">MIN(I10245*Assumptions!$E$38,I10241*(1-$C$10224))</f>
        <v>0</v>
      </c>
      <c r="J10246" s="39" t="n">
        <f aca="false">MIN(J10245*Assumptions!$E$38,J10241*(1-$C$10224))</f>
        <v>0</v>
      </c>
      <c r="K10246" s="39" t="n">
        <f aca="false">MIN(K10245*Assumptions!$E$38,K10241*(1-$C$10224))</f>
        <v>0</v>
      </c>
      <c r="L10246" s="39" t="n">
        <f aca="false">MIN(L10245*Assumptions!$E$38,L10241*(1-$C$10224))</f>
        <v>0</v>
      </c>
      <c r="M10246" s="39" t="n">
        <f aca="false">MIN(M10245*Assumptions!$E$38,M10241*(1-$C$10224))</f>
        <v>0</v>
      </c>
      <c r="N10246" s="39" t="n">
        <f aca="false">MIN(N10245*Assumptions!$E$38,N10241*(1-$C$10224))</f>
        <v>0</v>
      </c>
      <c r="P10246" s="40" t="n">
        <f aca="false">SUM(C10246:F10246)</f>
        <v>0</v>
      </c>
      <c r="Q10246" s="40" t="n">
        <f aca="false">SUM(G10246:J10246)</f>
        <v>0</v>
      </c>
      <c r="R10246" s="40" t="n">
        <f aca="false">SUM(K10246:N10246)</f>
        <v>0</v>
      </c>
      <c r="S10246" s="41" t="n">
        <f aca="false">SUM(P10246:R10246)</f>
        <v>0</v>
      </c>
    </row>
    <row r="10247" customFormat="false" ht="15" hidden="false" customHeight="false" outlineLevel="0" collapsed="false">
      <c r="A10247" s="4" t="s">
        <v>495</v>
      </c>
      <c r="B10247" s="36" t="s">
        <v>491</v>
      </c>
      <c r="C10247" s="48" t="n">
        <f aca="false">C10246*Assumptions!$E$20*Assumptions!$E$39*IF(C10241&gt;0,C10242/C10241,0)*C10231</f>
        <v>0</v>
      </c>
      <c r="D10247" s="48" t="n">
        <f aca="false">D10246*Assumptions!$E$20*Assumptions!$E$39*IF(D10241&gt;0,D10242/D10241,0)*D10231</f>
        <v>0</v>
      </c>
      <c r="E10247" s="48" t="n">
        <f aca="false">E10246*Assumptions!$E$20*Assumptions!$E$39*IF(E10241&gt;0,E10242/E10241,0)*E10231</f>
        <v>0</v>
      </c>
      <c r="F10247" s="48" t="n">
        <f aca="false">F10246*Assumptions!$E$20*Assumptions!$E$39*IF(F10241&gt;0,F10242/F10241,0)*F10231</f>
        <v>0</v>
      </c>
      <c r="G10247" s="48" t="n">
        <f aca="false">G10246*Assumptions!$E$20*Assumptions!$E$39*IF(G10241&gt;0,G10242/G10241,0)*G10231</f>
        <v>0</v>
      </c>
      <c r="H10247" s="48" t="n">
        <f aca="false">H10246*Assumptions!$E$20*Assumptions!$E$39*IF(H10241&gt;0,H10242/H10241,0)*H10231</f>
        <v>0</v>
      </c>
      <c r="I10247" s="48" t="n">
        <f aca="false">I10246*Assumptions!$E$20*Assumptions!$E$39*IF(I10241&gt;0,I10242/I10241,0)*I10231</f>
        <v>0</v>
      </c>
      <c r="J10247" s="48" t="n">
        <f aca="false">J10246*Assumptions!$E$20*Assumptions!$E$39*IF(J10241&gt;0,J10242/J10241,0)*J10231</f>
        <v>0</v>
      </c>
      <c r="K10247" s="48" t="n">
        <f aca="false">K10246*Assumptions!$E$20*Assumptions!$E$39*IF(K10241&gt;0,K10242/K10241,0)*K10231</f>
        <v>0</v>
      </c>
      <c r="L10247" s="48" t="n">
        <f aca="false">L10246*Assumptions!$E$20*Assumptions!$E$39*IF(L10241&gt;0,L10242/L10241,0)*L10231</f>
        <v>0</v>
      </c>
      <c r="M10247" s="48" t="n">
        <f aca="false">M10246*Assumptions!$E$20*Assumptions!$E$39*IF(M10241&gt;0,M10242/M10241,0)*M10231</f>
        <v>0</v>
      </c>
      <c r="N10247" s="48" t="n">
        <f aca="false">N10246*Assumptions!$E$20*Assumptions!$E$39*IF(N10241&gt;0,N10242/N10241,0)*N10231</f>
        <v>0</v>
      </c>
      <c r="P10247" s="49" t="n">
        <f aca="false">SUM(C10247:F10247)</f>
        <v>0</v>
      </c>
      <c r="Q10247" s="49" t="n">
        <f aca="false">SUM(G10247:J10247)</f>
        <v>0</v>
      </c>
      <c r="R10247" s="49" t="n">
        <f aca="false">SUM(K10247:N10247)</f>
        <v>0</v>
      </c>
      <c r="S10247" s="50" t="n">
        <f aca="false">SUM(P10247:R10247)</f>
        <v>0</v>
      </c>
    </row>
    <row r="10248" customFormat="false" ht="15" hidden="false" customHeight="false" outlineLevel="0" collapsed="false">
      <c r="A10248" s="4" t="s">
        <v>496</v>
      </c>
      <c r="B10248" s="36" t="s">
        <v>497</v>
      </c>
      <c r="C10248" s="48" t="n">
        <f aca="false">IF(AND(C10241&gt;0,$C$10228&gt;0),C10241*Assumptions!$E$24*(1-EXP(-$C$10228/(Assumptions!$E$23*C10241*Assumptions!$E$24))),0)</f>
        <v>0</v>
      </c>
      <c r="D10248" s="48" t="n">
        <f aca="false">IF(AND(D10241&gt;0,$C$10228&gt;0),D10241*Assumptions!$E$24*(1-EXP(-$C$10228/(Assumptions!$E$23*D10241*Assumptions!$E$24))),0)</f>
        <v>0</v>
      </c>
      <c r="E10248" s="48" t="n">
        <f aca="false">IF(AND(E10241&gt;0,$C$10228&gt;0),E10241*Assumptions!$E$24*(1-EXP(-$C$10228/(Assumptions!$E$23*E10241*Assumptions!$E$24))),0)</f>
        <v>0</v>
      </c>
      <c r="F10248" s="48" t="n">
        <f aca="false">IF(AND(F10241&gt;0,$C$10228&gt;0),F10241*Assumptions!$E$24*(1-EXP(-$C$10228/(Assumptions!$E$23*F10241*Assumptions!$E$24))),0)</f>
        <v>0</v>
      </c>
      <c r="G10248" s="48" t="n">
        <f aca="false">IF(AND(G10241&gt;0,$C$10228&gt;0),G10241*Assumptions!$E$24*(1-EXP(-$C$10228/(Assumptions!$E$23*G10241*Assumptions!$E$24))),0)</f>
        <v>0</v>
      </c>
      <c r="H10248" s="48" t="n">
        <f aca="false">IF(AND(H10241&gt;0,$C$10228&gt;0),H10241*Assumptions!$E$24*(1-EXP(-$C$10228/(Assumptions!$E$23*H10241*Assumptions!$E$24))),0)</f>
        <v>0</v>
      </c>
      <c r="I10248" s="48" t="n">
        <f aca="false">IF(AND(I10241&gt;0,$C$10228&gt;0),I10241*Assumptions!$E$24*(1-EXP(-$C$10228/(Assumptions!$E$23*I10241*Assumptions!$E$24))),0)</f>
        <v>0</v>
      </c>
      <c r="J10248" s="48" t="n">
        <f aca="false">IF(AND(J10241&gt;0,$C$10228&gt;0),J10241*Assumptions!$E$24*(1-EXP(-$C$10228/(Assumptions!$E$23*J10241*Assumptions!$E$24))),0)</f>
        <v>0</v>
      </c>
      <c r="K10248" s="48" t="n">
        <f aca="false">IF(AND(K10241&gt;0,$C$10228&gt;0),K10241*Assumptions!$E$24*(1-EXP(-$C$10228/(Assumptions!$E$23*K10241*Assumptions!$E$24))),0)</f>
        <v>0</v>
      </c>
      <c r="L10248" s="48" t="n">
        <f aca="false">IF(AND(L10241&gt;0,$C$10228&gt;0),L10241*Assumptions!$E$24*(1-EXP(-$C$10228/(Assumptions!$E$23*L10241*Assumptions!$E$24))),0)</f>
        <v>0</v>
      </c>
      <c r="M10248" s="48" t="n">
        <f aca="false">IF(AND(M10241&gt;0,$C$10228&gt;0),M10241*Assumptions!$E$24*(1-EXP(-$C$10228/(Assumptions!$E$23*M10241*Assumptions!$E$24))),0)</f>
        <v>0</v>
      </c>
      <c r="N10248" s="48" t="n">
        <f aca="false">IF(AND(N10241&gt;0,$C$10228&gt;0),N10241*Assumptions!$E$24*(1-EXP(-$C$10228/(Assumptions!$E$23*N10241*Assumptions!$E$24))),0)</f>
        <v>0</v>
      </c>
      <c r="P10248" s="49" t="n">
        <f aca="false">SUM(C10248:F10248)</f>
        <v>0</v>
      </c>
      <c r="Q10248" s="49" t="n">
        <f aca="false">SUM(G10248:J10248)</f>
        <v>0</v>
      </c>
      <c r="R10248" s="49" t="n">
        <f aca="false">SUM(K10248:N10248)</f>
        <v>0</v>
      </c>
      <c r="S10248" s="50" t="n">
        <f aca="false">SUM(P10248:R10248)</f>
        <v>0</v>
      </c>
    </row>
    <row r="10249" customFormat="false" ht="15" hidden="false" customHeight="false" outlineLevel="0" collapsed="false">
      <c r="A10249" s="4" t="s">
        <v>498</v>
      </c>
      <c r="B10249" s="36" t="s">
        <v>497</v>
      </c>
      <c r="C10249" s="48" t="n">
        <f aca="false">(C10241*Assumptions!$E$22*MIN(1,Assumptions!$D$103/Assumptions!$E$78)+C10248)*C10231</f>
        <v>5.5188772352</v>
      </c>
      <c r="D10249" s="48" t="n">
        <f aca="false">(D10241*Assumptions!$E$22*MIN(1,Assumptions!$D$103/Assumptions!$E$78)+D10248)*D10231</f>
        <v>11.0377544704</v>
      </c>
      <c r="E10249" s="48" t="n">
        <f aca="false">(E10241*Assumptions!$E$22*MIN(1,Assumptions!$D$103/Assumptions!$E$78)+E10248)*E10231</f>
        <v>11.0377544704</v>
      </c>
      <c r="F10249" s="48" t="n">
        <f aca="false">(F10241*Assumptions!$E$22*MIN(1,Assumptions!$D$103/Assumptions!$E$78)+F10248)*F10231</f>
        <v>11.0377544704</v>
      </c>
      <c r="G10249" s="48" t="n">
        <f aca="false">(G10241*Assumptions!$E$22*MIN(1,Assumptions!$D$103/Assumptions!$E$78)+G10248)*G10231</f>
        <v>14.9349950176</v>
      </c>
      <c r="H10249" s="48" t="n">
        <f aca="false">(H10241*Assumptions!$E$22*MIN(1,Assumptions!$D$103/Assumptions!$E$78)+H10248)*H10231</f>
        <v>18.8322355648</v>
      </c>
      <c r="I10249" s="48" t="n">
        <f aca="false">(I10241*Assumptions!$E$22*MIN(1,Assumptions!$D$103/Assumptions!$E$78)+I10248)*I10231</f>
        <v>31.6761039616</v>
      </c>
      <c r="J10249" s="48" t="n">
        <f aca="false">(J10241*Assumptions!$E$22*MIN(1,Assumptions!$D$103/Assumptions!$E$78)+J10248)*J10231</f>
        <v>44.5199723584</v>
      </c>
      <c r="K10249" s="48" t="n">
        <f aca="false">(K10241*Assumptions!$E$22*MIN(1,Assumptions!$D$103/Assumptions!$E$78)+K10248)*K10231</f>
        <v>44.5199723584</v>
      </c>
      <c r="L10249" s="48" t="n">
        <f aca="false">(L10241*Assumptions!$E$22*MIN(1,Assumptions!$D$103/Assumptions!$E$78)+L10248)*L10231</f>
        <v>44.5199723584</v>
      </c>
      <c r="M10249" s="48" t="n">
        <f aca="false">(M10241*Assumptions!$E$22*MIN(1,Assumptions!$D$103/Assumptions!$E$78)+M10248)*M10231</f>
        <v>44.5199723584</v>
      </c>
      <c r="N10249" s="48" t="n">
        <f aca="false">(N10241*Assumptions!$E$22*MIN(1,Assumptions!$D$103/Assumptions!$E$78)+N10248)*N10231</f>
        <v>44.5199723584</v>
      </c>
      <c r="P10249" s="49" t="n">
        <f aca="false">SUM(C10249:F10249)</f>
        <v>38.6321406464</v>
      </c>
      <c r="Q10249" s="49" t="n">
        <f aca="false">SUM(G10249:J10249)</f>
        <v>109.9633069024</v>
      </c>
      <c r="R10249" s="49" t="n">
        <f aca="false">SUM(K10249:N10249)</f>
        <v>178.0798894336</v>
      </c>
      <c r="S10249" s="50" t="n">
        <f aca="false">SUM(P10249:R10249)</f>
        <v>326.6753369824</v>
      </c>
    </row>
    <row r="10250" customFormat="false" ht="15" hidden="false" customHeight="false" outlineLevel="0" collapsed="false">
      <c r="A10250" s="4" t="s">
        <v>499</v>
      </c>
      <c r="B10250" s="36" t="s">
        <v>500</v>
      </c>
      <c r="C10250" s="48" t="n">
        <f aca="false">C10231*MIN(Assumptions!$E$27,Assumptions!$E$25+Assumptions!$E$26*(C10230-1))*Assumptions!$D$107</f>
        <v>2</v>
      </c>
      <c r="D10250" s="48" t="n">
        <f aca="false">D10231*MIN(Assumptions!$E$27,Assumptions!$E$25+Assumptions!$E$26*(D10230-1))*Assumptions!$D$107</f>
        <v>3</v>
      </c>
      <c r="E10250" s="48" t="n">
        <f aca="false">E10231*MIN(Assumptions!$E$27,Assumptions!$E$25+Assumptions!$E$26*(E10230-1))*Assumptions!$D$107</f>
        <v>4</v>
      </c>
      <c r="F10250" s="48" t="n">
        <f aca="false">F10231*MIN(Assumptions!$E$27,Assumptions!$E$25+Assumptions!$E$26*(F10230-1))*Assumptions!$D$107</f>
        <v>5</v>
      </c>
      <c r="G10250" s="48" t="n">
        <f aca="false">G10231*MIN(Assumptions!$E$27,Assumptions!$E$25+Assumptions!$E$26*(G10230-1))*Assumptions!$D$107</f>
        <v>6</v>
      </c>
      <c r="H10250" s="48" t="n">
        <f aca="false">H10231*MIN(Assumptions!$E$27,Assumptions!$E$25+Assumptions!$E$26*(H10230-1))*Assumptions!$D$107</f>
        <v>7</v>
      </c>
      <c r="I10250" s="48" t="n">
        <f aca="false">I10231*MIN(Assumptions!$E$27,Assumptions!$E$25+Assumptions!$E$26*(I10230-1))*Assumptions!$D$107</f>
        <v>8</v>
      </c>
      <c r="J10250" s="48" t="n">
        <f aca="false">J10231*MIN(Assumptions!$E$27,Assumptions!$E$25+Assumptions!$E$26*(J10230-1))*Assumptions!$D$107</f>
        <v>9</v>
      </c>
      <c r="K10250" s="48" t="n">
        <f aca="false">K10231*MIN(Assumptions!$E$27,Assumptions!$E$25+Assumptions!$E$26*(K10230-1))*Assumptions!$D$107</f>
        <v>10</v>
      </c>
      <c r="L10250" s="48" t="n">
        <f aca="false">L10231*MIN(Assumptions!$E$27,Assumptions!$E$25+Assumptions!$E$26*(L10230-1))*Assumptions!$D$107</f>
        <v>10</v>
      </c>
      <c r="M10250" s="48" t="n">
        <f aca="false">M10231*MIN(Assumptions!$E$27,Assumptions!$E$25+Assumptions!$E$26*(M10230-1))*Assumptions!$D$107</f>
        <v>10</v>
      </c>
      <c r="N10250" s="48" t="n">
        <f aca="false">N10231*MIN(Assumptions!$E$27,Assumptions!$E$25+Assumptions!$E$26*(N10230-1))*Assumptions!$D$107</f>
        <v>10</v>
      </c>
      <c r="P10250" s="49" t="n">
        <f aca="false">F10250</f>
        <v>5</v>
      </c>
      <c r="Q10250" s="49" t="n">
        <f aca="false">J10250</f>
        <v>9</v>
      </c>
      <c r="R10250" s="49" t="n">
        <f aca="false">N10250</f>
        <v>10</v>
      </c>
      <c r="S10250" s="50" t="n">
        <f aca="false">R10250</f>
        <v>10</v>
      </c>
    </row>
    <row r="10251" customFormat="false" ht="15" hidden="false" customHeight="false" outlineLevel="0" collapsed="false">
      <c r="A10251" s="4" t="s">
        <v>501</v>
      </c>
      <c r="B10251" s="36" t="s">
        <v>502</v>
      </c>
      <c r="C10251" s="48" t="n">
        <f aca="false">C10250*Assumptions!$E$28</f>
        <v>6</v>
      </c>
      <c r="D10251" s="48" t="n">
        <f aca="false">D10250*Assumptions!$E$28</f>
        <v>9</v>
      </c>
      <c r="E10251" s="48" t="n">
        <f aca="false">E10250*Assumptions!$E$28</f>
        <v>12</v>
      </c>
      <c r="F10251" s="48" t="n">
        <f aca="false">F10250*Assumptions!$E$28</f>
        <v>15</v>
      </c>
      <c r="G10251" s="48" t="n">
        <f aca="false">G10250*Assumptions!$E$28</f>
        <v>18</v>
      </c>
      <c r="H10251" s="48" t="n">
        <f aca="false">H10250*Assumptions!$E$28</f>
        <v>21</v>
      </c>
      <c r="I10251" s="48" t="n">
        <f aca="false">I10250*Assumptions!$E$28</f>
        <v>24</v>
      </c>
      <c r="J10251" s="48" t="n">
        <f aca="false">J10250*Assumptions!$E$28</f>
        <v>27</v>
      </c>
      <c r="K10251" s="48" t="n">
        <f aca="false">K10250*Assumptions!$E$28</f>
        <v>30</v>
      </c>
      <c r="L10251" s="48" t="n">
        <f aca="false">L10250*Assumptions!$E$28</f>
        <v>30</v>
      </c>
      <c r="M10251" s="48" t="n">
        <f aca="false">M10250*Assumptions!$E$28</f>
        <v>30</v>
      </c>
      <c r="N10251" s="48" t="n">
        <f aca="false">N10250*Assumptions!$E$28</f>
        <v>30</v>
      </c>
      <c r="P10251" s="49" t="n">
        <f aca="false">SUM(C10251:F10251)</f>
        <v>42</v>
      </c>
      <c r="Q10251" s="49" t="n">
        <f aca="false">SUM(G10251:J10251)</f>
        <v>90</v>
      </c>
      <c r="R10251" s="49" t="n">
        <f aca="false">SUM(K10251:N10251)</f>
        <v>120</v>
      </c>
      <c r="S10251" s="50" t="n">
        <f aca="false">SUM(P10251:R10251)</f>
        <v>252</v>
      </c>
    </row>
    <row r="10252" customFormat="false" ht="15" hidden="false" customHeight="false" outlineLevel="0" collapsed="false">
      <c r="A10252" s="4" t="s">
        <v>503</v>
      </c>
      <c r="B10252" s="36" t="s">
        <v>504</v>
      </c>
      <c r="C10252" s="48" t="n">
        <f aca="false">(C10243+C10247)*Assumptions!$E$29</f>
        <v>2.649061072896</v>
      </c>
      <c r="D10252" s="48" t="n">
        <f aca="false">(D10243+D10247)*Assumptions!$E$29</f>
        <v>4.93045821299048</v>
      </c>
      <c r="E10252" s="48" t="n">
        <f aca="false">(E10243+E10247)*Assumptions!$E$29</f>
        <v>4.58830837060879</v>
      </c>
      <c r="F10252" s="48" t="n">
        <f aca="false">(F10243+F10247)*Assumptions!$E$29</f>
        <v>4.26990206474738</v>
      </c>
      <c r="G10252" s="48" t="n">
        <f aca="false">(G10243+G10247)*Assumptions!$E$29</f>
        <v>5.844267072</v>
      </c>
      <c r="H10252" s="48" t="n">
        <f aca="false">(H10243+H10247)*Assumptions!$E$29</f>
        <v>7.17956301044434</v>
      </c>
      <c r="I10252" s="48" t="n">
        <f aca="false">(I10243+I10247)*Assumptions!$E$29</f>
        <v>12.8463930542132</v>
      </c>
      <c r="J10252" s="48" t="n">
        <f aca="false">(J10243+J10247)*Assumptions!$E$29</f>
        <v>17.6921476412567</v>
      </c>
      <c r="K10252" s="48" t="n">
        <f aca="false">(K10243+K10247)*Assumptions!$E$29</f>
        <v>16.4643985629052</v>
      </c>
      <c r="L10252" s="48" t="n">
        <f aca="false">(L10243+L10247)*Assumptions!$E$29</f>
        <v>15.3218493048332</v>
      </c>
      <c r="M10252" s="48" t="n">
        <f aca="false">(M10243+M10247)*Assumptions!$E$29</f>
        <v>14.2585874135079</v>
      </c>
      <c r="N10252" s="48" t="n">
        <f aca="false">(N10243+N10247)*Assumptions!$E$29</f>
        <v>13.2691107309425</v>
      </c>
      <c r="P10252" s="49" t="n">
        <f aca="false">SUM(C10252:F10252)</f>
        <v>16.4377297212427</v>
      </c>
      <c r="Q10252" s="49" t="n">
        <f aca="false">SUM(G10252:J10252)</f>
        <v>43.5623707779142</v>
      </c>
      <c r="R10252" s="49" t="n">
        <f aca="false">SUM(K10252:N10252)</f>
        <v>59.3139460121888</v>
      </c>
      <c r="S10252" s="50" t="n">
        <f aca="false">SUM(P10252:R10252)</f>
        <v>119.314046511346</v>
      </c>
    </row>
    <row r="10253" customFormat="false" ht="15" hidden="false" customHeight="false" outlineLevel="0" collapsed="false">
      <c r="A10253" s="4" t="s">
        <v>505</v>
      </c>
      <c r="B10253" s="36" t="s">
        <v>504</v>
      </c>
      <c r="C10253" s="48" t="n">
        <f aca="false">C10249*Assumptions!$E$31</f>
        <v>0.883020357632</v>
      </c>
      <c r="D10253" s="48" t="n">
        <f aca="false">D10249*Assumptions!$E$31</f>
        <v>1.766040715264</v>
      </c>
      <c r="E10253" s="48" t="n">
        <f aca="false">E10249*Assumptions!$E$31</f>
        <v>1.766040715264</v>
      </c>
      <c r="F10253" s="48" t="n">
        <f aca="false">F10249*Assumptions!$E$31</f>
        <v>1.766040715264</v>
      </c>
      <c r="G10253" s="48" t="n">
        <f aca="false">G10249*Assumptions!$E$31</f>
        <v>2.389599202816</v>
      </c>
      <c r="H10253" s="48" t="n">
        <f aca="false">H10249*Assumptions!$E$31</f>
        <v>3.013157690368</v>
      </c>
      <c r="I10253" s="48" t="n">
        <f aca="false">I10249*Assumptions!$E$31</f>
        <v>5.068176633856</v>
      </c>
      <c r="J10253" s="48" t="n">
        <f aca="false">J10249*Assumptions!$E$31</f>
        <v>7.123195577344</v>
      </c>
      <c r="K10253" s="48" t="n">
        <f aca="false">K10249*Assumptions!$E$31</f>
        <v>7.123195577344</v>
      </c>
      <c r="L10253" s="48" t="n">
        <f aca="false">L10249*Assumptions!$E$31</f>
        <v>7.123195577344</v>
      </c>
      <c r="M10253" s="48" t="n">
        <f aca="false">M10249*Assumptions!$E$31</f>
        <v>7.123195577344</v>
      </c>
      <c r="N10253" s="48" t="n">
        <f aca="false">N10249*Assumptions!$E$31</f>
        <v>7.123195577344</v>
      </c>
      <c r="P10253" s="49" t="n">
        <f aca="false">SUM(C10253:F10253)</f>
        <v>6.181142503424</v>
      </c>
      <c r="Q10253" s="49" t="n">
        <f aca="false">SUM(G10253:J10253)</f>
        <v>17.594129104384</v>
      </c>
      <c r="R10253" s="49" t="n">
        <f aca="false">SUM(K10253:N10253)</f>
        <v>28.492782309376</v>
      </c>
      <c r="S10253" s="50" t="n">
        <f aca="false">SUM(P10253:R10253)</f>
        <v>52.268053917184</v>
      </c>
    </row>
    <row r="10254" customFormat="false" ht="15" hidden="false" customHeight="false" outlineLevel="0" collapsed="false">
      <c r="A10254" s="4" t="s">
        <v>506</v>
      </c>
      <c r="B10254" s="36" t="s">
        <v>504</v>
      </c>
      <c r="C10254" s="48" t="n">
        <f aca="false">C10251*Assumptions!$E$30</f>
        <v>3</v>
      </c>
      <c r="D10254" s="48" t="n">
        <f aca="false">D10251*Assumptions!$E$30</f>
        <v>4.5</v>
      </c>
      <c r="E10254" s="48" t="n">
        <f aca="false">E10251*Assumptions!$E$30</f>
        <v>6</v>
      </c>
      <c r="F10254" s="48" t="n">
        <f aca="false">F10251*Assumptions!$E$30</f>
        <v>7.5</v>
      </c>
      <c r="G10254" s="48" t="n">
        <f aca="false">G10251*Assumptions!$E$30</f>
        <v>9</v>
      </c>
      <c r="H10254" s="48" t="n">
        <f aca="false">H10251*Assumptions!$E$30</f>
        <v>10.5</v>
      </c>
      <c r="I10254" s="48" t="n">
        <f aca="false">I10251*Assumptions!$E$30</f>
        <v>12</v>
      </c>
      <c r="J10254" s="48" t="n">
        <f aca="false">J10251*Assumptions!$E$30</f>
        <v>13.5</v>
      </c>
      <c r="K10254" s="48" t="n">
        <f aca="false">K10251*Assumptions!$E$30</f>
        <v>15</v>
      </c>
      <c r="L10254" s="48" t="n">
        <f aca="false">L10251*Assumptions!$E$30</f>
        <v>15</v>
      </c>
      <c r="M10254" s="48" t="n">
        <f aca="false">M10251*Assumptions!$E$30</f>
        <v>15</v>
      </c>
      <c r="N10254" s="48" t="n">
        <f aca="false">N10251*Assumptions!$E$30</f>
        <v>15</v>
      </c>
      <c r="P10254" s="49" t="n">
        <f aca="false">SUM(C10254:F10254)</f>
        <v>21</v>
      </c>
      <c r="Q10254" s="49" t="n">
        <f aca="false">SUM(G10254:J10254)</f>
        <v>45</v>
      </c>
      <c r="R10254" s="49" t="n">
        <f aca="false">SUM(K10254:N10254)</f>
        <v>60</v>
      </c>
      <c r="S10254" s="50" t="n">
        <f aca="false">SUM(P10254:R10254)</f>
        <v>126</v>
      </c>
    </row>
    <row r="10255" customFormat="false" ht="15" hidden="false" customHeight="false" outlineLevel="0" collapsed="false">
      <c r="A10255" s="9" t="s">
        <v>507</v>
      </c>
      <c r="B10255" s="36" t="s">
        <v>504</v>
      </c>
      <c r="C10255" s="49" t="n">
        <f aca="false">C10252+C10253+C10254</f>
        <v>6.532081430528</v>
      </c>
      <c r="D10255" s="49" t="n">
        <f aca="false">D10252+D10253+D10254</f>
        <v>11.1964989282545</v>
      </c>
      <c r="E10255" s="49" t="n">
        <f aca="false">E10252+E10253+E10254</f>
        <v>12.3543490858728</v>
      </c>
      <c r="F10255" s="49" t="n">
        <f aca="false">F10252+F10253+F10254</f>
        <v>13.5359427800114</v>
      </c>
      <c r="G10255" s="49" t="n">
        <f aca="false">G10252+G10253+G10254</f>
        <v>17.233866274816</v>
      </c>
      <c r="H10255" s="49" t="n">
        <f aca="false">H10252+H10253+H10254</f>
        <v>20.6927207008123</v>
      </c>
      <c r="I10255" s="49" t="n">
        <f aca="false">I10252+I10253+I10254</f>
        <v>29.9145696880692</v>
      </c>
      <c r="J10255" s="49" t="n">
        <f aca="false">J10252+J10253+J10254</f>
        <v>38.3153432186007</v>
      </c>
      <c r="K10255" s="49" t="n">
        <f aca="false">K10252+K10253+K10254</f>
        <v>38.5875941402492</v>
      </c>
      <c r="L10255" s="49" t="n">
        <f aca="false">L10252+L10253+L10254</f>
        <v>37.4450448821772</v>
      </c>
      <c r="M10255" s="49" t="n">
        <f aca="false">M10252+M10253+M10254</f>
        <v>36.3817829908519</v>
      </c>
      <c r="N10255" s="49" t="n">
        <f aca="false">N10252+N10253+N10254</f>
        <v>35.3923063082865</v>
      </c>
      <c r="P10255" s="49" t="n">
        <f aca="false">SUM(C10255:F10255)</f>
        <v>43.6188722246667</v>
      </c>
      <c r="Q10255" s="49" t="n">
        <f aca="false">SUM(G10255:J10255)</f>
        <v>106.156499882298</v>
      </c>
      <c r="R10255" s="49" t="n">
        <f aca="false">SUM(K10255:N10255)</f>
        <v>147.806728321565</v>
      </c>
      <c r="S10255" s="50" t="n">
        <f aca="false">SUM(P10255:R10255)</f>
        <v>297.58210042853</v>
      </c>
    </row>
    <row r="10256" customFormat="false" ht="15" hidden="false" customHeight="false" outlineLevel="0" collapsed="false">
      <c r="A10256" s="4" t="s">
        <v>508</v>
      </c>
      <c r="B10256" s="36" t="s">
        <v>509</v>
      </c>
      <c r="C10256" s="48" t="n">
        <f aca="false">C10238</f>
        <v>421.51972352</v>
      </c>
      <c r="D10256" s="48" t="n">
        <f aca="false">D10238</f>
        <v>843.03944704</v>
      </c>
      <c r="E10256" s="48" t="n">
        <f aca="false">E10238</f>
        <v>843.03944704</v>
      </c>
      <c r="F10256" s="48" t="n">
        <f aca="false">F10238</f>
        <v>843.03944704</v>
      </c>
      <c r="G10256" s="48" t="n">
        <f aca="false">G10238</f>
        <v>1149.32798176</v>
      </c>
      <c r="H10256" s="48" t="n">
        <f aca="false">H10238</f>
        <v>1455.61651648</v>
      </c>
      <c r="I10256" s="48" t="n">
        <f aca="false">I10238</f>
        <v>2486.00303616</v>
      </c>
      <c r="J10256" s="48" t="n">
        <f aca="false">J10238</f>
        <v>3516.38955584</v>
      </c>
      <c r="K10256" s="48" t="n">
        <f aca="false">K10238</f>
        <v>3516.38955584</v>
      </c>
      <c r="L10256" s="48" t="n">
        <f aca="false">L10238</f>
        <v>3516.38955584</v>
      </c>
      <c r="M10256" s="48" t="n">
        <f aca="false">M10238</f>
        <v>3516.38955584</v>
      </c>
      <c r="N10256" s="48" t="n">
        <f aca="false">N10238</f>
        <v>3516.38955584</v>
      </c>
      <c r="P10256" s="49"/>
      <c r="Q10256" s="49"/>
      <c r="R10256" s="49"/>
      <c r="S10256" s="50"/>
    </row>
    <row r="10257" customFormat="false" ht="15" hidden="false" customHeight="false" outlineLevel="0" collapsed="false">
      <c r="A10257" s="4" t="s">
        <v>510</v>
      </c>
      <c r="B10257" s="36" t="s">
        <v>509</v>
      </c>
      <c r="C10257" s="48" t="n">
        <f aca="false">C10239*Assumptions!$E$18*Assumptions!$E$33</f>
        <v>211.19616</v>
      </c>
      <c r="D10257" s="48" t="n">
        <f aca="false">D10239*Assumptions!$E$18*Assumptions!$E$33</f>
        <v>422.39232</v>
      </c>
      <c r="E10257" s="48" t="n">
        <f aca="false">E10239*Assumptions!$E$18*Assumptions!$E$33</f>
        <v>422.39232</v>
      </c>
      <c r="F10257" s="48" t="n">
        <f aca="false">F10239*Assumptions!$E$18*Assumptions!$E$33</f>
        <v>422.39232</v>
      </c>
      <c r="G10257" s="48" t="n">
        <f aca="false">G10239*Assumptions!$E$18*Assumptions!$E$33</f>
        <v>564.49344</v>
      </c>
      <c r="H10257" s="48" t="n">
        <f aca="false">H10239*Assumptions!$E$18*Assumptions!$E$33</f>
        <v>706.59456</v>
      </c>
      <c r="I10257" s="48" t="n">
        <f aca="false">I10239*Assumptions!$E$18*Assumptions!$E$33</f>
        <v>1135.07072</v>
      </c>
      <c r="J10257" s="48" t="n">
        <f aca="false">J10239*Assumptions!$E$18*Assumptions!$E$33</f>
        <v>1563.54688</v>
      </c>
      <c r="K10257" s="48" t="n">
        <f aca="false">K10239*Assumptions!$E$18*Assumptions!$E$33</f>
        <v>1563.54688</v>
      </c>
      <c r="L10257" s="48" t="n">
        <f aca="false">L10239*Assumptions!$E$18*Assumptions!$E$33</f>
        <v>1563.54688</v>
      </c>
      <c r="M10257" s="48" t="n">
        <f aca="false">M10239*Assumptions!$E$18*Assumptions!$E$33</f>
        <v>1563.54688</v>
      </c>
      <c r="N10257" s="48" t="n">
        <f aca="false">N10239*Assumptions!$E$18*Assumptions!$E$33</f>
        <v>1563.54688</v>
      </c>
      <c r="P10257" s="49"/>
      <c r="Q10257" s="49"/>
      <c r="R10257" s="49"/>
      <c r="S10257" s="50"/>
    </row>
    <row r="10258" customFormat="false" ht="15" hidden="false" customHeight="false" outlineLevel="0" collapsed="false">
      <c r="A10258" s="4" t="s">
        <v>511</v>
      </c>
      <c r="B10258" s="36" t="s">
        <v>509</v>
      </c>
      <c r="C10258" s="48" t="n">
        <f aca="false">C10240*Assumptions!$E$19*Assumptions!$E$34</f>
        <v>34.677888</v>
      </c>
      <c r="D10258" s="48" t="n">
        <f aca="false">D10240*Assumptions!$E$19*Assumptions!$E$34</f>
        <v>69.355776</v>
      </c>
      <c r="E10258" s="48" t="n">
        <f aca="false">E10240*Assumptions!$E$19*Assumptions!$E$34</f>
        <v>69.355776</v>
      </c>
      <c r="F10258" s="48" t="n">
        <f aca="false">F10240*Assumptions!$E$19*Assumptions!$E$34</f>
        <v>69.355776</v>
      </c>
      <c r="G10258" s="48" t="n">
        <f aca="false">G10240*Assumptions!$E$19*Assumptions!$E$34</f>
        <v>86.69472</v>
      </c>
      <c r="H10258" s="48" t="n">
        <f aca="false">H10240*Assumptions!$E$19*Assumptions!$E$34</f>
        <v>104.033664</v>
      </c>
      <c r="I10258" s="48" t="n">
        <f aca="false">I10240*Assumptions!$E$19*Assumptions!$E$34</f>
        <v>159.7008</v>
      </c>
      <c r="J10258" s="48" t="n">
        <f aca="false">J10240*Assumptions!$E$19*Assumptions!$E$34</f>
        <v>215.367936</v>
      </c>
      <c r="K10258" s="48" t="n">
        <f aca="false">K10240*Assumptions!$E$19*Assumptions!$E$34</f>
        <v>215.367936</v>
      </c>
      <c r="L10258" s="48" t="n">
        <f aca="false">L10240*Assumptions!$E$19*Assumptions!$E$34</f>
        <v>215.367936</v>
      </c>
      <c r="M10258" s="48" t="n">
        <f aca="false">M10240*Assumptions!$E$19*Assumptions!$E$34</f>
        <v>215.367936</v>
      </c>
      <c r="N10258" s="48" t="n">
        <f aca="false">N10240*Assumptions!$E$19*Assumptions!$E$34</f>
        <v>215.367936</v>
      </c>
      <c r="P10258" s="49"/>
      <c r="Q10258" s="49"/>
      <c r="R10258" s="49"/>
      <c r="S10258" s="50"/>
    </row>
    <row r="10259" customFormat="false" ht="15" hidden="false" customHeight="false" outlineLevel="0" collapsed="false">
      <c r="A10259" s="4" t="s">
        <v>512</v>
      </c>
      <c r="B10259" s="36" t="s">
        <v>77</v>
      </c>
      <c r="C10259" s="51" t="n">
        <f aca="false">IFERROR(C10256/(C10256+C10257+C10258),0)</f>
        <v>0.631590736245533</v>
      </c>
      <c r="D10259" s="51" t="n">
        <f aca="false">IFERROR(D10256/(D10256+D10257+D10258),0)</f>
        <v>0.631590736245533</v>
      </c>
      <c r="E10259" s="51" t="n">
        <f aca="false">IFERROR(E10256/(E10256+E10257+E10258),0)</f>
        <v>0.631590736245533</v>
      </c>
      <c r="F10259" s="51" t="n">
        <f aca="false">IFERROR(F10256/(F10256+F10257+F10258),0)</f>
        <v>0.631590736245533</v>
      </c>
      <c r="G10259" s="51" t="n">
        <f aca="false">IFERROR(G10256/(G10256+G10257+G10258),0)</f>
        <v>0.638332506498128</v>
      </c>
      <c r="H10259" s="51" t="n">
        <f aca="false">IFERROR(H10256/(H10256+H10257+H10258),0)</f>
        <v>0.642303318118984</v>
      </c>
      <c r="I10259" s="51" t="n">
        <f aca="false">IFERROR(I10256/(I10256+I10257+I10258),0)</f>
        <v>0.657538025405288</v>
      </c>
      <c r="J10259" s="51" t="n">
        <f aca="false">IFERROR(J10256/(J10256+J10257+J10258),0)</f>
        <v>0.664058061428891</v>
      </c>
      <c r="K10259" s="51" t="n">
        <f aca="false">IFERROR(K10256/(K10256+K10257+K10258),0)</f>
        <v>0.664058061428891</v>
      </c>
      <c r="L10259" s="51" t="n">
        <f aca="false">IFERROR(L10256/(L10256+L10257+L10258),0)</f>
        <v>0.664058061428891</v>
      </c>
      <c r="M10259" s="51" t="n">
        <f aca="false">IFERROR(M10256/(M10256+M10257+M10258),0)</f>
        <v>0.664058061428891</v>
      </c>
      <c r="N10259" s="51" t="n">
        <f aca="false">IFERROR(N10256/(N10256+N10257+N10258),0)</f>
        <v>0.664058061428891</v>
      </c>
      <c r="P10259" s="52"/>
      <c r="Q10259" s="52"/>
      <c r="R10259" s="52"/>
      <c r="S10259" s="53"/>
    </row>
    <row r="10260" customFormat="false" ht="15" hidden="false" customHeight="false" outlineLevel="0" collapsed="false">
      <c r="A10260" s="4" t="s">
        <v>513</v>
      </c>
      <c r="B10260" s="36" t="s">
        <v>77</v>
      </c>
      <c r="C10260" s="51" t="n">
        <f aca="false">IFERROR(C10257/(C10256+C10257+C10258),0)</f>
        <v>0.316449102482628</v>
      </c>
      <c r="D10260" s="51" t="n">
        <f aca="false">IFERROR(D10257/(D10256+D10257+D10258),0)</f>
        <v>0.316449102482628</v>
      </c>
      <c r="E10260" s="51" t="n">
        <f aca="false">IFERROR(E10257/(E10256+E10257+E10258),0)</f>
        <v>0.316449102482628</v>
      </c>
      <c r="F10260" s="51" t="n">
        <f aca="false">IFERROR(F10257/(F10256+F10257+F10258),0)</f>
        <v>0.316449102482628</v>
      </c>
      <c r="G10260" s="51" t="n">
        <f aca="false">IFERROR(G10257/(G10256+G10257+G10258),0)</f>
        <v>0.313517566939561</v>
      </c>
      <c r="H10260" s="51" t="n">
        <f aca="false">IFERROR(H10257/(H10256+H10257+H10258),0)</f>
        <v>0.311790932099567</v>
      </c>
      <c r="I10260" s="51" t="n">
        <f aca="false">IFERROR(I10257/(I10256+I10257+I10258),0)</f>
        <v>0.300221741111391</v>
      </c>
      <c r="J10260" s="51" t="n">
        <f aca="false">IFERROR(J10257/(J10256+J10257+J10258),0)</f>
        <v>0.295270445324128</v>
      </c>
      <c r="K10260" s="51" t="n">
        <f aca="false">IFERROR(K10257/(K10256+K10257+K10258),0)</f>
        <v>0.295270445324128</v>
      </c>
      <c r="L10260" s="51" t="n">
        <f aca="false">IFERROR(L10257/(L10256+L10257+L10258),0)</f>
        <v>0.295270445324128</v>
      </c>
      <c r="M10260" s="51" t="n">
        <f aca="false">IFERROR(M10257/(M10256+M10257+M10258),0)</f>
        <v>0.295270445324128</v>
      </c>
      <c r="N10260" s="51" t="n">
        <f aca="false">IFERROR(N10257/(N10256+N10257+N10258),0)</f>
        <v>0.295270445324128</v>
      </c>
      <c r="P10260" s="52"/>
      <c r="Q10260" s="52"/>
      <c r="R10260" s="52"/>
      <c r="S10260" s="53"/>
    </row>
    <row r="10261" customFormat="false" ht="15" hidden="false" customHeight="false" outlineLevel="0" collapsed="false">
      <c r="A10261" s="4" t="s">
        <v>514</v>
      </c>
      <c r="B10261" s="36" t="s">
        <v>77</v>
      </c>
      <c r="C10261" s="51" t="n">
        <f aca="false">IFERROR(C10258/(C10256+C10257+C10258),0)</f>
        <v>0.0519601612718389</v>
      </c>
      <c r="D10261" s="51" t="n">
        <f aca="false">IFERROR(D10258/(D10256+D10257+D10258),0)</f>
        <v>0.0519601612718389</v>
      </c>
      <c r="E10261" s="51" t="n">
        <f aca="false">IFERROR(E10258/(E10256+E10257+E10258),0)</f>
        <v>0.0519601612718389</v>
      </c>
      <c r="F10261" s="51" t="n">
        <f aca="false">IFERROR(F10258/(F10256+F10257+F10258),0)</f>
        <v>0.0519601612718389</v>
      </c>
      <c r="G10261" s="51" t="n">
        <f aca="false">IFERROR(G10258/(G10256+G10257+G10258),0)</f>
        <v>0.0481499265623113</v>
      </c>
      <c r="H10261" s="51" t="n">
        <f aca="false">IFERROR(H10258/(H10256+H10257+H10258),0)</f>
        <v>0.0459057497814491</v>
      </c>
      <c r="I10261" s="51" t="n">
        <f aca="false">IFERROR(I10258/(I10256+I10257+I10258),0)</f>
        <v>0.0422402334833216</v>
      </c>
      <c r="J10261" s="51" t="n">
        <f aca="false">IFERROR(J10258/(J10256+J10257+J10258),0)</f>
        <v>0.0406714932469811</v>
      </c>
      <c r="K10261" s="51" t="n">
        <f aca="false">IFERROR(K10258/(K10256+K10257+K10258),0)</f>
        <v>0.0406714932469811</v>
      </c>
      <c r="L10261" s="51" t="n">
        <f aca="false">IFERROR(L10258/(L10256+L10257+L10258),0)</f>
        <v>0.0406714932469811</v>
      </c>
      <c r="M10261" s="51" t="n">
        <f aca="false">IFERROR(M10258/(M10256+M10257+M10258),0)</f>
        <v>0.0406714932469811</v>
      </c>
      <c r="N10261" s="51" t="n">
        <f aca="false">IFERROR(N10258/(N10256+N10257+N10258),0)</f>
        <v>0.0406714932469811</v>
      </c>
      <c r="P10261" s="52"/>
      <c r="Q10261" s="52"/>
      <c r="R10261" s="52"/>
      <c r="S10261" s="53"/>
    </row>
    <row r="10262" customFormat="false" ht="15" hidden="false" customHeight="false" outlineLevel="0" collapsed="false">
      <c r="A10262" s="4" t="s">
        <v>515</v>
      </c>
      <c r="B10262" s="36" t="s">
        <v>516</v>
      </c>
      <c r="C10262" s="48" t="n">
        <f aca="false">IF(C10230-Assumptions!$E$35&lt;1,0,INDEX($C$10255:$N$10255,1,C10230-Assumptions!$E$35)*INDEX($C$10259:$N$10259,1,C10230-Assumptions!$E$35)*0.4)</f>
        <v>0</v>
      </c>
      <c r="D10262" s="48" t="n">
        <f aca="false">IF(D10230-Assumptions!$E$35&lt;1,0,INDEX($C$10255:$N$10255,1,D10230-Assumptions!$E$35)*INDEX($C$10259:$N$10259,1,D10230-Assumptions!$E$35)*0.4)</f>
        <v>1.65024084796918</v>
      </c>
      <c r="E10262" s="48" t="n">
        <f aca="false">IF(E10230-Assumptions!$E$35&lt;1,0,INDEX($C$10255:$N$10255,1,E10230-Assumptions!$E$35)*INDEX($C$10259:$N$10259,1,E10230-Assumptions!$E$35)*0.4)</f>
        <v>2.82864200058743</v>
      </c>
      <c r="F10262" s="48" t="n">
        <f aca="false">IF(F10230-Assumptions!$E$35&lt;1,0,INDEX($C$10255:$N$10255,1,F10230-Assumptions!$E$35)*INDEX($C$10259:$N$10259,1,F10230-Assumptions!$E$35)*0.4)</f>
        <v>3.12115697399229</v>
      </c>
      <c r="G10262" s="48" t="n">
        <f aca="false">IF(G10230-Assumptions!$E$35&lt;1,0,INDEX($C$10255:$N$10255,1,G10230-Assumptions!$E$35)*INDEX($C$10259:$N$10259,1,G10230-Assumptions!$E$35)*0.4)</f>
        <v>3.41967042648192</v>
      </c>
      <c r="H10262" s="48" t="n">
        <f aca="false">IF(H10230-Assumptions!$E$35&lt;1,0,INDEX($C$10255:$N$10255,1,H10230-Assumptions!$E$35)*INDEX($C$10259:$N$10259,1,H10230-Assumptions!$E$35)*0.4)</f>
        <v>4.40037482234274</v>
      </c>
      <c r="I10262" s="48" t="n">
        <f aca="false">IF(I10230-Assumptions!$E$35&lt;1,0,INDEX($C$10255:$N$10255,1,I10230-Assumptions!$E$35)*INDEX($C$10259:$N$10259,1,I10230-Assumptions!$E$35)*0.4)</f>
        <v>5.31640126681646</v>
      </c>
      <c r="J10262" s="48" t="n">
        <f aca="false">IF(J10230-Assumptions!$E$35&lt;1,0,INDEX($C$10255:$N$10255,1,J10230-Assumptions!$E$35)*INDEX($C$10259:$N$10259,1,J10230-Assumptions!$E$35)*0.4)</f>
        <v>7.86798683341676</v>
      </c>
      <c r="K10262" s="48" t="n">
        <f aca="false">IF(K10230-Assumptions!$E$35&lt;1,0,INDEX($C$10255:$N$10255,1,K10230-Assumptions!$E$35)*INDEX($C$10259:$N$10259,1,K10230-Assumptions!$E$35)*0.4)</f>
        <v>10.1774450162906</v>
      </c>
      <c r="L10262" s="48" t="n">
        <f aca="false">IF(L10230-Assumptions!$E$35&lt;1,0,INDEX($C$10255:$N$10255,1,L10230-Assumptions!$E$35)*INDEX($C$10259:$N$10259,1,L10230-Assumptions!$E$35)*0.4)</f>
        <v>10.2497611839915</v>
      </c>
      <c r="M10262" s="48" t="n">
        <f aca="false">IF(M10230-Assumptions!$E$35&lt;1,0,INDEX($C$10255:$N$10255,1,M10230-Assumptions!$E$35)*INDEX($C$10259:$N$10259,1,M10230-Assumptions!$E$35)*0.4)</f>
        <v>9.94627356583056</v>
      </c>
      <c r="N10262" s="48" t="n">
        <f aca="false">IF(N10230-Assumptions!$E$35&lt;1,0,INDEX($C$10255:$N$10255,1,N10230-Assumptions!$E$35)*INDEX($C$10259:$N$10259,1,N10230-Assumptions!$E$35)*0.4)</f>
        <v>9.66384651369268</v>
      </c>
      <c r="P10262" s="49" t="n">
        <f aca="false">SUM(C10262:F10262)</f>
        <v>7.6000398225489</v>
      </c>
      <c r="Q10262" s="49" t="n">
        <f aca="false">SUM(G10262:J10262)</f>
        <v>21.0044333490579</v>
      </c>
      <c r="R10262" s="49" t="n">
        <f aca="false">SUM(K10262:N10262)</f>
        <v>40.0373262798053</v>
      </c>
      <c r="S10262" s="50" t="n">
        <f aca="false">SUM(P10262:R10262)</f>
        <v>68.6417994514121</v>
      </c>
    </row>
    <row r="10263" customFormat="false" ht="15" hidden="false" customHeight="false" outlineLevel="0" collapsed="false">
      <c r="A10263" s="4" t="s">
        <v>517</v>
      </c>
      <c r="B10263" s="36" t="s">
        <v>516</v>
      </c>
      <c r="C10263" s="48" t="n">
        <f aca="false">IF(C10230-Assumptions!$E$35&lt;1,0,INDEX($C$10255:$N$10255,1,C10230-Assumptions!$E$35)*INDEX($C$10260:$N$10260,1,C10230-Assumptions!$E$35)*0.4)</f>
        <v>0</v>
      </c>
      <c r="D10263" s="48" t="n">
        <f aca="false">IF(D10230-Assumptions!$E$35&lt;1,0,INDEX($C$10255:$N$10255,1,D10230-Assumptions!$E$35)*INDEX($C$10260:$N$10260,1,D10230-Assumptions!$E$35)*0.4)</f>
        <v>0.82682852241361</v>
      </c>
      <c r="E10263" s="48" t="n">
        <f aca="false">IF(E10230-Assumptions!$E$35&lt;1,0,INDEX($C$10255:$N$10255,1,E10230-Assumptions!$E$35)*INDEX($C$10260:$N$10260,1,E10230-Assumptions!$E$35)*0.4)</f>
        <v>1.41724881471753</v>
      </c>
      <c r="F10263" s="48" t="n">
        <f aca="false">IF(F10230-Assumptions!$E$35&lt;1,0,INDEX($C$10255:$N$10255,1,F10230-Assumptions!$E$35)*INDEX($C$10260:$N$10260,1,F10230-Assumptions!$E$35)*0.4)</f>
        <v>1.56380907199261</v>
      </c>
      <c r="G10263" s="48" t="n">
        <f aca="false">IF(G10230-Assumptions!$E$35&lt;1,0,INDEX($C$10255:$N$10255,1,G10230-Assumptions!$E$35)*INDEX($C$10260:$N$10260,1,G10230-Assumptions!$E$35)*0.4)</f>
        <v>1.71337477759632</v>
      </c>
      <c r="H10263" s="48" t="n">
        <f aca="false">IF(H10230-Assumptions!$E$35&lt;1,0,INDEX($C$10255:$N$10255,1,H10230-Assumptions!$E$35)*INDEX($C$10260:$N$10260,1,H10230-Assumptions!$E$35)*0.4)</f>
        <v>2.16124792937682</v>
      </c>
      <c r="I10263" s="48" t="n">
        <f aca="false">IF(I10230-Assumptions!$E$35&lt;1,0,INDEX($C$10255:$N$10255,1,I10230-Assumptions!$E$35)*INDEX($C$10260:$N$10260,1,I10230-Assumptions!$E$35)*0.4)</f>
        <v>2.58072106999291</v>
      </c>
      <c r="J10263" s="48" t="n">
        <f aca="false">IF(J10230-Assumptions!$E$35&lt;1,0,INDEX($C$10255:$N$10255,1,J10230-Assumptions!$E$35)*INDEX($C$10260:$N$10260,1,J10230-Assumptions!$E$35)*0.4)</f>
        <v>3.59240167854007</v>
      </c>
      <c r="K10263" s="48" t="n">
        <f aca="false">IF(K10230-Assumptions!$E$35&lt;1,0,INDEX($C$10255:$N$10255,1,K10230-Assumptions!$E$35)*INDEX($C$10260:$N$10260,1,K10230-Assumptions!$E$35)*0.4)</f>
        <v>4.52535538196121</v>
      </c>
      <c r="L10263" s="48" t="n">
        <f aca="false">IF(L10230-Assumptions!$E$35&lt;1,0,INDEX($C$10255:$N$10255,1,L10230-Assumptions!$E$35)*INDEX($C$10260:$N$10260,1,L10230-Assumptions!$E$35)*0.4)</f>
        <v>4.55751044231124</v>
      </c>
      <c r="M10263" s="48" t="n">
        <f aca="false">IF(M10230-Assumptions!$E$35&lt;1,0,INDEX($C$10255:$N$10255,1,M10230-Assumptions!$E$35)*INDEX($C$10260:$N$10260,1,M10230-Assumptions!$E$35)*0.4)</f>
        <v>4.42256603101697</v>
      </c>
      <c r="N10263" s="48" t="n">
        <f aca="false">IF(N10230-Assumptions!$E$35&lt;1,0,INDEX($C$10255:$N$10255,1,N10230-Assumptions!$E$35)*INDEX($C$10260:$N$10260,1,N10230-Assumptions!$E$35)*0.4)</f>
        <v>4.29698610615785</v>
      </c>
      <c r="P10263" s="49" t="n">
        <f aca="false">SUM(C10263:F10263)</f>
        <v>3.80788640912375</v>
      </c>
      <c r="Q10263" s="49" t="n">
        <f aca="false">SUM(G10263:J10263)</f>
        <v>10.0477454555061</v>
      </c>
      <c r="R10263" s="49" t="n">
        <f aca="false">SUM(K10263:N10263)</f>
        <v>17.8024179614473</v>
      </c>
      <c r="S10263" s="50" t="n">
        <f aca="false">SUM(P10263:R10263)</f>
        <v>31.6580498260772</v>
      </c>
    </row>
    <row r="10264" customFormat="false" ht="15" hidden="false" customHeight="false" outlineLevel="0" collapsed="false">
      <c r="A10264" s="4" t="s">
        <v>518</v>
      </c>
      <c r="B10264" s="36" t="s">
        <v>516</v>
      </c>
      <c r="C10264" s="48" t="n">
        <f aca="false">IF(C10230-Assumptions!$E$36&lt;1,0,INDEX($C$10255:$N$10255,1,C10230-Assumptions!$E$36)*INDEX($C$10261:$N$10261,1,C10230-Assumptions!$E$36)*0.4)</f>
        <v>0</v>
      </c>
      <c r="D10264" s="48" t="n">
        <f aca="false">IF(D10230-Assumptions!$E$36&lt;1,0,INDEX($C$10255:$N$10255,1,D10230-Assumptions!$E$36)*INDEX($C$10261:$N$10261,1,D10230-Assumptions!$E$36)*0.4)</f>
        <v>0</v>
      </c>
      <c r="E10264" s="48" t="n">
        <f aca="false">IF(E10230-Assumptions!$E$36&lt;1,0,INDEX($C$10255:$N$10255,1,E10230-Assumptions!$E$36)*INDEX($C$10261:$N$10261,1,E10230-Assumptions!$E$36)*0.4)</f>
        <v>0.135763201828408</v>
      </c>
      <c r="F10264" s="48" t="n">
        <f aca="false">IF(F10230-Assumptions!$E$36&lt;1,0,INDEX($C$10255:$N$10255,1,F10230-Assumptions!$E$36)*INDEX($C$10261:$N$10261,1,F10230-Assumptions!$E$36)*0.4)</f>
        <v>0.23270875599683</v>
      </c>
      <c r="G10264" s="48" t="n">
        <f aca="false">IF(G10230-Assumptions!$E$36&lt;1,0,INDEX($C$10255:$N$10255,1,G10230-Assumptions!$E$36)*INDEX($C$10261:$N$10261,1,G10230-Assumptions!$E$36)*0.4)</f>
        <v>0.256773588364218</v>
      </c>
      <c r="H10264" s="48" t="n">
        <f aca="false">IF(H10230-Assumptions!$E$36&lt;1,0,INDEX($C$10255:$N$10255,1,H10230-Assumptions!$E$36)*INDEX($C$10261:$N$10261,1,H10230-Assumptions!$E$36)*0.4)</f>
        <v>0.28133190792631</v>
      </c>
      <c r="I10264" s="48" t="n">
        <f aca="false">IF(I10230-Assumptions!$E$36&lt;1,0,INDEX($C$10255:$N$10255,1,I10230-Assumptions!$E$36)*INDEX($C$10261:$N$10261,1,I10230-Assumptions!$E$36)*0.4)</f>
        <v>0.331923758206833</v>
      </c>
      <c r="J10264" s="48" t="n">
        <f aca="false">IF(J10230-Assumptions!$E$36&lt;1,0,INDEX($C$10255:$N$10255,1,J10230-Assumptions!$E$36)*INDEX($C$10261:$N$10261,1,J10230-Assumptions!$E$36)*0.4)</f>
        <v>0.379965943515562</v>
      </c>
      <c r="K10264" s="48" t="n">
        <f aca="false">IF(K10230-Assumptions!$E$36&lt;1,0,INDEX($C$10255:$N$10255,1,K10230-Assumptions!$E$36)*INDEX($C$10261:$N$10261,1,K10230-Assumptions!$E$36)*0.4)</f>
        <v>0.505439363270855</v>
      </c>
      <c r="L10264" s="48" t="n">
        <f aca="false">IF(L10230-Assumptions!$E$36&lt;1,0,INDEX($C$10255:$N$10255,1,L10230-Assumptions!$E$36)*INDEX($C$10261:$N$10261,1,L10230-Assumptions!$E$36)*0.4)</f>
        <v>0.623336889188432</v>
      </c>
      <c r="M10264" s="48" t="n">
        <f aca="false">IF(M10230-Assumptions!$E$36&lt;1,0,INDEX($C$10255:$N$10255,1,M10230-Assumptions!$E$36)*INDEX($C$10261:$N$10261,1,M10230-Assumptions!$E$36)*0.4)</f>
        <v>0.627766029796957</v>
      </c>
      <c r="N10264" s="48" t="n">
        <f aca="false">IF(N10230-Assumptions!$E$36&lt;1,0,INDEX($C$10255:$N$10255,1,N10230-Assumptions!$E$36)*INDEX($C$10261:$N$10261,1,N10230-Assumptions!$E$36)*0.4)</f>
        <v>0.60917835602335</v>
      </c>
      <c r="P10264" s="49" t="n">
        <f aca="false">SUM(C10264:F10264)</f>
        <v>0.368471957825237</v>
      </c>
      <c r="Q10264" s="49" t="n">
        <f aca="false">SUM(G10264:J10264)</f>
        <v>1.24999519801292</v>
      </c>
      <c r="R10264" s="49" t="n">
        <f aca="false">SUM(K10264:N10264)</f>
        <v>2.36572063827959</v>
      </c>
      <c r="S10264" s="50" t="n">
        <f aca="false">SUM(P10264:R10264)</f>
        <v>3.98418779411775</v>
      </c>
    </row>
    <row r="10265" customFormat="false" ht="15" hidden="false" customHeight="false" outlineLevel="0" collapsed="false">
      <c r="A10265" s="4" t="s">
        <v>519</v>
      </c>
      <c r="B10265" s="36" t="s">
        <v>77</v>
      </c>
      <c r="C10265" s="51" t="n">
        <f aca="false">IF(C10230-Assumptions!$E$35&lt;1,0,IFERROR(INDEX($C$10254:$N$10254,1,C10230-Assumptions!$E$35)/INDEX($C$10255:$N$10255,1,C10230-Assumptions!$E$35),0))</f>
        <v>0</v>
      </c>
      <c r="D10265" s="51" t="n">
        <f aca="false">IF(D10230-Assumptions!$E$35&lt;1,0,IFERROR(INDEX($C$10254:$N$10254,1,D10230-Assumptions!$E$35)/INDEX($C$10255:$N$10255,1,D10230-Assumptions!$E$35),0))</f>
        <v>0.459271678087073</v>
      </c>
      <c r="E10265" s="51" t="n">
        <f aca="false">IF(E10230-Assumptions!$E$35&lt;1,0,IFERROR(INDEX($C$10254:$N$10254,1,E10230-Assumptions!$E$35)/INDEX($C$10255:$N$10255,1,E10230-Assumptions!$E$35),0))</f>
        <v>0.401911350042128</v>
      </c>
      <c r="F10265" s="51" t="n">
        <f aca="false">IF(F10230-Assumptions!$E$35&lt;1,0,IFERROR(INDEX($C$10254:$N$10254,1,F10230-Assumptions!$E$35)/INDEX($C$10255:$N$10255,1,F10230-Assumptions!$E$35),0))</f>
        <v>0.485658933408398</v>
      </c>
      <c r="G10265" s="51" t="n">
        <f aca="false">IF(G10230-Assumptions!$E$35&lt;1,0,IFERROR(INDEX($C$10254:$N$10254,1,G10230-Assumptions!$E$35)/INDEX($C$10255:$N$10255,1,G10230-Assumptions!$E$35),0))</f>
        <v>0.554080356417826</v>
      </c>
      <c r="H10265" s="51" t="n">
        <f aca="false">IF(H10230-Assumptions!$E$35&lt;1,0,IFERROR(INDEX($C$10254:$N$10254,1,H10230-Assumptions!$E$35)/INDEX($C$10255:$N$10255,1,H10230-Assumptions!$E$35),0))</f>
        <v>0.522227563825987</v>
      </c>
      <c r="I10265" s="51" t="n">
        <f aca="false">IF(I10230-Assumptions!$E$35&lt;1,0,IFERROR(INDEX($C$10254:$N$10254,1,I10230-Assumptions!$E$35)/INDEX($C$10255:$N$10255,1,I10230-Assumptions!$E$35),0))</f>
        <v>0.507424816282752</v>
      </c>
      <c r="J10265" s="51" t="n">
        <f aca="false">IF(J10230-Assumptions!$E$35&lt;1,0,IFERROR(INDEX($C$10254:$N$10254,1,J10230-Assumptions!$E$35)/INDEX($C$10255:$N$10255,1,J10230-Assumptions!$E$35),0))</f>
        <v>0.401142323795015</v>
      </c>
      <c r="K10265" s="51" t="n">
        <f aca="false">IF(K10230-Assumptions!$E$35&lt;1,0,IFERROR(INDEX($C$10254:$N$10254,1,K10230-Assumptions!$E$35)/INDEX($C$10255:$N$10255,1,K10230-Assumptions!$E$35),0))</f>
        <v>0.352339268448632</v>
      </c>
      <c r="L10265" s="51" t="n">
        <f aca="false">IF(L10230-Assumptions!$E$35&lt;1,0,IFERROR(INDEX($C$10254:$N$10254,1,L10230-Assumptions!$E$35)/INDEX($C$10255:$N$10255,1,L10230-Assumptions!$E$35),0))</f>
        <v>0.388725970981282</v>
      </c>
      <c r="M10265" s="51" t="n">
        <f aca="false">IF(M10230-Assumptions!$E$35&lt;1,0,IFERROR(INDEX($C$10254:$N$10254,1,M10230-Assumptions!$E$35)/INDEX($C$10255:$N$10255,1,M10230-Assumptions!$E$35),0))</f>
        <v>0.400587048224893</v>
      </c>
      <c r="N10265" s="51" t="n">
        <f aca="false">IF(N10230-Assumptions!$E$35&lt;1,0,IFERROR(INDEX($C$10254:$N$10254,1,N10230-Assumptions!$E$35)/INDEX($C$10255:$N$10255,1,N10230-Assumptions!$E$35),0))</f>
        <v>0.412294251872474</v>
      </c>
      <c r="P10265" s="52"/>
      <c r="Q10265" s="52"/>
      <c r="R10265" s="52"/>
      <c r="S10265" s="53"/>
    </row>
    <row r="10266" customFormat="false" ht="15" hidden="false" customHeight="false" outlineLevel="0" collapsed="false">
      <c r="A10266" s="4" t="s">
        <v>520</v>
      </c>
      <c r="B10266" s="36" t="s">
        <v>516</v>
      </c>
      <c r="C10266" s="48" t="n">
        <f aca="false">C10262*Assumptions!$E$37</f>
        <v>0</v>
      </c>
      <c r="D10266" s="48" t="n">
        <f aca="false">D10262*Assumptions!$E$37</f>
        <v>0.495072254390755</v>
      </c>
      <c r="E10266" s="48" t="n">
        <f aca="false">E10262*Assumptions!$E$37</f>
        <v>0.848592600176228</v>
      </c>
      <c r="F10266" s="48" t="n">
        <f aca="false">F10262*Assumptions!$E$37</f>
        <v>0.936347092197688</v>
      </c>
      <c r="G10266" s="48" t="n">
        <f aca="false">G10262*Assumptions!$E$37</f>
        <v>1.02590112794458</v>
      </c>
      <c r="H10266" s="48" t="n">
        <f aca="false">H10262*Assumptions!$E$37</f>
        <v>1.32011244670282</v>
      </c>
      <c r="I10266" s="48" t="n">
        <f aca="false">I10262*Assumptions!$E$37</f>
        <v>1.59492038004494</v>
      </c>
      <c r="J10266" s="48" t="n">
        <f aca="false">J10262*Assumptions!$E$37</f>
        <v>2.36039605002503</v>
      </c>
      <c r="K10266" s="48" t="n">
        <f aca="false">K10262*Assumptions!$E$37</f>
        <v>3.05323350488719</v>
      </c>
      <c r="L10266" s="48" t="n">
        <f aca="false">L10262*Assumptions!$E$37</f>
        <v>3.07492835519744</v>
      </c>
      <c r="M10266" s="48" t="n">
        <f aca="false">M10262*Assumptions!$E$37</f>
        <v>2.98388206974917</v>
      </c>
      <c r="N10266" s="48" t="n">
        <f aca="false">N10262*Assumptions!$E$37</f>
        <v>2.89915395410781</v>
      </c>
      <c r="P10266" s="49" t="n">
        <f aca="false">SUM(C10266:F10266)</f>
        <v>2.28001194676467</v>
      </c>
      <c r="Q10266" s="49" t="n">
        <f aca="false">SUM(G10266:J10266)</f>
        <v>6.30133000471737</v>
      </c>
      <c r="R10266" s="49" t="n">
        <f aca="false">SUM(K10266:N10266)</f>
        <v>12.0111978839416</v>
      </c>
      <c r="S10266" s="50" t="n">
        <f aca="false">SUM(P10266:R10266)</f>
        <v>20.5925398354236</v>
      </c>
    </row>
    <row r="10267" customFormat="false" ht="15" hidden="false" customHeight="false" outlineLevel="0" collapsed="false">
      <c r="A10267" s="4" t="s">
        <v>521</v>
      </c>
      <c r="B10267" s="36" t="s">
        <v>516</v>
      </c>
      <c r="C10267" s="48" t="n">
        <f aca="false">C10262*(1-Assumptions!$E$37)</f>
        <v>0</v>
      </c>
      <c r="D10267" s="48" t="n">
        <f aca="false">D10262*(1-Assumptions!$E$37)</f>
        <v>1.15516859357843</v>
      </c>
      <c r="E10267" s="48" t="n">
        <f aca="false">E10262*(1-Assumptions!$E$37)</f>
        <v>1.9800494004112</v>
      </c>
      <c r="F10267" s="48" t="n">
        <f aca="false">F10262*(1-Assumptions!$E$37)</f>
        <v>2.1848098817946</v>
      </c>
      <c r="G10267" s="48" t="n">
        <f aca="false">G10262*(1-Assumptions!$E$37)</f>
        <v>2.39376929853734</v>
      </c>
      <c r="H10267" s="48" t="n">
        <f aca="false">H10262*(1-Assumptions!$E$37)</f>
        <v>3.08026237563992</v>
      </c>
      <c r="I10267" s="48" t="n">
        <f aca="false">I10262*(1-Assumptions!$E$37)</f>
        <v>3.72148088677152</v>
      </c>
      <c r="J10267" s="48" t="n">
        <f aca="false">J10262*(1-Assumptions!$E$37)</f>
        <v>5.50759078339173</v>
      </c>
      <c r="K10267" s="48" t="n">
        <f aca="false">K10262*(1-Assumptions!$E$37)</f>
        <v>7.12421151140343</v>
      </c>
      <c r="L10267" s="48" t="n">
        <f aca="false">L10262*(1-Assumptions!$E$37)</f>
        <v>7.17483282879404</v>
      </c>
      <c r="M10267" s="48" t="n">
        <f aca="false">M10262*(1-Assumptions!$E$37)</f>
        <v>6.96239149608139</v>
      </c>
      <c r="N10267" s="48" t="n">
        <f aca="false">N10262*(1-Assumptions!$E$37)</f>
        <v>6.76469255958488</v>
      </c>
      <c r="P10267" s="49" t="n">
        <f aca="false">SUM(C10267:F10267)</f>
        <v>5.32002787578423</v>
      </c>
      <c r="Q10267" s="49" t="n">
        <f aca="false">SUM(G10267:J10267)</f>
        <v>14.7031033443405</v>
      </c>
      <c r="R10267" s="49" t="n">
        <f aca="false">SUM(K10267:N10267)</f>
        <v>28.0261283958637</v>
      </c>
      <c r="S10267" s="50" t="n">
        <f aca="false">SUM(P10267:R10267)</f>
        <v>48.0492596159885</v>
      </c>
    </row>
    <row r="10268" customFormat="false" ht="15" hidden="false" customHeight="false" outlineLevel="0" collapsed="false">
      <c r="A10268" s="4" t="s">
        <v>522</v>
      </c>
      <c r="B10268" s="36" t="s">
        <v>125</v>
      </c>
      <c r="C10268" s="54" t="n">
        <f aca="false">C10267*$C$10221+C10263*$C$10222+C10264*$C$10223</f>
        <v>0</v>
      </c>
      <c r="D10268" s="54" t="n">
        <f aca="false">D10267*$C$10221+D10263*$C$10222+D10264*$C$10223</f>
        <v>26370.9692450401</v>
      </c>
      <c r="E10268" s="54" t="n">
        <f aca="false">E10267*$C$10221+E10263*$C$10222+E10264*$C$10223</f>
        <v>66169.9403756969</v>
      </c>
      <c r="F10268" s="54" t="n">
        <f aca="false">F10267*$C$10221+F10263*$C$10222+F10264*$C$10223</f>
        <v>85817.1692209504</v>
      </c>
      <c r="G10268" s="54" t="n">
        <f aca="false">G10267*$C$10221+G10263*$C$10222+G10264*$C$10223</f>
        <v>94304.1444377605</v>
      </c>
      <c r="H10268" s="54" t="n">
        <f aca="false">H10267*$C$10221+H10263*$C$10222+H10264*$C$10223</f>
        <v>112706.810098533</v>
      </c>
      <c r="I10268" s="54" t="n">
        <f aca="false">I10267*$C$10221+I10263*$C$10222+I10264*$C$10223</f>
        <v>134194.494208039</v>
      </c>
      <c r="J10268" s="54" t="n">
        <f aca="false">J10267*$C$10221+J10263*$C$10222+J10264*$C$10223</f>
        <v>175875.663866525</v>
      </c>
      <c r="K10268" s="54" t="n">
        <f aca="false">K10267*$C$10221+K10263*$C$10222+K10264*$C$10223</f>
        <v>226686.384974766</v>
      </c>
      <c r="L10268" s="54" t="n">
        <f aca="false">L10267*$C$10221+L10263*$C$10222+L10264*$C$10223</f>
        <v>245951.19286278</v>
      </c>
      <c r="M10268" s="54" t="n">
        <f aca="false">M10267*$C$10221+M10263*$C$10222+M10264*$C$10223</f>
        <v>242203.35756334</v>
      </c>
      <c r="N10268" s="54" t="n">
        <f aca="false">N10267*$C$10221+N10263*$C$10222+N10264*$C$10223</f>
        <v>235208.227723215</v>
      </c>
      <c r="P10268" s="55" t="n">
        <f aca="false">SUM(C10268:F10268)</f>
        <v>178358.078841687</v>
      </c>
      <c r="Q10268" s="55" t="n">
        <f aca="false">SUM(G10268:J10268)</f>
        <v>517081.112610858</v>
      </c>
      <c r="R10268" s="55" t="n">
        <f aca="false">SUM(K10268:N10268)</f>
        <v>950049.163124101</v>
      </c>
      <c r="S10268" s="56" t="n">
        <f aca="false">SUM(P10268:R10268)</f>
        <v>1645488.35457665</v>
      </c>
    </row>
    <row r="10269" customFormat="false" ht="15" hidden="false" customHeight="false" outlineLevel="0" collapsed="false">
      <c r="A10269" s="4" t="s">
        <v>523</v>
      </c>
      <c r="B10269" s="36" t="s">
        <v>125</v>
      </c>
      <c r="C10269" s="54" t="n">
        <f aca="false">(C10245+Assumptions!$D$104*C10231)*$C$10226</f>
        <v>306250</v>
      </c>
      <c r="D10269" s="54" t="n">
        <f aca="false">(D10245+Assumptions!$D$104*D10231)*$C$10226</f>
        <v>306250</v>
      </c>
      <c r="E10269" s="54" t="n">
        <f aca="false">(E10245+Assumptions!$D$104*E10231)*$C$10226</f>
        <v>306250</v>
      </c>
      <c r="F10269" s="54" t="n">
        <f aca="false">(F10245+Assumptions!$D$104*F10231)*$C$10226</f>
        <v>306250</v>
      </c>
      <c r="G10269" s="54" t="n">
        <f aca="false">(G10245+Assumptions!$D$104*G10231)*$C$10226</f>
        <v>306250</v>
      </c>
      <c r="H10269" s="54" t="n">
        <f aca="false">(H10245+Assumptions!$D$104*H10231)*$C$10226</f>
        <v>306250</v>
      </c>
      <c r="I10269" s="54" t="n">
        <f aca="false">(I10245+Assumptions!$D$104*I10231)*$C$10226</f>
        <v>306250</v>
      </c>
      <c r="J10269" s="54" t="n">
        <f aca="false">(J10245+Assumptions!$D$104*J10231)*$C$10226</f>
        <v>306250</v>
      </c>
      <c r="K10269" s="54" t="n">
        <f aca="false">(K10245+Assumptions!$D$104*K10231)*$C$10226</f>
        <v>306250</v>
      </c>
      <c r="L10269" s="54" t="n">
        <f aca="false">(L10245+Assumptions!$D$104*L10231)*$C$10226</f>
        <v>306250</v>
      </c>
      <c r="M10269" s="54" t="n">
        <f aca="false">(M10245+Assumptions!$D$104*M10231)*$C$10226</f>
        <v>306250</v>
      </c>
      <c r="N10269" s="54" t="n">
        <f aca="false">(N10245+Assumptions!$D$104*N10231)*$C$10226</f>
        <v>306250</v>
      </c>
      <c r="P10269" s="55" t="n">
        <f aca="false">SUM(C10269:F10269)</f>
        <v>1225000</v>
      </c>
      <c r="Q10269" s="55" t="n">
        <f aca="false">SUM(G10269:J10269)</f>
        <v>1225000</v>
      </c>
      <c r="R10269" s="55" t="n">
        <f aca="false">SUM(K10269:N10269)</f>
        <v>1225000</v>
      </c>
      <c r="S10269" s="56" t="n">
        <f aca="false">SUM(P10269:R10269)</f>
        <v>3675000</v>
      </c>
    </row>
    <row r="10270" customFormat="false" ht="15" hidden="false" customHeight="false" outlineLevel="0" collapsed="false">
      <c r="A10270" s="4" t="s">
        <v>524</v>
      </c>
      <c r="B10270" s="36" t="s">
        <v>77</v>
      </c>
      <c r="C10270" s="51" t="n">
        <f aca="false">IF(C10268&gt;0,MIN(1,C10269/C10268),1)</f>
        <v>1</v>
      </c>
      <c r="D10270" s="51" t="n">
        <f aca="false">IF(D10268&gt;0,MIN(1,D10269/D10268),1)</f>
        <v>1</v>
      </c>
      <c r="E10270" s="51" t="n">
        <f aca="false">IF(E10268&gt;0,MIN(1,E10269/E10268),1)</f>
        <v>1</v>
      </c>
      <c r="F10270" s="51" t="n">
        <f aca="false">IF(F10268&gt;0,MIN(1,F10269/F10268),1)</f>
        <v>1</v>
      </c>
      <c r="G10270" s="51" t="n">
        <f aca="false">IF(G10268&gt;0,MIN(1,G10269/G10268),1)</f>
        <v>1</v>
      </c>
      <c r="H10270" s="51" t="n">
        <f aca="false">IF(H10268&gt;0,MIN(1,H10269/H10268),1)</f>
        <v>1</v>
      </c>
      <c r="I10270" s="51" t="n">
        <f aca="false">IF(I10268&gt;0,MIN(1,I10269/I10268),1)</f>
        <v>1</v>
      </c>
      <c r="J10270" s="51" t="n">
        <f aca="false">IF(J10268&gt;0,MIN(1,J10269/J10268),1)</f>
        <v>1</v>
      </c>
      <c r="K10270" s="51" t="n">
        <f aca="false">IF(K10268&gt;0,MIN(1,K10269/K10268),1)</f>
        <v>1</v>
      </c>
      <c r="L10270" s="51" t="n">
        <f aca="false">IF(L10268&gt;0,MIN(1,L10269/L10268),1)</f>
        <v>1</v>
      </c>
      <c r="M10270" s="51" t="n">
        <f aca="false">IF(M10268&gt;0,MIN(1,M10269/M10268),1)</f>
        <v>1</v>
      </c>
      <c r="N10270" s="51" t="n">
        <f aca="false">IF(N10268&gt;0,MIN(1,N10269/N10268),1)</f>
        <v>1</v>
      </c>
      <c r="P10270" s="52"/>
      <c r="Q10270" s="52"/>
      <c r="R10270" s="52"/>
      <c r="S10270" s="53"/>
    </row>
    <row r="10271" customFormat="false" ht="15" hidden="false" customHeight="false" outlineLevel="0" collapsed="false">
      <c r="A10271" s="4" t="s">
        <v>525</v>
      </c>
      <c r="B10271" s="36" t="s">
        <v>125</v>
      </c>
      <c r="C10271" s="54" t="n">
        <f aca="false">C10268*(1-C10270)</f>
        <v>0</v>
      </c>
      <c r="D10271" s="54" t="n">
        <f aca="false">D10268*(1-D10270)</f>
        <v>0</v>
      </c>
      <c r="E10271" s="54" t="n">
        <f aca="false">E10268*(1-E10270)</f>
        <v>0</v>
      </c>
      <c r="F10271" s="54" t="n">
        <f aca="false">F10268*(1-F10270)</f>
        <v>0</v>
      </c>
      <c r="G10271" s="54" t="n">
        <f aca="false">G10268*(1-G10270)</f>
        <v>0</v>
      </c>
      <c r="H10271" s="54" t="n">
        <f aca="false">H10268*(1-H10270)</f>
        <v>0</v>
      </c>
      <c r="I10271" s="54" t="n">
        <f aca="false">I10268*(1-I10270)</f>
        <v>0</v>
      </c>
      <c r="J10271" s="54" t="n">
        <f aca="false">J10268*(1-J10270)</f>
        <v>0</v>
      </c>
      <c r="K10271" s="54" t="n">
        <f aca="false">K10268*(1-K10270)</f>
        <v>0</v>
      </c>
      <c r="L10271" s="54" t="n">
        <f aca="false">L10268*(1-L10270)</f>
        <v>0</v>
      </c>
      <c r="M10271" s="54" t="n">
        <f aca="false">M10268*(1-M10270)</f>
        <v>0</v>
      </c>
      <c r="N10271" s="54" t="n">
        <f aca="false">N10268*(1-N10270)</f>
        <v>0</v>
      </c>
      <c r="P10271" s="55" t="n">
        <f aca="false">SUM(C10271:F10271)</f>
        <v>0</v>
      </c>
      <c r="Q10271" s="55" t="n">
        <f aca="false">SUM(G10271:J10271)</f>
        <v>0</v>
      </c>
      <c r="R10271" s="55" t="n">
        <f aca="false">SUM(K10271:N10271)</f>
        <v>0</v>
      </c>
      <c r="S10271" s="56" t="n">
        <f aca="false">SUM(P10271:R10271)</f>
        <v>0</v>
      </c>
    </row>
    <row r="10272" customFormat="false" ht="15" hidden="false" customHeight="false" outlineLevel="0" collapsed="false">
      <c r="A10272" s="4" t="s">
        <v>526</v>
      </c>
      <c r="B10272" s="36" t="s">
        <v>527</v>
      </c>
      <c r="C10272" s="48" t="n">
        <f aca="false">C10266+C10267*C10270</f>
        <v>0</v>
      </c>
      <c r="D10272" s="48" t="n">
        <f aca="false">D10266+D10267*D10270</f>
        <v>1.65024084796918</v>
      </c>
      <c r="E10272" s="48" t="n">
        <f aca="false">E10266+E10267*E10270</f>
        <v>2.82864200058743</v>
      </c>
      <c r="F10272" s="48" t="n">
        <f aca="false">F10266+F10267*F10270</f>
        <v>3.12115697399229</v>
      </c>
      <c r="G10272" s="48" t="n">
        <f aca="false">G10266+G10267*G10270</f>
        <v>3.41967042648192</v>
      </c>
      <c r="H10272" s="48" t="n">
        <f aca="false">H10266+H10267*H10270</f>
        <v>4.40037482234274</v>
      </c>
      <c r="I10272" s="48" t="n">
        <f aca="false">I10266+I10267*I10270</f>
        <v>5.31640126681646</v>
      </c>
      <c r="J10272" s="48" t="n">
        <f aca="false">J10266+J10267*J10270</f>
        <v>7.86798683341676</v>
      </c>
      <c r="K10272" s="48" t="n">
        <f aca="false">K10266+K10267*K10270</f>
        <v>10.1774450162906</v>
      </c>
      <c r="L10272" s="48" t="n">
        <f aca="false">L10266+L10267*L10270</f>
        <v>10.2497611839915</v>
      </c>
      <c r="M10272" s="48" t="n">
        <f aca="false">M10266+M10267*M10270</f>
        <v>9.94627356583056</v>
      </c>
      <c r="N10272" s="48" t="n">
        <f aca="false">N10266+N10267*N10270</f>
        <v>9.66384651369268</v>
      </c>
      <c r="P10272" s="49" t="n">
        <f aca="false">SUM(C10272:F10272)</f>
        <v>7.6000398225489</v>
      </c>
      <c r="Q10272" s="49" t="n">
        <f aca="false">SUM(G10272:J10272)</f>
        <v>21.0044333490579</v>
      </c>
      <c r="R10272" s="49" t="n">
        <f aca="false">SUM(K10272:N10272)</f>
        <v>40.0373262798053</v>
      </c>
      <c r="S10272" s="50" t="n">
        <f aca="false">SUM(P10272:R10272)</f>
        <v>68.6417994514121</v>
      </c>
    </row>
    <row r="10273" customFormat="false" ht="15" hidden="false" customHeight="false" outlineLevel="0" collapsed="false">
      <c r="A10273" s="4" t="s">
        <v>528</v>
      </c>
      <c r="B10273" s="36" t="s">
        <v>527</v>
      </c>
      <c r="C10273" s="48" t="n">
        <f aca="false">C10263*C10270</f>
        <v>0</v>
      </c>
      <c r="D10273" s="48" t="n">
        <f aca="false">D10263*D10270</f>
        <v>0.82682852241361</v>
      </c>
      <c r="E10273" s="48" t="n">
        <f aca="false">E10263*E10270</f>
        <v>1.41724881471753</v>
      </c>
      <c r="F10273" s="48" t="n">
        <f aca="false">F10263*F10270</f>
        <v>1.56380907199261</v>
      </c>
      <c r="G10273" s="48" t="n">
        <f aca="false">G10263*G10270</f>
        <v>1.71337477759632</v>
      </c>
      <c r="H10273" s="48" t="n">
        <f aca="false">H10263*H10270</f>
        <v>2.16124792937682</v>
      </c>
      <c r="I10273" s="48" t="n">
        <f aca="false">I10263*I10270</f>
        <v>2.58072106999291</v>
      </c>
      <c r="J10273" s="48" t="n">
        <f aca="false">J10263*J10270</f>
        <v>3.59240167854007</v>
      </c>
      <c r="K10273" s="48" t="n">
        <f aca="false">K10263*K10270</f>
        <v>4.52535538196121</v>
      </c>
      <c r="L10273" s="48" t="n">
        <f aca="false">L10263*L10270</f>
        <v>4.55751044231124</v>
      </c>
      <c r="M10273" s="48" t="n">
        <f aca="false">M10263*M10270</f>
        <v>4.42256603101697</v>
      </c>
      <c r="N10273" s="48" t="n">
        <f aca="false">N10263*N10270</f>
        <v>4.29698610615785</v>
      </c>
      <c r="P10273" s="49" t="n">
        <f aca="false">SUM(C10273:F10273)</f>
        <v>3.80788640912375</v>
      </c>
      <c r="Q10273" s="49" t="n">
        <f aca="false">SUM(G10273:J10273)</f>
        <v>10.0477454555061</v>
      </c>
      <c r="R10273" s="49" t="n">
        <f aca="false">SUM(K10273:N10273)</f>
        <v>17.8024179614473</v>
      </c>
      <c r="S10273" s="50" t="n">
        <f aca="false">SUM(P10273:R10273)</f>
        <v>31.6580498260772</v>
      </c>
    </row>
    <row r="10274" customFormat="false" ht="15" hidden="false" customHeight="false" outlineLevel="0" collapsed="false">
      <c r="A10274" s="4" t="s">
        <v>529</v>
      </c>
      <c r="B10274" s="36" t="s">
        <v>527</v>
      </c>
      <c r="C10274" s="48" t="n">
        <f aca="false">C10264*C10270</f>
        <v>0</v>
      </c>
      <c r="D10274" s="48" t="n">
        <f aca="false">D10264*D10270</f>
        <v>0</v>
      </c>
      <c r="E10274" s="48" t="n">
        <f aca="false">E10264*E10270</f>
        <v>0.135763201828408</v>
      </c>
      <c r="F10274" s="48" t="n">
        <f aca="false">F10264*F10270</f>
        <v>0.23270875599683</v>
      </c>
      <c r="G10274" s="48" t="n">
        <f aca="false">G10264*G10270</f>
        <v>0.256773588364218</v>
      </c>
      <c r="H10274" s="48" t="n">
        <f aca="false">H10264*H10270</f>
        <v>0.28133190792631</v>
      </c>
      <c r="I10274" s="48" t="n">
        <f aca="false">I10264*I10270</f>
        <v>0.331923758206833</v>
      </c>
      <c r="J10274" s="48" t="n">
        <f aca="false">J10264*J10270</f>
        <v>0.379965943515562</v>
      </c>
      <c r="K10274" s="48" t="n">
        <f aca="false">K10264*K10270</f>
        <v>0.505439363270855</v>
      </c>
      <c r="L10274" s="48" t="n">
        <f aca="false">L10264*L10270</f>
        <v>0.623336889188432</v>
      </c>
      <c r="M10274" s="48" t="n">
        <f aca="false">M10264*M10270</f>
        <v>0.627766029796957</v>
      </c>
      <c r="N10274" s="48" t="n">
        <f aca="false">N10264*N10270</f>
        <v>0.60917835602335</v>
      </c>
      <c r="P10274" s="49" t="n">
        <f aca="false">SUM(C10274:F10274)</f>
        <v>0.368471957825237</v>
      </c>
      <c r="Q10274" s="49" t="n">
        <f aca="false">SUM(G10274:J10274)</f>
        <v>1.24999519801292</v>
      </c>
      <c r="R10274" s="49" t="n">
        <f aca="false">SUM(K10274:N10274)</f>
        <v>2.36572063827959</v>
      </c>
      <c r="S10274" s="50" t="n">
        <f aca="false">SUM(P10274:R10274)</f>
        <v>3.98418779411775</v>
      </c>
    </row>
    <row r="10275" customFormat="false" ht="15" hidden="false" customHeight="false" outlineLevel="0" collapsed="false">
      <c r="A10275" s="9" t="s">
        <v>530</v>
      </c>
      <c r="B10275" s="36" t="s">
        <v>527</v>
      </c>
      <c r="C10275" s="49" t="n">
        <f aca="false">C10272+C10273+C10274</f>
        <v>0</v>
      </c>
      <c r="D10275" s="49" t="n">
        <f aca="false">D10272+D10273+D10274</f>
        <v>2.47706937038279</v>
      </c>
      <c r="E10275" s="49" t="n">
        <f aca="false">E10272+E10273+E10274</f>
        <v>4.38165401713337</v>
      </c>
      <c r="F10275" s="49" t="n">
        <f aca="false">F10272+F10273+F10274</f>
        <v>4.91767480198173</v>
      </c>
      <c r="G10275" s="49" t="n">
        <f aca="false">G10272+G10273+G10274</f>
        <v>5.38981879244246</v>
      </c>
      <c r="H10275" s="49" t="n">
        <f aca="false">H10272+H10273+H10274</f>
        <v>6.84295465964588</v>
      </c>
      <c r="I10275" s="49" t="n">
        <f aca="false">I10272+I10273+I10274</f>
        <v>8.22904609501621</v>
      </c>
      <c r="J10275" s="49" t="n">
        <f aca="false">J10272+J10273+J10274</f>
        <v>11.8403544554724</v>
      </c>
      <c r="K10275" s="49" t="n">
        <f aca="false">K10272+K10273+K10274</f>
        <v>15.2082397615227</v>
      </c>
      <c r="L10275" s="49" t="n">
        <f aca="false">L10272+L10273+L10274</f>
        <v>15.4306085154912</v>
      </c>
      <c r="M10275" s="49" t="n">
        <f aca="false">M10272+M10273+M10274</f>
        <v>14.9966056266445</v>
      </c>
      <c r="N10275" s="49" t="n">
        <f aca="false">N10272+N10273+N10274</f>
        <v>14.5700109758739</v>
      </c>
      <c r="P10275" s="49" t="n">
        <f aca="false">SUM(C10275:F10275)</f>
        <v>11.7763981894979</v>
      </c>
      <c r="Q10275" s="49" t="n">
        <f aca="false">SUM(G10275:J10275)</f>
        <v>32.3021740025769</v>
      </c>
      <c r="R10275" s="49" t="n">
        <f aca="false">SUM(K10275:N10275)</f>
        <v>60.2054648795322</v>
      </c>
      <c r="S10275" s="50" t="n">
        <f aca="false">SUM(P10275:R10275)</f>
        <v>104.284037071607</v>
      </c>
    </row>
    <row r="10276" customFormat="false" ht="15" hidden="false" customHeight="false" outlineLevel="0" collapsed="false">
      <c r="A10276" s="35" t="s">
        <v>533</v>
      </c>
      <c r="B10276" s="35" t="s">
        <v>444</v>
      </c>
      <c r="C10276" s="6" t="s">
        <v>354</v>
      </c>
      <c r="D10276" s="6" t="s">
        <v>355</v>
      </c>
      <c r="E10276" s="6" t="s">
        <v>356</v>
      </c>
      <c r="F10276" s="6" t="s">
        <v>357</v>
      </c>
      <c r="G10276" s="6" t="s">
        <v>358</v>
      </c>
      <c r="H10276" s="6" t="s">
        <v>359</v>
      </c>
      <c r="I10276" s="6" t="s">
        <v>360</v>
      </c>
      <c r="J10276" s="6" t="s">
        <v>361</v>
      </c>
      <c r="K10276" s="6" t="s">
        <v>362</v>
      </c>
      <c r="L10276" s="6" t="s">
        <v>363</v>
      </c>
      <c r="M10276" s="6" t="s">
        <v>364</v>
      </c>
      <c r="N10276" s="6" t="s">
        <v>365</v>
      </c>
      <c r="P10276" s="6" t="s">
        <v>445</v>
      </c>
      <c r="Q10276" s="6" t="s">
        <v>446</v>
      </c>
      <c r="R10276" s="6" t="s">
        <v>447</v>
      </c>
      <c r="S10276" s="6" t="s">
        <v>448</v>
      </c>
    </row>
    <row r="10277" customFormat="false" ht="15" hidden="false" customHeight="false" outlineLevel="0" collapsed="false">
      <c r="A10277" s="4" t="s">
        <v>534</v>
      </c>
      <c r="B10277" s="36" t="s">
        <v>527</v>
      </c>
      <c r="C10277" s="48" t="n">
        <f aca="false">0*Assumptions!$E$59^(1/4)+C10272</f>
        <v>0</v>
      </c>
      <c r="D10277" s="48" t="n">
        <f aca="false">C10277*Assumptions!$E$59^(1/4)+D10272</f>
        <v>1.65024084796918</v>
      </c>
      <c r="E10277" s="48" t="n">
        <f aca="false">D10277*Assumptions!$E$59^(1/4)+E10272</f>
        <v>4.42697770454101</v>
      </c>
      <c r="F10277" s="48" t="n">
        <f aca="false">E10277*Assumptions!$E$59^(1/4)+F10272</f>
        <v>7.4088926305675</v>
      </c>
      <c r="G10277" s="48" t="n">
        <f aca="false">F10277*Assumptions!$E$59^(1/4)+G10272</f>
        <v>10.595530624566</v>
      </c>
      <c r="H10277" s="48" t="n">
        <f aca="false">G10277*Assumptions!$E$59^(1/4)+H10272</f>
        <v>14.6626434605347</v>
      </c>
      <c r="I10277" s="48" t="n">
        <f aca="false">H10277*Assumptions!$E$59^(1/4)+I10272</f>
        <v>19.5178595485907</v>
      </c>
      <c r="J10277" s="48" t="n">
        <f aca="false">I10277*Assumptions!$E$59^(1/4)+J10272</f>
        <v>26.7719497426214</v>
      </c>
      <c r="K10277" s="48" t="n">
        <f aca="false">J10277*Assumptions!$E$59^(1/4)+K10272</f>
        <v>36.1073346992067</v>
      </c>
      <c r="L10277" s="48" t="n">
        <f aca="false">K10277*Assumptions!$E$59^(1/4)+L10272</f>
        <v>45.2214092893969</v>
      </c>
      <c r="M10277" s="48" t="n">
        <f aca="false">L10277*Assumptions!$E$59^(1/4)+M10272</f>
        <v>53.745330618193</v>
      </c>
      <c r="N10277" s="48" t="n">
        <f aca="false">M10277*Assumptions!$E$59^(1/4)+N10272</f>
        <v>61.7187213845708</v>
      </c>
      <c r="P10277" s="49" t="n">
        <f aca="false">F10277</f>
        <v>7.4088926305675</v>
      </c>
      <c r="Q10277" s="49" t="n">
        <f aca="false">J10277</f>
        <v>26.7719497426214</v>
      </c>
      <c r="R10277" s="49" t="n">
        <f aca="false">N10277</f>
        <v>61.7187213845708</v>
      </c>
      <c r="S10277" s="50" t="n">
        <f aca="false">R10277</f>
        <v>61.7187213845708</v>
      </c>
    </row>
    <row r="10278" customFormat="false" ht="15" hidden="false" customHeight="false" outlineLevel="0" collapsed="false">
      <c r="A10278" s="4" t="s">
        <v>535</v>
      </c>
      <c r="B10278" s="36" t="s">
        <v>527</v>
      </c>
      <c r="C10278" s="48" t="n">
        <f aca="false">0*Assumptions!$E$60^(1/4)+C10273</f>
        <v>0</v>
      </c>
      <c r="D10278" s="48" t="n">
        <f aca="false">C10278*Assumptions!$E$60^(1/4)+D10273</f>
        <v>0.82682852241361</v>
      </c>
      <c r="E10278" s="48" t="n">
        <f aca="false">D10278*Assumptions!$E$60^(1/4)+E10273</f>
        <v>2.22258289319968</v>
      </c>
      <c r="F10278" s="48" t="n">
        <f aca="false">E10278*Assumptions!$E$60^(1/4)+F10273</f>
        <v>3.72861313670987</v>
      </c>
      <c r="G10278" s="48" t="n">
        <f aca="false">F10278*Assumptions!$E$60^(1/4)+G10273</f>
        <v>5.34505794172232</v>
      </c>
      <c r="H10278" s="48" t="n">
        <f aca="false">G10278*Assumptions!$E$60^(1/4)+H10273</f>
        <v>7.36735438947465</v>
      </c>
      <c r="I10278" s="48" t="n">
        <f aca="false">H10278*Assumptions!$E$60^(1/4)+I10273</f>
        <v>9.75655184658408</v>
      </c>
      <c r="J10278" s="48" t="n">
        <f aca="false">I10278*Assumptions!$E$60^(1/4)+J10273</f>
        <v>13.0953197293056</v>
      </c>
      <c r="K10278" s="48" t="n">
        <f aca="false">J10278*Assumptions!$E$60^(1/4)+K10273</f>
        <v>17.280245858942</v>
      </c>
      <c r="L10278" s="48" t="n">
        <f aca="false">K10278*Assumptions!$E$60^(1/4)+L10273</f>
        <v>21.3885346480709</v>
      </c>
      <c r="M10278" s="48" t="n">
        <f aca="false">L10278*Assumptions!$E$60^(1/4)+M10273</f>
        <v>25.2550789087853</v>
      </c>
      <c r="N10278" s="48" t="n">
        <f aca="false">M10278*Assumptions!$E$60^(1/4)+N10273</f>
        <v>28.8955275795813</v>
      </c>
      <c r="P10278" s="49" t="n">
        <f aca="false">F10278</f>
        <v>3.72861313670987</v>
      </c>
      <c r="Q10278" s="49" t="n">
        <f aca="false">J10278</f>
        <v>13.0953197293056</v>
      </c>
      <c r="R10278" s="49" t="n">
        <f aca="false">N10278</f>
        <v>28.8955275795813</v>
      </c>
      <c r="S10278" s="50" t="n">
        <f aca="false">R10278</f>
        <v>28.8955275795813</v>
      </c>
    </row>
    <row r="10279" customFormat="false" ht="15" hidden="false" customHeight="false" outlineLevel="0" collapsed="false">
      <c r="A10279" s="4" t="s">
        <v>536</v>
      </c>
      <c r="B10279" s="36" t="s">
        <v>527</v>
      </c>
      <c r="C10279" s="48" t="n">
        <f aca="false">0*Assumptions!$E$61^(1/4)+C10274</f>
        <v>0</v>
      </c>
      <c r="D10279" s="48" t="n">
        <f aca="false">C10279*Assumptions!$E$61^(1/4)+D10274</f>
        <v>0</v>
      </c>
      <c r="E10279" s="48" t="n">
        <f aca="false">D10279*Assumptions!$E$61^(1/4)+E10274</f>
        <v>0.135763201828408</v>
      </c>
      <c r="F10279" s="48" t="n">
        <f aca="false">E10279*Assumptions!$E$61^(1/4)+F10274</f>
        <v>0.36567121202759</v>
      </c>
      <c r="G10279" s="48" t="n">
        <f aca="false">F10279*Assumptions!$E$61^(1/4)+G10274</f>
        <v>0.614901135417691</v>
      </c>
      <c r="H10279" s="48" t="n">
        <f aca="false">G10279*Assumptions!$E$61^(1/4)+H10274</f>
        <v>0.883547855105979</v>
      </c>
      <c r="I10279" s="48" t="n">
        <f aca="false">H10279*Assumptions!$E$61^(1/4)+I10274</f>
        <v>1.19724434031923</v>
      </c>
      <c r="J10279" s="48" t="n">
        <f aca="false">I10279*Assumptions!$E$61^(1/4)+J10274</f>
        <v>1.55251156570096</v>
      </c>
      <c r="K10279" s="48" t="n">
        <f aca="false">J10279*Assumptions!$E$61^(1/4)+K10274</f>
        <v>2.02592317634904</v>
      </c>
      <c r="L10279" s="48" t="n">
        <f aca="false">K10279*Assumptions!$E$61^(1/4)+L10274</f>
        <v>2.60746600244748</v>
      </c>
      <c r="M10279" s="48" t="n">
        <f aca="false">L10279*Assumptions!$E$61^(1/4)+M10274</f>
        <v>3.18144095078413</v>
      </c>
      <c r="N10279" s="48" t="n">
        <f aca="false">M10279*Assumptions!$E$61^(1/4)+N10274</f>
        <v>3.72498732956055</v>
      </c>
      <c r="P10279" s="49" t="n">
        <f aca="false">F10279</f>
        <v>0.36567121202759</v>
      </c>
      <c r="Q10279" s="49" t="n">
        <f aca="false">J10279</f>
        <v>1.55251156570096</v>
      </c>
      <c r="R10279" s="49" t="n">
        <f aca="false">N10279</f>
        <v>3.72498732956055</v>
      </c>
      <c r="S10279" s="50" t="n">
        <f aca="false">R10279</f>
        <v>3.72498732956055</v>
      </c>
    </row>
    <row r="10280" customFormat="false" ht="15" hidden="false" customHeight="false" outlineLevel="0" collapsed="false">
      <c r="A10280" s="9" t="s">
        <v>537</v>
      </c>
      <c r="B10280" s="36" t="s">
        <v>527</v>
      </c>
      <c r="C10280" s="49" t="n">
        <f aca="false">C10277+C10278+C10279</f>
        <v>0</v>
      </c>
      <c r="D10280" s="49" t="n">
        <f aca="false">D10277+D10278+D10279</f>
        <v>2.47706937038279</v>
      </c>
      <c r="E10280" s="49" t="n">
        <f aca="false">E10277+E10278+E10279</f>
        <v>6.7853237995691</v>
      </c>
      <c r="F10280" s="49" t="n">
        <f aca="false">F10277+F10278+F10279</f>
        <v>11.503176979305</v>
      </c>
      <c r="G10280" s="49" t="n">
        <f aca="false">G10277+G10278+G10279</f>
        <v>16.555489701706</v>
      </c>
      <c r="H10280" s="49" t="n">
        <f aca="false">H10277+H10278+H10279</f>
        <v>22.9135457051153</v>
      </c>
      <c r="I10280" s="49" t="n">
        <f aca="false">I10277+I10278+I10279</f>
        <v>30.471655735494</v>
      </c>
      <c r="J10280" s="49" t="n">
        <f aca="false">J10277+J10278+J10279</f>
        <v>41.419781037628</v>
      </c>
      <c r="K10280" s="49" t="n">
        <f aca="false">K10277+K10278+K10279</f>
        <v>55.4135037344977</v>
      </c>
      <c r="L10280" s="49" t="n">
        <f aca="false">L10277+L10278+L10279</f>
        <v>69.2174099399153</v>
      </c>
      <c r="M10280" s="49" t="n">
        <f aca="false">M10277+M10278+M10279</f>
        <v>82.1818504777625</v>
      </c>
      <c r="N10280" s="49" t="n">
        <f aca="false">N10277+N10278+N10279</f>
        <v>94.3392362937126</v>
      </c>
      <c r="P10280" s="49" t="n">
        <f aca="false">F10280</f>
        <v>11.503176979305</v>
      </c>
      <c r="Q10280" s="49" t="n">
        <f aca="false">J10280</f>
        <v>41.419781037628</v>
      </c>
      <c r="R10280" s="49" t="n">
        <f aca="false">N10280</f>
        <v>94.3392362937126</v>
      </c>
      <c r="S10280" s="50" t="n">
        <f aca="false">R10280</f>
        <v>94.3392362937126</v>
      </c>
    </row>
    <row r="10281" customFormat="false" ht="15" hidden="false" customHeight="false" outlineLevel="0" collapsed="false">
      <c r="A10281" s="4" t="s">
        <v>538</v>
      </c>
      <c r="B10281" s="36" t="s">
        <v>125</v>
      </c>
      <c r="C10281" s="54" t="n">
        <f aca="false">0*Assumptions!$E$62^(1/4)+C10272*$C$10221</f>
        <v>0</v>
      </c>
      <c r="D10281" s="54" t="n">
        <f aca="false">C10281*Assumptions!$E$62^(1/4)+D10272*$C$10221</f>
        <v>8832.08901833107</v>
      </c>
      <c r="E10281" s="54" t="n">
        <f aca="false">D10281*Assumptions!$E$62^(1/4)+E10272*$C$10221</f>
        <v>23970.981005475</v>
      </c>
      <c r="F10281" s="54" t="n">
        <f aca="false">E10281*Assumptions!$E$62^(1/4)+F10272*$C$10221</f>
        <v>40675.4131302817</v>
      </c>
      <c r="G10281" s="54" t="n">
        <f aca="false">F10281*Assumptions!$E$62^(1/4)+G10272*$C$10221</f>
        <v>58977.489252813</v>
      </c>
      <c r="H10281" s="54" t="n">
        <f aca="false">G10281*Assumptions!$E$62^(1/4)+H10272*$C$10221</f>
        <v>82528.2953019913</v>
      </c>
      <c r="I10281" s="54" t="n">
        <f aca="false">H10281*Assumptions!$E$62^(1/4)+I10272*$C$10221</f>
        <v>110981.674881993</v>
      </c>
      <c r="J10281" s="54" t="n">
        <f aca="false">I10281*Assumptions!$E$62^(1/4)+J10272*$C$10221</f>
        <v>153091.14041444</v>
      </c>
      <c r="K10281" s="54" t="n">
        <f aca="false">J10281*Assumptions!$E$62^(1/4)+K10272*$C$10221</f>
        <v>207560.826141627</v>
      </c>
      <c r="L10281" s="54" t="n">
        <f aca="false">K10281*Assumptions!$E$62^(1/4)+L10272*$C$10221</f>
        <v>262417.547998349</v>
      </c>
      <c r="M10281" s="54" t="n">
        <f aca="false">L10281*Assumptions!$E$62^(1/4)+M10272*$C$10221</f>
        <v>315650.004122674</v>
      </c>
      <c r="N10281" s="54" t="n">
        <f aca="false">M10281*Assumptions!$E$62^(1/4)+N10272*$C$10221</f>
        <v>367370.910663958</v>
      </c>
      <c r="P10281" s="55" t="n">
        <f aca="false">F10281</f>
        <v>40675.4131302817</v>
      </c>
      <c r="Q10281" s="55" t="n">
        <f aca="false">J10281</f>
        <v>153091.14041444</v>
      </c>
      <c r="R10281" s="55" t="n">
        <f aca="false">N10281</f>
        <v>367370.910663958</v>
      </c>
      <c r="S10281" s="56" t="n">
        <f aca="false">R10281</f>
        <v>367370.910663958</v>
      </c>
    </row>
    <row r="10282" customFormat="false" ht="15" hidden="false" customHeight="false" outlineLevel="0" collapsed="false">
      <c r="A10282" s="4" t="s">
        <v>539</v>
      </c>
      <c r="B10282" s="36" t="s">
        <v>125</v>
      </c>
      <c r="C10282" s="54" t="n">
        <f aca="false">0*Assumptions!$E$63^(1/4)+C10273*$C$10222</f>
        <v>0</v>
      </c>
      <c r="D10282" s="54" t="n">
        <f aca="false">C10282*Assumptions!$E$63^(1/4)+D10273*$C$10222</f>
        <v>20188.5069322084</v>
      </c>
      <c r="E10282" s="54" t="n">
        <f aca="false">D10282*Assumptions!$E$63^(1/4)+E10273*$C$10222</f>
        <v>55089.4312926859</v>
      </c>
      <c r="F10282" s="54" t="n">
        <f aca="false">E10282*Assumptions!$E$63^(1/4)+F10273*$C$10222</f>
        <v>94081.0189853821</v>
      </c>
      <c r="G10282" s="54" t="n">
        <f aca="false">F10282*Assumptions!$E$63^(1/4)+G10273*$C$10222</f>
        <v>137296.67920648</v>
      </c>
      <c r="H10282" s="54" t="n">
        <f aca="false">G10282*Assumptions!$E$63^(1/4)+H10273*$C$10222</f>
        <v>192082.108694294</v>
      </c>
      <c r="I10282" s="54" t="n">
        <f aca="false">H10282*Assumptions!$E$63^(1/4)+I10273*$C$10222</f>
        <v>257913.643061512</v>
      </c>
      <c r="J10282" s="54" t="n">
        <f aca="false">I10282*Assumptions!$E$63^(1/4)+J10273*$C$10222</f>
        <v>349413.182645495</v>
      </c>
      <c r="K10282" s="54" t="n">
        <f aca="false">J10282*Assumptions!$E$63^(1/4)+K10273*$C$10222</f>
        <v>465035.11668383</v>
      </c>
      <c r="L10282" s="54" t="n">
        <f aca="false">K10282*Assumptions!$E$63^(1/4)+L10273*$C$10222</f>
        <v>583138.79288387</v>
      </c>
      <c r="M10282" s="54" t="n">
        <f aca="false">L10282*Assumptions!$E$63^(1/4)+M10273*$C$10222</f>
        <v>699680.593515298</v>
      </c>
      <c r="N10282" s="54" t="n">
        <f aca="false">M10282*Assumptions!$E$63^(1/4)+N10273*$C$10222</f>
        <v>814866.250651687</v>
      </c>
      <c r="P10282" s="55" t="n">
        <f aca="false">F10282</f>
        <v>94081.0189853821</v>
      </c>
      <c r="Q10282" s="55" t="n">
        <f aca="false">J10282</f>
        <v>349413.182645495</v>
      </c>
      <c r="R10282" s="55" t="n">
        <f aca="false">N10282</f>
        <v>814866.250651687</v>
      </c>
      <c r="S10282" s="56" t="n">
        <f aca="false">R10282</f>
        <v>814866.250651687</v>
      </c>
    </row>
    <row r="10283" customFormat="false" ht="15" hidden="false" customHeight="false" outlineLevel="0" collapsed="false">
      <c r="A10283" s="4" t="s">
        <v>540</v>
      </c>
      <c r="B10283" s="36" t="s">
        <v>125</v>
      </c>
      <c r="C10283" s="54" t="n">
        <f aca="false">0*Assumptions!$E$64^(1/4)+C10274*$C$10223</f>
        <v>0</v>
      </c>
      <c r="D10283" s="54" t="n">
        <f aca="false">C10283*Assumptions!$E$64^(1/4)+D10274*$C$10223</f>
        <v>0</v>
      </c>
      <c r="E10283" s="54" t="n">
        <f aca="false">D10283*Assumptions!$E$64^(1/4)+E10274*$C$10223</f>
        <v>20968.0346693168</v>
      </c>
      <c r="F10283" s="54" t="n">
        <f aca="false">E10283*Assumptions!$E$64^(1/4)+F10274*$C$10223</f>
        <v>57654.4705280195</v>
      </c>
      <c r="G10283" s="54" t="n">
        <f aca="false">F10283*Assumptions!$E$64^(1/4)+G10274*$C$10223</f>
        <v>99362.1139233639</v>
      </c>
      <c r="H10283" s="54" t="n">
        <f aca="false">G10283*Assumptions!$E$64^(1/4)+H10274*$C$10223</f>
        <v>146345.726282154</v>
      </c>
      <c r="I10283" s="54" t="n">
        <f aca="false">H10283*Assumptions!$E$64^(1/4)+I10274*$C$10223</f>
        <v>202813.676239116</v>
      </c>
      <c r="J10283" s="54" t="n">
        <f aca="false">I10283*Assumptions!$E$64^(1/4)+J10274*$C$10223</f>
        <v>268709.423954864</v>
      </c>
      <c r="K10283" s="54" t="n">
        <f aca="false">J10283*Assumptions!$E$64^(1/4)+K10274*$C$10223</f>
        <v>356327.120384407</v>
      </c>
      <c r="L10283" s="54" t="n">
        <f aca="false">K10283*Assumptions!$E$64^(1/4)+L10274*$C$10223</f>
        <v>465269.092461903</v>
      </c>
      <c r="M10283" s="54" t="n">
        <f aca="false">L10283*Assumptions!$E$64^(1/4)+M10274*$C$10223</f>
        <v>578768.892957701</v>
      </c>
      <c r="N10283" s="54" t="n">
        <f aca="false">M10283*Assumptions!$E$64^(1/4)+N10274*$C$10223</f>
        <v>693433.742842014</v>
      </c>
      <c r="P10283" s="55" t="n">
        <f aca="false">F10283</f>
        <v>57654.4705280195</v>
      </c>
      <c r="Q10283" s="55" t="n">
        <f aca="false">J10283</f>
        <v>268709.423954864</v>
      </c>
      <c r="R10283" s="55" t="n">
        <f aca="false">N10283</f>
        <v>693433.742842014</v>
      </c>
      <c r="S10283" s="56" t="n">
        <f aca="false">R10283</f>
        <v>693433.742842014</v>
      </c>
    </row>
    <row r="10284" customFormat="false" ht="15" hidden="false" customHeight="false" outlineLevel="0" collapsed="false">
      <c r="A10284" s="9" t="s">
        <v>541</v>
      </c>
      <c r="B10284" s="36" t="s">
        <v>125</v>
      </c>
      <c r="C10284" s="55" t="n">
        <f aca="false">C10281+C10282+C10283</f>
        <v>0</v>
      </c>
      <c r="D10284" s="55" t="n">
        <f aca="false">D10281+D10282+D10283</f>
        <v>29020.5959505394</v>
      </c>
      <c r="E10284" s="55" t="n">
        <f aca="false">E10281+E10282+E10283</f>
        <v>100028.446967478</v>
      </c>
      <c r="F10284" s="55" t="n">
        <f aca="false">F10281+F10282+F10283</f>
        <v>192410.902643683</v>
      </c>
      <c r="G10284" s="55" t="n">
        <f aca="false">G10281+G10282+G10283</f>
        <v>295636.282382656</v>
      </c>
      <c r="H10284" s="55" t="n">
        <f aca="false">H10281+H10282+H10283</f>
        <v>420956.130278439</v>
      </c>
      <c r="I10284" s="55" t="n">
        <f aca="false">I10281+I10282+I10283</f>
        <v>571708.994182621</v>
      </c>
      <c r="J10284" s="55" t="n">
        <f aca="false">J10281+J10282+J10283</f>
        <v>771213.747014799</v>
      </c>
      <c r="K10284" s="55" t="n">
        <f aca="false">K10281+K10282+K10283</f>
        <v>1028923.06320986</v>
      </c>
      <c r="L10284" s="55" t="n">
        <f aca="false">L10281+L10282+L10283</f>
        <v>1310825.43334412</v>
      </c>
      <c r="M10284" s="55" t="n">
        <f aca="false">M10281+M10282+M10283</f>
        <v>1594099.49059567</v>
      </c>
      <c r="N10284" s="55" t="n">
        <f aca="false">N10281+N10282+N10283</f>
        <v>1875670.90415766</v>
      </c>
      <c r="P10284" s="55" t="n">
        <f aca="false">F10284</f>
        <v>192410.902643683</v>
      </c>
      <c r="Q10284" s="55" t="n">
        <f aca="false">J10284</f>
        <v>771213.747014799</v>
      </c>
      <c r="R10284" s="55" t="n">
        <f aca="false">N10284</f>
        <v>1875670.90415766</v>
      </c>
      <c r="S10284" s="56" t="n">
        <f aca="false">R10284</f>
        <v>1875670.90415766</v>
      </c>
    </row>
    <row r="10285" customFormat="false" ht="15" hidden="false" customHeight="false" outlineLevel="0" collapsed="false">
      <c r="A10285" s="4" t="s">
        <v>542</v>
      </c>
      <c r="B10285" s="36" t="s">
        <v>125</v>
      </c>
      <c r="C10285" s="54" t="n">
        <f aca="false">C10272*$C$10221+C10273*$C$10222+C10274*$C$10223</f>
        <v>0</v>
      </c>
      <c r="D10285" s="54" t="n">
        <f aca="false">D10272*$C$10221+D10273*$C$10222+D10274*$C$10223</f>
        <v>29020.5959505394</v>
      </c>
      <c r="E10285" s="54" t="n">
        <f aca="false">E10272*$C$10221+E10273*$C$10222+E10274*$C$10223</f>
        <v>70711.6079718401</v>
      </c>
      <c r="F10285" s="54" t="n">
        <f aca="false">F10272*$C$10221+F10273*$C$10222+F10274*$C$10223</f>
        <v>90828.4988583924</v>
      </c>
      <c r="G10285" s="54" t="n">
        <f aca="false">G10272*$C$10221+G10273*$C$10222+G10274*$C$10223</f>
        <v>99794.7672745199</v>
      </c>
      <c r="H10285" s="54" t="n">
        <f aca="false">H10272*$C$10221+H10273*$C$10222+H10274*$C$10223</f>
        <v>119772.051913287</v>
      </c>
      <c r="I10285" s="54" t="n">
        <f aca="false">I10272*$C$10221+I10273*$C$10222+I10274*$C$10223</f>
        <v>142730.508082039</v>
      </c>
      <c r="J10285" s="54" t="n">
        <f aca="false">J10272*$C$10221+J10273*$C$10222+J10274*$C$10223</f>
        <v>188508.503526259</v>
      </c>
      <c r="K10285" s="54" t="n">
        <f aca="false">K10272*$C$10221+K10273*$C$10222+K10274*$C$10223</f>
        <v>243027.290692922</v>
      </c>
      <c r="L10285" s="54" t="n">
        <f aca="false">L10272*$C$10221+L10273*$C$10222+L10274*$C$10223</f>
        <v>262408.209419797</v>
      </c>
      <c r="M10285" s="54" t="n">
        <f aca="false">M10272*$C$10221+M10273*$C$10222+M10274*$C$10223</f>
        <v>258173.094400637</v>
      </c>
      <c r="N10285" s="54" t="n">
        <f aca="false">N10272*$C$10221+N10273*$C$10222+N10274*$C$10223</f>
        <v>250724.4996856</v>
      </c>
      <c r="P10285" s="55" t="n">
        <f aca="false">SUM(C10285:F10285)</f>
        <v>190560.702780772</v>
      </c>
      <c r="Q10285" s="55" t="n">
        <f aca="false">SUM(G10285:J10285)</f>
        <v>550805.830796106</v>
      </c>
      <c r="R10285" s="55" t="n">
        <f aca="false">SUM(K10285:N10285)</f>
        <v>1014333.09419896</v>
      </c>
      <c r="S10285" s="56" t="n">
        <f aca="false">SUM(P10285:R10285)</f>
        <v>1755699.62777583</v>
      </c>
    </row>
    <row r="10286" customFormat="false" ht="15" hidden="false" customHeight="false" outlineLevel="0" collapsed="false">
      <c r="A10286" s="9" t="s">
        <v>543</v>
      </c>
      <c r="B10286" s="36" t="s">
        <v>125</v>
      </c>
      <c r="C10286" s="55" t="n">
        <f aca="false">(0+C10284)/8</f>
        <v>0</v>
      </c>
      <c r="D10286" s="55" t="n">
        <f aca="false">(C10284+D10284)/8</f>
        <v>3627.57449381743</v>
      </c>
      <c r="E10286" s="55" t="n">
        <f aca="false">(D10284+E10284)/8</f>
        <v>16131.1303647521</v>
      </c>
      <c r="F10286" s="55" t="n">
        <f aca="false">(E10284+F10284)/8</f>
        <v>36554.9187013951</v>
      </c>
      <c r="G10286" s="55" t="n">
        <f aca="false">(F10284+G10284)/8</f>
        <v>61005.8981282925</v>
      </c>
      <c r="H10286" s="55" t="n">
        <f aca="false">(G10284+H10284)/8</f>
        <v>89574.0515826369</v>
      </c>
      <c r="I10286" s="55" t="n">
        <f aca="false">(H10284+I10284)/8</f>
        <v>124083.140557633</v>
      </c>
      <c r="J10286" s="55" t="n">
        <f aca="false">(I10284+J10284)/8</f>
        <v>167865.342649678</v>
      </c>
      <c r="K10286" s="55" t="n">
        <f aca="false">(J10284+K10284)/8</f>
        <v>225017.101278083</v>
      </c>
      <c r="L10286" s="55" t="n">
        <f aca="false">(K10284+L10284)/8</f>
        <v>292468.562069248</v>
      </c>
      <c r="M10286" s="55" t="n">
        <f aca="false">(L10284+M10284)/8</f>
        <v>363115.615492474</v>
      </c>
      <c r="N10286" s="55" t="n">
        <f aca="false">(M10284+N10284)/8</f>
        <v>433721.299344166</v>
      </c>
      <c r="P10286" s="55" t="n">
        <f aca="false">SUM(C10286:F10286)</f>
        <v>56313.6235599647</v>
      </c>
      <c r="Q10286" s="55" t="n">
        <f aca="false">SUM(G10286:J10286)</f>
        <v>442528.43291824</v>
      </c>
      <c r="R10286" s="55" t="n">
        <f aca="false">SUM(K10286:N10286)</f>
        <v>1314322.57818397</v>
      </c>
      <c r="S10286" s="56" t="n">
        <f aca="false">SUM(P10286:R10286)</f>
        <v>1813164.63466218</v>
      </c>
    </row>
    <row r="10287" customFormat="false" ht="15" hidden="false" customHeight="false" outlineLevel="0" collapsed="false">
      <c r="A10287" s="4" t="s">
        <v>544</v>
      </c>
      <c r="B10287" s="36" t="s">
        <v>125</v>
      </c>
      <c r="C10287" s="54" t="n">
        <f aca="false">C10286*Assumptions!$E$76</f>
        <v>0</v>
      </c>
      <c r="D10287" s="54" t="n">
        <f aca="false">D10286*Assumptions!$E$76</f>
        <v>2357.92342098133</v>
      </c>
      <c r="E10287" s="54" t="n">
        <f aca="false">E10286*Assumptions!$E$76</f>
        <v>10485.2347370889</v>
      </c>
      <c r="F10287" s="54" t="n">
        <f aca="false">F10286*Assumptions!$E$76</f>
        <v>23760.6971559068</v>
      </c>
      <c r="G10287" s="54" t="n">
        <f aca="false">G10286*Assumptions!$E$76</f>
        <v>39653.8337833901</v>
      </c>
      <c r="H10287" s="54" t="n">
        <f aca="false">H10286*Assumptions!$E$76</f>
        <v>58223.133528714</v>
      </c>
      <c r="I10287" s="54" t="n">
        <f aca="false">I10286*Assumptions!$E$76</f>
        <v>80654.0413624612</v>
      </c>
      <c r="J10287" s="54" t="n">
        <f aca="false">J10286*Assumptions!$E$76</f>
        <v>109112.47272229</v>
      </c>
      <c r="K10287" s="54" t="n">
        <f aca="false">K10286*Assumptions!$E$76</f>
        <v>146261.115830754</v>
      </c>
      <c r="L10287" s="54" t="n">
        <f aca="false">L10286*Assumptions!$E$76</f>
        <v>190104.565345011</v>
      </c>
      <c r="M10287" s="54" t="n">
        <f aca="false">M10286*Assumptions!$E$76</f>
        <v>236025.150070108</v>
      </c>
      <c r="N10287" s="54" t="n">
        <f aca="false">N10286*Assumptions!$E$76</f>
        <v>281918.844573708</v>
      </c>
      <c r="P10287" s="55" t="n">
        <f aca="false">SUM(C10287:F10287)</f>
        <v>36603.8553139771</v>
      </c>
      <c r="Q10287" s="55" t="n">
        <f aca="false">SUM(G10287:J10287)</f>
        <v>287643.481396856</v>
      </c>
      <c r="R10287" s="55" t="n">
        <f aca="false">SUM(K10287:N10287)</f>
        <v>854309.675819582</v>
      </c>
      <c r="S10287" s="56" t="n">
        <f aca="false">SUM(P10287:R10287)</f>
        <v>1178557.01253041</v>
      </c>
    </row>
    <row r="10288" customFormat="false" ht="15" hidden="false" customHeight="false" outlineLevel="0" collapsed="false">
      <c r="A10288" s="35" t="s">
        <v>547</v>
      </c>
      <c r="B10288" s="35" t="s">
        <v>444</v>
      </c>
      <c r="C10288" s="6" t="s">
        <v>354</v>
      </c>
      <c r="D10288" s="6" t="s">
        <v>355</v>
      </c>
      <c r="E10288" s="6" t="s">
        <v>356</v>
      </c>
      <c r="F10288" s="6" t="s">
        <v>357</v>
      </c>
      <c r="G10288" s="6" t="s">
        <v>358</v>
      </c>
      <c r="H10288" s="6" t="s">
        <v>359</v>
      </c>
      <c r="I10288" s="6" t="s">
        <v>360</v>
      </c>
      <c r="J10288" s="6" t="s">
        <v>361</v>
      </c>
      <c r="K10288" s="6" t="s">
        <v>362</v>
      </c>
      <c r="L10288" s="6" t="s">
        <v>363</v>
      </c>
      <c r="M10288" s="6" t="s">
        <v>364</v>
      </c>
      <c r="N10288" s="6" t="s">
        <v>365</v>
      </c>
      <c r="P10288" s="6" t="s">
        <v>445</v>
      </c>
      <c r="Q10288" s="6" t="s">
        <v>446</v>
      </c>
      <c r="R10288" s="6" t="s">
        <v>447</v>
      </c>
      <c r="S10288" s="6" t="s">
        <v>448</v>
      </c>
    </row>
    <row r="10289" customFormat="false" ht="15" hidden="false" customHeight="false" outlineLevel="0" collapsed="false">
      <c r="A10289" s="4" t="s">
        <v>548</v>
      </c>
      <c r="B10289" s="36" t="s">
        <v>321</v>
      </c>
      <c r="C10289" s="48" t="n">
        <f aca="false">Assumptions!$D$97*C10231</f>
        <v>1</v>
      </c>
      <c r="D10289" s="48" t="n">
        <f aca="false">Assumptions!$D$97*D10231</f>
        <v>1</v>
      </c>
      <c r="E10289" s="48" t="n">
        <f aca="false">Assumptions!$D$97*E10231</f>
        <v>1</v>
      </c>
      <c r="F10289" s="48" t="n">
        <f aca="false">Assumptions!$D$97*F10231</f>
        <v>1</v>
      </c>
      <c r="G10289" s="48" t="n">
        <f aca="false">Assumptions!$D$97*G10231</f>
        <v>1</v>
      </c>
      <c r="H10289" s="48" t="n">
        <f aca="false">Assumptions!$D$97*H10231</f>
        <v>1</v>
      </c>
      <c r="I10289" s="48" t="n">
        <f aca="false">Assumptions!$D$97*I10231</f>
        <v>1</v>
      </c>
      <c r="J10289" s="48" t="n">
        <f aca="false">Assumptions!$D$97*J10231</f>
        <v>1</v>
      </c>
      <c r="K10289" s="48" t="n">
        <f aca="false">Assumptions!$D$97*K10231</f>
        <v>1</v>
      </c>
      <c r="L10289" s="48" t="n">
        <f aca="false">Assumptions!$D$97*L10231</f>
        <v>1</v>
      </c>
      <c r="M10289" s="48" t="n">
        <f aca="false">Assumptions!$D$97*M10231</f>
        <v>1</v>
      </c>
      <c r="N10289" s="48" t="n">
        <f aca="false">Assumptions!$D$97*N10231</f>
        <v>1</v>
      </c>
      <c r="P10289" s="49" t="n">
        <f aca="false">AVERAGE(C10289:F10289)</f>
        <v>1</v>
      </c>
      <c r="Q10289" s="49" t="n">
        <f aca="false">AVERAGE(G10289:J10289)</f>
        <v>1</v>
      </c>
      <c r="R10289" s="49" t="n">
        <f aca="false">AVERAGE(K10289:N10289)</f>
        <v>1</v>
      </c>
      <c r="S10289" s="50"/>
    </row>
    <row r="10290" customFormat="false" ht="15" hidden="false" customHeight="false" outlineLevel="0" collapsed="false">
      <c r="A10290" s="4" t="s">
        <v>549</v>
      </c>
      <c r="B10290" s="36" t="s">
        <v>321</v>
      </c>
      <c r="C10290" s="48" t="n">
        <f aca="false">C10244*C10231</f>
        <v>0</v>
      </c>
      <c r="D10290" s="48" t="n">
        <f aca="false">D10244*D10231</f>
        <v>0</v>
      </c>
      <c r="E10290" s="48" t="n">
        <f aca="false">E10244*E10231</f>
        <v>0</v>
      </c>
      <c r="F10290" s="48" t="n">
        <f aca="false">F10244*F10231</f>
        <v>0</v>
      </c>
      <c r="G10290" s="48" t="n">
        <f aca="false">G10244*G10231</f>
        <v>0</v>
      </c>
      <c r="H10290" s="48" t="n">
        <f aca="false">H10244*H10231</f>
        <v>0</v>
      </c>
      <c r="I10290" s="48" t="n">
        <f aca="false">I10244*I10231</f>
        <v>0</v>
      </c>
      <c r="J10290" s="48" t="n">
        <f aca="false">J10244*J10231</f>
        <v>0</v>
      </c>
      <c r="K10290" s="48" t="n">
        <f aca="false">K10244*K10231</f>
        <v>0</v>
      </c>
      <c r="L10290" s="48" t="n">
        <f aca="false">L10244*L10231</f>
        <v>0</v>
      </c>
      <c r="M10290" s="48" t="n">
        <f aca="false">M10244*M10231</f>
        <v>0</v>
      </c>
      <c r="N10290" s="48" t="n">
        <f aca="false">N10244*N10231</f>
        <v>0</v>
      </c>
      <c r="P10290" s="49" t="n">
        <f aca="false">AVERAGE(C10290:F10290)</f>
        <v>0</v>
      </c>
      <c r="Q10290" s="49" t="n">
        <f aca="false">AVERAGE(G10290:J10290)</f>
        <v>0</v>
      </c>
      <c r="R10290" s="49" t="n">
        <f aca="false">AVERAGE(K10290:N10290)</f>
        <v>0</v>
      </c>
      <c r="S10290" s="50"/>
    </row>
    <row r="10291" customFormat="false" ht="15" hidden="false" customHeight="false" outlineLevel="0" collapsed="false">
      <c r="A10291" s="4" t="s">
        <v>550</v>
      </c>
      <c r="B10291" s="36" t="s">
        <v>321</v>
      </c>
      <c r="C10291" s="48" t="n">
        <f aca="false">IF(C10230&lt;=4,Assumptions!$D$98,Assumptions!$D$99)*C10231</f>
        <v>0</v>
      </c>
      <c r="D10291" s="48" t="n">
        <f aca="false">IF(D10230&lt;=4,Assumptions!$D$98,Assumptions!$D$99)*D10231</f>
        <v>0</v>
      </c>
      <c r="E10291" s="48" t="n">
        <f aca="false">IF(E10230&lt;=4,Assumptions!$D$98,Assumptions!$D$99)*E10231</f>
        <v>0</v>
      </c>
      <c r="F10291" s="48" t="n">
        <f aca="false">IF(F10230&lt;=4,Assumptions!$D$98,Assumptions!$D$99)*F10231</f>
        <v>0</v>
      </c>
      <c r="G10291" s="48" t="n">
        <f aca="false">IF(G10230&lt;=4,Assumptions!$D$98,Assumptions!$D$99)*G10231</f>
        <v>0.5</v>
      </c>
      <c r="H10291" s="48" t="n">
        <f aca="false">IF(H10230&lt;=4,Assumptions!$D$98,Assumptions!$D$99)*H10231</f>
        <v>0.5</v>
      </c>
      <c r="I10291" s="48" t="n">
        <f aca="false">IF(I10230&lt;=4,Assumptions!$D$98,Assumptions!$D$99)*I10231</f>
        <v>0.5</v>
      </c>
      <c r="J10291" s="48" t="n">
        <f aca="false">IF(J10230&lt;=4,Assumptions!$D$98,Assumptions!$D$99)*J10231</f>
        <v>0.5</v>
      </c>
      <c r="K10291" s="48" t="n">
        <f aca="false">IF(K10230&lt;=4,Assumptions!$D$98,Assumptions!$D$99)*K10231</f>
        <v>0.5</v>
      </c>
      <c r="L10291" s="48" t="n">
        <f aca="false">IF(L10230&lt;=4,Assumptions!$D$98,Assumptions!$D$99)*L10231</f>
        <v>0.5</v>
      </c>
      <c r="M10291" s="48" t="n">
        <f aca="false">IF(M10230&lt;=4,Assumptions!$D$98,Assumptions!$D$99)*M10231</f>
        <v>0.5</v>
      </c>
      <c r="N10291" s="48" t="n">
        <f aca="false">IF(N10230&lt;=4,Assumptions!$D$98,Assumptions!$D$99)*N10231</f>
        <v>0.5</v>
      </c>
      <c r="P10291" s="49" t="n">
        <f aca="false">AVERAGE(C10291:F10291)</f>
        <v>0</v>
      </c>
      <c r="Q10291" s="49" t="n">
        <f aca="false">AVERAGE(G10291:J10291)</f>
        <v>0.5</v>
      </c>
      <c r="R10291" s="49" t="n">
        <f aca="false">AVERAGE(K10291:N10291)</f>
        <v>0.5</v>
      </c>
      <c r="S10291" s="50"/>
    </row>
    <row r="10292" customFormat="false" ht="15" hidden="false" customHeight="false" outlineLevel="0" collapsed="false">
      <c r="A10292" s="4" t="s">
        <v>551</v>
      </c>
      <c r="B10292" s="36" t="s">
        <v>321</v>
      </c>
      <c r="C10292" s="48" t="n">
        <f aca="false">IF(C10230&lt;=4,Assumptions!$D$100,Assumptions!$D$101)*C10231</f>
        <v>1</v>
      </c>
      <c r="D10292" s="48" t="n">
        <f aca="false">IF(D10230&lt;=4,Assumptions!$D$100,Assumptions!$D$101)*D10231</f>
        <v>1</v>
      </c>
      <c r="E10292" s="48" t="n">
        <f aca="false">IF(E10230&lt;=4,Assumptions!$D$100,Assumptions!$D$101)*E10231</f>
        <v>1</v>
      </c>
      <c r="F10292" s="48" t="n">
        <f aca="false">IF(F10230&lt;=4,Assumptions!$D$100,Assumptions!$D$101)*F10231</f>
        <v>1</v>
      </c>
      <c r="G10292" s="48" t="n">
        <f aca="false">IF(G10230&lt;=4,Assumptions!$D$100,Assumptions!$D$101)*G10231</f>
        <v>0.5</v>
      </c>
      <c r="H10292" s="48" t="n">
        <f aca="false">IF(H10230&lt;=4,Assumptions!$D$100,Assumptions!$D$101)*H10231</f>
        <v>0.5</v>
      </c>
      <c r="I10292" s="48" t="n">
        <f aca="false">IF(I10230&lt;=4,Assumptions!$D$100,Assumptions!$D$101)*I10231</f>
        <v>0.5</v>
      </c>
      <c r="J10292" s="48" t="n">
        <f aca="false">IF(J10230&lt;=4,Assumptions!$D$100,Assumptions!$D$101)*J10231</f>
        <v>0.5</v>
      </c>
      <c r="K10292" s="48" t="n">
        <f aca="false">IF(K10230&lt;=4,Assumptions!$D$100,Assumptions!$D$101)*K10231</f>
        <v>0.5</v>
      </c>
      <c r="L10292" s="48" t="n">
        <f aca="false">IF(L10230&lt;=4,Assumptions!$D$100,Assumptions!$D$101)*L10231</f>
        <v>0.5</v>
      </c>
      <c r="M10292" s="48" t="n">
        <f aca="false">IF(M10230&lt;=4,Assumptions!$D$100,Assumptions!$D$101)*M10231</f>
        <v>0.5</v>
      </c>
      <c r="N10292" s="48" t="n">
        <f aca="false">IF(N10230&lt;=4,Assumptions!$D$100,Assumptions!$D$101)*N10231</f>
        <v>0.5</v>
      </c>
      <c r="P10292" s="49" t="n">
        <f aca="false">AVERAGE(C10292:F10292)</f>
        <v>1</v>
      </c>
      <c r="Q10292" s="49" t="n">
        <f aca="false">AVERAGE(G10292:J10292)</f>
        <v>0.5</v>
      </c>
      <c r="R10292" s="49" t="n">
        <f aca="false">AVERAGE(K10292:N10292)</f>
        <v>0.5</v>
      </c>
      <c r="S10292" s="50"/>
    </row>
    <row r="10293" customFormat="false" ht="15" hidden="false" customHeight="false" outlineLevel="0" collapsed="false">
      <c r="A10293" s="4" t="s">
        <v>552</v>
      </c>
      <c r="B10293" s="36" t="s">
        <v>321</v>
      </c>
      <c r="C10293" s="48" t="n">
        <f aca="false">Assumptions!$D$102*C10231</f>
        <v>0.25</v>
      </c>
      <c r="D10293" s="48" t="n">
        <f aca="false">Assumptions!$D$102*D10231</f>
        <v>0.25</v>
      </c>
      <c r="E10293" s="48" t="n">
        <f aca="false">Assumptions!$D$102*E10231</f>
        <v>0.25</v>
      </c>
      <c r="F10293" s="48" t="n">
        <f aca="false">Assumptions!$D$102*F10231</f>
        <v>0.25</v>
      </c>
      <c r="G10293" s="48" t="n">
        <f aca="false">Assumptions!$D$102*G10231</f>
        <v>0.25</v>
      </c>
      <c r="H10293" s="48" t="n">
        <f aca="false">Assumptions!$D$102*H10231</f>
        <v>0.25</v>
      </c>
      <c r="I10293" s="48" t="n">
        <f aca="false">Assumptions!$D$102*I10231</f>
        <v>0.25</v>
      </c>
      <c r="J10293" s="48" t="n">
        <f aca="false">Assumptions!$D$102*J10231</f>
        <v>0.25</v>
      </c>
      <c r="K10293" s="48" t="n">
        <f aca="false">Assumptions!$D$102*K10231</f>
        <v>0.25</v>
      </c>
      <c r="L10293" s="48" t="n">
        <f aca="false">Assumptions!$D$102*L10231</f>
        <v>0.25</v>
      </c>
      <c r="M10293" s="48" t="n">
        <f aca="false">Assumptions!$D$102*M10231</f>
        <v>0.25</v>
      </c>
      <c r="N10293" s="48" t="n">
        <f aca="false">Assumptions!$D$102*N10231</f>
        <v>0.25</v>
      </c>
      <c r="P10293" s="49" t="n">
        <f aca="false">AVERAGE(C10293:F10293)</f>
        <v>0.25</v>
      </c>
      <c r="Q10293" s="49" t="n">
        <f aca="false">AVERAGE(G10293:J10293)</f>
        <v>0.25</v>
      </c>
      <c r="R10293" s="49" t="n">
        <f aca="false">AVERAGE(K10293:N10293)</f>
        <v>0.25</v>
      </c>
      <c r="S10293" s="50"/>
    </row>
    <row r="10294" customFormat="false" ht="15" hidden="false" customHeight="false" outlineLevel="0" collapsed="false">
      <c r="A10294" s="4" t="s">
        <v>553</v>
      </c>
      <c r="B10294" s="36" t="s">
        <v>321</v>
      </c>
      <c r="C10294" s="48" t="n">
        <f aca="false">(C10278+C10279)/Assumptions!$E$74+C10277/Assumptions!$E$75</f>
        <v>0</v>
      </c>
      <c r="D10294" s="48" t="n">
        <f aca="false">(D10278+D10279)/Assumptions!$E$74+D10277/Assumptions!$E$75</f>
        <v>0.027271676452217</v>
      </c>
      <c r="E10294" s="48" t="n">
        <f aca="false">(E10278+E10279)/Assumptions!$E$74+E10277/Assumptions!$E$75</f>
        <v>0.0766665631938663</v>
      </c>
      <c r="F10294" s="48" t="n">
        <f aca="false">(F10278+F10279)/Assumptions!$E$74+F10277/Assumptions!$E$75</f>
        <v>0.131992679240707</v>
      </c>
      <c r="G10294" s="48" t="n">
        <f aca="false">(G10278+G10279)/Assumptions!$E$74+G10277/Assumptions!$E$75</f>
        <v>0.191381099426764</v>
      </c>
      <c r="H10294" s="48" t="n">
        <f aca="false">(H10278+H10279)/Assumptions!$E$74+H10277/Assumptions!$E$75</f>
        <v>0.264923129956655</v>
      </c>
      <c r="I10294" s="48" t="n">
        <f aca="false">(I10278+I10279)/Assumptions!$E$74+I10277/Assumptions!$E$75</f>
        <v>0.351916342866946</v>
      </c>
      <c r="J10294" s="48" t="n">
        <f aca="false">(J10278+J10279)/Assumptions!$E$74+J10277/Assumptions!$E$75</f>
        <v>0.47328358134565</v>
      </c>
      <c r="K10294" s="48" t="n">
        <f aca="false">(K10278+K10279)/Assumptions!$E$74+K10277/Assumptions!$E$75</f>
        <v>0.627083564679102</v>
      </c>
      <c r="L10294" s="48" t="n">
        <f aca="false">(L10278+L10279)/Assumptions!$E$74+L10277/Assumptions!$E$75</f>
        <v>0.780785653420548</v>
      </c>
      <c r="M10294" s="48" t="n">
        <f aca="false">(M10278+M10279)/Assumptions!$E$74+M10277/Assumptions!$E$75</f>
        <v>0.925894318962009</v>
      </c>
      <c r="N10294" s="48" t="n">
        <f aca="false">(N10278+N10279)/Assumptions!$E$74+N10277/Assumptions!$E$75</f>
        <v>1.06238775826683</v>
      </c>
      <c r="P10294" s="49" t="n">
        <f aca="false">AVERAGE(C10294:F10294)</f>
        <v>0.0589827297216975</v>
      </c>
      <c r="Q10294" s="49" t="n">
        <f aca="false">AVERAGE(G10294:J10294)</f>
        <v>0.320376038399004</v>
      </c>
      <c r="R10294" s="49" t="n">
        <f aca="false">AVERAGE(K10294:N10294)</f>
        <v>0.849037823832122</v>
      </c>
      <c r="S10294" s="50"/>
    </row>
    <row r="10295" customFormat="false" ht="15" hidden="false" customHeight="false" outlineLevel="0" collapsed="false">
      <c r="A10295" s="4" t="s">
        <v>554</v>
      </c>
      <c r="B10295" s="36" t="s">
        <v>125</v>
      </c>
      <c r="C10295" s="54" t="n">
        <f aca="false">(C10289+C10291)*Assumptions!$E$70/Assumptions!$E$69/4</f>
        <v>66753.5714285714</v>
      </c>
      <c r="D10295" s="54" t="n">
        <f aca="false">(D10289+D10291)*Assumptions!$E$70/Assumptions!$E$69/4</f>
        <v>66753.5714285714</v>
      </c>
      <c r="E10295" s="54" t="n">
        <f aca="false">(E10289+E10291)*Assumptions!$E$70/Assumptions!$E$69/4</f>
        <v>66753.5714285714</v>
      </c>
      <c r="F10295" s="54" t="n">
        <f aca="false">(F10289+F10291)*Assumptions!$E$70/Assumptions!$E$69/4</f>
        <v>66753.5714285714</v>
      </c>
      <c r="G10295" s="54" t="n">
        <f aca="false">(G10289+G10291)*Assumptions!$E$70/Assumptions!$E$69/4</f>
        <v>100130.357142857</v>
      </c>
      <c r="H10295" s="54" t="n">
        <f aca="false">(H10289+H10291)*Assumptions!$E$70/Assumptions!$E$69/4</f>
        <v>100130.357142857</v>
      </c>
      <c r="I10295" s="54" t="n">
        <f aca="false">(I10289+I10291)*Assumptions!$E$70/Assumptions!$E$69/4</f>
        <v>100130.357142857</v>
      </c>
      <c r="J10295" s="54" t="n">
        <f aca="false">(J10289+J10291)*Assumptions!$E$70/Assumptions!$E$69/4</f>
        <v>100130.357142857</v>
      </c>
      <c r="K10295" s="54" t="n">
        <f aca="false">(K10289+K10291)*Assumptions!$E$70/Assumptions!$E$69/4</f>
        <v>100130.357142857</v>
      </c>
      <c r="L10295" s="54" t="n">
        <f aca="false">(L10289+L10291)*Assumptions!$E$70/Assumptions!$E$69/4</f>
        <v>100130.357142857</v>
      </c>
      <c r="M10295" s="54" t="n">
        <f aca="false">(M10289+M10291)*Assumptions!$E$70/Assumptions!$E$69/4</f>
        <v>100130.357142857</v>
      </c>
      <c r="N10295" s="54" t="n">
        <f aca="false">(N10289+N10291)*Assumptions!$E$70/Assumptions!$E$69/4</f>
        <v>100130.357142857</v>
      </c>
      <c r="P10295" s="55" t="n">
        <f aca="false">SUM(C10295:F10295)</f>
        <v>267014.285714286</v>
      </c>
      <c r="Q10295" s="55" t="n">
        <f aca="false">SUM(G10295:J10295)</f>
        <v>400521.428571429</v>
      </c>
      <c r="R10295" s="55" t="n">
        <f aca="false">SUM(K10295:N10295)</f>
        <v>400521.428571429</v>
      </c>
      <c r="S10295" s="56" t="n">
        <f aca="false">SUM(P10295:R10295)</f>
        <v>1068057.14285714</v>
      </c>
    </row>
    <row r="10296" customFormat="false" ht="15" hidden="false" customHeight="false" outlineLevel="0" collapsed="false">
      <c r="A10296" s="4" t="s">
        <v>555</v>
      </c>
      <c r="B10296" s="36" t="s">
        <v>125</v>
      </c>
      <c r="C10296" s="54" t="n">
        <f aca="false">C10290*$C$10225/4</f>
        <v>0</v>
      </c>
      <c r="D10296" s="54" t="n">
        <f aca="false">D10290*$C$10225/4</f>
        <v>0</v>
      </c>
      <c r="E10296" s="54" t="n">
        <f aca="false">E10290*$C$10225/4</f>
        <v>0</v>
      </c>
      <c r="F10296" s="54" t="n">
        <f aca="false">F10290*$C$10225/4</f>
        <v>0</v>
      </c>
      <c r="G10296" s="54" t="n">
        <f aca="false">G10290*$C$10225/4</f>
        <v>0</v>
      </c>
      <c r="H10296" s="54" t="n">
        <f aca="false">H10290*$C$10225/4</f>
        <v>0</v>
      </c>
      <c r="I10296" s="54" t="n">
        <f aca="false">I10290*$C$10225/4</f>
        <v>0</v>
      </c>
      <c r="J10296" s="54" t="n">
        <f aca="false">J10290*$C$10225/4</f>
        <v>0</v>
      </c>
      <c r="K10296" s="54" t="n">
        <f aca="false">K10290*$C$10225/4</f>
        <v>0</v>
      </c>
      <c r="L10296" s="54" t="n">
        <f aca="false">L10290*$C$10225/4</f>
        <v>0</v>
      </c>
      <c r="M10296" s="54" t="n">
        <f aca="false">M10290*$C$10225/4</f>
        <v>0</v>
      </c>
      <c r="N10296" s="54" t="n">
        <f aca="false">N10290*$C$10225/4</f>
        <v>0</v>
      </c>
      <c r="P10296" s="55" t="n">
        <f aca="false">SUM(C10296:F10296)</f>
        <v>0</v>
      </c>
      <c r="Q10296" s="55" t="n">
        <f aca="false">SUM(G10296:J10296)</f>
        <v>0</v>
      </c>
      <c r="R10296" s="55" t="n">
        <f aca="false">SUM(K10296:N10296)</f>
        <v>0</v>
      </c>
      <c r="S10296" s="56" t="n">
        <f aca="false">SUM(P10296:R10296)</f>
        <v>0</v>
      </c>
    </row>
    <row r="10297" customFormat="false" ht="15" hidden="false" customHeight="false" outlineLevel="0" collapsed="false">
      <c r="A10297" s="4" t="s">
        <v>556</v>
      </c>
      <c r="B10297" s="36" t="s">
        <v>125</v>
      </c>
      <c r="C10297" s="54" t="n">
        <f aca="false">MAX(0,(C10285-C10266*$C$10221)-C10245*$C$10226)*$C$10227*Assumptions!$D$105</f>
        <v>0</v>
      </c>
      <c r="D10297" s="54" t="n">
        <f aca="false">MAX(0,(D10285-D10266*$C$10221)-D10245*$C$10226)*$C$10227*Assumptions!$D$105</f>
        <v>12301.3267615348</v>
      </c>
      <c r="E10297" s="54" t="n">
        <f aca="false">MAX(0,(E10285-E10266*$C$10221)-E10245*$C$10226)*$C$10227*Assumptions!$D$105</f>
        <v>30866.444490121</v>
      </c>
      <c r="F10297" s="54" t="n">
        <f aca="false">MAX(0,(F10285-F10266*$C$10221)-F10245*$C$10226)*$C$10227*Assumptions!$D$105</f>
        <v>40031.3325812014</v>
      </c>
      <c r="G10297" s="54" t="n">
        <f aca="false">MAX(0,(G10285-G10266*$C$10221)-G10245*$C$10226)*$C$10227*Assumptions!$D$105</f>
        <v>43990.2714578475</v>
      </c>
      <c r="H10297" s="54" t="n">
        <f aca="false">MAX(0,(H10285-H10266*$C$10221)-H10245*$C$10226)*$C$10227*Assumptions!$D$105</f>
        <v>52574.6052937766</v>
      </c>
      <c r="I10297" s="54" t="n">
        <f aca="false">MAX(0,(I10285-I10266*$C$10221)-I10245*$C$10226)*$C$10227*Assumptions!$D$105</f>
        <v>62598.014790922</v>
      </c>
      <c r="J10297" s="54" t="n">
        <f aca="false">MAX(0,(J10285-J10266*$C$10221)-J10245*$C$10226)*$C$10227*Assumptions!$D$105</f>
        <v>82041.1260018777</v>
      </c>
      <c r="K10297" s="54" t="n">
        <f aca="false">MAX(0,(K10285-K10266*$C$10221)-K10245*$C$10226)*$C$10227*Assumptions!$D$105</f>
        <v>105742.920104847</v>
      </c>
      <c r="L10297" s="54" t="n">
        <f aca="false">MAX(0,(L10285-L10266*$C$10221)-L10245*$C$10226)*$C$10227*Assumptions!$D$105</f>
        <v>114729.419411209</v>
      </c>
      <c r="M10297" s="54" t="n">
        <f aca="false">MAX(0,(M10285-M10266*$C$10221)-M10245*$C$10226)*$C$10227*Assumptions!$D$105</f>
        <v>112981.158047039</v>
      </c>
      <c r="N10297" s="54" t="n">
        <f aca="false">MAX(0,(N10285-N10266*$C$10221)-N10245*$C$10226)*$C$10227*Assumptions!$D$105</f>
        <v>109718.123719284</v>
      </c>
      <c r="P10297" s="55" t="n">
        <f aca="false">SUM(C10297:F10297)</f>
        <v>83199.1038328571</v>
      </c>
      <c r="Q10297" s="55" t="n">
        <f aca="false">SUM(G10297:J10297)</f>
        <v>241204.017544424</v>
      </c>
      <c r="R10297" s="55" t="n">
        <f aca="false">SUM(K10297:N10297)</f>
        <v>443171.621282379</v>
      </c>
      <c r="S10297" s="56" t="n">
        <f aca="false">SUM(P10297:R10297)</f>
        <v>767574.74265966</v>
      </c>
    </row>
    <row r="10298" customFormat="false" ht="15" hidden="false" customHeight="false" outlineLevel="0" collapsed="false">
      <c r="A10298" s="4" t="s">
        <v>557</v>
      </c>
      <c r="B10298" s="36" t="s">
        <v>125</v>
      </c>
      <c r="C10298" s="54" t="n">
        <f aca="false">C10293*Assumptions!$E$71/Assumptions!$E$69/4</f>
        <v>18475.8928571429</v>
      </c>
      <c r="D10298" s="54" t="n">
        <f aca="false">D10293*Assumptions!$E$71/Assumptions!$E$69/4</f>
        <v>18475.8928571429</v>
      </c>
      <c r="E10298" s="54" t="n">
        <f aca="false">E10293*Assumptions!$E$71/Assumptions!$E$69/4</f>
        <v>18475.8928571429</v>
      </c>
      <c r="F10298" s="54" t="n">
        <f aca="false">F10293*Assumptions!$E$71/Assumptions!$E$69/4</f>
        <v>18475.8928571429</v>
      </c>
      <c r="G10298" s="54" t="n">
        <f aca="false">G10293*Assumptions!$E$71/Assumptions!$E$69/4</f>
        <v>18475.8928571429</v>
      </c>
      <c r="H10298" s="54" t="n">
        <f aca="false">H10293*Assumptions!$E$71/Assumptions!$E$69/4</f>
        <v>18475.8928571429</v>
      </c>
      <c r="I10298" s="54" t="n">
        <f aca="false">I10293*Assumptions!$E$71/Assumptions!$E$69/4</f>
        <v>18475.8928571429</v>
      </c>
      <c r="J10298" s="54" t="n">
        <f aca="false">J10293*Assumptions!$E$71/Assumptions!$E$69/4</f>
        <v>18475.8928571429</v>
      </c>
      <c r="K10298" s="54" t="n">
        <f aca="false">K10293*Assumptions!$E$71/Assumptions!$E$69/4</f>
        <v>18475.8928571429</v>
      </c>
      <c r="L10298" s="54" t="n">
        <f aca="false">L10293*Assumptions!$E$71/Assumptions!$E$69/4</f>
        <v>18475.8928571429</v>
      </c>
      <c r="M10298" s="54" t="n">
        <f aca="false">M10293*Assumptions!$E$71/Assumptions!$E$69/4</f>
        <v>18475.8928571429</v>
      </c>
      <c r="N10298" s="54" t="n">
        <f aca="false">N10293*Assumptions!$E$71/Assumptions!$E$69/4</f>
        <v>18475.8928571429</v>
      </c>
      <c r="P10298" s="55" t="n">
        <f aca="false">SUM(C10298:F10298)</f>
        <v>73903.5714285714</v>
      </c>
      <c r="Q10298" s="55" t="n">
        <f aca="false">SUM(G10298:J10298)</f>
        <v>73903.5714285714</v>
      </c>
      <c r="R10298" s="55" t="n">
        <f aca="false">SUM(K10298:N10298)</f>
        <v>73903.5714285714</v>
      </c>
      <c r="S10298" s="56" t="n">
        <f aca="false">SUM(P10298:R10298)</f>
        <v>221710.714285714</v>
      </c>
    </row>
    <row r="10299" customFormat="false" ht="15" hidden="false" customHeight="false" outlineLevel="0" collapsed="false">
      <c r="A10299" s="4" t="s">
        <v>558</v>
      </c>
      <c r="B10299" s="36" t="s">
        <v>125</v>
      </c>
      <c r="C10299" s="54" t="n">
        <f aca="false">(Assumptions!$D$103+Assumptions!$E$77*((C10230=Assumptions!$E$13)+(C10230=Assumptions!$E$14)+(C10230=Assumptions!$E$15)))*C10231</f>
        <v>65000</v>
      </c>
      <c r="D10299" s="54" t="n">
        <f aca="false">(Assumptions!$D$103+Assumptions!$E$77*((D10230=Assumptions!$E$13)+(D10230=Assumptions!$E$14)+(D10230=Assumptions!$E$15)))*D10231</f>
        <v>25000</v>
      </c>
      <c r="E10299" s="54" t="n">
        <f aca="false">(Assumptions!$D$103+Assumptions!$E$77*((E10230=Assumptions!$E$13)+(E10230=Assumptions!$E$14)+(E10230=Assumptions!$E$15)))*E10231</f>
        <v>25000</v>
      </c>
      <c r="F10299" s="54" t="n">
        <f aca="false">(Assumptions!$D$103+Assumptions!$E$77*((F10230=Assumptions!$E$13)+(F10230=Assumptions!$E$14)+(F10230=Assumptions!$E$15)))*F10231</f>
        <v>25000</v>
      </c>
      <c r="G10299" s="54" t="n">
        <f aca="false">(Assumptions!$D$103+Assumptions!$E$77*((G10230=Assumptions!$E$13)+(G10230=Assumptions!$E$14)+(G10230=Assumptions!$E$15)))*G10231</f>
        <v>65000</v>
      </c>
      <c r="H10299" s="54" t="n">
        <f aca="false">(Assumptions!$D$103+Assumptions!$E$77*((H10230=Assumptions!$E$13)+(H10230=Assumptions!$E$14)+(H10230=Assumptions!$E$15)))*H10231</f>
        <v>25000</v>
      </c>
      <c r="I10299" s="54" t="n">
        <f aca="false">(Assumptions!$D$103+Assumptions!$E$77*((I10230=Assumptions!$E$13)+(I10230=Assumptions!$E$14)+(I10230=Assumptions!$E$15)))*I10231</f>
        <v>65000</v>
      </c>
      <c r="J10299" s="54" t="n">
        <f aca="false">(Assumptions!$D$103+Assumptions!$E$77*((J10230=Assumptions!$E$13)+(J10230=Assumptions!$E$14)+(J10230=Assumptions!$E$15)))*J10231</f>
        <v>25000</v>
      </c>
      <c r="K10299" s="54" t="n">
        <f aca="false">(Assumptions!$D$103+Assumptions!$E$77*((K10230=Assumptions!$E$13)+(K10230=Assumptions!$E$14)+(K10230=Assumptions!$E$15)))*K10231</f>
        <v>25000</v>
      </c>
      <c r="L10299" s="54" t="n">
        <f aca="false">(Assumptions!$D$103+Assumptions!$E$77*((L10230=Assumptions!$E$13)+(L10230=Assumptions!$E$14)+(L10230=Assumptions!$E$15)))*L10231</f>
        <v>25000</v>
      </c>
      <c r="M10299" s="54" t="n">
        <f aca="false">(Assumptions!$D$103+Assumptions!$E$77*((M10230=Assumptions!$E$13)+(M10230=Assumptions!$E$14)+(M10230=Assumptions!$E$15)))*M10231</f>
        <v>25000</v>
      </c>
      <c r="N10299" s="54" t="n">
        <f aca="false">(Assumptions!$D$103+Assumptions!$E$77*((N10230=Assumptions!$E$13)+(N10230=Assumptions!$E$14)+(N10230=Assumptions!$E$15)))*N10231</f>
        <v>25000</v>
      </c>
      <c r="P10299" s="55" t="n">
        <f aca="false">SUM(C10299:F10299)</f>
        <v>140000</v>
      </c>
      <c r="Q10299" s="55" t="n">
        <f aca="false">SUM(G10299:J10299)</f>
        <v>180000</v>
      </c>
      <c r="R10299" s="55" t="n">
        <f aca="false">SUM(K10299:N10299)</f>
        <v>100000</v>
      </c>
      <c r="S10299" s="56" t="n">
        <f aca="false">SUM(P10299:R10299)</f>
        <v>420000</v>
      </c>
    </row>
    <row r="10300" customFormat="false" ht="15" hidden="false" customHeight="false" outlineLevel="0" collapsed="false">
      <c r="A10300" s="4" t="s">
        <v>559</v>
      </c>
      <c r="B10300" s="36" t="s">
        <v>125</v>
      </c>
      <c r="C10300" s="54" t="n">
        <f aca="false">C10285*C10265*Assumptions!$E$79</f>
        <v>0</v>
      </c>
      <c r="D10300" s="54" t="n">
        <f aca="false">D10285*D10265*Assumptions!$E$79</f>
        <v>2665.66756025823</v>
      </c>
      <c r="E10300" s="54" t="n">
        <f aca="false">E10285*E10265*Assumptions!$E$79</f>
        <v>5683.9595647224</v>
      </c>
      <c r="F10300" s="54" t="n">
        <f aca="false">F10285*F10265*Assumptions!$E$79</f>
        <v>8822.33437573055</v>
      </c>
      <c r="G10300" s="54" t="n">
        <f aca="false">G10285*G10265*Assumptions!$E$79</f>
        <v>11058.86404402</v>
      </c>
      <c r="H10300" s="54" t="n">
        <f aca="false">H10285*H10265*Assumptions!$E$79</f>
        <v>12509.6533770231</v>
      </c>
      <c r="I10300" s="54" t="n">
        <f aca="false">I10285*I10265*Assumptions!$E$79</f>
        <v>14485.0003682945</v>
      </c>
      <c r="J10300" s="54" t="n">
        <f aca="false">J10285*J10265*Assumptions!$E$79</f>
        <v>15123.7478319289</v>
      </c>
      <c r="K10300" s="54" t="n">
        <f aca="false">K10285*K10265*Assumptions!$E$79</f>
        <v>17125.6115631594</v>
      </c>
      <c r="L10300" s="54" t="n">
        <f aca="false">L10285*L10265*Assumptions!$E$79</f>
        <v>20400.977200034</v>
      </c>
      <c r="M10300" s="54" t="n">
        <f aca="false">M10285*M10265*Assumptions!$E$79</f>
        <v>20684.1595634076</v>
      </c>
      <c r="N10300" s="54" t="n">
        <f aca="false">N10285*N10265*Assumptions!$E$79</f>
        <v>20674.454004795</v>
      </c>
      <c r="P10300" s="55" t="n">
        <f aca="false">SUM(C10300:F10300)</f>
        <v>17171.9615007112</v>
      </c>
      <c r="Q10300" s="55" t="n">
        <f aca="false">SUM(G10300:J10300)</f>
        <v>53177.2656212665</v>
      </c>
      <c r="R10300" s="55" t="n">
        <f aca="false">SUM(K10300:N10300)</f>
        <v>78885.202331396</v>
      </c>
      <c r="S10300" s="56" t="n">
        <f aca="false">SUM(P10300:R10300)</f>
        <v>149234.429453374</v>
      </c>
    </row>
    <row r="10301" customFormat="false" ht="15" hidden="false" customHeight="false" outlineLevel="0" collapsed="false">
      <c r="A10301" s="4" t="s">
        <v>560</v>
      </c>
      <c r="B10301" s="36" t="s">
        <v>125</v>
      </c>
      <c r="C10301" s="54" t="n">
        <f aca="false">C10250*Assumptions!$E$80</f>
        <v>4000</v>
      </c>
      <c r="D10301" s="54" t="n">
        <f aca="false">D10250*Assumptions!$E$80</f>
        <v>6000</v>
      </c>
      <c r="E10301" s="54" t="n">
        <f aca="false">E10250*Assumptions!$E$80</f>
        <v>8000</v>
      </c>
      <c r="F10301" s="54" t="n">
        <f aca="false">F10250*Assumptions!$E$80</f>
        <v>10000</v>
      </c>
      <c r="G10301" s="54" t="n">
        <f aca="false">G10250*Assumptions!$E$80</f>
        <v>12000</v>
      </c>
      <c r="H10301" s="54" t="n">
        <f aca="false">H10250*Assumptions!$E$80</f>
        <v>14000</v>
      </c>
      <c r="I10301" s="54" t="n">
        <f aca="false">I10250*Assumptions!$E$80</f>
        <v>16000</v>
      </c>
      <c r="J10301" s="54" t="n">
        <f aca="false">J10250*Assumptions!$E$80</f>
        <v>18000</v>
      </c>
      <c r="K10301" s="54" t="n">
        <f aca="false">K10250*Assumptions!$E$80</f>
        <v>20000</v>
      </c>
      <c r="L10301" s="54" t="n">
        <f aca="false">L10250*Assumptions!$E$80</f>
        <v>20000</v>
      </c>
      <c r="M10301" s="54" t="n">
        <f aca="false">M10250*Assumptions!$E$80</f>
        <v>20000</v>
      </c>
      <c r="N10301" s="54" t="n">
        <f aca="false">N10250*Assumptions!$E$80</f>
        <v>20000</v>
      </c>
      <c r="P10301" s="55" t="n">
        <f aca="false">SUM(C10301:F10301)</f>
        <v>28000</v>
      </c>
      <c r="Q10301" s="55" t="n">
        <f aca="false">SUM(G10301:J10301)</f>
        <v>60000</v>
      </c>
      <c r="R10301" s="55" t="n">
        <f aca="false">SUM(K10301:N10301)</f>
        <v>80000</v>
      </c>
      <c r="S10301" s="56" t="n">
        <f aca="false">SUM(P10301:R10301)</f>
        <v>168000</v>
      </c>
    </row>
    <row r="10302" customFormat="false" ht="15" hidden="false" customHeight="false" outlineLevel="0" collapsed="false">
      <c r="A10302" s="4" t="s">
        <v>561</v>
      </c>
      <c r="B10302" s="36" t="s">
        <v>125</v>
      </c>
      <c r="C10302" s="54" t="n">
        <f aca="false">(C10273*$C$10222+C10274*$C$10223)*Assumptions!$E$81</f>
        <v>0</v>
      </c>
      <c r="D10302" s="54" t="n">
        <f aca="false">(D10273*$C$10222+D10274*$C$10223)*Assumptions!$E$81</f>
        <v>3028.27603983126</v>
      </c>
      <c r="E10302" s="54" t="n">
        <f aca="false">(E10273*$C$10222+E10274*$C$10223)*Assumptions!$E$81</f>
        <v>8335.90739770443</v>
      </c>
      <c r="F10302" s="54" t="n">
        <f aca="false">(F10273*$C$10222+F10274*$C$10223)*Assumptions!$E$81</f>
        <v>11118.6100100379</v>
      </c>
      <c r="G10302" s="54" t="n">
        <f aca="false">(G10273*$C$10222+G10274*$C$10223)*Assumptions!$E$81</f>
        <v>12223.9036727983</v>
      </c>
      <c r="H10302" s="54" t="n">
        <f aca="false">(H10273*$C$10222+H10274*$C$10223)*Assumptions!$E$81</f>
        <v>14433.1868796163</v>
      </c>
      <c r="I10302" s="54" t="n">
        <f aca="false">(I10273*$C$10222+I10274*$C$10223)*Assumptions!$E$81</f>
        <v>17141.5692753057</v>
      </c>
      <c r="J10302" s="54" t="n">
        <f aca="false">(J10273*$C$10222+J10274*$C$10223)*Assumptions!$E$81</f>
        <v>21959.8556990719</v>
      </c>
      <c r="K10302" s="54" t="n">
        <f aca="false">(K10273*$C$10222+K10274*$C$10223)*Assumptions!$E$81</f>
        <v>28283.6407448602</v>
      </c>
      <c r="L10302" s="54" t="n">
        <f aca="false">(L10273*$C$10222+L10274*$C$10223)*Assumptions!$E$81</f>
        <v>31132.7231344611</v>
      </c>
      <c r="M10302" s="54" t="n">
        <f aca="false">(M10273*$C$10222+M10274*$C$10223)*Assumptions!$E$81</f>
        <v>30741.0957414468</v>
      </c>
      <c r="N10302" s="54" t="n">
        <f aca="false">(N10273*$C$10222+N10274*$C$10223)*Assumptions!$E$81</f>
        <v>29850.5389716475</v>
      </c>
      <c r="P10302" s="55" t="n">
        <f aca="false">SUM(C10302:F10302)</f>
        <v>22482.7934475735</v>
      </c>
      <c r="Q10302" s="55" t="n">
        <f aca="false">SUM(G10302:J10302)</f>
        <v>65758.5155267922</v>
      </c>
      <c r="R10302" s="55" t="n">
        <f aca="false">SUM(K10302:N10302)</f>
        <v>120007.998592416</v>
      </c>
      <c r="S10302" s="56" t="n">
        <f aca="false">SUM(P10302:R10302)</f>
        <v>208249.307566781</v>
      </c>
    </row>
    <row r="10303" customFormat="false" ht="15" hidden="false" customHeight="false" outlineLevel="0" collapsed="false">
      <c r="A10303" s="9" t="s">
        <v>562</v>
      </c>
      <c r="B10303" s="36" t="s">
        <v>125</v>
      </c>
      <c r="C10303" s="55" t="n">
        <f aca="false">C10295+C10296+C10297+C10298+C10299+C10300+C10301+C10302</f>
        <v>154229.464285714</v>
      </c>
      <c r="D10303" s="55" t="n">
        <f aca="false">D10295+D10296+D10297+D10298+D10299+D10300+D10301+D10302</f>
        <v>134224.734647339</v>
      </c>
      <c r="E10303" s="55" t="n">
        <f aca="false">E10295+E10296+E10297+E10298+E10299+E10300+E10301+E10302</f>
        <v>163115.775738262</v>
      </c>
      <c r="F10303" s="55" t="n">
        <f aca="false">F10295+F10296+F10297+F10298+F10299+F10300+F10301+F10302</f>
        <v>180201.741252684</v>
      </c>
      <c r="G10303" s="55" t="n">
        <f aca="false">G10295+G10296+G10297+G10298+G10299+G10300+G10301+G10302</f>
        <v>262879.289174666</v>
      </c>
      <c r="H10303" s="55" t="n">
        <f aca="false">H10295+H10296+H10297+H10298+H10299+H10300+H10301+H10302</f>
        <v>237123.695550416</v>
      </c>
      <c r="I10303" s="55" t="n">
        <f aca="false">I10295+I10296+I10297+I10298+I10299+I10300+I10301+I10302</f>
        <v>293830.834434522</v>
      </c>
      <c r="J10303" s="55" t="n">
        <f aca="false">J10295+J10296+J10297+J10298+J10299+J10300+J10301+J10302</f>
        <v>280730.979532879</v>
      </c>
      <c r="K10303" s="55" t="n">
        <f aca="false">K10295+K10296+K10297+K10298+K10299+K10300+K10301+K10302</f>
        <v>314758.422412867</v>
      </c>
      <c r="L10303" s="55" t="n">
        <f aca="false">L10295+L10296+L10297+L10298+L10299+L10300+L10301+L10302</f>
        <v>329869.369745705</v>
      </c>
      <c r="M10303" s="55" t="n">
        <f aca="false">M10295+M10296+M10297+M10298+M10299+M10300+M10301+M10302</f>
        <v>328012.663351893</v>
      </c>
      <c r="N10303" s="55" t="n">
        <f aca="false">N10295+N10296+N10297+N10298+N10299+N10300+N10301+N10302</f>
        <v>323849.366695727</v>
      </c>
      <c r="P10303" s="55" t="n">
        <f aca="false">SUM(C10303:F10303)</f>
        <v>631771.715923999</v>
      </c>
      <c r="Q10303" s="55" t="n">
        <f aca="false">SUM(G10303:J10303)</f>
        <v>1074564.79869248</v>
      </c>
      <c r="R10303" s="55" t="n">
        <f aca="false">SUM(K10303:N10303)</f>
        <v>1296489.82220619</v>
      </c>
      <c r="S10303" s="56" t="n">
        <f aca="false">SUM(P10303:R10303)</f>
        <v>3002826.33682267</v>
      </c>
    </row>
    <row r="10304" customFormat="false" ht="15" hidden="false" customHeight="false" outlineLevel="0" collapsed="false">
      <c r="A10304" s="4" t="s">
        <v>563</v>
      </c>
      <c r="B10304" s="36" t="s">
        <v>125</v>
      </c>
      <c r="C10304" s="54" t="n">
        <f aca="false">C10292*Assumptions!$E$72/Assumptions!$E$69/4</f>
        <v>56535.7142857143</v>
      </c>
      <c r="D10304" s="54" t="n">
        <f aca="false">D10292*Assumptions!$E$72/Assumptions!$E$69/4</f>
        <v>56535.7142857143</v>
      </c>
      <c r="E10304" s="54" t="n">
        <f aca="false">E10292*Assumptions!$E$72/Assumptions!$E$69/4</f>
        <v>56535.7142857143</v>
      </c>
      <c r="F10304" s="54" t="n">
        <f aca="false">F10292*Assumptions!$E$72/Assumptions!$E$69/4</f>
        <v>56535.7142857143</v>
      </c>
      <c r="G10304" s="54" t="n">
        <f aca="false">G10292*Assumptions!$E$72/Assumptions!$E$69/4</f>
        <v>28267.8571428571</v>
      </c>
      <c r="H10304" s="54" t="n">
        <f aca="false">H10292*Assumptions!$E$72/Assumptions!$E$69/4</f>
        <v>28267.8571428571</v>
      </c>
      <c r="I10304" s="54" t="n">
        <f aca="false">I10292*Assumptions!$E$72/Assumptions!$E$69/4</f>
        <v>28267.8571428571</v>
      </c>
      <c r="J10304" s="54" t="n">
        <f aca="false">J10292*Assumptions!$E$72/Assumptions!$E$69/4</f>
        <v>28267.8571428571</v>
      </c>
      <c r="K10304" s="54" t="n">
        <f aca="false">K10292*Assumptions!$E$72/Assumptions!$E$69/4</f>
        <v>28267.8571428571</v>
      </c>
      <c r="L10304" s="54" t="n">
        <f aca="false">L10292*Assumptions!$E$72/Assumptions!$E$69/4</f>
        <v>28267.8571428571</v>
      </c>
      <c r="M10304" s="54" t="n">
        <f aca="false">M10292*Assumptions!$E$72/Assumptions!$E$69/4</f>
        <v>28267.8571428571</v>
      </c>
      <c r="N10304" s="54" t="n">
        <f aca="false">N10292*Assumptions!$E$72/Assumptions!$E$69/4</f>
        <v>28267.8571428571</v>
      </c>
      <c r="P10304" s="55" t="n">
        <f aca="false">SUM(C10304:F10304)</f>
        <v>226142.857142857</v>
      </c>
      <c r="Q10304" s="55" t="n">
        <f aca="false">SUM(G10304:J10304)</f>
        <v>113071.428571429</v>
      </c>
      <c r="R10304" s="55" t="n">
        <f aca="false">SUM(K10304:N10304)</f>
        <v>113071.428571429</v>
      </c>
      <c r="S10304" s="56" t="n">
        <f aca="false">SUM(P10304:R10304)</f>
        <v>452285.714285714</v>
      </c>
    </row>
    <row r="10305" customFormat="false" ht="15" hidden="false" customHeight="false" outlineLevel="0" collapsed="false">
      <c r="A10305" s="4" t="s">
        <v>564</v>
      </c>
      <c r="B10305" s="36" t="s">
        <v>125</v>
      </c>
      <c r="C10305" s="54" t="n">
        <f aca="false">IF(C10230&lt;=Assumptions!$E$83,Assumptions!$E$82*Assumptions!$D$108/Assumptions!$E$83,0)</f>
        <v>62500</v>
      </c>
      <c r="D10305" s="54" t="n">
        <f aca="false">IF(D10230&lt;=Assumptions!$E$83,Assumptions!$E$82*Assumptions!$D$108/Assumptions!$E$83,0)</f>
        <v>62500</v>
      </c>
      <c r="E10305" s="54" t="n">
        <f aca="false">IF(E10230&lt;=Assumptions!$E$83,Assumptions!$E$82*Assumptions!$D$108/Assumptions!$E$83,0)</f>
        <v>62500</v>
      </c>
      <c r="F10305" s="54" t="n">
        <f aca="false">IF(F10230&lt;=Assumptions!$E$83,Assumptions!$E$82*Assumptions!$D$108/Assumptions!$E$83,0)</f>
        <v>62500</v>
      </c>
      <c r="G10305" s="54" t="n">
        <f aca="false">IF(G10230&lt;=Assumptions!$E$83,Assumptions!$E$82*Assumptions!$D$108/Assumptions!$E$83,0)</f>
        <v>0</v>
      </c>
      <c r="H10305" s="54" t="n">
        <f aca="false">IF(H10230&lt;=Assumptions!$E$83,Assumptions!$E$82*Assumptions!$D$108/Assumptions!$E$83,0)</f>
        <v>0</v>
      </c>
      <c r="I10305" s="54" t="n">
        <f aca="false">IF(I10230&lt;=Assumptions!$E$83,Assumptions!$E$82*Assumptions!$D$108/Assumptions!$E$83,0)</f>
        <v>0</v>
      </c>
      <c r="J10305" s="54" t="n">
        <f aca="false">IF(J10230&lt;=Assumptions!$E$83,Assumptions!$E$82*Assumptions!$D$108/Assumptions!$E$83,0)</f>
        <v>0</v>
      </c>
      <c r="K10305" s="54" t="n">
        <f aca="false">IF(K10230&lt;=Assumptions!$E$83,Assumptions!$E$82*Assumptions!$D$108/Assumptions!$E$83,0)</f>
        <v>0</v>
      </c>
      <c r="L10305" s="54" t="n">
        <f aca="false">IF(L10230&lt;=Assumptions!$E$83,Assumptions!$E$82*Assumptions!$D$108/Assumptions!$E$83,0)</f>
        <v>0</v>
      </c>
      <c r="M10305" s="54" t="n">
        <f aca="false">IF(M10230&lt;=Assumptions!$E$83,Assumptions!$E$82*Assumptions!$D$108/Assumptions!$E$83,0)</f>
        <v>0</v>
      </c>
      <c r="N10305" s="54" t="n">
        <f aca="false">IF(N10230&lt;=Assumptions!$E$83,Assumptions!$E$82*Assumptions!$D$108/Assumptions!$E$83,0)</f>
        <v>0</v>
      </c>
      <c r="P10305" s="55" t="n">
        <f aca="false">SUM(C10305:F10305)</f>
        <v>250000</v>
      </c>
      <c r="Q10305" s="55" t="n">
        <f aca="false">SUM(G10305:J10305)</f>
        <v>0</v>
      </c>
      <c r="R10305" s="55" t="n">
        <f aca="false">SUM(K10305:N10305)</f>
        <v>0</v>
      </c>
      <c r="S10305" s="56" t="n">
        <f aca="false">SUM(P10305:R10305)</f>
        <v>250000</v>
      </c>
    </row>
    <row r="10306" customFormat="false" ht="15" hidden="false" customHeight="false" outlineLevel="0" collapsed="false">
      <c r="A10306" s="4" t="s">
        <v>565</v>
      </c>
      <c r="B10306" s="36" t="s">
        <v>125</v>
      </c>
      <c r="C10306" s="54" t="n">
        <f aca="false">C10294*Assumptions!$E$73/Assumptions!$E$69/4</f>
        <v>0</v>
      </c>
      <c r="D10306" s="54" t="n">
        <f aca="false">D10294*Assumptions!$E$73/Assumptions!$E$69/4</f>
        <v>1095.83439915676</v>
      </c>
      <c r="E10306" s="54" t="n">
        <f aca="false">E10294*Assumptions!$E$73/Assumptions!$E$69/4</f>
        <v>3080.62679462211</v>
      </c>
      <c r="F10306" s="54" t="n">
        <f aca="false">F10294*Assumptions!$E$73/Assumptions!$E$69/4</f>
        <v>5303.74869334711</v>
      </c>
      <c r="G10306" s="54" t="n">
        <f aca="false">G10294*Assumptions!$E$73/Assumptions!$E$69/4</f>
        <v>7690.1026773233</v>
      </c>
      <c r="H10306" s="54" t="n">
        <f aca="false">H10294*Assumptions!$E$73/Assumptions!$E$69/4</f>
        <v>10645.1790540797</v>
      </c>
      <c r="I10306" s="54" t="n">
        <f aca="false">I10294*Assumptions!$E$73/Assumptions!$E$69/4</f>
        <v>14140.7527628429</v>
      </c>
      <c r="J10306" s="54" t="n">
        <f aca="false">J10294*Assumptions!$E$73/Assumptions!$E$69/4</f>
        <v>19017.5484775711</v>
      </c>
      <c r="K10306" s="54" t="n">
        <f aca="false">K10294*Assumptions!$E$73/Assumptions!$E$69/4</f>
        <v>25197.5613793021</v>
      </c>
      <c r="L10306" s="54" t="n">
        <f aca="false">L10294*Assumptions!$E$73/Assumptions!$E$69/4</f>
        <v>31373.6406665521</v>
      </c>
      <c r="M10306" s="54" t="n">
        <f aca="false">M10294*Assumptions!$E$73/Assumptions!$E$69/4</f>
        <v>37204.4177951484</v>
      </c>
      <c r="N10306" s="54" t="n">
        <f aca="false">N10294*Assumptions!$E$73/Assumptions!$E$69/4</f>
        <v>42689.0166723575</v>
      </c>
      <c r="P10306" s="55" t="n">
        <f aca="false">SUM(C10306:F10306)</f>
        <v>9480.20988712598</v>
      </c>
      <c r="Q10306" s="55" t="n">
        <f aca="false">SUM(G10306:J10306)</f>
        <v>51493.582971817</v>
      </c>
      <c r="R10306" s="55" t="n">
        <f aca="false">SUM(K10306:N10306)</f>
        <v>136464.63651336</v>
      </c>
      <c r="S10306" s="56" t="n">
        <f aca="false">SUM(P10306:R10306)</f>
        <v>197438.429372303</v>
      </c>
    </row>
    <row r="10307" customFormat="false" ht="15" hidden="false" customHeight="false" outlineLevel="0" collapsed="false">
      <c r="A10307" s="9" t="s">
        <v>566</v>
      </c>
      <c r="B10307" s="36" t="s">
        <v>125</v>
      </c>
      <c r="C10307" s="55" t="n">
        <f aca="false">C10303+C10304+C10305+C10306</f>
        <v>273265.178571429</v>
      </c>
      <c r="D10307" s="55" t="n">
        <f aca="false">D10303+D10304+D10305+D10306</f>
        <v>254356.28333221</v>
      </c>
      <c r="E10307" s="55" t="n">
        <f aca="false">E10303+E10304+E10305+E10306</f>
        <v>285232.116818599</v>
      </c>
      <c r="F10307" s="55" t="n">
        <f aca="false">F10303+F10304+F10305+F10306</f>
        <v>304541.204231745</v>
      </c>
      <c r="G10307" s="55" t="n">
        <f aca="false">G10303+G10304+G10305+G10306</f>
        <v>298837.248994846</v>
      </c>
      <c r="H10307" s="55" t="n">
        <f aca="false">H10303+H10304+H10305+H10306</f>
        <v>276036.731747353</v>
      </c>
      <c r="I10307" s="55" t="n">
        <f aca="false">I10303+I10304+I10305+I10306</f>
        <v>336239.444340222</v>
      </c>
      <c r="J10307" s="55" t="n">
        <f aca="false">J10303+J10304+J10305+J10306</f>
        <v>328016.385153307</v>
      </c>
      <c r="K10307" s="55" t="n">
        <f aca="false">K10303+K10304+K10305+K10306</f>
        <v>368223.840935026</v>
      </c>
      <c r="L10307" s="55" t="n">
        <f aca="false">L10303+L10304+L10305+L10306</f>
        <v>389510.867555114</v>
      </c>
      <c r="M10307" s="55" t="n">
        <f aca="false">M10303+M10304+M10305+M10306</f>
        <v>393484.938289899</v>
      </c>
      <c r="N10307" s="55" t="n">
        <f aca="false">N10303+N10304+N10305+N10306</f>
        <v>394806.240510941</v>
      </c>
      <c r="P10307" s="55" t="n">
        <f aca="false">SUM(C10307:F10307)</f>
        <v>1117394.78295398</v>
      </c>
      <c r="Q10307" s="55" t="n">
        <f aca="false">SUM(G10307:J10307)</f>
        <v>1239129.81023573</v>
      </c>
      <c r="R10307" s="55" t="n">
        <f aca="false">SUM(K10307:N10307)</f>
        <v>1546025.88729098</v>
      </c>
      <c r="S10307" s="56" t="n">
        <f aca="false">SUM(P10307:R10307)</f>
        <v>3902550.48048069</v>
      </c>
    </row>
    <row r="10308" customFormat="false" ht="15" hidden="false" customHeight="false" outlineLevel="0" collapsed="false">
      <c r="A10308" s="35" t="s">
        <v>567</v>
      </c>
      <c r="B10308" s="35" t="s">
        <v>444</v>
      </c>
      <c r="C10308" s="6" t="s">
        <v>354</v>
      </c>
      <c r="D10308" s="6" t="s">
        <v>355</v>
      </c>
      <c r="E10308" s="6" t="s">
        <v>356</v>
      </c>
      <c r="F10308" s="6" t="s">
        <v>357</v>
      </c>
      <c r="G10308" s="6" t="s">
        <v>358</v>
      </c>
      <c r="H10308" s="6" t="s">
        <v>359</v>
      </c>
      <c r="I10308" s="6" t="s">
        <v>360</v>
      </c>
      <c r="J10308" s="6" t="s">
        <v>361</v>
      </c>
      <c r="K10308" s="6" t="s">
        <v>362</v>
      </c>
      <c r="L10308" s="6" t="s">
        <v>363</v>
      </c>
      <c r="M10308" s="6" t="s">
        <v>364</v>
      </c>
      <c r="N10308" s="6" t="s">
        <v>365</v>
      </c>
      <c r="P10308" s="6" t="s">
        <v>445</v>
      </c>
      <c r="Q10308" s="6" t="s">
        <v>446</v>
      </c>
      <c r="R10308" s="6" t="s">
        <v>447</v>
      </c>
      <c r="S10308" s="6" t="s">
        <v>448</v>
      </c>
    </row>
    <row r="10309" customFormat="false" ht="15" hidden="false" customHeight="false" outlineLevel="0" collapsed="false">
      <c r="A10309" s="9" t="s">
        <v>568</v>
      </c>
      <c r="B10309" s="36" t="s">
        <v>125</v>
      </c>
      <c r="C10309" s="55" t="n">
        <f aca="false">C10287-C10307</f>
        <v>-273265.178571429</v>
      </c>
      <c r="D10309" s="55" t="n">
        <f aca="false">D10287-D10307</f>
        <v>-251998.359911228</v>
      </c>
      <c r="E10309" s="55" t="n">
        <f aca="false">E10287-E10307</f>
        <v>-274746.88208151</v>
      </c>
      <c r="F10309" s="55" t="n">
        <f aca="false">F10287-F10307</f>
        <v>-280780.507075839</v>
      </c>
      <c r="G10309" s="55" t="n">
        <f aca="false">G10287-G10307</f>
        <v>-259183.415211456</v>
      </c>
      <c r="H10309" s="55" t="n">
        <f aca="false">H10287-H10307</f>
        <v>-217813.598218639</v>
      </c>
      <c r="I10309" s="55" t="n">
        <f aca="false">I10287-I10307</f>
        <v>-255585.402977761</v>
      </c>
      <c r="J10309" s="55" t="n">
        <f aca="false">J10287-J10307</f>
        <v>-218903.912431016</v>
      </c>
      <c r="K10309" s="55" t="n">
        <f aca="false">K10287-K10307</f>
        <v>-221962.725104272</v>
      </c>
      <c r="L10309" s="55" t="n">
        <f aca="false">L10287-L10307</f>
        <v>-199406.302210102</v>
      </c>
      <c r="M10309" s="55" t="n">
        <f aca="false">M10287-M10307</f>
        <v>-157459.788219791</v>
      </c>
      <c r="N10309" s="55" t="n">
        <f aca="false">N10287-N10307</f>
        <v>-112887.395937233</v>
      </c>
      <c r="P10309" s="55" t="n">
        <f aca="false">SUM(C10309:F10309)</f>
        <v>-1080790.92764001</v>
      </c>
      <c r="Q10309" s="55" t="n">
        <f aca="false">SUM(G10309:J10309)</f>
        <v>-951486.328838872</v>
      </c>
      <c r="R10309" s="55" t="n">
        <f aca="false">SUM(K10309:N10309)</f>
        <v>-691716.211471398</v>
      </c>
      <c r="S10309" s="56" t="n">
        <f aca="false">SUM(P10309:R10309)</f>
        <v>-2723993.46795028</v>
      </c>
    </row>
    <row r="10310" customFormat="false" ht="15" hidden="false" customHeight="false" outlineLevel="0" collapsed="false">
      <c r="A10310" s="9" t="s">
        <v>569</v>
      </c>
      <c r="B10310" s="36" t="s">
        <v>125</v>
      </c>
      <c r="C10310" s="55" t="n">
        <f aca="false">0+C10309</f>
        <v>-273265.178571429</v>
      </c>
      <c r="D10310" s="55" t="n">
        <f aca="false">C10310+D10309</f>
        <v>-525263.538482657</v>
      </c>
      <c r="E10310" s="55" t="n">
        <f aca="false">D10310+E10309</f>
        <v>-800010.420564167</v>
      </c>
      <c r="F10310" s="55" t="n">
        <f aca="false">E10310+F10309</f>
        <v>-1080790.92764001</v>
      </c>
      <c r="G10310" s="55" t="n">
        <f aca="false">F10310+G10309</f>
        <v>-1339974.34285146</v>
      </c>
      <c r="H10310" s="55" t="n">
        <f aca="false">G10310+H10309</f>
        <v>-1557787.9410701</v>
      </c>
      <c r="I10310" s="55" t="n">
        <f aca="false">H10310+I10309</f>
        <v>-1813373.34404786</v>
      </c>
      <c r="J10310" s="55" t="n">
        <f aca="false">I10310+J10309</f>
        <v>-2032277.25647888</v>
      </c>
      <c r="K10310" s="55" t="n">
        <f aca="false">J10310+K10309</f>
        <v>-2254239.98158315</v>
      </c>
      <c r="L10310" s="55" t="n">
        <f aca="false">K10310+L10309</f>
        <v>-2453646.28379325</v>
      </c>
      <c r="M10310" s="55" t="n">
        <f aca="false">L10310+M10309</f>
        <v>-2611106.07201304</v>
      </c>
      <c r="N10310" s="55" t="n">
        <f aca="false">M10310+N10309</f>
        <v>-2723993.46795028</v>
      </c>
      <c r="P10310" s="55" t="n">
        <f aca="false">F10310</f>
        <v>-1080790.92764001</v>
      </c>
      <c r="Q10310" s="55" t="n">
        <f aca="false">J10310</f>
        <v>-2032277.25647888</v>
      </c>
      <c r="R10310" s="55" t="n">
        <f aca="false">N10310</f>
        <v>-2723993.46795028</v>
      </c>
      <c r="S10310" s="56" t="n">
        <f aca="false">R10310</f>
        <v>-2723993.46795028</v>
      </c>
    </row>
    <row r="10311" customFormat="false" ht="15" hidden="false" customHeight="false" outlineLevel="0" collapsed="false">
      <c r="A10311" s="4" t="s">
        <v>570</v>
      </c>
      <c r="B10311" s="36" t="s">
        <v>107</v>
      </c>
      <c r="C10311" s="57" t="n">
        <f aca="false">1/(1+Assumptions!$E$87)^(C10230/4)</f>
        <v>0.972065420906982</v>
      </c>
      <c r="D10311" s="57" t="n">
        <f aca="false">1/(1+Assumptions!$E$87)^(D10230/4)</f>
        <v>0.944911182523068</v>
      </c>
      <c r="E10311" s="57" t="n">
        <f aca="false">1/(1+Assumptions!$E$87)^(E10230/4)</f>
        <v>0.918515486359</v>
      </c>
      <c r="F10311" s="57" t="n">
        <f aca="false">1/(1+Assumptions!$E$87)^(F10230/4)</f>
        <v>0.892857142857143</v>
      </c>
      <c r="G10311" s="57" t="n">
        <f aca="false">1/(1+Assumptions!$E$87)^(G10230/4)</f>
        <v>0.867915554381234</v>
      </c>
      <c r="H10311" s="57" t="n">
        <f aca="false">1/(1+Assumptions!$E$87)^(H10230/4)</f>
        <v>0.843670698681311</v>
      </c>
      <c r="I10311" s="57" t="n">
        <f aca="false">1/(1+Assumptions!$E$87)^(I10230/4)</f>
        <v>0.820103112820536</v>
      </c>
      <c r="J10311" s="57" t="n">
        <f aca="false">1/(1+Assumptions!$E$87)^(J10230/4)</f>
        <v>0.79719387755102</v>
      </c>
      <c r="K10311" s="57" t="n">
        <f aca="false">1/(1+Assumptions!$E$87)^(K10230/4)</f>
        <v>0.774924602126102</v>
      </c>
      <c r="L10311" s="57" t="n">
        <f aca="false">1/(1+Assumptions!$E$87)^(L10230/4)</f>
        <v>0.753277409536885</v>
      </c>
      <c r="M10311" s="57" t="n">
        <f aca="false">1/(1+Assumptions!$E$87)^(M10230/4)</f>
        <v>0.732234922161193</v>
      </c>
      <c r="N10311" s="57" t="n">
        <f aca="false">1/(1+Assumptions!$E$87)^(N10230/4)</f>
        <v>0.711780247813411</v>
      </c>
      <c r="P10311" s="58"/>
      <c r="Q10311" s="58"/>
      <c r="R10311" s="58"/>
      <c r="S10311" s="59"/>
    </row>
    <row r="10312" customFormat="false" ht="15" hidden="false" customHeight="false" outlineLevel="0" collapsed="false">
      <c r="A10312" s="4" t="s">
        <v>571</v>
      </c>
      <c r="B10312" s="36" t="s">
        <v>125</v>
      </c>
      <c r="C10312" s="54" t="n">
        <f aca="false">(C10287*(1-Assumptions!$E$88)-C10307)*C10311</f>
        <v>-265631.630827257</v>
      </c>
      <c r="D10312" s="54" t="n">
        <f aca="false">(D10287*(1-Assumptions!$E$88)-D10307)*D10311</f>
        <v>-238561.673899196</v>
      </c>
      <c r="E10312" s="54" t="n">
        <f aca="false">(E10287*(1-Assumptions!$E$88)-E10307)*E10311</f>
        <v>-254285.436117542</v>
      </c>
      <c r="F10312" s="54" t="n">
        <f aca="false">(F10287*(1-Assumptions!$E$88)-F10307)*F10311</f>
        <v>-254939.862952696</v>
      </c>
      <c r="G10312" s="54" t="n">
        <f aca="false">(G10287*(1-Assumptions!$E$88)-G10307)*G10311</f>
        <v>-231832.553325963</v>
      </c>
      <c r="H10312" s="54" t="n">
        <f aca="false">(H10287*(1-Assumptions!$E$88)-H10307)*H10311</f>
        <v>-193587.180940126</v>
      </c>
      <c r="I10312" s="54" t="n">
        <f aca="false">(I10287*(1-Assumptions!$E$88)-I10307)*I10311</f>
        <v>-222835.310650135</v>
      </c>
      <c r="J10312" s="54" t="n">
        <f aca="false">(J10287*(1-Assumptions!$E$88)-J10307)*J10311</f>
        <v>-191905.617805704</v>
      </c>
      <c r="K10312" s="54" t="n">
        <f aca="false">(K10287*(1-Assumptions!$E$88)-K10307)*K10311</f>
        <v>-194672.643836587</v>
      </c>
      <c r="L10312" s="54" t="n">
        <f aca="false">(L10287*(1-Assumptions!$E$88)-L10307)*L10311</f>
        <v>-178848.557679</v>
      </c>
      <c r="M10312" s="54" t="n">
        <f aca="false">(M10287*(1-Assumptions!$E$88)-M10307)*M10311</f>
        <v>-149862.72724857</v>
      </c>
      <c r="N10312" s="54" t="n">
        <f aca="false">(N10287*(1-Assumptions!$E$88)-N10307)*N10311</f>
        <v>-120483.871666003</v>
      </c>
      <c r="P10312" s="55" t="n">
        <f aca="false">SUM(C10312:F10312)</f>
        <v>-1013418.60379669</v>
      </c>
      <c r="Q10312" s="55" t="n">
        <f aca="false">SUM(G10312:J10312)</f>
        <v>-840160.662721928</v>
      </c>
      <c r="R10312" s="55" t="n">
        <f aca="false">SUM(K10312:N10312)</f>
        <v>-643867.80043016</v>
      </c>
      <c r="S10312" s="56" t="n">
        <f aca="false">SUM(P10312:R10312)</f>
        <v>-2497447.06694878</v>
      </c>
    </row>
    <row r="10313" customFormat="false" ht="15" hidden="false" customHeight="false" outlineLevel="0" collapsed="false">
      <c r="A10313" s="4" t="s">
        <v>572</v>
      </c>
      <c r="B10313" s="36" t="s">
        <v>125</v>
      </c>
      <c r="C10313" s="54" t="n">
        <f aca="false">(C10307-C10306)*12/(Assumptions!$E$89*Assumptions!$E$76)*Assumptions!$E$90</f>
        <v>189183.585164835</v>
      </c>
      <c r="D10313" s="54" t="n">
        <f aca="false">(D10307-D10306)*12/(Assumptions!$E$89*Assumptions!$E$76)*Assumptions!$E$90</f>
        <v>175334.156953652</v>
      </c>
      <c r="E10313" s="54" t="n">
        <f aca="false">(E10307-E10306)*12/(Assumptions!$E$89*Assumptions!$E$76)*Assumptions!$E$90</f>
        <v>195335.646939676</v>
      </c>
      <c r="F10313" s="54" t="n">
        <f aca="false">(F10307-F10306)*12/(Assumptions!$E$89*Assumptions!$E$76)*Assumptions!$E$90</f>
        <v>207164.392295814</v>
      </c>
      <c r="G10313" s="54" t="n">
        <f aca="false">(G10307-G10306)*12/(Assumptions!$E$89*Assumptions!$E$76)*Assumptions!$E$90</f>
        <v>201563.408989054</v>
      </c>
      <c r="H10313" s="54" t="n">
        <f aca="false">(H10307-H10306)*12/(Assumptions!$E$89*Assumptions!$E$76)*Assumptions!$E$90</f>
        <v>183732.613403035</v>
      </c>
      <c r="I10313" s="54" t="n">
        <f aca="false">(I10307-I10306)*12/(Assumptions!$E$89*Assumptions!$E$76)*Assumptions!$E$90</f>
        <v>222991.401861263</v>
      </c>
      <c r="J10313" s="54" t="n">
        <f aca="false">(J10307-J10306)*12/(Assumptions!$E$89*Assumptions!$E$76)*Assumptions!$E$90</f>
        <v>213922.27154474</v>
      </c>
      <c r="K10313" s="54" t="n">
        <f aca="false">(K10307-K10306)*12/(Assumptions!$E$89*Assumptions!$E$76)*Assumptions!$E$90</f>
        <v>237479.732000117</v>
      </c>
      <c r="L10313" s="54" t="n">
        <f aca="false">(L10307-L10306)*12/(Assumptions!$E$89*Assumptions!$E$76)*Assumptions!$E$90</f>
        <v>247941.157076697</v>
      </c>
      <c r="M10313" s="54" t="n">
        <f aca="false">(M10307-M10306)*12/(Assumptions!$E$89*Assumptions!$E$76)*Assumptions!$E$90</f>
        <v>246655.744957904</v>
      </c>
      <c r="N10313" s="54" t="n">
        <f aca="false">(N10307-N10306)*12/(Assumptions!$E$89*Assumptions!$E$76)*Assumptions!$E$90</f>
        <v>243773.462657481</v>
      </c>
      <c r="P10313" s="55" t="n">
        <f aca="false">SUM(C10313:F10313)</f>
        <v>767017.781353977</v>
      </c>
      <c r="Q10313" s="55" t="n">
        <f aca="false">SUM(G10313:J10313)</f>
        <v>822209.695798092</v>
      </c>
      <c r="R10313" s="55" t="n">
        <f aca="false">SUM(K10313:N10313)</f>
        <v>975850.096692198</v>
      </c>
      <c r="S10313" s="56" t="n">
        <f aca="false">SUM(P10313:R10313)</f>
        <v>2565077.57384427</v>
      </c>
    </row>
    <row r="10314" customFormat="false" ht="15" hidden="false" customHeight="false" outlineLevel="0" collapsed="false">
      <c r="A10314" s="4" t="s">
        <v>573</v>
      </c>
      <c r="B10314" s="36" t="s">
        <v>125</v>
      </c>
      <c r="C10314" s="54" t="n">
        <f aca="false">0*Assumptions!$E$92^(1/4)+C10313</f>
        <v>189183.585164835</v>
      </c>
      <c r="D10314" s="54" t="n">
        <f aca="false">C10314*Assumptions!$E$92^(1/4)+D10313</f>
        <v>364988.937760666</v>
      </c>
      <c r="E10314" s="54" t="n">
        <f aca="false">D10314*Assumptions!$E$92^(1/4)+E10313</f>
        <v>561233.655097579</v>
      </c>
      <c r="F10314" s="54" t="n">
        <f aca="false">E10314*Assumptions!$E$92^(1/4)+F10313</f>
        <v>769795.900448645</v>
      </c>
      <c r="G10314" s="54" t="n">
        <f aca="false">F10314*Assumptions!$E$92^(1/4)+G10313</f>
        <v>973276.624163196</v>
      </c>
      <c r="H10314" s="54" t="n">
        <f aca="false">G10314*Assumptions!$E$92^(1/4)+H10313</f>
        <v>1159433.35752115</v>
      </c>
      <c r="I10314" s="54" t="n">
        <f aca="false">H10314*Assumptions!$E$92^(1/4)+I10313</f>
        <v>1385312.53606232</v>
      </c>
      <c r="J10314" s="54" t="n">
        <f aca="false">I10314*Assumptions!$E$92^(1/4)+J10313</f>
        <v>1602685.1768845</v>
      </c>
      <c r="K10314" s="54" t="n">
        <f aca="false">J10314*Assumptions!$E$92^(1/4)+K10313</f>
        <v>1844156.68370205</v>
      </c>
      <c r="L10314" s="54" t="n">
        <f aca="false">K10314*Assumptions!$E$92^(1/4)+L10313</f>
        <v>2096691.04368321</v>
      </c>
      <c r="M10314" s="54" t="n">
        <f aca="false">L10314*Assumptions!$E$92^(1/4)+M10313</f>
        <v>2348568.97365214</v>
      </c>
      <c r="N10314" s="54" t="n">
        <f aca="false">M10314*Assumptions!$E$92^(1/4)+N10313</f>
        <v>2598191.96847056</v>
      </c>
      <c r="P10314" s="55" t="n">
        <f aca="false">F10314</f>
        <v>769795.900448645</v>
      </c>
      <c r="Q10314" s="55" t="n">
        <f aca="false">J10314</f>
        <v>1602685.1768845</v>
      </c>
      <c r="R10314" s="55" t="n">
        <f aca="false">N10314</f>
        <v>2598191.96847056</v>
      </c>
      <c r="S10314" s="56" t="n">
        <f aca="false">R10314</f>
        <v>2598191.96847056</v>
      </c>
    </row>
    <row r="10315" customFormat="false" ht="15" hidden="false" customHeight="false" outlineLevel="0" collapsed="false">
      <c r="A10315" s="4" t="s">
        <v>574</v>
      </c>
      <c r="B10315" s="36" t="s">
        <v>125</v>
      </c>
      <c r="C10315" s="54" t="n">
        <f aca="false">(0+C10314)/8*Assumptions!$E$76-(C10307-C10306)-C10314*Assumptions!$E$93/4</f>
        <v>-260258.807091346</v>
      </c>
      <c r="D10315" s="54" t="n">
        <f aca="false">(C10314+D10314)/8*Assumptions!$E$76-(D10307-D10306)-D10314*Assumptions!$E$93/4</f>
        <v>-212796.293167364</v>
      </c>
      <c r="E10315" s="54" t="n">
        <f aca="false">(D10314+E10314)/8*Assumptions!$E$76-(E10307-E10306)-E10314*Assumptions!$E$93/4</f>
        <v>-213911.325042964</v>
      </c>
      <c r="F10315" s="54" t="n">
        <f aca="false">(E10314+F10314)/8*Assumptions!$E$76-(F10307-F10306)-F10314*Assumptions!$E$93/4</f>
        <v>-200713.752905876</v>
      </c>
      <c r="G10315" s="54" t="n">
        <f aca="false">(F10314+G10314)/8*Assumptions!$E$76-(G10307-G10306)-G10314*Assumptions!$E$93/4</f>
        <v>-161688.461494851</v>
      </c>
      <c r="H10315" s="54" t="n">
        <f aca="false">(G10314+H10314)/8*Assumptions!$E$76-(H10307-H10306)-H10314*Assumptions!$E$93/4</f>
        <v>-106601.783650435</v>
      </c>
      <c r="I10315" s="54" t="n">
        <f aca="false">(H10314+I10314)/8*Assumptions!$E$76-(I10307-I10306)-I10314*Assumptions!$E$93/4</f>
        <v>-132654.494424502</v>
      </c>
      <c r="J10315" s="54" t="n">
        <f aca="false">(I10314+J10314)/8*Assumptions!$E$76-(J10307-J10306)-J10314*Assumptions!$E$93/4</f>
        <v>-86257.5872098625</v>
      </c>
      <c r="K10315" s="54" t="n">
        <f aca="false">(J10314+K10314)/8*Assumptions!$E$76-(K10307-K10306)-K10314*Assumptions!$E$93/4</f>
        <v>-86022.336929342</v>
      </c>
      <c r="L10315" s="54" t="n">
        <f aca="false">(K10314+L10314)/8*Assumptions!$E$76-(L10307-L10306)-L10314*Assumptions!$E$93/4</f>
        <v>-64151.9870845488</v>
      </c>
      <c r="M10315" s="54" t="n">
        <f aca="false">(L10314+M10314)/8*Assumptions!$E$76-(M10307-M10306)-M10314*Assumptions!$E$93/4</f>
        <v>-24460.2562569045</v>
      </c>
      <c r="N10315" s="54" t="n">
        <f aca="false">(M10314+N10314)/8*Assumptions!$E$76-(N10307-N10306)-N10314*Assumptions!$E$93/4</f>
        <v>17329.7031030033</v>
      </c>
      <c r="P10315" s="55" t="n">
        <f aca="false">SUM(C10315:F10315)</f>
        <v>-887680.17820755</v>
      </c>
      <c r="Q10315" s="55" t="n">
        <f aca="false">SUM(G10315:J10315)</f>
        <v>-487202.326779649</v>
      </c>
      <c r="R10315" s="55" t="n">
        <f aca="false">SUM(K10315:N10315)</f>
        <v>-157304.877167792</v>
      </c>
      <c r="S10315" s="56" t="n">
        <f aca="false">SUM(P10315:R10315)</f>
        <v>-1532187.38215499</v>
      </c>
    </row>
    <row r="10316" customFormat="false" ht="15" hidden="false" customHeight="false" outlineLevel="0" collapsed="false">
      <c r="A10316" s="4" t="s">
        <v>575</v>
      </c>
      <c r="B10316" s="36" t="s">
        <v>125</v>
      </c>
      <c r="C10316" s="54" t="n">
        <f aca="false">C10315*C10311</f>
        <v>-252988.586859998</v>
      </c>
      <c r="D10316" s="54" t="n">
        <f aca="false">D10315*D10311</f>
        <v>-201073.5970133</v>
      </c>
      <c r="E10316" s="54" t="n">
        <f aca="false">E10315*E10311</f>
        <v>-196480.864759536</v>
      </c>
      <c r="F10316" s="54" t="n">
        <f aca="false">F10315*F10311</f>
        <v>-179208.707951675</v>
      </c>
      <c r="G10316" s="54" t="n">
        <f aca="false">G10315*G10311</f>
        <v>-140331.930695352</v>
      </c>
      <c r="H10316" s="54" t="n">
        <f aca="false">H10315*H10311</f>
        <v>-89936.801293036</v>
      </c>
      <c r="I10316" s="54" t="n">
        <f aca="false">I10315*I10311</f>
        <v>-108790.363807168</v>
      </c>
      <c r="J10316" s="54" t="n">
        <f aca="false">J10315*J10311</f>
        <v>-68764.0204160256</v>
      </c>
      <c r="K10316" s="54" t="n">
        <f aca="false">K10315*K10311</f>
        <v>-66660.8252189278</v>
      </c>
      <c r="L10316" s="54" t="n">
        <f aca="false">L10315*L10311</f>
        <v>-48324.2426476926</v>
      </c>
      <c r="M10316" s="54" t="n">
        <f aca="false">M10315*M10311</f>
        <v>-17910.6538363173</v>
      </c>
      <c r="N10316" s="54" t="n">
        <f aca="false">N10315*N10311</f>
        <v>12334.9403691885</v>
      </c>
      <c r="P10316" s="55" t="n">
        <f aca="false">SUM(C10316:F10316)</f>
        <v>-829751.756584509</v>
      </c>
      <c r="Q10316" s="55" t="n">
        <f aca="false">SUM(G10316:J10316)</f>
        <v>-407823.116211582</v>
      </c>
      <c r="R10316" s="55" t="n">
        <f aca="false">SUM(K10316:N10316)</f>
        <v>-120560.781333749</v>
      </c>
      <c r="S10316" s="56" t="n">
        <f aca="false">SUM(P10316:R10316)</f>
        <v>-1358135.65412984</v>
      </c>
    </row>
    <row r="10317" customFormat="false" ht="15" hidden="false" customHeight="false" outlineLevel="0" collapsed="false">
      <c r="A10317" s="4" t="s">
        <v>576</v>
      </c>
      <c r="B10317" s="36"/>
      <c r="C10317" s="37" t="n">
        <f aca="false">IFERROR((S10272*$C$10221*Assumptions!$E$59+S10273*$C$10222*Assumptions!$E$60+S10274*$C$10223*Assumptions!$E$61)/(S10272*$C$10221+S10273*$C$10222+S10274*$C$10223),0.9)</f>
        <v>0.902824737458976</v>
      </c>
    </row>
    <row r="10318" customFormat="false" ht="15" hidden="false" customHeight="false" outlineLevel="0" collapsed="false">
      <c r="A10318" s="4" t="s">
        <v>577</v>
      </c>
      <c r="B10318" s="36"/>
      <c r="C10318" s="37" t="n">
        <f aca="false">IFERROR(N10306*4/N10284,0)</f>
        <v>0.091037327662826</v>
      </c>
    </row>
    <row r="10319" customFormat="false" ht="15" hidden="false" customHeight="false" outlineLevel="0" collapsed="false">
      <c r="A10319" s="4" t="s">
        <v>578</v>
      </c>
      <c r="B10319" s="36"/>
      <c r="C10319" s="60" t="n">
        <f aca="false">$C$10317/(1+Assumptions!$E$87)</f>
        <v>0.806093515588372</v>
      </c>
    </row>
    <row r="10320" customFormat="false" ht="15" hidden="false" customHeight="false" outlineLevel="0" collapsed="false">
      <c r="A10320" s="4" t="s">
        <v>579</v>
      </c>
      <c r="B10320" s="36"/>
      <c r="C10320" s="60" t="n">
        <f aca="false">Assumptions!$E$91/(1+Assumptions!$E$87)</f>
        <v>0.803571428571429</v>
      </c>
    </row>
    <row r="10321" customFormat="false" ht="15" hidden="false" customHeight="false" outlineLevel="0" collapsed="false">
      <c r="A10321" s="35" t="s">
        <v>580</v>
      </c>
      <c r="B10321" s="35" t="s">
        <v>444</v>
      </c>
      <c r="C10321" s="6" t="s">
        <v>354</v>
      </c>
      <c r="D10321" s="6" t="s">
        <v>355</v>
      </c>
      <c r="E10321" s="6" t="s">
        <v>356</v>
      </c>
      <c r="F10321" s="6" t="s">
        <v>357</v>
      </c>
      <c r="G10321" s="6" t="s">
        <v>358</v>
      </c>
      <c r="H10321" s="6" t="s">
        <v>359</v>
      </c>
      <c r="I10321" s="6" t="s">
        <v>360</v>
      </c>
      <c r="J10321" s="6" t="s">
        <v>361</v>
      </c>
      <c r="K10321" s="6" t="s">
        <v>362</v>
      </c>
      <c r="L10321" s="6" t="s">
        <v>363</v>
      </c>
      <c r="M10321" s="6" t="s">
        <v>364</v>
      </c>
      <c r="N10321" s="6" t="s">
        <v>365</v>
      </c>
      <c r="P10321" s="6" t="s">
        <v>445</v>
      </c>
      <c r="Q10321" s="6" t="s">
        <v>446</v>
      </c>
      <c r="R10321" s="6" t="s">
        <v>447</v>
      </c>
      <c r="S10321" s="6" t="s">
        <v>448</v>
      </c>
    </row>
    <row r="10322" customFormat="false" ht="15" hidden="false" customHeight="false" outlineLevel="0" collapsed="false">
      <c r="A10322" s="9" t="s">
        <v>581</v>
      </c>
      <c r="C10322" s="61" t="n">
        <f aca="false">N10284</f>
        <v>1875670.90415766</v>
      </c>
      <c r="D10322" s="61"/>
    </row>
    <row r="10323" customFormat="false" ht="15" hidden="false" customHeight="false" outlineLevel="0" collapsed="false">
      <c r="A10323" s="9" t="s">
        <v>582</v>
      </c>
      <c r="C10323" s="62" t="n">
        <f aca="false">N10280</f>
        <v>94.3392362937126</v>
      </c>
      <c r="D10323" s="62"/>
    </row>
    <row r="10324" customFormat="false" ht="15" hidden="false" customHeight="false" outlineLevel="0" collapsed="false">
      <c r="A10324" s="9" t="s">
        <v>583</v>
      </c>
      <c r="C10324" s="63" t="n">
        <f aca="false">S10275</f>
        <v>104.284037071607</v>
      </c>
      <c r="D10324" s="63"/>
    </row>
    <row r="10325" customFormat="false" ht="15" hidden="false" customHeight="false" outlineLevel="0" collapsed="false">
      <c r="A10325" s="9" t="s">
        <v>584</v>
      </c>
      <c r="C10325" s="61" t="n">
        <f aca="false">S10286</f>
        <v>1813164.63466218</v>
      </c>
      <c r="D10325" s="61"/>
    </row>
    <row r="10326" customFormat="false" ht="15" hidden="false" customHeight="false" outlineLevel="0" collapsed="false">
      <c r="A10326" s="9" t="s">
        <v>22</v>
      </c>
      <c r="C10326" s="61" t="n">
        <f aca="false">IFERROR(S10285/S10275,0)</f>
        <v>16835.7466499909</v>
      </c>
      <c r="D10326" s="61"/>
    </row>
    <row r="10327" customFormat="false" ht="15" hidden="false" customHeight="false" outlineLevel="0" collapsed="false">
      <c r="A10327" s="9" t="s">
        <v>585</v>
      </c>
      <c r="C10327" s="61" t="n">
        <f aca="false">IFERROR(S10303/S10275,0)</f>
        <v>28794.6882489865</v>
      </c>
      <c r="D10327" s="61"/>
    </row>
    <row r="10328" customFormat="false" ht="23.85" hidden="false" customHeight="false" outlineLevel="0" collapsed="false">
      <c r="A10328" s="9" t="s">
        <v>586</v>
      </c>
      <c r="C10328" s="61" t="n">
        <f aca="false">IFERROR((S10297+S10299+S10300+S10301+S10302)/S10275,0)</f>
        <v>16426.8523523263</v>
      </c>
      <c r="D10328" s="61"/>
    </row>
    <row r="10329" customFormat="false" ht="15" hidden="false" customHeight="false" outlineLevel="0" collapsed="false">
      <c r="A10329" s="9" t="s">
        <v>587</v>
      </c>
      <c r="C10329" s="64" t="n">
        <f aca="false">IFERROR('Engine Runs'!$C$10327/('Engine Runs'!$C$10326*Assumptions!$E$76/12),0)</f>
        <v>31.575329306643</v>
      </c>
      <c r="D10329" s="64"/>
    </row>
    <row r="10330" customFormat="false" ht="15" hidden="false" customHeight="false" outlineLevel="0" collapsed="false">
      <c r="A10330" s="9" t="s">
        <v>588</v>
      </c>
      <c r="C10330" s="64" t="n">
        <f aca="false">IFERROR((R10303/R10275)/((R10285/R10275)*Assumptions!$E$76/12),0)</f>
        <v>23.596978994908</v>
      </c>
      <c r="D10330" s="64"/>
    </row>
    <row r="10331" customFormat="false" ht="15" hidden="false" customHeight="false" outlineLevel="0" collapsed="false">
      <c r="A10331" s="9" t="s">
        <v>589</v>
      </c>
      <c r="C10331" s="61" t="n">
        <f aca="false">S10307</f>
        <v>3902550.48048069</v>
      </c>
      <c r="D10331" s="61"/>
    </row>
    <row r="10332" customFormat="false" ht="15" hidden="false" customHeight="false" outlineLevel="0" collapsed="false">
      <c r="A10332" s="9" t="s">
        <v>590</v>
      </c>
      <c r="C10332" s="61" t="n">
        <f aca="false">N10310</f>
        <v>-2723993.46795028</v>
      </c>
      <c r="D10332" s="61"/>
    </row>
    <row r="10333" customFormat="false" ht="15" hidden="false" customHeight="false" outlineLevel="0" collapsed="false">
      <c r="A10333" s="9" t="s">
        <v>591</v>
      </c>
      <c r="C10333" s="61" t="n">
        <f aca="false">MIN($C$10310:$N$10310)</f>
        <v>-2723993.46795028</v>
      </c>
      <c r="D10333" s="61"/>
    </row>
    <row r="10334" customFormat="false" ht="15" hidden="false" customHeight="false" outlineLevel="0" collapsed="false">
      <c r="A10334" s="9" t="s">
        <v>592</v>
      </c>
      <c r="C10334" s="61" t="n">
        <f aca="false">N10284*(Assumptions!$E$76-$C$10318)*$C$10317*(1-$C$10317^Assumptions!$E$85)/(1-$C$10317)</f>
        <v>3898056.12764009</v>
      </c>
      <c r="D10334" s="61"/>
    </row>
    <row r="10335" customFormat="false" ht="15" hidden="false" customHeight="false" outlineLevel="0" collapsed="false">
      <c r="A10335" s="9" t="s">
        <v>593</v>
      </c>
      <c r="C10335" s="61" t="n">
        <f aca="false">N10284*(Assumptions!$E$76-$C$10318)*(1-Assumptions!$E$88)/(1+Assumptions!$E$87)^2.5*$C$10319*(1-$C$10319^Assumptions!$E$85)/(1-$C$10319)</f>
        <v>1732568.15107037</v>
      </c>
      <c r="D10335" s="61"/>
    </row>
    <row r="10336" customFormat="false" ht="15" hidden="false" customHeight="false" outlineLevel="0" collapsed="false">
      <c r="A10336" s="9" t="s">
        <v>594</v>
      </c>
      <c r="C10336" s="61" t="n">
        <f aca="false">SUM($C$10312:$N$10312)+'Engine Runs'!$C$10335</f>
        <v>-764878.915878412</v>
      </c>
      <c r="D10336" s="61"/>
    </row>
    <row r="10337" customFormat="false" ht="15" hidden="false" customHeight="false" outlineLevel="0" collapsed="false">
      <c r="A10337" s="9" t="s">
        <v>595</v>
      </c>
      <c r="C10337" s="61" t="n">
        <f aca="false">SUM($C$10316:$N$10316)+N10314*(Assumptions!$E$76-Assumptions!$E$93)/(1+Assumptions!$E$87)^2.5*$C$10320*(1-$C$10320^Assumptions!$E$85)/(1-$C$10320)</f>
        <v>1836194.44037736</v>
      </c>
      <c r="D10337" s="61"/>
    </row>
    <row r="10338" customFormat="false" ht="15" hidden="false" customHeight="false" outlineLevel="0" collapsed="false">
      <c r="A10338" s="9" t="s">
        <v>596</v>
      </c>
      <c r="C10338" s="61" t="n">
        <f aca="false">'Engine Runs'!$C$10336-'Engine Runs'!$C$10337</f>
        <v>-2601073.35625577</v>
      </c>
      <c r="D10338" s="61"/>
    </row>
    <row r="10339" customFormat="false" ht="15" hidden="false" customHeight="false" outlineLevel="0" collapsed="false">
      <c r="A10339" s="9" t="s">
        <v>597</v>
      </c>
      <c r="C10339" s="61" t="n">
        <f aca="false">S10271</f>
        <v>0</v>
      </c>
      <c r="D10339" s="61"/>
    </row>
    <row r="10340" customFormat="false" ht="15" hidden="false" customHeight="false" outlineLevel="0" collapsed="false">
      <c r="A10340" s="9" t="s">
        <v>598</v>
      </c>
      <c r="C10340" s="63" t="n">
        <f aca="false">P10255</f>
        <v>43.6188722246667</v>
      </c>
      <c r="D10340" s="63"/>
    </row>
    <row r="10341" customFormat="false" ht="15" hidden="false" customHeight="false" outlineLevel="0" collapsed="false">
      <c r="A10341" s="9" t="s">
        <v>599</v>
      </c>
      <c r="C10341" s="63" t="n">
        <f aca="false">P10275</f>
        <v>11.7763981894979</v>
      </c>
      <c r="D10341" s="63"/>
    </row>
    <row r="10342" customFormat="false" ht="15" hidden="false" customHeight="false" outlineLevel="0" collapsed="false">
      <c r="A10342" s="9" t="s">
        <v>600</v>
      </c>
      <c r="C10342" s="63" t="n">
        <f aca="false">P10251</f>
        <v>42</v>
      </c>
      <c r="D10342" s="63"/>
    </row>
    <row r="10343" customFormat="false" ht="15" hidden="false" customHeight="false" outlineLevel="0" collapsed="false">
      <c r="A10343" s="9" t="s">
        <v>601</v>
      </c>
      <c r="C10343" s="61" t="n">
        <f aca="false">IFERROR(P10285/P10275,0)</f>
        <v>16181.5777383201</v>
      </c>
      <c r="D10343" s="61"/>
    </row>
    <row r="10346" customFormat="false" ht="15" hidden="false" customHeight="true" outlineLevel="0" collapsed="false">
      <c r="A10346" s="78" t="s">
        <v>963</v>
      </c>
      <c r="B10346" s="78"/>
      <c r="C10346" s="78"/>
      <c r="D10346" s="78"/>
      <c r="E10346" s="78"/>
      <c r="F10346" s="78"/>
      <c r="G10346" s="78"/>
      <c r="H10346" s="78"/>
      <c r="I10346" s="78"/>
      <c r="J10346" s="78"/>
      <c r="K10346" s="78"/>
      <c r="L10346" s="78"/>
      <c r="M10346" s="78"/>
      <c r="N10346" s="78"/>
    </row>
    <row r="10347" customFormat="false" ht="15" hidden="false" customHeight="true" outlineLevel="0" collapsed="false">
      <c r="A10347" s="79" t="s">
        <v>964</v>
      </c>
      <c r="B10347" s="79"/>
      <c r="C10347" s="79"/>
      <c r="D10347" s="79"/>
      <c r="E10347" s="79"/>
      <c r="F10347" s="79"/>
      <c r="G10347" s="79"/>
      <c r="H10347" s="79"/>
      <c r="I10347" s="79"/>
      <c r="J10347" s="79"/>
      <c r="K10347" s="79"/>
      <c r="L10347" s="79"/>
      <c r="M10347" s="79"/>
      <c r="N10347" s="79"/>
    </row>
    <row r="10348" customFormat="false" ht="23.85" hidden="false" customHeight="false" outlineLevel="0" collapsed="false">
      <c r="A10348" s="35" t="s">
        <v>965</v>
      </c>
      <c r="B10348" s="35" t="s">
        <v>444</v>
      </c>
      <c r="C10348" s="6" t="s">
        <v>354</v>
      </c>
      <c r="D10348" s="6" t="s">
        <v>355</v>
      </c>
      <c r="E10348" s="6" t="s">
        <v>356</v>
      </c>
      <c r="F10348" s="6" t="s">
        <v>357</v>
      </c>
      <c r="G10348" s="6" t="s">
        <v>358</v>
      </c>
      <c r="H10348" s="6" t="s">
        <v>359</v>
      </c>
      <c r="I10348" s="6" t="s">
        <v>360</v>
      </c>
      <c r="J10348" s="6" t="s">
        <v>361</v>
      </c>
      <c r="K10348" s="6" t="s">
        <v>362</v>
      </c>
      <c r="L10348" s="6" t="s">
        <v>363</v>
      </c>
      <c r="M10348" s="6" t="s">
        <v>364</v>
      </c>
      <c r="N10348" s="6" t="s">
        <v>365</v>
      </c>
      <c r="P10348" s="6" t="s">
        <v>445</v>
      </c>
      <c r="Q10348" s="6" t="s">
        <v>446</v>
      </c>
      <c r="R10348" s="6" t="s">
        <v>447</v>
      </c>
      <c r="S10348" s="6" t="s">
        <v>448</v>
      </c>
    </row>
    <row r="10349" customFormat="false" ht="15" hidden="false" customHeight="false" outlineLevel="0" collapsed="false">
      <c r="A10349" s="4" t="s">
        <v>449</v>
      </c>
      <c r="B10349" s="36" t="s">
        <v>450</v>
      </c>
      <c r="C10349" s="34" t="n">
        <f aca="false">'Market Sizing'!$C$17*Assumptions!$E$10*Assumptions!$E$11*(1-Assumptions!$E$12)</f>
        <v>843.03944704</v>
      </c>
    </row>
    <row r="10350" customFormat="false" ht="15" hidden="false" customHeight="false" outlineLevel="0" collapsed="false">
      <c r="A10350" s="4" t="s">
        <v>451</v>
      </c>
      <c r="B10350" s="36" t="s">
        <v>450</v>
      </c>
      <c r="C10350" s="34" t="n">
        <f aca="false">'Market Sizing'!$D$17*Assumptions!$E$10*Assumptions!$E$11*(1-Assumptions!$E$12)</f>
        <v>211.19616</v>
      </c>
    </row>
    <row r="10351" customFormat="false" ht="15" hidden="false" customHeight="false" outlineLevel="0" collapsed="false">
      <c r="A10351" s="4" t="s">
        <v>452</v>
      </c>
      <c r="B10351" s="36" t="s">
        <v>450</v>
      </c>
      <c r="C10351" s="34" t="n">
        <f aca="false">'Market Sizing'!$E$17*Assumptions!$E$10*Assumptions!$E$11*(1-Assumptions!$E$12)</f>
        <v>49.53984</v>
      </c>
    </row>
    <row r="10352" customFormat="false" ht="15" hidden="false" customHeight="false" outlineLevel="0" collapsed="false">
      <c r="A10352" s="4" t="s">
        <v>453</v>
      </c>
      <c r="B10352" s="36"/>
      <c r="C10352" s="34" t="n">
        <f aca="false">$C$10349+$C$10350+$C$10351</f>
        <v>1103.77544704</v>
      </c>
    </row>
    <row r="10353" customFormat="false" ht="15" hidden="false" customHeight="false" outlineLevel="0" collapsed="false">
      <c r="A10353" s="4" t="s">
        <v>454</v>
      </c>
      <c r="B10353" s="36" t="s">
        <v>450</v>
      </c>
      <c r="C10353" s="34" t="n">
        <f aca="false">'Market Sizing'!$C$18*Assumptions!$E$10*Assumptions!$E$11*(1-Assumptions!$E$12)</f>
        <v>612.57706944</v>
      </c>
    </row>
    <row r="10354" customFormat="false" ht="15" hidden="false" customHeight="false" outlineLevel="0" collapsed="false">
      <c r="A10354" s="4" t="s">
        <v>455</v>
      </c>
      <c r="B10354" s="36" t="s">
        <v>450</v>
      </c>
      <c r="C10354" s="34" t="n">
        <f aca="false">'Market Sizing'!$D$18*Assumptions!$E$10*Assumptions!$E$11*(1-Assumptions!$E$12)</f>
        <v>142.10112</v>
      </c>
    </row>
    <row r="10355" customFormat="false" ht="15" hidden="false" customHeight="false" outlineLevel="0" collapsed="false">
      <c r="A10355" s="4" t="s">
        <v>456</v>
      </c>
      <c r="B10355" s="36" t="s">
        <v>450</v>
      </c>
      <c r="C10355" s="34" t="n">
        <f aca="false">'Market Sizing'!$E$18*Assumptions!$E$10*Assumptions!$E$11*(1-Assumptions!$E$12)</f>
        <v>24.76992</v>
      </c>
    </row>
    <row r="10356" customFormat="false" ht="15" hidden="false" customHeight="false" outlineLevel="0" collapsed="false">
      <c r="A10356" s="4" t="s">
        <v>457</v>
      </c>
      <c r="B10356" s="36"/>
      <c r="C10356" s="34" t="n">
        <f aca="false">$C$10353+$C$10354+$C$10355</f>
        <v>779.44810944</v>
      </c>
    </row>
    <row r="10357" customFormat="false" ht="15" hidden="false" customHeight="false" outlineLevel="0" collapsed="false">
      <c r="A10357" s="4" t="s">
        <v>458</v>
      </c>
      <c r="B10357" s="36" t="s">
        <v>450</v>
      </c>
      <c r="C10357" s="34" t="n">
        <f aca="false">'Market Sizing'!$C$19*Assumptions!$E$10*Assumptions!$E$11*(1-Assumptions!$E$12)</f>
        <v>2060.77303936</v>
      </c>
    </row>
    <row r="10358" customFormat="false" ht="15" hidden="false" customHeight="false" outlineLevel="0" collapsed="false">
      <c r="A10358" s="4" t="s">
        <v>459</v>
      </c>
      <c r="B10358" s="36" t="s">
        <v>450</v>
      </c>
      <c r="C10358" s="34" t="n">
        <f aca="false">'Market Sizing'!$D$19*Assumptions!$E$10*Assumptions!$E$11*(1-Assumptions!$E$12)</f>
        <v>428.47616</v>
      </c>
    </row>
    <row r="10359" customFormat="false" ht="15" hidden="false" customHeight="false" outlineLevel="0" collapsed="false">
      <c r="A10359" s="4" t="s">
        <v>460</v>
      </c>
      <c r="B10359" s="36" t="s">
        <v>450</v>
      </c>
      <c r="C10359" s="34" t="n">
        <f aca="false">'Market Sizing'!$E$19*Assumptions!$E$10*Assumptions!$E$11*(1-Assumptions!$E$12)</f>
        <v>79.52448</v>
      </c>
    </row>
    <row r="10360" customFormat="false" ht="15" hidden="false" customHeight="false" outlineLevel="0" collapsed="false">
      <c r="A10360" s="4" t="s">
        <v>461</v>
      </c>
      <c r="B10360" s="36"/>
      <c r="C10360" s="34" t="n">
        <f aca="false">$C$10357+$C$10358+$C$10359</f>
        <v>2568.77367936</v>
      </c>
    </row>
    <row r="10361" customFormat="false" ht="15" hidden="false" customHeight="false" outlineLevel="0" collapsed="false">
      <c r="A10361" s="4" t="s">
        <v>462</v>
      </c>
      <c r="B10361" s="36" t="s">
        <v>463</v>
      </c>
      <c r="C10361" s="33" t="n">
        <f aca="false">MAX((Assumptions!$E$51+Assumptions!$E$53)*12,(((('Market Sizing'!$E$25*Assumptions!$E$41*Assumptions!$E$42*Assumptions!$E$43)*Assumptions!$E$44)*Assumptions!$E$45*Assumptions!$E$46+('Market Sizing'!$E$25*Assumptions!$E$41*Assumptions!$E$42*Assumptions!$E$43)*Assumptions!$E$47+('Market Sizing'!$E$25*Assumptions!$E$41*Assumptions!$E$42*Assumptions!$E$43)*Assumptions!$E$48*Assumptions!$E$49)*(Assumptions!$E$51*12/Assumptions!$E$52)+((('Market Sizing'!$E$25*Assumptions!$E$41*Assumptions!$E$42*Assumptions!$E$43)*Assumptions!$E$44)*Assumptions!$E$45+('Market Sizing'!$E$25*Assumptions!$E$41*Assumptions!$E$42*Assumptions!$E$43)+('Market Sizing'!$E$25*Assumptions!$E$41*Assumptions!$E$42*Assumptions!$E$43)*Assumptions!$E$48)*Assumptions!$E$50*(Assumptions!$E$53*12/Assumptions!$E$54)))</f>
        <v>5352</v>
      </c>
    </row>
    <row r="10362" customFormat="false" ht="15" hidden="false" customHeight="false" outlineLevel="0" collapsed="false">
      <c r="A10362" s="4" t="s">
        <v>464</v>
      </c>
      <c r="B10362" s="36" t="s">
        <v>463</v>
      </c>
      <c r="C10362" s="33" t="n">
        <f aca="false">MAX((Assumptions!$E$51+Assumptions!$E$53)*12,(((('Market Sizing'!$E$26*Assumptions!$E$41*Assumptions!$E$42*Assumptions!$E$43)*Assumptions!$E$44)*Assumptions!$E$45*Assumptions!$E$46+('Market Sizing'!$E$26*Assumptions!$E$41*Assumptions!$E$42*Assumptions!$E$43)*Assumptions!$E$47+('Market Sizing'!$E$26*Assumptions!$E$41*Assumptions!$E$42*Assumptions!$E$43)*Assumptions!$E$48*Assumptions!$E$49)*(Assumptions!$E$51*12/Assumptions!$E$52)+((('Market Sizing'!$E$26*Assumptions!$E$41*Assumptions!$E$42*Assumptions!$E$43)*Assumptions!$E$44)*Assumptions!$E$45+('Market Sizing'!$E$26*Assumptions!$E$41*Assumptions!$E$42*Assumptions!$E$43)+('Market Sizing'!$E$26*Assumptions!$E$41*Assumptions!$E$42*Assumptions!$E$43)*Assumptions!$E$48)*Assumptions!$E$50*(Assumptions!$E$53*12/Assumptions!$E$54)))</f>
        <v>9766.72012875208</v>
      </c>
    </row>
    <row r="10363" customFormat="false" ht="15" hidden="false" customHeight="false" outlineLevel="0" collapsed="false">
      <c r="A10363" s="4" t="s">
        <v>465</v>
      </c>
      <c r="B10363" s="36" t="s">
        <v>463</v>
      </c>
      <c r="C10363" s="33" t="n">
        <f aca="false">MAX(Assumptions!$E$55*(Assumptions!$E$51*12/Assumptions!$E$52)+Assumptions!$E$56*(Assumptions!$E$53*12/Assumptions!$E$54),(((('Market Sizing'!$E$27*Assumptions!$E$41*Assumptions!$E$42*Assumptions!$E$43)*Assumptions!$E$44)*Assumptions!$E$45*Assumptions!$E$46+('Market Sizing'!$E$27*Assumptions!$E$41*Assumptions!$E$42*Assumptions!$E$43)*Assumptions!$E$47+('Market Sizing'!$E$27*Assumptions!$E$41*Assumptions!$E$42*Assumptions!$E$43)*Assumptions!$E$48*Assumptions!$E$49)*(Assumptions!$E$51*12/Assumptions!$E$52)+((('Market Sizing'!$E$27*Assumptions!$E$41*Assumptions!$E$42*Assumptions!$E$43)*Assumptions!$E$44)*Assumptions!$E$45+('Market Sizing'!$E$27*Assumptions!$E$41*Assumptions!$E$42*Assumptions!$E$43)+('Market Sizing'!$E$27*Assumptions!$E$41*Assumptions!$E$42*Assumptions!$E$43)*Assumptions!$E$48)*Assumptions!$E$50*(Assumptions!$E$53*12/Assumptions!$E$54)))*(1-Assumptions!$E$57)</f>
        <v>61778.2562194386</v>
      </c>
    </row>
    <row r="10364" customFormat="false" ht="23.85" hidden="false" customHeight="false" outlineLevel="0" collapsed="false">
      <c r="A10364" s="4" t="s">
        <v>466</v>
      </c>
      <c r="B10364" s="36" t="s">
        <v>467</v>
      </c>
      <c r="C10364" s="37" t="n">
        <f aca="false">Assumptions!$E$17*Assumptions!$E$106</f>
        <v>0.4</v>
      </c>
    </row>
    <row r="10365" customFormat="false" ht="23.85" hidden="false" customHeight="false" outlineLevel="0" collapsed="false">
      <c r="A10365" s="4" t="s">
        <v>468</v>
      </c>
      <c r="B10365" s="36" t="s">
        <v>469</v>
      </c>
      <c r="C10365" s="33" t="n">
        <f aca="false">Assumptions!$E$68/Assumptions!$E$69</f>
        <v>285714.285714286</v>
      </c>
    </row>
    <row r="10366" customFormat="false" ht="23.85" hidden="false" customHeight="false" outlineLevel="0" collapsed="false">
      <c r="A10366" s="4" t="s">
        <v>470</v>
      </c>
      <c r="B10366" s="36" t="s">
        <v>471</v>
      </c>
      <c r="C10366" s="33" t="n">
        <f aca="false">Assumptions!$E$66*Assumptions!$E$67/4</f>
        <v>153125</v>
      </c>
    </row>
    <row r="10367" customFormat="false" ht="15" hidden="false" customHeight="false" outlineLevel="0" collapsed="false">
      <c r="A10367" s="4" t="s">
        <v>472</v>
      </c>
      <c r="B10367" s="36"/>
      <c r="C10367" s="38" t="n">
        <f aca="false">$C$10365/Assumptions!$E$66/Assumptions!$E$67</f>
        <v>0.466472303206997</v>
      </c>
    </row>
    <row r="10368" customFormat="false" ht="15" hidden="false" customHeight="false" outlineLevel="0" collapsed="false">
      <c r="A10368" s="4" t="s">
        <v>473</v>
      </c>
      <c r="B10368" s="36"/>
      <c r="C10368" s="33" t="n">
        <f aca="false">MAX(0,Assumptions!$E$103-Assumptions!$E$78)</f>
        <v>35000</v>
      </c>
    </row>
    <row r="10369" customFormat="false" ht="15" hidden="false" customHeight="false" outlineLevel="0" collapsed="false">
      <c r="A10369" s="35" t="s">
        <v>474</v>
      </c>
      <c r="B10369" s="35" t="s">
        <v>444</v>
      </c>
      <c r="C10369" s="6" t="s">
        <v>354</v>
      </c>
      <c r="D10369" s="6" t="s">
        <v>355</v>
      </c>
      <c r="E10369" s="6" t="s">
        <v>356</v>
      </c>
      <c r="F10369" s="6" t="s">
        <v>357</v>
      </c>
      <c r="G10369" s="6" t="s">
        <v>358</v>
      </c>
      <c r="H10369" s="6" t="s">
        <v>359</v>
      </c>
      <c r="I10369" s="6" t="s">
        <v>360</v>
      </c>
      <c r="J10369" s="6" t="s">
        <v>361</v>
      </c>
      <c r="K10369" s="6" t="s">
        <v>362</v>
      </c>
      <c r="L10369" s="6" t="s">
        <v>363</v>
      </c>
      <c r="M10369" s="6" t="s">
        <v>364</v>
      </c>
      <c r="N10369" s="6" t="s">
        <v>365</v>
      </c>
      <c r="P10369" s="6" t="s">
        <v>445</v>
      </c>
      <c r="Q10369" s="6" t="s">
        <v>446</v>
      </c>
      <c r="R10369" s="6" t="s">
        <v>447</v>
      </c>
      <c r="S10369" s="6" t="s">
        <v>448</v>
      </c>
    </row>
    <row r="10370" customFormat="false" ht="15" hidden="false" customHeight="false" outlineLevel="0" collapsed="false">
      <c r="A10370" s="4" t="s">
        <v>475</v>
      </c>
      <c r="B10370" s="36" t="s">
        <v>133</v>
      </c>
      <c r="C10370" s="39" t="n">
        <v>1</v>
      </c>
      <c r="D10370" s="39" t="n">
        <v>2</v>
      </c>
      <c r="E10370" s="39" t="n">
        <v>3</v>
      </c>
      <c r="F10370" s="39" t="n">
        <v>4</v>
      </c>
      <c r="G10370" s="39" t="n">
        <v>5</v>
      </c>
      <c r="H10370" s="39" t="n">
        <v>6</v>
      </c>
      <c r="I10370" s="39" t="n">
        <v>7</v>
      </c>
      <c r="J10370" s="39" t="n">
        <v>8</v>
      </c>
      <c r="K10370" s="39" t="n">
        <v>9</v>
      </c>
      <c r="L10370" s="39" t="n">
        <v>10</v>
      </c>
      <c r="M10370" s="39" t="n">
        <v>11</v>
      </c>
      <c r="N10370" s="39" t="n">
        <v>12</v>
      </c>
      <c r="P10370" s="40"/>
      <c r="Q10370" s="40"/>
      <c r="R10370" s="40"/>
      <c r="S10370" s="41"/>
    </row>
    <row r="10371" customFormat="false" ht="15" hidden="false" customHeight="false" outlineLevel="0" collapsed="false">
      <c r="A10371" s="4" t="s">
        <v>476</v>
      </c>
      <c r="B10371" s="36" t="s">
        <v>343</v>
      </c>
      <c r="C10371" s="39" t="n">
        <f aca="false">IF(C10370&lt;=Assumptions!$E$84,1,0)</f>
        <v>1</v>
      </c>
      <c r="D10371" s="39" t="n">
        <f aca="false">IF(D10370&lt;=Assumptions!$E$84,1,0)</f>
        <v>1</v>
      </c>
      <c r="E10371" s="39" t="n">
        <f aca="false">IF(E10370&lt;=Assumptions!$E$84,1,0)</f>
        <v>1</v>
      </c>
      <c r="F10371" s="39" t="n">
        <f aca="false">IF(F10370&lt;=Assumptions!$E$84,1,0)</f>
        <v>1</v>
      </c>
      <c r="G10371" s="39" t="n">
        <f aca="false">IF(G10370&lt;=Assumptions!$E$84,1,0)</f>
        <v>1</v>
      </c>
      <c r="H10371" s="39" t="n">
        <f aca="false">IF(H10370&lt;=Assumptions!$E$84,1,0)</f>
        <v>1</v>
      </c>
      <c r="I10371" s="39" t="n">
        <f aca="false">IF(I10370&lt;=Assumptions!$E$84,1,0)</f>
        <v>1</v>
      </c>
      <c r="J10371" s="39" t="n">
        <f aca="false">IF(J10370&lt;=Assumptions!$E$84,1,0)</f>
        <v>1</v>
      </c>
      <c r="K10371" s="39" t="n">
        <f aca="false">IF(K10370&lt;=Assumptions!$E$84,1,0)</f>
        <v>1</v>
      </c>
      <c r="L10371" s="39" t="n">
        <f aca="false">IF(L10370&lt;=Assumptions!$E$84,1,0)</f>
        <v>1</v>
      </c>
      <c r="M10371" s="39" t="n">
        <f aca="false">IF(M10370&lt;=Assumptions!$E$84,1,0)</f>
        <v>1</v>
      </c>
      <c r="N10371" s="39" t="n">
        <f aca="false">IF(N10370&lt;=Assumptions!$E$84,1,0)</f>
        <v>1</v>
      </c>
      <c r="P10371" s="40"/>
      <c r="Q10371" s="40"/>
      <c r="R10371" s="40"/>
      <c r="S10371" s="41"/>
    </row>
    <row r="10372" customFormat="false" ht="15" hidden="false" customHeight="false" outlineLevel="0" collapsed="false">
      <c r="A10372" s="4" t="s">
        <v>477</v>
      </c>
      <c r="B10372" s="36" t="s">
        <v>478</v>
      </c>
      <c r="C10372" s="42" t="n">
        <f aca="false">IF(C10370=Assumptions!$E$13,0.5,IF(C10370&gt;Assumptions!$E$13,1,0))</f>
        <v>0.5</v>
      </c>
      <c r="D10372" s="42" t="n">
        <f aca="false">IF(D10370=Assumptions!$E$13,0.5,IF(D10370&gt;Assumptions!$E$13,1,0))</f>
        <v>1</v>
      </c>
      <c r="E10372" s="42" t="n">
        <f aca="false">IF(E10370=Assumptions!$E$13,0.5,IF(E10370&gt;Assumptions!$E$13,1,0))</f>
        <v>1</v>
      </c>
      <c r="F10372" s="42" t="n">
        <f aca="false">IF(F10370=Assumptions!$E$13,0.5,IF(F10370&gt;Assumptions!$E$13,1,0))</f>
        <v>1</v>
      </c>
      <c r="G10372" s="42" t="n">
        <f aca="false">IF(G10370=Assumptions!$E$13,0.5,IF(G10370&gt;Assumptions!$E$13,1,0))</f>
        <v>1</v>
      </c>
      <c r="H10372" s="42" t="n">
        <f aca="false">IF(H10370=Assumptions!$E$13,0.5,IF(H10370&gt;Assumptions!$E$13,1,0))</f>
        <v>1</v>
      </c>
      <c r="I10372" s="42" t="n">
        <f aca="false">IF(I10370=Assumptions!$E$13,0.5,IF(I10370&gt;Assumptions!$E$13,1,0))</f>
        <v>1</v>
      </c>
      <c r="J10372" s="42" t="n">
        <f aca="false">IF(J10370=Assumptions!$E$13,0.5,IF(J10370&gt;Assumptions!$E$13,1,0))</f>
        <v>1</v>
      </c>
      <c r="K10372" s="42" t="n">
        <f aca="false">IF(K10370=Assumptions!$E$13,0.5,IF(K10370&gt;Assumptions!$E$13,1,0))</f>
        <v>1</v>
      </c>
      <c r="L10372" s="42" t="n">
        <f aca="false">IF(L10370=Assumptions!$E$13,0.5,IF(L10370&gt;Assumptions!$E$13,1,0))</f>
        <v>1</v>
      </c>
      <c r="M10372" s="42" t="n">
        <f aca="false">IF(M10370=Assumptions!$E$13,0.5,IF(M10370&gt;Assumptions!$E$13,1,0))</f>
        <v>1</v>
      </c>
      <c r="N10372" s="42" t="n">
        <f aca="false">IF(N10370=Assumptions!$E$13,0.5,IF(N10370&gt;Assumptions!$E$13,1,0))</f>
        <v>1</v>
      </c>
      <c r="P10372" s="43"/>
      <c r="Q10372" s="43"/>
      <c r="R10372" s="43"/>
      <c r="S10372" s="44"/>
    </row>
    <row r="10373" customFormat="false" ht="15" hidden="false" customHeight="false" outlineLevel="0" collapsed="false">
      <c r="A10373" s="4" t="s">
        <v>479</v>
      </c>
      <c r="B10373" s="36" t="s">
        <v>478</v>
      </c>
      <c r="C10373" s="42" t="n">
        <f aca="false">IF(C10370=Assumptions!$E$14,0.5,IF(C10370&gt;Assumptions!$E$14,1,0))</f>
        <v>0</v>
      </c>
      <c r="D10373" s="42" t="n">
        <f aca="false">IF(D10370=Assumptions!$E$14,0.5,IF(D10370&gt;Assumptions!$E$14,1,0))</f>
        <v>0</v>
      </c>
      <c r="E10373" s="42" t="n">
        <f aca="false">IF(E10370=Assumptions!$E$14,0.5,IF(E10370&gt;Assumptions!$E$14,1,0))</f>
        <v>0</v>
      </c>
      <c r="F10373" s="42" t="n">
        <f aca="false">IF(F10370=Assumptions!$E$14,0.5,IF(F10370&gt;Assumptions!$E$14,1,0))</f>
        <v>0</v>
      </c>
      <c r="G10373" s="42" t="n">
        <f aca="false">IF(G10370=Assumptions!$E$14,0.5,IF(G10370&gt;Assumptions!$E$14,1,0))</f>
        <v>0.5</v>
      </c>
      <c r="H10373" s="42" t="n">
        <f aca="false">IF(H10370=Assumptions!$E$14,0.5,IF(H10370&gt;Assumptions!$E$14,1,0))</f>
        <v>1</v>
      </c>
      <c r="I10373" s="42" t="n">
        <f aca="false">IF(I10370=Assumptions!$E$14,0.5,IF(I10370&gt;Assumptions!$E$14,1,0))</f>
        <v>1</v>
      </c>
      <c r="J10373" s="42" t="n">
        <f aca="false">IF(J10370=Assumptions!$E$14,0.5,IF(J10370&gt;Assumptions!$E$14,1,0))</f>
        <v>1</v>
      </c>
      <c r="K10373" s="42" t="n">
        <f aca="false">IF(K10370=Assumptions!$E$14,0.5,IF(K10370&gt;Assumptions!$E$14,1,0))</f>
        <v>1</v>
      </c>
      <c r="L10373" s="42" t="n">
        <f aca="false">IF(L10370=Assumptions!$E$14,0.5,IF(L10370&gt;Assumptions!$E$14,1,0))</f>
        <v>1</v>
      </c>
      <c r="M10373" s="42" t="n">
        <f aca="false">IF(M10370=Assumptions!$E$14,0.5,IF(M10370&gt;Assumptions!$E$14,1,0))</f>
        <v>1</v>
      </c>
      <c r="N10373" s="42" t="n">
        <f aca="false">IF(N10370=Assumptions!$E$14,0.5,IF(N10370&gt;Assumptions!$E$14,1,0))</f>
        <v>1</v>
      </c>
      <c r="P10373" s="43"/>
      <c r="Q10373" s="43"/>
      <c r="R10373" s="43"/>
      <c r="S10373" s="44"/>
    </row>
    <row r="10374" customFormat="false" ht="15" hidden="false" customHeight="false" outlineLevel="0" collapsed="false">
      <c r="A10374" s="4" t="s">
        <v>480</v>
      </c>
      <c r="B10374" s="36" t="s">
        <v>478</v>
      </c>
      <c r="C10374" s="42" t="n">
        <f aca="false">IF(C10370=Assumptions!$E$15,0.5,IF(C10370&gt;Assumptions!$E$15,1,0))</f>
        <v>0</v>
      </c>
      <c r="D10374" s="42" t="n">
        <f aca="false">IF(D10370=Assumptions!$E$15,0.5,IF(D10370&gt;Assumptions!$E$15,1,0))</f>
        <v>0</v>
      </c>
      <c r="E10374" s="42" t="n">
        <f aca="false">IF(E10370=Assumptions!$E$15,0.5,IF(E10370&gt;Assumptions!$E$15,1,0))</f>
        <v>0</v>
      </c>
      <c r="F10374" s="42" t="n">
        <f aca="false">IF(F10370=Assumptions!$E$15,0.5,IF(F10370&gt;Assumptions!$E$15,1,0))</f>
        <v>0</v>
      </c>
      <c r="G10374" s="42" t="n">
        <f aca="false">IF(G10370=Assumptions!$E$15,0.5,IF(G10370&gt;Assumptions!$E$15,1,0))</f>
        <v>0</v>
      </c>
      <c r="H10374" s="42" t="n">
        <f aca="false">IF(H10370=Assumptions!$E$15,0.5,IF(H10370&gt;Assumptions!$E$15,1,0))</f>
        <v>0</v>
      </c>
      <c r="I10374" s="42" t="n">
        <f aca="false">IF(I10370=Assumptions!$E$15,0.5,IF(I10370&gt;Assumptions!$E$15,1,0))</f>
        <v>0.5</v>
      </c>
      <c r="J10374" s="42" t="n">
        <f aca="false">IF(J10370=Assumptions!$E$15,0.5,IF(J10370&gt;Assumptions!$E$15,1,0))</f>
        <v>1</v>
      </c>
      <c r="K10374" s="42" t="n">
        <f aca="false">IF(K10370=Assumptions!$E$15,0.5,IF(K10370&gt;Assumptions!$E$15,1,0))</f>
        <v>1</v>
      </c>
      <c r="L10374" s="42" t="n">
        <f aca="false">IF(L10370=Assumptions!$E$15,0.5,IF(L10370&gt;Assumptions!$E$15,1,0))</f>
        <v>1</v>
      </c>
      <c r="M10374" s="42" t="n">
        <f aca="false">IF(M10370=Assumptions!$E$15,0.5,IF(M10370&gt;Assumptions!$E$15,1,0))</f>
        <v>1</v>
      </c>
      <c r="N10374" s="42" t="n">
        <f aca="false">IF(N10370=Assumptions!$E$15,0.5,IF(N10370&gt;Assumptions!$E$15,1,0))</f>
        <v>1</v>
      </c>
      <c r="P10374" s="43"/>
      <c r="Q10374" s="43"/>
      <c r="R10374" s="43"/>
      <c r="S10374" s="44"/>
    </row>
    <row r="10375" customFormat="false" ht="15" hidden="false" customHeight="false" outlineLevel="0" collapsed="false">
      <c r="A10375" s="4" t="s">
        <v>481</v>
      </c>
      <c r="B10375" s="36" t="s">
        <v>478</v>
      </c>
      <c r="C10375" s="45" t="n">
        <f aca="false">Assumptions!$E$21^(MAX(0,C10370-Assumptions!$E$13)/4)</f>
        <v>1</v>
      </c>
      <c r="D10375" s="45" t="n">
        <f aca="false">Assumptions!$E$21^(MAX(0,D10370-Assumptions!$E$13)/4)</f>
        <v>0.9306048591021</v>
      </c>
      <c r="E10375" s="45" t="n">
        <f aca="false">Assumptions!$E$21^(MAX(0,E10370-Assumptions!$E$13)/4)</f>
        <v>0.866025403784439</v>
      </c>
      <c r="F10375" s="45" t="n">
        <f aca="false">Assumptions!$E$21^(MAX(0,F10370-Assumptions!$E$13)/4)</f>
        <v>0.805927448867656</v>
      </c>
      <c r="G10375" s="45" t="n">
        <f aca="false">Assumptions!$E$21^(MAX(0,G10370-Assumptions!$E$13)/4)</f>
        <v>0.75</v>
      </c>
      <c r="H10375" s="45" t="n">
        <f aca="false">Assumptions!$E$21^(MAX(0,H10370-Assumptions!$E$13)/4)</f>
        <v>0.697953644326575</v>
      </c>
      <c r="I10375" s="45" t="n">
        <f aca="false">Assumptions!$E$21^(MAX(0,I10370-Assumptions!$E$13)/4)</f>
        <v>0.649519052838329</v>
      </c>
      <c r="J10375" s="45" t="n">
        <f aca="false">Assumptions!$E$21^(MAX(0,J10370-Assumptions!$E$13)/4)</f>
        <v>0.604445586650742</v>
      </c>
      <c r="K10375" s="45" t="n">
        <f aca="false">Assumptions!$E$21^(MAX(0,K10370-Assumptions!$E$13)/4)</f>
        <v>0.5625</v>
      </c>
      <c r="L10375" s="45" t="n">
        <f aca="false">Assumptions!$E$21^(MAX(0,L10370-Assumptions!$E$13)/4)</f>
        <v>0.523465233244931</v>
      </c>
      <c r="M10375" s="45" t="n">
        <f aca="false">Assumptions!$E$21^(MAX(0,M10370-Assumptions!$E$13)/4)</f>
        <v>0.487139289628747</v>
      </c>
      <c r="N10375" s="45" t="n">
        <f aca="false">Assumptions!$E$21^(MAX(0,N10370-Assumptions!$E$13)/4)</f>
        <v>0.453334189988057</v>
      </c>
      <c r="P10375" s="46"/>
      <c r="Q10375" s="46"/>
      <c r="R10375" s="46"/>
      <c r="S10375" s="47"/>
    </row>
    <row r="10376" customFormat="false" ht="15" hidden="false" customHeight="false" outlineLevel="0" collapsed="false">
      <c r="A10376" s="4" t="s">
        <v>482</v>
      </c>
      <c r="B10376" s="36" t="s">
        <v>478</v>
      </c>
      <c r="C10376" s="45" t="n">
        <f aca="false">Assumptions!$E$21^(MAX(0,C10370-Assumptions!$E$14)/4)</f>
        <v>1</v>
      </c>
      <c r="D10376" s="45" t="n">
        <f aca="false">Assumptions!$E$21^(MAX(0,D10370-Assumptions!$E$14)/4)</f>
        <v>1</v>
      </c>
      <c r="E10376" s="45" t="n">
        <f aca="false">Assumptions!$E$21^(MAX(0,E10370-Assumptions!$E$14)/4)</f>
        <v>1</v>
      </c>
      <c r="F10376" s="45" t="n">
        <f aca="false">Assumptions!$E$21^(MAX(0,F10370-Assumptions!$E$14)/4)</f>
        <v>1</v>
      </c>
      <c r="G10376" s="45" t="n">
        <f aca="false">Assumptions!$E$21^(MAX(0,G10370-Assumptions!$E$14)/4)</f>
        <v>1</v>
      </c>
      <c r="H10376" s="45" t="n">
        <f aca="false">Assumptions!$E$21^(MAX(0,H10370-Assumptions!$E$14)/4)</f>
        <v>0.9306048591021</v>
      </c>
      <c r="I10376" s="45" t="n">
        <f aca="false">Assumptions!$E$21^(MAX(0,I10370-Assumptions!$E$14)/4)</f>
        <v>0.866025403784439</v>
      </c>
      <c r="J10376" s="45" t="n">
        <f aca="false">Assumptions!$E$21^(MAX(0,J10370-Assumptions!$E$14)/4)</f>
        <v>0.805927448867656</v>
      </c>
      <c r="K10376" s="45" t="n">
        <f aca="false">Assumptions!$E$21^(MAX(0,K10370-Assumptions!$E$14)/4)</f>
        <v>0.75</v>
      </c>
      <c r="L10376" s="45" t="n">
        <f aca="false">Assumptions!$E$21^(MAX(0,L10370-Assumptions!$E$14)/4)</f>
        <v>0.697953644326575</v>
      </c>
      <c r="M10376" s="45" t="n">
        <f aca="false">Assumptions!$E$21^(MAX(0,M10370-Assumptions!$E$14)/4)</f>
        <v>0.649519052838329</v>
      </c>
      <c r="N10376" s="45" t="n">
        <f aca="false">Assumptions!$E$21^(MAX(0,N10370-Assumptions!$E$14)/4)</f>
        <v>0.604445586650742</v>
      </c>
      <c r="P10376" s="46"/>
      <c r="Q10376" s="46"/>
      <c r="R10376" s="46"/>
      <c r="S10376" s="47"/>
    </row>
    <row r="10377" customFormat="false" ht="15" hidden="false" customHeight="false" outlineLevel="0" collapsed="false">
      <c r="A10377" s="4" t="s">
        <v>483</v>
      </c>
      <c r="B10377" s="36" t="s">
        <v>478</v>
      </c>
      <c r="C10377" s="45" t="n">
        <f aca="false">Assumptions!$E$21^(MAX(0,C10370-Assumptions!$E$15)/4)</f>
        <v>1</v>
      </c>
      <c r="D10377" s="45" t="n">
        <f aca="false">Assumptions!$E$21^(MAX(0,D10370-Assumptions!$E$15)/4)</f>
        <v>1</v>
      </c>
      <c r="E10377" s="45" t="n">
        <f aca="false">Assumptions!$E$21^(MAX(0,E10370-Assumptions!$E$15)/4)</f>
        <v>1</v>
      </c>
      <c r="F10377" s="45" t="n">
        <f aca="false">Assumptions!$E$21^(MAX(0,F10370-Assumptions!$E$15)/4)</f>
        <v>1</v>
      </c>
      <c r="G10377" s="45" t="n">
        <f aca="false">Assumptions!$E$21^(MAX(0,G10370-Assumptions!$E$15)/4)</f>
        <v>1</v>
      </c>
      <c r="H10377" s="45" t="n">
        <f aca="false">Assumptions!$E$21^(MAX(0,H10370-Assumptions!$E$15)/4)</f>
        <v>1</v>
      </c>
      <c r="I10377" s="45" t="n">
        <f aca="false">Assumptions!$E$21^(MAX(0,I10370-Assumptions!$E$15)/4)</f>
        <v>1</v>
      </c>
      <c r="J10377" s="45" t="n">
        <f aca="false">Assumptions!$E$21^(MAX(0,J10370-Assumptions!$E$15)/4)</f>
        <v>0.9306048591021</v>
      </c>
      <c r="K10377" s="45" t="n">
        <f aca="false">Assumptions!$E$21^(MAX(0,K10370-Assumptions!$E$15)/4)</f>
        <v>0.866025403784439</v>
      </c>
      <c r="L10377" s="45" t="n">
        <f aca="false">Assumptions!$E$21^(MAX(0,L10370-Assumptions!$E$15)/4)</f>
        <v>0.805927448867656</v>
      </c>
      <c r="M10377" s="45" t="n">
        <f aca="false">Assumptions!$E$21^(MAX(0,M10370-Assumptions!$E$15)/4)</f>
        <v>0.75</v>
      </c>
      <c r="N10377" s="45" t="n">
        <f aca="false">Assumptions!$E$21^(MAX(0,N10370-Assumptions!$E$15)/4)</f>
        <v>0.697953644326575</v>
      </c>
      <c r="P10377" s="46"/>
      <c r="Q10377" s="46"/>
      <c r="R10377" s="46"/>
      <c r="S10377" s="47"/>
    </row>
    <row r="10378" customFormat="false" ht="15" hidden="false" customHeight="false" outlineLevel="0" collapsed="false">
      <c r="A10378" s="4" t="s">
        <v>484</v>
      </c>
      <c r="B10378" s="36" t="s">
        <v>485</v>
      </c>
      <c r="C10378" s="39" t="n">
        <f aca="false">$C$10349*C10372+$C$10353*C10373+$C$10357*C10374</f>
        <v>421.51972352</v>
      </c>
      <c r="D10378" s="39" t="n">
        <f aca="false">$C$10349*D10372+$C$10353*D10373+$C$10357*D10374</f>
        <v>843.03944704</v>
      </c>
      <c r="E10378" s="39" t="n">
        <f aca="false">$C$10349*E10372+$C$10353*E10373+$C$10357*E10374</f>
        <v>843.03944704</v>
      </c>
      <c r="F10378" s="39" t="n">
        <f aca="false">$C$10349*F10372+$C$10353*F10373+$C$10357*F10374</f>
        <v>843.03944704</v>
      </c>
      <c r="G10378" s="39" t="n">
        <f aca="false">$C$10349*G10372+$C$10353*G10373+$C$10357*G10374</f>
        <v>1149.32798176</v>
      </c>
      <c r="H10378" s="39" t="n">
        <f aca="false">$C$10349*H10372+$C$10353*H10373+$C$10357*H10374</f>
        <v>1455.61651648</v>
      </c>
      <c r="I10378" s="39" t="n">
        <f aca="false">$C$10349*I10372+$C$10353*I10373+$C$10357*I10374</f>
        <v>2486.00303616</v>
      </c>
      <c r="J10378" s="39" t="n">
        <f aca="false">$C$10349*J10372+$C$10353*J10373+$C$10357*J10374</f>
        <v>3516.38955584</v>
      </c>
      <c r="K10378" s="39" t="n">
        <f aca="false">$C$10349*K10372+$C$10353*K10373+$C$10357*K10374</f>
        <v>3516.38955584</v>
      </c>
      <c r="L10378" s="39" t="n">
        <f aca="false">$C$10349*L10372+$C$10353*L10373+$C$10357*L10374</f>
        <v>3516.38955584</v>
      </c>
      <c r="M10378" s="39" t="n">
        <f aca="false">$C$10349*M10372+$C$10353*M10373+$C$10357*M10374</f>
        <v>3516.38955584</v>
      </c>
      <c r="N10378" s="39" t="n">
        <f aca="false">$C$10349*N10372+$C$10353*N10373+$C$10357*N10374</f>
        <v>3516.38955584</v>
      </c>
      <c r="P10378" s="40" t="n">
        <f aca="false">F10378</f>
        <v>843.03944704</v>
      </c>
      <c r="Q10378" s="40" t="n">
        <f aca="false">J10378</f>
        <v>3516.38955584</v>
      </c>
      <c r="R10378" s="40" t="n">
        <f aca="false">N10378</f>
        <v>3516.38955584</v>
      </c>
      <c r="S10378" s="41" t="n">
        <f aca="false">R10378</f>
        <v>3516.38955584</v>
      </c>
    </row>
    <row r="10379" customFormat="false" ht="15" hidden="false" customHeight="false" outlineLevel="0" collapsed="false">
      <c r="A10379" s="4" t="s">
        <v>486</v>
      </c>
      <c r="B10379" s="36" t="s">
        <v>485</v>
      </c>
      <c r="C10379" s="39" t="n">
        <f aca="false">$C$10350*C10372+$C$10354*C10373+$C$10358*C10374</f>
        <v>105.59808</v>
      </c>
      <c r="D10379" s="39" t="n">
        <f aca="false">$C$10350*D10372+$C$10354*D10373+$C$10358*D10374</f>
        <v>211.19616</v>
      </c>
      <c r="E10379" s="39" t="n">
        <f aca="false">$C$10350*E10372+$C$10354*E10373+$C$10358*E10374</f>
        <v>211.19616</v>
      </c>
      <c r="F10379" s="39" t="n">
        <f aca="false">$C$10350*F10372+$C$10354*F10373+$C$10358*F10374</f>
        <v>211.19616</v>
      </c>
      <c r="G10379" s="39" t="n">
        <f aca="false">$C$10350*G10372+$C$10354*G10373+$C$10358*G10374</f>
        <v>282.24672</v>
      </c>
      <c r="H10379" s="39" t="n">
        <f aca="false">$C$10350*H10372+$C$10354*H10373+$C$10358*H10374</f>
        <v>353.29728</v>
      </c>
      <c r="I10379" s="39" t="n">
        <f aca="false">$C$10350*I10372+$C$10354*I10373+$C$10358*I10374</f>
        <v>567.53536</v>
      </c>
      <c r="J10379" s="39" t="n">
        <f aca="false">$C$10350*J10372+$C$10354*J10373+$C$10358*J10374</f>
        <v>781.77344</v>
      </c>
      <c r="K10379" s="39" t="n">
        <f aca="false">$C$10350*K10372+$C$10354*K10373+$C$10358*K10374</f>
        <v>781.77344</v>
      </c>
      <c r="L10379" s="39" t="n">
        <f aca="false">$C$10350*L10372+$C$10354*L10373+$C$10358*L10374</f>
        <v>781.77344</v>
      </c>
      <c r="M10379" s="39" t="n">
        <f aca="false">$C$10350*M10372+$C$10354*M10373+$C$10358*M10374</f>
        <v>781.77344</v>
      </c>
      <c r="N10379" s="39" t="n">
        <f aca="false">$C$10350*N10372+$C$10354*N10373+$C$10358*N10374</f>
        <v>781.77344</v>
      </c>
      <c r="P10379" s="40" t="n">
        <f aca="false">F10379</f>
        <v>211.19616</v>
      </c>
      <c r="Q10379" s="40" t="n">
        <f aca="false">J10379</f>
        <v>781.77344</v>
      </c>
      <c r="R10379" s="40" t="n">
        <f aca="false">N10379</f>
        <v>781.77344</v>
      </c>
      <c r="S10379" s="41" t="n">
        <f aca="false">R10379</f>
        <v>781.77344</v>
      </c>
    </row>
    <row r="10380" customFormat="false" ht="15" hidden="false" customHeight="false" outlineLevel="0" collapsed="false">
      <c r="A10380" s="4" t="s">
        <v>487</v>
      </c>
      <c r="B10380" s="36" t="s">
        <v>485</v>
      </c>
      <c r="C10380" s="39" t="n">
        <f aca="false">$C$10351*C10372+$C$10355*C10373+$C$10359*C10374</f>
        <v>24.76992</v>
      </c>
      <c r="D10380" s="39" t="n">
        <f aca="false">$C$10351*D10372+$C$10355*D10373+$C$10359*D10374</f>
        <v>49.53984</v>
      </c>
      <c r="E10380" s="39" t="n">
        <f aca="false">$C$10351*E10372+$C$10355*E10373+$C$10359*E10374</f>
        <v>49.53984</v>
      </c>
      <c r="F10380" s="39" t="n">
        <f aca="false">$C$10351*F10372+$C$10355*F10373+$C$10359*F10374</f>
        <v>49.53984</v>
      </c>
      <c r="G10380" s="39" t="n">
        <f aca="false">$C$10351*G10372+$C$10355*G10373+$C$10359*G10374</f>
        <v>61.9248</v>
      </c>
      <c r="H10380" s="39" t="n">
        <f aca="false">$C$10351*H10372+$C$10355*H10373+$C$10359*H10374</f>
        <v>74.30976</v>
      </c>
      <c r="I10380" s="39" t="n">
        <f aca="false">$C$10351*I10372+$C$10355*I10373+$C$10359*I10374</f>
        <v>114.072</v>
      </c>
      <c r="J10380" s="39" t="n">
        <f aca="false">$C$10351*J10372+$C$10355*J10373+$C$10359*J10374</f>
        <v>153.83424</v>
      </c>
      <c r="K10380" s="39" t="n">
        <f aca="false">$C$10351*K10372+$C$10355*K10373+$C$10359*K10374</f>
        <v>153.83424</v>
      </c>
      <c r="L10380" s="39" t="n">
        <f aca="false">$C$10351*L10372+$C$10355*L10373+$C$10359*L10374</f>
        <v>153.83424</v>
      </c>
      <c r="M10380" s="39" t="n">
        <f aca="false">$C$10351*M10372+$C$10355*M10373+$C$10359*M10374</f>
        <v>153.83424</v>
      </c>
      <c r="N10380" s="39" t="n">
        <f aca="false">$C$10351*N10372+$C$10355*N10373+$C$10359*N10374</f>
        <v>153.83424</v>
      </c>
      <c r="P10380" s="40" t="n">
        <f aca="false">F10380</f>
        <v>49.53984</v>
      </c>
      <c r="Q10380" s="40" t="n">
        <f aca="false">J10380</f>
        <v>153.83424</v>
      </c>
      <c r="R10380" s="40" t="n">
        <f aca="false">N10380</f>
        <v>153.83424</v>
      </c>
      <c r="S10380" s="41" t="n">
        <f aca="false">R10380</f>
        <v>153.83424</v>
      </c>
    </row>
    <row r="10381" customFormat="false" ht="15" hidden="false" customHeight="false" outlineLevel="0" collapsed="false">
      <c r="A10381" s="4" t="s">
        <v>488</v>
      </c>
      <c r="B10381" s="36" t="s">
        <v>485</v>
      </c>
      <c r="C10381" s="39" t="n">
        <f aca="false">C10378+C10379+C10380</f>
        <v>551.88772352</v>
      </c>
      <c r="D10381" s="39" t="n">
        <f aca="false">D10378+D10379+D10380</f>
        <v>1103.77544704</v>
      </c>
      <c r="E10381" s="39" t="n">
        <f aca="false">E10378+E10379+E10380</f>
        <v>1103.77544704</v>
      </c>
      <c r="F10381" s="39" t="n">
        <f aca="false">F10378+F10379+F10380</f>
        <v>1103.77544704</v>
      </c>
      <c r="G10381" s="39" t="n">
        <f aca="false">G10378+G10379+G10380</f>
        <v>1493.49950176</v>
      </c>
      <c r="H10381" s="39" t="n">
        <f aca="false">H10378+H10379+H10380</f>
        <v>1883.22355648</v>
      </c>
      <c r="I10381" s="39" t="n">
        <f aca="false">I10378+I10379+I10380</f>
        <v>3167.61039616</v>
      </c>
      <c r="J10381" s="39" t="n">
        <f aca="false">J10378+J10379+J10380</f>
        <v>4451.99723584</v>
      </c>
      <c r="K10381" s="39" t="n">
        <f aca="false">K10378+K10379+K10380</f>
        <v>4451.99723584</v>
      </c>
      <c r="L10381" s="39" t="n">
        <f aca="false">L10378+L10379+L10380</f>
        <v>4451.99723584</v>
      </c>
      <c r="M10381" s="39" t="n">
        <f aca="false">M10378+M10379+M10380</f>
        <v>4451.99723584</v>
      </c>
      <c r="N10381" s="39" t="n">
        <f aca="false">N10378+N10379+N10380</f>
        <v>4451.99723584</v>
      </c>
      <c r="P10381" s="40" t="n">
        <f aca="false">F10381</f>
        <v>1103.77544704</v>
      </c>
      <c r="Q10381" s="40" t="n">
        <f aca="false">J10381</f>
        <v>4451.99723584</v>
      </c>
      <c r="R10381" s="40" t="n">
        <f aca="false">N10381</f>
        <v>4451.99723584</v>
      </c>
      <c r="S10381" s="41" t="n">
        <f aca="false">R10381</f>
        <v>4451.99723584</v>
      </c>
    </row>
    <row r="10382" customFormat="false" ht="15" hidden="false" customHeight="false" outlineLevel="0" collapsed="false">
      <c r="A10382" s="4" t="s">
        <v>489</v>
      </c>
      <c r="B10382" s="36" t="s">
        <v>485</v>
      </c>
      <c r="C10382" s="39" t="n">
        <f aca="false">$C$10352*C10372*C10375+$C$10356*C10373*C10376+$C$10360*C10374*C10377</f>
        <v>551.88772352</v>
      </c>
      <c r="D10382" s="39" t="n">
        <f aca="false">$C$10352*D10372*D10375+$C$10356*D10373*D10376+$C$10360*D10374*D10377</f>
        <v>1027.17879437302</v>
      </c>
      <c r="E10382" s="39" t="n">
        <f aca="false">$C$10352*E10372*E10375+$C$10356*E10373*E10376+$C$10360*E10374*E10377</f>
        <v>955.897577210165</v>
      </c>
      <c r="F10382" s="39" t="n">
        <f aca="false">$C$10352*F10372*F10375+$C$10356*F10373*F10376+$C$10360*F10374*F10377</f>
        <v>889.562930155704</v>
      </c>
      <c r="G10382" s="39" t="n">
        <f aca="false">$C$10352*G10372*G10375+$C$10356*G10373*G10376+$C$10360*G10374*G10377</f>
        <v>1217.55564</v>
      </c>
      <c r="H10382" s="39" t="n">
        <f aca="false">$C$10352*H10372*H10375+$C$10356*H10373*H10376+$C$10360*H10374*H10377</f>
        <v>1495.74229384257</v>
      </c>
      <c r="I10382" s="39" t="n">
        <f aca="false">$C$10352*I10372*I10375+$C$10356*I10373*I10376+$C$10360*I10374*I10377</f>
        <v>2676.33188629442</v>
      </c>
      <c r="J10382" s="39" t="n">
        <f aca="false">$C$10352*J10372*J10375+$C$10356*J10373*J10376+$C$10360*J10374*J10377</f>
        <v>3685.86409192847</v>
      </c>
      <c r="K10382" s="39" t="n">
        <f aca="false">$C$10352*K10372*K10375+$C$10356*K10373*K10376+$C$10360*K10374*K10377</f>
        <v>3430.08303393858</v>
      </c>
      <c r="L10382" s="39" t="n">
        <f aca="false">$C$10352*L10372*L10375+$C$10356*L10373*L10376+$C$10360*L10374*L10377</f>
        <v>3192.05193850692</v>
      </c>
      <c r="M10382" s="39" t="n">
        <f aca="false">$C$10352*M10372*M10375+$C$10356*M10373*M10376+$C$10360*M10374*M10377</f>
        <v>2970.53904448081</v>
      </c>
      <c r="N10382" s="39" t="n">
        <f aca="false">$C$10352*N10372*N10375+$C$10356*N10373*N10376+$C$10360*N10374*N10377</f>
        <v>2764.39806894635</v>
      </c>
      <c r="P10382" s="40"/>
      <c r="Q10382" s="40"/>
      <c r="R10382" s="40"/>
      <c r="S10382" s="41"/>
    </row>
    <row r="10383" customFormat="false" ht="15" hidden="false" customHeight="false" outlineLevel="0" collapsed="false">
      <c r="A10383" s="4" t="s">
        <v>490</v>
      </c>
      <c r="B10383" s="36" t="s">
        <v>491</v>
      </c>
      <c r="C10383" s="48" t="n">
        <f aca="false">$C$10364*Assumptions!$E$20*C10371*C10382</f>
        <v>6.62265268224</v>
      </c>
      <c r="D10383" s="48" t="n">
        <f aca="false">$C$10364*Assumptions!$E$20*D10371*D10382</f>
        <v>12.3261455324762</v>
      </c>
      <c r="E10383" s="48" t="n">
        <f aca="false">$C$10364*Assumptions!$E$20*E10371*E10382</f>
        <v>11.470770926522</v>
      </c>
      <c r="F10383" s="48" t="n">
        <f aca="false">$C$10364*Assumptions!$E$20*F10371*F10382</f>
        <v>10.6747551618685</v>
      </c>
      <c r="G10383" s="48" t="n">
        <f aca="false">$C$10364*Assumptions!$E$20*G10371*G10382</f>
        <v>14.61066768</v>
      </c>
      <c r="H10383" s="48" t="n">
        <f aca="false">$C$10364*Assumptions!$E$20*H10371*H10382</f>
        <v>17.9489075261109</v>
      </c>
      <c r="I10383" s="48" t="n">
        <f aca="false">$C$10364*Assumptions!$E$20*I10371*I10382</f>
        <v>32.115982635533</v>
      </c>
      <c r="J10383" s="48" t="n">
        <f aca="false">$C$10364*Assumptions!$E$20*J10371*J10382</f>
        <v>44.2303691031417</v>
      </c>
      <c r="K10383" s="48" t="n">
        <f aca="false">$C$10364*Assumptions!$E$20*K10371*K10382</f>
        <v>41.160996407263</v>
      </c>
      <c r="L10383" s="48" t="n">
        <f aca="false">$C$10364*Assumptions!$E$20*L10371*L10382</f>
        <v>38.304623262083</v>
      </c>
      <c r="M10383" s="48" t="n">
        <f aca="false">$C$10364*Assumptions!$E$20*M10371*M10382</f>
        <v>35.6464685337698</v>
      </c>
      <c r="N10383" s="48" t="n">
        <f aca="false">$C$10364*Assumptions!$E$20*N10371*N10382</f>
        <v>33.1727768273562</v>
      </c>
      <c r="P10383" s="49" t="n">
        <f aca="false">SUM(C10383:F10383)</f>
        <v>41.0943243031066</v>
      </c>
      <c r="Q10383" s="49" t="n">
        <f aca="false">SUM(G10383:J10383)</f>
        <v>108.905926944786</v>
      </c>
      <c r="R10383" s="49" t="n">
        <f aca="false">SUM(K10383:N10383)</f>
        <v>148.284865030472</v>
      </c>
      <c r="S10383" s="50" t="n">
        <f aca="false">SUM(P10383:R10383)</f>
        <v>298.285116278364</v>
      </c>
    </row>
    <row r="10384" customFormat="false" ht="15" hidden="false" customHeight="false" outlineLevel="0" collapsed="false">
      <c r="A10384" s="4" t="s">
        <v>492</v>
      </c>
      <c r="B10384" s="36" t="s">
        <v>321</v>
      </c>
      <c r="C10384" s="48" t="n">
        <f aca="false">Assumptions!$D$112</f>
        <v>2</v>
      </c>
      <c r="D10384" s="48" t="n">
        <f aca="false">Assumptions!$E$112</f>
        <v>2</v>
      </c>
      <c r="E10384" s="48" t="n">
        <f aca="false">Assumptions!$F$112</f>
        <v>3</v>
      </c>
      <c r="F10384" s="48" t="n">
        <f aca="false">Assumptions!$G$112</f>
        <v>3</v>
      </c>
      <c r="G10384" s="48" t="n">
        <f aca="false">Assumptions!$H$112</f>
        <v>4</v>
      </c>
      <c r="H10384" s="48" t="n">
        <f aca="false">Assumptions!$I$112</f>
        <v>4</v>
      </c>
      <c r="I10384" s="48" t="n">
        <f aca="false">Assumptions!$J$112</f>
        <v>5</v>
      </c>
      <c r="J10384" s="48" t="n">
        <f aca="false">Assumptions!$K$112</f>
        <v>5</v>
      </c>
      <c r="K10384" s="48" t="n">
        <f aca="false">Assumptions!$L$112</f>
        <v>6</v>
      </c>
      <c r="L10384" s="48" t="n">
        <f aca="false">Assumptions!$M$112</f>
        <v>6</v>
      </c>
      <c r="M10384" s="48" t="n">
        <f aca="false">Assumptions!$N$112</f>
        <v>6</v>
      </c>
      <c r="N10384" s="48" t="n">
        <f aca="false">Assumptions!$O$112</f>
        <v>6</v>
      </c>
      <c r="P10384" s="49" t="n">
        <f aca="false">F10384</f>
        <v>3</v>
      </c>
      <c r="Q10384" s="49" t="n">
        <f aca="false">J10384</f>
        <v>5</v>
      </c>
      <c r="R10384" s="49" t="n">
        <f aca="false">N10384</f>
        <v>6</v>
      </c>
      <c r="S10384" s="50" t="n">
        <f aca="false">R10384</f>
        <v>6</v>
      </c>
    </row>
    <row r="10385" customFormat="false" ht="15" hidden="false" customHeight="false" outlineLevel="0" collapsed="false">
      <c r="A10385" s="4" t="s">
        <v>493</v>
      </c>
      <c r="B10385" s="36" t="s">
        <v>321</v>
      </c>
      <c r="C10385" s="48" t="n">
        <f aca="false">0</f>
        <v>0</v>
      </c>
      <c r="D10385" s="48" t="n">
        <f aca="false">0.5*C10384</f>
        <v>1</v>
      </c>
      <c r="E10385" s="48" t="n">
        <f aca="false">C10384+0.5*(D10384-C10384)</f>
        <v>2</v>
      </c>
      <c r="F10385" s="48" t="n">
        <f aca="false">D10384+0.5*(E10384-D10384)</f>
        <v>2.5</v>
      </c>
      <c r="G10385" s="48" t="n">
        <f aca="false">E10384+0.5*(F10384-E10384)</f>
        <v>3</v>
      </c>
      <c r="H10385" s="48" t="n">
        <f aca="false">F10384+0.5*(G10384-F10384)</f>
        <v>3.5</v>
      </c>
      <c r="I10385" s="48" t="n">
        <f aca="false">G10384+0.5*(H10384-G10384)</f>
        <v>4</v>
      </c>
      <c r="J10385" s="48" t="n">
        <f aca="false">H10384+0.5*(I10384-H10384)</f>
        <v>4.5</v>
      </c>
      <c r="K10385" s="48" t="n">
        <f aca="false">I10384+0.5*(J10384-I10384)</f>
        <v>5</v>
      </c>
      <c r="L10385" s="48" t="n">
        <f aca="false">J10384+0.5*(K10384-J10384)</f>
        <v>5.5</v>
      </c>
      <c r="M10385" s="48" t="n">
        <f aca="false">K10384+0.5*(L10384-K10384)</f>
        <v>6</v>
      </c>
      <c r="N10385" s="48" t="n">
        <f aca="false">L10384+0.5*(M10384-L10384)</f>
        <v>6</v>
      </c>
      <c r="P10385" s="49" t="n">
        <f aca="false">F10385</f>
        <v>2.5</v>
      </c>
      <c r="Q10385" s="49" t="n">
        <f aca="false">J10385</f>
        <v>4.5</v>
      </c>
      <c r="R10385" s="49" t="n">
        <f aca="false">N10385</f>
        <v>6</v>
      </c>
      <c r="S10385" s="50" t="n">
        <f aca="false">R10385</f>
        <v>6</v>
      </c>
    </row>
    <row r="10386" customFormat="false" ht="15" hidden="false" customHeight="false" outlineLevel="0" collapsed="false">
      <c r="A10386" s="4" t="s">
        <v>494</v>
      </c>
      <c r="B10386" s="36" t="s">
        <v>485</v>
      </c>
      <c r="C10386" s="39" t="n">
        <f aca="false">MIN(C10385*0,C10381*(1-$C$10364))</f>
        <v>0</v>
      </c>
      <c r="D10386" s="39" t="n">
        <f aca="false">MIN(D10385*0,D10381*(1-$C$10364))</f>
        <v>0</v>
      </c>
      <c r="E10386" s="39" t="n">
        <f aca="false">MIN(E10385*0,E10381*(1-$C$10364))</f>
        <v>0</v>
      </c>
      <c r="F10386" s="39" t="n">
        <f aca="false">MIN(F10385*0,F10381*(1-$C$10364))</f>
        <v>0</v>
      </c>
      <c r="G10386" s="39" t="n">
        <f aca="false">MIN(G10385*0,G10381*(1-$C$10364))</f>
        <v>0</v>
      </c>
      <c r="H10386" s="39" t="n">
        <f aca="false">MIN(H10385*0,H10381*(1-$C$10364))</f>
        <v>0</v>
      </c>
      <c r="I10386" s="39" t="n">
        <f aca="false">MIN(I10385*0,I10381*(1-$C$10364))</f>
        <v>0</v>
      </c>
      <c r="J10386" s="39" t="n">
        <f aca="false">MIN(J10385*0,J10381*(1-$C$10364))</f>
        <v>0</v>
      </c>
      <c r="K10386" s="39" t="n">
        <f aca="false">MIN(K10385*0,K10381*(1-$C$10364))</f>
        <v>0</v>
      </c>
      <c r="L10386" s="39" t="n">
        <f aca="false">MIN(L10385*0,L10381*(1-$C$10364))</f>
        <v>0</v>
      </c>
      <c r="M10386" s="39" t="n">
        <f aca="false">MIN(M10385*0,M10381*(1-$C$10364))</f>
        <v>0</v>
      </c>
      <c r="N10386" s="39" t="n">
        <f aca="false">MIN(N10385*0,N10381*(1-$C$10364))</f>
        <v>0</v>
      </c>
      <c r="P10386" s="40" t="n">
        <f aca="false">SUM(C10386:F10386)</f>
        <v>0</v>
      </c>
      <c r="Q10386" s="40" t="n">
        <f aca="false">SUM(G10386:J10386)</f>
        <v>0</v>
      </c>
      <c r="R10386" s="40" t="n">
        <f aca="false">SUM(K10386:N10386)</f>
        <v>0</v>
      </c>
      <c r="S10386" s="41" t="n">
        <f aca="false">SUM(P10386:R10386)</f>
        <v>0</v>
      </c>
    </row>
    <row r="10387" customFormat="false" ht="15" hidden="false" customHeight="false" outlineLevel="0" collapsed="false">
      <c r="A10387" s="4" t="s">
        <v>495</v>
      </c>
      <c r="B10387" s="36" t="s">
        <v>491</v>
      </c>
      <c r="C10387" s="48" t="n">
        <f aca="false">C10386*Assumptions!$E$20*Assumptions!$E$39*IF(C10381&gt;0,C10382/C10381,0)*C10371</f>
        <v>0</v>
      </c>
      <c r="D10387" s="48" t="n">
        <f aca="false">D10386*Assumptions!$E$20*Assumptions!$E$39*IF(D10381&gt;0,D10382/D10381,0)*D10371</f>
        <v>0</v>
      </c>
      <c r="E10387" s="48" t="n">
        <f aca="false">E10386*Assumptions!$E$20*Assumptions!$E$39*IF(E10381&gt;0,E10382/E10381,0)*E10371</f>
        <v>0</v>
      </c>
      <c r="F10387" s="48" t="n">
        <f aca="false">F10386*Assumptions!$E$20*Assumptions!$E$39*IF(F10381&gt;0,F10382/F10381,0)*F10371</f>
        <v>0</v>
      </c>
      <c r="G10387" s="48" t="n">
        <f aca="false">G10386*Assumptions!$E$20*Assumptions!$E$39*IF(G10381&gt;0,G10382/G10381,0)*G10371</f>
        <v>0</v>
      </c>
      <c r="H10387" s="48" t="n">
        <f aca="false">H10386*Assumptions!$E$20*Assumptions!$E$39*IF(H10381&gt;0,H10382/H10381,0)*H10371</f>
        <v>0</v>
      </c>
      <c r="I10387" s="48" t="n">
        <f aca="false">I10386*Assumptions!$E$20*Assumptions!$E$39*IF(I10381&gt;0,I10382/I10381,0)*I10371</f>
        <v>0</v>
      </c>
      <c r="J10387" s="48" t="n">
        <f aca="false">J10386*Assumptions!$E$20*Assumptions!$E$39*IF(J10381&gt;0,J10382/J10381,0)*J10371</f>
        <v>0</v>
      </c>
      <c r="K10387" s="48" t="n">
        <f aca="false">K10386*Assumptions!$E$20*Assumptions!$E$39*IF(K10381&gt;0,K10382/K10381,0)*K10371</f>
        <v>0</v>
      </c>
      <c r="L10387" s="48" t="n">
        <f aca="false">L10386*Assumptions!$E$20*Assumptions!$E$39*IF(L10381&gt;0,L10382/L10381,0)*L10371</f>
        <v>0</v>
      </c>
      <c r="M10387" s="48" t="n">
        <f aca="false">M10386*Assumptions!$E$20*Assumptions!$E$39*IF(M10381&gt;0,M10382/M10381,0)*M10371</f>
        <v>0</v>
      </c>
      <c r="N10387" s="48" t="n">
        <f aca="false">N10386*Assumptions!$E$20*Assumptions!$E$39*IF(N10381&gt;0,N10382/N10381,0)*N10371</f>
        <v>0</v>
      </c>
      <c r="P10387" s="49" t="n">
        <f aca="false">SUM(C10387:F10387)</f>
        <v>0</v>
      </c>
      <c r="Q10387" s="49" t="n">
        <f aca="false">SUM(G10387:J10387)</f>
        <v>0</v>
      </c>
      <c r="R10387" s="49" t="n">
        <f aca="false">SUM(K10387:N10387)</f>
        <v>0</v>
      </c>
      <c r="S10387" s="50" t="n">
        <f aca="false">SUM(P10387:R10387)</f>
        <v>0</v>
      </c>
    </row>
    <row r="10388" customFormat="false" ht="15" hidden="false" customHeight="false" outlineLevel="0" collapsed="false">
      <c r="A10388" s="4" t="s">
        <v>496</v>
      </c>
      <c r="B10388" s="36" t="s">
        <v>497</v>
      </c>
      <c r="C10388" s="48" t="n">
        <f aca="false">IF(AND(C10381&gt;0,$C$10368&gt;0),C10381*Assumptions!$E$24*(1-EXP(-$C$10368/(Assumptions!$E$23*C10381*Assumptions!$E$24))),0)</f>
        <v>16.472729605943</v>
      </c>
      <c r="D10388" s="48" t="n">
        <f aca="false">IF(AND(D10381&gt;0,$C$10368&gt;0),D10381*Assumptions!$E$24*(1-EXP(-$C$10368/(Assumptions!$E$23*D10381*Assumptions!$E$24))),0)</f>
        <v>30.7560309972474</v>
      </c>
      <c r="E10388" s="48" t="n">
        <f aca="false">IF(AND(E10381&gt;0,$C$10368&gt;0),E10381*Assumptions!$E$24*(1-EXP(-$C$10368/(Assumptions!$E$23*E10381*Assumptions!$E$24))),0)</f>
        <v>30.7560309972474</v>
      </c>
      <c r="F10388" s="48" t="n">
        <f aca="false">IF(AND(F10381&gt;0,$C$10368&gt;0),F10381*Assumptions!$E$24*(1-EXP(-$C$10368/(Assumptions!$E$23*F10381*Assumptions!$E$24))),0)</f>
        <v>30.7560309972474</v>
      </c>
      <c r="G10388" s="48" t="n">
        <f aca="false">IF(AND(G10381&gt;0,$C$10368&gt;0),G10381*Assumptions!$E$24*(1-EXP(-$C$10368/(Assumptions!$E$23*G10381*Assumptions!$E$24))),0)</f>
        <v>38.4489058252097</v>
      </c>
      <c r="H10388" s="48" t="n">
        <f aca="false">IF(AND(H10381&gt;0,$C$10368&gt;0),H10381*Assumptions!$E$24*(1-EXP(-$C$10368/(Assumptions!$E$23*H10381*Assumptions!$E$24))),0)</f>
        <v>44.4905508381239</v>
      </c>
      <c r="I10388" s="48" t="n">
        <f aca="false">IF(AND(I10381&gt;0,$C$10368&gt;0),I10381*Assumptions!$E$24*(1-EXP(-$C$10368/(Assumptions!$E$23*I10381*Assumptions!$E$24))),0)</f>
        <v>57.1871803967491</v>
      </c>
      <c r="J10388" s="48" t="n">
        <f aca="false">IF(AND(J10381&gt;0,$C$10368&gt;0),J10381*Assumptions!$E$24*(1-EXP(-$C$10368/(Assumptions!$E$23*J10381*Assumptions!$E$24))),0)</f>
        <v>64.192759682173</v>
      </c>
      <c r="K10388" s="48" t="n">
        <f aca="false">IF(AND(K10381&gt;0,$C$10368&gt;0),K10381*Assumptions!$E$24*(1-EXP(-$C$10368/(Assumptions!$E$23*K10381*Assumptions!$E$24))),0)</f>
        <v>64.192759682173</v>
      </c>
      <c r="L10388" s="48" t="n">
        <f aca="false">IF(AND(L10381&gt;0,$C$10368&gt;0),L10381*Assumptions!$E$24*(1-EXP(-$C$10368/(Assumptions!$E$23*L10381*Assumptions!$E$24))),0)</f>
        <v>64.192759682173</v>
      </c>
      <c r="M10388" s="48" t="n">
        <f aca="false">IF(AND(M10381&gt;0,$C$10368&gt;0),M10381*Assumptions!$E$24*(1-EXP(-$C$10368/(Assumptions!$E$23*M10381*Assumptions!$E$24))),0)</f>
        <v>64.192759682173</v>
      </c>
      <c r="N10388" s="48" t="n">
        <f aca="false">IF(AND(N10381&gt;0,$C$10368&gt;0),N10381*Assumptions!$E$24*(1-EXP(-$C$10368/(Assumptions!$E$23*N10381*Assumptions!$E$24))),0)</f>
        <v>64.192759682173</v>
      </c>
      <c r="P10388" s="49" t="n">
        <f aca="false">SUM(C10388:F10388)</f>
        <v>108.740822597685</v>
      </c>
      <c r="Q10388" s="49" t="n">
        <f aca="false">SUM(G10388:J10388)</f>
        <v>204.319396742256</v>
      </c>
      <c r="R10388" s="49" t="n">
        <f aca="false">SUM(K10388:N10388)</f>
        <v>256.771038728692</v>
      </c>
      <c r="S10388" s="50" t="n">
        <f aca="false">SUM(P10388:R10388)</f>
        <v>569.831258068633</v>
      </c>
    </row>
    <row r="10389" customFormat="false" ht="15" hidden="false" customHeight="false" outlineLevel="0" collapsed="false">
      <c r="A10389" s="4" t="s">
        <v>498</v>
      </c>
      <c r="B10389" s="36" t="s">
        <v>497</v>
      </c>
      <c r="C10389" s="48" t="n">
        <f aca="false">(C10381*Assumptions!$E$22*MIN(1,Assumptions!$E$103/Assumptions!$E$78)+C10388)*C10371</f>
        <v>21.991606841143</v>
      </c>
      <c r="D10389" s="48" t="n">
        <f aca="false">(D10381*Assumptions!$E$22*MIN(1,Assumptions!$E$103/Assumptions!$E$78)+D10388)*D10371</f>
        <v>41.7937854676474</v>
      </c>
      <c r="E10389" s="48" t="n">
        <f aca="false">(E10381*Assumptions!$E$22*MIN(1,Assumptions!$E$103/Assumptions!$E$78)+E10388)*E10371</f>
        <v>41.7937854676474</v>
      </c>
      <c r="F10389" s="48" t="n">
        <f aca="false">(F10381*Assumptions!$E$22*MIN(1,Assumptions!$E$103/Assumptions!$E$78)+F10388)*F10371</f>
        <v>41.7937854676474</v>
      </c>
      <c r="G10389" s="48" t="n">
        <f aca="false">(G10381*Assumptions!$E$22*MIN(1,Assumptions!$E$103/Assumptions!$E$78)+G10388)*G10371</f>
        <v>53.3839008428097</v>
      </c>
      <c r="H10389" s="48" t="n">
        <f aca="false">(H10381*Assumptions!$E$22*MIN(1,Assumptions!$E$103/Assumptions!$E$78)+H10388)*H10371</f>
        <v>63.3227864029239</v>
      </c>
      <c r="I10389" s="48" t="n">
        <f aca="false">(I10381*Assumptions!$E$22*MIN(1,Assumptions!$E$103/Assumptions!$E$78)+I10388)*I10371</f>
        <v>88.8632843583491</v>
      </c>
      <c r="J10389" s="48" t="n">
        <f aca="false">(J10381*Assumptions!$E$22*MIN(1,Assumptions!$E$103/Assumptions!$E$78)+J10388)*J10371</f>
        <v>108.712732040573</v>
      </c>
      <c r="K10389" s="48" t="n">
        <f aca="false">(K10381*Assumptions!$E$22*MIN(1,Assumptions!$E$103/Assumptions!$E$78)+K10388)*K10371</f>
        <v>108.712732040573</v>
      </c>
      <c r="L10389" s="48" t="n">
        <f aca="false">(L10381*Assumptions!$E$22*MIN(1,Assumptions!$E$103/Assumptions!$E$78)+L10388)*L10371</f>
        <v>108.712732040573</v>
      </c>
      <c r="M10389" s="48" t="n">
        <f aca="false">(M10381*Assumptions!$E$22*MIN(1,Assumptions!$E$103/Assumptions!$E$78)+M10388)*M10371</f>
        <v>108.712732040573</v>
      </c>
      <c r="N10389" s="48" t="n">
        <f aca="false">(N10381*Assumptions!$E$22*MIN(1,Assumptions!$E$103/Assumptions!$E$78)+N10388)*N10371</f>
        <v>108.712732040573</v>
      </c>
      <c r="P10389" s="49" t="n">
        <f aca="false">SUM(C10389:F10389)</f>
        <v>147.372963244085</v>
      </c>
      <c r="Q10389" s="49" t="n">
        <f aca="false">SUM(G10389:J10389)</f>
        <v>314.282703644656</v>
      </c>
      <c r="R10389" s="49" t="n">
        <f aca="false">SUM(K10389:N10389)</f>
        <v>434.850928162292</v>
      </c>
      <c r="S10389" s="50" t="n">
        <f aca="false">SUM(P10389:R10389)</f>
        <v>896.506595051033</v>
      </c>
    </row>
    <row r="10390" customFormat="false" ht="15" hidden="false" customHeight="false" outlineLevel="0" collapsed="false">
      <c r="A10390" s="4" t="s">
        <v>499</v>
      </c>
      <c r="B10390" s="36" t="s">
        <v>500</v>
      </c>
      <c r="C10390" s="48" t="n">
        <f aca="false">C10371*MIN(Assumptions!$E$27,Assumptions!$E$25+Assumptions!$E$26*(C10370-1))*Assumptions!$E$107</f>
        <v>2</v>
      </c>
      <c r="D10390" s="48" t="n">
        <f aca="false">D10371*MIN(Assumptions!$E$27,Assumptions!$E$25+Assumptions!$E$26*(D10370-1))*Assumptions!$E$107</f>
        <v>3</v>
      </c>
      <c r="E10390" s="48" t="n">
        <f aca="false">E10371*MIN(Assumptions!$E$27,Assumptions!$E$25+Assumptions!$E$26*(E10370-1))*Assumptions!$E$107</f>
        <v>4</v>
      </c>
      <c r="F10390" s="48" t="n">
        <f aca="false">F10371*MIN(Assumptions!$E$27,Assumptions!$E$25+Assumptions!$E$26*(F10370-1))*Assumptions!$E$107</f>
        <v>5</v>
      </c>
      <c r="G10390" s="48" t="n">
        <f aca="false">G10371*MIN(Assumptions!$E$27,Assumptions!$E$25+Assumptions!$E$26*(G10370-1))*Assumptions!$E$107</f>
        <v>6</v>
      </c>
      <c r="H10390" s="48" t="n">
        <f aca="false">H10371*MIN(Assumptions!$E$27,Assumptions!$E$25+Assumptions!$E$26*(H10370-1))*Assumptions!$E$107</f>
        <v>7</v>
      </c>
      <c r="I10390" s="48" t="n">
        <f aca="false">I10371*MIN(Assumptions!$E$27,Assumptions!$E$25+Assumptions!$E$26*(I10370-1))*Assumptions!$E$107</f>
        <v>8</v>
      </c>
      <c r="J10390" s="48" t="n">
        <f aca="false">J10371*MIN(Assumptions!$E$27,Assumptions!$E$25+Assumptions!$E$26*(J10370-1))*Assumptions!$E$107</f>
        <v>9</v>
      </c>
      <c r="K10390" s="48" t="n">
        <f aca="false">K10371*MIN(Assumptions!$E$27,Assumptions!$E$25+Assumptions!$E$26*(K10370-1))*Assumptions!$E$107</f>
        <v>10</v>
      </c>
      <c r="L10390" s="48" t="n">
        <f aca="false">L10371*MIN(Assumptions!$E$27,Assumptions!$E$25+Assumptions!$E$26*(L10370-1))*Assumptions!$E$107</f>
        <v>10</v>
      </c>
      <c r="M10390" s="48" t="n">
        <f aca="false">M10371*MIN(Assumptions!$E$27,Assumptions!$E$25+Assumptions!$E$26*(M10370-1))*Assumptions!$E$107</f>
        <v>10</v>
      </c>
      <c r="N10390" s="48" t="n">
        <f aca="false">N10371*MIN(Assumptions!$E$27,Assumptions!$E$25+Assumptions!$E$26*(N10370-1))*Assumptions!$E$107</f>
        <v>10</v>
      </c>
      <c r="P10390" s="49" t="n">
        <f aca="false">F10390</f>
        <v>5</v>
      </c>
      <c r="Q10390" s="49" t="n">
        <f aca="false">J10390</f>
        <v>9</v>
      </c>
      <c r="R10390" s="49" t="n">
        <f aca="false">N10390</f>
        <v>10</v>
      </c>
      <c r="S10390" s="50" t="n">
        <f aca="false">R10390</f>
        <v>10</v>
      </c>
    </row>
    <row r="10391" customFormat="false" ht="15" hidden="false" customHeight="false" outlineLevel="0" collapsed="false">
      <c r="A10391" s="4" t="s">
        <v>501</v>
      </c>
      <c r="B10391" s="36" t="s">
        <v>502</v>
      </c>
      <c r="C10391" s="48" t="n">
        <f aca="false">C10390*Assumptions!$E$28</f>
        <v>6</v>
      </c>
      <c r="D10391" s="48" t="n">
        <f aca="false">D10390*Assumptions!$E$28</f>
        <v>9</v>
      </c>
      <c r="E10391" s="48" t="n">
        <f aca="false">E10390*Assumptions!$E$28</f>
        <v>12</v>
      </c>
      <c r="F10391" s="48" t="n">
        <f aca="false">F10390*Assumptions!$E$28</f>
        <v>15</v>
      </c>
      <c r="G10391" s="48" t="n">
        <f aca="false">G10390*Assumptions!$E$28</f>
        <v>18</v>
      </c>
      <c r="H10391" s="48" t="n">
        <f aca="false">H10390*Assumptions!$E$28</f>
        <v>21</v>
      </c>
      <c r="I10391" s="48" t="n">
        <f aca="false">I10390*Assumptions!$E$28</f>
        <v>24</v>
      </c>
      <c r="J10391" s="48" t="n">
        <f aca="false">J10390*Assumptions!$E$28</f>
        <v>27</v>
      </c>
      <c r="K10391" s="48" t="n">
        <f aca="false">K10390*Assumptions!$E$28</f>
        <v>30</v>
      </c>
      <c r="L10391" s="48" t="n">
        <f aca="false">L10390*Assumptions!$E$28</f>
        <v>30</v>
      </c>
      <c r="M10391" s="48" t="n">
        <f aca="false">M10390*Assumptions!$E$28</f>
        <v>30</v>
      </c>
      <c r="N10391" s="48" t="n">
        <f aca="false">N10390*Assumptions!$E$28</f>
        <v>30</v>
      </c>
      <c r="P10391" s="49" t="n">
        <f aca="false">SUM(C10391:F10391)</f>
        <v>42</v>
      </c>
      <c r="Q10391" s="49" t="n">
        <f aca="false">SUM(G10391:J10391)</f>
        <v>90</v>
      </c>
      <c r="R10391" s="49" t="n">
        <f aca="false">SUM(K10391:N10391)</f>
        <v>120</v>
      </c>
      <c r="S10391" s="50" t="n">
        <f aca="false">SUM(P10391:R10391)</f>
        <v>252</v>
      </c>
    </row>
    <row r="10392" customFormat="false" ht="15" hidden="false" customHeight="false" outlineLevel="0" collapsed="false">
      <c r="A10392" s="4" t="s">
        <v>503</v>
      </c>
      <c r="B10392" s="36" t="s">
        <v>504</v>
      </c>
      <c r="C10392" s="48" t="n">
        <f aca="false">(C10383+C10387)*Assumptions!$E$29</f>
        <v>2.649061072896</v>
      </c>
      <c r="D10392" s="48" t="n">
        <f aca="false">(D10383+D10387)*Assumptions!$E$29</f>
        <v>4.93045821299048</v>
      </c>
      <c r="E10392" s="48" t="n">
        <f aca="false">(E10383+E10387)*Assumptions!$E$29</f>
        <v>4.58830837060879</v>
      </c>
      <c r="F10392" s="48" t="n">
        <f aca="false">(F10383+F10387)*Assumptions!$E$29</f>
        <v>4.26990206474738</v>
      </c>
      <c r="G10392" s="48" t="n">
        <f aca="false">(G10383+G10387)*Assumptions!$E$29</f>
        <v>5.844267072</v>
      </c>
      <c r="H10392" s="48" t="n">
        <f aca="false">(H10383+H10387)*Assumptions!$E$29</f>
        <v>7.17956301044434</v>
      </c>
      <c r="I10392" s="48" t="n">
        <f aca="false">(I10383+I10387)*Assumptions!$E$29</f>
        <v>12.8463930542132</v>
      </c>
      <c r="J10392" s="48" t="n">
        <f aca="false">(J10383+J10387)*Assumptions!$E$29</f>
        <v>17.6921476412567</v>
      </c>
      <c r="K10392" s="48" t="n">
        <f aca="false">(K10383+K10387)*Assumptions!$E$29</f>
        <v>16.4643985629052</v>
      </c>
      <c r="L10392" s="48" t="n">
        <f aca="false">(L10383+L10387)*Assumptions!$E$29</f>
        <v>15.3218493048332</v>
      </c>
      <c r="M10392" s="48" t="n">
        <f aca="false">(M10383+M10387)*Assumptions!$E$29</f>
        <v>14.2585874135079</v>
      </c>
      <c r="N10392" s="48" t="n">
        <f aca="false">(N10383+N10387)*Assumptions!$E$29</f>
        <v>13.2691107309425</v>
      </c>
      <c r="P10392" s="49" t="n">
        <f aca="false">SUM(C10392:F10392)</f>
        <v>16.4377297212427</v>
      </c>
      <c r="Q10392" s="49" t="n">
        <f aca="false">SUM(G10392:J10392)</f>
        <v>43.5623707779142</v>
      </c>
      <c r="R10392" s="49" t="n">
        <f aca="false">SUM(K10392:N10392)</f>
        <v>59.3139460121888</v>
      </c>
      <c r="S10392" s="50" t="n">
        <f aca="false">SUM(P10392:R10392)</f>
        <v>119.314046511346</v>
      </c>
    </row>
    <row r="10393" customFormat="false" ht="15" hidden="false" customHeight="false" outlineLevel="0" collapsed="false">
      <c r="A10393" s="4" t="s">
        <v>505</v>
      </c>
      <c r="B10393" s="36" t="s">
        <v>504</v>
      </c>
      <c r="C10393" s="48" t="n">
        <f aca="false">C10389*Assumptions!$E$31</f>
        <v>3.51865709458288</v>
      </c>
      <c r="D10393" s="48" t="n">
        <f aca="false">D10389*Assumptions!$E$31</f>
        <v>6.68700567482359</v>
      </c>
      <c r="E10393" s="48" t="n">
        <f aca="false">E10389*Assumptions!$E$31</f>
        <v>6.68700567482359</v>
      </c>
      <c r="F10393" s="48" t="n">
        <f aca="false">F10389*Assumptions!$E$31</f>
        <v>6.68700567482359</v>
      </c>
      <c r="G10393" s="48" t="n">
        <f aca="false">G10389*Assumptions!$E$31</f>
        <v>8.54142413484956</v>
      </c>
      <c r="H10393" s="48" t="n">
        <f aca="false">H10389*Assumptions!$E$31</f>
        <v>10.1316458244678</v>
      </c>
      <c r="I10393" s="48" t="n">
        <f aca="false">I10389*Assumptions!$E$31</f>
        <v>14.2181254973359</v>
      </c>
      <c r="J10393" s="48" t="n">
        <f aca="false">J10389*Assumptions!$E$31</f>
        <v>17.3940371264917</v>
      </c>
      <c r="K10393" s="48" t="n">
        <f aca="false">K10389*Assumptions!$E$31</f>
        <v>17.3940371264917</v>
      </c>
      <c r="L10393" s="48" t="n">
        <f aca="false">L10389*Assumptions!$E$31</f>
        <v>17.3940371264917</v>
      </c>
      <c r="M10393" s="48" t="n">
        <f aca="false">M10389*Assumptions!$E$31</f>
        <v>17.3940371264917</v>
      </c>
      <c r="N10393" s="48" t="n">
        <f aca="false">N10389*Assumptions!$E$31</f>
        <v>17.3940371264917</v>
      </c>
      <c r="P10393" s="49" t="n">
        <f aca="false">SUM(C10393:F10393)</f>
        <v>23.5796741190536</v>
      </c>
      <c r="Q10393" s="49" t="n">
        <f aca="false">SUM(G10393:J10393)</f>
        <v>50.2852325831449</v>
      </c>
      <c r="R10393" s="49" t="n">
        <f aca="false">SUM(K10393:N10393)</f>
        <v>69.5761485059667</v>
      </c>
      <c r="S10393" s="50" t="n">
        <f aca="false">SUM(P10393:R10393)</f>
        <v>143.441055208165</v>
      </c>
    </row>
    <row r="10394" customFormat="false" ht="15" hidden="false" customHeight="false" outlineLevel="0" collapsed="false">
      <c r="A10394" s="4" t="s">
        <v>506</v>
      </c>
      <c r="B10394" s="36" t="s">
        <v>504</v>
      </c>
      <c r="C10394" s="48" t="n">
        <f aca="false">C10391*Assumptions!$E$30</f>
        <v>3</v>
      </c>
      <c r="D10394" s="48" t="n">
        <f aca="false">D10391*Assumptions!$E$30</f>
        <v>4.5</v>
      </c>
      <c r="E10394" s="48" t="n">
        <f aca="false">E10391*Assumptions!$E$30</f>
        <v>6</v>
      </c>
      <c r="F10394" s="48" t="n">
        <f aca="false">F10391*Assumptions!$E$30</f>
        <v>7.5</v>
      </c>
      <c r="G10394" s="48" t="n">
        <f aca="false">G10391*Assumptions!$E$30</f>
        <v>9</v>
      </c>
      <c r="H10394" s="48" t="n">
        <f aca="false">H10391*Assumptions!$E$30</f>
        <v>10.5</v>
      </c>
      <c r="I10394" s="48" t="n">
        <f aca="false">I10391*Assumptions!$E$30</f>
        <v>12</v>
      </c>
      <c r="J10394" s="48" t="n">
        <f aca="false">J10391*Assumptions!$E$30</f>
        <v>13.5</v>
      </c>
      <c r="K10394" s="48" t="n">
        <f aca="false">K10391*Assumptions!$E$30</f>
        <v>15</v>
      </c>
      <c r="L10394" s="48" t="n">
        <f aca="false">L10391*Assumptions!$E$30</f>
        <v>15</v>
      </c>
      <c r="M10394" s="48" t="n">
        <f aca="false">M10391*Assumptions!$E$30</f>
        <v>15</v>
      </c>
      <c r="N10394" s="48" t="n">
        <f aca="false">N10391*Assumptions!$E$30</f>
        <v>15</v>
      </c>
      <c r="P10394" s="49" t="n">
        <f aca="false">SUM(C10394:F10394)</f>
        <v>21</v>
      </c>
      <c r="Q10394" s="49" t="n">
        <f aca="false">SUM(G10394:J10394)</f>
        <v>45</v>
      </c>
      <c r="R10394" s="49" t="n">
        <f aca="false">SUM(K10394:N10394)</f>
        <v>60</v>
      </c>
      <c r="S10394" s="50" t="n">
        <f aca="false">SUM(P10394:R10394)</f>
        <v>126</v>
      </c>
    </row>
    <row r="10395" customFormat="false" ht="15" hidden="false" customHeight="false" outlineLevel="0" collapsed="false">
      <c r="A10395" s="9" t="s">
        <v>507</v>
      </c>
      <c r="B10395" s="36" t="s">
        <v>504</v>
      </c>
      <c r="C10395" s="49" t="n">
        <f aca="false">C10392+C10393+C10394</f>
        <v>9.16771816747888</v>
      </c>
      <c r="D10395" s="49" t="n">
        <f aca="false">D10392+D10393+D10394</f>
        <v>16.1174638878141</v>
      </c>
      <c r="E10395" s="49" t="n">
        <f aca="false">E10392+E10393+E10394</f>
        <v>17.2753140454324</v>
      </c>
      <c r="F10395" s="49" t="n">
        <f aca="false">F10392+F10393+F10394</f>
        <v>18.456907739571</v>
      </c>
      <c r="G10395" s="49" t="n">
        <f aca="false">G10392+G10393+G10394</f>
        <v>23.3856912068496</v>
      </c>
      <c r="H10395" s="49" t="n">
        <f aca="false">H10392+H10393+H10394</f>
        <v>27.8112088349122</v>
      </c>
      <c r="I10395" s="49" t="n">
        <f aca="false">I10392+I10393+I10394</f>
        <v>39.0645185515491</v>
      </c>
      <c r="J10395" s="49" t="n">
        <f aca="false">J10392+J10393+J10394</f>
        <v>48.5861847677483</v>
      </c>
      <c r="K10395" s="49" t="n">
        <f aca="false">K10392+K10393+K10394</f>
        <v>48.8584356893969</v>
      </c>
      <c r="L10395" s="49" t="n">
        <f aca="false">L10392+L10393+L10394</f>
        <v>47.7158864313249</v>
      </c>
      <c r="M10395" s="49" t="n">
        <f aca="false">M10392+M10393+M10394</f>
        <v>46.6526245399996</v>
      </c>
      <c r="N10395" s="49" t="n">
        <f aca="false">N10392+N10393+N10394</f>
        <v>45.6631478574342</v>
      </c>
      <c r="P10395" s="49" t="n">
        <f aca="false">SUM(C10395:F10395)</f>
        <v>61.0174038402963</v>
      </c>
      <c r="Q10395" s="49" t="n">
        <f aca="false">SUM(G10395:J10395)</f>
        <v>138.847603361059</v>
      </c>
      <c r="R10395" s="49" t="n">
        <f aca="false">SUM(K10395:N10395)</f>
        <v>188.890094518156</v>
      </c>
      <c r="S10395" s="50" t="n">
        <f aca="false">SUM(P10395:R10395)</f>
        <v>388.755101719511</v>
      </c>
    </row>
    <row r="10396" customFormat="false" ht="15" hidden="false" customHeight="false" outlineLevel="0" collapsed="false">
      <c r="A10396" s="4" t="s">
        <v>508</v>
      </c>
      <c r="B10396" s="36" t="s">
        <v>509</v>
      </c>
      <c r="C10396" s="48" t="n">
        <f aca="false">C10378</f>
        <v>421.51972352</v>
      </c>
      <c r="D10396" s="48" t="n">
        <f aca="false">D10378</f>
        <v>843.03944704</v>
      </c>
      <c r="E10396" s="48" t="n">
        <f aca="false">E10378</f>
        <v>843.03944704</v>
      </c>
      <c r="F10396" s="48" t="n">
        <f aca="false">F10378</f>
        <v>843.03944704</v>
      </c>
      <c r="G10396" s="48" t="n">
        <f aca="false">G10378</f>
        <v>1149.32798176</v>
      </c>
      <c r="H10396" s="48" t="n">
        <f aca="false">H10378</f>
        <v>1455.61651648</v>
      </c>
      <c r="I10396" s="48" t="n">
        <f aca="false">I10378</f>
        <v>2486.00303616</v>
      </c>
      <c r="J10396" s="48" t="n">
        <f aca="false">J10378</f>
        <v>3516.38955584</v>
      </c>
      <c r="K10396" s="48" t="n">
        <f aca="false">K10378</f>
        <v>3516.38955584</v>
      </c>
      <c r="L10396" s="48" t="n">
        <f aca="false">L10378</f>
        <v>3516.38955584</v>
      </c>
      <c r="M10396" s="48" t="n">
        <f aca="false">M10378</f>
        <v>3516.38955584</v>
      </c>
      <c r="N10396" s="48" t="n">
        <f aca="false">N10378</f>
        <v>3516.38955584</v>
      </c>
      <c r="P10396" s="49"/>
      <c r="Q10396" s="49"/>
      <c r="R10396" s="49"/>
      <c r="S10396" s="50"/>
    </row>
    <row r="10397" customFormat="false" ht="15" hidden="false" customHeight="false" outlineLevel="0" collapsed="false">
      <c r="A10397" s="4" t="s">
        <v>510</v>
      </c>
      <c r="B10397" s="36" t="s">
        <v>509</v>
      </c>
      <c r="C10397" s="48" t="n">
        <f aca="false">C10379*Assumptions!$E$18*Assumptions!$E$33</f>
        <v>211.19616</v>
      </c>
      <c r="D10397" s="48" t="n">
        <f aca="false">D10379*Assumptions!$E$18*Assumptions!$E$33</f>
        <v>422.39232</v>
      </c>
      <c r="E10397" s="48" t="n">
        <f aca="false">E10379*Assumptions!$E$18*Assumptions!$E$33</f>
        <v>422.39232</v>
      </c>
      <c r="F10397" s="48" t="n">
        <f aca="false">F10379*Assumptions!$E$18*Assumptions!$E$33</f>
        <v>422.39232</v>
      </c>
      <c r="G10397" s="48" t="n">
        <f aca="false">G10379*Assumptions!$E$18*Assumptions!$E$33</f>
        <v>564.49344</v>
      </c>
      <c r="H10397" s="48" t="n">
        <f aca="false">H10379*Assumptions!$E$18*Assumptions!$E$33</f>
        <v>706.59456</v>
      </c>
      <c r="I10397" s="48" t="n">
        <f aca="false">I10379*Assumptions!$E$18*Assumptions!$E$33</f>
        <v>1135.07072</v>
      </c>
      <c r="J10397" s="48" t="n">
        <f aca="false">J10379*Assumptions!$E$18*Assumptions!$E$33</f>
        <v>1563.54688</v>
      </c>
      <c r="K10397" s="48" t="n">
        <f aca="false">K10379*Assumptions!$E$18*Assumptions!$E$33</f>
        <v>1563.54688</v>
      </c>
      <c r="L10397" s="48" t="n">
        <f aca="false">L10379*Assumptions!$E$18*Assumptions!$E$33</f>
        <v>1563.54688</v>
      </c>
      <c r="M10397" s="48" t="n">
        <f aca="false">M10379*Assumptions!$E$18*Assumptions!$E$33</f>
        <v>1563.54688</v>
      </c>
      <c r="N10397" s="48" t="n">
        <f aca="false">N10379*Assumptions!$E$18*Assumptions!$E$33</f>
        <v>1563.54688</v>
      </c>
      <c r="P10397" s="49"/>
      <c r="Q10397" s="49"/>
      <c r="R10397" s="49"/>
      <c r="S10397" s="50"/>
    </row>
    <row r="10398" customFormat="false" ht="15" hidden="false" customHeight="false" outlineLevel="0" collapsed="false">
      <c r="A10398" s="4" t="s">
        <v>511</v>
      </c>
      <c r="B10398" s="36" t="s">
        <v>509</v>
      </c>
      <c r="C10398" s="48" t="n">
        <f aca="false">C10380*Assumptions!$E$19*Assumptions!$E$34</f>
        <v>34.677888</v>
      </c>
      <c r="D10398" s="48" t="n">
        <f aca="false">D10380*Assumptions!$E$19*Assumptions!$E$34</f>
        <v>69.355776</v>
      </c>
      <c r="E10398" s="48" t="n">
        <f aca="false">E10380*Assumptions!$E$19*Assumptions!$E$34</f>
        <v>69.355776</v>
      </c>
      <c r="F10398" s="48" t="n">
        <f aca="false">F10380*Assumptions!$E$19*Assumptions!$E$34</f>
        <v>69.355776</v>
      </c>
      <c r="G10398" s="48" t="n">
        <f aca="false">G10380*Assumptions!$E$19*Assumptions!$E$34</f>
        <v>86.69472</v>
      </c>
      <c r="H10398" s="48" t="n">
        <f aca="false">H10380*Assumptions!$E$19*Assumptions!$E$34</f>
        <v>104.033664</v>
      </c>
      <c r="I10398" s="48" t="n">
        <f aca="false">I10380*Assumptions!$E$19*Assumptions!$E$34</f>
        <v>159.7008</v>
      </c>
      <c r="J10398" s="48" t="n">
        <f aca="false">J10380*Assumptions!$E$19*Assumptions!$E$34</f>
        <v>215.367936</v>
      </c>
      <c r="K10398" s="48" t="n">
        <f aca="false">K10380*Assumptions!$E$19*Assumptions!$E$34</f>
        <v>215.367936</v>
      </c>
      <c r="L10398" s="48" t="n">
        <f aca="false">L10380*Assumptions!$E$19*Assumptions!$E$34</f>
        <v>215.367936</v>
      </c>
      <c r="M10398" s="48" t="n">
        <f aca="false">M10380*Assumptions!$E$19*Assumptions!$E$34</f>
        <v>215.367936</v>
      </c>
      <c r="N10398" s="48" t="n">
        <f aca="false">N10380*Assumptions!$E$19*Assumptions!$E$34</f>
        <v>215.367936</v>
      </c>
      <c r="P10398" s="49"/>
      <c r="Q10398" s="49"/>
      <c r="R10398" s="49"/>
      <c r="S10398" s="50"/>
    </row>
    <row r="10399" customFormat="false" ht="15" hidden="false" customHeight="false" outlineLevel="0" collapsed="false">
      <c r="A10399" s="4" t="s">
        <v>512</v>
      </c>
      <c r="B10399" s="36" t="s">
        <v>77</v>
      </c>
      <c r="C10399" s="51" t="n">
        <f aca="false">IFERROR(C10396/(C10396+C10397+C10398),0)</f>
        <v>0.631590736245533</v>
      </c>
      <c r="D10399" s="51" t="n">
        <f aca="false">IFERROR(D10396/(D10396+D10397+D10398),0)</f>
        <v>0.631590736245533</v>
      </c>
      <c r="E10399" s="51" t="n">
        <f aca="false">IFERROR(E10396/(E10396+E10397+E10398),0)</f>
        <v>0.631590736245533</v>
      </c>
      <c r="F10399" s="51" t="n">
        <f aca="false">IFERROR(F10396/(F10396+F10397+F10398),0)</f>
        <v>0.631590736245533</v>
      </c>
      <c r="G10399" s="51" t="n">
        <f aca="false">IFERROR(G10396/(G10396+G10397+G10398),0)</f>
        <v>0.638332506498128</v>
      </c>
      <c r="H10399" s="51" t="n">
        <f aca="false">IFERROR(H10396/(H10396+H10397+H10398),0)</f>
        <v>0.642303318118984</v>
      </c>
      <c r="I10399" s="51" t="n">
        <f aca="false">IFERROR(I10396/(I10396+I10397+I10398),0)</f>
        <v>0.657538025405288</v>
      </c>
      <c r="J10399" s="51" t="n">
        <f aca="false">IFERROR(J10396/(J10396+J10397+J10398),0)</f>
        <v>0.664058061428891</v>
      </c>
      <c r="K10399" s="51" t="n">
        <f aca="false">IFERROR(K10396/(K10396+K10397+K10398),0)</f>
        <v>0.664058061428891</v>
      </c>
      <c r="L10399" s="51" t="n">
        <f aca="false">IFERROR(L10396/(L10396+L10397+L10398),0)</f>
        <v>0.664058061428891</v>
      </c>
      <c r="M10399" s="51" t="n">
        <f aca="false">IFERROR(M10396/(M10396+M10397+M10398),0)</f>
        <v>0.664058061428891</v>
      </c>
      <c r="N10399" s="51" t="n">
        <f aca="false">IFERROR(N10396/(N10396+N10397+N10398),0)</f>
        <v>0.664058061428891</v>
      </c>
      <c r="P10399" s="52"/>
      <c r="Q10399" s="52"/>
      <c r="R10399" s="52"/>
      <c r="S10399" s="53"/>
    </row>
    <row r="10400" customFormat="false" ht="15" hidden="false" customHeight="false" outlineLevel="0" collapsed="false">
      <c r="A10400" s="4" t="s">
        <v>513</v>
      </c>
      <c r="B10400" s="36" t="s">
        <v>77</v>
      </c>
      <c r="C10400" s="51" t="n">
        <f aca="false">IFERROR(C10397/(C10396+C10397+C10398),0)</f>
        <v>0.316449102482628</v>
      </c>
      <c r="D10400" s="51" t="n">
        <f aca="false">IFERROR(D10397/(D10396+D10397+D10398),0)</f>
        <v>0.316449102482628</v>
      </c>
      <c r="E10400" s="51" t="n">
        <f aca="false">IFERROR(E10397/(E10396+E10397+E10398),0)</f>
        <v>0.316449102482628</v>
      </c>
      <c r="F10400" s="51" t="n">
        <f aca="false">IFERROR(F10397/(F10396+F10397+F10398),0)</f>
        <v>0.316449102482628</v>
      </c>
      <c r="G10400" s="51" t="n">
        <f aca="false">IFERROR(G10397/(G10396+G10397+G10398),0)</f>
        <v>0.313517566939561</v>
      </c>
      <c r="H10400" s="51" t="n">
        <f aca="false">IFERROR(H10397/(H10396+H10397+H10398),0)</f>
        <v>0.311790932099567</v>
      </c>
      <c r="I10400" s="51" t="n">
        <f aca="false">IFERROR(I10397/(I10396+I10397+I10398),0)</f>
        <v>0.300221741111391</v>
      </c>
      <c r="J10400" s="51" t="n">
        <f aca="false">IFERROR(J10397/(J10396+J10397+J10398),0)</f>
        <v>0.295270445324128</v>
      </c>
      <c r="K10400" s="51" t="n">
        <f aca="false">IFERROR(K10397/(K10396+K10397+K10398),0)</f>
        <v>0.295270445324128</v>
      </c>
      <c r="L10400" s="51" t="n">
        <f aca="false">IFERROR(L10397/(L10396+L10397+L10398),0)</f>
        <v>0.295270445324128</v>
      </c>
      <c r="M10400" s="51" t="n">
        <f aca="false">IFERROR(M10397/(M10396+M10397+M10398),0)</f>
        <v>0.295270445324128</v>
      </c>
      <c r="N10400" s="51" t="n">
        <f aca="false">IFERROR(N10397/(N10396+N10397+N10398),0)</f>
        <v>0.295270445324128</v>
      </c>
      <c r="P10400" s="52"/>
      <c r="Q10400" s="52"/>
      <c r="R10400" s="52"/>
      <c r="S10400" s="53"/>
    </row>
    <row r="10401" customFormat="false" ht="15" hidden="false" customHeight="false" outlineLevel="0" collapsed="false">
      <c r="A10401" s="4" t="s">
        <v>514</v>
      </c>
      <c r="B10401" s="36" t="s">
        <v>77</v>
      </c>
      <c r="C10401" s="51" t="n">
        <f aca="false">IFERROR(C10398/(C10396+C10397+C10398),0)</f>
        <v>0.0519601612718389</v>
      </c>
      <c r="D10401" s="51" t="n">
        <f aca="false">IFERROR(D10398/(D10396+D10397+D10398),0)</f>
        <v>0.0519601612718389</v>
      </c>
      <c r="E10401" s="51" t="n">
        <f aca="false">IFERROR(E10398/(E10396+E10397+E10398),0)</f>
        <v>0.0519601612718389</v>
      </c>
      <c r="F10401" s="51" t="n">
        <f aca="false">IFERROR(F10398/(F10396+F10397+F10398),0)</f>
        <v>0.0519601612718389</v>
      </c>
      <c r="G10401" s="51" t="n">
        <f aca="false">IFERROR(G10398/(G10396+G10397+G10398),0)</f>
        <v>0.0481499265623113</v>
      </c>
      <c r="H10401" s="51" t="n">
        <f aca="false">IFERROR(H10398/(H10396+H10397+H10398),0)</f>
        <v>0.0459057497814491</v>
      </c>
      <c r="I10401" s="51" t="n">
        <f aca="false">IFERROR(I10398/(I10396+I10397+I10398),0)</f>
        <v>0.0422402334833216</v>
      </c>
      <c r="J10401" s="51" t="n">
        <f aca="false">IFERROR(J10398/(J10396+J10397+J10398),0)</f>
        <v>0.0406714932469811</v>
      </c>
      <c r="K10401" s="51" t="n">
        <f aca="false">IFERROR(K10398/(K10396+K10397+K10398),0)</f>
        <v>0.0406714932469811</v>
      </c>
      <c r="L10401" s="51" t="n">
        <f aca="false">IFERROR(L10398/(L10396+L10397+L10398),0)</f>
        <v>0.0406714932469811</v>
      </c>
      <c r="M10401" s="51" t="n">
        <f aca="false">IFERROR(M10398/(M10396+M10397+M10398),0)</f>
        <v>0.0406714932469811</v>
      </c>
      <c r="N10401" s="51" t="n">
        <f aca="false">IFERROR(N10398/(N10396+N10397+N10398),0)</f>
        <v>0.0406714932469811</v>
      </c>
      <c r="P10401" s="52"/>
      <c r="Q10401" s="52"/>
      <c r="R10401" s="52"/>
      <c r="S10401" s="53"/>
    </row>
    <row r="10402" customFormat="false" ht="15" hidden="false" customHeight="false" outlineLevel="0" collapsed="false">
      <c r="A10402" s="4" t="s">
        <v>515</v>
      </c>
      <c r="B10402" s="36" t="s">
        <v>516</v>
      </c>
      <c r="C10402" s="48" t="n">
        <f aca="false">IF(C10370-Assumptions!$E$35&lt;1,0,INDEX($C$10395:$N$10395,1,C10370-Assumptions!$E$35)*INDEX($C$10399:$N$10399,1,C10370-Assumptions!$E$35)*Assumptions!$E$32)</f>
        <v>0</v>
      </c>
      <c r="D10402" s="48" t="n">
        <f aca="false">IF(D10370-Assumptions!$E$35&lt;1,0,INDEX($C$10395:$N$10395,1,D10370-Assumptions!$E$35)*INDEX($C$10399:$N$10399,1,D10370-Assumptions!$E$35)*Assumptions!$E$32)</f>
        <v>1.2159516320888</v>
      </c>
      <c r="E10402" s="48" t="n">
        <f aca="false">IF(E10370-Assumptions!$E$35&lt;1,0,INDEX($C$10395:$N$10395,1,E10370-Assumptions!$E$35)*INDEX($C$10399:$N$10399,1,E10370-Assumptions!$E$35)*Assumptions!$E$32)</f>
        <v>2.13772458549621</v>
      </c>
      <c r="F10402" s="48" t="n">
        <f aca="false">IF(F10370-Assumptions!$E$35&lt;1,0,INDEX($C$10395:$N$10395,1,F10370-Assumptions!$E$35)*INDEX($C$10399:$N$10399,1,F10370-Assumptions!$E$35)*Assumptions!$E$32)</f>
        <v>2.29129494653376</v>
      </c>
      <c r="G10402" s="48" t="n">
        <f aca="false">IF(G10370-Assumptions!$E$35&lt;1,0,INDEX($C$10395:$N$10395,1,G10370-Assumptions!$E$35)*INDEX($C$10399:$N$10399,1,G10370-Assumptions!$E$35)*Assumptions!$E$32)</f>
        <v>2.44801450909082</v>
      </c>
      <c r="H10402" s="48" t="n">
        <f aca="false">IF(H10370-Assumptions!$E$35&lt;1,0,INDEX($C$10395:$N$10395,1,H10370-Assumptions!$E$35)*INDEX($C$10399:$N$10399,1,H10370-Assumptions!$E$35)*Assumptions!$E$32)</f>
        <v>3.1348478456945</v>
      </c>
      <c r="I10402" s="48" t="n">
        <f aca="false">IF(I10370-Assumptions!$E$35&lt;1,0,INDEX($C$10395:$N$10395,1,I10370-Assumptions!$E$35)*INDEX($C$10399:$N$10399,1,I10370-Assumptions!$E$35)*Assumptions!$E$32)</f>
        <v>3.75127866026846</v>
      </c>
      <c r="J10402" s="48" t="n">
        <f aca="false">IF(J10370-Assumptions!$E$35&lt;1,0,INDEX($C$10395:$N$10395,1,J10370-Assumptions!$E$35)*INDEX($C$10399:$N$10399,1,J10370-Assumptions!$E$35)*Assumptions!$E$32)</f>
        <v>5.3941453422767</v>
      </c>
      <c r="K10402" s="48" t="n">
        <f aca="false">IF(K10370-Assumptions!$E$35&lt;1,0,INDEX($C$10395:$N$10395,1,K10370-Assumptions!$E$35)*INDEX($C$10399:$N$10399,1,K10370-Assumptions!$E$35)*Assumptions!$E$32)</f>
        <v>6.77545001051034</v>
      </c>
      <c r="L10402" s="48" t="n">
        <f aca="false">IF(L10370-Assumptions!$E$35&lt;1,0,INDEX($C$10395:$N$10395,1,L10370-Assumptions!$E$35)*INDEX($C$10399:$N$10399,1,L10370-Assumptions!$E$35)*Assumptions!$E$32)</f>
        <v>6.81341599855329</v>
      </c>
      <c r="M10402" s="48" t="n">
        <f aca="false">IF(M10370-Assumptions!$E$35&lt;1,0,INDEX($C$10395:$N$10395,1,M10370-Assumptions!$E$35)*INDEX($C$10399:$N$10399,1,M10370-Assumptions!$E$35)*Assumptions!$E$32)</f>
        <v>6.65408499901881</v>
      </c>
      <c r="N10402" s="48" t="n">
        <f aca="false">IF(N10370-Assumptions!$E$35&lt;1,0,INDEX($C$10395:$N$10395,1,N10370-Assumptions!$E$35)*INDEX($C$10399:$N$10399,1,N10370-Assumptions!$E$35)*Assumptions!$E$32)</f>
        <v>6.50581079664642</v>
      </c>
      <c r="P10402" s="49" t="n">
        <f aca="false">SUM(C10402:F10402)</f>
        <v>5.64497116411877</v>
      </c>
      <c r="Q10402" s="49" t="n">
        <f aca="false">SUM(G10402:J10402)</f>
        <v>14.7282863573305</v>
      </c>
      <c r="R10402" s="49" t="n">
        <f aca="false">SUM(K10402:N10402)</f>
        <v>26.7487618047289</v>
      </c>
      <c r="S10402" s="50" t="n">
        <f aca="false">SUM(P10402:R10402)</f>
        <v>47.1220193261781</v>
      </c>
    </row>
    <row r="10403" customFormat="false" ht="15" hidden="false" customHeight="false" outlineLevel="0" collapsed="false">
      <c r="A10403" s="4" t="s">
        <v>517</v>
      </c>
      <c r="B10403" s="36" t="s">
        <v>516</v>
      </c>
      <c r="C10403" s="48" t="n">
        <f aca="false">IF(C10370-Assumptions!$E$35&lt;1,0,INDEX($C$10395:$N$10395,1,C10370-Assumptions!$E$35)*INDEX($C$10400:$N$10400,1,C10370-Assumptions!$E$35)*Assumptions!$E$32)</f>
        <v>0</v>
      </c>
      <c r="D10403" s="48" t="n">
        <f aca="false">IF(D10370-Assumptions!$E$35&lt;1,0,INDEX($C$10395:$N$10395,1,D10370-Assumptions!$E$35)*INDEX($C$10400:$N$10400,1,D10370-Assumptions!$E$35)*Assumptions!$E$32)</f>
        <v>0.609234399041599</v>
      </c>
      <c r="E10403" s="48" t="n">
        <f aca="false">IF(E10370-Assumptions!$E$35&lt;1,0,INDEX($C$10395:$N$10395,1,E10370-Assumptions!$E$35)*INDEX($C$10400:$N$10400,1,E10370-Assumptions!$E$35)*Assumptions!$E$32)</f>
        <v>1.07107496613493</v>
      </c>
      <c r="F10403" s="48" t="n">
        <f aca="false">IF(F10370-Assumptions!$E$35&lt;1,0,INDEX($C$10395:$N$10395,1,F10370-Assumptions!$E$35)*INDEX($C$10400:$N$10400,1,F10370-Assumptions!$E$35)*Assumptions!$E$32)</f>
        <v>1.14801910120435</v>
      </c>
      <c r="G10403" s="48" t="n">
        <f aca="false">IF(G10370-Assumptions!$E$35&lt;1,0,INDEX($C$10395:$N$10395,1,G10370-Assumptions!$E$35)*INDEX($C$10400:$N$10400,1,G10370-Assumptions!$E$35)*Assumptions!$E$32)</f>
        <v>1.2265410966463</v>
      </c>
      <c r="H10403" s="48" t="n">
        <f aca="false">IF(H10370-Assumptions!$E$35&lt;1,0,INDEX($C$10395:$N$10395,1,H10370-Assumptions!$E$35)*INDEX($C$10400:$N$10400,1,H10370-Assumptions!$E$35)*Assumptions!$E$32)</f>
        <v>1.53968325175798</v>
      </c>
      <c r="I10403" s="48" t="n">
        <f aca="false">IF(I10370-Assumptions!$E$35&lt;1,0,INDEX($C$10395:$N$10395,1,I10370-Assumptions!$E$35)*INDEX($C$10400:$N$10400,1,I10370-Assumptions!$E$35)*Assumptions!$E$32)</f>
        <v>1.82096937234512</v>
      </c>
      <c r="J10403" s="48" t="n">
        <f aca="false">IF(J10370-Assumptions!$E$35&lt;1,0,INDEX($C$10395:$N$10395,1,J10370-Assumptions!$E$35)*INDEX($C$10400:$N$10400,1,J10370-Assumptions!$E$35)*Assumptions!$E$32)</f>
        <v>2.4628837327971</v>
      </c>
      <c r="K10403" s="48" t="n">
        <f aca="false">IF(K10370-Assumptions!$E$35&lt;1,0,INDEX($C$10395:$N$10395,1,K10370-Assumptions!$E$35)*INDEX($C$10400:$N$10400,1,K10370-Assumptions!$E$35)*Assumptions!$E$32)</f>
        <v>3.01267352672442</v>
      </c>
      <c r="L10403" s="48" t="n">
        <f aca="false">IF(L10370-Assumptions!$E$35&lt;1,0,INDEX($C$10395:$N$10395,1,L10370-Assumptions!$E$35)*INDEX($C$10400:$N$10400,1,L10370-Assumptions!$E$35)*Assumptions!$E$32)</f>
        <v>3.02955493340818</v>
      </c>
      <c r="M10403" s="48" t="n">
        <f aca="false">IF(M10370-Assumptions!$E$35&lt;1,0,INDEX($C$10395:$N$10395,1,M10370-Assumptions!$E$35)*INDEX($C$10400:$N$10400,1,M10370-Assumptions!$E$35)*Assumptions!$E$32)</f>
        <v>2.95870911747869</v>
      </c>
      <c r="N10403" s="48" t="n">
        <f aca="false">IF(N10370-Assumptions!$E$35&lt;1,0,INDEX($C$10395:$N$10395,1,N10370-Assumptions!$E$35)*INDEX($C$10400:$N$10400,1,N10370-Assumptions!$E$35)*Assumptions!$E$32)</f>
        <v>2.89277965692766</v>
      </c>
      <c r="P10403" s="49" t="n">
        <f aca="false">SUM(C10403:F10403)</f>
        <v>2.82832846638088</v>
      </c>
      <c r="Q10403" s="49" t="n">
        <f aca="false">SUM(G10403:J10403)</f>
        <v>7.0500774535465</v>
      </c>
      <c r="R10403" s="49" t="n">
        <f aca="false">SUM(K10403:N10403)</f>
        <v>11.893717234539</v>
      </c>
      <c r="S10403" s="50" t="n">
        <f aca="false">SUM(P10403:R10403)</f>
        <v>21.7721231544663</v>
      </c>
    </row>
    <row r="10404" customFormat="false" ht="15" hidden="false" customHeight="false" outlineLevel="0" collapsed="false">
      <c r="A10404" s="4" t="s">
        <v>518</v>
      </c>
      <c r="B10404" s="36" t="s">
        <v>516</v>
      </c>
      <c r="C10404" s="48" t="n">
        <f aca="false">IF(C10370-Assumptions!$E$36&lt;1,0,INDEX($C$10395:$N$10395,1,C10370-Assumptions!$E$36)*INDEX($C$10401:$N$10401,1,C10370-Assumptions!$E$36)*Assumptions!$E$32)</f>
        <v>0</v>
      </c>
      <c r="D10404" s="48" t="n">
        <f aca="false">IF(D10370-Assumptions!$E$36&lt;1,0,INDEX($C$10395:$N$10395,1,D10370-Assumptions!$E$36)*INDEX($C$10401:$N$10401,1,D10370-Assumptions!$E$36)*Assumptions!$E$32)</f>
        <v>0</v>
      </c>
      <c r="E10404" s="48" t="n">
        <f aca="false">IF(E10370-Assumptions!$E$36&lt;1,0,INDEX($C$10395:$N$10395,1,E10370-Assumptions!$E$36)*INDEX($C$10401:$N$10401,1,E10370-Assumptions!$E$36)*Assumptions!$E$32)</f>
        <v>0.100034784040164</v>
      </c>
      <c r="F10404" s="48" t="n">
        <f aca="false">IF(F10370-Assumptions!$E$36&lt;1,0,INDEX($C$10395:$N$10395,1,F10370-Assumptions!$E$36)*INDEX($C$10401:$N$10401,1,F10370-Assumptions!$E$36)*Assumptions!$E$32)</f>
        <v>0.17586786480981</v>
      </c>
      <c r="G10404" s="48" t="n">
        <f aca="false">IF(G10370-Assumptions!$E$36&lt;1,0,INDEX($C$10395:$N$10395,1,G10370-Assumptions!$E$36)*INDEX($C$10401:$N$10401,1,G10370-Assumptions!$E$36)*Assumptions!$E$32)</f>
        <v>0.188501901802689</v>
      </c>
      <c r="H10404" s="48" t="n">
        <f aca="false">IF(H10370-Assumptions!$E$36&lt;1,0,INDEX($C$10395:$N$10395,1,H10370-Assumptions!$E$36)*INDEX($C$10401:$N$10401,1,H10370-Assumptions!$E$36)*Assumptions!$E$32)</f>
        <v>0.201395019572787</v>
      </c>
      <c r="I10404" s="48" t="n">
        <f aca="false">IF(I10370-Assumptions!$E$36&lt;1,0,INDEX($C$10395:$N$10395,1,I10370-Assumptions!$E$36)*INDEX($C$10401:$N$10401,1,I10370-Assumptions!$E$36)*Assumptions!$E$32)</f>
        <v>0.236464055985926</v>
      </c>
      <c r="J10404" s="48" t="n">
        <f aca="false">IF(J10370-Assumptions!$E$36&lt;1,0,INDEX($C$10395:$N$10395,1,J10370-Assumptions!$E$36)*INDEX($C$10401:$N$10401,1,J10370-Assumptions!$E$36)*Assumptions!$E$32)</f>
        <v>0.268105822717972</v>
      </c>
      <c r="K10404" s="48" t="n">
        <f aca="false">IF(K10370-Assumptions!$E$36&lt;1,0,INDEX($C$10395:$N$10395,1,K10370-Assumptions!$E$36)*INDEX($C$10401:$N$10401,1,K10370-Assumptions!$E$36)*Assumptions!$E$32)</f>
        <v>0.346519820751506</v>
      </c>
      <c r="L10404" s="48" t="n">
        <f aca="false">IF(L10370-Assumptions!$E$36&lt;1,0,INDEX($C$10395:$N$10395,1,L10370-Assumptions!$E$36)*INDEX($C$10401:$N$10401,1,L10370-Assumptions!$E$36)*Assumptions!$E$32)</f>
        <v>0.414975263992391</v>
      </c>
      <c r="M10404" s="48" t="n">
        <f aca="false">IF(M10370-Assumptions!$E$36&lt;1,0,INDEX($C$10395:$N$10395,1,M10370-Assumptions!$E$36)*INDEX($C$10401:$N$10401,1,M10370-Assumptions!$E$36)*Assumptions!$E$32)</f>
        <v>0.417300562811867</v>
      </c>
      <c r="N10404" s="48" t="n">
        <f aca="false">IF(N10370-Assumptions!$E$36&lt;1,0,INDEX($C$10395:$N$10395,1,N10370-Assumptions!$E$36)*INDEX($C$10401:$N$10401,1,N10370-Assumptions!$E$36)*Assumptions!$E$32)</f>
        <v>0.407542034080723</v>
      </c>
      <c r="P10404" s="49" t="n">
        <f aca="false">SUM(C10404:F10404)</f>
        <v>0.275902648849974</v>
      </c>
      <c r="Q10404" s="49" t="n">
        <f aca="false">SUM(G10404:J10404)</f>
        <v>0.894466800079374</v>
      </c>
      <c r="R10404" s="49" t="n">
        <f aca="false">SUM(K10404:N10404)</f>
        <v>1.58633768163649</v>
      </c>
      <c r="S10404" s="50" t="n">
        <f aca="false">SUM(P10404:R10404)</f>
        <v>2.75670713056583</v>
      </c>
    </row>
    <row r="10405" customFormat="false" ht="15" hidden="false" customHeight="false" outlineLevel="0" collapsed="false">
      <c r="A10405" s="4" t="s">
        <v>519</v>
      </c>
      <c r="B10405" s="36" t="s">
        <v>77</v>
      </c>
      <c r="C10405" s="51" t="n">
        <f aca="false">IF(C10370-Assumptions!$E$35&lt;1,0,IFERROR(INDEX($C$10394:$N$10394,1,C10370-Assumptions!$E$35)/INDEX($C$10395:$N$10395,1,C10370-Assumptions!$E$35),0))</f>
        <v>0</v>
      </c>
      <c r="D10405" s="51" t="n">
        <f aca="false">IF(D10370-Assumptions!$E$35&lt;1,0,IFERROR(INDEX($C$10394:$N$10394,1,D10370-Assumptions!$E$35)/INDEX($C$10395:$N$10395,1,D10370-Assumptions!$E$35),0))</f>
        <v>0.327235190392529</v>
      </c>
      <c r="E10405" s="51" t="n">
        <f aca="false">IF(E10370-Assumptions!$E$35&lt;1,0,IFERROR(INDEX($C$10394:$N$10394,1,E10370-Assumptions!$E$35)/INDEX($C$10395:$N$10395,1,E10370-Assumptions!$E$35),0))</f>
        <v>0.279200253298059</v>
      </c>
      <c r="F10405" s="51" t="n">
        <f aca="false">IF(F10370-Assumptions!$E$35&lt;1,0,IFERROR(INDEX($C$10394:$N$10394,1,F10370-Assumptions!$E$35)/INDEX($C$10395:$N$10395,1,F10370-Assumptions!$E$35),0))</f>
        <v>0.347316406765202</v>
      </c>
      <c r="G10405" s="51" t="n">
        <f aca="false">IF(G10370-Assumptions!$E$35&lt;1,0,IFERROR(INDEX($C$10394:$N$10394,1,G10370-Assumptions!$E$35)/INDEX($C$10395:$N$10395,1,G10370-Assumptions!$E$35),0))</f>
        <v>0.406351925567697</v>
      </c>
      <c r="H10405" s="51" t="n">
        <f aca="false">IF(H10370-Assumptions!$E$35&lt;1,0,IFERROR(INDEX($C$10394:$N$10394,1,H10370-Assumptions!$E$35)/INDEX($C$10395:$N$10395,1,H10370-Assumptions!$E$35),0))</f>
        <v>0.384850715781449</v>
      </c>
      <c r="I10405" s="51" t="n">
        <f aca="false">IF(I10370-Assumptions!$E$35&lt;1,0,IFERROR(INDEX($C$10394:$N$10394,1,I10370-Assumptions!$E$35)/INDEX($C$10395:$N$10395,1,I10370-Assumptions!$E$35),0))</f>
        <v>0.377545617032621</v>
      </c>
      <c r="J10405" s="51" t="n">
        <f aca="false">IF(J10370-Assumptions!$E$35&lt;1,0,IFERROR(INDEX($C$10394:$N$10394,1,J10370-Assumptions!$E$35)/INDEX($C$10395:$N$10395,1,J10370-Assumptions!$E$35),0))</f>
        <v>0.307184126284955</v>
      </c>
      <c r="K10405" s="51" t="n">
        <f aca="false">IF(K10370-Assumptions!$E$35&lt;1,0,IFERROR(INDEX($C$10394:$N$10394,1,K10370-Assumptions!$E$35)/INDEX($C$10395:$N$10395,1,K10370-Assumptions!$E$35),0))</f>
        <v>0.277856762463089</v>
      </c>
      <c r="L10405" s="51" t="n">
        <f aca="false">IF(L10370-Assumptions!$E$35&lt;1,0,IFERROR(INDEX($C$10394:$N$10394,1,L10370-Assumptions!$E$35)/INDEX($C$10395:$N$10395,1,L10370-Assumptions!$E$35),0))</f>
        <v>0.307009419936366</v>
      </c>
      <c r="M10405" s="51" t="n">
        <f aca="false">IF(M10370-Assumptions!$E$35&lt;1,0,IFERROR(INDEX($C$10394:$N$10394,1,M10370-Assumptions!$E$35)/INDEX($C$10395:$N$10395,1,M10370-Assumptions!$E$35),0))</f>
        <v>0.314360711323864</v>
      </c>
      <c r="N10405" s="51" t="n">
        <f aca="false">IF(N10370-Assumptions!$E$35&lt;1,0,IFERROR(INDEX($C$10394:$N$10394,1,N10370-Assumptions!$E$35)/INDEX($C$10395:$N$10395,1,N10370-Assumptions!$E$35),0))</f>
        <v>0.321525319269854</v>
      </c>
      <c r="P10405" s="52"/>
      <c r="Q10405" s="52"/>
      <c r="R10405" s="52"/>
      <c r="S10405" s="53"/>
    </row>
    <row r="10406" customFormat="false" ht="15" hidden="false" customHeight="false" outlineLevel="0" collapsed="false">
      <c r="A10406" s="4" t="s">
        <v>520</v>
      </c>
      <c r="B10406" s="36" t="s">
        <v>516</v>
      </c>
      <c r="C10406" s="48" t="n">
        <f aca="false">C10402*Assumptions!$E$37</f>
        <v>0</v>
      </c>
      <c r="D10406" s="48" t="n">
        <f aca="false">D10402*Assumptions!$E$37</f>
        <v>0.364785489626641</v>
      </c>
      <c r="E10406" s="48" t="n">
        <f aca="false">E10402*Assumptions!$E$37</f>
        <v>0.641317375648863</v>
      </c>
      <c r="F10406" s="48" t="n">
        <f aca="false">F10402*Assumptions!$E$37</f>
        <v>0.687388483960129</v>
      </c>
      <c r="G10406" s="48" t="n">
        <f aca="false">G10402*Assumptions!$E$37</f>
        <v>0.734404352727245</v>
      </c>
      <c r="H10406" s="48" t="n">
        <f aca="false">H10402*Assumptions!$E$37</f>
        <v>0.940454353708349</v>
      </c>
      <c r="I10406" s="48" t="n">
        <f aca="false">I10402*Assumptions!$E$37</f>
        <v>1.12538359808054</v>
      </c>
      <c r="J10406" s="48" t="n">
        <f aca="false">J10402*Assumptions!$E$37</f>
        <v>1.61824360268301</v>
      </c>
      <c r="K10406" s="48" t="n">
        <f aca="false">K10402*Assumptions!$E$37</f>
        <v>2.0326350031531</v>
      </c>
      <c r="L10406" s="48" t="n">
        <f aca="false">L10402*Assumptions!$E$37</f>
        <v>2.04402479956599</v>
      </c>
      <c r="M10406" s="48" t="n">
        <f aca="false">M10402*Assumptions!$E$37</f>
        <v>1.99622549970564</v>
      </c>
      <c r="N10406" s="48" t="n">
        <f aca="false">N10402*Assumptions!$E$37</f>
        <v>1.95174323899393</v>
      </c>
      <c r="P10406" s="49" t="n">
        <f aca="false">SUM(C10406:F10406)</f>
        <v>1.69349134923563</v>
      </c>
      <c r="Q10406" s="49" t="n">
        <f aca="false">SUM(G10406:J10406)</f>
        <v>4.41848590719914</v>
      </c>
      <c r="R10406" s="49" t="n">
        <f aca="false">SUM(K10406:N10406)</f>
        <v>8.02462854141866</v>
      </c>
      <c r="S10406" s="50" t="n">
        <f aca="false">SUM(P10406:R10406)</f>
        <v>14.1366057978534</v>
      </c>
    </row>
    <row r="10407" customFormat="false" ht="15" hidden="false" customHeight="false" outlineLevel="0" collapsed="false">
      <c r="A10407" s="4" t="s">
        <v>521</v>
      </c>
      <c r="B10407" s="36" t="s">
        <v>516</v>
      </c>
      <c r="C10407" s="48" t="n">
        <f aca="false">C10402*(1-Assumptions!$E$37)</f>
        <v>0</v>
      </c>
      <c r="D10407" s="48" t="n">
        <f aca="false">D10402*(1-Assumptions!$E$37)</f>
        <v>0.851166142462162</v>
      </c>
      <c r="E10407" s="48" t="n">
        <f aca="false">E10402*(1-Assumptions!$E$37)</f>
        <v>1.49640720984735</v>
      </c>
      <c r="F10407" s="48" t="n">
        <f aca="false">F10402*(1-Assumptions!$E$37)</f>
        <v>1.60390646257363</v>
      </c>
      <c r="G10407" s="48" t="n">
        <f aca="false">G10402*(1-Assumptions!$E$37)</f>
        <v>1.71361015636357</v>
      </c>
      <c r="H10407" s="48" t="n">
        <f aca="false">H10402*(1-Assumptions!$E$37)</f>
        <v>2.19439349198615</v>
      </c>
      <c r="I10407" s="48" t="n">
        <f aca="false">I10402*(1-Assumptions!$E$37)</f>
        <v>2.62589506218792</v>
      </c>
      <c r="J10407" s="48" t="n">
        <f aca="false">J10402*(1-Assumptions!$E$37)</f>
        <v>3.77590173959369</v>
      </c>
      <c r="K10407" s="48" t="n">
        <f aca="false">K10402*(1-Assumptions!$E$37)</f>
        <v>4.74281500735724</v>
      </c>
      <c r="L10407" s="48" t="n">
        <f aca="false">L10402*(1-Assumptions!$E$37)</f>
        <v>4.76939119898731</v>
      </c>
      <c r="M10407" s="48" t="n">
        <f aca="false">M10402*(1-Assumptions!$E$37)</f>
        <v>4.65785949931317</v>
      </c>
      <c r="N10407" s="48" t="n">
        <f aca="false">N10402*(1-Assumptions!$E$37)</f>
        <v>4.5540675576525</v>
      </c>
      <c r="P10407" s="49" t="n">
        <f aca="false">SUM(C10407:F10407)</f>
        <v>3.95147981488314</v>
      </c>
      <c r="Q10407" s="49" t="n">
        <f aca="false">SUM(G10407:J10407)</f>
        <v>10.3098004501313</v>
      </c>
      <c r="R10407" s="49" t="n">
        <f aca="false">SUM(K10407:N10407)</f>
        <v>18.7241332633102</v>
      </c>
      <c r="S10407" s="50" t="n">
        <f aca="false">SUM(P10407:R10407)</f>
        <v>32.9854135283247</v>
      </c>
    </row>
    <row r="10408" customFormat="false" ht="15" hidden="false" customHeight="false" outlineLevel="0" collapsed="false">
      <c r="A10408" s="4" t="s">
        <v>522</v>
      </c>
      <c r="B10408" s="36" t="s">
        <v>125</v>
      </c>
      <c r="C10408" s="54" t="n">
        <f aca="false">C10407*$C$10361+C10403*$C$10362+C10404*$C$10363</f>
        <v>0</v>
      </c>
      <c r="D10408" s="54" t="n">
        <f aca="false">D10407*$C$10361+D10403*$C$10362+D10404*$C$10363</f>
        <v>10505.6630627053</v>
      </c>
      <c r="E10408" s="54" t="n">
        <f aca="false">E10407*$C$10361+E10403*$C$10362+E10404*$C$10363</f>
        <v>24649.635337545</v>
      </c>
      <c r="F10408" s="54" t="n">
        <f aca="false">F10407*$C$10361+F10403*$C$10362+F10404*$C$10363</f>
        <v>30661.2986646045</v>
      </c>
      <c r="G10408" s="54" t="n">
        <f aca="false">G10407*$C$10361+G10403*$C$10362+G10404*$C$10363</f>
        <v>32795.8439616329</v>
      </c>
      <c r="H10408" s="54" t="n">
        <f aca="false">H10407*$C$10361+H10403*$C$10362+H10404*$C$10363</f>
        <v>39223.8824964435</v>
      </c>
      <c r="I10408" s="54" t="n">
        <f aca="false">I10407*$C$10361+I10403*$C$10362+I10404*$C$10363</f>
        <v>46447.0256329401</v>
      </c>
      <c r="J10408" s="54" t="n">
        <f aca="false">J10407*$C$10361+J10403*$C$10362+J10404*$C$10363</f>
        <v>60826.0324479851</v>
      </c>
      <c r="K10408" s="54" t="n">
        <f aca="false">K10407*$C$10361+K10403*$C$10362+K10404*$C$10363</f>
        <v>76214.8753656943</v>
      </c>
      <c r="L10408" s="54" t="n">
        <f aca="false">L10407*$C$10361+L10403*$C$10362+L10404*$C$10363</f>
        <v>80751.045029909</v>
      </c>
      <c r="M10408" s="54" t="n">
        <f aca="false">M10407*$C$10361+M10403*$C$10362+M10404*$C$10363</f>
        <v>79605.8490230329</v>
      </c>
      <c r="N10408" s="54" t="n">
        <f aca="false">N10407*$C$10361+N10403*$C$10362+N10404*$C$10363</f>
        <v>77803.5750735461</v>
      </c>
      <c r="P10408" s="55" t="n">
        <f aca="false">SUM(C10408:F10408)</f>
        <v>65816.5970648547</v>
      </c>
      <c r="Q10408" s="55" t="n">
        <f aca="false">SUM(G10408:J10408)</f>
        <v>179292.784539002</v>
      </c>
      <c r="R10408" s="55" t="n">
        <f aca="false">SUM(K10408:N10408)</f>
        <v>314375.344492182</v>
      </c>
      <c r="S10408" s="56" t="n">
        <f aca="false">SUM(P10408:R10408)</f>
        <v>559484.726096039</v>
      </c>
    </row>
    <row r="10409" customFormat="false" ht="15" hidden="false" customHeight="false" outlineLevel="0" collapsed="false">
      <c r="A10409" s="4" t="s">
        <v>523</v>
      </c>
      <c r="B10409" s="36" t="s">
        <v>125</v>
      </c>
      <c r="C10409" s="54" t="n">
        <f aca="false">(C10385+Assumptions!$E$104*C10371)*$C$10366</f>
        <v>0</v>
      </c>
      <c r="D10409" s="54" t="n">
        <f aca="false">(D10385+Assumptions!$E$104*D10371)*$C$10366</f>
        <v>153125</v>
      </c>
      <c r="E10409" s="54" t="n">
        <f aca="false">(E10385+Assumptions!$E$104*E10371)*$C$10366</f>
        <v>306250</v>
      </c>
      <c r="F10409" s="54" t="n">
        <f aca="false">(F10385+Assumptions!$E$104*F10371)*$C$10366</f>
        <v>382812.5</v>
      </c>
      <c r="G10409" s="54" t="n">
        <f aca="false">(G10385+Assumptions!$E$104*G10371)*$C$10366</f>
        <v>459375</v>
      </c>
      <c r="H10409" s="54" t="n">
        <f aca="false">(H10385+Assumptions!$E$104*H10371)*$C$10366</f>
        <v>535937.5</v>
      </c>
      <c r="I10409" s="54" t="n">
        <f aca="false">(I10385+Assumptions!$E$104*I10371)*$C$10366</f>
        <v>612500</v>
      </c>
      <c r="J10409" s="54" t="n">
        <f aca="false">(J10385+Assumptions!$E$104*J10371)*$C$10366</f>
        <v>689062.5</v>
      </c>
      <c r="K10409" s="54" t="n">
        <f aca="false">(K10385+Assumptions!$E$104*K10371)*$C$10366</f>
        <v>765625</v>
      </c>
      <c r="L10409" s="54" t="n">
        <f aca="false">(L10385+Assumptions!$E$104*L10371)*$C$10366</f>
        <v>842187.5</v>
      </c>
      <c r="M10409" s="54" t="n">
        <f aca="false">(M10385+Assumptions!$E$104*M10371)*$C$10366</f>
        <v>918750</v>
      </c>
      <c r="N10409" s="54" t="n">
        <f aca="false">(N10385+Assumptions!$E$104*N10371)*$C$10366</f>
        <v>918750</v>
      </c>
      <c r="P10409" s="55" t="n">
        <f aca="false">SUM(C10409:F10409)</f>
        <v>842187.5</v>
      </c>
      <c r="Q10409" s="55" t="n">
        <f aca="false">SUM(G10409:J10409)</f>
        <v>2296875</v>
      </c>
      <c r="R10409" s="55" t="n">
        <f aca="false">SUM(K10409:N10409)</f>
        <v>3445312.5</v>
      </c>
      <c r="S10409" s="56" t="n">
        <f aca="false">SUM(P10409:R10409)</f>
        <v>6584375</v>
      </c>
    </row>
    <row r="10410" customFormat="false" ht="15" hidden="false" customHeight="false" outlineLevel="0" collapsed="false">
      <c r="A10410" s="4" t="s">
        <v>524</v>
      </c>
      <c r="B10410" s="36" t="s">
        <v>77</v>
      </c>
      <c r="C10410" s="51" t="n">
        <f aca="false">IF(C10408&gt;0,MIN(1,C10409/C10408),1)</f>
        <v>1</v>
      </c>
      <c r="D10410" s="51" t="n">
        <f aca="false">IF(D10408&gt;0,MIN(1,D10409/D10408),1)</f>
        <v>1</v>
      </c>
      <c r="E10410" s="51" t="n">
        <f aca="false">IF(E10408&gt;0,MIN(1,E10409/E10408),1)</f>
        <v>1</v>
      </c>
      <c r="F10410" s="51" t="n">
        <f aca="false">IF(F10408&gt;0,MIN(1,F10409/F10408),1)</f>
        <v>1</v>
      </c>
      <c r="G10410" s="51" t="n">
        <f aca="false">IF(G10408&gt;0,MIN(1,G10409/G10408),1)</f>
        <v>1</v>
      </c>
      <c r="H10410" s="51" t="n">
        <f aca="false">IF(H10408&gt;0,MIN(1,H10409/H10408),1)</f>
        <v>1</v>
      </c>
      <c r="I10410" s="51" t="n">
        <f aca="false">IF(I10408&gt;0,MIN(1,I10409/I10408),1)</f>
        <v>1</v>
      </c>
      <c r="J10410" s="51" t="n">
        <f aca="false">IF(J10408&gt;0,MIN(1,J10409/J10408),1)</f>
        <v>1</v>
      </c>
      <c r="K10410" s="51" t="n">
        <f aca="false">IF(K10408&gt;0,MIN(1,K10409/K10408),1)</f>
        <v>1</v>
      </c>
      <c r="L10410" s="51" t="n">
        <f aca="false">IF(L10408&gt;0,MIN(1,L10409/L10408),1)</f>
        <v>1</v>
      </c>
      <c r="M10410" s="51" t="n">
        <f aca="false">IF(M10408&gt;0,MIN(1,M10409/M10408),1)</f>
        <v>1</v>
      </c>
      <c r="N10410" s="51" t="n">
        <f aca="false">IF(N10408&gt;0,MIN(1,N10409/N10408),1)</f>
        <v>1</v>
      </c>
      <c r="P10410" s="52"/>
      <c r="Q10410" s="52"/>
      <c r="R10410" s="52"/>
      <c r="S10410" s="53"/>
    </row>
    <row r="10411" customFormat="false" ht="15" hidden="false" customHeight="false" outlineLevel="0" collapsed="false">
      <c r="A10411" s="4" t="s">
        <v>525</v>
      </c>
      <c r="B10411" s="36" t="s">
        <v>125</v>
      </c>
      <c r="C10411" s="54" t="n">
        <f aca="false">C10408*(1-C10410)</f>
        <v>0</v>
      </c>
      <c r="D10411" s="54" t="n">
        <f aca="false">D10408*(1-D10410)</f>
        <v>0</v>
      </c>
      <c r="E10411" s="54" t="n">
        <f aca="false">E10408*(1-E10410)</f>
        <v>0</v>
      </c>
      <c r="F10411" s="54" t="n">
        <f aca="false">F10408*(1-F10410)</f>
        <v>0</v>
      </c>
      <c r="G10411" s="54" t="n">
        <f aca="false">G10408*(1-G10410)</f>
        <v>0</v>
      </c>
      <c r="H10411" s="54" t="n">
        <f aca="false">H10408*(1-H10410)</f>
        <v>0</v>
      </c>
      <c r="I10411" s="54" t="n">
        <f aca="false">I10408*(1-I10410)</f>
        <v>0</v>
      </c>
      <c r="J10411" s="54" t="n">
        <f aca="false">J10408*(1-J10410)</f>
        <v>0</v>
      </c>
      <c r="K10411" s="54" t="n">
        <f aca="false">K10408*(1-K10410)</f>
        <v>0</v>
      </c>
      <c r="L10411" s="54" t="n">
        <f aca="false">L10408*(1-L10410)</f>
        <v>0</v>
      </c>
      <c r="M10411" s="54" t="n">
        <f aca="false">M10408*(1-M10410)</f>
        <v>0</v>
      </c>
      <c r="N10411" s="54" t="n">
        <f aca="false">N10408*(1-N10410)</f>
        <v>0</v>
      </c>
      <c r="P10411" s="55" t="n">
        <f aca="false">SUM(C10411:F10411)</f>
        <v>0</v>
      </c>
      <c r="Q10411" s="55" t="n">
        <f aca="false">SUM(G10411:J10411)</f>
        <v>0</v>
      </c>
      <c r="R10411" s="55" t="n">
        <f aca="false">SUM(K10411:N10411)</f>
        <v>0</v>
      </c>
      <c r="S10411" s="56" t="n">
        <f aca="false">SUM(P10411:R10411)</f>
        <v>0</v>
      </c>
    </row>
    <row r="10412" customFormat="false" ht="15" hidden="false" customHeight="false" outlineLevel="0" collapsed="false">
      <c r="A10412" s="4" t="s">
        <v>526</v>
      </c>
      <c r="B10412" s="36" t="s">
        <v>527</v>
      </c>
      <c r="C10412" s="48" t="n">
        <f aca="false">C10406+C10407*C10410</f>
        <v>0</v>
      </c>
      <c r="D10412" s="48" t="n">
        <f aca="false">D10406+D10407*D10410</f>
        <v>1.2159516320888</v>
      </c>
      <c r="E10412" s="48" t="n">
        <f aca="false">E10406+E10407*E10410</f>
        <v>2.13772458549621</v>
      </c>
      <c r="F10412" s="48" t="n">
        <f aca="false">F10406+F10407*F10410</f>
        <v>2.29129494653376</v>
      </c>
      <c r="G10412" s="48" t="n">
        <f aca="false">G10406+G10407*G10410</f>
        <v>2.44801450909082</v>
      </c>
      <c r="H10412" s="48" t="n">
        <f aca="false">H10406+H10407*H10410</f>
        <v>3.1348478456945</v>
      </c>
      <c r="I10412" s="48" t="n">
        <f aca="false">I10406+I10407*I10410</f>
        <v>3.75127866026846</v>
      </c>
      <c r="J10412" s="48" t="n">
        <f aca="false">J10406+J10407*J10410</f>
        <v>5.3941453422767</v>
      </c>
      <c r="K10412" s="48" t="n">
        <f aca="false">K10406+K10407*K10410</f>
        <v>6.77545001051034</v>
      </c>
      <c r="L10412" s="48" t="n">
        <f aca="false">L10406+L10407*L10410</f>
        <v>6.81341599855329</v>
      </c>
      <c r="M10412" s="48" t="n">
        <f aca="false">M10406+M10407*M10410</f>
        <v>6.65408499901881</v>
      </c>
      <c r="N10412" s="48" t="n">
        <f aca="false">N10406+N10407*N10410</f>
        <v>6.50581079664642</v>
      </c>
      <c r="P10412" s="49" t="n">
        <f aca="false">SUM(C10412:F10412)</f>
        <v>5.64497116411877</v>
      </c>
      <c r="Q10412" s="49" t="n">
        <f aca="false">SUM(G10412:J10412)</f>
        <v>14.7282863573305</v>
      </c>
      <c r="R10412" s="49" t="n">
        <f aca="false">SUM(K10412:N10412)</f>
        <v>26.7487618047289</v>
      </c>
      <c r="S10412" s="50" t="n">
        <f aca="false">SUM(P10412:R10412)</f>
        <v>47.1220193261781</v>
      </c>
    </row>
    <row r="10413" customFormat="false" ht="15" hidden="false" customHeight="false" outlineLevel="0" collapsed="false">
      <c r="A10413" s="4" t="s">
        <v>528</v>
      </c>
      <c r="B10413" s="36" t="s">
        <v>527</v>
      </c>
      <c r="C10413" s="48" t="n">
        <f aca="false">C10403*C10410</f>
        <v>0</v>
      </c>
      <c r="D10413" s="48" t="n">
        <f aca="false">D10403*D10410</f>
        <v>0.609234399041599</v>
      </c>
      <c r="E10413" s="48" t="n">
        <f aca="false">E10403*E10410</f>
        <v>1.07107496613493</v>
      </c>
      <c r="F10413" s="48" t="n">
        <f aca="false">F10403*F10410</f>
        <v>1.14801910120435</v>
      </c>
      <c r="G10413" s="48" t="n">
        <f aca="false">G10403*G10410</f>
        <v>1.2265410966463</v>
      </c>
      <c r="H10413" s="48" t="n">
        <f aca="false">H10403*H10410</f>
        <v>1.53968325175798</v>
      </c>
      <c r="I10413" s="48" t="n">
        <f aca="false">I10403*I10410</f>
        <v>1.82096937234512</v>
      </c>
      <c r="J10413" s="48" t="n">
        <f aca="false">J10403*J10410</f>
        <v>2.4628837327971</v>
      </c>
      <c r="K10413" s="48" t="n">
        <f aca="false">K10403*K10410</f>
        <v>3.01267352672442</v>
      </c>
      <c r="L10413" s="48" t="n">
        <f aca="false">L10403*L10410</f>
        <v>3.02955493340818</v>
      </c>
      <c r="M10413" s="48" t="n">
        <f aca="false">M10403*M10410</f>
        <v>2.95870911747869</v>
      </c>
      <c r="N10413" s="48" t="n">
        <f aca="false">N10403*N10410</f>
        <v>2.89277965692766</v>
      </c>
      <c r="P10413" s="49" t="n">
        <f aca="false">SUM(C10413:F10413)</f>
        <v>2.82832846638088</v>
      </c>
      <c r="Q10413" s="49" t="n">
        <f aca="false">SUM(G10413:J10413)</f>
        <v>7.0500774535465</v>
      </c>
      <c r="R10413" s="49" t="n">
        <f aca="false">SUM(K10413:N10413)</f>
        <v>11.893717234539</v>
      </c>
      <c r="S10413" s="50" t="n">
        <f aca="false">SUM(P10413:R10413)</f>
        <v>21.7721231544663</v>
      </c>
    </row>
    <row r="10414" customFormat="false" ht="15" hidden="false" customHeight="false" outlineLevel="0" collapsed="false">
      <c r="A10414" s="4" t="s">
        <v>529</v>
      </c>
      <c r="B10414" s="36" t="s">
        <v>527</v>
      </c>
      <c r="C10414" s="48" t="n">
        <f aca="false">C10404*C10410</f>
        <v>0</v>
      </c>
      <c r="D10414" s="48" t="n">
        <f aca="false">D10404*D10410</f>
        <v>0</v>
      </c>
      <c r="E10414" s="48" t="n">
        <f aca="false">E10404*E10410</f>
        <v>0.100034784040164</v>
      </c>
      <c r="F10414" s="48" t="n">
        <f aca="false">F10404*F10410</f>
        <v>0.17586786480981</v>
      </c>
      <c r="G10414" s="48" t="n">
        <f aca="false">G10404*G10410</f>
        <v>0.188501901802689</v>
      </c>
      <c r="H10414" s="48" t="n">
        <f aca="false">H10404*H10410</f>
        <v>0.201395019572787</v>
      </c>
      <c r="I10414" s="48" t="n">
        <f aca="false">I10404*I10410</f>
        <v>0.236464055985926</v>
      </c>
      <c r="J10414" s="48" t="n">
        <f aca="false">J10404*J10410</f>
        <v>0.268105822717972</v>
      </c>
      <c r="K10414" s="48" t="n">
        <f aca="false">K10404*K10410</f>
        <v>0.346519820751506</v>
      </c>
      <c r="L10414" s="48" t="n">
        <f aca="false">L10404*L10410</f>
        <v>0.414975263992391</v>
      </c>
      <c r="M10414" s="48" t="n">
        <f aca="false">M10404*M10410</f>
        <v>0.417300562811867</v>
      </c>
      <c r="N10414" s="48" t="n">
        <f aca="false">N10404*N10410</f>
        <v>0.407542034080723</v>
      </c>
      <c r="P10414" s="49" t="n">
        <f aca="false">SUM(C10414:F10414)</f>
        <v>0.275902648849974</v>
      </c>
      <c r="Q10414" s="49" t="n">
        <f aca="false">SUM(G10414:J10414)</f>
        <v>0.894466800079374</v>
      </c>
      <c r="R10414" s="49" t="n">
        <f aca="false">SUM(K10414:N10414)</f>
        <v>1.58633768163649</v>
      </c>
      <c r="S10414" s="50" t="n">
        <f aca="false">SUM(P10414:R10414)</f>
        <v>2.75670713056583</v>
      </c>
    </row>
    <row r="10415" customFormat="false" ht="15" hidden="false" customHeight="false" outlineLevel="0" collapsed="false">
      <c r="A10415" s="9" t="s">
        <v>530</v>
      </c>
      <c r="B10415" s="36" t="s">
        <v>527</v>
      </c>
      <c r="C10415" s="49" t="n">
        <f aca="false">C10412+C10413+C10414</f>
        <v>0</v>
      </c>
      <c r="D10415" s="49" t="n">
        <f aca="false">D10412+D10413+D10414</f>
        <v>1.8251860311304</v>
      </c>
      <c r="E10415" s="49" t="n">
        <f aca="false">E10412+E10413+E10414</f>
        <v>3.30883433567131</v>
      </c>
      <c r="F10415" s="49" t="n">
        <f aca="false">F10412+F10413+F10414</f>
        <v>3.61518191254792</v>
      </c>
      <c r="G10415" s="49" t="n">
        <f aca="false">G10412+G10413+G10414</f>
        <v>3.86305750753981</v>
      </c>
      <c r="H10415" s="49" t="n">
        <f aca="false">H10412+H10413+H10414</f>
        <v>4.87592611702527</v>
      </c>
      <c r="I10415" s="49" t="n">
        <f aca="false">I10412+I10413+I10414</f>
        <v>5.80871208859951</v>
      </c>
      <c r="J10415" s="49" t="n">
        <f aca="false">J10412+J10413+J10414</f>
        <v>8.12513489779177</v>
      </c>
      <c r="K10415" s="49" t="n">
        <f aca="false">K10412+K10413+K10414</f>
        <v>10.1346433579863</v>
      </c>
      <c r="L10415" s="49" t="n">
        <f aca="false">L10412+L10413+L10414</f>
        <v>10.2579461959539</v>
      </c>
      <c r="M10415" s="49" t="n">
        <f aca="false">M10412+M10413+M10414</f>
        <v>10.0300946793094</v>
      </c>
      <c r="N10415" s="49" t="n">
        <f aca="false">N10412+N10413+N10414</f>
        <v>9.8061324876548</v>
      </c>
      <c r="P10415" s="49" t="n">
        <f aca="false">SUM(C10415:F10415)</f>
        <v>8.74920227934963</v>
      </c>
      <c r="Q10415" s="49" t="n">
        <f aca="false">SUM(G10415:J10415)</f>
        <v>22.6728306109564</v>
      </c>
      <c r="R10415" s="49" t="n">
        <f aca="false">SUM(K10415:N10415)</f>
        <v>40.2288167209043</v>
      </c>
      <c r="S10415" s="50" t="n">
        <f aca="false">SUM(P10415:R10415)</f>
        <v>71.6508496112103</v>
      </c>
    </row>
    <row r="10416" customFormat="false" ht="15" hidden="false" customHeight="false" outlineLevel="0" collapsed="false">
      <c r="A10416" s="35" t="s">
        <v>533</v>
      </c>
      <c r="B10416" s="35" t="s">
        <v>444</v>
      </c>
      <c r="C10416" s="6" t="s">
        <v>354</v>
      </c>
      <c r="D10416" s="6" t="s">
        <v>355</v>
      </c>
      <c r="E10416" s="6" t="s">
        <v>356</v>
      </c>
      <c r="F10416" s="6" t="s">
        <v>357</v>
      </c>
      <c r="G10416" s="6" t="s">
        <v>358</v>
      </c>
      <c r="H10416" s="6" t="s">
        <v>359</v>
      </c>
      <c r="I10416" s="6" t="s">
        <v>360</v>
      </c>
      <c r="J10416" s="6" t="s">
        <v>361</v>
      </c>
      <c r="K10416" s="6" t="s">
        <v>362</v>
      </c>
      <c r="L10416" s="6" t="s">
        <v>363</v>
      </c>
      <c r="M10416" s="6" t="s">
        <v>364</v>
      </c>
      <c r="N10416" s="6" t="s">
        <v>365</v>
      </c>
      <c r="P10416" s="6" t="s">
        <v>445</v>
      </c>
      <c r="Q10416" s="6" t="s">
        <v>446</v>
      </c>
      <c r="R10416" s="6" t="s">
        <v>447</v>
      </c>
      <c r="S10416" s="6" t="s">
        <v>448</v>
      </c>
    </row>
    <row r="10417" customFormat="false" ht="15" hidden="false" customHeight="false" outlineLevel="0" collapsed="false">
      <c r="A10417" s="4" t="s">
        <v>534</v>
      </c>
      <c r="B10417" s="36" t="s">
        <v>527</v>
      </c>
      <c r="C10417" s="48" t="n">
        <f aca="false">0*Assumptions!$E$59^(1/4)+C10412</f>
        <v>0</v>
      </c>
      <c r="D10417" s="48" t="n">
        <f aca="false">C10417*Assumptions!$E$59^(1/4)+D10412</f>
        <v>1.2159516320888</v>
      </c>
      <c r="E10417" s="48" t="n">
        <f aca="false">D10417*Assumptions!$E$59^(1/4)+E10412</f>
        <v>3.31543080349455</v>
      </c>
      <c r="F10417" s="48" t="n">
        <f aca="false">E10417*Assumptions!$E$59^(1/4)+F10412</f>
        <v>5.50244526664256</v>
      </c>
      <c r="G10417" s="48" t="n">
        <f aca="false">F10417*Assumptions!$E$59^(1/4)+G10412</f>
        <v>7.77739096922885</v>
      </c>
      <c r="H10417" s="48" t="n">
        <f aca="false">G10417*Assumptions!$E$59^(1/4)+H10412</f>
        <v>10.6676159777052</v>
      </c>
      <c r="I10417" s="48" t="n">
        <f aca="false">H10417*Assumptions!$E$59^(1/4)+I10412</f>
        <v>14.0833653458056</v>
      </c>
      <c r="J10417" s="48" t="n">
        <f aca="false">I10417*Assumptions!$E$59^(1/4)+J10412</f>
        <v>19.0345455855048</v>
      </c>
      <c r="K10417" s="48" t="n">
        <f aca="false">J10417*Assumptions!$E$59^(1/4)+K10412</f>
        <v>25.2113006654521</v>
      </c>
      <c r="L10417" s="48" t="n">
        <f aca="false">K10417*Assumptions!$E$59^(1/4)+L10412</f>
        <v>31.2317438119085</v>
      </c>
      <c r="M10417" s="48" t="n">
        <f aca="false">L10417*Assumptions!$E$59^(1/4)+M10412</f>
        <v>36.9034945277768</v>
      </c>
      <c r="N10417" s="48" t="n">
        <f aca="false">M10417*Assumptions!$E$59^(1/4)+N10412</f>
        <v>42.2485770583036</v>
      </c>
      <c r="P10417" s="49" t="n">
        <f aca="false">F10417</f>
        <v>5.50244526664256</v>
      </c>
      <c r="Q10417" s="49" t="n">
        <f aca="false">J10417</f>
        <v>19.0345455855048</v>
      </c>
      <c r="R10417" s="49" t="n">
        <f aca="false">N10417</f>
        <v>42.2485770583036</v>
      </c>
      <c r="S10417" s="50" t="n">
        <f aca="false">R10417</f>
        <v>42.2485770583036</v>
      </c>
    </row>
    <row r="10418" customFormat="false" ht="15" hidden="false" customHeight="false" outlineLevel="0" collapsed="false">
      <c r="A10418" s="4" t="s">
        <v>535</v>
      </c>
      <c r="B10418" s="36" t="s">
        <v>527</v>
      </c>
      <c r="C10418" s="48" t="n">
        <f aca="false">0*Assumptions!$E$60^(1/4)+C10413</f>
        <v>0</v>
      </c>
      <c r="D10418" s="48" t="n">
        <f aca="false">C10418*Assumptions!$E$60^(1/4)+D10413</f>
        <v>0.609234399041599</v>
      </c>
      <c r="E10418" s="48" t="n">
        <f aca="false">D10418*Assumptions!$E$60^(1/4)+E10413</f>
        <v>1.66447155325262</v>
      </c>
      <c r="F10418" s="48" t="n">
        <f aca="false">E10418*Assumptions!$E$60^(1/4)+F10413</f>
        <v>2.76922062989073</v>
      </c>
      <c r="G10418" s="48" t="n">
        <f aca="false">F10418*Assumptions!$E$60^(1/4)+G10413</f>
        <v>3.92377236483809</v>
      </c>
      <c r="H10418" s="48" t="n">
        <f aca="false">G10418*Assumptions!$E$60^(1/4)+H10413</f>
        <v>5.36145223523033</v>
      </c>
      <c r="I10418" s="48" t="n">
        <f aca="false">H10418*Assumptions!$E$60^(1/4)+I10413</f>
        <v>7.04304393573974</v>
      </c>
      <c r="J10418" s="48" t="n">
        <f aca="false">I10418*Assumptions!$E$60^(1/4)+J10413</f>
        <v>9.32283491244558</v>
      </c>
      <c r="K10418" s="48" t="n">
        <f aca="false">J10418*Assumptions!$E$60^(1/4)+K10413</f>
        <v>12.093149658751</v>
      </c>
      <c r="L10418" s="48" t="n">
        <f aca="false">K10418*Assumptions!$E$60^(1/4)+L10413</f>
        <v>14.8083280071134</v>
      </c>
      <c r="M10418" s="48" t="n">
        <f aca="false">L10418*Assumptions!$E$60^(1/4)+M10413</f>
        <v>17.3820760747018</v>
      </c>
      <c r="N10418" s="48" t="n">
        <f aca="false">M10418*Assumptions!$E$60^(1/4)+N10413</f>
        <v>19.8229868743367</v>
      </c>
      <c r="P10418" s="49" t="n">
        <f aca="false">F10418</f>
        <v>2.76922062989073</v>
      </c>
      <c r="Q10418" s="49" t="n">
        <f aca="false">J10418</f>
        <v>9.32283491244558</v>
      </c>
      <c r="R10418" s="49" t="n">
        <f aca="false">N10418</f>
        <v>19.8229868743367</v>
      </c>
      <c r="S10418" s="50" t="n">
        <f aca="false">R10418</f>
        <v>19.8229868743367</v>
      </c>
    </row>
    <row r="10419" customFormat="false" ht="15" hidden="false" customHeight="false" outlineLevel="0" collapsed="false">
      <c r="A10419" s="4" t="s">
        <v>536</v>
      </c>
      <c r="B10419" s="36" t="s">
        <v>527</v>
      </c>
      <c r="C10419" s="48" t="n">
        <f aca="false">0*Assumptions!$E$61^(1/4)+C10414</f>
        <v>0</v>
      </c>
      <c r="D10419" s="48" t="n">
        <f aca="false">C10419*Assumptions!$E$61^(1/4)+D10414</f>
        <v>0</v>
      </c>
      <c r="E10419" s="48" t="n">
        <f aca="false">D10419*Assumptions!$E$61^(1/4)+E10414</f>
        <v>0.100034784040164</v>
      </c>
      <c r="F10419" s="48" t="n">
        <f aca="false">E10419*Assumptions!$E$61^(1/4)+F10414</f>
        <v>0.27383896740135</v>
      </c>
      <c r="G10419" s="48" t="n">
        <f aca="false">F10419*Assumptions!$E$61^(1/4)+G10414</f>
        <v>0.456691670254306</v>
      </c>
      <c r="H10419" s="48" t="n">
        <f aca="false">G10419*Assumptions!$E$61^(1/4)+H10414</f>
        <v>0.648665305688687</v>
      </c>
      <c r="I10419" s="48" t="n">
        <f aca="false">H10419*Assumptions!$E$61^(1/4)+I10414</f>
        <v>0.871747630804096</v>
      </c>
      <c r="J10419" s="48" t="n">
        <f aca="false">I10419*Assumptions!$E$61^(1/4)+J10414</f>
        <v>1.121869614892</v>
      </c>
      <c r="K10419" s="48" t="n">
        <f aca="false">J10419*Assumptions!$E$61^(1/4)+K10414</f>
        <v>1.44524567085967</v>
      </c>
      <c r="L10419" s="48" t="n">
        <f aca="false">K10419*Assumptions!$E$61^(1/4)+L10414</f>
        <v>1.83040603888088</v>
      </c>
      <c r="M10419" s="48" t="n">
        <f aca="false">L10419*Assumptions!$E$61^(1/4)+M10414</f>
        <v>2.20994598650142</v>
      </c>
      <c r="N10419" s="48" t="n">
        <f aca="false">M10419*Assumptions!$E$61^(1/4)+N10414</f>
        <v>2.57189763341269</v>
      </c>
      <c r="P10419" s="49" t="n">
        <f aca="false">F10419</f>
        <v>0.27383896740135</v>
      </c>
      <c r="Q10419" s="49" t="n">
        <f aca="false">J10419</f>
        <v>1.121869614892</v>
      </c>
      <c r="R10419" s="49" t="n">
        <f aca="false">N10419</f>
        <v>2.57189763341269</v>
      </c>
      <c r="S10419" s="50" t="n">
        <f aca="false">R10419</f>
        <v>2.57189763341269</v>
      </c>
    </row>
    <row r="10420" customFormat="false" ht="15" hidden="false" customHeight="false" outlineLevel="0" collapsed="false">
      <c r="A10420" s="9" t="s">
        <v>537</v>
      </c>
      <c r="B10420" s="36" t="s">
        <v>527</v>
      </c>
      <c r="C10420" s="49" t="n">
        <f aca="false">C10417+C10418+C10419</f>
        <v>0</v>
      </c>
      <c r="D10420" s="49" t="n">
        <f aca="false">D10417+D10418+D10419</f>
        <v>1.8251860311304</v>
      </c>
      <c r="E10420" s="49" t="n">
        <f aca="false">E10417+E10418+E10419</f>
        <v>5.07993714078733</v>
      </c>
      <c r="F10420" s="49" t="n">
        <f aca="false">F10417+F10418+F10419</f>
        <v>8.54550486393464</v>
      </c>
      <c r="G10420" s="49" t="n">
        <f aca="false">G10417+G10418+G10419</f>
        <v>12.1578550043212</v>
      </c>
      <c r="H10420" s="49" t="n">
        <f aca="false">H10417+H10418+H10419</f>
        <v>16.6777335186242</v>
      </c>
      <c r="I10420" s="49" t="n">
        <f aca="false">I10417+I10418+I10419</f>
        <v>21.9981569123495</v>
      </c>
      <c r="J10420" s="49" t="n">
        <f aca="false">J10417+J10418+J10419</f>
        <v>29.4792501128423</v>
      </c>
      <c r="K10420" s="49" t="n">
        <f aca="false">K10417+K10418+K10419</f>
        <v>38.7496959950627</v>
      </c>
      <c r="L10420" s="49" t="n">
        <f aca="false">L10417+L10418+L10419</f>
        <v>47.8704778579028</v>
      </c>
      <c r="M10420" s="49" t="n">
        <f aca="false">M10417+M10418+M10419</f>
        <v>56.4955165889801</v>
      </c>
      <c r="N10420" s="49" t="n">
        <f aca="false">N10417+N10418+N10419</f>
        <v>64.643461566053</v>
      </c>
      <c r="P10420" s="49" t="n">
        <f aca="false">F10420</f>
        <v>8.54550486393464</v>
      </c>
      <c r="Q10420" s="49" t="n">
        <f aca="false">J10420</f>
        <v>29.4792501128423</v>
      </c>
      <c r="R10420" s="49" t="n">
        <f aca="false">N10420</f>
        <v>64.643461566053</v>
      </c>
      <c r="S10420" s="50" t="n">
        <f aca="false">R10420</f>
        <v>64.643461566053</v>
      </c>
    </row>
    <row r="10421" customFormat="false" ht="15" hidden="false" customHeight="false" outlineLevel="0" collapsed="false">
      <c r="A10421" s="4" t="s">
        <v>538</v>
      </c>
      <c r="B10421" s="36" t="s">
        <v>125</v>
      </c>
      <c r="C10421" s="54" t="n">
        <f aca="false">0*Assumptions!$E$62^(1/4)+C10412*$C$10361</f>
        <v>0</v>
      </c>
      <c r="D10421" s="54" t="n">
        <f aca="false">C10421*Assumptions!$E$62^(1/4)+D10412*$C$10361</f>
        <v>6507.77313493928</v>
      </c>
      <c r="E10421" s="54" t="n">
        <f aca="false">D10421*Assumptions!$E$62^(1/4)+E10412*$C$10361</f>
        <v>17948.875116515</v>
      </c>
      <c r="F10421" s="54" t="n">
        <f aca="false">E10421*Assumptions!$E$62^(1/4)+F10412*$C$10361</f>
        <v>30211.8856703637</v>
      </c>
      <c r="G10421" s="54" t="n">
        <f aca="false">F10421*Assumptions!$E$62^(1/4)+G10412*$C$10361</f>
        <v>43313.6593230177</v>
      </c>
      <c r="H10421" s="54" t="n">
        <f aca="false">G10421*Assumptions!$E$62^(1/4)+H10412*$C$10361</f>
        <v>60091.3649931747</v>
      </c>
      <c r="I10421" s="54" t="n">
        <f aca="false">H10421*Assumptions!$E$62^(1/4)+I10412*$C$10361</f>
        <v>80168.2083829315</v>
      </c>
      <c r="J10421" s="54" t="n">
        <f aca="false">I10421*Assumptions!$E$62^(1/4)+J10412*$C$10361</f>
        <v>109037.674254796</v>
      </c>
      <c r="K10421" s="54" t="n">
        <f aca="false">J10421*Assumptions!$E$62^(1/4)+K10412*$C$10361</f>
        <v>145299.882711048</v>
      </c>
      <c r="L10421" s="54" t="n">
        <f aca="false">K10421*Assumptions!$E$62^(1/4)+L10412*$C$10361</f>
        <v>181765.285135305</v>
      </c>
      <c r="M10421" s="54" t="n">
        <f aca="false">L10421*Assumptions!$E$62^(1/4)+M10412*$C$10361</f>
        <v>217377.948050054</v>
      </c>
      <c r="N10421" s="54" t="n">
        <f aca="false">M10421*Assumptions!$E$62^(1/4)+N10412*$C$10361</f>
        <v>252197.047433705</v>
      </c>
      <c r="P10421" s="55" t="n">
        <f aca="false">F10421</f>
        <v>30211.8856703637</v>
      </c>
      <c r="Q10421" s="55" t="n">
        <f aca="false">J10421</f>
        <v>109037.674254796</v>
      </c>
      <c r="R10421" s="55" t="n">
        <f aca="false">N10421</f>
        <v>252197.047433705</v>
      </c>
      <c r="S10421" s="56" t="n">
        <f aca="false">R10421</f>
        <v>252197.047433705</v>
      </c>
    </row>
    <row r="10422" customFormat="false" ht="15" hidden="false" customHeight="false" outlineLevel="0" collapsed="false">
      <c r="A10422" s="4" t="s">
        <v>539</v>
      </c>
      <c r="B10422" s="36" t="s">
        <v>125</v>
      </c>
      <c r="C10422" s="54" t="n">
        <f aca="false">0*Assumptions!$E$63^(1/4)+C10413*$C$10362</f>
        <v>0</v>
      </c>
      <c r="D10422" s="54" t="n">
        <f aca="false">C10422*Assumptions!$E$63^(1/4)+D10413*$C$10362</f>
        <v>5950.22186824776</v>
      </c>
      <c r="E10422" s="54" t="n">
        <f aca="false">D10422*Assumptions!$E$63^(1/4)+E10413*$C$10362</f>
        <v>16498.4239397643</v>
      </c>
      <c r="F10422" s="54" t="n">
        <f aca="false">E10422*Assumptions!$E$63^(1/4)+F10413*$C$10362</f>
        <v>27952.9005386061</v>
      </c>
      <c r="G10422" s="54" t="n">
        <f aca="false">F10422*Assumptions!$E$63^(1/4)+G10413*$C$10362</f>
        <v>40342.3607184345</v>
      </c>
      <c r="H10422" s="54" t="n">
        <f aca="false">G10422*Assumptions!$E$63^(1/4)+H10413*$C$10362</f>
        <v>55971.9937205446</v>
      </c>
      <c r="I10422" s="54" t="n">
        <f aca="false">H10422*Assumptions!$E$63^(1/4)+I10413*$C$10362</f>
        <v>74578.2163688772</v>
      </c>
      <c r="J10422" s="54" t="n">
        <f aca="false">I10422*Assumptions!$E$63^(1/4)+J10413*$C$10362</f>
        <v>99726.8617712925</v>
      </c>
      <c r="K10422" s="54" t="n">
        <f aca="false">J10422*Assumptions!$E$63^(1/4)+K10413*$C$10362</f>
        <v>130614.177574626</v>
      </c>
      <c r="L10422" s="54" t="n">
        <f aca="false">K10422*Assumptions!$E$63^(1/4)+L10413*$C$10362</f>
        <v>162119.605073079</v>
      </c>
      <c r="M10422" s="54" t="n">
        <f aca="false">L10422*Assumptions!$E$63^(1/4)+M10413*$C$10362</f>
        <v>193395.407111647</v>
      </c>
      <c r="N10422" s="54" t="n">
        <f aca="false">M10422*Assumptions!$E$63^(1/4)+N10413*$C$10362</f>
        <v>224486.230868689</v>
      </c>
      <c r="P10422" s="55" t="n">
        <f aca="false">F10422</f>
        <v>27952.9005386061</v>
      </c>
      <c r="Q10422" s="55" t="n">
        <f aca="false">J10422</f>
        <v>99726.8617712925</v>
      </c>
      <c r="R10422" s="55" t="n">
        <f aca="false">N10422</f>
        <v>224486.230868689</v>
      </c>
      <c r="S10422" s="56" t="n">
        <f aca="false">R10422</f>
        <v>224486.230868689</v>
      </c>
    </row>
    <row r="10423" customFormat="false" ht="15" hidden="false" customHeight="false" outlineLevel="0" collapsed="false">
      <c r="A10423" s="4" t="s">
        <v>540</v>
      </c>
      <c r="B10423" s="36" t="s">
        <v>125</v>
      </c>
      <c r="C10423" s="54" t="n">
        <f aca="false">0*Assumptions!$E$64^(1/4)+C10414*$C$10363</f>
        <v>0</v>
      </c>
      <c r="D10423" s="54" t="n">
        <f aca="false">C10423*Assumptions!$E$64^(1/4)+D10414*$C$10363</f>
        <v>0</v>
      </c>
      <c r="E10423" s="54" t="n">
        <f aca="false">D10423*Assumptions!$E$64^(1/4)+E10414*$C$10363</f>
        <v>6179.97451928944</v>
      </c>
      <c r="F10423" s="54" t="n">
        <f aca="false">E10423*Assumptions!$E$64^(1/4)+F10414*$C$10363</f>
        <v>17264.5325380217</v>
      </c>
      <c r="G10423" s="54" t="n">
        <f aca="false">F10423*Assumptions!$E$64^(1/4)+G10414*$C$10363</f>
        <v>29523.744891429</v>
      </c>
      <c r="H10423" s="54" t="n">
        <f aca="false">G10423*Assumptions!$E$64^(1/4)+H10414*$C$10363</f>
        <v>43015.3855866555</v>
      </c>
      <c r="I10423" s="54" t="n">
        <f aca="false">H10423*Assumptions!$E$64^(1/4)+I10414*$C$10363</f>
        <v>59153.2669885963</v>
      </c>
      <c r="J10423" s="54" t="n">
        <f aca="false">I10423*Assumptions!$E$64^(1/4)+J10414*$C$10363</f>
        <v>77819.7535818275</v>
      </c>
      <c r="K10423" s="54" t="n">
        <f aca="false">J10423*Assumptions!$E$64^(1/4)+K10414*$C$10363</f>
        <v>101994.264592077</v>
      </c>
      <c r="L10423" s="54" t="n">
        <f aca="false">K10423*Assumptions!$E$64^(1/4)+L10414*$C$10363</f>
        <v>131257.432622501</v>
      </c>
      <c r="M10423" s="54" t="n">
        <f aca="false">L10423*Assumptions!$E$64^(1/4)+M10414*$C$10363</f>
        <v>161704.795522004</v>
      </c>
      <c r="N10423" s="54" t="n">
        <f aca="false">M10423*Assumptions!$E$64^(1/4)+N10414*$C$10363</f>
        <v>192631.943187612</v>
      </c>
      <c r="P10423" s="55" t="n">
        <f aca="false">F10423</f>
        <v>17264.5325380217</v>
      </c>
      <c r="Q10423" s="55" t="n">
        <f aca="false">J10423</f>
        <v>77819.7535818275</v>
      </c>
      <c r="R10423" s="55" t="n">
        <f aca="false">N10423</f>
        <v>192631.943187612</v>
      </c>
      <c r="S10423" s="56" t="n">
        <f aca="false">R10423</f>
        <v>192631.943187612</v>
      </c>
    </row>
    <row r="10424" customFormat="false" ht="15" hidden="false" customHeight="false" outlineLevel="0" collapsed="false">
      <c r="A10424" s="9" t="s">
        <v>541</v>
      </c>
      <c r="B10424" s="36" t="s">
        <v>125</v>
      </c>
      <c r="C10424" s="55" t="n">
        <f aca="false">C10421+C10422+C10423</f>
        <v>0</v>
      </c>
      <c r="D10424" s="55" t="n">
        <f aca="false">D10421+D10422+D10423</f>
        <v>12457.995003187</v>
      </c>
      <c r="E10424" s="55" t="n">
        <f aca="false">E10421+E10422+E10423</f>
        <v>40627.2735755688</v>
      </c>
      <c r="F10424" s="55" t="n">
        <f aca="false">F10421+F10422+F10423</f>
        <v>75429.3187469915</v>
      </c>
      <c r="G10424" s="55" t="n">
        <f aca="false">G10421+G10422+G10423</f>
        <v>113179.764932881</v>
      </c>
      <c r="H10424" s="55" t="n">
        <f aca="false">H10421+H10422+H10423</f>
        <v>159078.744300375</v>
      </c>
      <c r="I10424" s="55" t="n">
        <f aca="false">I10421+I10422+I10423</f>
        <v>213899.691740405</v>
      </c>
      <c r="J10424" s="55" t="n">
        <f aca="false">J10421+J10422+J10423</f>
        <v>286584.289607916</v>
      </c>
      <c r="K10424" s="55" t="n">
        <f aca="false">K10421+K10422+K10423</f>
        <v>377908.32487775</v>
      </c>
      <c r="L10424" s="55" t="n">
        <f aca="false">L10421+L10422+L10423</f>
        <v>475142.322830885</v>
      </c>
      <c r="M10424" s="55" t="n">
        <f aca="false">M10421+M10422+M10423</f>
        <v>572478.150683705</v>
      </c>
      <c r="N10424" s="55" t="n">
        <f aca="false">N10421+N10422+N10423</f>
        <v>669315.221490006</v>
      </c>
      <c r="P10424" s="55" t="n">
        <f aca="false">F10424</f>
        <v>75429.3187469915</v>
      </c>
      <c r="Q10424" s="55" t="n">
        <f aca="false">J10424</f>
        <v>286584.289607916</v>
      </c>
      <c r="R10424" s="55" t="n">
        <f aca="false">N10424</f>
        <v>669315.221490006</v>
      </c>
      <c r="S10424" s="56" t="n">
        <f aca="false">R10424</f>
        <v>669315.221490006</v>
      </c>
    </row>
    <row r="10425" customFormat="false" ht="15" hidden="false" customHeight="false" outlineLevel="0" collapsed="false">
      <c r="A10425" s="4" t="s">
        <v>542</v>
      </c>
      <c r="B10425" s="36" t="s">
        <v>125</v>
      </c>
      <c r="C10425" s="54" t="n">
        <f aca="false">C10412*$C$10361+C10413*$C$10362+C10414*$C$10363</f>
        <v>0</v>
      </c>
      <c r="D10425" s="54" t="n">
        <f aca="false">D10412*$C$10361+D10413*$C$10362+D10414*$C$10363</f>
        <v>12457.995003187</v>
      </c>
      <c r="E10425" s="54" t="n">
        <f aca="false">E10412*$C$10361+E10413*$C$10362+E10414*$C$10363</f>
        <v>28081.9659320177</v>
      </c>
      <c r="F10425" s="54" t="n">
        <f aca="false">F10412*$C$10361+F10413*$C$10362+F10414*$C$10363</f>
        <v>34340.2018307591</v>
      </c>
      <c r="G10425" s="54" t="n">
        <f aca="false">G10412*$C$10361+G10413*$C$10362+G10414*$C$10363</f>
        <v>36726.3760574291</v>
      </c>
      <c r="H10425" s="54" t="n">
        <f aca="false">H10412*$C$10361+H10413*$C$10362+H10414*$C$10363</f>
        <v>44257.1941974906</v>
      </c>
      <c r="I10425" s="54" t="n">
        <f aca="false">I10412*$C$10361+I10413*$C$10362+I10414*$C$10363</f>
        <v>52470.0786498671</v>
      </c>
      <c r="J10425" s="54" t="n">
        <f aca="false">J10412*$C$10361+J10413*$C$10362+J10414*$C$10363</f>
        <v>69486.8722095446</v>
      </c>
      <c r="K10425" s="54" t="n">
        <f aca="false">K10412*$C$10361+K10413*$C$10362+K10414*$C$10363</f>
        <v>87093.5379025697</v>
      </c>
      <c r="L10425" s="54" t="n">
        <f aca="false">L10412*$C$10361+L10413*$C$10362+L10414*$C$10363</f>
        <v>91690.6657571862</v>
      </c>
      <c r="M10425" s="54" t="n">
        <f aca="false">M10412*$C$10361+M10413*$C$10362+M10414*$C$10363</f>
        <v>90289.6478974575</v>
      </c>
      <c r="N10425" s="54" t="n">
        <f aca="false">N10412*$C$10361+N10413*$C$10362+N10414*$C$10363</f>
        <v>88249.3048886416</v>
      </c>
      <c r="P10425" s="55" t="n">
        <f aca="false">SUM(C10425:F10425)</f>
        <v>74880.1627659638</v>
      </c>
      <c r="Q10425" s="55" t="n">
        <f aca="false">SUM(G10425:J10425)</f>
        <v>202940.521114331</v>
      </c>
      <c r="R10425" s="55" t="n">
        <f aca="false">SUM(K10425:N10425)</f>
        <v>357323.156445855</v>
      </c>
      <c r="S10425" s="56" t="n">
        <f aca="false">SUM(P10425:R10425)</f>
        <v>635143.84032615</v>
      </c>
    </row>
    <row r="10426" customFormat="false" ht="15" hidden="false" customHeight="false" outlineLevel="0" collapsed="false">
      <c r="A10426" s="9" t="s">
        <v>543</v>
      </c>
      <c r="B10426" s="36" t="s">
        <v>125</v>
      </c>
      <c r="C10426" s="55" t="n">
        <f aca="false">(0+C10424)/8</f>
        <v>0</v>
      </c>
      <c r="D10426" s="55" t="n">
        <f aca="false">(C10424+D10424)/8</f>
        <v>1557.24937539838</v>
      </c>
      <c r="E10426" s="55" t="n">
        <f aca="false">(D10424+E10424)/8</f>
        <v>6635.65857234447</v>
      </c>
      <c r="F10426" s="55" t="n">
        <f aca="false">(E10424+F10424)/8</f>
        <v>14507.07404032</v>
      </c>
      <c r="G10426" s="55" t="n">
        <f aca="false">(F10424+G10424)/8</f>
        <v>23576.1354599841</v>
      </c>
      <c r="H10426" s="55" t="n">
        <f aca="false">(G10424+H10424)/8</f>
        <v>34032.313654157</v>
      </c>
      <c r="I10426" s="55" t="n">
        <f aca="false">(H10424+I10424)/8</f>
        <v>46622.3045050975</v>
      </c>
      <c r="J10426" s="55" t="n">
        <f aca="false">(I10424+J10424)/8</f>
        <v>62560.4976685402</v>
      </c>
      <c r="K10426" s="55" t="n">
        <f aca="false">(J10424+K10424)/8</f>
        <v>83061.5768107083</v>
      </c>
      <c r="L10426" s="55" t="n">
        <f aca="false">(K10424+L10424)/8</f>
        <v>106631.330963579</v>
      </c>
      <c r="M10426" s="55" t="n">
        <f aca="false">(L10424+M10424)/8</f>
        <v>130952.559189324</v>
      </c>
      <c r="N10426" s="55" t="n">
        <f aca="false">(M10424+N10424)/8</f>
        <v>155224.171521714</v>
      </c>
      <c r="P10426" s="55" t="n">
        <f aca="false">SUM(C10426:F10426)</f>
        <v>22699.9819880629</v>
      </c>
      <c r="Q10426" s="55" t="n">
        <f aca="false">SUM(G10426:J10426)</f>
        <v>166791.251287779</v>
      </c>
      <c r="R10426" s="55" t="n">
        <f aca="false">SUM(K10426:N10426)</f>
        <v>475869.638485325</v>
      </c>
      <c r="S10426" s="56" t="n">
        <f aca="false">SUM(P10426:R10426)</f>
        <v>665360.871761167</v>
      </c>
    </row>
    <row r="10427" customFormat="false" ht="15" hidden="false" customHeight="false" outlineLevel="0" collapsed="false">
      <c r="A10427" s="4" t="s">
        <v>544</v>
      </c>
      <c r="B10427" s="36" t="s">
        <v>125</v>
      </c>
      <c r="C10427" s="54" t="n">
        <f aca="false">C10426*Assumptions!$E$76</f>
        <v>0</v>
      </c>
      <c r="D10427" s="54" t="n">
        <f aca="false">D10426*Assumptions!$E$76</f>
        <v>1012.21209400895</v>
      </c>
      <c r="E10427" s="54" t="n">
        <f aca="false">E10426*Assumptions!$E$76</f>
        <v>4313.17807202391</v>
      </c>
      <c r="F10427" s="54" t="n">
        <f aca="false">F10426*Assumptions!$E$76</f>
        <v>9429.59812620802</v>
      </c>
      <c r="G10427" s="54" t="n">
        <f aca="false">G10426*Assumptions!$E$76</f>
        <v>15324.4880489897</v>
      </c>
      <c r="H10427" s="54" t="n">
        <f aca="false">H10426*Assumptions!$E$76</f>
        <v>22121.0038752021</v>
      </c>
      <c r="I10427" s="54" t="n">
        <f aca="false">I10426*Assumptions!$E$76</f>
        <v>30304.4979283134</v>
      </c>
      <c r="J10427" s="54" t="n">
        <f aca="false">J10426*Assumptions!$E$76</f>
        <v>40664.3234845511</v>
      </c>
      <c r="K10427" s="54" t="n">
        <f aca="false">K10426*Assumptions!$E$76</f>
        <v>53990.0249269604</v>
      </c>
      <c r="L10427" s="54" t="n">
        <f aca="false">L10426*Assumptions!$E$76</f>
        <v>69310.3651263266</v>
      </c>
      <c r="M10427" s="54" t="n">
        <f aca="false">M10426*Assumptions!$E$76</f>
        <v>85119.1634730604</v>
      </c>
      <c r="N10427" s="54" t="n">
        <f aca="false">N10426*Assumptions!$E$76</f>
        <v>100895.711489114</v>
      </c>
      <c r="P10427" s="55" t="n">
        <f aca="false">SUM(C10427:F10427)</f>
        <v>14754.9882922409</v>
      </c>
      <c r="Q10427" s="55" t="n">
        <f aca="false">SUM(G10427:J10427)</f>
        <v>108414.313337056</v>
      </c>
      <c r="R10427" s="55" t="n">
        <f aca="false">SUM(K10427:N10427)</f>
        <v>309315.265015461</v>
      </c>
      <c r="S10427" s="56" t="n">
        <f aca="false">SUM(P10427:R10427)</f>
        <v>432484.566644758</v>
      </c>
    </row>
    <row r="10428" customFormat="false" ht="15" hidden="false" customHeight="false" outlineLevel="0" collapsed="false">
      <c r="A10428" s="35" t="s">
        <v>547</v>
      </c>
      <c r="B10428" s="35" t="s">
        <v>444</v>
      </c>
      <c r="C10428" s="6" t="s">
        <v>354</v>
      </c>
      <c r="D10428" s="6" t="s">
        <v>355</v>
      </c>
      <c r="E10428" s="6" t="s">
        <v>356</v>
      </c>
      <c r="F10428" s="6" t="s">
        <v>357</v>
      </c>
      <c r="G10428" s="6" t="s">
        <v>358</v>
      </c>
      <c r="H10428" s="6" t="s">
        <v>359</v>
      </c>
      <c r="I10428" s="6" t="s">
        <v>360</v>
      </c>
      <c r="J10428" s="6" t="s">
        <v>361</v>
      </c>
      <c r="K10428" s="6" t="s">
        <v>362</v>
      </c>
      <c r="L10428" s="6" t="s">
        <v>363</v>
      </c>
      <c r="M10428" s="6" t="s">
        <v>364</v>
      </c>
      <c r="N10428" s="6" t="s">
        <v>365</v>
      </c>
      <c r="P10428" s="6" t="s">
        <v>445</v>
      </c>
      <c r="Q10428" s="6" t="s">
        <v>446</v>
      </c>
      <c r="R10428" s="6" t="s">
        <v>447</v>
      </c>
      <c r="S10428" s="6" t="s">
        <v>448</v>
      </c>
    </row>
    <row r="10429" customFormat="false" ht="15" hidden="false" customHeight="false" outlineLevel="0" collapsed="false">
      <c r="A10429" s="4" t="s">
        <v>548</v>
      </c>
      <c r="B10429" s="36" t="s">
        <v>321</v>
      </c>
      <c r="C10429" s="48" t="n">
        <f aca="false">Assumptions!$E$97*C10371</f>
        <v>1</v>
      </c>
      <c r="D10429" s="48" t="n">
        <f aca="false">Assumptions!$E$97*D10371</f>
        <v>1</v>
      </c>
      <c r="E10429" s="48" t="n">
        <f aca="false">Assumptions!$E$97*E10371</f>
        <v>1</v>
      </c>
      <c r="F10429" s="48" t="n">
        <f aca="false">Assumptions!$E$97*F10371</f>
        <v>1</v>
      </c>
      <c r="G10429" s="48" t="n">
        <f aca="false">Assumptions!$E$97*G10371</f>
        <v>1</v>
      </c>
      <c r="H10429" s="48" t="n">
        <f aca="false">Assumptions!$E$97*H10371</f>
        <v>1</v>
      </c>
      <c r="I10429" s="48" t="n">
        <f aca="false">Assumptions!$E$97*I10371</f>
        <v>1</v>
      </c>
      <c r="J10429" s="48" t="n">
        <f aca="false">Assumptions!$E$97*J10371</f>
        <v>1</v>
      </c>
      <c r="K10429" s="48" t="n">
        <f aca="false">Assumptions!$E$97*K10371</f>
        <v>1</v>
      </c>
      <c r="L10429" s="48" t="n">
        <f aca="false">Assumptions!$E$97*L10371</f>
        <v>1</v>
      </c>
      <c r="M10429" s="48" t="n">
        <f aca="false">Assumptions!$E$97*M10371</f>
        <v>1</v>
      </c>
      <c r="N10429" s="48" t="n">
        <f aca="false">Assumptions!$E$97*N10371</f>
        <v>1</v>
      </c>
      <c r="P10429" s="49" t="n">
        <f aca="false">AVERAGE(C10429:F10429)</f>
        <v>1</v>
      </c>
      <c r="Q10429" s="49" t="n">
        <f aca="false">AVERAGE(G10429:J10429)</f>
        <v>1</v>
      </c>
      <c r="R10429" s="49" t="n">
        <f aca="false">AVERAGE(K10429:N10429)</f>
        <v>1</v>
      </c>
      <c r="S10429" s="50"/>
    </row>
    <row r="10430" customFormat="false" ht="15" hidden="false" customHeight="false" outlineLevel="0" collapsed="false">
      <c r="A10430" s="4" t="s">
        <v>549</v>
      </c>
      <c r="B10430" s="36" t="s">
        <v>321</v>
      </c>
      <c r="C10430" s="48" t="n">
        <f aca="false">C10384*C10371</f>
        <v>2</v>
      </c>
      <c r="D10430" s="48" t="n">
        <f aca="false">D10384*D10371</f>
        <v>2</v>
      </c>
      <c r="E10430" s="48" t="n">
        <f aca="false">E10384*E10371</f>
        <v>3</v>
      </c>
      <c r="F10430" s="48" t="n">
        <f aca="false">F10384*F10371</f>
        <v>3</v>
      </c>
      <c r="G10430" s="48" t="n">
        <f aca="false">G10384*G10371</f>
        <v>4</v>
      </c>
      <c r="H10430" s="48" t="n">
        <f aca="false">H10384*H10371</f>
        <v>4</v>
      </c>
      <c r="I10430" s="48" t="n">
        <f aca="false">I10384*I10371</f>
        <v>5</v>
      </c>
      <c r="J10430" s="48" t="n">
        <f aca="false">J10384*J10371</f>
        <v>5</v>
      </c>
      <c r="K10430" s="48" t="n">
        <f aca="false">K10384*K10371</f>
        <v>6</v>
      </c>
      <c r="L10430" s="48" t="n">
        <f aca="false">L10384*L10371</f>
        <v>6</v>
      </c>
      <c r="M10430" s="48" t="n">
        <f aca="false">M10384*M10371</f>
        <v>6</v>
      </c>
      <c r="N10430" s="48" t="n">
        <f aca="false">N10384*N10371</f>
        <v>6</v>
      </c>
      <c r="P10430" s="49" t="n">
        <f aca="false">AVERAGE(C10430:F10430)</f>
        <v>2.5</v>
      </c>
      <c r="Q10430" s="49" t="n">
        <f aca="false">AVERAGE(G10430:J10430)</f>
        <v>4.5</v>
      </c>
      <c r="R10430" s="49" t="n">
        <f aca="false">AVERAGE(K10430:N10430)</f>
        <v>6</v>
      </c>
      <c r="S10430" s="50"/>
    </row>
    <row r="10431" customFormat="false" ht="15" hidden="false" customHeight="false" outlineLevel="0" collapsed="false">
      <c r="A10431" s="4" t="s">
        <v>550</v>
      </c>
      <c r="B10431" s="36" t="s">
        <v>321</v>
      </c>
      <c r="C10431" s="48" t="n">
        <f aca="false">IF(C10370&lt;=4,Assumptions!$E$98,Assumptions!$E$99)*C10371</f>
        <v>1</v>
      </c>
      <c r="D10431" s="48" t="n">
        <f aca="false">IF(D10370&lt;=4,Assumptions!$E$98,Assumptions!$E$99)*D10371</f>
        <v>1</v>
      </c>
      <c r="E10431" s="48" t="n">
        <f aca="false">IF(E10370&lt;=4,Assumptions!$E$98,Assumptions!$E$99)*E10371</f>
        <v>1</v>
      </c>
      <c r="F10431" s="48" t="n">
        <f aca="false">IF(F10370&lt;=4,Assumptions!$E$98,Assumptions!$E$99)*F10371</f>
        <v>1</v>
      </c>
      <c r="G10431" s="48" t="n">
        <f aca="false">IF(G10370&lt;=4,Assumptions!$E$98,Assumptions!$E$99)*G10371</f>
        <v>1</v>
      </c>
      <c r="H10431" s="48" t="n">
        <f aca="false">IF(H10370&lt;=4,Assumptions!$E$98,Assumptions!$E$99)*H10371</f>
        <v>1</v>
      </c>
      <c r="I10431" s="48" t="n">
        <f aca="false">IF(I10370&lt;=4,Assumptions!$E$98,Assumptions!$E$99)*I10371</f>
        <v>1</v>
      </c>
      <c r="J10431" s="48" t="n">
        <f aca="false">IF(J10370&lt;=4,Assumptions!$E$98,Assumptions!$E$99)*J10371</f>
        <v>1</v>
      </c>
      <c r="K10431" s="48" t="n">
        <f aca="false">IF(K10370&lt;=4,Assumptions!$E$98,Assumptions!$E$99)*K10371</f>
        <v>1</v>
      </c>
      <c r="L10431" s="48" t="n">
        <f aca="false">IF(L10370&lt;=4,Assumptions!$E$98,Assumptions!$E$99)*L10371</f>
        <v>1</v>
      </c>
      <c r="M10431" s="48" t="n">
        <f aca="false">IF(M10370&lt;=4,Assumptions!$E$98,Assumptions!$E$99)*M10371</f>
        <v>1</v>
      </c>
      <c r="N10431" s="48" t="n">
        <f aca="false">IF(N10370&lt;=4,Assumptions!$E$98,Assumptions!$E$99)*N10371</f>
        <v>1</v>
      </c>
      <c r="P10431" s="49" t="n">
        <f aca="false">AVERAGE(C10431:F10431)</f>
        <v>1</v>
      </c>
      <c r="Q10431" s="49" t="n">
        <f aca="false">AVERAGE(G10431:J10431)</f>
        <v>1</v>
      </c>
      <c r="R10431" s="49" t="n">
        <f aca="false">AVERAGE(K10431:N10431)</f>
        <v>1</v>
      </c>
      <c r="S10431" s="50"/>
    </row>
    <row r="10432" customFormat="false" ht="15" hidden="false" customHeight="false" outlineLevel="0" collapsed="false">
      <c r="A10432" s="4" t="s">
        <v>551</v>
      </c>
      <c r="B10432" s="36" t="s">
        <v>321</v>
      </c>
      <c r="C10432" s="48" t="n">
        <f aca="false">IF(C10370&lt;=4,Assumptions!$E$100,Assumptions!$E$101)*C10371</f>
        <v>1</v>
      </c>
      <c r="D10432" s="48" t="n">
        <f aca="false">IF(D10370&lt;=4,Assumptions!$E$100,Assumptions!$E$101)*D10371</f>
        <v>1</v>
      </c>
      <c r="E10432" s="48" t="n">
        <f aca="false">IF(E10370&lt;=4,Assumptions!$E$100,Assumptions!$E$101)*E10371</f>
        <v>1</v>
      </c>
      <c r="F10432" s="48" t="n">
        <f aca="false">IF(F10370&lt;=4,Assumptions!$E$100,Assumptions!$E$101)*F10371</f>
        <v>1</v>
      </c>
      <c r="G10432" s="48" t="n">
        <f aca="false">IF(G10370&lt;=4,Assumptions!$E$100,Assumptions!$E$101)*G10371</f>
        <v>0.5</v>
      </c>
      <c r="H10432" s="48" t="n">
        <f aca="false">IF(H10370&lt;=4,Assumptions!$E$100,Assumptions!$E$101)*H10371</f>
        <v>0.5</v>
      </c>
      <c r="I10432" s="48" t="n">
        <f aca="false">IF(I10370&lt;=4,Assumptions!$E$100,Assumptions!$E$101)*I10371</f>
        <v>0.5</v>
      </c>
      <c r="J10432" s="48" t="n">
        <f aca="false">IF(J10370&lt;=4,Assumptions!$E$100,Assumptions!$E$101)*J10371</f>
        <v>0.5</v>
      </c>
      <c r="K10432" s="48" t="n">
        <f aca="false">IF(K10370&lt;=4,Assumptions!$E$100,Assumptions!$E$101)*K10371</f>
        <v>0.5</v>
      </c>
      <c r="L10432" s="48" t="n">
        <f aca="false">IF(L10370&lt;=4,Assumptions!$E$100,Assumptions!$E$101)*L10371</f>
        <v>0.5</v>
      </c>
      <c r="M10432" s="48" t="n">
        <f aca="false">IF(M10370&lt;=4,Assumptions!$E$100,Assumptions!$E$101)*M10371</f>
        <v>0.5</v>
      </c>
      <c r="N10432" s="48" t="n">
        <f aca="false">IF(N10370&lt;=4,Assumptions!$E$100,Assumptions!$E$101)*N10371</f>
        <v>0.5</v>
      </c>
      <c r="P10432" s="49" t="n">
        <f aca="false">AVERAGE(C10432:F10432)</f>
        <v>1</v>
      </c>
      <c r="Q10432" s="49" t="n">
        <f aca="false">AVERAGE(G10432:J10432)</f>
        <v>0.5</v>
      </c>
      <c r="R10432" s="49" t="n">
        <f aca="false">AVERAGE(K10432:N10432)</f>
        <v>0.5</v>
      </c>
      <c r="S10432" s="50"/>
    </row>
    <row r="10433" customFormat="false" ht="15" hidden="false" customHeight="false" outlineLevel="0" collapsed="false">
      <c r="A10433" s="4" t="s">
        <v>552</v>
      </c>
      <c r="B10433" s="36" t="s">
        <v>321</v>
      </c>
      <c r="C10433" s="48" t="n">
        <f aca="false">Assumptions!$E$102*C10371</f>
        <v>0.5</v>
      </c>
      <c r="D10433" s="48" t="n">
        <f aca="false">Assumptions!$E$102*D10371</f>
        <v>0.5</v>
      </c>
      <c r="E10433" s="48" t="n">
        <f aca="false">Assumptions!$E$102*E10371</f>
        <v>0.5</v>
      </c>
      <c r="F10433" s="48" t="n">
        <f aca="false">Assumptions!$E$102*F10371</f>
        <v>0.5</v>
      </c>
      <c r="G10433" s="48" t="n">
        <f aca="false">Assumptions!$E$102*G10371</f>
        <v>0.5</v>
      </c>
      <c r="H10433" s="48" t="n">
        <f aca="false">Assumptions!$E$102*H10371</f>
        <v>0.5</v>
      </c>
      <c r="I10433" s="48" t="n">
        <f aca="false">Assumptions!$E$102*I10371</f>
        <v>0.5</v>
      </c>
      <c r="J10433" s="48" t="n">
        <f aca="false">Assumptions!$E$102*J10371</f>
        <v>0.5</v>
      </c>
      <c r="K10433" s="48" t="n">
        <f aca="false">Assumptions!$E$102*K10371</f>
        <v>0.5</v>
      </c>
      <c r="L10433" s="48" t="n">
        <f aca="false">Assumptions!$E$102*L10371</f>
        <v>0.5</v>
      </c>
      <c r="M10433" s="48" t="n">
        <f aca="false">Assumptions!$E$102*M10371</f>
        <v>0.5</v>
      </c>
      <c r="N10433" s="48" t="n">
        <f aca="false">Assumptions!$E$102*N10371</f>
        <v>0.5</v>
      </c>
      <c r="P10433" s="49" t="n">
        <f aca="false">AVERAGE(C10433:F10433)</f>
        <v>0.5</v>
      </c>
      <c r="Q10433" s="49" t="n">
        <f aca="false">AVERAGE(G10433:J10433)</f>
        <v>0.5</v>
      </c>
      <c r="R10433" s="49" t="n">
        <f aca="false">AVERAGE(K10433:N10433)</f>
        <v>0.5</v>
      </c>
      <c r="S10433" s="50"/>
    </row>
    <row r="10434" customFormat="false" ht="15" hidden="false" customHeight="false" outlineLevel="0" collapsed="false">
      <c r="A10434" s="4" t="s">
        <v>553</v>
      </c>
      <c r="B10434" s="36" t="s">
        <v>321</v>
      </c>
      <c r="C10434" s="48" t="n">
        <f aca="false">(C10418+C10419)/Assumptions!$E$74+C10417/Assumptions!$E$75</f>
        <v>0</v>
      </c>
      <c r="D10434" s="48" t="n">
        <f aca="false">(D10418+D10419)/Assumptions!$E$74+D10417/Assumptions!$E$75</f>
        <v>0.0200946665043952</v>
      </c>
      <c r="E10434" s="48" t="n">
        <f aca="false">(E10418+E10419)/Assumptions!$E$74+E10417/Assumptions!$E$75</f>
        <v>0.0573743816462977</v>
      </c>
      <c r="F10434" s="48" t="n">
        <f aca="false">(F10418+F10419)/Assumptions!$E$74+F10417/Assumptions!$E$75</f>
        <v>0.0980862709988722</v>
      </c>
      <c r="G10434" s="48" t="n">
        <f aca="false">(G10418+G10419)/Assumptions!$E$74+G10417/Assumptions!$E$75</f>
        <v>0.140621164754225</v>
      </c>
      <c r="H10434" s="48" t="n">
        <f aca="false">(H10418+H10419)/Assumptions!$E$74+H10417/Assumptions!$E$75</f>
        <v>0.192923402433796</v>
      </c>
      <c r="I10434" s="48" t="n">
        <f aca="false">(I10418+I10419)/Assumptions!$E$74+I10417/Assumptions!$E$75</f>
        <v>0.254203250546819</v>
      </c>
      <c r="J10434" s="48" t="n">
        <f aca="false">(J10418+J10419)/Assumptions!$E$74+J10417/Assumptions!$E$75</f>
        <v>0.337255795525458</v>
      </c>
      <c r="K10434" s="48" t="n">
        <f aca="false">(K10418+K10419)/Assumptions!$E$74+K10417/Assumptions!$E$75</f>
        <v>0.439305085902074</v>
      </c>
      <c r="L10434" s="48" t="n">
        <f aca="false">(L10418+L10419)/Assumptions!$E$74+L10417/Assumptions!$E$75</f>
        <v>0.540895326397491</v>
      </c>
      <c r="M10434" s="48" t="n">
        <f aca="false">(M10418+M10419)/Assumptions!$E$74+M10417/Assumptions!$E$75</f>
        <v>0.637414529641188</v>
      </c>
      <c r="N10434" s="48" t="n">
        <f aca="false">(N10418+N10419)/Assumptions!$E$74+N10417/Assumptions!$E$75</f>
        <v>0.72886642092695</v>
      </c>
      <c r="P10434" s="49" t="n">
        <f aca="false">AVERAGE(C10434:F10434)</f>
        <v>0.0438888297873913</v>
      </c>
      <c r="Q10434" s="49" t="n">
        <f aca="false">AVERAGE(G10434:J10434)</f>
        <v>0.231250903315075</v>
      </c>
      <c r="R10434" s="49" t="n">
        <f aca="false">AVERAGE(K10434:N10434)</f>
        <v>0.586620340716926</v>
      </c>
      <c r="S10434" s="50"/>
    </row>
    <row r="10435" customFormat="false" ht="15" hidden="false" customHeight="false" outlineLevel="0" collapsed="false">
      <c r="A10435" s="4" t="s">
        <v>554</v>
      </c>
      <c r="B10435" s="36" t="s">
        <v>125</v>
      </c>
      <c r="C10435" s="54" t="n">
        <f aca="false">(C10429+C10431)*Assumptions!$E$70/Assumptions!$E$69/4</f>
        <v>133507.142857143</v>
      </c>
      <c r="D10435" s="54" t="n">
        <f aca="false">(D10429+D10431)*Assumptions!$E$70/Assumptions!$E$69/4</f>
        <v>133507.142857143</v>
      </c>
      <c r="E10435" s="54" t="n">
        <f aca="false">(E10429+E10431)*Assumptions!$E$70/Assumptions!$E$69/4</f>
        <v>133507.142857143</v>
      </c>
      <c r="F10435" s="54" t="n">
        <f aca="false">(F10429+F10431)*Assumptions!$E$70/Assumptions!$E$69/4</f>
        <v>133507.142857143</v>
      </c>
      <c r="G10435" s="54" t="n">
        <f aca="false">(G10429+G10431)*Assumptions!$E$70/Assumptions!$E$69/4</f>
        <v>133507.142857143</v>
      </c>
      <c r="H10435" s="54" t="n">
        <f aca="false">(H10429+H10431)*Assumptions!$E$70/Assumptions!$E$69/4</f>
        <v>133507.142857143</v>
      </c>
      <c r="I10435" s="54" t="n">
        <f aca="false">(I10429+I10431)*Assumptions!$E$70/Assumptions!$E$69/4</f>
        <v>133507.142857143</v>
      </c>
      <c r="J10435" s="54" t="n">
        <f aca="false">(J10429+J10431)*Assumptions!$E$70/Assumptions!$E$69/4</f>
        <v>133507.142857143</v>
      </c>
      <c r="K10435" s="54" t="n">
        <f aca="false">(K10429+K10431)*Assumptions!$E$70/Assumptions!$E$69/4</f>
        <v>133507.142857143</v>
      </c>
      <c r="L10435" s="54" t="n">
        <f aca="false">(L10429+L10431)*Assumptions!$E$70/Assumptions!$E$69/4</f>
        <v>133507.142857143</v>
      </c>
      <c r="M10435" s="54" t="n">
        <f aca="false">(M10429+M10431)*Assumptions!$E$70/Assumptions!$E$69/4</f>
        <v>133507.142857143</v>
      </c>
      <c r="N10435" s="54" t="n">
        <f aca="false">(N10429+N10431)*Assumptions!$E$70/Assumptions!$E$69/4</f>
        <v>133507.142857143</v>
      </c>
      <c r="P10435" s="55" t="n">
        <f aca="false">SUM(C10435:F10435)</f>
        <v>534028.571428572</v>
      </c>
      <c r="Q10435" s="55" t="n">
        <f aca="false">SUM(G10435:J10435)</f>
        <v>534028.571428572</v>
      </c>
      <c r="R10435" s="55" t="n">
        <f aca="false">SUM(K10435:N10435)</f>
        <v>534028.571428572</v>
      </c>
      <c r="S10435" s="56" t="n">
        <f aca="false">SUM(P10435:R10435)</f>
        <v>1602085.71428571</v>
      </c>
    </row>
    <row r="10436" customFormat="false" ht="15" hidden="false" customHeight="false" outlineLevel="0" collapsed="false">
      <c r="A10436" s="4" t="s">
        <v>555</v>
      </c>
      <c r="B10436" s="36" t="s">
        <v>125</v>
      </c>
      <c r="C10436" s="54" t="n">
        <f aca="false">C10430*$C$10365/4</f>
        <v>142857.142857143</v>
      </c>
      <c r="D10436" s="54" t="n">
        <f aca="false">D10430*$C$10365/4</f>
        <v>142857.142857143</v>
      </c>
      <c r="E10436" s="54" t="n">
        <f aca="false">E10430*$C$10365/4</f>
        <v>214285.714285714</v>
      </c>
      <c r="F10436" s="54" t="n">
        <f aca="false">F10430*$C$10365/4</f>
        <v>214285.714285714</v>
      </c>
      <c r="G10436" s="54" t="n">
        <f aca="false">G10430*$C$10365/4</f>
        <v>285714.285714286</v>
      </c>
      <c r="H10436" s="54" t="n">
        <f aca="false">H10430*$C$10365/4</f>
        <v>285714.285714286</v>
      </c>
      <c r="I10436" s="54" t="n">
        <f aca="false">I10430*$C$10365/4</f>
        <v>357142.857142857</v>
      </c>
      <c r="J10436" s="54" t="n">
        <f aca="false">J10430*$C$10365/4</f>
        <v>357142.857142857</v>
      </c>
      <c r="K10436" s="54" t="n">
        <f aca="false">K10430*$C$10365/4</f>
        <v>428571.428571429</v>
      </c>
      <c r="L10436" s="54" t="n">
        <f aca="false">L10430*$C$10365/4</f>
        <v>428571.428571429</v>
      </c>
      <c r="M10436" s="54" t="n">
        <f aca="false">M10430*$C$10365/4</f>
        <v>428571.428571429</v>
      </c>
      <c r="N10436" s="54" t="n">
        <f aca="false">N10430*$C$10365/4</f>
        <v>428571.428571429</v>
      </c>
      <c r="P10436" s="55" t="n">
        <f aca="false">SUM(C10436:F10436)</f>
        <v>714285.714285714</v>
      </c>
      <c r="Q10436" s="55" t="n">
        <f aca="false">SUM(G10436:J10436)</f>
        <v>1285714.28571429</v>
      </c>
      <c r="R10436" s="55" t="n">
        <f aca="false">SUM(K10436:N10436)</f>
        <v>1714285.71428571</v>
      </c>
      <c r="S10436" s="56" t="n">
        <f aca="false">SUM(P10436:R10436)</f>
        <v>3714285.71428571</v>
      </c>
    </row>
    <row r="10437" customFormat="false" ht="15" hidden="false" customHeight="false" outlineLevel="0" collapsed="false">
      <c r="A10437" s="4" t="s">
        <v>556</v>
      </c>
      <c r="B10437" s="36" t="s">
        <v>125</v>
      </c>
      <c r="C10437" s="54" t="n">
        <f aca="false">MAX(0,(C10425-C10406*$C$10361)-C10385*$C$10366)*$C$10367*Assumptions!$E$105</f>
        <v>0</v>
      </c>
      <c r="D10437" s="54" t="n">
        <f aca="false">MAX(0,(D10425-D10406*$C$10361)-D10385*$C$10366)*$C$10367*Assumptions!$E$105</f>
        <v>0</v>
      </c>
      <c r="E10437" s="54" t="n">
        <f aca="false">MAX(0,(E10425-E10406*$C$10361)-E10385*$C$10366)*$C$10367*Assumptions!$E$105</f>
        <v>0</v>
      </c>
      <c r="F10437" s="54" t="n">
        <f aca="false">MAX(0,(F10425-F10406*$C$10361)-F10385*$C$10366)*$C$10367*Assumptions!$E$105</f>
        <v>0</v>
      </c>
      <c r="G10437" s="54" t="n">
        <f aca="false">MAX(0,(G10425-G10406*$C$10361)-G10385*$C$10366)*$C$10367*Assumptions!$E$105</f>
        <v>0</v>
      </c>
      <c r="H10437" s="54" t="n">
        <f aca="false">MAX(0,(H10425-H10406*$C$10361)-H10385*$C$10366)*$C$10367*Assumptions!$E$105</f>
        <v>0</v>
      </c>
      <c r="I10437" s="54" t="n">
        <f aca="false">MAX(0,(I10425-I10406*$C$10361)-I10385*$C$10366)*$C$10367*Assumptions!$E$105</f>
        <v>0</v>
      </c>
      <c r="J10437" s="54" t="n">
        <f aca="false">MAX(0,(J10425-J10406*$C$10361)-J10385*$C$10366)*$C$10367*Assumptions!$E$105</f>
        <v>0</v>
      </c>
      <c r="K10437" s="54" t="n">
        <f aca="false">MAX(0,(K10425-K10406*$C$10361)-K10385*$C$10366)*$C$10367*Assumptions!$E$105</f>
        <v>0</v>
      </c>
      <c r="L10437" s="54" t="n">
        <f aca="false">MAX(0,(L10425-L10406*$C$10361)-L10385*$C$10366)*$C$10367*Assumptions!$E$105</f>
        <v>0</v>
      </c>
      <c r="M10437" s="54" t="n">
        <f aca="false">MAX(0,(M10425-M10406*$C$10361)-M10385*$C$10366)*$C$10367*Assumptions!$E$105</f>
        <v>0</v>
      </c>
      <c r="N10437" s="54" t="n">
        <f aca="false">MAX(0,(N10425-N10406*$C$10361)-N10385*$C$10366)*$C$10367*Assumptions!$E$105</f>
        <v>0</v>
      </c>
      <c r="P10437" s="55" t="n">
        <f aca="false">SUM(C10437:F10437)</f>
        <v>0</v>
      </c>
      <c r="Q10437" s="55" t="n">
        <f aca="false">SUM(G10437:J10437)</f>
        <v>0</v>
      </c>
      <c r="R10437" s="55" t="n">
        <f aca="false">SUM(K10437:N10437)</f>
        <v>0</v>
      </c>
      <c r="S10437" s="56" t="n">
        <f aca="false">SUM(P10437:R10437)</f>
        <v>0</v>
      </c>
    </row>
    <row r="10438" customFormat="false" ht="15" hidden="false" customHeight="false" outlineLevel="0" collapsed="false">
      <c r="A10438" s="4" t="s">
        <v>557</v>
      </c>
      <c r="B10438" s="36" t="s">
        <v>125</v>
      </c>
      <c r="C10438" s="54" t="n">
        <f aca="false">C10433*Assumptions!$E$71/Assumptions!$E$69/4</f>
        <v>36951.7857142857</v>
      </c>
      <c r="D10438" s="54" t="n">
        <f aca="false">D10433*Assumptions!$E$71/Assumptions!$E$69/4</f>
        <v>36951.7857142857</v>
      </c>
      <c r="E10438" s="54" t="n">
        <f aca="false">E10433*Assumptions!$E$71/Assumptions!$E$69/4</f>
        <v>36951.7857142857</v>
      </c>
      <c r="F10438" s="54" t="n">
        <f aca="false">F10433*Assumptions!$E$71/Assumptions!$E$69/4</f>
        <v>36951.7857142857</v>
      </c>
      <c r="G10438" s="54" t="n">
        <f aca="false">G10433*Assumptions!$E$71/Assumptions!$E$69/4</f>
        <v>36951.7857142857</v>
      </c>
      <c r="H10438" s="54" t="n">
        <f aca="false">H10433*Assumptions!$E$71/Assumptions!$E$69/4</f>
        <v>36951.7857142857</v>
      </c>
      <c r="I10438" s="54" t="n">
        <f aca="false">I10433*Assumptions!$E$71/Assumptions!$E$69/4</f>
        <v>36951.7857142857</v>
      </c>
      <c r="J10438" s="54" t="n">
        <f aca="false">J10433*Assumptions!$E$71/Assumptions!$E$69/4</f>
        <v>36951.7857142857</v>
      </c>
      <c r="K10438" s="54" t="n">
        <f aca="false">K10433*Assumptions!$E$71/Assumptions!$E$69/4</f>
        <v>36951.7857142857</v>
      </c>
      <c r="L10438" s="54" t="n">
        <f aca="false">L10433*Assumptions!$E$71/Assumptions!$E$69/4</f>
        <v>36951.7857142857</v>
      </c>
      <c r="M10438" s="54" t="n">
        <f aca="false">M10433*Assumptions!$E$71/Assumptions!$E$69/4</f>
        <v>36951.7857142857</v>
      </c>
      <c r="N10438" s="54" t="n">
        <f aca="false">N10433*Assumptions!$E$71/Assumptions!$E$69/4</f>
        <v>36951.7857142857</v>
      </c>
      <c r="P10438" s="55" t="n">
        <f aca="false">SUM(C10438:F10438)</f>
        <v>147807.142857143</v>
      </c>
      <c r="Q10438" s="55" t="n">
        <f aca="false">SUM(G10438:J10438)</f>
        <v>147807.142857143</v>
      </c>
      <c r="R10438" s="55" t="n">
        <f aca="false">SUM(K10438:N10438)</f>
        <v>147807.142857143</v>
      </c>
      <c r="S10438" s="56" t="n">
        <f aca="false">SUM(P10438:R10438)</f>
        <v>443421.428571429</v>
      </c>
    </row>
    <row r="10439" customFormat="false" ht="15" hidden="false" customHeight="false" outlineLevel="0" collapsed="false">
      <c r="A10439" s="4" t="s">
        <v>558</v>
      </c>
      <c r="B10439" s="36" t="s">
        <v>125</v>
      </c>
      <c r="C10439" s="54" t="n">
        <f aca="false">(Assumptions!$E$103+Assumptions!$E$77*((C10370=Assumptions!$E$13)+(C10370=Assumptions!$E$14)+(C10370=Assumptions!$E$15)))*C10371</f>
        <v>100000</v>
      </c>
      <c r="D10439" s="54" t="n">
        <f aca="false">(Assumptions!$E$103+Assumptions!$E$77*((D10370=Assumptions!$E$13)+(D10370=Assumptions!$E$14)+(D10370=Assumptions!$E$15)))*D10371</f>
        <v>60000</v>
      </c>
      <c r="E10439" s="54" t="n">
        <f aca="false">(Assumptions!$E$103+Assumptions!$E$77*((E10370=Assumptions!$E$13)+(E10370=Assumptions!$E$14)+(E10370=Assumptions!$E$15)))*E10371</f>
        <v>60000</v>
      </c>
      <c r="F10439" s="54" t="n">
        <f aca="false">(Assumptions!$E$103+Assumptions!$E$77*((F10370=Assumptions!$E$13)+(F10370=Assumptions!$E$14)+(F10370=Assumptions!$E$15)))*F10371</f>
        <v>60000</v>
      </c>
      <c r="G10439" s="54" t="n">
        <f aca="false">(Assumptions!$E$103+Assumptions!$E$77*((G10370=Assumptions!$E$13)+(G10370=Assumptions!$E$14)+(G10370=Assumptions!$E$15)))*G10371</f>
        <v>100000</v>
      </c>
      <c r="H10439" s="54" t="n">
        <f aca="false">(Assumptions!$E$103+Assumptions!$E$77*((H10370=Assumptions!$E$13)+(H10370=Assumptions!$E$14)+(H10370=Assumptions!$E$15)))*H10371</f>
        <v>60000</v>
      </c>
      <c r="I10439" s="54" t="n">
        <f aca="false">(Assumptions!$E$103+Assumptions!$E$77*((I10370=Assumptions!$E$13)+(I10370=Assumptions!$E$14)+(I10370=Assumptions!$E$15)))*I10371</f>
        <v>100000</v>
      </c>
      <c r="J10439" s="54" t="n">
        <f aca="false">(Assumptions!$E$103+Assumptions!$E$77*((J10370=Assumptions!$E$13)+(J10370=Assumptions!$E$14)+(J10370=Assumptions!$E$15)))*J10371</f>
        <v>60000</v>
      </c>
      <c r="K10439" s="54" t="n">
        <f aca="false">(Assumptions!$E$103+Assumptions!$E$77*((K10370=Assumptions!$E$13)+(K10370=Assumptions!$E$14)+(K10370=Assumptions!$E$15)))*K10371</f>
        <v>60000</v>
      </c>
      <c r="L10439" s="54" t="n">
        <f aca="false">(Assumptions!$E$103+Assumptions!$E$77*((L10370=Assumptions!$E$13)+(L10370=Assumptions!$E$14)+(L10370=Assumptions!$E$15)))*L10371</f>
        <v>60000</v>
      </c>
      <c r="M10439" s="54" t="n">
        <f aca="false">(Assumptions!$E$103+Assumptions!$E$77*((M10370=Assumptions!$E$13)+(M10370=Assumptions!$E$14)+(M10370=Assumptions!$E$15)))*M10371</f>
        <v>60000</v>
      </c>
      <c r="N10439" s="54" t="n">
        <f aca="false">(Assumptions!$E$103+Assumptions!$E$77*((N10370=Assumptions!$E$13)+(N10370=Assumptions!$E$14)+(N10370=Assumptions!$E$15)))*N10371</f>
        <v>60000</v>
      </c>
      <c r="P10439" s="55" t="n">
        <f aca="false">SUM(C10439:F10439)</f>
        <v>280000</v>
      </c>
      <c r="Q10439" s="55" t="n">
        <f aca="false">SUM(G10439:J10439)</f>
        <v>320000</v>
      </c>
      <c r="R10439" s="55" t="n">
        <f aca="false">SUM(K10439:N10439)</f>
        <v>240000</v>
      </c>
      <c r="S10439" s="56" t="n">
        <f aca="false">SUM(P10439:R10439)</f>
        <v>840000</v>
      </c>
    </row>
    <row r="10440" customFormat="false" ht="15" hidden="false" customHeight="false" outlineLevel="0" collapsed="false">
      <c r="A10440" s="4" t="s">
        <v>559</v>
      </c>
      <c r="B10440" s="36" t="s">
        <v>125</v>
      </c>
      <c r="C10440" s="54" t="n">
        <f aca="false">C10425*C10405*Assumptions!$E$79</f>
        <v>0</v>
      </c>
      <c r="D10440" s="54" t="n">
        <f aca="false">D10425*D10405*Assumptions!$E$79</f>
        <v>815.338873355417</v>
      </c>
      <c r="E10440" s="54" t="n">
        <f aca="false">E10425*E10405*Assumptions!$E$79</f>
        <v>1568.09840026536</v>
      </c>
      <c r="F10440" s="54" t="n">
        <f aca="false">F10425*F10405*Assumptions!$E$79</f>
        <v>2385.38310149021</v>
      </c>
      <c r="G10440" s="54" t="n">
        <f aca="false">G10425*G10405*Assumptions!$E$79</f>
        <v>2984.76672601194</v>
      </c>
      <c r="H10440" s="54" t="n">
        <f aca="false">H10425*H10405*Assumptions!$E$79</f>
        <v>3406.48257307657</v>
      </c>
      <c r="I10440" s="54" t="n">
        <f aca="false">I10425*I10405*Assumptions!$E$79</f>
        <v>3961.96964392285</v>
      </c>
      <c r="J10440" s="54" t="n">
        <f aca="false">J10425*J10405*Assumptions!$E$79</f>
        <v>4269.05282559265</v>
      </c>
      <c r="K10440" s="54" t="n">
        <f aca="false">K10425*K10405*Assumptions!$E$79</f>
        <v>4839.90569461287</v>
      </c>
      <c r="L10440" s="54" t="n">
        <f aca="false">L10425*L10405*Assumptions!$E$79</f>
        <v>5629.9796215386</v>
      </c>
      <c r="M10440" s="54" t="n">
        <f aca="false">M10425*M10405*Assumptions!$E$79</f>
        <v>5676.7035876452</v>
      </c>
      <c r="N10440" s="54" t="n">
        <f aca="false">N10425*N10405*Assumptions!$E$79</f>
        <v>5674.87718593264</v>
      </c>
      <c r="P10440" s="55" t="n">
        <f aca="false">SUM(C10440:F10440)</f>
        <v>4768.82037511099</v>
      </c>
      <c r="Q10440" s="55" t="n">
        <f aca="false">SUM(G10440:J10440)</f>
        <v>14622.271768604</v>
      </c>
      <c r="R10440" s="55" t="n">
        <f aca="false">SUM(K10440:N10440)</f>
        <v>21821.4660897293</v>
      </c>
      <c r="S10440" s="56" t="n">
        <f aca="false">SUM(P10440:R10440)</f>
        <v>41212.5582334443</v>
      </c>
    </row>
    <row r="10441" customFormat="false" ht="15" hidden="false" customHeight="false" outlineLevel="0" collapsed="false">
      <c r="A10441" s="4" t="s">
        <v>560</v>
      </c>
      <c r="B10441" s="36" t="s">
        <v>125</v>
      </c>
      <c r="C10441" s="54" t="n">
        <f aca="false">C10390*Assumptions!$E$80</f>
        <v>4000</v>
      </c>
      <c r="D10441" s="54" t="n">
        <f aca="false">D10390*Assumptions!$E$80</f>
        <v>6000</v>
      </c>
      <c r="E10441" s="54" t="n">
        <f aca="false">E10390*Assumptions!$E$80</f>
        <v>8000</v>
      </c>
      <c r="F10441" s="54" t="n">
        <f aca="false">F10390*Assumptions!$E$80</f>
        <v>10000</v>
      </c>
      <c r="G10441" s="54" t="n">
        <f aca="false">G10390*Assumptions!$E$80</f>
        <v>12000</v>
      </c>
      <c r="H10441" s="54" t="n">
        <f aca="false">H10390*Assumptions!$E$80</f>
        <v>14000</v>
      </c>
      <c r="I10441" s="54" t="n">
        <f aca="false">I10390*Assumptions!$E$80</f>
        <v>16000</v>
      </c>
      <c r="J10441" s="54" t="n">
        <f aca="false">J10390*Assumptions!$E$80</f>
        <v>18000</v>
      </c>
      <c r="K10441" s="54" t="n">
        <f aca="false">K10390*Assumptions!$E$80</f>
        <v>20000</v>
      </c>
      <c r="L10441" s="54" t="n">
        <f aca="false">L10390*Assumptions!$E$80</f>
        <v>20000</v>
      </c>
      <c r="M10441" s="54" t="n">
        <f aca="false">M10390*Assumptions!$E$80</f>
        <v>20000</v>
      </c>
      <c r="N10441" s="54" t="n">
        <f aca="false">N10390*Assumptions!$E$80</f>
        <v>20000</v>
      </c>
      <c r="P10441" s="55" t="n">
        <f aca="false">SUM(C10441:F10441)</f>
        <v>28000</v>
      </c>
      <c r="Q10441" s="55" t="n">
        <f aca="false">SUM(G10441:J10441)</f>
        <v>60000</v>
      </c>
      <c r="R10441" s="55" t="n">
        <f aca="false">SUM(K10441:N10441)</f>
        <v>80000</v>
      </c>
      <c r="S10441" s="56" t="n">
        <f aca="false">SUM(P10441:R10441)</f>
        <v>168000</v>
      </c>
    </row>
    <row r="10442" customFormat="false" ht="15" hidden="false" customHeight="false" outlineLevel="0" collapsed="false">
      <c r="A10442" s="4" t="s">
        <v>561</v>
      </c>
      <c r="B10442" s="36" t="s">
        <v>125</v>
      </c>
      <c r="C10442" s="54" t="n">
        <f aca="false">(C10413*$C$10362+C10414*$C$10363)*Assumptions!$E$81</f>
        <v>0</v>
      </c>
      <c r="D10442" s="54" t="n">
        <f aca="false">(D10413*$C$10362+D10414*$C$10363)*Assumptions!$E$81</f>
        <v>892.533280237164</v>
      </c>
      <c r="E10442" s="54" t="n">
        <f aca="false">(E10413*$C$10362+E10414*$C$10363)*Assumptions!$E$81</f>
        <v>2496.12959256629</v>
      </c>
      <c r="F10442" s="54" t="n">
        <f aca="false">(F10413*$C$10362+F10414*$C$10363)*Assumptions!$E$81</f>
        <v>3311.57869153656</v>
      </c>
      <c r="G10442" s="54" t="n">
        <f aca="false">(G10413*$C$10362+G10414*$C$10363)*Assumptions!$E$81</f>
        <v>3543.69036071626</v>
      </c>
      <c r="H10442" s="54" t="n">
        <f aca="false">(H10413*$C$10362+H10414*$C$10363)*Assumptions!$E$81</f>
        <v>4121.92327910005</v>
      </c>
      <c r="I10442" s="54" t="n">
        <f aca="false">(I10413*$C$10362+I10414*$C$10363)*Assumptions!$E$81</f>
        <v>4858.98528901655</v>
      </c>
      <c r="J10442" s="54" t="n">
        <f aca="false">(J10413*$C$10362+J10414*$C$10363)*Assumptions!$E$81</f>
        <v>6092.61095065196</v>
      </c>
      <c r="K10442" s="54" t="n">
        <f aca="false">(K10413*$C$10362+K10414*$C$10363)*Assumptions!$E$81</f>
        <v>7624.69941694775</v>
      </c>
      <c r="L10442" s="54" t="n">
        <f aca="false">(L10413*$C$10362+L10414*$C$10363)*Assumptions!$E$81</f>
        <v>8283.78949993935</v>
      </c>
      <c r="M10442" s="54" t="n">
        <f aca="false">(M10413*$C$10362+M10414*$C$10363)*Assumptions!$E$81</f>
        <v>8201.54774740633</v>
      </c>
      <c r="N10442" s="54" t="n">
        <f aca="false">(N10413*$C$10362+N10414*$C$10363)*Assumptions!$E$81</f>
        <v>8014.53082574849</v>
      </c>
      <c r="P10442" s="55" t="n">
        <f aca="false">SUM(C10442:F10442)</f>
        <v>6700.24156434002</v>
      </c>
      <c r="Q10442" s="55" t="n">
        <f aca="false">SUM(G10442:J10442)</f>
        <v>18617.2098794848</v>
      </c>
      <c r="R10442" s="55" t="n">
        <f aca="false">SUM(K10442:N10442)</f>
        <v>32124.5674900419</v>
      </c>
      <c r="S10442" s="56" t="n">
        <f aca="false">SUM(P10442:R10442)</f>
        <v>57442.0189338668</v>
      </c>
    </row>
    <row r="10443" customFormat="false" ht="15" hidden="false" customHeight="false" outlineLevel="0" collapsed="false">
      <c r="A10443" s="9" t="s">
        <v>562</v>
      </c>
      <c r="B10443" s="36" t="s">
        <v>125</v>
      </c>
      <c r="C10443" s="55" t="n">
        <f aca="false">C10435+C10436+C10437+C10438+C10439+C10440+C10441+C10442</f>
        <v>417316.071428572</v>
      </c>
      <c r="D10443" s="55" t="n">
        <f aca="false">D10435+D10436+D10437+D10438+D10439+D10440+D10441+D10442</f>
        <v>381023.943582164</v>
      </c>
      <c r="E10443" s="55" t="n">
        <f aca="false">E10435+E10436+E10437+E10438+E10439+E10440+E10441+E10442</f>
        <v>456808.870849975</v>
      </c>
      <c r="F10443" s="55" t="n">
        <f aca="false">F10435+F10436+F10437+F10438+F10439+F10440+F10441+F10442</f>
        <v>460441.60465017</v>
      </c>
      <c r="G10443" s="55" t="n">
        <f aca="false">G10435+G10436+G10437+G10438+G10439+G10440+G10441+G10442</f>
        <v>574701.671372443</v>
      </c>
      <c r="H10443" s="55" t="n">
        <f aca="false">H10435+H10436+H10437+H10438+H10439+H10440+H10441+H10442</f>
        <v>537701.620137891</v>
      </c>
      <c r="I10443" s="55" t="n">
        <f aca="false">I10435+I10436+I10437+I10438+I10439+I10440+I10441+I10442</f>
        <v>652422.740647225</v>
      </c>
      <c r="J10443" s="55" t="n">
        <f aca="false">J10435+J10436+J10437+J10438+J10439+J10440+J10441+J10442</f>
        <v>615963.44949053</v>
      </c>
      <c r="K10443" s="55" t="n">
        <f aca="false">K10435+K10436+K10437+K10438+K10439+K10440+K10441+K10442</f>
        <v>691494.962254418</v>
      </c>
      <c r="L10443" s="55" t="n">
        <f aca="false">L10435+L10436+L10437+L10438+L10439+L10440+L10441+L10442</f>
        <v>692944.126264335</v>
      </c>
      <c r="M10443" s="55" t="n">
        <f aca="false">M10435+M10436+M10437+M10438+M10439+M10440+M10441+M10442</f>
        <v>692908.608477909</v>
      </c>
      <c r="N10443" s="55" t="n">
        <f aca="false">N10435+N10436+N10437+N10438+N10439+N10440+N10441+N10442</f>
        <v>692719.765154538</v>
      </c>
      <c r="P10443" s="55" t="n">
        <f aca="false">SUM(C10443:F10443)</f>
        <v>1715590.49051088</v>
      </c>
      <c r="Q10443" s="55" t="n">
        <f aca="false">SUM(G10443:J10443)</f>
        <v>2380789.48164809</v>
      </c>
      <c r="R10443" s="55" t="n">
        <f aca="false">SUM(K10443:N10443)</f>
        <v>2770067.4621512</v>
      </c>
      <c r="S10443" s="56" t="n">
        <f aca="false">SUM(P10443:R10443)</f>
        <v>6866447.43431017</v>
      </c>
    </row>
    <row r="10444" customFormat="false" ht="15" hidden="false" customHeight="false" outlineLevel="0" collapsed="false">
      <c r="A10444" s="4" t="s">
        <v>563</v>
      </c>
      <c r="B10444" s="36" t="s">
        <v>125</v>
      </c>
      <c r="C10444" s="54" t="n">
        <f aca="false">C10432*Assumptions!$E$72/Assumptions!$E$69/4</f>
        <v>56535.7142857143</v>
      </c>
      <c r="D10444" s="54" t="n">
        <f aca="false">D10432*Assumptions!$E$72/Assumptions!$E$69/4</f>
        <v>56535.7142857143</v>
      </c>
      <c r="E10444" s="54" t="n">
        <f aca="false">E10432*Assumptions!$E$72/Assumptions!$E$69/4</f>
        <v>56535.7142857143</v>
      </c>
      <c r="F10444" s="54" t="n">
        <f aca="false">F10432*Assumptions!$E$72/Assumptions!$E$69/4</f>
        <v>56535.7142857143</v>
      </c>
      <c r="G10444" s="54" t="n">
        <f aca="false">G10432*Assumptions!$E$72/Assumptions!$E$69/4</f>
        <v>28267.8571428571</v>
      </c>
      <c r="H10444" s="54" t="n">
        <f aca="false">H10432*Assumptions!$E$72/Assumptions!$E$69/4</f>
        <v>28267.8571428571</v>
      </c>
      <c r="I10444" s="54" t="n">
        <f aca="false">I10432*Assumptions!$E$72/Assumptions!$E$69/4</f>
        <v>28267.8571428571</v>
      </c>
      <c r="J10444" s="54" t="n">
        <f aca="false">J10432*Assumptions!$E$72/Assumptions!$E$69/4</f>
        <v>28267.8571428571</v>
      </c>
      <c r="K10444" s="54" t="n">
        <f aca="false">K10432*Assumptions!$E$72/Assumptions!$E$69/4</f>
        <v>28267.8571428571</v>
      </c>
      <c r="L10444" s="54" t="n">
        <f aca="false">L10432*Assumptions!$E$72/Assumptions!$E$69/4</f>
        <v>28267.8571428571</v>
      </c>
      <c r="M10444" s="54" t="n">
        <f aca="false">M10432*Assumptions!$E$72/Assumptions!$E$69/4</f>
        <v>28267.8571428571</v>
      </c>
      <c r="N10444" s="54" t="n">
        <f aca="false">N10432*Assumptions!$E$72/Assumptions!$E$69/4</f>
        <v>28267.8571428571</v>
      </c>
      <c r="P10444" s="55" t="n">
        <f aca="false">SUM(C10444:F10444)</f>
        <v>226142.857142857</v>
      </c>
      <c r="Q10444" s="55" t="n">
        <f aca="false">SUM(G10444:J10444)</f>
        <v>113071.428571429</v>
      </c>
      <c r="R10444" s="55" t="n">
        <f aca="false">SUM(K10444:N10444)</f>
        <v>113071.428571429</v>
      </c>
      <c r="S10444" s="56" t="n">
        <f aca="false">SUM(P10444:R10444)</f>
        <v>452285.714285714</v>
      </c>
    </row>
    <row r="10445" customFormat="false" ht="15" hidden="false" customHeight="false" outlineLevel="0" collapsed="false">
      <c r="A10445" s="4" t="s">
        <v>564</v>
      </c>
      <c r="B10445" s="36" t="s">
        <v>125</v>
      </c>
      <c r="C10445" s="54" t="n">
        <f aca="false">IF(C10370&lt;=Assumptions!$E$83,Assumptions!$E$82*Assumptions!$E$108/Assumptions!$E$83,0)</f>
        <v>62500</v>
      </c>
      <c r="D10445" s="54" t="n">
        <f aca="false">IF(D10370&lt;=Assumptions!$E$83,Assumptions!$E$82*Assumptions!$E$108/Assumptions!$E$83,0)</f>
        <v>62500</v>
      </c>
      <c r="E10445" s="54" t="n">
        <f aca="false">IF(E10370&lt;=Assumptions!$E$83,Assumptions!$E$82*Assumptions!$E$108/Assumptions!$E$83,0)</f>
        <v>62500</v>
      </c>
      <c r="F10445" s="54" t="n">
        <f aca="false">IF(F10370&lt;=Assumptions!$E$83,Assumptions!$E$82*Assumptions!$E$108/Assumptions!$E$83,0)</f>
        <v>62500</v>
      </c>
      <c r="G10445" s="54" t="n">
        <f aca="false">IF(G10370&lt;=Assumptions!$E$83,Assumptions!$E$82*Assumptions!$E$108/Assumptions!$E$83,0)</f>
        <v>0</v>
      </c>
      <c r="H10445" s="54" t="n">
        <f aca="false">IF(H10370&lt;=Assumptions!$E$83,Assumptions!$E$82*Assumptions!$E$108/Assumptions!$E$83,0)</f>
        <v>0</v>
      </c>
      <c r="I10445" s="54" t="n">
        <f aca="false">IF(I10370&lt;=Assumptions!$E$83,Assumptions!$E$82*Assumptions!$E$108/Assumptions!$E$83,0)</f>
        <v>0</v>
      </c>
      <c r="J10445" s="54" t="n">
        <f aca="false">IF(J10370&lt;=Assumptions!$E$83,Assumptions!$E$82*Assumptions!$E$108/Assumptions!$E$83,0)</f>
        <v>0</v>
      </c>
      <c r="K10445" s="54" t="n">
        <f aca="false">IF(K10370&lt;=Assumptions!$E$83,Assumptions!$E$82*Assumptions!$E$108/Assumptions!$E$83,0)</f>
        <v>0</v>
      </c>
      <c r="L10445" s="54" t="n">
        <f aca="false">IF(L10370&lt;=Assumptions!$E$83,Assumptions!$E$82*Assumptions!$E$108/Assumptions!$E$83,0)</f>
        <v>0</v>
      </c>
      <c r="M10445" s="54" t="n">
        <f aca="false">IF(M10370&lt;=Assumptions!$E$83,Assumptions!$E$82*Assumptions!$E$108/Assumptions!$E$83,0)</f>
        <v>0</v>
      </c>
      <c r="N10445" s="54" t="n">
        <f aca="false">IF(N10370&lt;=Assumptions!$E$83,Assumptions!$E$82*Assumptions!$E$108/Assumptions!$E$83,0)</f>
        <v>0</v>
      </c>
      <c r="P10445" s="55" t="n">
        <f aca="false">SUM(C10445:F10445)</f>
        <v>250000</v>
      </c>
      <c r="Q10445" s="55" t="n">
        <f aca="false">SUM(G10445:J10445)</f>
        <v>0</v>
      </c>
      <c r="R10445" s="55" t="n">
        <f aca="false">SUM(K10445:N10445)</f>
        <v>0</v>
      </c>
      <c r="S10445" s="56" t="n">
        <f aca="false">SUM(P10445:R10445)</f>
        <v>250000</v>
      </c>
    </row>
    <row r="10446" customFormat="false" ht="15" hidden="false" customHeight="false" outlineLevel="0" collapsed="false">
      <c r="A10446" s="4" t="s">
        <v>565</v>
      </c>
      <c r="B10446" s="36" t="s">
        <v>125</v>
      </c>
      <c r="C10446" s="54" t="n">
        <f aca="false">C10434*Assumptions!$E$73/Assumptions!$E$69/4</f>
        <v>0</v>
      </c>
      <c r="D10446" s="54" t="n">
        <f aca="false">D10434*Assumptions!$E$73/Assumptions!$E$69/4</f>
        <v>807.446760146251</v>
      </c>
      <c r="E10446" s="54" t="n">
        <f aca="false">E10434*Assumptions!$E$73/Assumptions!$E$69/4</f>
        <v>2305.42559965177</v>
      </c>
      <c r="F10446" s="54" t="n">
        <f aca="false">F10434*Assumptions!$E$73/Assumptions!$E$69/4</f>
        <v>3941.31655360111</v>
      </c>
      <c r="G10446" s="54" t="n">
        <f aca="false">G10434*Assumptions!$E$73/Assumptions!$E$69/4</f>
        <v>5650.4597308921</v>
      </c>
      <c r="H10446" s="54" t="n">
        <f aca="false">H10434*Assumptions!$E$73/Assumptions!$E$69/4</f>
        <v>7752.07571708086</v>
      </c>
      <c r="I10446" s="54" t="n">
        <f aca="false">I10434*Assumptions!$E$73/Assumptions!$E$69/4</f>
        <v>10214.4313282223</v>
      </c>
      <c r="J10446" s="54" t="n">
        <f aca="false">J10434*Assumptions!$E$73/Assumptions!$E$69/4</f>
        <v>13551.6605552033</v>
      </c>
      <c r="K10446" s="54" t="n">
        <f aca="false">K10434*Assumptions!$E$73/Assumptions!$E$69/4</f>
        <v>17652.2197195866</v>
      </c>
      <c r="L10446" s="54" t="n">
        <f aca="false">L10434*Assumptions!$E$73/Assumptions!$E$69/4</f>
        <v>21734.3332760649</v>
      </c>
      <c r="M10446" s="54" t="n">
        <f aca="false">M10434*Assumptions!$E$73/Assumptions!$E$69/4</f>
        <v>25612.6816892607</v>
      </c>
      <c r="N10446" s="54" t="n">
        <f aca="false">N10434*Assumptions!$E$73/Assumptions!$E$69/4</f>
        <v>29287.4146494611</v>
      </c>
      <c r="P10446" s="55" t="n">
        <f aca="false">SUM(C10446:F10446)</f>
        <v>7054.18891339913</v>
      </c>
      <c r="Q10446" s="55" t="n">
        <f aca="false">SUM(G10446:J10446)</f>
        <v>37168.6273313986</v>
      </c>
      <c r="R10446" s="55" t="n">
        <f aca="false">SUM(K10446:N10446)</f>
        <v>94286.6493343733</v>
      </c>
      <c r="S10446" s="56" t="n">
        <f aca="false">SUM(P10446:R10446)</f>
        <v>138509.465579171</v>
      </c>
    </row>
    <row r="10447" customFormat="false" ht="15" hidden="false" customHeight="false" outlineLevel="0" collapsed="false">
      <c r="A10447" s="9" t="s">
        <v>566</v>
      </c>
      <c r="B10447" s="36" t="s">
        <v>125</v>
      </c>
      <c r="C10447" s="55" t="n">
        <f aca="false">C10443+C10444+C10445+C10446</f>
        <v>536351.785714286</v>
      </c>
      <c r="D10447" s="55" t="n">
        <f aca="false">D10443+D10444+D10445+D10446</f>
        <v>500867.104628025</v>
      </c>
      <c r="E10447" s="55" t="n">
        <f aca="false">E10443+E10444+E10445+E10446</f>
        <v>578150.010735341</v>
      </c>
      <c r="F10447" s="55" t="n">
        <f aca="false">F10443+F10444+F10445+F10446</f>
        <v>583418.635489485</v>
      </c>
      <c r="G10447" s="55" t="n">
        <f aca="false">G10443+G10444+G10445+G10446</f>
        <v>608619.988246192</v>
      </c>
      <c r="H10447" s="55" t="n">
        <f aca="false">H10443+H10444+H10445+H10446</f>
        <v>573721.552997829</v>
      </c>
      <c r="I10447" s="55" t="n">
        <f aca="false">I10443+I10444+I10445+I10446</f>
        <v>690905.029118305</v>
      </c>
      <c r="J10447" s="55" t="n">
        <f aca="false">J10443+J10444+J10445+J10446</f>
        <v>657782.967188591</v>
      </c>
      <c r="K10447" s="55" t="n">
        <f aca="false">K10443+K10444+K10445+K10446</f>
        <v>737415.039116862</v>
      </c>
      <c r="L10447" s="55" t="n">
        <f aca="false">L10443+L10444+L10445+L10446</f>
        <v>742946.316683257</v>
      </c>
      <c r="M10447" s="55" t="n">
        <f aca="false">M10443+M10444+M10445+M10446</f>
        <v>746789.147310027</v>
      </c>
      <c r="N10447" s="55" t="n">
        <f aca="false">N10443+N10444+N10445+N10446</f>
        <v>750275.036946857</v>
      </c>
      <c r="P10447" s="55" t="n">
        <f aca="false">SUM(C10447:F10447)</f>
        <v>2198787.53656714</v>
      </c>
      <c r="Q10447" s="55" t="n">
        <f aca="false">SUM(G10447:J10447)</f>
        <v>2531029.53755092</v>
      </c>
      <c r="R10447" s="55" t="n">
        <f aca="false">SUM(K10447:N10447)</f>
        <v>2977425.540057</v>
      </c>
      <c r="S10447" s="56" t="n">
        <f aca="false">SUM(P10447:R10447)</f>
        <v>7707242.61417505</v>
      </c>
    </row>
    <row r="10448" customFormat="false" ht="15" hidden="false" customHeight="false" outlineLevel="0" collapsed="false">
      <c r="A10448" s="35" t="s">
        <v>567</v>
      </c>
      <c r="B10448" s="35" t="s">
        <v>444</v>
      </c>
      <c r="C10448" s="6" t="s">
        <v>354</v>
      </c>
      <c r="D10448" s="6" t="s">
        <v>355</v>
      </c>
      <c r="E10448" s="6" t="s">
        <v>356</v>
      </c>
      <c r="F10448" s="6" t="s">
        <v>357</v>
      </c>
      <c r="G10448" s="6" t="s">
        <v>358</v>
      </c>
      <c r="H10448" s="6" t="s">
        <v>359</v>
      </c>
      <c r="I10448" s="6" t="s">
        <v>360</v>
      </c>
      <c r="J10448" s="6" t="s">
        <v>361</v>
      </c>
      <c r="K10448" s="6" t="s">
        <v>362</v>
      </c>
      <c r="L10448" s="6" t="s">
        <v>363</v>
      </c>
      <c r="M10448" s="6" t="s">
        <v>364</v>
      </c>
      <c r="N10448" s="6" t="s">
        <v>365</v>
      </c>
      <c r="P10448" s="6" t="s">
        <v>445</v>
      </c>
      <c r="Q10448" s="6" t="s">
        <v>446</v>
      </c>
      <c r="R10448" s="6" t="s">
        <v>447</v>
      </c>
      <c r="S10448" s="6" t="s">
        <v>448</v>
      </c>
    </row>
    <row r="10449" customFormat="false" ht="15" hidden="false" customHeight="false" outlineLevel="0" collapsed="false">
      <c r="A10449" s="9" t="s">
        <v>568</v>
      </c>
      <c r="B10449" s="36" t="s">
        <v>125</v>
      </c>
      <c r="C10449" s="55" t="n">
        <f aca="false">C10427-C10447</f>
        <v>-536351.785714286</v>
      </c>
      <c r="D10449" s="55" t="n">
        <f aca="false">D10427-D10447</f>
        <v>-499854.892534016</v>
      </c>
      <c r="E10449" s="55" t="n">
        <f aca="false">E10427-E10447</f>
        <v>-573836.832663317</v>
      </c>
      <c r="F10449" s="55" t="n">
        <f aca="false">F10427-F10447</f>
        <v>-573989.037363277</v>
      </c>
      <c r="G10449" s="55" t="n">
        <f aca="false">G10427-G10447</f>
        <v>-593295.500197202</v>
      </c>
      <c r="H10449" s="55" t="n">
        <f aca="false">H10427-H10447</f>
        <v>-551600.549122627</v>
      </c>
      <c r="I10449" s="55" t="n">
        <f aca="false">I10427-I10447</f>
        <v>-660600.531189991</v>
      </c>
      <c r="J10449" s="55" t="n">
        <f aca="false">J10427-J10447</f>
        <v>-617118.64370404</v>
      </c>
      <c r="K10449" s="55" t="n">
        <f aca="false">K10427-K10447</f>
        <v>-683425.014189901</v>
      </c>
      <c r="L10449" s="55" t="n">
        <f aca="false">L10427-L10447</f>
        <v>-673635.951556931</v>
      </c>
      <c r="M10449" s="55" t="n">
        <f aca="false">M10427-M10447</f>
        <v>-661669.983836966</v>
      </c>
      <c r="N10449" s="55" t="n">
        <f aca="false">N10427-N10447</f>
        <v>-649379.325457743</v>
      </c>
      <c r="P10449" s="55" t="n">
        <f aca="false">SUM(C10449:F10449)</f>
        <v>-2184032.5482749</v>
      </c>
      <c r="Q10449" s="55" t="n">
        <f aca="false">SUM(G10449:J10449)</f>
        <v>-2422615.22421386</v>
      </c>
      <c r="R10449" s="55" t="n">
        <f aca="false">SUM(K10449:N10449)</f>
        <v>-2668110.27504154</v>
      </c>
      <c r="S10449" s="56" t="n">
        <f aca="false">SUM(P10449:R10449)</f>
        <v>-7274758.0475303</v>
      </c>
    </row>
    <row r="10450" customFormat="false" ht="15" hidden="false" customHeight="false" outlineLevel="0" collapsed="false">
      <c r="A10450" s="9" t="s">
        <v>569</v>
      </c>
      <c r="B10450" s="36" t="s">
        <v>125</v>
      </c>
      <c r="C10450" s="55" t="n">
        <f aca="false">0+C10449</f>
        <v>-536351.785714286</v>
      </c>
      <c r="D10450" s="55" t="n">
        <f aca="false">C10450+D10449</f>
        <v>-1036206.6782483</v>
      </c>
      <c r="E10450" s="55" t="n">
        <f aca="false">D10450+E10449</f>
        <v>-1610043.51091162</v>
      </c>
      <c r="F10450" s="55" t="n">
        <f aca="false">E10450+F10449</f>
        <v>-2184032.5482749</v>
      </c>
      <c r="G10450" s="55" t="n">
        <f aca="false">F10450+G10449</f>
        <v>-2777328.0484721</v>
      </c>
      <c r="H10450" s="55" t="n">
        <f aca="false">G10450+H10449</f>
        <v>-3328928.59759472</v>
      </c>
      <c r="I10450" s="55" t="n">
        <f aca="false">H10450+I10449</f>
        <v>-3989529.12878472</v>
      </c>
      <c r="J10450" s="55" t="n">
        <f aca="false">I10450+J10449</f>
        <v>-4606647.77248876</v>
      </c>
      <c r="K10450" s="55" t="n">
        <f aca="false">J10450+K10449</f>
        <v>-5290072.78667866</v>
      </c>
      <c r="L10450" s="55" t="n">
        <f aca="false">K10450+L10449</f>
        <v>-5963708.73823559</v>
      </c>
      <c r="M10450" s="55" t="n">
        <f aca="false">L10450+M10449</f>
        <v>-6625378.72207255</v>
      </c>
      <c r="N10450" s="55" t="n">
        <f aca="false">M10450+N10449</f>
        <v>-7274758.0475303</v>
      </c>
      <c r="P10450" s="55" t="n">
        <f aca="false">F10450</f>
        <v>-2184032.5482749</v>
      </c>
      <c r="Q10450" s="55" t="n">
        <f aca="false">J10450</f>
        <v>-4606647.77248876</v>
      </c>
      <c r="R10450" s="55" t="n">
        <f aca="false">N10450</f>
        <v>-7274758.0475303</v>
      </c>
      <c r="S10450" s="56" t="n">
        <f aca="false">R10450</f>
        <v>-7274758.0475303</v>
      </c>
    </row>
    <row r="10451" customFormat="false" ht="15" hidden="false" customHeight="false" outlineLevel="0" collapsed="false">
      <c r="A10451" s="4" t="s">
        <v>570</v>
      </c>
      <c r="B10451" s="36" t="s">
        <v>107</v>
      </c>
      <c r="C10451" s="57" t="n">
        <f aca="false">1/(1+Assumptions!$E$87)^(C10370/4)</f>
        <v>0.972065420906982</v>
      </c>
      <c r="D10451" s="57" t="n">
        <f aca="false">1/(1+Assumptions!$E$87)^(D10370/4)</f>
        <v>0.944911182523068</v>
      </c>
      <c r="E10451" s="57" t="n">
        <f aca="false">1/(1+Assumptions!$E$87)^(E10370/4)</f>
        <v>0.918515486359</v>
      </c>
      <c r="F10451" s="57" t="n">
        <f aca="false">1/(1+Assumptions!$E$87)^(F10370/4)</f>
        <v>0.892857142857143</v>
      </c>
      <c r="G10451" s="57" t="n">
        <f aca="false">1/(1+Assumptions!$E$87)^(G10370/4)</f>
        <v>0.867915554381234</v>
      </c>
      <c r="H10451" s="57" t="n">
        <f aca="false">1/(1+Assumptions!$E$87)^(H10370/4)</f>
        <v>0.843670698681311</v>
      </c>
      <c r="I10451" s="57" t="n">
        <f aca="false">1/(1+Assumptions!$E$87)^(I10370/4)</f>
        <v>0.820103112820536</v>
      </c>
      <c r="J10451" s="57" t="n">
        <f aca="false">1/(1+Assumptions!$E$87)^(J10370/4)</f>
        <v>0.79719387755102</v>
      </c>
      <c r="K10451" s="57" t="n">
        <f aca="false">1/(1+Assumptions!$E$87)^(K10370/4)</f>
        <v>0.774924602126102</v>
      </c>
      <c r="L10451" s="57" t="n">
        <f aca="false">1/(1+Assumptions!$E$87)^(L10370/4)</f>
        <v>0.753277409536885</v>
      </c>
      <c r="M10451" s="57" t="n">
        <f aca="false">1/(1+Assumptions!$E$87)^(M10370/4)</f>
        <v>0.732234922161193</v>
      </c>
      <c r="N10451" s="57" t="n">
        <f aca="false">1/(1+Assumptions!$E$87)^(N10370/4)</f>
        <v>0.711780247813411</v>
      </c>
      <c r="P10451" s="58"/>
      <c r="Q10451" s="58"/>
      <c r="R10451" s="58"/>
      <c r="S10451" s="59"/>
    </row>
    <row r="10452" customFormat="false" ht="15" hidden="false" customHeight="false" outlineLevel="0" collapsed="false">
      <c r="A10452" s="4" t="s">
        <v>571</v>
      </c>
      <c r="B10452" s="36" t="s">
        <v>125</v>
      </c>
      <c r="C10452" s="54" t="n">
        <f aca="false">(C10427*(1-Assumptions!$E$88)-C10447)*C10451</f>
        <v>-521369.024334569</v>
      </c>
      <c r="D10452" s="54" t="n">
        <f aca="false">(D10427*(1-Assumptions!$E$88)-D10447)*D10451</f>
        <v>-472509.767699601</v>
      </c>
      <c r="E10452" s="54" t="n">
        <f aca="false">(E10427*(1-Assumptions!$E$88)-E10447)*E10451</f>
        <v>-527870.36161537</v>
      </c>
      <c r="F10452" s="54" t="n">
        <f aca="false">(F10427*(1-Assumptions!$E$88)-F10447)*F10451</f>
        <v>-514174.068739749</v>
      </c>
      <c r="G10452" s="54" t="n">
        <f aca="false">(G10427*(1-Assumptions!$E$88)-G10447)*G10451</f>
        <v>-517590.465273676</v>
      </c>
      <c r="H10452" s="54" t="n">
        <f aca="false">(H10427*(1-Assumptions!$E$88)-H10447)*H10451</f>
        <v>-469101.789230266</v>
      </c>
      <c r="I10452" s="54" t="n">
        <f aca="false">(I10427*(1-Assumptions!$E$88)-I10447)*I10451</f>
        <v>-546731.114576506</v>
      </c>
      <c r="J10452" s="54" t="n">
        <f aca="false">(J10427*(1-Assumptions!$E$88)-J10447)*J10451</f>
        <v>-498446.674426778</v>
      </c>
      <c r="K10452" s="54" t="n">
        <f aca="false">(K10427*(1-Assumptions!$E$88)-K10447)*K10451</f>
        <v>-537970.496921195</v>
      </c>
      <c r="L10452" s="54" t="n">
        <f aca="false">(L10427*(1-Assumptions!$E$88)-L10447)*L10451</f>
        <v>-517876.731019002</v>
      </c>
      <c r="M10452" s="54" t="n">
        <f aca="false">(M10427*(1-Assumptions!$E$88)-M10447)*M10451</f>
        <v>-496963.313919283</v>
      </c>
      <c r="N10452" s="54" t="n">
        <f aca="false">(N10427*(1-Assumptions!$E$88)-N10447)*N10451</f>
        <v>-476578.492104624</v>
      </c>
      <c r="P10452" s="55" t="n">
        <f aca="false">SUM(C10452:F10452)</f>
        <v>-2035923.22238929</v>
      </c>
      <c r="Q10452" s="55" t="n">
        <f aca="false">SUM(G10452:J10452)</f>
        <v>-2031870.04350723</v>
      </c>
      <c r="R10452" s="55" t="n">
        <f aca="false">SUM(K10452:N10452)</f>
        <v>-2029389.0339641</v>
      </c>
      <c r="S10452" s="56" t="n">
        <f aca="false">SUM(P10452:R10452)</f>
        <v>-6097182.29986062</v>
      </c>
    </row>
    <row r="10453" customFormat="false" ht="15" hidden="false" customHeight="false" outlineLevel="0" collapsed="false">
      <c r="A10453" s="4" t="s">
        <v>572</v>
      </c>
      <c r="B10453" s="36" t="s">
        <v>125</v>
      </c>
      <c r="C10453" s="54" t="n">
        <f aca="false">(C10447-C10446)*12/(Assumptions!$E$89*Assumptions!$E$76)*Assumptions!$E$90</f>
        <v>371320.467032967</v>
      </c>
      <c r="D10453" s="54" t="n">
        <f aca="false">(D10447-D10446)*12/(Assumptions!$E$89*Assumptions!$E$76)*Assumptions!$E$90</f>
        <v>346195.147754685</v>
      </c>
      <c r="E10453" s="54" t="n">
        <f aca="false">(E10447-E10446)*12/(Assumptions!$E$89*Assumptions!$E$76)*Assumptions!$E$90</f>
        <v>398661.635863169</v>
      </c>
      <c r="F10453" s="54" t="n">
        <f aca="false">(F10447-F10446)*12/(Assumptions!$E$89*Assumptions!$E$76)*Assumptions!$E$90</f>
        <v>401176.60541715</v>
      </c>
      <c r="G10453" s="54" t="n">
        <f aca="false">(G10447-G10446)*12/(Assumptions!$E$89*Assumptions!$E$76)*Assumptions!$E$90</f>
        <v>417440.442818284</v>
      </c>
      <c r="H10453" s="54" t="n">
        <f aca="false">(H10447-H10446)*12/(Assumptions!$E$89*Assumptions!$E$76)*Assumptions!$E$90</f>
        <v>391825.022732826</v>
      </c>
      <c r="I10453" s="54" t="n">
        <f aca="false">(I10447-I10446)*12/(Assumptions!$E$89*Assumptions!$E$76)*Assumptions!$E$90</f>
        <v>471247.336931595</v>
      </c>
      <c r="J10453" s="54" t="n">
        <f aca="false">(J10447-J10446)*12/(Assumptions!$E$89*Assumptions!$E$76)*Assumptions!$E$90</f>
        <v>446006.28920773</v>
      </c>
      <c r="K10453" s="54" t="n">
        <f aca="false">(K10447-K10446)*12/(Assumptions!$E$89*Assumptions!$E$76)*Assumptions!$E$90</f>
        <v>498297.336505806</v>
      </c>
      <c r="L10453" s="54" t="n">
        <f aca="false">(L10447-L10446)*12/(Assumptions!$E$89*Assumptions!$E$76)*Assumptions!$E$90</f>
        <v>499300.603897287</v>
      </c>
      <c r="M10453" s="54" t="n">
        <f aca="false">(M10447-M10446)*12/(Assumptions!$E$89*Assumptions!$E$76)*Assumptions!$E$90</f>
        <v>499276.01466053</v>
      </c>
      <c r="N10453" s="54" t="n">
        <f aca="false">(N10447-N10446)*12/(Assumptions!$E$89*Assumptions!$E$76)*Assumptions!$E$90</f>
        <v>499145.27697512</v>
      </c>
      <c r="P10453" s="55" t="n">
        <f aca="false">SUM(C10453:F10453)</f>
        <v>1517353.85606797</v>
      </c>
      <c r="Q10453" s="55" t="n">
        <f aca="false">SUM(G10453:J10453)</f>
        <v>1726519.09169044</v>
      </c>
      <c r="R10453" s="55" t="n">
        <f aca="false">SUM(K10453:N10453)</f>
        <v>1996019.23203874</v>
      </c>
      <c r="S10453" s="56" t="n">
        <f aca="false">SUM(P10453:R10453)</f>
        <v>5239892.17979715</v>
      </c>
    </row>
    <row r="10454" customFormat="false" ht="15" hidden="false" customHeight="false" outlineLevel="0" collapsed="false">
      <c r="A10454" s="4" t="s">
        <v>573</v>
      </c>
      <c r="B10454" s="36" t="s">
        <v>125</v>
      </c>
      <c r="C10454" s="54" t="n">
        <f aca="false">0*Assumptions!$E$92^(1/4)+C10453</f>
        <v>371320.467032967</v>
      </c>
      <c r="D10454" s="54" t="n">
        <f aca="false">C10454*Assumptions!$E$92^(1/4)+D10453</f>
        <v>718440.454993875</v>
      </c>
      <c r="E10454" s="54" t="n">
        <f aca="false">D10454*Assumptions!$E$92^(1/4)+E10453</f>
        <v>1118891.49563687</v>
      </c>
      <c r="F10454" s="54" t="n">
        <f aca="false">E10454*Assumptions!$E$92^(1/4)+F10453</f>
        <v>1522854.90095717</v>
      </c>
      <c r="G10454" s="54" t="n">
        <f aca="false">F10454*Assumptions!$E$92^(1/4)+G10453</f>
        <v>1944088.28697598</v>
      </c>
      <c r="H10454" s="54" t="n">
        <f aca="false">G10454*Assumptions!$E$92^(1/4)+H10453</f>
        <v>2340755.41019039</v>
      </c>
      <c r="I10454" s="54" t="n">
        <f aca="false">H10454*Assumptions!$E$92^(1/4)+I10453</f>
        <v>2817832.81820204</v>
      </c>
      <c r="J10454" s="54" t="n">
        <f aca="false">I10454*Assumptions!$E$92^(1/4)+J10453</f>
        <v>3270857.42532128</v>
      </c>
      <c r="K10454" s="54" t="n">
        <f aca="false">J10454*Assumptions!$E$92^(1/4)+K10453</f>
        <v>3777301.41875642</v>
      </c>
      <c r="L10454" s="54" t="n">
        <f aca="false">K10454*Assumptions!$E$92^(1/4)+L10453</f>
        <v>4286010.06916136</v>
      </c>
      <c r="M10454" s="54" t="n">
        <f aca="false">L10454*Assumptions!$E$92^(1/4)+M10453</f>
        <v>4795961.16044212</v>
      </c>
      <c r="N10454" s="54" t="n">
        <f aca="false">M10454*Assumptions!$E$92^(1/4)+N10453</f>
        <v>5307051.63867184</v>
      </c>
      <c r="P10454" s="55" t="n">
        <f aca="false">F10454</f>
        <v>1522854.90095717</v>
      </c>
      <c r="Q10454" s="55" t="n">
        <f aca="false">J10454</f>
        <v>3270857.42532128</v>
      </c>
      <c r="R10454" s="55" t="n">
        <f aca="false">N10454</f>
        <v>5307051.63867184</v>
      </c>
      <c r="S10454" s="56" t="n">
        <f aca="false">R10454</f>
        <v>5307051.63867184</v>
      </c>
    </row>
    <row r="10455" customFormat="false" ht="15" hidden="false" customHeight="false" outlineLevel="0" collapsed="false">
      <c r="A10455" s="4" t="s">
        <v>574</v>
      </c>
      <c r="B10455" s="36" t="s">
        <v>125</v>
      </c>
      <c r="C10455" s="54" t="n">
        <f aca="false">(0+C10454)/8*Assumptions!$E$76-(C10447-C10446)-C10454*Assumptions!$E$93/4</f>
        <v>-510823.503605769</v>
      </c>
      <c r="D10455" s="54" t="n">
        <f aca="false">(C10454+D10454)/8*Assumptions!$E$76-(D10447-D10446)-D10454*Assumptions!$E$93/4</f>
        <v>-420497.088640621</v>
      </c>
      <c r="E10455" s="54" t="n">
        <f aca="false">(D10454+E10454)/8*Assumptions!$E$76-(E10447-E10446)-E10454*Assumptions!$E$93/4</f>
        <v>-440547.507842402</v>
      </c>
      <c r="F10455" s="54" t="n">
        <f aca="false">(E10454+F10454)/8*Assumptions!$E$76-(F10447-F10446)-F10454*Assumptions!$E$93/4</f>
        <v>-383871.110474583</v>
      </c>
      <c r="G10455" s="54" t="n">
        <f aca="false">(F10454+G10454)/8*Assumptions!$E$76-(G10447-G10446)-G10454*Assumptions!$E$93/4</f>
        <v>-345581.498082931</v>
      </c>
      <c r="H10455" s="54" t="n">
        <f aca="false">(G10454+H10454)/8*Assumptions!$E$76-(H10447-H10446)-H10454*Assumptions!$E$93/4</f>
        <v>-247085.36951336</v>
      </c>
      <c r="I10455" s="54" t="n">
        <f aca="false">(H10454+I10454)/8*Assumptions!$E$76-(I10447-I10446)-I10454*Assumptions!$E$93/4</f>
        <v>-296778.214460723</v>
      </c>
      <c r="J10455" s="54" t="n">
        <f aca="false">(I10454+J10454)/8*Assumptions!$E$76-(J10447-J10446)-J10454*Assumptions!$E$93/4</f>
        <v>-190410.942163634</v>
      </c>
      <c r="K10455" s="54" t="n">
        <f aca="false">(J10454+K10454)/8*Assumptions!$E$76-(K10447-K10446)-K10454*Assumptions!$E$93/4</f>
        <v>-194316.181050417</v>
      </c>
      <c r="L10455" s="54" t="n">
        <f aca="false">(K10454+L10454)/8*Assumptions!$E$76-(L10447-L10446)-L10454*Assumptions!$E$93/4</f>
        <v>-119643.050878389</v>
      </c>
      <c r="M10455" s="54" t="n">
        <f aca="false">(L10454+M10454)/8*Assumptions!$E$76-(M10447-M10446)-M10454*Assumptions!$E$93/4</f>
        <v>-43215.8177210091</v>
      </c>
      <c r="N10455" s="54" t="n">
        <f aca="false">(M10454+N10454)/8*Assumptions!$E$76-(N10447-N10446)-N10454*Assumptions!$E$93/4</f>
        <v>33544.0221472165</v>
      </c>
      <c r="P10455" s="55" t="n">
        <f aca="false">SUM(C10455:F10455)</f>
        <v>-1755739.21056337</v>
      </c>
      <c r="Q10455" s="55" t="n">
        <f aca="false">SUM(G10455:J10455)</f>
        <v>-1079856.02422065</v>
      </c>
      <c r="R10455" s="55" t="n">
        <f aca="false">SUM(K10455:N10455)</f>
        <v>-323631.027502599</v>
      </c>
      <c r="S10455" s="56" t="n">
        <f aca="false">SUM(P10455:R10455)</f>
        <v>-3159226.26228662</v>
      </c>
    </row>
    <row r="10456" customFormat="false" ht="15" hidden="false" customHeight="false" outlineLevel="0" collapsed="false">
      <c r="A10456" s="4" t="s">
        <v>575</v>
      </c>
      <c r="B10456" s="36" t="s">
        <v>125</v>
      </c>
      <c r="C10456" s="54" t="n">
        <f aca="false">C10455*C10451</f>
        <v>-496553.864041721</v>
      </c>
      <c r="D10456" s="54" t="n">
        <f aca="false">D10455*D10451</f>
        <v>-397332.401274916</v>
      </c>
      <c r="E10456" s="54" t="n">
        <f aca="false">E10455*E10451</f>
        <v>-404649.708430109</v>
      </c>
      <c r="F10456" s="54" t="n">
        <f aca="false">F10455*F10451</f>
        <v>-342742.062923735</v>
      </c>
      <c r="G10456" s="54" t="n">
        <f aca="false">G10455*G10451</f>
        <v>-299935.557492544</v>
      </c>
      <c r="H10456" s="54" t="n">
        <f aca="false">H10455*H10451</f>
        <v>-208458.686331266</v>
      </c>
      <c r="I10456" s="54" t="n">
        <f aca="false">I10455*I10451</f>
        <v>-243388.737496559</v>
      </c>
      <c r="J10456" s="54" t="n">
        <f aca="false">J10455*J10451</f>
        <v>-151794.437311571</v>
      </c>
      <c r="K10456" s="54" t="n">
        <f aca="false">K10455*K10451</f>
        <v>-150580.389287158</v>
      </c>
      <c r="L10456" s="54" t="n">
        <f aca="false">L10455*L10451</f>
        <v>-90124.4074347626</v>
      </c>
      <c r="M10456" s="54" t="n">
        <f aca="false">M10455*M10451</f>
        <v>-31644.1309250754</v>
      </c>
      <c r="N10456" s="54" t="n">
        <f aca="false">N10455*N10451</f>
        <v>23875.9723966043</v>
      </c>
      <c r="P10456" s="55" t="n">
        <f aca="false">SUM(C10456:F10456)</f>
        <v>-1641278.03667048</v>
      </c>
      <c r="Q10456" s="55" t="n">
        <f aca="false">SUM(G10456:J10456)</f>
        <v>-903577.41863194</v>
      </c>
      <c r="R10456" s="55" t="n">
        <f aca="false">SUM(K10456:N10456)</f>
        <v>-248472.955250392</v>
      </c>
      <c r="S10456" s="56" t="n">
        <f aca="false">SUM(P10456:R10456)</f>
        <v>-2793328.41055281</v>
      </c>
    </row>
    <row r="10457" customFormat="false" ht="15" hidden="false" customHeight="false" outlineLevel="0" collapsed="false">
      <c r="A10457" s="4" t="s">
        <v>576</v>
      </c>
      <c r="B10457" s="36"/>
      <c r="C10457" s="37" t="n">
        <f aca="false">IFERROR((S10412*$C$10361*Assumptions!$E$59+S10413*$C$10362*Assumptions!$E$60+S10414*$C$10363*Assumptions!$E$61)/(S10412*$C$10361+S10413*$C$10362+S10414*$C$10363),0.9)</f>
        <v>0.897421293168565</v>
      </c>
    </row>
    <row r="10458" customFormat="false" ht="15" hidden="false" customHeight="false" outlineLevel="0" collapsed="false">
      <c r="A10458" s="4" t="s">
        <v>577</v>
      </c>
      <c r="B10458" s="36"/>
      <c r="C10458" s="37" t="n">
        <f aca="false">IFERROR(N10446*4/N10424,0)</f>
        <v>0.17502912654078</v>
      </c>
    </row>
    <row r="10459" customFormat="false" ht="15" hidden="false" customHeight="false" outlineLevel="0" collapsed="false">
      <c r="A10459" s="4" t="s">
        <v>578</v>
      </c>
      <c r="B10459" s="36"/>
      <c r="C10459" s="60" t="n">
        <f aca="false">$C$10457/(1+Assumptions!$E$87)</f>
        <v>0.801269011757647</v>
      </c>
    </row>
    <row r="10460" customFormat="false" ht="15" hidden="false" customHeight="false" outlineLevel="0" collapsed="false">
      <c r="A10460" s="4" t="s">
        <v>579</v>
      </c>
      <c r="B10460" s="36"/>
      <c r="C10460" s="60" t="n">
        <f aca="false">Assumptions!$E$91/(1+Assumptions!$E$87)</f>
        <v>0.803571428571429</v>
      </c>
    </row>
    <row r="10461" customFormat="false" ht="15" hidden="false" customHeight="false" outlineLevel="0" collapsed="false">
      <c r="A10461" s="35" t="s">
        <v>580</v>
      </c>
      <c r="B10461" s="35" t="s">
        <v>444</v>
      </c>
      <c r="C10461" s="6" t="s">
        <v>354</v>
      </c>
      <c r="D10461" s="6" t="s">
        <v>355</v>
      </c>
      <c r="E10461" s="6" t="s">
        <v>356</v>
      </c>
      <c r="F10461" s="6" t="s">
        <v>357</v>
      </c>
      <c r="G10461" s="6" t="s">
        <v>358</v>
      </c>
      <c r="H10461" s="6" t="s">
        <v>359</v>
      </c>
      <c r="I10461" s="6" t="s">
        <v>360</v>
      </c>
      <c r="J10461" s="6" t="s">
        <v>361</v>
      </c>
      <c r="K10461" s="6" t="s">
        <v>362</v>
      </c>
      <c r="L10461" s="6" t="s">
        <v>363</v>
      </c>
      <c r="M10461" s="6" t="s">
        <v>364</v>
      </c>
      <c r="N10461" s="6" t="s">
        <v>365</v>
      </c>
      <c r="P10461" s="6" t="s">
        <v>445</v>
      </c>
      <c r="Q10461" s="6" t="s">
        <v>446</v>
      </c>
      <c r="R10461" s="6" t="s">
        <v>447</v>
      </c>
      <c r="S10461" s="6" t="s">
        <v>448</v>
      </c>
    </row>
    <row r="10462" customFormat="false" ht="15" hidden="false" customHeight="false" outlineLevel="0" collapsed="false">
      <c r="A10462" s="9" t="s">
        <v>581</v>
      </c>
      <c r="C10462" s="61" t="n">
        <f aca="false">N10424</f>
        <v>669315.221490006</v>
      </c>
      <c r="D10462" s="61"/>
    </row>
    <row r="10463" customFormat="false" ht="15" hidden="false" customHeight="false" outlineLevel="0" collapsed="false">
      <c r="A10463" s="9" t="s">
        <v>582</v>
      </c>
      <c r="C10463" s="62" t="n">
        <f aca="false">N10420</f>
        <v>64.643461566053</v>
      </c>
      <c r="D10463" s="62"/>
    </row>
    <row r="10464" customFormat="false" ht="15" hidden="false" customHeight="false" outlineLevel="0" collapsed="false">
      <c r="A10464" s="9" t="s">
        <v>583</v>
      </c>
      <c r="C10464" s="63" t="n">
        <f aca="false">S10415</f>
        <v>71.6508496112103</v>
      </c>
      <c r="D10464" s="63"/>
    </row>
    <row r="10465" customFormat="false" ht="15" hidden="false" customHeight="false" outlineLevel="0" collapsed="false">
      <c r="A10465" s="9" t="s">
        <v>584</v>
      </c>
      <c r="C10465" s="61" t="n">
        <f aca="false">S10426</f>
        <v>665360.871761167</v>
      </c>
      <c r="D10465" s="61"/>
    </row>
    <row r="10466" customFormat="false" ht="15" hidden="false" customHeight="false" outlineLevel="0" collapsed="false">
      <c r="A10466" s="9" t="s">
        <v>22</v>
      </c>
      <c r="C10466" s="61" t="n">
        <f aca="false">IFERROR(S10425/S10415,0)</f>
        <v>8864.42859746324</v>
      </c>
      <c r="D10466" s="61"/>
    </row>
    <row r="10467" customFormat="false" ht="15" hidden="false" customHeight="false" outlineLevel="0" collapsed="false">
      <c r="A10467" s="9" t="s">
        <v>585</v>
      </c>
      <c r="C10467" s="61" t="n">
        <f aca="false">IFERROR(S10443/S10415,0)</f>
        <v>95832.0448615569</v>
      </c>
      <c r="D10467" s="61"/>
    </row>
    <row r="10468" customFormat="false" ht="23.85" hidden="false" customHeight="false" outlineLevel="0" collapsed="false">
      <c r="A10468" s="9" t="s">
        <v>586</v>
      </c>
      <c r="C10468" s="61" t="n">
        <f aca="false">IFERROR((S10437+S10439+S10440+S10441+S10442)/S10415,0)</f>
        <v>15445.1005559907</v>
      </c>
      <c r="D10468" s="61"/>
    </row>
    <row r="10469" customFormat="false" ht="15" hidden="false" customHeight="false" outlineLevel="0" collapsed="false">
      <c r="A10469" s="9" t="s">
        <v>587</v>
      </c>
      <c r="C10469" s="64" t="n">
        <f aca="false">IFERROR('Engine Runs'!$C$10467/('Engine Runs'!$C$10466*Assumptions!$E$76/12),0)</f>
        <v>199.585000049051</v>
      </c>
      <c r="D10469" s="64"/>
    </row>
    <row r="10470" customFormat="false" ht="15" hidden="false" customHeight="false" outlineLevel="0" collapsed="false">
      <c r="A10470" s="9" t="s">
        <v>588</v>
      </c>
      <c r="C10470" s="64" t="n">
        <f aca="false">IFERROR((R10443/R10415)/((R10425/R10415)*Assumptions!$E$76/12),0)</f>
        <v>143.118927701821</v>
      </c>
      <c r="D10470" s="64"/>
    </row>
    <row r="10471" customFormat="false" ht="15" hidden="false" customHeight="false" outlineLevel="0" collapsed="false">
      <c r="A10471" s="9" t="s">
        <v>589</v>
      </c>
      <c r="C10471" s="61" t="n">
        <f aca="false">S10447</f>
        <v>7707242.61417505</v>
      </c>
      <c r="D10471" s="61"/>
    </row>
    <row r="10472" customFormat="false" ht="15" hidden="false" customHeight="false" outlineLevel="0" collapsed="false">
      <c r="A10472" s="9" t="s">
        <v>590</v>
      </c>
      <c r="C10472" s="61" t="n">
        <f aca="false">N10450</f>
        <v>-7274758.0475303</v>
      </c>
      <c r="D10472" s="61"/>
    </row>
    <row r="10473" customFormat="false" ht="15" hidden="false" customHeight="false" outlineLevel="0" collapsed="false">
      <c r="A10473" s="9" t="s">
        <v>591</v>
      </c>
      <c r="C10473" s="61" t="n">
        <f aca="false">MIN($C$10450:$N$10450)</f>
        <v>-7274758.0475303</v>
      </c>
      <c r="D10473" s="61"/>
    </row>
    <row r="10474" customFormat="false" ht="15" hidden="false" customHeight="false" outlineLevel="0" collapsed="false">
      <c r="A10474" s="9" t="s">
        <v>592</v>
      </c>
      <c r="C10474" s="61" t="n">
        <f aca="false">N10424*(Assumptions!$E$76-$C$10458)*$C$10457*(1-$C$10457^Assumptions!$E$85)/(1-$C$10457)</f>
        <v>1162334.52744389</v>
      </c>
      <c r="D10474" s="61"/>
    </row>
    <row r="10475" customFormat="false" ht="15" hidden="false" customHeight="false" outlineLevel="0" collapsed="false">
      <c r="A10475" s="9" t="s">
        <v>593</v>
      </c>
      <c r="C10475" s="61" t="n">
        <f aca="false">N10424*(Assumptions!$E$76-$C$10458)*(1-Assumptions!$E$88)/(1+Assumptions!$E$87)^2.5*$C$10459*(1-$C$10459^Assumptions!$E$85)/(1-$C$10459)</f>
        <v>517301.774989144</v>
      </c>
      <c r="D10475" s="61"/>
    </row>
    <row r="10476" customFormat="false" ht="15" hidden="false" customHeight="false" outlineLevel="0" collapsed="false">
      <c r="A10476" s="9" t="s">
        <v>594</v>
      </c>
      <c r="C10476" s="61" t="n">
        <f aca="false">SUM($C$10452:$N$10452)+'Engine Runs'!$C$10475</f>
        <v>-5579880.52487147</v>
      </c>
      <c r="D10476" s="61"/>
    </row>
    <row r="10477" customFormat="false" ht="15" hidden="false" customHeight="false" outlineLevel="0" collapsed="false">
      <c r="A10477" s="9" t="s">
        <v>595</v>
      </c>
      <c r="C10477" s="61" t="n">
        <f aca="false">SUM($C$10456:$N$10456)+N10454*(Assumptions!$E$76-Assumptions!$E$93)/(1+Assumptions!$E$87)^2.5*$C$10460*(1-$C$10460^Assumptions!$E$85)/(1-$C$10460)</f>
        <v>3731391.45935441</v>
      </c>
      <c r="D10477" s="61"/>
    </row>
    <row r="10478" customFormat="false" ht="15" hidden="false" customHeight="false" outlineLevel="0" collapsed="false">
      <c r="A10478" s="9" t="s">
        <v>596</v>
      </c>
      <c r="C10478" s="61" t="n">
        <f aca="false">'Engine Runs'!$C$10476-'Engine Runs'!$C$10477</f>
        <v>-9311271.98422589</v>
      </c>
      <c r="D10478" s="61"/>
    </row>
    <row r="10479" customFormat="false" ht="15" hidden="false" customHeight="false" outlineLevel="0" collapsed="false">
      <c r="A10479" s="9" t="s">
        <v>597</v>
      </c>
      <c r="C10479" s="61" t="n">
        <f aca="false">S10411</f>
        <v>0</v>
      </c>
      <c r="D10479" s="61"/>
    </row>
    <row r="10480" customFormat="false" ht="15" hidden="false" customHeight="false" outlineLevel="0" collapsed="false">
      <c r="A10480" s="9" t="s">
        <v>598</v>
      </c>
      <c r="C10480" s="63" t="n">
        <f aca="false">P10395</f>
        <v>61.0174038402963</v>
      </c>
      <c r="D10480" s="63"/>
    </row>
    <row r="10481" customFormat="false" ht="15" hidden="false" customHeight="false" outlineLevel="0" collapsed="false">
      <c r="A10481" s="9" t="s">
        <v>599</v>
      </c>
      <c r="C10481" s="63" t="n">
        <f aca="false">P10415</f>
        <v>8.74920227934963</v>
      </c>
      <c r="D10481" s="63"/>
    </row>
    <row r="10482" customFormat="false" ht="15" hidden="false" customHeight="false" outlineLevel="0" collapsed="false">
      <c r="A10482" s="9" t="s">
        <v>600</v>
      </c>
      <c r="C10482" s="63" t="n">
        <f aca="false">P10391</f>
        <v>42</v>
      </c>
      <c r="D10482" s="63"/>
    </row>
    <row r="10483" customFormat="false" ht="15" hidden="false" customHeight="false" outlineLevel="0" collapsed="false">
      <c r="A10483" s="9" t="s">
        <v>601</v>
      </c>
      <c r="C10483" s="61" t="n">
        <f aca="false">IFERROR(P10425/P10415,0)</f>
        <v>8558.51315070179</v>
      </c>
      <c r="D10483" s="61"/>
    </row>
    <row r="10486" customFormat="false" ht="15" hidden="false" customHeight="true" outlineLevel="0" collapsed="false">
      <c r="A10486" s="78" t="s">
        <v>966</v>
      </c>
      <c r="B10486" s="78"/>
      <c r="C10486" s="78"/>
      <c r="D10486" s="78"/>
      <c r="E10486" s="78"/>
      <c r="F10486" s="78"/>
      <c r="G10486" s="78"/>
      <c r="H10486" s="78"/>
      <c r="I10486" s="78"/>
      <c r="J10486" s="78"/>
      <c r="K10486" s="78"/>
      <c r="L10486" s="78"/>
      <c r="M10486" s="78"/>
      <c r="N10486" s="78"/>
    </row>
    <row r="10487" customFormat="false" ht="15" hidden="false" customHeight="true" outlineLevel="0" collapsed="false">
      <c r="A10487" s="79" t="s">
        <v>967</v>
      </c>
      <c r="B10487" s="79"/>
      <c r="C10487" s="79"/>
      <c r="D10487" s="79"/>
      <c r="E10487" s="79"/>
      <c r="F10487" s="79"/>
      <c r="G10487" s="79"/>
      <c r="H10487" s="79"/>
      <c r="I10487" s="79"/>
      <c r="J10487" s="79"/>
      <c r="K10487" s="79"/>
      <c r="L10487" s="79"/>
      <c r="M10487" s="79"/>
      <c r="N10487" s="79"/>
    </row>
    <row r="10488" customFormat="false" ht="23.85" hidden="false" customHeight="false" outlineLevel="0" collapsed="false">
      <c r="A10488" s="35" t="s">
        <v>968</v>
      </c>
      <c r="B10488" s="35" t="s">
        <v>444</v>
      </c>
      <c r="C10488" s="6" t="s">
        <v>354</v>
      </c>
      <c r="D10488" s="6" t="s">
        <v>355</v>
      </c>
      <c r="E10488" s="6" t="s">
        <v>356</v>
      </c>
      <c r="F10488" s="6" t="s">
        <v>357</v>
      </c>
      <c r="G10488" s="6" t="s">
        <v>358</v>
      </c>
      <c r="H10488" s="6" t="s">
        <v>359</v>
      </c>
      <c r="I10488" s="6" t="s">
        <v>360</v>
      </c>
      <c r="J10488" s="6" t="s">
        <v>361</v>
      </c>
      <c r="K10488" s="6" t="s">
        <v>362</v>
      </c>
      <c r="L10488" s="6" t="s">
        <v>363</v>
      </c>
      <c r="M10488" s="6" t="s">
        <v>364</v>
      </c>
      <c r="N10488" s="6" t="s">
        <v>365</v>
      </c>
      <c r="P10488" s="6" t="s">
        <v>445</v>
      </c>
      <c r="Q10488" s="6" t="s">
        <v>446</v>
      </c>
      <c r="R10488" s="6" t="s">
        <v>447</v>
      </c>
      <c r="S10488" s="6" t="s">
        <v>448</v>
      </c>
    </row>
    <row r="10489" customFormat="false" ht="15" hidden="false" customHeight="false" outlineLevel="0" collapsed="false">
      <c r="A10489" s="4" t="s">
        <v>449</v>
      </c>
      <c r="B10489" s="36" t="s">
        <v>450</v>
      </c>
      <c r="C10489" s="34" t="n">
        <f aca="false">'Market Sizing'!$C$17*Assumptions!$E$10*Assumptions!$E$11*(1-Assumptions!$E$12)</f>
        <v>843.03944704</v>
      </c>
    </row>
    <row r="10490" customFormat="false" ht="15" hidden="false" customHeight="false" outlineLevel="0" collapsed="false">
      <c r="A10490" s="4" t="s">
        <v>451</v>
      </c>
      <c r="B10490" s="36" t="s">
        <v>450</v>
      </c>
      <c r="C10490" s="34" t="n">
        <f aca="false">'Market Sizing'!$D$17*Assumptions!$E$10*Assumptions!$E$11*(1-Assumptions!$E$12)</f>
        <v>211.19616</v>
      </c>
    </row>
    <row r="10491" customFormat="false" ht="15" hidden="false" customHeight="false" outlineLevel="0" collapsed="false">
      <c r="A10491" s="4" t="s">
        <v>452</v>
      </c>
      <c r="B10491" s="36" t="s">
        <v>450</v>
      </c>
      <c r="C10491" s="34" t="n">
        <f aca="false">'Market Sizing'!$E$17*Assumptions!$E$10*Assumptions!$E$11*(1-Assumptions!$E$12)</f>
        <v>49.53984</v>
      </c>
    </row>
    <row r="10492" customFormat="false" ht="15" hidden="false" customHeight="false" outlineLevel="0" collapsed="false">
      <c r="A10492" s="4" t="s">
        <v>453</v>
      </c>
      <c r="B10492" s="36"/>
      <c r="C10492" s="34" t="n">
        <f aca="false">$C$10489+$C$10490+$C$10491</f>
        <v>1103.77544704</v>
      </c>
    </row>
    <row r="10493" customFormat="false" ht="15" hidden="false" customHeight="false" outlineLevel="0" collapsed="false">
      <c r="A10493" s="4" t="s">
        <v>454</v>
      </c>
      <c r="B10493" s="36" t="s">
        <v>450</v>
      </c>
      <c r="C10493" s="34" t="n">
        <f aca="false">'Market Sizing'!$C$18*Assumptions!$E$10*Assumptions!$E$11*(1-Assumptions!$E$12)</f>
        <v>612.57706944</v>
      </c>
    </row>
    <row r="10494" customFormat="false" ht="15" hidden="false" customHeight="false" outlineLevel="0" collapsed="false">
      <c r="A10494" s="4" t="s">
        <v>455</v>
      </c>
      <c r="B10494" s="36" t="s">
        <v>450</v>
      </c>
      <c r="C10494" s="34" t="n">
        <f aca="false">'Market Sizing'!$D$18*Assumptions!$E$10*Assumptions!$E$11*(1-Assumptions!$E$12)</f>
        <v>142.10112</v>
      </c>
    </row>
    <row r="10495" customFormat="false" ht="15" hidden="false" customHeight="false" outlineLevel="0" collapsed="false">
      <c r="A10495" s="4" t="s">
        <v>456</v>
      </c>
      <c r="B10495" s="36" t="s">
        <v>450</v>
      </c>
      <c r="C10495" s="34" t="n">
        <f aca="false">'Market Sizing'!$E$18*Assumptions!$E$10*Assumptions!$E$11*(1-Assumptions!$E$12)</f>
        <v>24.76992</v>
      </c>
    </row>
    <row r="10496" customFormat="false" ht="15" hidden="false" customHeight="false" outlineLevel="0" collapsed="false">
      <c r="A10496" s="4" t="s">
        <v>457</v>
      </c>
      <c r="B10496" s="36"/>
      <c r="C10496" s="34" t="n">
        <f aca="false">$C$10493+$C$10494+$C$10495</f>
        <v>779.44810944</v>
      </c>
    </row>
    <row r="10497" customFormat="false" ht="15" hidden="false" customHeight="false" outlineLevel="0" collapsed="false">
      <c r="A10497" s="4" t="s">
        <v>458</v>
      </c>
      <c r="B10497" s="36" t="s">
        <v>450</v>
      </c>
      <c r="C10497" s="34" t="n">
        <f aca="false">'Market Sizing'!$C$19*Assumptions!$E$10*Assumptions!$E$11*(1-Assumptions!$E$12)</f>
        <v>2060.77303936</v>
      </c>
    </row>
    <row r="10498" customFormat="false" ht="15" hidden="false" customHeight="false" outlineLevel="0" collapsed="false">
      <c r="A10498" s="4" t="s">
        <v>459</v>
      </c>
      <c r="B10498" s="36" t="s">
        <v>450</v>
      </c>
      <c r="C10498" s="34" t="n">
        <f aca="false">'Market Sizing'!$D$19*Assumptions!$E$10*Assumptions!$E$11*(1-Assumptions!$E$12)</f>
        <v>428.47616</v>
      </c>
    </row>
    <row r="10499" customFormat="false" ht="15" hidden="false" customHeight="false" outlineLevel="0" collapsed="false">
      <c r="A10499" s="4" t="s">
        <v>460</v>
      </c>
      <c r="B10499" s="36" t="s">
        <v>450</v>
      </c>
      <c r="C10499" s="34" t="n">
        <f aca="false">'Market Sizing'!$E$19*Assumptions!$E$10*Assumptions!$E$11*(1-Assumptions!$E$12)</f>
        <v>79.52448</v>
      </c>
    </row>
    <row r="10500" customFormat="false" ht="15" hidden="false" customHeight="false" outlineLevel="0" collapsed="false">
      <c r="A10500" s="4" t="s">
        <v>461</v>
      </c>
      <c r="B10500" s="36"/>
      <c r="C10500" s="34" t="n">
        <f aca="false">$C$10497+$C$10498+$C$10499</f>
        <v>2568.77367936</v>
      </c>
    </row>
    <row r="10501" customFormat="false" ht="15" hidden="false" customHeight="false" outlineLevel="0" collapsed="false">
      <c r="A10501" s="4" t="s">
        <v>462</v>
      </c>
      <c r="B10501" s="36" t="s">
        <v>463</v>
      </c>
      <c r="C10501" s="33" t="n">
        <f aca="false">MAX((Assumptions!$E$51+Assumptions!$E$53)*12,(((('Market Sizing'!$E$25*Assumptions!$E$41*Assumptions!$E$42*Assumptions!$E$43)*Assumptions!$E$44)*Assumptions!$E$45*Assumptions!$E$46+('Market Sizing'!$E$25*Assumptions!$E$41*Assumptions!$E$42*Assumptions!$E$43)*Assumptions!$E$47+('Market Sizing'!$E$25*Assumptions!$E$41*Assumptions!$E$42*Assumptions!$E$43)*Assumptions!$E$48*Assumptions!$E$49)*(Assumptions!$E$51*12/Assumptions!$E$52)+((('Market Sizing'!$E$25*Assumptions!$E$41*Assumptions!$E$42*Assumptions!$E$43)*Assumptions!$E$44)*Assumptions!$E$45+('Market Sizing'!$E$25*Assumptions!$E$41*Assumptions!$E$42*Assumptions!$E$43)+('Market Sizing'!$E$25*Assumptions!$E$41*Assumptions!$E$42*Assumptions!$E$43)*Assumptions!$E$48)*Assumptions!$E$50*(Assumptions!$E$53*12/Assumptions!$E$54)))</f>
        <v>5352</v>
      </c>
    </row>
    <row r="10502" customFormat="false" ht="15" hidden="false" customHeight="false" outlineLevel="0" collapsed="false">
      <c r="A10502" s="4" t="s">
        <v>464</v>
      </c>
      <c r="B10502" s="36" t="s">
        <v>463</v>
      </c>
      <c r="C10502" s="33" t="n">
        <f aca="false">MAX((Assumptions!$E$51+Assumptions!$E$53)*12,(((('Market Sizing'!$E$26*Assumptions!$E$41*Assumptions!$E$42*Assumptions!$E$43)*Assumptions!$E$44)*Assumptions!$E$45*Assumptions!$E$46+('Market Sizing'!$E$26*Assumptions!$E$41*Assumptions!$E$42*Assumptions!$E$43)*Assumptions!$E$47+('Market Sizing'!$E$26*Assumptions!$E$41*Assumptions!$E$42*Assumptions!$E$43)*Assumptions!$E$48*Assumptions!$E$49)*(Assumptions!$E$51*12/Assumptions!$E$52)+((('Market Sizing'!$E$26*Assumptions!$E$41*Assumptions!$E$42*Assumptions!$E$43)*Assumptions!$E$44)*Assumptions!$E$45+('Market Sizing'!$E$26*Assumptions!$E$41*Assumptions!$E$42*Assumptions!$E$43)+('Market Sizing'!$E$26*Assumptions!$E$41*Assumptions!$E$42*Assumptions!$E$43)*Assumptions!$E$48)*Assumptions!$E$50*(Assumptions!$E$53*12/Assumptions!$E$54)))</f>
        <v>9766.72012875208</v>
      </c>
    </row>
    <row r="10503" customFormat="false" ht="15" hidden="false" customHeight="false" outlineLevel="0" collapsed="false">
      <c r="A10503" s="4" t="s">
        <v>465</v>
      </c>
      <c r="B10503" s="36" t="s">
        <v>463</v>
      </c>
      <c r="C10503" s="33" t="n">
        <f aca="false">MAX(Assumptions!$E$55*(Assumptions!$E$51*12/Assumptions!$E$52)+Assumptions!$E$56*(Assumptions!$E$53*12/Assumptions!$E$54),(((('Market Sizing'!$E$27*Assumptions!$E$41*Assumptions!$E$42*Assumptions!$E$43)*Assumptions!$E$44)*Assumptions!$E$45*Assumptions!$E$46+('Market Sizing'!$E$27*Assumptions!$E$41*Assumptions!$E$42*Assumptions!$E$43)*Assumptions!$E$47+('Market Sizing'!$E$27*Assumptions!$E$41*Assumptions!$E$42*Assumptions!$E$43)*Assumptions!$E$48*Assumptions!$E$49)*(Assumptions!$E$51*12/Assumptions!$E$52)+((('Market Sizing'!$E$27*Assumptions!$E$41*Assumptions!$E$42*Assumptions!$E$43)*Assumptions!$E$44)*Assumptions!$E$45+('Market Sizing'!$E$27*Assumptions!$E$41*Assumptions!$E$42*Assumptions!$E$43)+('Market Sizing'!$E$27*Assumptions!$E$41*Assumptions!$E$42*Assumptions!$E$43)*Assumptions!$E$48)*Assumptions!$E$50*(Assumptions!$E$53*12/Assumptions!$E$54)))*(1-Assumptions!$E$57)</f>
        <v>61778.2562194386</v>
      </c>
    </row>
    <row r="10504" customFormat="false" ht="23.85" hidden="false" customHeight="false" outlineLevel="0" collapsed="false">
      <c r="A10504" s="4" t="s">
        <v>466</v>
      </c>
      <c r="B10504" s="36" t="s">
        <v>467</v>
      </c>
      <c r="C10504" s="37" t="n">
        <f aca="false">Assumptions!$E$17*Assumptions!$E$106</f>
        <v>0.4</v>
      </c>
    </row>
    <row r="10505" customFormat="false" ht="23.85" hidden="false" customHeight="false" outlineLevel="0" collapsed="false">
      <c r="A10505" s="4" t="s">
        <v>468</v>
      </c>
      <c r="B10505" s="36" t="s">
        <v>469</v>
      </c>
      <c r="C10505" s="33" t="n">
        <f aca="false">Assumptions!$E$68/Assumptions!$E$69</f>
        <v>285714.285714286</v>
      </c>
    </row>
    <row r="10506" customFormat="false" ht="23.85" hidden="false" customHeight="false" outlineLevel="0" collapsed="false">
      <c r="A10506" s="4" t="s">
        <v>470</v>
      </c>
      <c r="B10506" s="36" t="s">
        <v>471</v>
      </c>
      <c r="C10506" s="33" t="n">
        <f aca="false">Assumptions!$E$66*Assumptions!$E$67/4</f>
        <v>153125</v>
      </c>
    </row>
    <row r="10507" customFormat="false" ht="15" hidden="false" customHeight="false" outlineLevel="0" collapsed="false">
      <c r="A10507" s="4" t="s">
        <v>472</v>
      </c>
      <c r="B10507" s="36"/>
      <c r="C10507" s="38" t="n">
        <f aca="false">$C$10505/Assumptions!$E$66/Assumptions!$E$67</f>
        <v>0.466472303206997</v>
      </c>
    </row>
    <row r="10508" customFormat="false" ht="15" hidden="false" customHeight="false" outlineLevel="0" collapsed="false">
      <c r="A10508" s="4" t="s">
        <v>473</v>
      </c>
      <c r="B10508" s="36"/>
      <c r="C10508" s="33" t="n">
        <f aca="false">MAX(0,Assumptions!$E$103-Assumptions!$E$78)</f>
        <v>35000</v>
      </c>
    </row>
    <row r="10509" customFormat="false" ht="15" hidden="false" customHeight="false" outlineLevel="0" collapsed="false">
      <c r="A10509" s="35" t="s">
        <v>474</v>
      </c>
      <c r="B10509" s="35" t="s">
        <v>444</v>
      </c>
      <c r="C10509" s="6" t="s">
        <v>354</v>
      </c>
      <c r="D10509" s="6" t="s">
        <v>355</v>
      </c>
      <c r="E10509" s="6" t="s">
        <v>356</v>
      </c>
      <c r="F10509" s="6" t="s">
        <v>357</v>
      </c>
      <c r="G10509" s="6" t="s">
        <v>358</v>
      </c>
      <c r="H10509" s="6" t="s">
        <v>359</v>
      </c>
      <c r="I10509" s="6" t="s">
        <v>360</v>
      </c>
      <c r="J10509" s="6" t="s">
        <v>361</v>
      </c>
      <c r="K10509" s="6" t="s">
        <v>362</v>
      </c>
      <c r="L10509" s="6" t="s">
        <v>363</v>
      </c>
      <c r="M10509" s="6" t="s">
        <v>364</v>
      </c>
      <c r="N10509" s="6" t="s">
        <v>365</v>
      </c>
      <c r="P10509" s="6" t="s">
        <v>445</v>
      </c>
      <c r="Q10509" s="6" t="s">
        <v>446</v>
      </c>
      <c r="R10509" s="6" t="s">
        <v>447</v>
      </c>
      <c r="S10509" s="6" t="s">
        <v>448</v>
      </c>
    </row>
    <row r="10510" customFormat="false" ht="15" hidden="false" customHeight="false" outlineLevel="0" collapsed="false">
      <c r="A10510" s="4" t="s">
        <v>475</v>
      </c>
      <c r="B10510" s="36" t="s">
        <v>133</v>
      </c>
      <c r="C10510" s="39" t="n">
        <v>1</v>
      </c>
      <c r="D10510" s="39" t="n">
        <v>2</v>
      </c>
      <c r="E10510" s="39" t="n">
        <v>3</v>
      </c>
      <c r="F10510" s="39" t="n">
        <v>4</v>
      </c>
      <c r="G10510" s="39" t="n">
        <v>5</v>
      </c>
      <c r="H10510" s="39" t="n">
        <v>6</v>
      </c>
      <c r="I10510" s="39" t="n">
        <v>7</v>
      </c>
      <c r="J10510" s="39" t="n">
        <v>8</v>
      </c>
      <c r="K10510" s="39" t="n">
        <v>9</v>
      </c>
      <c r="L10510" s="39" t="n">
        <v>10</v>
      </c>
      <c r="M10510" s="39" t="n">
        <v>11</v>
      </c>
      <c r="N10510" s="39" t="n">
        <v>12</v>
      </c>
      <c r="P10510" s="40"/>
      <c r="Q10510" s="40"/>
      <c r="R10510" s="40"/>
      <c r="S10510" s="41"/>
    </row>
    <row r="10511" customFormat="false" ht="15" hidden="false" customHeight="false" outlineLevel="0" collapsed="false">
      <c r="A10511" s="4" t="s">
        <v>476</v>
      </c>
      <c r="B10511" s="36" t="s">
        <v>343</v>
      </c>
      <c r="C10511" s="39" t="n">
        <f aca="false">IF(C10510&lt;=Assumptions!$E$84,1,0)</f>
        <v>1</v>
      </c>
      <c r="D10511" s="39" t="n">
        <f aca="false">IF(D10510&lt;=Assumptions!$E$84,1,0)</f>
        <v>1</v>
      </c>
      <c r="E10511" s="39" t="n">
        <f aca="false">IF(E10510&lt;=Assumptions!$E$84,1,0)</f>
        <v>1</v>
      </c>
      <c r="F10511" s="39" t="n">
        <f aca="false">IF(F10510&lt;=Assumptions!$E$84,1,0)</f>
        <v>1</v>
      </c>
      <c r="G10511" s="39" t="n">
        <f aca="false">IF(G10510&lt;=Assumptions!$E$84,1,0)</f>
        <v>1</v>
      </c>
      <c r="H10511" s="39" t="n">
        <f aca="false">IF(H10510&lt;=Assumptions!$E$84,1,0)</f>
        <v>1</v>
      </c>
      <c r="I10511" s="39" t="n">
        <f aca="false">IF(I10510&lt;=Assumptions!$E$84,1,0)</f>
        <v>1</v>
      </c>
      <c r="J10511" s="39" t="n">
        <f aca="false">IF(J10510&lt;=Assumptions!$E$84,1,0)</f>
        <v>1</v>
      </c>
      <c r="K10511" s="39" t="n">
        <f aca="false">IF(K10510&lt;=Assumptions!$E$84,1,0)</f>
        <v>1</v>
      </c>
      <c r="L10511" s="39" t="n">
        <f aca="false">IF(L10510&lt;=Assumptions!$E$84,1,0)</f>
        <v>1</v>
      </c>
      <c r="M10511" s="39" t="n">
        <f aca="false">IF(M10510&lt;=Assumptions!$E$84,1,0)</f>
        <v>1</v>
      </c>
      <c r="N10511" s="39" t="n">
        <f aca="false">IF(N10510&lt;=Assumptions!$E$84,1,0)</f>
        <v>1</v>
      </c>
      <c r="P10511" s="40"/>
      <c r="Q10511" s="40"/>
      <c r="R10511" s="40"/>
      <c r="S10511" s="41"/>
    </row>
    <row r="10512" customFormat="false" ht="15" hidden="false" customHeight="false" outlineLevel="0" collapsed="false">
      <c r="A10512" s="4" t="s">
        <v>477</v>
      </c>
      <c r="B10512" s="36" t="s">
        <v>478</v>
      </c>
      <c r="C10512" s="42" t="n">
        <f aca="false">IF(C10510=Assumptions!$E$13,0.5,IF(C10510&gt;Assumptions!$E$13,1,0))</f>
        <v>0.5</v>
      </c>
      <c r="D10512" s="42" t="n">
        <f aca="false">IF(D10510=Assumptions!$E$13,0.5,IF(D10510&gt;Assumptions!$E$13,1,0))</f>
        <v>1</v>
      </c>
      <c r="E10512" s="42" t="n">
        <f aca="false">IF(E10510=Assumptions!$E$13,0.5,IF(E10510&gt;Assumptions!$E$13,1,0))</f>
        <v>1</v>
      </c>
      <c r="F10512" s="42" t="n">
        <f aca="false">IF(F10510=Assumptions!$E$13,0.5,IF(F10510&gt;Assumptions!$E$13,1,0))</f>
        <v>1</v>
      </c>
      <c r="G10512" s="42" t="n">
        <f aca="false">IF(G10510=Assumptions!$E$13,0.5,IF(G10510&gt;Assumptions!$E$13,1,0))</f>
        <v>1</v>
      </c>
      <c r="H10512" s="42" t="n">
        <f aca="false">IF(H10510=Assumptions!$E$13,0.5,IF(H10510&gt;Assumptions!$E$13,1,0))</f>
        <v>1</v>
      </c>
      <c r="I10512" s="42" t="n">
        <f aca="false">IF(I10510=Assumptions!$E$13,0.5,IF(I10510&gt;Assumptions!$E$13,1,0))</f>
        <v>1</v>
      </c>
      <c r="J10512" s="42" t="n">
        <f aca="false">IF(J10510=Assumptions!$E$13,0.5,IF(J10510&gt;Assumptions!$E$13,1,0))</f>
        <v>1</v>
      </c>
      <c r="K10512" s="42" t="n">
        <f aca="false">IF(K10510=Assumptions!$E$13,0.5,IF(K10510&gt;Assumptions!$E$13,1,0))</f>
        <v>1</v>
      </c>
      <c r="L10512" s="42" t="n">
        <f aca="false">IF(L10510=Assumptions!$E$13,0.5,IF(L10510&gt;Assumptions!$E$13,1,0))</f>
        <v>1</v>
      </c>
      <c r="M10512" s="42" t="n">
        <f aca="false">IF(M10510=Assumptions!$E$13,0.5,IF(M10510&gt;Assumptions!$E$13,1,0))</f>
        <v>1</v>
      </c>
      <c r="N10512" s="42" t="n">
        <f aca="false">IF(N10510=Assumptions!$E$13,0.5,IF(N10510&gt;Assumptions!$E$13,1,0))</f>
        <v>1</v>
      </c>
      <c r="P10512" s="43"/>
      <c r="Q10512" s="43"/>
      <c r="R10512" s="43"/>
      <c r="S10512" s="44"/>
    </row>
    <row r="10513" customFormat="false" ht="15" hidden="false" customHeight="false" outlineLevel="0" collapsed="false">
      <c r="A10513" s="4" t="s">
        <v>479</v>
      </c>
      <c r="B10513" s="36" t="s">
        <v>478</v>
      </c>
      <c r="C10513" s="42" t="n">
        <f aca="false">IF(C10510=Assumptions!$E$14,0.5,IF(C10510&gt;Assumptions!$E$14,1,0))</f>
        <v>0</v>
      </c>
      <c r="D10513" s="42" t="n">
        <f aca="false">IF(D10510=Assumptions!$E$14,0.5,IF(D10510&gt;Assumptions!$E$14,1,0))</f>
        <v>0</v>
      </c>
      <c r="E10513" s="42" t="n">
        <f aca="false">IF(E10510=Assumptions!$E$14,0.5,IF(E10510&gt;Assumptions!$E$14,1,0))</f>
        <v>0</v>
      </c>
      <c r="F10513" s="42" t="n">
        <f aca="false">IF(F10510=Assumptions!$E$14,0.5,IF(F10510&gt;Assumptions!$E$14,1,0))</f>
        <v>0</v>
      </c>
      <c r="G10513" s="42" t="n">
        <f aca="false">IF(G10510=Assumptions!$E$14,0.5,IF(G10510&gt;Assumptions!$E$14,1,0))</f>
        <v>0.5</v>
      </c>
      <c r="H10513" s="42" t="n">
        <f aca="false">IF(H10510=Assumptions!$E$14,0.5,IF(H10510&gt;Assumptions!$E$14,1,0))</f>
        <v>1</v>
      </c>
      <c r="I10513" s="42" t="n">
        <f aca="false">IF(I10510=Assumptions!$E$14,0.5,IF(I10510&gt;Assumptions!$E$14,1,0))</f>
        <v>1</v>
      </c>
      <c r="J10513" s="42" t="n">
        <f aca="false">IF(J10510=Assumptions!$E$14,0.5,IF(J10510&gt;Assumptions!$E$14,1,0))</f>
        <v>1</v>
      </c>
      <c r="K10513" s="42" t="n">
        <f aca="false">IF(K10510=Assumptions!$E$14,0.5,IF(K10510&gt;Assumptions!$E$14,1,0))</f>
        <v>1</v>
      </c>
      <c r="L10513" s="42" t="n">
        <f aca="false">IF(L10510=Assumptions!$E$14,0.5,IF(L10510&gt;Assumptions!$E$14,1,0))</f>
        <v>1</v>
      </c>
      <c r="M10513" s="42" t="n">
        <f aca="false">IF(M10510=Assumptions!$E$14,0.5,IF(M10510&gt;Assumptions!$E$14,1,0))</f>
        <v>1</v>
      </c>
      <c r="N10513" s="42" t="n">
        <f aca="false">IF(N10510=Assumptions!$E$14,0.5,IF(N10510&gt;Assumptions!$E$14,1,0))</f>
        <v>1</v>
      </c>
      <c r="P10513" s="43"/>
      <c r="Q10513" s="43"/>
      <c r="R10513" s="43"/>
      <c r="S10513" s="44"/>
    </row>
    <row r="10514" customFormat="false" ht="15" hidden="false" customHeight="false" outlineLevel="0" collapsed="false">
      <c r="A10514" s="4" t="s">
        <v>480</v>
      </c>
      <c r="B10514" s="36" t="s">
        <v>478</v>
      </c>
      <c r="C10514" s="42" t="n">
        <f aca="false">IF(C10510=Assumptions!$E$15,0.5,IF(C10510&gt;Assumptions!$E$15,1,0))</f>
        <v>0</v>
      </c>
      <c r="D10514" s="42" t="n">
        <f aca="false">IF(D10510=Assumptions!$E$15,0.5,IF(D10510&gt;Assumptions!$E$15,1,0))</f>
        <v>0</v>
      </c>
      <c r="E10514" s="42" t="n">
        <f aca="false">IF(E10510=Assumptions!$E$15,0.5,IF(E10510&gt;Assumptions!$E$15,1,0))</f>
        <v>0</v>
      </c>
      <c r="F10514" s="42" t="n">
        <f aca="false">IF(F10510=Assumptions!$E$15,0.5,IF(F10510&gt;Assumptions!$E$15,1,0))</f>
        <v>0</v>
      </c>
      <c r="G10514" s="42" t="n">
        <f aca="false">IF(G10510=Assumptions!$E$15,0.5,IF(G10510&gt;Assumptions!$E$15,1,0))</f>
        <v>0</v>
      </c>
      <c r="H10514" s="42" t="n">
        <f aca="false">IF(H10510=Assumptions!$E$15,0.5,IF(H10510&gt;Assumptions!$E$15,1,0))</f>
        <v>0</v>
      </c>
      <c r="I10514" s="42" t="n">
        <f aca="false">IF(I10510=Assumptions!$E$15,0.5,IF(I10510&gt;Assumptions!$E$15,1,0))</f>
        <v>0.5</v>
      </c>
      <c r="J10514" s="42" t="n">
        <f aca="false">IF(J10510=Assumptions!$E$15,0.5,IF(J10510&gt;Assumptions!$E$15,1,0))</f>
        <v>1</v>
      </c>
      <c r="K10514" s="42" t="n">
        <f aca="false">IF(K10510=Assumptions!$E$15,0.5,IF(K10510&gt;Assumptions!$E$15,1,0))</f>
        <v>1</v>
      </c>
      <c r="L10514" s="42" t="n">
        <f aca="false">IF(L10510=Assumptions!$E$15,0.5,IF(L10510&gt;Assumptions!$E$15,1,0))</f>
        <v>1</v>
      </c>
      <c r="M10514" s="42" t="n">
        <f aca="false">IF(M10510=Assumptions!$E$15,0.5,IF(M10510&gt;Assumptions!$E$15,1,0))</f>
        <v>1</v>
      </c>
      <c r="N10514" s="42" t="n">
        <f aca="false">IF(N10510=Assumptions!$E$15,0.5,IF(N10510&gt;Assumptions!$E$15,1,0))</f>
        <v>1</v>
      </c>
      <c r="P10514" s="43"/>
      <c r="Q10514" s="43"/>
      <c r="R10514" s="43"/>
      <c r="S10514" s="44"/>
    </row>
    <row r="10515" customFormat="false" ht="15" hidden="false" customHeight="false" outlineLevel="0" collapsed="false">
      <c r="A10515" s="4" t="s">
        <v>481</v>
      </c>
      <c r="B10515" s="36" t="s">
        <v>478</v>
      </c>
      <c r="C10515" s="45" t="n">
        <f aca="false">Assumptions!$E$21^(MAX(0,C10510-Assumptions!$E$13)/4)</f>
        <v>1</v>
      </c>
      <c r="D10515" s="45" t="n">
        <f aca="false">Assumptions!$E$21^(MAX(0,D10510-Assumptions!$E$13)/4)</f>
        <v>0.9306048591021</v>
      </c>
      <c r="E10515" s="45" t="n">
        <f aca="false">Assumptions!$E$21^(MAX(0,E10510-Assumptions!$E$13)/4)</f>
        <v>0.866025403784439</v>
      </c>
      <c r="F10515" s="45" t="n">
        <f aca="false">Assumptions!$E$21^(MAX(0,F10510-Assumptions!$E$13)/4)</f>
        <v>0.805927448867656</v>
      </c>
      <c r="G10515" s="45" t="n">
        <f aca="false">Assumptions!$E$21^(MAX(0,G10510-Assumptions!$E$13)/4)</f>
        <v>0.75</v>
      </c>
      <c r="H10515" s="45" t="n">
        <f aca="false">Assumptions!$E$21^(MAX(0,H10510-Assumptions!$E$13)/4)</f>
        <v>0.697953644326575</v>
      </c>
      <c r="I10515" s="45" t="n">
        <f aca="false">Assumptions!$E$21^(MAX(0,I10510-Assumptions!$E$13)/4)</f>
        <v>0.649519052838329</v>
      </c>
      <c r="J10515" s="45" t="n">
        <f aca="false">Assumptions!$E$21^(MAX(0,J10510-Assumptions!$E$13)/4)</f>
        <v>0.604445586650742</v>
      </c>
      <c r="K10515" s="45" t="n">
        <f aca="false">Assumptions!$E$21^(MAX(0,K10510-Assumptions!$E$13)/4)</f>
        <v>0.5625</v>
      </c>
      <c r="L10515" s="45" t="n">
        <f aca="false">Assumptions!$E$21^(MAX(0,L10510-Assumptions!$E$13)/4)</f>
        <v>0.523465233244931</v>
      </c>
      <c r="M10515" s="45" t="n">
        <f aca="false">Assumptions!$E$21^(MAX(0,M10510-Assumptions!$E$13)/4)</f>
        <v>0.487139289628747</v>
      </c>
      <c r="N10515" s="45" t="n">
        <f aca="false">Assumptions!$E$21^(MAX(0,N10510-Assumptions!$E$13)/4)</f>
        <v>0.453334189988057</v>
      </c>
      <c r="P10515" s="46"/>
      <c r="Q10515" s="46"/>
      <c r="R10515" s="46"/>
      <c r="S10515" s="47"/>
    </row>
    <row r="10516" customFormat="false" ht="15" hidden="false" customHeight="false" outlineLevel="0" collapsed="false">
      <c r="A10516" s="4" t="s">
        <v>482</v>
      </c>
      <c r="B10516" s="36" t="s">
        <v>478</v>
      </c>
      <c r="C10516" s="45" t="n">
        <f aca="false">Assumptions!$E$21^(MAX(0,C10510-Assumptions!$E$14)/4)</f>
        <v>1</v>
      </c>
      <c r="D10516" s="45" t="n">
        <f aca="false">Assumptions!$E$21^(MAX(0,D10510-Assumptions!$E$14)/4)</f>
        <v>1</v>
      </c>
      <c r="E10516" s="45" t="n">
        <f aca="false">Assumptions!$E$21^(MAX(0,E10510-Assumptions!$E$14)/4)</f>
        <v>1</v>
      </c>
      <c r="F10516" s="45" t="n">
        <f aca="false">Assumptions!$E$21^(MAX(0,F10510-Assumptions!$E$14)/4)</f>
        <v>1</v>
      </c>
      <c r="G10516" s="45" t="n">
        <f aca="false">Assumptions!$E$21^(MAX(0,G10510-Assumptions!$E$14)/4)</f>
        <v>1</v>
      </c>
      <c r="H10516" s="45" t="n">
        <f aca="false">Assumptions!$E$21^(MAX(0,H10510-Assumptions!$E$14)/4)</f>
        <v>0.9306048591021</v>
      </c>
      <c r="I10516" s="45" t="n">
        <f aca="false">Assumptions!$E$21^(MAX(0,I10510-Assumptions!$E$14)/4)</f>
        <v>0.866025403784439</v>
      </c>
      <c r="J10516" s="45" t="n">
        <f aca="false">Assumptions!$E$21^(MAX(0,J10510-Assumptions!$E$14)/4)</f>
        <v>0.805927448867656</v>
      </c>
      <c r="K10516" s="45" t="n">
        <f aca="false">Assumptions!$E$21^(MAX(0,K10510-Assumptions!$E$14)/4)</f>
        <v>0.75</v>
      </c>
      <c r="L10516" s="45" t="n">
        <f aca="false">Assumptions!$E$21^(MAX(0,L10510-Assumptions!$E$14)/4)</f>
        <v>0.697953644326575</v>
      </c>
      <c r="M10516" s="45" t="n">
        <f aca="false">Assumptions!$E$21^(MAX(0,M10510-Assumptions!$E$14)/4)</f>
        <v>0.649519052838329</v>
      </c>
      <c r="N10516" s="45" t="n">
        <f aca="false">Assumptions!$E$21^(MAX(0,N10510-Assumptions!$E$14)/4)</f>
        <v>0.604445586650742</v>
      </c>
      <c r="P10516" s="46"/>
      <c r="Q10516" s="46"/>
      <c r="R10516" s="46"/>
      <c r="S10516" s="47"/>
    </row>
    <row r="10517" customFormat="false" ht="15" hidden="false" customHeight="false" outlineLevel="0" collapsed="false">
      <c r="A10517" s="4" t="s">
        <v>483</v>
      </c>
      <c r="B10517" s="36" t="s">
        <v>478</v>
      </c>
      <c r="C10517" s="45" t="n">
        <f aca="false">Assumptions!$E$21^(MAX(0,C10510-Assumptions!$E$15)/4)</f>
        <v>1</v>
      </c>
      <c r="D10517" s="45" t="n">
        <f aca="false">Assumptions!$E$21^(MAX(0,D10510-Assumptions!$E$15)/4)</f>
        <v>1</v>
      </c>
      <c r="E10517" s="45" t="n">
        <f aca="false">Assumptions!$E$21^(MAX(0,E10510-Assumptions!$E$15)/4)</f>
        <v>1</v>
      </c>
      <c r="F10517" s="45" t="n">
        <f aca="false">Assumptions!$E$21^(MAX(0,F10510-Assumptions!$E$15)/4)</f>
        <v>1</v>
      </c>
      <c r="G10517" s="45" t="n">
        <f aca="false">Assumptions!$E$21^(MAX(0,G10510-Assumptions!$E$15)/4)</f>
        <v>1</v>
      </c>
      <c r="H10517" s="45" t="n">
        <f aca="false">Assumptions!$E$21^(MAX(0,H10510-Assumptions!$E$15)/4)</f>
        <v>1</v>
      </c>
      <c r="I10517" s="45" t="n">
        <f aca="false">Assumptions!$E$21^(MAX(0,I10510-Assumptions!$E$15)/4)</f>
        <v>1</v>
      </c>
      <c r="J10517" s="45" t="n">
        <f aca="false">Assumptions!$E$21^(MAX(0,J10510-Assumptions!$E$15)/4)</f>
        <v>0.9306048591021</v>
      </c>
      <c r="K10517" s="45" t="n">
        <f aca="false">Assumptions!$E$21^(MAX(0,K10510-Assumptions!$E$15)/4)</f>
        <v>0.866025403784439</v>
      </c>
      <c r="L10517" s="45" t="n">
        <f aca="false">Assumptions!$E$21^(MAX(0,L10510-Assumptions!$E$15)/4)</f>
        <v>0.805927448867656</v>
      </c>
      <c r="M10517" s="45" t="n">
        <f aca="false">Assumptions!$E$21^(MAX(0,M10510-Assumptions!$E$15)/4)</f>
        <v>0.75</v>
      </c>
      <c r="N10517" s="45" t="n">
        <f aca="false">Assumptions!$E$21^(MAX(0,N10510-Assumptions!$E$15)/4)</f>
        <v>0.697953644326575</v>
      </c>
      <c r="P10517" s="46"/>
      <c r="Q10517" s="46"/>
      <c r="R10517" s="46"/>
      <c r="S10517" s="47"/>
    </row>
    <row r="10518" customFormat="false" ht="15" hidden="false" customHeight="false" outlineLevel="0" collapsed="false">
      <c r="A10518" s="4" t="s">
        <v>484</v>
      </c>
      <c r="B10518" s="36" t="s">
        <v>485</v>
      </c>
      <c r="C10518" s="39" t="n">
        <f aca="false">$C$10489*C10512+$C$10493*C10513+$C$10497*C10514</f>
        <v>421.51972352</v>
      </c>
      <c r="D10518" s="39" t="n">
        <f aca="false">$C$10489*D10512+$C$10493*D10513+$C$10497*D10514</f>
        <v>843.03944704</v>
      </c>
      <c r="E10518" s="39" t="n">
        <f aca="false">$C$10489*E10512+$C$10493*E10513+$C$10497*E10514</f>
        <v>843.03944704</v>
      </c>
      <c r="F10518" s="39" t="n">
        <f aca="false">$C$10489*F10512+$C$10493*F10513+$C$10497*F10514</f>
        <v>843.03944704</v>
      </c>
      <c r="G10518" s="39" t="n">
        <f aca="false">$C$10489*G10512+$C$10493*G10513+$C$10497*G10514</f>
        <v>1149.32798176</v>
      </c>
      <c r="H10518" s="39" t="n">
        <f aca="false">$C$10489*H10512+$C$10493*H10513+$C$10497*H10514</f>
        <v>1455.61651648</v>
      </c>
      <c r="I10518" s="39" t="n">
        <f aca="false">$C$10489*I10512+$C$10493*I10513+$C$10497*I10514</f>
        <v>2486.00303616</v>
      </c>
      <c r="J10518" s="39" t="n">
        <f aca="false">$C$10489*J10512+$C$10493*J10513+$C$10497*J10514</f>
        <v>3516.38955584</v>
      </c>
      <c r="K10518" s="39" t="n">
        <f aca="false">$C$10489*K10512+$C$10493*K10513+$C$10497*K10514</f>
        <v>3516.38955584</v>
      </c>
      <c r="L10518" s="39" t="n">
        <f aca="false">$C$10489*L10512+$C$10493*L10513+$C$10497*L10514</f>
        <v>3516.38955584</v>
      </c>
      <c r="M10518" s="39" t="n">
        <f aca="false">$C$10489*M10512+$C$10493*M10513+$C$10497*M10514</f>
        <v>3516.38955584</v>
      </c>
      <c r="N10518" s="39" t="n">
        <f aca="false">$C$10489*N10512+$C$10493*N10513+$C$10497*N10514</f>
        <v>3516.38955584</v>
      </c>
      <c r="P10518" s="40" t="n">
        <f aca="false">F10518</f>
        <v>843.03944704</v>
      </c>
      <c r="Q10518" s="40" t="n">
        <f aca="false">J10518</f>
        <v>3516.38955584</v>
      </c>
      <c r="R10518" s="40" t="n">
        <f aca="false">N10518</f>
        <v>3516.38955584</v>
      </c>
      <c r="S10518" s="41" t="n">
        <f aca="false">R10518</f>
        <v>3516.38955584</v>
      </c>
    </row>
    <row r="10519" customFormat="false" ht="15" hidden="false" customHeight="false" outlineLevel="0" collapsed="false">
      <c r="A10519" s="4" t="s">
        <v>486</v>
      </c>
      <c r="B10519" s="36" t="s">
        <v>485</v>
      </c>
      <c r="C10519" s="39" t="n">
        <f aca="false">$C$10490*C10512+$C$10494*C10513+$C$10498*C10514</f>
        <v>105.59808</v>
      </c>
      <c r="D10519" s="39" t="n">
        <f aca="false">$C$10490*D10512+$C$10494*D10513+$C$10498*D10514</f>
        <v>211.19616</v>
      </c>
      <c r="E10519" s="39" t="n">
        <f aca="false">$C$10490*E10512+$C$10494*E10513+$C$10498*E10514</f>
        <v>211.19616</v>
      </c>
      <c r="F10519" s="39" t="n">
        <f aca="false">$C$10490*F10512+$C$10494*F10513+$C$10498*F10514</f>
        <v>211.19616</v>
      </c>
      <c r="G10519" s="39" t="n">
        <f aca="false">$C$10490*G10512+$C$10494*G10513+$C$10498*G10514</f>
        <v>282.24672</v>
      </c>
      <c r="H10519" s="39" t="n">
        <f aca="false">$C$10490*H10512+$C$10494*H10513+$C$10498*H10514</f>
        <v>353.29728</v>
      </c>
      <c r="I10519" s="39" t="n">
        <f aca="false">$C$10490*I10512+$C$10494*I10513+$C$10498*I10514</f>
        <v>567.53536</v>
      </c>
      <c r="J10519" s="39" t="n">
        <f aca="false">$C$10490*J10512+$C$10494*J10513+$C$10498*J10514</f>
        <v>781.77344</v>
      </c>
      <c r="K10519" s="39" t="n">
        <f aca="false">$C$10490*K10512+$C$10494*K10513+$C$10498*K10514</f>
        <v>781.77344</v>
      </c>
      <c r="L10519" s="39" t="n">
        <f aca="false">$C$10490*L10512+$C$10494*L10513+$C$10498*L10514</f>
        <v>781.77344</v>
      </c>
      <c r="M10519" s="39" t="n">
        <f aca="false">$C$10490*M10512+$C$10494*M10513+$C$10498*M10514</f>
        <v>781.77344</v>
      </c>
      <c r="N10519" s="39" t="n">
        <f aca="false">$C$10490*N10512+$C$10494*N10513+$C$10498*N10514</f>
        <v>781.77344</v>
      </c>
      <c r="P10519" s="40" t="n">
        <f aca="false">F10519</f>
        <v>211.19616</v>
      </c>
      <c r="Q10519" s="40" t="n">
        <f aca="false">J10519</f>
        <v>781.77344</v>
      </c>
      <c r="R10519" s="40" t="n">
        <f aca="false">N10519</f>
        <v>781.77344</v>
      </c>
      <c r="S10519" s="41" t="n">
        <f aca="false">R10519</f>
        <v>781.77344</v>
      </c>
    </row>
    <row r="10520" customFormat="false" ht="15" hidden="false" customHeight="false" outlineLevel="0" collapsed="false">
      <c r="A10520" s="4" t="s">
        <v>487</v>
      </c>
      <c r="B10520" s="36" t="s">
        <v>485</v>
      </c>
      <c r="C10520" s="39" t="n">
        <f aca="false">$C$10491*C10512+$C$10495*C10513+$C$10499*C10514</f>
        <v>24.76992</v>
      </c>
      <c r="D10520" s="39" t="n">
        <f aca="false">$C$10491*D10512+$C$10495*D10513+$C$10499*D10514</f>
        <v>49.53984</v>
      </c>
      <c r="E10520" s="39" t="n">
        <f aca="false">$C$10491*E10512+$C$10495*E10513+$C$10499*E10514</f>
        <v>49.53984</v>
      </c>
      <c r="F10520" s="39" t="n">
        <f aca="false">$C$10491*F10512+$C$10495*F10513+$C$10499*F10514</f>
        <v>49.53984</v>
      </c>
      <c r="G10520" s="39" t="n">
        <f aca="false">$C$10491*G10512+$C$10495*G10513+$C$10499*G10514</f>
        <v>61.9248</v>
      </c>
      <c r="H10520" s="39" t="n">
        <f aca="false">$C$10491*H10512+$C$10495*H10513+$C$10499*H10514</f>
        <v>74.30976</v>
      </c>
      <c r="I10520" s="39" t="n">
        <f aca="false">$C$10491*I10512+$C$10495*I10513+$C$10499*I10514</f>
        <v>114.072</v>
      </c>
      <c r="J10520" s="39" t="n">
        <f aca="false">$C$10491*J10512+$C$10495*J10513+$C$10499*J10514</f>
        <v>153.83424</v>
      </c>
      <c r="K10520" s="39" t="n">
        <f aca="false">$C$10491*K10512+$C$10495*K10513+$C$10499*K10514</f>
        <v>153.83424</v>
      </c>
      <c r="L10520" s="39" t="n">
        <f aca="false">$C$10491*L10512+$C$10495*L10513+$C$10499*L10514</f>
        <v>153.83424</v>
      </c>
      <c r="M10520" s="39" t="n">
        <f aca="false">$C$10491*M10512+$C$10495*M10513+$C$10499*M10514</f>
        <v>153.83424</v>
      </c>
      <c r="N10520" s="39" t="n">
        <f aca="false">$C$10491*N10512+$C$10495*N10513+$C$10499*N10514</f>
        <v>153.83424</v>
      </c>
      <c r="P10520" s="40" t="n">
        <f aca="false">F10520</f>
        <v>49.53984</v>
      </c>
      <c r="Q10520" s="40" t="n">
        <f aca="false">J10520</f>
        <v>153.83424</v>
      </c>
      <c r="R10520" s="40" t="n">
        <f aca="false">N10520</f>
        <v>153.83424</v>
      </c>
      <c r="S10520" s="41" t="n">
        <f aca="false">R10520</f>
        <v>153.83424</v>
      </c>
    </row>
    <row r="10521" customFormat="false" ht="15" hidden="false" customHeight="false" outlineLevel="0" collapsed="false">
      <c r="A10521" s="4" t="s">
        <v>488</v>
      </c>
      <c r="B10521" s="36" t="s">
        <v>485</v>
      </c>
      <c r="C10521" s="39" t="n">
        <f aca="false">C10518+C10519+C10520</f>
        <v>551.88772352</v>
      </c>
      <c r="D10521" s="39" t="n">
        <f aca="false">D10518+D10519+D10520</f>
        <v>1103.77544704</v>
      </c>
      <c r="E10521" s="39" t="n">
        <f aca="false">E10518+E10519+E10520</f>
        <v>1103.77544704</v>
      </c>
      <c r="F10521" s="39" t="n">
        <f aca="false">F10518+F10519+F10520</f>
        <v>1103.77544704</v>
      </c>
      <c r="G10521" s="39" t="n">
        <f aca="false">G10518+G10519+G10520</f>
        <v>1493.49950176</v>
      </c>
      <c r="H10521" s="39" t="n">
        <f aca="false">H10518+H10519+H10520</f>
        <v>1883.22355648</v>
      </c>
      <c r="I10521" s="39" t="n">
        <f aca="false">I10518+I10519+I10520</f>
        <v>3167.61039616</v>
      </c>
      <c r="J10521" s="39" t="n">
        <f aca="false">J10518+J10519+J10520</f>
        <v>4451.99723584</v>
      </c>
      <c r="K10521" s="39" t="n">
        <f aca="false">K10518+K10519+K10520</f>
        <v>4451.99723584</v>
      </c>
      <c r="L10521" s="39" t="n">
        <f aca="false">L10518+L10519+L10520</f>
        <v>4451.99723584</v>
      </c>
      <c r="M10521" s="39" t="n">
        <f aca="false">M10518+M10519+M10520</f>
        <v>4451.99723584</v>
      </c>
      <c r="N10521" s="39" t="n">
        <f aca="false">N10518+N10519+N10520</f>
        <v>4451.99723584</v>
      </c>
      <c r="P10521" s="40" t="n">
        <f aca="false">F10521</f>
        <v>1103.77544704</v>
      </c>
      <c r="Q10521" s="40" t="n">
        <f aca="false">J10521</f>
        <v>4451.99723584</v>
      </c>
      <c r="R10521" s="40" t="n">
        <f aca="false">N10521</f>
        <v>4451.99723584</v>
      </c>
      <c r="S10521" s="41" t="n">
        <f aca="false">R10521</f>
        <v>4451.99723584</v>
      </c>
    </row>
    <row r="10522" customFormat="false" ht="15" hidden="false" customHeight="false" outlineLevel="0" collapsed="false">
      <c r="A10522" s="4" t="s">
        <v>489</v>
      </c>
      <c r="B10522" s="36" t="s">
        <v>485</v>
      </c>
      <c r="C10522" s="39" t="n">
        <f aca="false">$C$10492*C10512*C10515+$C$10496*C10513*C10516+$C$10500*C10514*C10517</f>
        <v>551.88772352</v>
      </c>
      <c r="D10522" s="39" t="n">
        <f aca="false">$C$10492*D10512*D10515+$C$10496*D10513*D10516+$C$10500*D10514*D10517</f>
        <v>1027.17879437302</v>
      </c>
      <c r="E10522" s="39" t="n">
        <f aca="false">$C$10492*E10512*E10515+$C$10496*E10513*E10516+$C$10500*E10514*E10517</f>
        <v>955.897577210165</v>
      </c>
      <c r="F10522" s="39" t="n">
        <f aca="false">$C$10492*F10512*F10515+$C$10496*F10513*F10516+$C$10500*F10514*F10517</f>
        <v>889.562930155704</v>
      </c>
      <c r="G10522" s="39" t="n">
        <f aca="false">$C$10492*G10512*G10515+$C$10496*G10513*G10516+$C$10500*G10514*G10517</f>
        <v>1217.55564</v>
      </c>
      <c r="H10522" s="39" t="n">
        <f aca="false">$C$10492*H10512*H10515+$C$10496*H10513*H10516+$C$10500*H10514*H10517</f>
        <v>1495.74229384257</v>
      </c>
      <c r="I10522" s="39" t="n">
        <f aca="false">$C$10492*I10512*I10515+$C$10496*I10513*I10516+$C$10500*I10514*I10517</f>
        <v>2676.33188629442</v>
      </c>
      <c r="J10522" s="39" t="n">
        <f aca="false">$C$10492*J10512*J10515+$C$10496*J10513*J10516+$C$10500*J10514*J10517</f>
        <v>3685.86409192847</v>
      </c>
      <c r="K10522" s="39" t="n">
        <f aca="false">$C$10492*K10512*K10515+$C$10496*K10513*K10516+$C$10500*K10514*K10517</f>
        <v>3430.08303393858</v>
      </c>
      <c r="L10522" s="39" t="n">
        <f aca="false">$C$10492*L10512*L10515+$C$10496*L10513*L10516+$C$10500*L10514*L10517</f>
        <v>3192.05193850692</v>
      </c>
      <c r="M10522" s="39" t="n">
        <f aca="false">$C$10492*M10512*M10515+$C$10496*M10513*M10516+$C$10500*M10514*M10517</f>
        <v>2970.53904448081</v>
      </c>
      <c r="N10522" s="39" t="n">
        <f aca="false">$C$10492*N10512*N10515+$C$10496*N10513*N10516+$C$10500*N10514*N10517</f>
        <v>2764.39806894635</v>
      </c>
      <c r="P10522" s="40"/>
      <c r="Q10522" s="40"/>
      <c r="R10522" s="40"/>
      <c r="S10522" s="41"/>
    </row>
    <row r="10523" customFormat="false" ht="15" hidden="false" customHeight="false" outlineLevel="0" collapsed="false">
      <c r="A10523" s="4" t="s">
        <v>490</v>
      </c>
      <c r="B10523" s="36" t="s">
        <v>491</v>
      </c>
      <c r="C10523" s="48" t="n">
        <f aca="false">$C$10504*Assumptions!$E$20*C10511*C10522</f>
        <v>6.62265268224</v>
      </c>
      <c r="D10523" s="48" t="n">
        <f aca="false">$C$10504*Assumptions!$E$20*D10511*D10522</f>
        <v>12.3261455324762</v>
      </c>
      <c r="E10523" s="48" t="n">
        <f aca="false">$C$10504*Assumptions!$E$20*E10511*E10522</f>
        <v>11.470770926522</v>
      </c>
      <c r="F10523" s="48" t="n">
        <f aca="false">$C$10504*Assumptions!$E$20*F10511*F10522</f>
        <v>10.6747551618685</v>
      </c>
      <c r="G10523" s="48" t="n">
        <f aca="false">$C$10504*Assumptions!$E$20*G10511*G10522</f>
        <v>14.61066768</v>
      </c>
      <c r="H10523" s="48" t="n">
        <f aca="false">$C$10504*Assumptions!$E$20*H10511*H10522</f>
        <v>17.9489075261109</v>
      </c>
      <c r="I10523" s="48" t="n">
        <f aca="false">$C$10504*Assumptions!$E$20*I10511*I10522</f>
        <v>32.115982635533</v>
      </c>
      <c r="J10523" s="48" t="n">
        <f aca="false">$C$10504*Assumptions!$E$20*J10511*J10522</f>
        <v>44.2303691031417</v>
      </c>
      <c r="K10523" s="48" t="n">
        <f aca="false">$C$10504*Assumptions!$E$20*K10511*K10522</f>
        <v>41.160996407263</v>
      </c>
      <c r="L10523" s="48" t="n">
        <f aca="false">$C$10504*Assumptions!$E$20*L10511*L10522</f>
        <v>38.304623262083</v>
      </c>
      <c r="M10523" s="48" t="n">
        <f aca="false">$C$10504*Assumptions!$E$20*M10511*M10522</f>
        <v>35.6464685337698</v>
      </c>
      <c r="N10523" s="48" t="n">
        <f aca="false">$C$10504*Assumptions!$E$20*N10511*N10522</f>
        <v>33.1727768273562</v>
      </c>
      <c r="P10523" s="49" t="n">
        <f aca="false">SUM(C10523:F10523)</f>
        <v>41.0943243031066</v>
      </c>
      <c r="Q10523" s="49" t="n">
        <f aca="false">SUM(G10523:J10523)</f>
        <v>108.905926944786</v>
      </c>
      <c r="R10523" s="49" t="n">
        <f aca="false">SUM(K10523:N10523)</f>
        <v>148.284865030472</v>
      </c>
      <c r="S10523" s="50" t="n">
        <f aca="false">SUM(P10523:R10523)</f>
        <v>298.285116278364</v>
      </c>
    </row>
    <row r="10524" customFormat="false" ht="15" hidden="false" customHeight="false" outlineLevel="0" collapsed="false">
      <c r="A10524" s="4" t="s">
        <v>492</v>
      </c>
      <c r="B10524" s="36" t="s">
        <v>321</v>
      </c>
      <c r="C10524" s="48" t="n">
        <f aca="false">Assumptions!$D$112</f>
        <v>2</v>
      </c>
      <c r="D10524" s="48" t="n">
        <f aca="false">Assumptions!$E$112</f>
        <v>2</v>
      </c>
      <c r="E10524" s="48" t="n">
        <f aca="false">Assumptions!$F$112</f>
        <v>3</v>
      </c>
      <c r="F10524" s="48" t="n">
        <f aca="false">Assumptions!$G$112</f>
        <v>3</v>
      </c>
      <c r="G10524" s="48" t="n">
        <f aca="false">Assumptions!$H$112</f>
        <v>4</v>
      </c>
      <c r="H10524" s="48" t="n">
        <f aca="false">Assumptions!$I$112</f>
        <v>4</v>
      </c>
      <c r="I10524" s="48" t="n">
        <f aca="false">Assumptions!$J$112</f>
        <v>5</v>
      </c>
      <c r="J10524" s="48" t="n">
        <f aca="false">Assumptions!$K$112</f>
        <v>5</v>
      </c>
      <c r="K10524" s="48" t="n">
        <f aca="false">Assumptions!$L$112</f>
        <v>6</v>
      </c>
      <c r="L10524" s="48" t="n">
        <f aca="false">Assumptions!$M$112</f>
        <v>6</v>
      </c>
      <c r="M10524" s="48" t="n">
        <f aca="false">Assumptions!$N$112</f>
        <v>6</v>
      </c>
      <c r="N10524" s="48" t="n">
        <f aca="false">Assumptions!$O$112</f>
        <v>6</v>
      </c>
      <c r="P10524" s="49" t="n">
        <f aca="false">F10524</f>
        <v>3</v>
      </c>
      <c r="Q10524" s="49" t="n">
        <f aca="false">J10524</f>
        <v>5</v>
      </c>
      <c r="R10524" s="49" t="n">
        <f aca="false">N10524</f>
        <v>6</v>
      </c>
      <c r="S10524" s="50" t="n">
        <f aca="false">R10524</f>
        <v>6</v>
      </c>
    </row>
    <row r="10525" customFormat="false" ht="15" hidden="false" customHeight="false" outlineLevel="0" collapsed="false">
      <c r="A10525" s="4" t="s">
        <v>493</v>
      </c>
      <c r="B10525" s="36" t="s">
        <v>321</v>
      </c>
      <c r="C10525" s="48" t="n">
        <f aca="false">0</f>
        <v>0</v>
      </c>
      <c r="D10525" s="48" t="n">
        <f aca="false">0.5*C10524</f>
        <v>1</v>
      </c>
      <c r="E10525" s="48" t="n">
        <f aca="false">C10524+0.5*(D10524-C10524)</f>
        <v>2</v>
      </c>
      <c r="F10525" s="48" t="n">
        <f aca="false">D10524+0.5*(E10524-D10524)</f>
        <v>2.5</v>
      </c>
      <c r="G10525" s="48" t="n">
        <f aca="false">E10524+0.5*(F10524-E10524)</f>
        <v>3</v>
      </c>
      <c r="H10525" s="48" t="n">
        <f aca="false">F10524+0.5*(G10524-F10524)</f>
        <v>3.5</v>
      </c>
      <c r="I10525" s="48" t="n">
        <f aca="false">G10524+0.5*(H10524-G10524)</f>
        <v>4</v>
      </c>
      <c r="J10525" s="48" t="n">
        <f aca="false">H10524+0.5*(I10524-H10524)</f>
        <v>4.5</v>
      </c>
      <c r="K10525" s="48" t="n">
        <f aca="false">I10524+0.5*(J10524-I10524)</f>
        <v>5</v>
      </c>
      <c r="L10525" s="48" t="n">
        <f aca="false">J10524+0.5*(K10524-J10524)</f>
        <v>5.5</v>
      </c>
      <c r="M10525" s="48" t="n">
        <f aca="false">K10524+0.5*(L10524-K10524)</f>
        <v>6</v>
      </c>
      <c r="N10525" s="48" t="n">
        <f aca="false">L10524+0.5*(M10524-L10524)</f>
        <v>6</v>
      </c>
      <c r="P10525" s="49" t="n">
        <f aca="false">F10525</f>
        <v>2.5</v>
      </c>
      <c r="Q10525" s="49" t="n">
        <f aca="false">J10525</f>
        <v>4.5</v>
      </c>
      <c r="R10525" s="49" t="n">
        <f aca="false">N10525</f>
        <v>6</v>
      </c>
      <c r="S10525" s="50" t="n">
        <f aca="false">R10525</f>
        <v>6</v>
      </c>
    </row>
    <row r="10526" customFormat="false" ht="15" hidden="false" customHeight="false" outlineLevel="0" collapsed="false">
      <c r="A10526" s="4" t="s">
        <v>494</v>
      </c>
      <c r="B10526" s="36" t="s">
        <v>485</v>
      </c>
      <c r="C10526" s="39" t="n">
        <f aca="false">MIN(C10525*150,C10521*(1-$C$10504))</f>
        <v>0</v>
      </c>
      <c r="D10526" s="39" t="n">
        <f aca="false">MIN(D10525*150,D10521*(1-$C$10504))</f>
        <v>150</v>
      </c>
      <c r="E10526" s="39" t="n">
        <f aca="false">MIN(E10525*150,E10521*(1-$C$10504))</f>
        <v>300</v>
      </c>
      <c r="F10526" s="39" t="n">
        <f aca="false">MIN(F10525*150,F10521*(1-$C$10504))</f>
        <v>375</v>
      </c>
      <c r="G10526" s="39" t="n">
        <f aca="false">MIN(G10525*150,G10521*(1-$C$10504))</f>
        <v>450</v>
      </c>
      <c r="H10526" s="39" t="n">
        <f aca="false">MIN(H10525*150,H10521*(1-$C$10504))</f>
        <v>525</v>
      </c>
      <c r="I10526" s="39" t="n">
        <f aca="false">MIN(I10525*150,I10521*(1-$C$10504))</f>
        <v>600</v>
      </c>
      <c r="J10526" s="39" t="n">
        <f aca="false">MIN(J10525*150,J10521*(1-$C$10504))</f>
        <v>675</v>
      </c>
      <c r="K10526" s="39" t="n">
        <f aca="false">MIN(K10525*150,K10521*(1-$C$10504))</f>
        <v>750</v>
      </c>
      <c r="L10526" s="39" t="n">
        <f aca="false">MIN(L10525*150,L10521*(1-$C$10504))</f>
        <v>825</v>
      </c>
      <c r="M10526" s="39" t="n">
        <f aca="false">MIN(M10525*150,M10521*(1-$C$10504))</f>
        <v>900</v>
      </c>
      <c r="N10526" s="39" t="n">
        <f aca="false">MIN(N10525*150,N10521*(1-$C$10504))</f>
        <v>900</v>
      </c>
      <c r="P10526" s="40" t="n">
        <f aca="false">SUM(C10526:F10526)</f>
        <v>825</v>
      </c>
      <c r="Q10526" s="40" t="n">
        <f aca="false">SUM(G10526:J10526)</f>
        <v>2250</v>
      </c>
      <c r="R10526" s="40" t="n">
        <f aca="false">SUM(K10526:N10526)</f>
        <v>3375</v>
      </c>
      <c r="S10526" s="41" t="n">
        <f aca="false">SUM(P10526:R10526)</f>
        <v>6450</v>
      </c>
    </row>
    <row r="10527" customFormat="false" ht="15" hidden="false" customHeight="false" outlineLevel="0" collapsed="false">
      <c r="A10527" s="4" t="s">
        <v>495</v>
      </c>
      <c r="B10527" s="36" t="s">
        <v>491</v>
      </c>
      <c r="C10527" s="48" t="n">
        <f aca="false">C10526*Assumptions!$E$20*Assumptions!$E$39*IF(C10521&gt;0,C10522/C10521,0)*C10511</f>
        <v>0</v>
      </c>
      <c r="D10527" s="48" t="n">
        <f aca="false">D10526*Assumptions!$E$20*Assumptions!$E$39*IF(D10521&gt;0,D10522/D10521,0)*D10511</f>
        <v>6.28158279893917</v>
      </c>
      <c r="E10527" s="48" t="n">
        <f aca="false">E10526*Assumptions!$E$20*Assumptions!$E$39*IF(E10521&gt;0,E10522/E10521,0)*E10511</f>
        <v>11.6913429510899</v>
      </c>
      <c r="F10527" s="48" t="n">
        <f aca="false">F10526*Assumptions!$E$20*Assumptions!$E$39*IF(F10521&gt;0,F10522/F10521,0)*F10511</f>
        <v>13.6000256996417</v>
      </c>
      <c r="G10527" s="48" t="n">
        <f aca="false">G10526*Assumptions!$E$20*Assumptions!$E$39*IF(G10521&gt;0,G10522/G10521,0)*G10511</f>
        <v>16.5085436459436</v>
      </c>
      <c r="H10527" s="48" t="n">
        <f aca="false">H10526*Assumptions!$E$20*Assumptions!$E$39*IF(H10521&gt;0,H10522/H10521,0)*H10511</f>
        <v>18.7640556908072</v>
      </c>
      <c r="I10527" s="48" t="n">
        <f aca="false">I10526*Assumptions!$E$20*Assumptions!$E$39*IF(I10521&gt;0,I10522/I10521,0)*I10511</f>
        <v>22.8124522566125</v>
      </c>
      <c r="J10527" s="48" t="n">
        <f aca="false">J10526*Assumptions!$E$20*Assumptions!$E$39*IF(J10521&gt;0,J10522/J10521,0)*J10511</f>
        <v>25.1478417127101</v>
      </c>
      <c r="K10527" s="48" t="n">
        <f aca="false">K10526*Assumptions!$E$20*Assumptions!$E$39*IF(K10521&gt;0,K10522/K10521,0)*K10511</f>
        <v>26.0030041041983</v>
      </c>
      <c r="L10527" s="48" t="n">
        <f aca="false">L10526*Assumptions!$E$20*Assumptions!$E$39*IF(L10521&gt;0,L10522/L10521,0)*L10511</f>
        <v>26.6183741676807</v>
      </c>
      <c r="M10527" s="48" t="n">
        <f aca="false">M10526*Assumptions!$E$20*Assumptions!$E$39*IF(M10521&gt;0,M10522/M10521,0)*M10511</f>
        <v>27.0231145547361</v>
      </c>
      <c r="N10527" s="48" t="n">
        <f aca="false">N10526*Assumptions!$E$20*Assumptions!$E$39*IF(N10521&gt;0,N10522/N10521,0)*N10511</f>
        <v>25.1478417127101</v>
      </c>
      <c r="P10527" s="49" t="n">
        <f aca="false">SUM(C10527:F10527)</f>
        <v>31.5729514496708</v>
      </c>
      <c r="Q10527" s="49" t="n">
        <f aca="false">SUM(G10527:J10527)</f>
        <v>83.2328933060734</v>
      </c>
      <c r="R10527" s="49" t="n">
        <f aca="false">SUM(K10527:N10527)</f>
        <v>104.792334539325</v>
      </c>
      <c r="S10527" s="50" t="n">
        <f aca="false">SUM(P10527:R10527)</f>
        <v>219.598179295069</v>
      </c>
    </row>
    <row r="10528" customFormat="false" ht="15" hidden="false" customHeight="false" outlineLevel="0" collapsed="false">
      <c r="A10528" s="4" t="s">
        <v>496</v>
      </c>
      <c r="B10528" s="36" t="s">
        <v>497</v>
      </c>
      <c r="C10528" s="48" t="n">
        <f aca="false">IF(AND(C10521&gt;0,$C$10508&gt;0),C10521*Assumptions!$E$24*(1-EXP(-$C$10508/(Assumptions!$E$23*C10521*Assumptions!$E$24))),0)</f>
        <v>16.472729605943</v>
      </c>
      <c r="D10528" s="48" t="n">
        <f aca="false">IF(AND(D10521&gt;0,$C$10508&gt;0),D10521*Assumptions!$E$24*(1-EXP(-$C$10508/(Assumptions!$E$23*D10521*Assumptions!$E$24))),0)</f>
        <v>30.7560309972474</v>
      </c>
      <c r="E10528" s="48" t="n">
        <f aca="false">IF(AND(E10521&gt;0,$C$10508&gt;0),E10521*Assumptions!$E$24*(1-EXP(-$C$10508/(Assumptions!$E$23*E10521*Assumptions!$E$24))),0)</f>
        <v>30.7560309972474</v>
      </c>
      <c r="F10528" s="48" t="n">
        <f aca="false">IF(AND(F10521&gt;0,$C$10508&gt;0),F10521*Assumptions!$E$24*(1-EXP(-$C$10508/(Assumptions!$E$23*F10521*Assumptions!$E$24))),0)</f>
        <v>30.7560309972474</v>
      </c>
      <c r="G10528" s="48" t="n">
        <f aca="false">IF(AND(G10521&gt;0,$C$10508&gt;0),G10521*Assumptions!$E$24*(1-EXP(-$C$10508/(Assumptions!$E$23*G10521*Assumptions!$E$24))),0)</f>
        <v>38.4489058252097</v>
      </c>
      <c r="H10528" s="48" t="n">
        <f aca="false">IF(AND(H10521&gt;0,$C$10508&gt;0),H10521*Assumptions!$E$24*(1-EXP(-$C$10508/(Assumptions!$E$23*H10521*Assumptions!$E$24))),0)</f>
        <v>44.4905508381239</v>
      </c>
      <c r="I10528" s="48" t="n">
        <f aca="false">IF(AND(I10521&gt;0,$C$10508&gt;0),I10521*Assumptions!$E$24*(1-EXP(-$C$10508/(Assumptions!$E$23*I10521*Assumptions!$E$24))),0)</f>
        <v>57.1871803967491</v>
      </c>
      <c r="J10528" s="48" t="n">
        <f aca="false">IF(AND(J10521&gt;0,$C$10508&gt;0),J10521*Assumptions!$E$24*(1-EXP(-$C$10508/(Assumptions!$E$23*J10521*Assumptions!$E$24))),0)</f>
        <v>64.192759682173</v>
      </c>
      <c r="K10528" s="48" t="n">
        <f aca="false">IF(AND(K10521&gt;0,$C$10508&gt;0),K10521*Assumptions!$E$24*(1-EXP(-$C$10508/(Assumptions!$E$23*K10521*Assumptions!$E$24))),0)</f>
        <v>64.192759682173</v>
      </c>
      <c r="L10528" s="48" t="n">
        <f aca="false">IF(AND(L10521&gt;0,$C$10508&gt;0),L10521*Assumptions!$E$24*(1-EXP(-$C$10508/(Assumptions!$E$23*L10521*Assumptions!$E$24))),0)</f>
        <v>64.192759682173</v>
      </c>
      <c r="M10528" s="48" t="n">
        <f aca="false">IF(AND(M10521&gt;0,$C$10508&gt;0),M10521*Assumptions!$E$24*(1-EXP(-$C$10508/(Assumptions!$E$23*M10521*Assumptions!$E$24))),0)</f>
        <v>64.192759682173</v>
      </c>
      <c r="N10528" s="48" t="n">
        <f aca="false">IF(AND(N10521&gt;0,$C$10508&gt;0),N10521*Assumptions!$E$24*(1-EXP(-$C$10508/(Assumptions!$E$23*N10521*Assumptions!$E$24))),0)</f>
        <v>64.192759682173</v>
      </c>
      <c r="P10528" s="49" t="n">
        <f aca="false">SUM(C10528:F10528)</f>
        <v>108.740822597685</v>
      </c>
      <c r="Q10528" s="49" t="n">
        <f aca="false">SUM(G10528:J10528)</f>
        <v>204.319396742256</v>
      </c>
      <c r="R10528" s="49" t="n">
        <f aca="false">SUM(K10528:N10528)</f>
        <v>256.771038728692</v>
      </c>
      <c r="S10528" s="50" t="n">
        <f aca="false">SUM(P10528:R10528)</f>
        <v>569.831258068633</v>
      </c>
    </row>
    <row r="10529" customFormat="false" ht="15" hidden="false" customHeight="false" outlineLevel="0" collapsed="false">
      <c r="A10529" s="4" t="s">
        <v>498</v>
      </c>
      <c r="B10529" s="36" t="s">
        <v>497</v>
      </c>
      <c r="C10529" s="48" t="n">
        <f aca="false">(C10521*Assumptions!$E$22*MIN(1,Assumptions!$E$103/Assumptions!$E$78)+C10528)*C10511</f>
        <v>21.991606841143</v>
      </c>
      <c r="D10529" s="48" t="n">
        <f aca="false">(D10521*Assumptions!$E$22*MIN(1,Assumptions!$E$103/Assumptions!$E$78)+D10528)*D10511</f>
        <v>41.7937854676474</v>
      </c>
      <c r="E10529" s="48" t="n">
        <f aca="false">(E10521*Assumptions!$E$22*MIN(1,Assumptions!$E$103/Assumptions!$E$78)+E10528)*E10511</f>
        <v>41.7937854676474</v>
      </c>
      <c r="F10529" s="48" t="n">
        <f aca="false">(F10521*Assumptions!$E$22*MIN(1,Assumptions!$E$103/Assumptions!$E$78)+F10528)*F10511</f>
        <v>41.7937854676474</v>
      </c>
      <c r="G10529" s="48" t="n">
        <f aca="false">(G10521*Assumptions!$E$22*MIN(1,Assumptions!$E$103/Assumptions!$E$78)+G10528)*G10511</f>
        <v>53.3839008428097</v>
      </c>
      <c r="H10529" s="48" t="n">
        <f aca="false">(H10521*Assumptions!$E$22*MIN(1,Assumptions!$E$103/Assumptions!$E$78)+H10528)*H10511</f>
        <v>63.3227864029239</v>
      </c>
      <c r="I10529" s="48" t="n">
        <f aca="false">(I10521*Assumptions!$E$22*MIN(1,Assumptions!$E$103/Assumptions!$E$78)+I10528)*I10511</f>
        <v>88.8632843583491</v>
      </c>
      <c r="J10529" s="48" t="n">
        <f aca="false">(J10521*Assumptions!$E$22*MIN(1,Assumptions!$E$103/Assumptions!$E$78)+J10528)*J10511</f>
        <v>108.712732040573</v>
      </c>
      <c r="K10529" s="48" t="n">
        <f aca="false">(K10521*Assumptions!$E$22*MIN(1,Assumptions!$E$103/Assumptions!$E$78)+K10528)*K10511</f>
        <v>108.712732040573</v>
      </c>
      <c r="L10529" s="48" t="n">
        <f aca="false">(L10521*Assumptions!$E$22*MIN(1,Assumptions!$E$103/Assumptions!$E$78)+L10528)*L10511</f>
        <v>108.712732040573</v>
      </c>
      <c r="M10529" s="48" t="n">
        <f aca="false">(M10521*Assumptions!$E$22*MIN(1,Assumptions!$E$103/Assumptions!$E$78)+M10528)*M10511</f>
        <v>108.712732040573</v>
      </c>
      <c r="N10529" s="48" t="n">
        <f aca="false">(N10521*Assumptions!$E$22*MIN(1,Assumptions!$E$103/Assumptions!$E$78)+N10528)*N10511</f>
        <v>108.712732040573</v>
      </c>
      <c r="P10529" s="49" t="n">
        <f aca="false">SUM(C10529:F10529)</f>
        <v>147.372963244085</v>
      </c>
      <c r="Q10529" s="49" t="n">
        <f aca="false">SUM(G10529:J10529)</f>
        <v>314.282703644656</v>
      </c>
      <c r="R10529" s="49" t="n">
        <f aca="false">SUM(K10529:N10529)</f>
        <v>434.850928162292</v>
      </c>
      <c r="S10529" s="50" t="n">
        <f aca="false">SUM(P10529:R10529)</f>
        <v>896.506595051033</v>
      </c>
    </row>
    <row r="10530" customFormat="false" ht="15" hidden="false" customHeight="false" outlineLevel="0" collapsed="false">
      <c r="A10530" s="4" t="s">
        <v>499</v>
      </c>
      <c r="B10530" s="36" t="s">
        <v>500</v>
      </c>
      <c r="C10530" s="48" t="n">
        <f aca="false">C10511*MIN(Assumptions!$E$27,Assumptions!$E$25+Assumptions!$E$26*(C10510-1))*Assumptions!$E$107</f>
        <v>2</v>
      </c>
      <c r="D10530" s="48" t="n">
        <f aca="false">D10511*MIN(Assumptions!$E$27,Assumptions!$E$25+Assumptions!$E$26*(D10510-1))*Assumptions!$E$107</f>
        <v>3</v>
      </c>
      <c r="E10530" s="48" t="n">
        <f aca="false">E10511*MIN(Assumptions!$E$27,Assumptions!$E$25+Assumptions!$E$26*(E10510-1))*Assumptions!$E$107</f>
        <v>4</v>
      </c>
      <c r="F10530" s="48" t="n">
        <f aca="false">F10511*MIN(Assumptions!$E$27,Assumptions!$E$25+Assumptions!$E$26*(F10510-1))*Assumptions!$E$107</f>
        <v>5</v>
      </c>
      <c r="G10530" s="48" t="n">
        <f aca="false">G10511*MIN(Assumptions!$E$27,Assumptions!$E$25+Assumptions!$E$26*(G10510-1))*Assumptions!$E$107</f>
        <v>6</v>
      </c>
      <c r="H10530" s="48" t="n">
        <f aca="false">H10511*MIN(Assumptions!$E$27,Assumptions!$E$25+Assumptions!$E$26*(H10510-1))*Assumptions!$E$107</f>
        <v>7</v>
      </c>
      <c r="I10530" s="48" t="n">
        <f aca="false">I10511*MIN(Assumptions!$E$27,Assumptions!$E$25+Assumptions!$E$26*(I10510-1))*Assumptions!$E$107</f>
        <v>8</v>
      </c>
      <c r="J10530" s="48" t="n">
        <f aca="false">J10511*MIN(Assumptions!$E$27,Assumptions!$E$25+Assumptions!$E$26*(J10510-1))*Assumptions!$E$107</f>
        <v>9</v>
      </c>
      <c r="K10530" s="48" t="n">
        <f aca="false">K10511*MIN(Assumptions!$E$27,Assumptions!$E$25+Assumptions!$E$26*(K10510-1))*Assumptions!$E$107</f>
        <v>10</v>
      </c>
      <c r="L10530" s="48" t="n">
        <f aca="false">L10511*MIN(Assumptions!$E$27,Assumptions!$E$25+Assumptions!$E$26*(L10510-1))*Assumptions!$E$107</f>
        <v>10</v>
      </c>
      <c r="M10530" s="48" t="n">
        <f aca="false">M10511*MIN(Assumptions!$E$27,Assumptions!$E$25+Assumptions!$E$26*(M10510-1))*Assumptions!$E$107</f>
        <v>10</v>
      </c>
      <c r="N10530" s="48" t="n">
        <f aca="false">N10511*MIN(Assumptions!$E$27,Assumptions!$E$25+Assumptions!$E$26*(N10510-1))*Assumptions!$E$107</f>
        <v>10</v>
      </c>
      <c r="P10530" s="49" t="n">
        <f aca="false">F10530</f>
        <v>5</v>
      </c>
      <c r="Q10530" s="49" t="n">
        <f aca="false">J10530</f>
        <v>9</v>
      </c>
      <c r="R10530" s="49" t="n">
        <f aca="false">N10530</f>
        <v>10</v>
      </c>
      <c r="S10530" s="50" t="n">
        <f aca="false">R10530</f>
        <v>10</v>
      </c>
    </row>
    <row r="10531" customFormat="false" ht="15" hidden="false" customHeight="false" outlineLevel="0" collapsed="false">
      <c r="A10531" s="4" t="s">
        <v>501</v>
      </c>
      <c r="B10531" s="36" t="s">
        <v>502</v>
      </c>
      <c r="C10531" s="48" t="n">
        <f aca="false">C10530*Assumptions!$E$28</f>
        <v>6</v>
      </c>
      <c r="D10531" s="48" t="n">
        <f aca="false">D10530*Assumptions!$E$28</f>
        <v>9</v>
      </c>
      <c r="E10531" s="48" t="n">
        <f aca="false">E10530*Assumptions!$E$28</f>
        <v>12</v>
      </c>
      <c r="F10531" s="48" t="n">
        <f aca="false">F10530*Assumptions!$E$28</f>
        <v>15</v>
      </c>
      <c r="G10531" s="48" t="n">
        <f aca="false">G10530*Assumptions!$E$28</f>
        <v>18</v>
      </c>
      <c r="H10531" s="48" t="n">
        <f aca="false">H10530*Assumptions!$E$28</f>
        <v>21</v>
      </c>
      <c r="I10531" s="48" t="n">
        <f aca="false">I10530*Assumptions!$E$28</f>
        <v>24</v>
      </c>
      <c r="J10531" s="48" t="n">
        <f aca="false">J10530*Assumptions!$E$28</f>
        <v>27</v>
      </c>
      <c r="K10531" s="48" t="n">
        <f aca="false">K10530*Assumptions!$E$28</f>
        <v>30</v>
      </c>
      <c r="L10531" s="48" t="n">
        <f aca="false">L10530*Assumptions!$E$28</f>
        <v>30</v>
      </c>
      <c r="M10531" s="48" t="n">
        <f aca="false">M10530*Assumptions!$E$28</f>
        <v>30</v>
      </c>
      <c r="N10531" s="48" t="n">
        <f aca="false">N10530*Assumptions!$E$28</f>
        <v>30</v>
      </c>
      <c r="P10531" s="49" t="n">
        <f aca="false">SUM(C10531:F10531)</f>
        <v>42</v>
      </c>
      <c r="Q10531" s="49" t="n">
        <f aca="false">SUM(G10531:J10531)</f>
        <v>90</v>
      </c>
      <c r="R10531" s="49" t="n">
        <f aca="false">SUM(K10531:N10531)</f>
        <v>120</v>
      </c>
      <c r="S10531" s="50" t="n">
        <f aca="false">SUM(P10531:R10531)</f>
        <v>252</v>
      </c>
    </row>
    <row r="10532" customFormat="false" ht="15" hidden="false" customHeight="false" outlineLevel="0" collapsed="false">
      <c r="A10532" s="4" t="s">
        <v>503</v>
      </c>
      <c r="B10532" s="36" t="s">
        <v>504</v>
      </c>
      <c r="C10532" s="48" t="n">
        <f aca="false">(C10523+C10527)*Assumptions!$E$29</f>
        <v>2.649061072896</v>
      </c>
      <c r="D10532" s="48" t="n">
        <f aca="false">(D10523+D10527)*Assumptions!$E$29</f>
        <v>7.44309133256615</v>
      </c>
      <c r="E10532" s="48" t="n">
        <f aca="false">(E10523+E10527)*Assumptions!$E$29</f>
        <v>9.26484555104476</v>
      </c>
      <c r="F10532" s="48" t="n">
        <f aca="false">(F10523+F10527)*Assumptions!$E$29</f>
        <v>9.70991234460406</v>
      </c>
      <c r="G10532" s="48" t="n">
        <f aca="false">(G10523+G10527)*Assumptions!$E$29</f>
        <v>12.4476845303774</v>
      </c>
      <c r="H10532" s="48" t="n">
        <f aca="false">(H10523+H10527)*Assumptions!$E$29</f>
        <v>14.6851852867672</v>
      </c>
      <c r="I10532" s="48" t="n">
        <f aca="false">(I10523+I10527)*Assumptions!$E$29</f>
        <v>21.9713739568582</v>
      </c>
      <c r="J10532" s="48" t="n">
        <f aca="false">(J10523+J10527)*Assumptions!$E$29</f>
        <v>27.7512843263407</v>
      </c>
      <c r="K10532" s="48" t="n">
        <f aca="false">(K10523+K10527)*Assumptions!$E$29</f>
        <v>26.8656002045845</v>
      </c>
      <c r="L10532" s="48" t="n">
        <f aca="false">(L10523+L10527)*Assumptions!$E$29</f>
        <v>25.9691989719055</v>
      </c>
      <c r="M10532" s="48" t="n">
        <f aca="false">(M10523+M10527)*Assumptions!$E$29</f>
        <v>25.0678332354024</v>
      </c>
      <c r="N10532" s="48" t="n">
        <f aca="false">(N10523+N10527)*Assumptions!$E$29</f>
        <v>23.3282474160265</v>
      </c>
      <c r="P10532" s="49" t="n">
        <f aca="false">SUM(C10532:F10532)</f>
        <v>29.066910301111</v>
      </c>
      <c r="Q10532" s="49" t="n">
        <f aca="false">SUM(G10532:J10532)</f>
        <v>76.8555281003436</v>
      </c>
      <c r="R10532" s="49" t="n">
        <f aca="false">SUM(K10532:N10532)</f>
        <v>101.230879827919</v>
      </c>
      <c r="S10532" s="50" t="n">
        <f aca="false">SUM(P10532:R10532)</f>
        <v>207.153318229373</v>
      </c>
    </row>
    <row r="10533" customFormat="false" ht="15" hidden="false" customHeight="false" outlineLevel="0" collapsed="false">
      <c r="A10533" s="4" t="s">
        <v>505</v>
      </c>
      <c r="B10533" s="36" t="s">
        <v>504</v>
      </c>
      <c r="C10533" s="48" t="n">
        <f aca="false">C10529*Assumptions!$E$31</f>
        <v>3.51865709458288</v>
      </c>
      <c r="D10533" s="48" t="n">
        <f aca="false">D10529*Assumptions!$E$31</f>
        <v>6.68700567482359</v>
      </c>
      <c r="E10533" s="48" t="n">
        <f aca="false">E10529*Assumptions!$E$31</f>
        <v>6.68700567482359</v>
      </c>
      <c r="F10533" s="48" t="n">
        <f aca="false">F10529*Assumptions!$E$31</f>
        <v>6.68700567482359</v>
      </c>
      <c r="G10533" s="48" t="n">
        <f aca="false">G10529*Assumptions!$E$31</f>
        <v>8.54142413484956</v>
      </c>
      <c r="H10533" s="48" t="n">
        <f aca="false">H10529*Assumptions!$E$31</f>
        <v>10.1316458244678</v>
      </c>
      <c r="I10533" s="48" t="n">
        <f aca="false">I10529*Assumptions!$E$31</f>
        <v>14.2181254973359</v>
      </c>
      <c r="J10533" s="48" t="n">
        <f aca="false">J10529*Assumptions!$E$31</f>
        <v>17.3940371264917</v>
      </c>
      <c r="K10533" s="48" t="n">
        <f aca="false">K10529*Assumptions!$E$31</f>
        <v>17.3940371264917</v>
      </c>
      <c r="L10533" s="48" t="n">
        <f aca="false">L10529*Assumptions!$E$31</f>
        <v>17.3940371264917</v>
      </c>
      <c r="M10533" s="48" t="n">
        <f aca="false">M10529*Assumptions!$E$31</f>
        <v>17.3940371264917</v>
      </c>
      <c r="N10533" s="48" t="n">
        <f aca="false">N10529*Assumptions!$E$31</f>
        <v>17.3940371264917</v>
      </c>
      <c r="P10533" s="49" t="n">
        <f aca="false">SUM(C10533:F10533)</f>
        <v>23.5796741190536</v>
      </c>
      <c r="Q10533" s="49" t="n">
        <f aca="false">SUM(G10533:J10533)</f>
        <v>50.2852325831449</v>
      </c>
      <c r="R10533" s="49" t="n">
        <f aca="false">SUM(K10533:N10533)</f>
        <v>69.5761485059667</v>
      </c>
      <c r="S10533" s="50" t="n">
        <f aca="false">SUM(P10533:R10533)</f>
        <v>143.441055208165</v>
      </c>
    </row>
    <row r="10534" customFormat="false" ht="15" hidden="false" customHeight="false" outlineLevel="0" collapsed="false">
      <c r="A10534" s="4" t="s">
        <v>506</v>
      </c>
      <c r="B10534" s="36" t="s">
        <v>504</v>
      </c>
      <c r="C10534" s="48" t="n">
        <f aca="false">C10531*Assumptions!$E$30</f>
        <v>3</v>
      </c>
      <c r="D10534" s="48" t="n">
        <f aca="false">D10531*Assumptions!$E$30</f>
        <v>4.5</v>
      </c>
      <c r="E10534" s="48" t="n">
        <f aca="false">E10531*Assumptions!$E$30</f>
        <v>6</v>
      </c>
      <c r="F10534" s="48" t="n">
        <f aca="false">F10531*Assumptions!$E$30</f>
        <v>7.5</v>
      </c>
      <c r="G10534" s="48" t="n">
        <f aca="false">G10531*Assumptions!$E$30</f>
        <v>9</v>
      </c>
      <c r="H10534" s="48" t="n">
        <f aca="false">H10531*Assumptions!$E$30</f>
        <v>10.5</v>
      </c>
      <c r="I10534" s="48" t="n">
        <f aca="false">I10531*Assumptions!$E$30</f>
        <v>12</v>
      </c>
      <c r="J10534" s="48" t="n">
        <f aca="false">J10531*Assumptions!$E$30</f>
        <v>13.5</v>
      </c>
      <c r="K10534" s="48" t="n">
        <f aca="false">K10531*Assumptions!$E$30</f>
        <v>15</v>
      </c>
      <c r="L10534" s="48" t="n">
        <f aca="false">L10531*Assumptions!$E$30</f>
        <v>15</v>
      </c>
      <c r="M10534" s="48" t="n">
        <f aca="false">M10531*Assumptions!$E$30</f>
        <v>15</v>
      </c>
      <c r="N10534" s="48" t="n">
        <f aca="false">N10531*Assumptions!$E$30</f>
        <v>15</v>
      </c>
      <c r="P10534" s="49" t="n">
        <f aca="false">SUM(C10534:F10534)</f>
        <v>21</v>
      </c>
      <c r="Q10534" s="49" t="n">
        <f aca="false">SUM(G10534:J10534)</f>
        <v>45</v>
      </c>
      <c r="R10534" s="49" t="n">
        <f aca="false">SUM(K10534:N10534)</f>
        <v>60</v>
      </c>
      <c r="S10534" s="50" t="n">
        <f aca="false">SUM(P10534:R10534)</f>
        <v>126</v>
      </c>
    </row>
    <row r="10535" customFormat="false" ht="15" hidden="false" customHeight="false" outlineLevel="0" collapsed="false">
      <c r="A10535" s="9" t="s">
        <v>507</v>
      </c>
      <c r="B10535" s="36" t="s">
        <v>504</v>
      </c>
      <c r="C10535" s="49" t="n">
        <f aca="false">C10532+C10533+C10534</f>
        <v>9.16771816747888</v>
      </c>
      <c r="D10535" s="49" t="n">
        <f aca="false">D10532+D10533+D10534</f>
        <v>18.6300970073897</v>
      </c>
      <c r="E10535" s="49" t="n">
        <f aca="false">E10532+E10533+E10534</f>
        <v>21.9518512258683</v>
      </c>
      <c r="F10535" s="49" t="n">
        <f aca="false">F10532+F10533+F10534</f>
        <v>23.8969180194277</v>
      </c>
      <c r="G10535" s="49" t="n">
        <f aca="false">G10532+G10533+G10534</f>
        <v>29.989108665227</v>
      </c>
      <c r="H10535" s="49" t="n">
        <f aca="false">H10532+H10533+H10534</f>
        <v>35.3168311112351</v>
      </c>
      <c r="I10535" s="49" t="n">
        <f aca="false">I10532+I10533+I10534</f>
        <v>48.189499454194</v>
      </c>
      <c r="J10535" s="49" t="n">
        <f aca="false">J10532+J10533+J10534</f>
        <v>58.6453214528324</v>
      </c>
      <c r="K10535" s="49" t="n">
        <f aca="false">K10532+K10533+K10534</f>
        <v>59.2596373310762</v>
      </c>
      <c r="L10535" s="49" t="n">
        <f aca="false">L10532+L10533+L10534</f>
        <v>58.3632360983972</v>
      </c>
      <c r="M10535" s="49" t="n">
        <f aca="false">M10532+M10533+M10534</f>
        <v>57.461870361894</v>
      </c>
      <c r="N10535" s="49" t="n">
        <f aca="false">N10532+N10533+N10534</f>
        <v>55.7222845425182</v>
      </c>
      <c r="P10535" s="49" t="n">
        <f aca="false">SUM(C10535:F10535)</f>
        <v>73.6465844201646</v>
      </c>
      <c r="Q10535" s="49" t="n">
        <f aca="false">SUM(G10535:J10535)</f>
        <v>172.140760683488</v>
      </c>
      <c r="R10535" s="49" t="n">
        <f aca="false">SUM(K10535:N10535)</f>
        <v>230.807028333886</v>
      </c>
      <c r="S10535" s="50" t="n">
        <f aca="false">SUM(P10535:R10535)</f>
        <v>476.594373437539</v>
      </c>
    </row>
    <row r="10536" customFormat="false" ht="15" hidden="false" customHeight="false" outlineLevel="0" collapsed="false">
      <c r="A10536" s="4" t="s">
        <v>508</v>
      </c>
      <c r="B10536" s="36" t="s">
        <v>509</v>
      </c>
      <c r="C10536" s="48" t="n">
        <f aca="false">C10518</f>
        <v>421.51972352</v>
      </c>
      <c r="D10536" s="48" t="n">
        <f aca="false">D10518</f>
        <v>843.03944704</v>
      </c>
      <c r="E10536" s="48" t="n">
        <f aca="false">E10518</f>
        <v>843.03944704</v>
      </c>
      <c r="F10536" s="48" t="n">
        <f aca="false">F10518</f>
        <v>843.03944704</v>
      </c>
      <c r="G10536" s="48" t="n">
        <f aca="false">G10518</f>
        <v>1149.32798176</v>
      </c>
      <c r="H10536" s="48" t="n">
        <f aca="false">H10518</f>
        <v>1455.61651648</v>
      </c>
      <c r="I10536" s="48" t="n">
        <f aca="false">I10518</f>
        <v>2486.00303616</v>
      </c>
      <c r="J10536" s="48" t="n">
        <f aca="false">J10518</f>
        <v>3516.38955584</v>
      </c>
      <c r="K10536" s="48" t="n">
        <f aca="false">K10518</f>
        <v>3516.38955584</v>
      </c>
      <c r="L10536" s="48" t="n">
        <f aca="false">L10518</f>
        <v>3516.38955584</v>
      </c>
      <c r="M10536" s="48" t="n">
        <f aca="false">M10518</f>
        <v>3516.38955584</v>
      </c>
      <c r="N10536" s="48" t="n">
        <f aca="false">N10518</f>
        <v>3516.38955584</v>
      </c>
      <c r="P10536" s="49"/>
      <c r="Q10536" s="49"/>
      <c r="R10536" s="49"/>
      <c r="S10536" s="50"/>
    </row>
    <row r="10537" customFormat="false" ht="15" hidden="false" customHeight="false" outlineLevel="0" collapsed="false">
      <c r="A10537" s="4" t="s">
        <v>510</v>
      </c>
      <c r="B10537" s="36" t="s">
        <v>509</v>
      </c>
      <c r="C10537" s="48" t="n">
        <f aca="false">C10519*Assumptions!$E$18*Assumptions!$E$33</f>
        <v>211.19616</v>
      </c>
      <c r="D10537" s="48" t="n">
        <f aca="false">D10519*Assumptions!$E$18*Assumptions!$E$33</f>
        <v>422.39232</v>
      </c>
      <c r="E10537" s="48" t="n">
        <f aca="false">E10519*Assumptions!$E$18*Assumptions!$E$33</f>
        <v>422.39232</v>
      </c>
      <c r="F10537" s="48" t="n">
        <f aca="false">F10519*Assumptions!$E$18*Assumptions!$E$33</f>
        <v>422.39232</v>
      </c>
      <c r="G10537" s="48" t="n">
        <f aca="false">G10519*Assumptions!$E$18*Assumptions!$E$33</f>
        <v>564.49344</v>
      </c>
      <c r="H10537" s="48" t="n">
        <f aca="false">H10519*Assumptions!$E$18*Assumptions!$E$33</f>
        <v>706.59456</v>
      </c>
      <c r="I10537" s="48" t="n">
        <f aca="false">I10519*Assumptions!$E$18*Assumptions!$E$33</f>
        <v>1135.07072</v>
      </c>
      <c r="J10537" s="48" t="n">
        <f aca="false">J10519*Assumptions!$E$18*Assumptions!$E$33</f>
        <v>1563.54688</v>
      </c>
      <c r="K10537" s="48" t="n">
        <f aca="false">K10519*Assumptions!$E$18*Assumptions!$E$33</f>
        <v>1563.54688</v>
      </c>
      <c r="L10537" s="48" t="n">
        <f aca="false">L10519*Assumptions!$E$18*Assumptions!$E$33</f>
        <v>1563.54688</v>
      </c>
      <c r="M10537" s="48" t="n">
        <f aca="false">M10519*Assumptions!$E$18*Assumptions!$E$33</f>
        <v>1563.54688</v>
      </c>
      <c r="N10537" s="48" t="n">
        <f aca="false">N10519*Assumptions!$E$18*Assumptions!$E$33</f>
        <v>1563.54688</v>
      </c>
      <c r="P10537" s="49"/>
      <c r="Q10537" s="49"/>
      <c r="R10537" s="49"/>
      <c r="S10537" s="50"/>
    </row>
    <row r="10538" customFormat="false" ht="15" hidden="false" customHeight="false" outlineLevel="0" collapsed="false">
      <c r="A10538" s="4" t="s">
        <v>511</v>
      </c>
      <c r="B10538" s="36" t="s">
        <v>509</v>
      </c>
      <c r="C10538" s="48" t="n">
        <f aca="false">C10520*Assumptions!$E$19*Assumptions!$E$34</f>
        <v>34.677888</v>
      </c>
      <c r="D10538" s="48" t="n">
        <f aca="false">D10520*Assumptions!$E$19*Assumptions!$E$34</f>
        <v>69.355776</v>
      </c>
      <c r="E10538" s="48" t="n">
        <f aca="false">E10520*Assumptions!$E$19*Assumptions!$E$34</f>
        <v>69.355776</v>
      </c>
      <c r="F10538" s="48" t="n">
        <f aca="false">F10520*Assumptions!$E$19*Assumptions!$E$34</f>
        <v>69.355776</v>
      </c>
      <c r="G10538" s="48" t="n">
        <f aca="false">G10520*Assumptions!$E$19*Assumptions!$E$34</f>
        <v>86.69472</v>
      </c>
      <c r="H10538" s="48" t="n">
        <f aca="false">H10520*Assumptions!$E$19*Assumptions!$E$34</f>
        <v>104.033664</v>
      </c>
      <c r="I10538" s="48" t="n">
        <f aca="false">I10520*Assumptions!$E$19*Assumptions!$E$34</f>
        <v>159.7008</v>
      </c>
      <c r="J10538" s="48" t="n">
        <f aca="false">J10520*Assumptions!$E$19*Assumptions!$E$34</f>
        <v>215.367936</v>
      </c>
      <c r="K10538" s="48" t="n">
        <f aca="false">K10520*Assumptions!$E$19*Assumptions!$E$34</f>
        <v>215.367936</v>
      </c>
      <c r="L10538" s="48" t="n">
        <f aca="false">L10520*Assumptions!$E$19*Assumptions!$E$34</f>
        <v>215.367936</v>
      </c>
      <c r="M10538" s="48" t="n">
        <f aca="false">M10520*Assumptions!$E$19*Assumptions!$E$34</f>
        <v>215.367936</v>
      </c>
      <c r="N10538" s="48" t="n">
        <f aca="false">N10520*Assumptions!$E$19*Assumptions!$E$34</f>
        <v>215.367936</v>
      </c>
      <c r="P10538" s="49"/>
      <c r="Q10538" s="49"/>
      <c r="R10538" s="49"/>
      <c r="S10538" s="50"/>
    </row>
    <row r="10539" customFormat="false" ht="15" hidden="false" customHeight="false" outlineLevel="0" collapsed="false">
      <c r="A10539" s="4" t="s">
        <v>512</v>
      </c>
      <c r="B10539" s="36" t="s">
        <v>77</v>
      </c>
      <c r="C10539" s="51" t="n">
        <f aca="false">IFERROR(C10536/(C10536+C10537+C10538),0)</f>
        <v>0.631590736245533</v>
      </c>
      <c r="D10539" s="51" t="n">
        <f aca="false">IFERROR(D10536/(D10536+D10537+D10538),0)</f>
        <v>0.631590736245533</v>
      </c>
      <c r="E10539" s="51" t="n">
        <f aca="false">IFERROR(E10536/(E10536+E10537+E10538),0)</f>
        <v>0.631590736245533</v>
      </c>
      <c r="F10539" s="51" t="n">
        <f aca="false">IFERROR(F10536/(F10536+F10537+F10538),0)</f>
        <v>0.631590736245533</v>
      </c>
      <c r="G10539" s="51" t="n">
        <f aca="false">IFERROR(G10536/(G10536+G10537+G10538),0)</f>
        <v>0.638332506498128</v>
      </c>
      <c r="H10539" s="51" t="n">
        <f aca="false">IFERROR(H10536/(H10536+H10537+H10538),0)</f>
        <v>0.642303318118984</v>
      </c>
      <c r="I10539" s="51" t="n">
        <f aca="false">IFERROR(I10536/(I10536+I10537+I10538),0)</f>
        <v>0.657538025405288</v>
      </c>
      <c r="J10539" s="51" t="n">
        <f aca="false">IFERROR(J10536/(J10536+J10537+J10538),0)</f>
        <v>0.664058061428891</v>
      </c>
      <c r="K10539" s="51" t="n">
        <f aca="false">IFERROR(K10536/(K10536+K10537+K10538),0)</f>
        <v>0.664058061428891</v>
      </c>
      <c r="L10539" s="51" t="n">
        <f aca="false">IFERROR(L10536/(L10536+L10537+L10538),0)</f>
        <v>0.664058061428891</v>
      </c>
      <c r="M10539" s="51" t="n">
        <f aca="false">IFERROR(M10536/(M10536+M10537+M10538),0)</f>
        <v>0.664058061428891</v>
      </c>
      <c r="N10539" s="51" t="n">
        <f aca="false">IFERROR(N10536/(N10536+N10537+N10538),0)</f>
        <v>0.664058061428891</v>
      </c>
      <c r="P10539" s="52"/>
      <c r="Q10539" s="52"/>
      <c r="R10539" s="52"/>
      <c r="S10539" s="53"/>
    </row>
    <row r="10540" customFormat="false" ht="15" hidden="false" customHeight="false" outlineLevel="0" collapsed="false">
      <c r="A10540" s="4" t="s">
        <v>513</v>
      </c>
      <c r="B10540" s="36" t="s">
        <v>77</v>
      </c>
      <c r="C10540" s="51" t="n">
        <f aca="false">IFERROR(C10537/(C10536+C10537+C10538),0)</f>
        <v>0.316449102482628</v>
      </c>
      <c r="D10540" s="51" t="n">
        <f aca="false">IFERROR(D10537/(D10536+D10537+D10538),0)</f>
        <v>0.316449102482628</v>
      </c>
      <c r="E10540" s="51" t="n">
        <f aca="false">IFERROR(E10537/(E10536+E10537+E10538),0)</f>
        <v>0.316449102482628</v>
      </c>
      <c r="F10540" s="51" t="n">
        <f aca="false">IFERROR(F10537/(F10536+F10537+F10538),0)</f>
        <v>0.316449102482628</v>
      </c>
      <c r="G10540" s="51" t="n">
        <f aca="false">IFERROR(G10537/(G10536+G10537+G10538),0)</f>
        <v>0.313517566939561</v>
      </c>
      <c r="H10540" s="51" t="n">
        <f aca="false">IFERROR(H10537/(H10536+H10537+H10538),0)</f>
        <v>0.311790932099567</v>
      </c>
      <c r="I10540" s="51" t="n">
        <f aca="false">IFERROR(I10537/(I10536+I10537+I10538),0)</f>
        <v>0.300221741111391</v>
      </c>
      <c r="J10540" s="51" t="n">
        <f aca="false">IFERROR(J10537/(J10536+J10537+J10538),0)</f>
        <v>0.295270445324128</v>
      </c>
      <c r="K10540" s="51" t="n">
        <f aca="false">IFERROR(K10537/(K10536+K10537+K10538),0)</f>
        <v>0.295270445324128</v>
      </c>
      <c r="L10540" s="51" t="n">
        <f aca="false">IFERROR(L10537/(L10536+L10537+L10538),0)</f>
        <v>0.295270445324128</v>
      </c>
      <c r="M10540" s="51" t="n">
        <f aca="false">IFERROR(M10537/(M10536+M10537+M10538),0)</f>
        <v>0.295270445324128</v>
      </c>
      <c r="N10540" s="51" t="n">
        <f aca="false">IFERROR(N10537/(N10536+N10537+N10538),0)</f>
        <v>0.295270445324128</v>
      </c>
      <c r="P10540" s="52"/>
      <c r="Q10540" s="52"/>
      <c r="R10540" s="52"/>
      <c r="S10540" s="53"/>
    </row>
    <row r="10541" customFormat="false" ht="15" hidden="false" customHeight="false" outlineLevel="0" collapsed="false">
      <c r="A10541" s="4" t="s">
        <v>514</v>
      </c>
      <c r="B10541" s="36" t="s">
        <v>77</v>
      </c>
      <c r="C10541" s="51" t="n">
        <f aca="false">IFERROR(C10538/(C10536+C10537+C10538),0)</f>
        <v>0.0519601612718389</v>
      </c>
      <c r="D10541" s="51" t="n">
        <f aca="false">IFERROR(D10538/(D10536+D10537+D10538),0)</f>
        <v>0.0519601612718389</v>
      </c>
      <c r="E10541" s="51" t="n">
        <f aca="false">IFERROR(E10538/(E10536+E10537+E10538),0)</f>
        <v>0.0519601612718389</v>
      </c>
      <c r="F10541" s="51" t="n">
        <f aca="false">IFERROR(F10538/(F10536+F10537+F10538),0)</f>
        <v>0.0519601612718389</v>
      </c>
      <c r="G10541" s="51" t="n">
        <f aca="false">IFERROR(G10538/(G10536+G10537+G10538),0)</f>
        <v>0.0481499265623113</v>
      </c>
      <c r="H10541" s="51" t="n">
        <f aca="false">IFERROR(H10538/(H10536+H10537+H10538),0)</f>
        <v>0.0459057497814491</v>
      </c>
      <c r="I10541" s="51" t="n">
        <f aca="false">IFERROR(I10538/(I10536+I10537+I10538),0)</f>
        <v>0.0422402334833216</v>
      </c>
      <c r="J10541" s="51" t="n">
        <f aca="false">IFERROR(J10538/(J10536+J10537+J10538),0)</f>
        <v>0.0406714932469811</v>
      </c>
      <c r="K10541" s="51" t="n">
        <f aca="false">IFERROR(K10538/(K10536+K10537+K10538),0)</f>
        <v>0.0406714932469811</v>
      </c>
      <c r="L10541" s="51" t="n">
        <f aca="false">IFERROR(L10538/(L10536+L10537+L10538),0)</f>
        <v>0.0406714932469811</v>
      </c>
      <c r="M10541" s="51" t="n">
        <f aca="false">IFERROR(M10538/(M10536+M10537+M10538),0)</f>
        <v>0.0406714932469811</v>
      </c>
      <c r="N10541" s="51" t="n">
        <f aca="false">IFERROR(N10538/(N10536+N10537+N10538),0)</f>
        <v>0.0406714932469811</v>
      </c>
      <c r="P10541" s="52"/>
      <c r="Q10541" s="52"/>
      <c r="R10541" s="52"/>
      <c r="S10541" s="53"/>
    </row>
    <row r="10542" customFormat="false" ht="15" hidden="false" customHeight="false" outlineLevel="0" collapsed="false">
      <c r="A10542" s="4" t="s">
        <v>515</v>
      </c>
      <c r="B10542" s="36" t="s">
        <v>516</v>
      </c>
      <c r="C10542" s="48" t="n">
        <f aca="false">IF(C10510-Assumptions!$E$35&lt;1,0,INDEX($C$10535:$N$10535,1,C10510-Assumptions!$E$35)*INDEX($C$10539:$N$10539,1,C10510-Assumptions!$E$35)*Assumptions!$E$32)</f>
        <v>0</v>
      </c>
      <c r="D10542" s="48" t="n">
        <f aca="false">IF(D10510-Assumptions!$E$35&lt;1,0,INDEX($C$10535:$N$10535,1,D10510-Assumptions!$E$35)*INDEX($C$10539:$N$10539,1,D10510-Assumptions!$E$35)*Assumptions!$E$32)</f>
        <v>1.2159516320888</v>
      </c>
      <c r="E10542" s="48" t="n">
        <f aca="false">IF(E10510-Assumptions!$E$35&lt;1,0,INDEX($C$10535:$N$10535,1,E10510-Assumptions!$E$35)*INDEX($C$10539:$N$10539,1,E10510-Assumptions!$E$35)*Assumptions!$E$32)</f>
        <v>2.47098530389683</v>
      </c>
      <c r="F10542" s="48" t="n">
        <f aca="false">IF(F10510-Assumptions!$E$35&lt;1,0,INDEX($C$10535:$N$10535,1,F10510-Assumptions!$E$35)*INDEX($C$10539:$N$10539,1,F10510-Assumptions!$E$35)*Assumptions!$E$32)</f>
        <v>2.91156303431671</v>
      </c>
      <c r="G10542" s="48" t="n">
        <f aca="false">IF(G10510-Assumptions!$E$35&lt;1,0,INDEX($C$10535:$N$10535,1,G10510-Assumptions!$E$35)*INDEX($C$10539:$N$10539,1,G10510-Assumptions!$E$35)*Assumptions!$E$32)</f>
        <v>3.16954512963679</v>
      </c>
      <c r="H10542" s="48" t="n">
        <f aca="false">IF(H10510-Assumptions!$E$35&lt;1,0,INDEX($C$10535:$N$10535,1,H10510-Assumptions!$E$35)*INDEX($C$10539:$N$10539,1,H10510-Assumptions!$E$35)*Assumptions!$E$32)</f>
        <v>4.02003480940301</v>
      </c>
      <c r="I10542" s="48" t="n">
        <f aca="false">IF(I10510-Assumptions!$E$35&lt;1,0,INDEX($C$10535:$N$10535,1,I10510-Assumptions!$E$35)*INDEX($C$10539:$N$10539,1,I10510-Assumptions!$E$35)*Assumptions!$E$32)</f>
        <v>4.76366473972075</v>
      </c>
      <c r="J10542" s="48" t="n">
        <f aca="false">IF(J10510-Assumptions!$E$35&lt;1,0,INDEX($C$10535:$N$10535,1,J10510-Assumptions!$E$35)*INDEX($C$10539:$N$10539,1,J10510-Assumptions!$E$35)*Assumptions!$E$32)</f>
        <v>6.65414994643979</v>
      </c>
      <c r="K10542" s="48" t="n">
        <f aca="false">IF(K10510-Assumptions!$E$35&lt;1,0,INDEX($C$10535:$N$10535,1,K10510-Assumptions!$E$35)*INDEX($C$10539:$N$10539,1,K10510-Assumptions!$E$35)*Assumptions!$E$32)</f>
        <v>8.17821867992682</v>
      </c>
      <c r="L10542" s="48" t="n">
        <f aca="false">IF(L10510-Assumptions!$E$35&lt;1,0,INDEX($C$10535:$N$10535,1,L10510-Assumptions!$E$35)*INDEX($C$10539:$N$10539,1,L10510-Assumptions!$E$35)*Assumptions!$E$32)</f>
        <v>8.26388637628125</v>
      </c>
      <c r="M10542" s="48" t="n">
        <f aca="false">IF(M10510-Assumptions!$E$35&lt;1,0,INDEX($C$10535:$N$10535,1,M10510-Assumptions!$E$35)*INDEX($C$10539:$N$10539,1,M10510-Assumptions!$E$35)*Assumptions!$E$32)</f>
        <v>8.13888125866584</v>
      </c>
      <c r="N10542" s="48" t="n">
        <f aca="false">IF(N10510-Assumptions!$E$35&lt;1,0,INDEX($C$10535:$N$10535,1,N10510-Assumptions!$E$35)*INDEX($C$10539:$N$10539,1,N10510-Assumptions!$E$35)*Assumptions!$E$32)</f>
        <v>8.01318383010549</v>
      </c>
      <c r="P10542" s="49" t="n">
        <f aca="false">SUM(C10542:F10542)</f>
        <v>6.59849997030234</v>
      </c>
      <c r="Q10542" s="49" t="n">
        <f aca="false">SUM(G10542:J10542)</f>
        <v>18.6073946252003</v>
      </c>
      <c r="R10542" s="49" t="n">
        <f aca="false">SUM(K10542:N10542)</f>
        <v>32.5941701449794</v>
      </c>
      <c r="S10542" s="50" t="n">
        <f aca="false">SUM(P10542:R10542)</f>
        <v>57.8000647404821</v>
      </c>
    </row>
    <row r="10543" customFormat="false" ht="15" hidden="false" customHeight="false" outlineLevel="0" collapsed="false">
      <c r="A10543" s="4" t="s">
        <v>517</v>
      </c>
      <c r="B10543" s="36" t="s">
        <v>516</v>
      </c>
      <c r="C10543" s="48" t="n">
        <f aca="false">IF(C10510-Assumptions!$E$35&lt;1,0,INDEX($C$10535:$N$10535,1,C10510-Assumptions!$E$35)*INDEX($C$10540:$N$10540,1,C10510-Assumptions!$E$35)*Assumptions!$E$32)</f>
        <v>0</v>
      </c>
      <c r="D10543" s="48" t="n">
        <f aca="false">IF(D10510-Assumptions!$E$35&lt;1,0,INDEX($C$10535:$N$10535,1,D10510-Assumptions!$E$35)*INDEX($C$10540:$N$10540,1,D10510-Assumptions!$E$35)*Assumptions!$E$32)</f>
        <v>0.609234399041599</v>
      </c>
      <c r="E10543" s="48" t="n">
        <f aca="false">IF(E10510-Assumptions!$E$35&lt;1,0,INDEX($C$10535:$N$10535,1,E10510-Assumptions!$E$35)*INDEX($C$10540:$N$10540,1,E10510-Assumptions!$E$35)*Assumptions!$E$32)</f>
        <v>1.23805027020208</v>
      </c>
      <c r="F10543" s="48" t="n">
        <f aca="false">IF(F10510-Assumptions!$E$35&lt;1,0,INDEX($C$10535:$N$10535,1,F10510-Assumptions!$E$35)*INDEX($C$10540:$N$10540,1,F10510-Assumptions!$E$35)*Assumptions!$E$32)</f>
        <v>1.45879515983422</v>
      </c>
      <c r="G10543" s="48" t="n">
        <f aca="false">IF(G10510-Assumptions!$E$35&lt;1,0,INDEX($C$10535:$N$10535,1,G10510-Assumptions!$E$35)*INDEX($C$10540:$N$10540,1,G10510-Assumptions!$E$35)*Assumptions!$E$32)</f>
        <v>1.58805323446325</v>
      </c>
      <c r="H10543" s="48" t="n">
        <f aca="false">IF(H10510-Assumptions!$E$35&lt;1,0,INDEX($C$10535:$N$10535,1,H10510-Assumptions!$E$35)*INDEX($C$10540:$N$10540,1,H10510-Assumptions!$E$35)*Assumptions!$E$32)</f>
        <v>1.97444360051569</v>
      </c>
      <c r="I10543" s="48" t="n">
        <f aca="false">IF(I10510-Assumptions!$E$35&lt;1,0,INDEX($C$10535:$N$10535,1,I10510-Assumptions!$E$35)*INDEX($C$10540:$N$10540,1,I10510-Assumptions!$E$35)*Assumptions!$E$32)</f>
        <v>2.31240821510474</v>
      </c>
      <c r="J10543" s="48" t="n">
        <f aca="false">IF(J10510-Assumptions!$E$35&lt;1,0,INDEX($C$10535:$N$10535,1,J10510-Assumptions!$E$35)*INDEX($C$10540:$N$10540,1,J10510-Assumptions!$E$35)*Assumptions!$E$32)</f>
        <v>3.03818244017915</v>
      </c>
      <c r="K10543" s="48" t="n">
        <f aca="false">IF(K10510-Assumptions!$E$35&lt;1,0,INDEX($C$10535:$N$10535,1,K10510-Assumptions!$E$35)*INDEX($C$10540:$N$10540,1,K10510-Assumptions!$E$35)*Assumptions!$E$32)</f>
        <v>3.63640833812644</v>
      </c>
      <c r="L10543" s="48" t="n">
        <f aca="false">IF(L10510-Assumptions!$E$35&lt;1,0,INDEX($C$10535:$N$10535,1,L10510-Assumptions!$E$35)*INDEX($C$10540:$N$10540,1,L10510-Assumptions!$E$35)*Assumptions!$E$32)</f>
        <v>3.67450009594357</v>
      </c>
      <c r="M10543" s="48" t="n">
        <f aca="false">IF(M10510-Assumptions!$E$35&lt;1,0,INDEX($C$10535:$N$10535,1,M10510-Assumptions!$E$35)*INDEX($C$10540:$N$10540,1,M10510-Assumptions!$E$35)*Assumptions!$E$32)</f>
        <v>3.6189171297995</v>
      </c>
      <c r="N10543" s="48" t="n">
        <f aca="false">IF(N10510-Assumptions!$E$35&lt;1,0,INDEX($C$10535:$N$10535,1,N10510-Assumptions!$E$35)*INDEX($C$10540:$N$10540,1,N10510-Assumptions!$E$35)*Assumptions!$E$32)</f>
        <v>3.56302633069189</v>
      </c>
      <c r="P10543" s="49" t="n">
        <f aca="false">SUM(C10543:F10543)</f>
        <v>3.30607982907791</v>
      </c>
      <c r="Q10543" s="49" t="n">
        <f aca="false">SUM(G10543:J10543)</f>
        <v>8.91308749026284</v>
      </c>
      <c r="R10543" s="49" t="n">
        <f aca="false">SUM(K10543:N10543)</f>
        <v>14.4928518945614</v>
      </c>
      <c r="S10543" s="50" t="n">
        <f aca="false">SUM(P10543:R10543)</f>
        <v>26.7120192139021</v>
      </c>
    </row>
    <row r="10544" customFormat="false" ht="15" hidden="false" customHeight="false" outlineLevel="0" collapsed="false">
      <c r="A10544" s="4" t="s">
        <v>518</v>
      </c>
      <c r="B10544" s="36" t="s">
        <v>516</v>
      </c>
      <c r="C10544" s="48" t="n">
        <f aca="false">IF(C10510-Assumptions!$E$36&lt;1,0,INDEX($C$10535:$N$10535,1,C10510-Assumptions!$E$36)*INDEX($C$10541:$N$10541,1,C10510-Assumptions!$E$36)*Assumptions!$E$32)</f>
        <v>0</v>
      </c>
      <c r="D10544" s="48" t="n">
        <f aca="false">IF(D10510-Assumptions!$E$36&lt;1,0,INDEX($C$10535:$N$10535,1,D10510-Assumptions!$E$36)*INDEX($C$10541:$N$10541,1,D10510-Assumptions!$E$36)*Assumptions!$E$32)</f>
        <v>0</v>
      </c>
      <c r="E10544" s="48" t="n">
        <f aca="false">IF(E10510-Assumptions!$E$36&lt;1,0,INDEX($C$10535:$N$10535,1,E10510-Assumptions!$E$36)*INDEX($C$10541:$N$10541,1,E10510-Assumptions!$E$36)*Assumptions!$E$32)</f>
        <v>0.100034784040164</v>
      </c>
      <c r="F10544" s="48" t="n">
        <f aca="false">IF(F10510-Assumptions!$E$36&lt;1,0,INDEX($C$10535:$N$10535,1,F10510-Assumptions!$E$36)*INDEX($C$10541:$N$10541,1,F10510-Assumptions!$E$36)*Assumptions!$E$32)</f>
        <v>0.203284797452934</v>
      </c>
      <c r="G10544" s="48" t="n">
        <f aca="false">IF(G10510-Assumptions!$E$36&lt;1,0,INDEX($C$10535:$N$10535,1,G10510-Assumptions!$E$36)*INDEX($C$10541:$N$10541,1,G10510-Assumptions!$E$36)*Assumptions!$E$32)</f>
        <v>0.239530563281422</v>
      </c>
      <c r="H10544" s="48" t="n">
        <f aca="false">IF(H10510-Assumptions!$E$36&lt;1,0,INDEX($C$10535:$N$10535,1,H10510-Assumptions!$E$36)*INDEX($C$10541:$N$10541,1,H10510-Assumptions!$E$36)*Assumptions!$E$32)</f>
        <v>0.260754419979768</v>
      </c>
      <c r="I10544" s="48" t="n">
        <f aca="false">IF(I10510-Assumptions!$E$36&lt;1,0,INDEX($C$10535:$N$10535,1,I10510-Assumptions!$E$36)*INDEX($C$10541:$N$10541,1,I10510-Assumptions!$E$36)*Assumptions!$E$32)</f>
        <v>0.303234409778969</v>
      </c>
      <c r="J10544" s="48" t="n">
        <f aca="false">IF(J10510-Assumptions!$E$36&lt;1,0,INDEX($C$10535:$N$10535,1,J10510-Assumptions!$E$36)*INDEX($C$10541:$N$10541,1,J10510-Assumptions!$E$36)*Assumptions!$E$32)</f>
        <v>0.340461578533871</v>
      </c>
      <c r="K10544" s="48" t="n">
        <f aca="false">IF(K10510-Assumptions!$E$36&lt;1,0,INDEX($C$10535:$N$10535,1,K10510-Assumptions!$E$36)*INDEX($C$10541:$N$10541,1,K10510-Assumptions!$E$36)*Assumptions!$E$32)</f>
        <v>0.427462498761807</v>
      </c>
      <c r="L10544" s="48" t="n">
        <f aca="false">IF(L10510-Assumptions!$E$36&lt;1,0,INDEX($C$10535:$N$10535,1,L10510-Assumptions!$E$36)*INDEX($C$10541:$N$10541,1,L10510-Assumptions!$E$36)*Assumptions!$E$32)</f>
        <v>0.500890487041541</v>
      </c>
      <c r="M10544" s="48" t="n">
        <f aca="false">IF(M10510-Assumptions!$E$36&lt;1,0,INDEX($C$10535:$N$10535,1,M10510-Assumptions!$E$36)*INDEX($C$10541:$N$10541,1,M10510-Assumptions!$E$36)*Assumptions!$E$32)</f>
        <v>0.506137367301177</v>
      </c>
      <c r="N10544" s="48" t="n">
        <f aca="false">IF(N10510-Assumptions!$E$36&lt;1,0,INDEX($C$10535:$N$10535,1,N10510-Assumptions!$E$36)*INDEX($C$10541:$N$10541,1,N10510-Assumptions!$E$36)*Assumptions!$E$32)</f>
        <v>0.498481192198064</v>
      </c>
      <c r="P10544" s="49" t="n">
        <f aca="false">SUM(C10544:F10544)</f>
        <v>0.303319581493098</v>
      </c>
      <c r="Q10544" s="49" t="n">
        <f aca="false">SUM(G10544:J10544)</f>
        <v>1.14398097157403</v>
      </c>
      <c r="R10544" s="49" t="n">
        <f aca="false">SUM(K10544:N10544)</f>
        <v>1.93297154530259</v>
      </c>
      <c r="S10544" s="50" t="n">
        <f aca="false">SUM(P10544:R10544)</f>
        <v>3.38027209836972</v>
      </c>
    </row>
    <row r="10545" customFormat="false" ht="15" hidden="false" customHeight="false" outlineLevel="0" collapsed="false">
      <c r="A10545" s="4" t="s">
        <v>519</v>
      </c>
      <c r="B10545" s="36" t="s">
        <v>77</v>
      </c>
      <c r="C10545" s="51" t="n">
        <f aca="false">IF(C10510-Assumptions!$E$35&lt;1,0,IFERROR(INDEX($C$10534:$N$10534,1,C10510-Assumptions!$E$35)/INDEX($C$10535:$N$10535,1,C10510-Assumptions!$E$35),0))</f>
        <v>0</v>
      </c>
      <c r="D10545" s="51" t="n">
        <f aca="false">IF(D10510-Assumptions!$E$35&lt;1,0,IFERROR(INDEX($C$10534:$N$10534,1,D10510-Assumptions!$E$35)/INDEX($C$10535:$N$10535,1,D10510-Assumptions!$E$35),0))</f>
        <v>0.327235190392529</v>
      </c>
      <c r="E10545" s="51" t="n">
        <f aca="false">IF(E10510-Assumptions!$E$35&lt;1,0,IFERROR(INDEX($C$10534:$N$10534,1,E10510-Assumptions!$E$35)/INDEX($C$10535:$N$10535,1,E10510-Assumptions!$E$35),0))</f>
        <v>0.241544635984185</v>
      </c>
      <c r="F10545" s="51" t="n">
        <f aca="false">IF(F10510-Assumptions!$E$35&lt;1,0,IFERROR(INDEX($C$10534:$N$10534,1,F10510-Assumptions!$E$35)/INDEX($C$10535:$N$10535,1,F10510-Assumptions!$E$35),0))</f>
        <v>0.273325467554623</v>
      </c>
      <c r="G10545" s="51" t="n">
        <f aca="false">IF(G10510-Assumptions!$E$35&lt;1,0,IFERROR(INDEX($C$10534:$N$10534,1,G10510-Assumptions!$E$35)/INDEX($C$10535:$N$10535,1,G10510-Assumptions!$E$35),0))</f>
        <v>0.313848003073144</v>
      </c>
      <c r="H10545" s="51" t="n">
        <f aca="false">IF(H10510-Assumptions!$E$35&lt;1,0,IFERROR(INDEX($C$10534:$N$10534,1,H10510-Assumptions!$E$35)/INDEX($C$10535:$N$10535,1,H10510-Assumptions!$E$35),0))</f>
        <v>0.300108952902481</v>
      </c>
      <c r="I10545" s="51" t="n">
        <f aca="false">IF(I10510-Assumptions!$E$35&lt;1,0,IFERROR(INDEX($C$10534:$N$10534,1,I10510-Assumptions!$E$35)/INDEX($C$10535:$N$10535,1,I10510-Assumptions!$E$35),0))</f>
        <v>0.297308667556522</v>
      </c>
      <c r="J10545" s="51" t="n">
        <f aca="false">IF(J10510-Assumptions!$E$35&lt;1,0,IFERROR(INDEX($C$10534:$N$10534,1,J10510-Assumptions!$E$35)/INDEX($C$10535:$N$10535,1,J10510-Assumptions!$E$35),0))</f>
        <v>0.249016904842651</v>
      </c>
      <c r="K10545" s="51" t="n">
        <f aca="false">IF(K10510-Assumptions!$E$35&lt;1,0,IFERROR(INDEX($C$10534:$N$10534,1,K10510-Assumptions!$E$35)/INDEX($C$10535:$N$10535,1,K10510-Assumptions!$E$35),0))</f>
        <v>0.2301973911228</v>
      </c>
      <c r="L10545" s="51" t="n">
        <f aca="false">IF(L10510-Assumptions!$E$35&lt;1,0,IFERROR(INDEX($C$10534:$N$10534,1,L10510-Assumptions!$E$35)/INDEX($C$10535:$N$10535,1,L10510-Assumptions!$E$35),0))</f>
        <v>0.253123385082444</v>
      </c>
      <c r="M10545" s="51" t="n">
        <f aca="false">IF(M10510-Assumptions!$E$35&lt;1,0,IFERROR(INDEX($C$10534:$N$10534,1,M10510-Assumptions!$E$35)/INDEX($C$10535:$N$10535,1,M10510-Assumptions!$E$35),0))</f>
        <v>0.257011108409253</v>
      </c>
      <c r="N10545" s="51" t="n">
        <f aca="false">IF(N10510-Assumptions!$E$35&lt;1,0,IFERROR(INDEX($C$10534:$N$10534,1,N10510-Assumptions!$E$35)/INDEX($C$10535:$N$10535,1,N10510-Assumptions!$E$35),0))</f>
        <v>0.261042668912972</v>
      </c>
      <c r="P10545" s="52"/>
      <c r="Q10545" s="52"/>
      <c r="R10545" s="52"/>
      <c r="S10545" s="53"/>
    </row>
    <row r="10546" customFormat="false" ht="15" hidden="false" customHeight="false" outlineLevel="0" collapsed="false">
      <c r="A10546" s="4" t="s">
        <v>520</v>
      </c>
      <c r="B10546" s="36" t="s">
        <v>516</v>
      </c>
      <c r="C10546" s="48" t="n">
        <f aca="false">C10542*Assumptions!$E$37</f>
        <v>0</v>
      </c>
      <c r="D10546" s="48" t="n">
        <f aca="false">D10542*Assumptions!$E$37</f>
        <v>0.364785489626641</v>
      </c>
      <c r="E10546" s="48" t="n">
        <f aca="false">E10542*Assumptions!$E$37</f>
        <v>0.741295591169048</v>
      </c>
      <c r="F10546" s="48" t="n">
        <f aca="false">F10542*Assumptions!$E$37</f>
        <v>0.873468910295012</v>
      </c>
      <c r="G10546" s="48" t="n">
        <f aca="false">G10542*Assumptions!$E$37</f>
        <v>0.950863538891036</v>
      </c>
      <c r="H10546" s="48" t="n">
        <f aca="false">H10542*Assumptions!$E$37</f>
        <v>1.2060104428209</v>
      </c>
      <c r="I10546" s="48" t="n">
        <f aca="false">I10542*Assumptions!$E$37</f>
        <v>1.42909942191622</v>
      </c>
      <c r="J10546" s="48" t="n">
        <f aca="false">J10542*Assumptions!$E$37</f>
        <v>1.99624498393194</v>
      </c>
      <c r="K10546" s="48" t="n">
        <f aca="false">K10542*Assumptions!$E$37</f>
        <v>2.45346560397805</v>
      </c>
      <c r="L10546" s="48" t="n">
        <f aca="false">L10542*Assumptions!$E$37</f>
        <v>2.47916591288438</v>
      </c>
      <c r="M10546" s="48" t="n">
        <f aca="false">M10542*Assumptions!$E$37</f>
        <v>2.44166437759975</v>
      </c>
      <c r="N10546" s="48" t="n">
        <f aca="false">N10542*Assumptions!$E$37</f>
        <v>2.40395514903165</v>
      </c>
      <c r="P10546" s="49" t="n">
        <f aca="false">SUM(C10546:F10546)</f>
        <v>1.9795499910907</v>
      </c>
      <c r="Q10546" s="49" t="n">
        <f aca="false">SUM(G10546:J10546)</f>
        <v>5.5822183875601</v>
      </c>
      <c r="R10546" s="49" t="n">
        <f aca="false">SUM(K10546:N10546)</f>
        <v>9.77825104349382</v>
      </c>
      <c r="S10546" s="50" t="n">
        <f aca="false">SUM(P10546:R10546)</f>
        <v>17.3400194221446</v>
      </c>
    </row>
    <row r="10547" customFormat="false" ht="15" hidden="false" customHeight="false" outlineLevel="0" collapsed="false">
      <c r="A10547" s="4" t="s">
        <v>521</v>
      </c>
      <c r="B10547" s="36" t="s">
        <v>516</v>
      </c>
      <c r="C10547" s="48" t="n">
        <f aca="false">C10542*(1-Assumptions!$E$37)</f>
        <v>0</v>
      </c>
      <c r="D10547" s="48" t="n">
        <f aca="false">D10542*(1-Assumptions!$E$37)</f>
        <v>0.851166142462162</v>
      </c>
      <c r="E10547" s="48" t="n">
        <f aca="false">E10542*(1-Assumptions!$E$37)</f>
        <v>1.72968971272778</v>
      </c>
      <c r="F10547" s="48" t="n">
        <f aca="false">F10542*(1-Assumptions!$E$37)</f>
        <v>2.03809412402169</v>
      </c>
      <c r="G10547" s="48" t="n">
        <f aca="false">G10542*(1-Assumptions!$E$37)</f>
        <v>2.21868159074575</v>
      </c>
      <c r="H10547" s="48" t="n">
        <f aca="false">H10542*(1-Assumptions!$E$37)</f>
        <v>2.81402436658211</v>
      </c>
      <c r="I10547" s="48" t="n">
        <f aca="false">I10542*(1-Assumptions!$E$37)</f>
        <v>3.33456531780452</v>
      </c>
      <c r="J10547" s="48" t="n">
        <f aca="false">J10542*(1-Assumptions!$E$37)</f>
        <v>4.65790496250785</v>
      </c>
      <c r="K10547" s="48" t="n">
        <f aca="false">K10542*(1-Assumptions!$E$37)</f>
        <v>5.72475307594877</v>
      </c>
      <c r="L10547" s="48" t="n">
        <f aca="false">L10542*(1-Assumptions!$E$37)</f>
        <v>5.78472046339688</v>
      </c>
      <c r="M10547" s="48" t="n">
        <f aca="false">M10542*(1-Assumptions!$E$37)</f>
        <v>5.69721688106609</v>
      </c>
      <c r="N10547" s="48" t="n">
        <f aca="false">N10542*(1-Assumptions!$E$37)</f>
        <v>5.60922868107384</v>
      </c>
      <c r="P10547" s="49" t="n">
        <f aca="false">SUM(C10547:F10547)</f>
        <v>4.61894997921164</v>
      </c>
      <c r="Q10547" s="49" t="n">
        <f aca="false">SUM(G10547:J10547)</f>
        <v>13.0251762376402</v>
      </c>
      <c r="R10547" s="49" t="n">
        <f aca="false">SUM(K10547:N10547)</f>
        <v>22.8159191014856</v>
      </c>
      <c r="S10547" s="50" t="n">
        <f aca="false">SUM(P10547:R10547)</f>
        <v>40.4600453183375</v>
      </c>
    </row>
    <row r="10548" customFormat="false" ht="15" hidden="false" customHeight="false" outlineLevel="0" collapsed="false">
      <c r="A10548" s="4" t="s">
        <v>522</v>
      </c>
      <c r="B10548" s="36" t="s">
        <v>125</v>
      </c>
      <c r="C10548" s="54" t="n">
        <f aca="false">C10547*$C$10501+C10543*$C$10502+C10544*$C$10503</f>
        <v>0</v>
      </c>
      <c r="D10548" s="54" t="n">
        <f aca="false">D10547*$C$10501+D10543*$C$10502+D10544*$C$10503</f>
        <v>10505.6630627053</v>
      </c>
      <c r="E10548" s="54" t="n">
        <f aca="false">E10547*$C$10501+E10543*$C$10502+E10544*$C$10503</f>
        <v>27528.9643561981</v>
      </c>
      <c r="F10548" s="54" t="n">
        <f aca="false">F10547*$C$10501+F10543*$C$10502+F10544*$C$10503</f>
        <v>37714.1041056072</v>
      </c>
      <c r="G10548" s="54" t="n">
        <f aca="false">G10547*$C$10501+G10543*$C$10502+G10544*$C$10503</f>
        <v>42182.2358750195</v>
      </c>
      <c r="H10548" s="54" t="n">
        <f aca="false">H10547*$C$10501+H10543*$C$10502+H10544*$C$10503</f>
        <v>50453.449834051</v>
      </c>
      <c r="I10548" s="54" t="n">
        <f aca="false">I10547*$C$10501+I10543*$C$10502+I10544*$C$10503</f>
        <v>59164.5305031203</v>
      </c>
      <c r="J10548" s="54" t="n">
        <f aca="false">J10547*$C$10501+J10543*$C$10502+J10544*$C$10503</f>
        <v>75635.3075842009</v>
      </c>
      <c r="K10548" s="54" t="n">
        <f aca="false">K10547*$C$10501+K10543*$C$10502+K10544*$C$10503</f>
        <v>92562.5487475275</v>
      </c>
      <c r="L10548" s="54" t="n">
        <f aca="false">L10547*$C$10501+L10543*$C$10502+L10544*$C$10503</f>
        <v>97791.7788165853</v>
      </c>
      <c r="M10548" s="54" t="n">
        <f aca="false">M10547*$C$10501+M10543*$C$10502+M10544*$C$10503</f>
        <v>97104.7394827284</v>
      </c>
      <c r="N10548" s="54" t="n">
        <f aca="false">N10547*$C$10501+N10543*$C$10502+N10544*$C$10503</f>
        <v>95614.9716965326</v>
      </c>
      <c r="P10548" s="55" t="n">
        <f aca="false">SUM(C10548:F10548)</f>
        <v>75748.7315245106</v>
      </c>
      <c r="Q10548" s="55" t="n">
        <f aca="false">SUM(G10548:J10548)</f>
        <v>227435.523796392</v>
      </c>
      <c r="R10548" s="55" t="n">
        <f aca="false">SUM(K10548:N10548)</f>
        <v>383074.038743374</v>
      </c>
      <c r="S10548" s="56" t="n">
        <f aca="false">SUM(P10548:R10548)</f>
        <v>686258.294064276</v>
      </c>
    </row>
    <row r="10549" customFormat="false" ht="15" hidden="false" customHeight="false" outlineLevel="0" collapsed="false">
      <c r="A10549" s="4" t="s">
        <v>523</v>
      </c>
      <c r="B10549" s="36" t="s">
        <v>125</v>
      </c>
      <c r="C10549" s="54" t="n">
        <f aca="false">(C10525+Assumptions!$E$104*C10511)*$C$10506</f>
        <v>0</v>
      </c>
      <c r="D10549" s="54" t="n">
        <f aca="false">(D10525+Assumptions!$E$104*D10511)*$C$10506</f>
        <v>153125</v>
      </c>
      <c r="E10549" s="54" t="n">
        <f aca="false">(E10525+Assumptions!$E$104*E10511)*$C$10506</f>
        <v>306250</v>
      </c>
      <c r="F10549" s="54" t="n">
        <f aca="false">(F10525+Assumptions!$E$104*F10511)*$C$10506</f>
        <v>382812.5</v>
      </c>
      <c r="G10549" s="54" t="n">
        <f aca="false">(G10525+Assumptions!$E$104*G10511)*$C$10506</f>
        <v>459375</v>
      </c>
      <c r="H10549" s="54" t="n">
        <f aca="false">(H10525+Assumptions!$E$104*H10511)*$C$10506</f>
        <v>535937.5</v>
      </c>
      <c r="I10549" s="54" t="n">
        <f aca="false">(I10525+Assumptions!$E$104*I10511)*$C$10506</f>
        <v>612500</v>
      </c>
      <c r="J10549" s="54" t="n">
        <f aca="false">(J10525+Assumptions!$E$104*J10511)*$C$10506</f>
        <v>689062.5</v>
      </c>
      <c r="K10549" s="54" t="n">
        <f aca="false">(K10525+Assumptions!$E$104*K10511)*$C$10506</f>
        <v>765625</v>
      </c>
      <c r="L10549" s="54" t="n">
        <f aca="false">(L10525+Assumptions!$E$104*L10511)*$C$10506</f>
        <v>842187.5</v>
      </c>
      <c r="M10549" s="54" t="n">
        <f aca="false">(M10525+Assumptions!$E$104*M10511)*$C$10506</f>
        <v>918750</v>
      </c>
      <c r="N10549" s="54" t="n">
        <f aca="false">(N10525+Assumptions!$E$104*N10511)*$C$10506</f>
        <v>918750</v>
      </c>
      <c r="P10549" s="55" t="n">
        <f aca="false">SUM(C10549:F10549)</f>
        <v>842187.5</v>
      </c>
      <c r="Q10549" s="55" t="n">
        <f aca="false">SUM(G10549:J10549)</f>
        <v>2296875</v>
      </c>
      <c r="R10549" s="55" t="n">
        <f aca="false">SUM(K10549:N10549)</f>
        <v>3445312.5</v>
      </c>
      <c r="S10549" s="56" t="n">
        <f aca="false">SUM(P10549:R10549)</f>
        <v>6584375</v>
      </c>
    </row>
    <row r="10550" customFormat="false" ht="15" hidden="false" customHeight="false" outlineLevel="0" collapsed="false">
      <c r="A10550" s="4" t="s">
        <v>524</v>
      </c>
      <c r="B10550" s="36" t="s">
        <v>77</v>
      </c>
      <c r="C10550" s="51" t="n">
        <f aca="false">IF(C10548&gt;0,MIN(1,C10549/C10548),1)</f>
        <v>1</v>
      </c>
      <c r="D10550" s="51" t="n">
        <f aca="false">IF(D10548&gt;0,MIN(1,D10549/D10548),1)</f>
        <v>1</v>
      </c>
      <c r="E10550" s="51" t="n">
        <f aca="false">IF(E10548&gt;0,MIN(1,E10549/E10548),1)</f>
        <v>1</v>
      </c>
      <c r="F10550" s="51" t="n">
        <f aca="false">IF(F10548&gt;0,MIN(1,F10549/F10548),1)</f>
        <v>1</v>
      </c>
      <c r="G10550" s="51" t="n">
        <f aca="false">IF(G10548&gt;0,MIN(1,G10549/G10548),1)</f>
        <v>1</v>
      </c>
      <c r="H10550" s="51" t="n">
        <f aca="false">IF(H10548&gt;0,MIN(1,H10549/H10548),1)</f>
        <v>1</v>
      </c>
      <c r="I10550" s="51" t="n">
        <f aca="false">IF(I10548&gt;0,MIN(1,I10549/I10548),1)</f>
        <v>1</v>
      </c>
      <c r="J10550" s="51" t="n">
        <f aca="false">IF(J10548&gt;0,MIN(1,J10549/J10548),1)</f>
        <v>1</v>
      </c>
      <c r="K10550" s="51" t="n">
        <f aca="false">IF(K10548&gt;0,MIN(1,K10549/K10548),1)</f>
        <v>1</v>
      </c>
      <c r="L10550" s="51" t="n">
        <f aca="false">IF(L10548&gt;0,MIN(1,L10549/L10548),1)</f>
        <v>1</v>
      </c>
      <c r="M10550" s="51" t="n">
        <f aca="false">IF(M10548&gt;0,MIN(1,M10549/M10548),1)</f>
        <v>1</v>
      </c>
      <c r="N10550" s="51" t="n">
        <f aca="false">IF(N10548&gt;0,MIN(1,N10549/N10548),1)</f>
        <v>1</v>
      </c>
      <c r="P10550" s="52"/>
      <c r="Q10550" s="52"/>
      <c r="R10550" s="52"/>
      <c r="S10550" s="53"/>
    </row>
    <row r="10551" customFormat="false" ht="15" hidden="false" customHeight="false" outlineLevel="0" collapsed="false">
      <c r="A10551" s="4" t="s">
        <v>525</v>
      </c>
      <c r="B10551" s="36" t="s">
        <v>125</v>
      </c>
      <c r="C10551" s="54" t="n">
        <f aca="false">C10548*(1-C10550)</f>
        <v>0</v>
      </c>
      <c r="D10551" s="54" t="n">
        <f aca="false">D10548*(1-D10550)</f>
        <v>0</v>
      </c>
      <c r="E10551" s="54" t="n">
        <f aca="false">E10548*(1-E10550)</f>
        <v>0</v>
      </c>
      <c r="F10551" s="54" t="n">
        <f aca="false">F10548*(1-F10550)</f>
        <v>0</v>
      </c>
      <c r="G10551" s="54" t="n">
        <f aca="false">G10548*(1-G10550)</f>
        <v>0</v>
      </c>
      <c r="H10551" s="54" t="n">
        <f aca="false">H10548*(1-H10550)</f>
        <v>0</v>
      </c>
      <c r="I10551" s="54" t="n">
        <f aca="false">I10548*(1-I10550)</f>
        <v>0</v>
      </c>
      <c r="J10551" s="54" t="n">
        <f aca="false">J10548*(1-J10550)</f>
        <v>0</v>
      </c>
      <c r="K10551" s="54" t="n">
        <f aca="false">K10548*(1-K10550)</f>
        <v>0</v>
      </c>
      <c r="L10551" s="54" t="n">
        <f aca="false">L10548*(1-L10550)</f>
        <v>0</v>
      </c>
      <c r="M10551" s="54" t="n">
        <f aca="false">M10548*(1-M10550)</f>
        <v>0</v>
      </c>
      <c r="N10551" s="54" t="n">
        <f aca="false">N10548*(1-N10550)</f>
        <v>0</v>
      </c>
      <c r="P10551" s="55" t="n">
        <f aca="false">SUM(C10551:F10551)</f>
        <v>0</v>
      </c>
      <c r="Q10551" s="55" t="n">
        <f aca="false">SUM(G10551:J10551)</f>
        <v>0</v>
      </c>
      <c r="R10551" s="55" t="n">
        <f aca="false">SUM(K10551:N10551)</f>
        <v>0</v>
      </c>
      <c r="S10551" s="56" t="n">
        <f aca="false">SUM(P10551:R10551)</f>
        <v>0</v>
      </c>
    </row>
    <row r="10552" customFormat="false" ht="15" hidden="false" customHeight="false" outlineLevel="0" collapsed="false">
      <c r="A10552" s="4" t="s">
        <v>526</v>
      </c>
      <c r="B10552" s="36" t="s">
        <v>527</v>
      </c>
      <c r="C10552" s="48" t="n">
        <f aca="false">C10546+C10547*C10550</f>
        <v>0</v>
      </c>
      <c r="D10552" s="48" t="n">
        <f aca="false">D10546+D10547*D10550</f>
        <v>1.2159516320888</v>
      </c>
      <c r="E10552" s="48" t="n">
        <f aca="false">E10546+E10547*E10550</f>
        <v>2.47098530389683</v>
      </c>
      <c r="F10552" s="48" t="n">
        <f aca="false">F10546+F10547*F10550</f>
        <v>2.91156303431671</v>
      </c>
      <c r="G10552" s="48" t="n">
        <f aca="false">G10546+G10547*G10550</f>
        <v>3.16954512963679</v>
      </c>
      <c r="H10552" s="48" t="n">
        <f aca="false">H10546+H10547*H10550</f>
        <v>4.02003480940301</v>
      </c>
      <c r="I10552" s="48" t="n">
        <f aca="false">I10546+I10547*I10550</f>
        <v>4.76366473972075</v>
      </c>
      <c r="J10552" s="48" t="n">
        <f aca="false">J10546+J10547*J10550</f>
        <v>6.65414994643979</v>
      </c>
      <c r="K10552" s="48" t="n">
        <f aca="false">K10546+K10547*K10550</f>
        <v>8.17821867992682</v>
      </c>
      <c r="L10552" s="48" t="n">
        <f aca="false">L10546+L10547*L10550</f>
        <v>8.26388637628125</v>
      </c>
      <c r="M10552" s="48" t="n">
        <f aca="false">M10546+M10547*M10550</f>
        <v>8.13888125866584</v>
      </c>
      <c r="N10552" s="48" t="n">
        <f aca="false">N10546+N10547*N10550</f>
        <v>8.01318383010549</v>
      </c>
      <c r="P10552" s="49" t="n">
        <f aca="false">SUM(C10552:F10552)</f>
        <v>6.59849997030234</v>
      </c>
      <c r="Q10552" s="49" t="n">
        <f aca="false">SUM(G10552:J10552)</f>
        <v>18.6073946252003</v>
      </c>
      <c r="R10552" s="49" t="n">
        <f aca="false">SUM(K10552:N10552)</f>
        <v>32.5941701449794</v>
      </c>
      <c r="S10552" s="50" t="n">
        <f aca="false">SUM(P10552:R10552)</f>
        <v>57.8000647404821</v>
      </c>
    </row>
    <row r="10553" customFormat="false" ht="15" hidden="false" customHeight="false" outlineLevel="0" collapsed="false">
      <c r="A10553" s="4" t="s">
        <v>528</v>
      </c>
      <c r="B10553" s="36" t="s">
        <v>527</v>
      </c>
      <c r="C10553" s="48" t="n">
        <f aca="false">C10543*C10550</f>
        <v>0</v>
      </c>
      <c r="D10553" s="48" t="n">
        <f aca="false">D10543*D10550</f>
        <v>0.609234399041599</v>
      </c>
      <c r="E10553" s="48" t="n">
        <f aca="false">E10543*E10550</f>
        <v>1.23805027020208</v>
      </c>
      <c r="F10553" s="48" t="n">
        <f aca="false">F10543*F10550</f>
        <v>1.45879515983422</v>
      </c>
      <c r="G10553" s="48" t="n">
        <f aca="false">G10543*G10550</f>
        <v>1.58805323446325</v>
      </c>
      <c r="H10553" s="48" t="n">
        <f aca="false">H10543*H10550</f>
        <v>1.97444360051569</v>
      </c>
      <c r="I10553" s="48" t="n">
        <f aca="false">I10543*I10550</f>
        <v>2.31240821510474</v>
      </c>
      <c r="J10553" s="48" t="n">
        <f aca="false">J10543*J10550</f>
        <v>3.03818244017915</v>
      </c>
      <c r="K10553" s="48" t="n">
        <f aca="false">K10543*K10550</f>
        <v>3.63640833812644</v>
      </c>
      <c r="L10553" s="48" t="n">
        <f aca="false">L10543*L10550</f>
        <v>3.67450009594357</v>
      </c>
      <c r="M10553" s="48" t="n">
        <f aca="false">M10543*M10550</f>
        <v>3.6189171297995</v>
      </c>
      <c r="N10553" s="48" t="n">
        <f aca="false">N10543*N10550</f>
        <v>3.56302633069189</v>
      </c>
      <c r="P10553" s="49" t="n">
        <f aca="false">SUM(C10553:F10553)</f>
        <v>3.30607982907791</v>
      </c>
      <c r="Q10553" s="49" t="n">
        <f aca="false">SUM(G10553:J10553)</f>
        <v>8.91308749026284</v>
      </c>
      <c r="R10553" s="49" t="n">
        <f aca="false">SUM(K10553:N10553)</f>
        <v>14.4928518945614</v>
      </c>
      <c r="S10553" s="50" t="n">
        <f aca="false">SUM(P10553:R10553)</f>
        <v>26.7120192139021</v>
      </c>
    </row>
    <row r="10554" customFormat="false" ht="15" hidden="false" customHeight="false" outlineLevel="0" collapsed="false">
      <c r="A10554" s="4" t="s">
        <v>529</v>
      </c>
      <c r="B10554" s="36" t="s">
        <v>527</v>
      </c>
      <c r="C10554" s="48" t="n">
        <f aca="false">C10544*C10550</f>
        <v>0</v>
      </c>
      <c r="D10554" s="48" t="n">
        <f aca="false">D10544*D10550</f>
        <v>0</v>
      </c>
      <c r="E10554" s="48" t="n">
        <f aca="false">E10544*E10550</f>
        <v>0.100034784040164</v>
      </c>
      <c r="F10554" s="48" t="n">
        <f aca="false">F10544*F10550</f>
        <v>0.203284797452934</v>
      </c>
      <c r="G10554" s="48" t="n">
        <f aca="false">G10544*G10550</f>
        <v>0.239530563281422</v>
      </c>
      <c r="H10554" s="48" t="n">
        <f aca="false">H10544*H10550</f>
        <v>0.260754419979768</v>
      </c>
      <c r="I10554" s="48" t="n">
        <f aca="false">I10544*I10550</f>
        <v>0.303234409778969</v>
      </c>
      <c r="J10554" s="48" t="n">
        <f aca="false">J10544*J10550</f>
        <v>0.340461578533871</v>
      </c>
      <c r="K10554" s="48" t="n">
        <f aca="false">K10544*K10550</f>
        <v>0.427462498761807</v>
      </c>
      <c r="L10554" s="48" t="n">
        <f aca="false">L10544*L10550</f>
        <v>0.500890487041541</v>
      </c>
      <c r="M10554" s="48" t="n">
        <f aca="false">M10544*M10550</f>
        <v>0.506137367301177</v>
      </c>
      <c r="N10554" s="48" t="n">
        <f aca="false">N10544*N10550</f>
        <v>0.498481192198064</v>
      </c>
      <c r="P10554" s="49" t="n">
        <f aca="false">SUM(C10554:F10554)</f>
        <v>0.303319581493098</v>
      </c>
      <c r="Q10554" s="49" t="n">
        <f aca="false">SUM(G10554:J10554)</f>
        <v>1.14398097157403</v>
      </c>
      <c r="R10554" s="49" t="n">
        <f aca="false">SUM(K10554:N10554)</f>
        <v>1.93297154530259</v>
      </c>
      <c r="S10554" s="50" t="n">
        <f aca="false">SUM(P10554:R10554)</f>
        <v>3.38027209836972</v>
      </c>
    </row>
    <row r="10555" customFormat="false" ht="15" hidden="false" customHeight="false" outlineLevel="0" collapsed="false">
      <c r="A10555" s="9" t="s">
        <v>530</v>
      </c>
      <c r="B10555" s="36" t="s">
        <v>527</v>
      </c>
      <c r="C10555" s="49" t="n">
        <f aca="false">C10552+C10553+C10554</f>
        <v>0</v>
      </c>
      <c r="D10555" s="49" t="n">
        <f aca="false">D10552+D10553+D10554</f>
        <v>1.8251860311304</v>
      </c>
      <c r="E10555" s="49" t="n">
        <f aca="false">E10552+E10553+E10554</f>
        <v>3.80907035813907</v>
      </c>
      <c r="F10555" s="49" t="n">
        <f aca="false">F10552+F10553+F10554</f>
        <v>4.57364299160387</v>
      </c>
      <c r="G10555" s="49" t="n">
        <f aca="false">G10552+G10553+G10554</f>
        <v>4.99712892738146</v>
      </c>
      <c r="H10555" s="49" t="n">
        <f aca="false">H10552+H10553+H10554</f>
        <v>6.25523282989847</v>
      </c>
      <c r="I10555" s="49" t="n">
        <f aca="false">I10552+I10553+I10554</f>
        <v>7.37930736460446</v>
      </c>
      <c r="J10555" s="49" t="n">
        <f aca="false">J10552+J10553+J10554</f>
        <v>10.0327939651528</v>
      </c>
      <c r="K10555" s="49" t="n">
        <f aca="false">K10552+K10553+K10554</f>
        <v>12.2420895168151</v>
      </c>
      <c r="L10555" s="49" t="n">
        <f aca="false">L10552+L10553+L10554</f>
        <v>12.4392769592664</v>
      </c>
      <c r="M10555" s="49" t="n">
        <f aca="false">M10552+M10553+M10554</f>
        <v>12.2639357557665</v>
      </c>
      <c r="N10555" s="49" t="n">
        <f aca="false">N10552+N10553+N10554</f>
        <v>12.0746913529954</v>
      </c>
      <c r="P10555" s="49" t="n">
        <f aca="false">SUM(C10555:F10555)</f>
        <v>10.2078993808733</v>
      </c>
      <c r="Q10555" s="49" t="n">
        <f aca="false">SUM(G10555:J10555)</f>
        <v>28.6644630870372</v>
      </c>
      <c r="R10555" s="49" t="n">
        <f aca="false">SUM(K10555:N10555)</f>
        <v>49.0199935848434</v>
      </c>
      <c r="S10555" s="50" t="n">
        <f aca="false">SUM(P10555:R10555)</f>
        <v>87.8923560527539</v>
      </c>
    </row>
    <row r="10556" customFormat="false" ht="15" hidden="false" customHeight="false" outlineLevel="0" collapsed="false">
      <c r="A10556" s="35" t="s">
        <v>533</v>
      </c>
      <c r="B10556" s="35" t="s">
        <v>444</v>
      </c>
      <c r="C10556" s="6" t="s">
        <v>354</v>
      </c>
      <c r="D10556" s="6" t="s">
        <v>355</v>
      </c>
      <c r="E10556" s="6" t="s">
        <v>356</v>
      </c>
      <c r="F10556" s="6" t="s">
        <v>357</v>
      </c>
      <c r="G10556" s="6" t="s">
        <v>358</v>
      </c>
      <c r="H10556" s="6" t="s">
        <v>359</v>
      </c>
      <c r="I10556" s="6" t="s">
        <v>360</v>
      </c>
      <c r="J10556" s="6" t="s">
        <v>361</v>
      </c>
      <c r="K10556" s="6" t="s">
        <v>362</v>
      </c>
      <c r="L10556" s="6" t="s">
        <v>363</v>
      </c>
      <c r="M10556" s="6" t="s">
        <v>364</v>
      </c>
      <c r="N10556" s="6" t="s">
        <v>365</v>
      </c>
      <c r="P10556" s="6" t="s">
        <v>445</v>
      </c>
      <c r="Q10556" s="6" t="s">
        <v>446</v>
      </c>
      <c r="R10556" s="6" t="s">
        <v>447</v>
      </c>
      <c r="S10556" s="6" t="s">
        <v>448</v>
      </c>
    </row>
    <row r="10557" customFormat="false" ht="15" hidden="false" customHeight="false" outlineLevel="0" collapsed="false">
      <c r="A10557" s="4" t="s">
        <v>534</v>
      </c>
      <c r="B10557" s="36" t="s">
        <v>527</v>
      </c>
      <c r="C10557" s="48" t="n">
        <f aca="false">0*Assumptions!$E$59^(1/4)+C10552</f>
        <v>0</v>
      </c>
      <c r="D10557" s="48" t="n">
        <f aca="false">C10557*Assumptions!$E$59^(1/4)+D10552</f>
        <v>1.2159516320888</v>
      </c>
      <c r="E10557" s="48" t="n">
        <f aca="false">D10557*Assumptions!$E$59^(1/4)+E10552</f>
        <v>3.64869152189517</v>
      </c>
      <c r="F10557" s="48" t="n">
        <f aca="false">E10557*Assumptions!$E$59^(1/4)+F10552</f>
        <v>6.44549199949445</v>
      </c>
      <c r="G10557" s="48" t="n">
        <f aca="false">F10557*Assumptions!$E$59^(1/4)+G10552</f>
        <v>9.4123066059492</v>
      </c>
      <c r="H10557" s="48" t="n">
        <f aca="false">G10557*Assumptions!$E$59^(1/4)+H10552</f>
        <v>13.1362954590895</v>
      </c>
      <c r="I10557" s="48" t="n">
        <f aca="false">H10557*Assumptions!$E$59^(1/4)+I10552</f>
        <v>17.4867833534579</v>
      </c>
      <c r="J10557" s="48" t="n">
        <f aca="false">I10557*Assumptions!$E$59^(1/4)+J10552</f>
        <v>23.5909202460772</v>
      </c>
      <c r="K10557" s="48" t="n">
        <f aca="false">J10557*Assumptions!$E$59^(1/4)+K10552</f>
        <v>31.0271320157157</v>
      </c>
      <c r="L10557" s="48" t="n">
        <f aca="false">K10557*Assumptions!$E$59^(1/4)+L10552</f>
        <v>38.3151197783803</v>
      </c>
      <c r="M10557" s="48" t="n">
        <f aca="false">L10557*Assumptions!$E$59^(1/4)+M10552</f>
        <v>45.2488728204472</v>
      </c>
      <c r="N10557" s="48" t="n">
        <f aca="false">M10557*Assumptions!$E$59^(1/4)+N10552</f>
        <v>51.8388406011019</v>
      </c>
      <c r="P10557" s="49" t="n">
        <f aca="false">F10557</f>
        <v>6.44549199949445</v>
      </c>
      <c r="Q10557" s="49" t="n">
        <f aca="false">J10557</f>
        <v>23.5909202460772</v>
      </c>
      <c r="R10557" s="49" t="n">
        <f aca="false">N10557</f>
        <v>51.8388406011019</v>
      </c>
      <c r="S10557" s="50" t="n">
        <f aca="false">R10557</f>
        <v>51.8388406011019</v>
      </c>
    </row>
    <row r="10558" customFormat="false" ht="15" hidden="false" customHeight="false" outlineLevel="0" collapsed="false">
      <c r="A10558" s="4" t="s">
        <v>535</v>
      </c>
      <c r="B10558" s="36" t="s">
        <v>527</v>
      </c>
      <c r="C10558" s="48" t="n">
        <f aca="false">0*Assumptions!$E$60^(1/4)+C10553</f>
        <v>0</v>
      </c>
      <c r="D10558" s="48" t="n">
        <f aca="false">C10558*Assumptions!$E$60^(1/4)+D10553</f>
        <v>0.609234399041599</v>
      </c>
      <c r="E10558" s="48" t="n">
        <f aca="false">D10558*Assumptions!$E$60^(1/4)+E10553</f>
        <v>1.83144685731976</v>
      </c>
      <c r="F10558" s="48" t="n">
        <f aca="false">E10558*Assumptions!$E$60^(1/4)+F10553</f>
        <v>3.24263126024251</v>
      </c>
      <c r="G10558" s="48" t="n">
        <f aca="false">F10558*Assumptions!$E$60^(1/4)+G10553</f>
        <v>4.74638823021524</v>
      </c>
      <c r="H10558" s="48" t="n">
        <f aca="false">G10558*Assumptions!$E$60^(1/4)+H10553</f>
        <v>6.59744351873427</v>
      </c>
      <c r="I10558" s="48" t="n">
        <f aca="false">H10558*Assumptions!$E$60^(1/4)+I10553</f>
        <v>8.73834291918121</v>
      </c>
      <c r="J10558" s="48" t="n">
        <f aca="false">I10558*Assumptions!$E$60^(1/4)+J10553</f>
        <v>11.5493611810106</v>
      </c>
      <c r="K10558" s="48" t="n">
        <f aca="false">J10558*Assumptions!$E$60^(1/4)+K10553</f>
        <v>14.8855293972497</v>
      </c>
      <c r="L10558" s="48" t="n">
        <f aca="false">K10558*Assumptions!$E$60^(1/4)+L10553</f>
        <v>18.1730614963886</v>
      </c>
      <c r="M10558" s="48" t="n">
        <f aca="false">L10558*Assumptions!$E$60^(1/4)+M10553</f>
        <v>21.3195471112993</v>
      </c>
      <c r="N10558" s="48" t="n">
        <f aca="false">M10558*Assumptions!$E$60^(1/4)+N10553</f>
        <v>24.3283450891881</v>
      </c>
      <c r="P10558" s="49" t="n">
        <f aca="false">F10558</f>
        <v>3.24263126024251</v>
      </c>
      <c r="Q10558" s="49" t="n">
        <f aca="false">J10558</f>
        <v>11.5493611810106</v>
      </c>
      <c r="R10558" s="49" t="n">
        <f aca="false">N10558</f>
        <v>24.3283450891881</v>
      </c>
      <c r="S10558" s="50" t="n">
        <f aca="false">R10558</f>
        <v>24.3283450891881</v>
      </c>
    </row>
    <row r="10559" customFormat="false" ht="15" hidden="false" customHeight="false" outlineLevel="0" collapsed="false">
      <c r="A10559" s="4" t="s">
        <v>536</v>
      </c>
      <c r="B10559" s="36" t="s">
        <v>527</v>
      </c>
      <c r="C10559" s="48" t="n">
        <f aca="false">0*Assumptions!$E$61^(1/4)+C10554</f>
        <v>0</v>
      </c>
      <c r="D10559" s="48" t="n">
        <f aca="false">C10559*Assumptions!$E$61^(1/4)+D10554</f>
        <v>0</v>
      </c>
      <c r="E10559" s="48" t="n">
        <f aca="false">D10559*Assumptions!$E$61^(1/4)+E10554</f>
        <v>0.100034784040164</v>
      </c>
      <c r="F10559" s="48" t="n">
        <f aca="false">E10559*Assumptions!$E$61^(1/4)+F10554</f>
        <v>0.301255900044474</v>
      </c>
      <c r="G10559" s="48" t="n">
        <f aca="false">F10559*Assumptions!$E$61^(1/4)+G10554</f>
        <v>0.534571662962448</v>
      </c>
      <c r="H10559" s="48" t="n">
        <f aca="false">G10559*Assumptions!$E$61^(1/4)+H10554</f>
        <v>0.784298062695052</v>
      </c>
      <c r="I10559" s="48" t="n">
        <f aca="false">H10559*Assumptions!$E$61^(1/4)+I10554</f>
        <v>1.0713526868354</v>
      </c>
      <c r="J10559" s="48" t="n">
        <f aca="false">I10559*Assumptions!$E$61^(1/4)+J10554</f>
        <v>1.38971264655768</v>
      </c>
      <c r="K10559" s="48" t="n">
        <f aca="false">J10559*Assumptions!$E$61^(1/4)+K10554</f>
        <v>1.7885058755736</v>
      </c>
      <c r="L10559" s="48" t="n">
        <f aca="false">K10559*Assumptions!$E$61^(1/4)+L10554</f>
        <v>2.25250013265283</v>
      </c>
      <c r="M10559" s="48" t="n">
        <f aca="false">L10559*Assumptions!$E$61^(1/4)+M10554</f>
        <v>2.71216923612577</v>
      </c>
      <c r="N10559" s="48" t="n">
        <f aca="false">M10559*Assumptions!$E$61^(1/4)+N10554</f>
        <v>3.15469935698575</v>
      </c>
      <c r="P10559" s="49" t="n">
        <f aca="false">F10559</f>
        <v>0.301255900044474</v>
      </c>
      <c r="Q10559" s="49" t="n">
        <f aca="false">J10559</f>
        <v>1.38971264655768</v>
      </c>
      <c r="R10559" s="49" t="n">
        <f aca="false">N10559</f>
        <v>3.15469935698575</v>
      </c>
      <c r="S10559" s="50" t="n">
        <f aca="false">R10559</f>
        <v>3.15469935698575</v>
      </c>
    </row>
    <row r="10560" customFormat="false" ht="15" hidden="false" customHeight="false" outlineLevel="0" collapsed="false">
      <c r="A10560" s="9" t="s">
        <v>537</v>
      </c>
      <c r="B10560" s="36" t="s">
        <v>527</v>
      </c>
      <c r="C10560" s="49" t="n">
        <f aca="false">C10557+C10558+C10559</f>
        <v>0</v>
      </c>
      <c r="D10560" s="49" t="n">
        <f aca="false">D10557+D10558+D10559</f>
        <v>1.8251860311304</v>
      </c>
      <c r="E10560" s="49" t="n">
        <f aca="false">E10557+E10558+E10559</f>
        <v>5.5801731632551</v>
      </c>
      <c r="F10560" s="49" t="n">
        <f aca="false">F10557+F10558+F10559</f>
        <v>9.98937915978144</v>
      </c>
      <c r="G10560" s="49" t="n">
        <f aca="false">G10557+G10558+G10559</f>
        <v>14.6932664991269</v>
      </c>
      <c r="H10560" s="49" t="n">
        <f aca="false">H10557+H10558+H10559</f>
        <v>20.5180370405188</v>
      </c>
      <c r="I10560" s="49" t="n">
        <f aca="false">I10557+I10558+I10559</f>
        <v>27.2964789594745</v>
      </c>
      <c r="J10560" s="49" t="n">
        <f aca="false">J10557+J10558+J10559</f>
        <v>36.5299940736455</v>
      </c>
      <c r="K10560" s="49" t="n">
        <f aca="false">K10557+K10558+K10559</f>
        <v>47.701167288539</v>
      </c>
      <c r="L10560" s="49" t="n">
        <f aca="false">L10557+L10558+L10559</f>
        <v>58.7406814074217</v>
      </c>
      <c r="M10560" s="49" t="n">
        <f aca="false">M10557+M10558+M10559</f>
        <v>69.2805891678723</v>
      </c>
      <c r="N10560" s="49" t="n">
        <f aca="false">N10557+N10558+N10559</f>
        <v>79.3218850472757</v>
      </c>
      <c r="P10560" s="49" t="n">
        <f aca="false">F10560</f>
        <v>9.98937915978144</v>
      </c>
      <c r="Q10560" s="49" t="n">
        <f aca="false">J10560</f>
        <v>36.5299940736455</v>
      </c>
      <c r="R10560" s="49" t="n">
        <f aca="false">N10560</f>
        <v>79.3218850472757</v>
      </c>
      <c r="S10560" s="50" t="n">
        <f aca="false">R10560</f>
        <v>79.3218850472757</v>
      </c>
    </row>
    <row r="10561" customFormat="false" ht="15" hidden="false" customHeight="false" outlineLevel="0" collapsed="false">
      <c r="A10561" s="4" t="s">
        <v>538</v>
      </c>
      <c r="B10561" s="36" t="s">
        <v>125</v>
      </c>
      <c r="C10561" s="54" t="n">
        <f aca="false">0*Assumptions!$E$62^(1/4)+C10552*$C$10501</f>
        <v>0</v>
      </c>
      <c r="D10561" s="54" t="n">
        <f aca="false">C10561*Assumptions!$E$62^(1/4)+D10552*$C$10501</f>
        <v>6507.77313493928</v>
      </c>
      <c r="E10561" s="54" t="n">
        <f aca="false">D10561*Assumptions!$E$62^(1/4)+E10552*$C$10501</f>
        <v>19732.4864813951</v>
      </c>
      <c r="F10561" s="54" t="n">
        <f aca="false">E10561*Assumptions!$E$62^(1/4)+F10552*$C$10501</f>
        <v>35315.1718410581</v>
      </c>
      <c r="G10561" s="54" t="n">
        <f aca="false">F10561*Assumptions!$E$62^(1/4)+G10552*$C$10501</f>
        <v>52278.5773748742</v>
      </c>
      <c r="H10561" s="54" t="n">
        <f aca="false">G10561*Assumptions!$E$62^(1/4)+H10552*$C$10501</f>
        <v>73793.8036747991</v>
      </c>
      <c r="I10561" s="54" t="n">
        <f aca="false">H10561*Assumptions!$E$62^(1/4)+I10552*$C$10501</f>
        <v>99288.9373617845</v>
      </c>
      <c r="J10561" s="54" t="n">
        <f aca="false">I10561*Assumptions!$E$62^(1/4)+J10552*$C$10501</f>
        <v>134901.94787513</v>
      </c>
      <c r="K10561" s="54" t="n">
        <f aca="false">J10561*Assumptions!$E$62^(1/4)+K10552*$C$10501</f>
        <v>178671.774250099</v>
      </c>
      <c r="L10561" s="54" t="n">
        <f aca="false">K10561*Assumptions!$E$62^(1/4)+L10552*$C$10501</f>
        <v>222900.094135956</v>
      </c>
      <c r="M10561" s="54" t="n">
        <f aca="false">L10561*Assumptions!$E$62^(1/4)+M10552*$C$10501</f>
        <v>266459.386632335</v>
      </c>
      <c r="N10561" s="54" t="n">
        <f aca="false">M10561*Assumptions!$E$62^(1/4)+N10552*$C$10501</f>
        <v>309345.94649106</v>
      </c>
      <c r="P10561" s="55" t="n">
        <f aca="false">F10561</f>
        <v>35315.1718410581</v>
      </c>
      <c r="Q10561" s="55" t="n">
        <f aca="false">J10561</f>
        <v>134901.94787513</v>
      </c>
      <c r="R10561" s="55" t="n">
        <f aca="false">N10561</f>
        <v>309345.94649106</v>
      </c>
      <c r="S10561" s="56" t="n">
        <f aca="false">R10561</f>
        <v>309345.94649106</v>
      </c>
    </row>
    <row r="10562" customFormat="false" ht="15" hidden="false" customHeight="false" outlineLevel="0" collapsed="false">
      <c r="A10562" s="4" t="s">
        <v>539</v>
      </c>
      <c r="B10562" s="36" t="s">
        <v>125</v>
      </c>
      <c r="C10562" s="54" t="n">
        <f aca="false">0*Assumptions!$E$63^(1/4)+C10553*$C$10502</f>
        <v>0</v>
      </c>
      <c r="D10562" s="54" t="n">
        <f aca="false">C10562*Assumptions!$E$63^(1/4)+D10553*$C$10502</f>
        <v>5950.22186824776</v>
      </c>
      <c r="E10562" s="54" t="n">
        <f aca="false">D10562*Assumptions!$E$63^(1/4)+E10553*$C$10502</f>
        <v>18129.2250030014</v>
      </c>
      <c r="F10562" s="54" t="n">
        <f aca="false">E10562*Assumptions!$E$63^(1/4)+F10553*$C$10502</f>
        <v>32642.8945131315</v>
      </c>
      <c r="G10562" s="54" t="n">
        <f aca="false">F10562*Assumptions!$E$63^(1/4)+G10553*$C$10502</f>
        <v>48631.9628162791</v>
      </c>
      <c r="H10562" s="54" t="n">
        <f aca="false">G10562*Assumptions!$E$63^(1/4)+H10553*$C$10502</f>
        <v>68629.4188137675</v>
      </c>
      <c r="I10562" s="54" t="n">
        <f aca="false">H10562*Assumptions!$E$63^(1/4)+I10553*$C$10502</f>
        <v>92221.1202084404</v>
      </c>
      <c r="J10562" s="54" t="n">
        <f aca="false">I10562*Assumptions!$E$63^(1/4)+J10553*$C$10502</f>
        <v>123247.436333199</v>
      </c>
      <c r="K10562" s="54" t="n">
        <f aca="false">J10562*Assumptions!$E$63^(1/4)+K10553*$C$10502</f>
        <v>160571.732766976</v>
      </c>
      <c r="L10562" s="54" t="n">
        <f aca="false">K10562*Assumptions!$E$63^(1/4)+L10553*$C$10502</f>
        <v>198815.751722787</v>
      </c>
      <c r="M10562" s="54" t="n">
        <f aca="false">L10562*Assumptions!$E$63^(1/4)+M10553*$C$10502</f>
        <v>237078.094255372</v>
      </c>
      <c r="N10562" s="54" t="n">
        <f aca="false">M10562*Assumptions!$E$63^(1/4)+N10553*$C$10502</f>
        <v>275356.022723676</v>
      </c>
      <c r="P10562" s="55" t="n">
        <f aca="false">F10562</f>
        <v>32642.8945131315</v>
      </c>
      <c r="Q10562" s="55" t="n">
        <f aca="false">J10562</f>
        <v>123247.436333199</v>
      </c>
      <c r="R10562" s="55" t="n">
        <f aca="false">N10562</f>
        <v>275356.022723676</v>
      </c>
      <c r="S10562" s="56" t="n">
        <f aca="false">R10562</f>
        <v>275356.022723676</v>
      </c>
    </row>
    <row r="10563" customFormat="false" ht="15" hidden="false" customHeight="false" outlineLevel="0" collapsed="false">
      <c r="A10563" s="4" t="s">
        <v>540</v>
      </c>
      <c r="B10563" s="36" t="s">
        <v>125</v>
      </c>
      <c r="C10563" s="54" t="n">
        <f aca="false">0*Assumptions!$E$64^(1/4)+C10554*$C$10503</f>
        <v>0</v>
      </c>
      <c r="D10563" s="54" t="n">
        <f aca="false">C10563*Assumptions!$E$64^(1/4)+D10554*$C$10503</f>
        <v>0</v>
      </c>
      <c r="E10563" s="54" t="n">
        <f aca="false">D10563*Assumptions!$E$64^(1/4)+E10554*$C$10503</f>
        <v>6179.97451928944</v>
      </c>
      <c r="F10563" s="54" t="n">
        <f aca="false">E10563*Assumptions!$E$64^(1/4)+F10554*$C$10503</f>
        <v>18958.3028275997</v>
      </c>
      <c r="G10563" s="54" t="n">
        <f aca="false">F10563*Assumptions!$E$64^(1/4)+G10554*$C$10503</f>
        <v>34430.2041176372</v>
      </c>
      <c r="H10563" s="54" t="n">
        <f aca="false">G10563*Assumptions!$E$64^(1/4)+H10554*$C$10503</f>
        <v>51763.429311971</v>
      </c>
      <c r="I10563" s="54" t="n">
        <f aca="false">H10563*Assumptions!$E$64^(1/4)+I10554*$C$10503</f>
        <v>72337.3303450256</v>
      </c>
      <c r="J10563" s="54" t="n">
        <f aca="false">I10563*Assumptions!$E$64^(1/4)+J10554*$C$10503</f>
        <v>95942.6292913231</v>
      </c>
      <c r="K10563" s="54" t="n">
        <f aca="false">J10563*Assumptions!$E$64^(1/4)+K10554*$C$10503</f>
        <v>125762.052400788</v>
      </c>
      <c r="L10563" s="54" t="n">
        <f aca="false">K10563*Assumptions!$E$64^(1/4)+L10554*$C$10503</f>
        <v>161178.049907266</v>
      </c>
      <c r="M10563" s="54" t="n">
        <f aca="false">L10563*Assumptions!$E$64^(1/4)+M10554*$C$10503</f>
        <v>198177.515269827</v>
      </c>
      <c r="N10563" s="54" t="n">
        <f aca="false">M10563*Assumptions!$E$64^(1/4)+N10554*$C$10503</f>
        <v>236019.625299167</v>
      </c>
      <c r="P10563" s="55" t="n">
        <f aca="false">F10563</f>
        <v>18958.3028275997</v>
      </c>
      <c r="Q10563" s="55" t="n">
        <f aca="false">J10563</f>
        <v>95942.6292913231</v>
      </c>
      <c r="R10563" s="55" t="n">
        <f aca="false">N10563</f>
        <v>236019.625299167</v>
      </c>
      <c r="S10563" s="56" t="n">
        <f aca="false">R10563</f>
        <v>236019.625299167</v>
      </c>
    </row>
    <row r="10564" customFormat="false" ht="15" hidden="false" customHeight="false" outlineLevel="0" collapsed="false">
      <c r="A10564" s="9" t="s">
        <v>541</v>
      </c>
      <c r="B10564" s="36" t="s">
        <v>125</v>
      </c>
      <c r="C10564" s="55" t="n">
        <f aca="false">C10561+C10562+C10563</f>
        <v>0</v>
      </c>
      <c r="D10564" s="55" t="n">
        <f aca="false">D10561+D10562+D10563</f>
        <v>12457.995003187</v>
      </c>
      <c r="E10564" s="55" t="n">
        <f aca="false">E10561+E10562+E10563</f>
        <v>44041.686003686</v>
      </c>
      <c r="F10564" s="55" t="n">
        <f aca="false">F10561+F10562+F10563</f>
        <v>86916.3691817893</v>
      </c>
      <c r="G10564" s="55" t="n">
        <f aca="false">G10561+G10562+G10563</f>
        <v>135340.74430879</v>
      </c>
      <c r="H10564" s="55" t="n">
        <f aca="false">H10561+H10562+H10563</f>
        <v>194186.651800538</v>
      </c>
      <c r="I10564" s="55" t="n">
        <f aca="false">I10561+I10562+I10563</f>
        <v>263847.38791525</v>
      </c>
      <c r="J10564" s="55" t="n">
        <f aca="false">J10561+J10562+J10563</f>
        <v>354092.013499653</v>
      </c>
      <c r="K10564" s="55" t="n">
        <f aca="false">K10561+K10562+K10563</f>
        <v>465005.559417863</v>
      </c>
      <c r="L10564" s="55" t="n">
        <f aca="false">L10561+L10562+L10563</f>
        <v>582893.895766009</v>
      </c>
      <c r="M10564" s="55" t="n">
        <f aca="false">M10561+M10562+M10563</f>
        <v>701714.996157534</v>
      </c>
      <c r="N10564" s="55" t="n">
        <f aca="false">N10561+N10562+N10563</f>
        <v>820721.594513904</v>
      </c>
      <c r="P10564" s="55" t="n">
        <f aca="false">F10564</f>
        <v>86916.3691817893</v>
      </c>
      <c r="Q10564" s="55" t="n">
        <f aca="false">J10564</f>
        <v>354092.013499653</v>
      </c>
      <c r="R10564" s="55" t="n">
        <f aca="false">N10564</f>
        <v>820721.594513904</v>
      </c>
      <c r="S10564" s="56" t="n">
        <f aca="false">R10564</f>
        <v>820721.594513904</v>
      </c>
    </row>
    <row r="10565" customFormat="false" ht="15" hidden="false" customHeight="false" outlineLevel="0" collapsed="false">
      <c r="A10565" s="4" t="s">
        <v>542</v>
      </c>
      <c r="B10565" s="36" t="s">
        <v>125</v>
      </c>
      <c r="C10565" s="54" t="n">
        <f aca="false">C10552*$C$10501+C10553*$C$10502+C10554*$C$10503</f>
        <v>0</v>
      </c>
      <c r="D10565" s="54" t="n">
        <f aca="false">D10552*$C$10501+D10553*$C$10502+D10554*$C$10503</f>
        <v>12457.995003187</v>
      </c>
      <c r="E10565" s="54" t="n">
        <f aca="false">E10552*$C$10501+E10553*$C$10502+E10554*$C$10503</f>
        <v>31496.3783601349</v>
      </c>
      <c r="F10565" s="54" t="n">
        <f aca="false">F10552*$C$10501+F10553*$C$10502+F10554*$C$10503</f>
        <v>42388.9097135061</v>
      </c>
      <c r="G10565" s="54" t="n">
        <f aca="false">G10552*$C$10501+G10553*$C$10502+G10554*$C$10503</f>
        <v>47271.2575351643</v>
      </c>
      <c r="H10565" s="54" t="n">
        <f aca="false">H10552*$C$10501+H10553*$C$10502+H10554*$C$10503</f>
        <v>56908.0177240285</v>
      </c>
      <c r="I10565" s="54" t="n">
        <f aca="false">I10552*$C$10501+I10553*$C$10502+I10554*$C$10503</f>
        <v>66813.070609216</v>
      </c>
      <c r="J10565" s="54" t="n">
        <f aca="false">J10552*$C$10501+J10553*$C$10502+J10554*$C$10503</f>
        <v>86319.2107382046</v>
      </c>
      <c r="K10565" s="54" t="n">
        <f aca="false">K10552*$C$10501+K10553*$C$10502+K10554*$C$10503</f>
        <v>105693.496660018</v>
      </c>
      <c r="L10565" s="54" t="n">
        <f aca="false">L10552*$C$10501+L10553*$C$10502+L10554*$C$10503</f>
        <v>111060.274782342</v>
      </c>
      <c r="M10565" s="54" t="n">
        <f aca="false">M10552*$C$10501+M10553*$C$10502+M10554*$C$10503</f>
        <v>110172.527231642</v>
      </c>
      <c r="N10565" s="54" t="n">
        <f aca="false">N10552*$C$10501+N10553*$C$10502+N10554*$C$10503</f>
        <v>108480.93965415</v>
      </c>
      <c r="P10565" s="55" t="n">
        <f aca="false">SUM(C10565:F10565)</f>
        <v>86343.283076828</v>
      </c>
      <c r="Q10565" s="55" t="n">
        <f aca="false">SUM(G10565:J10565)</f>
        <v>257311.556606613</v>
      </c>
      <c r="R10565" s="55" t="n">
        <f aca="false">SUM(K10565:N10565)</f>
        <v>435407.238328153</v>
      </c>
      <c r="S10565" s="56" t="n">
        <f aca="false">SUM(P10565:R10565)</f>
        <v>779062.078011594</v>
      </c>
    </row>
    <row r="10566" customFormat="false" ht="15" hidden="false" customHeight="false" outlineLevel="0" collapsed="false">
      <c r="A10566" s="9" t="s">
        <v>543</v>
      </c>
      <c r="B10566" s="36" t="s">
        <v>125</v>
      </c>
      <c r="C10566" s="55" t="n">
        <f aca="false">(0+C10564)/8</f>
        <v>0</v>
      </c>
      <c r="D10566" s="55" t="n">
        <f aca="false">(C10564+D10564)/8</f>
        <v>1557.24937539838</v>
      </c>
      <c r="E10566" s="55" t="n">
        <f aca="false">(D10564+E10564)/8</f>
        <v>7062.46012585913</v>
      </c>
      <c r="F10566" s="55" t="n">
        <f aca="false">(E10564+F10564)/8</f>
        <v>16369.7568981844</v>
      </c>
      <c r="G10566" s="55" t="n">
        <f aca="false">(F10564+G10564)/8</f>
        <v>27782.1391863225</v>
      </c>
      <c r="H10566" s="55" t="n">
        <f aca="false">(G10564+H10564)/8</f>
        <v>41190.924513666</v>
      </c>
      <c r="I10566" s="55" t="n">
        <f aca="false">(H10564+I10564)/8</f>
        <v>57254.2549644735</v>
      </c>
      <c r="J10566" s="55" t="n">
        <f aca="false">(I10564+J10564)/8</f>
        <v>77242.4251768629</v>
      </c>
      <c r="K10566" s="55" t="n">
        <f aca="false">(J10564+K10564)/8</f>
        <v>102387.196614689</v>
      </c>
      <c r="L10566" s="55" t="n">
        <f aca="false">(K10564+L10564)/8</f>
        <v>130987.431897984</v>
      </c>
      <c r="M10566" s="55" t="n">
        <f aca="false">(L10564+M10564)/8</f>
        <v>160576.111490443</v>
      </c>
      <c r="N10566" s="55" t="n">
        <f aca="false">(M10564+N10564)/8</f>
        <v>190304.57383393</v>
      </c>
      <c r="P10566" s="55" t="n">
        <f aca="false">SUM(C10566:F10566)</f>
        <v>24989.4663994419</v>
      </c>
      <c r="Q10566" s="55" t="n">
        <f aca="false">SUM(G10566:J10566)</f>
        <v>203469.743841325</v>
      </c>
      <c r="R10566" s="55" t="n">
        <f aca="false">SUM(K10566:N10566)</f>
        <v>584255.313837046</v>
      </c>
      <c r="S10566" s="56" t="n">
        <f aca="false">SUM(P10566:R10566)</f>
        <v>812714.524077813</v>
      </c>
    </row>
    <row r="10567" customFormat="false" ht="15" hidden="false" customHeight="false" outlineLevel="0" collapsed="false">
      <c r="A10567" s="4" t="s">
        <v>544</v>
      </c>
      <c r="B10567" s="36" t="s">
        <v>125</v>
      </c>
      <c r="C10567" s="54" t="n">
        <f aca="false">C10566*Assumptions!$E$76</f>
        <v>0</v>
      </c>
      <c r="D10567" s="54" t="n">
        <f aca="false">D10566*Assumptions!$E$76</f>
        <v>1012.21209400895</v>
      </c>
      <c r="E10567" s="54" t="n">
        <f aca="false">E10566*Assumptions!$E$76</f>
        <v>4590.59908180843</v>
      </c>
      <c r="F10567" s="54" t="n">
        <f aca="false">F10566*Assumptions!$E$76</f>
        <v>10640.3419838199</v>
      </c>
      <c r="G10567" s="54" t="n">
        <f aca="false">G10566*Assumptions!$E$76</f>
        <v>18058.3904711096</v>
      </c>
      <c r="H10567" s="54" t="n">
        <f aca="false">H10566*Assumptions!$E$76</f>
        <v>26774.1009338829</v>
      </c>
      <c r="I10567" s="54" t="n">
        <f aca="false">I10566*Assumptions!$E$76</f>
        <v>37215.2657269078</v>
      </c>
      <c r="J10567" s="54" t="n">
        <f aca="false">J10566*Assumptions!$E$76</f>
        <v>50207.5763649609</v>
      </c>
      <c r="K10567" s="54" t="n">
        <f aca="false">K10566*Assumptions!$E$76</f>
        <v>66551.6777995481</v>
      </c>
      <c r="L10567" s="54" t="n">
        <f aca="false">L10566*Assumptions!$E$76</f>
        <v>85141.8307336896</v>
      </c>
      <c r="M10567" s="54" t="n">
        <f aca="false">M10566*Assumptions!$E$76</f>
        <v>104374.472468788</v>
      </c>
      <c r="N10567" s="54" t="n">
        <f aca="false">N10566*Assumptions!$E$76</f>
        <v>123697.972992054</v>
      </c>
      <c r="P10567" s="55" t="n">
        <f aca="false">SUM(C10567:F10567)</f>
        <v>16243.1531596372</v>
      </c>
      <c r="Q10567" s="55" t="n">
        <f aca="false">SUM(G10567:J10567)</f>
        <v>132255.333496861</v>
      </c>
      <c r="R10567" s="55" t="n">
        <f aca="false">SUM(K10567:N10567)</f>
        <v>379765.95399408</v>
      </c>
      <c r="S10567" s="56" t="n">
        <f aca="false">SUM(P10567:R10567)</f>
        <v>528264.440650578</v>
      </c>
    </row>
    <row r="10568" customFormat="false" ht="15" hidden="false" customHeight="false" outlineLevel="0" collapsed="false">
      <c r="A10568" s="35" t="s">
        <v>547</v>
      </c>
      <c r="B10568" s="35" t="s">
        <v>444</v>
      </c>
      <c r="C10568" s="6" t="s">
        <v>354</v>
      </c>
      <c r="D10568" s="6" t="s">
        <v>355</v>
      </c>
      <c r="E10568" s="6" t="s">
        <v>356</v>
      </c>
      <c r="F10568" s="6" t="s">
        <v>357</v>
      </c>
      <c r="G10568" s="6" t="s">
        <v>358</v>
      </c>
      <c r="H10568" s="6" t="s">
        <v>359</v>
      </c>
      <c r="I10568" s="6" t="s">
        <v>360</v>
      </c>
      <c r="J10568" s="6" t="s">
        <v>361</v>
      </c>
      <c r="K10568" s="6" t="s">
        <v>362</v>
      </c>
      <c r="L10568" s="6" t="s">
        <v>363</v>
      </c>
      <c r="M10568" s="6" t="s">
        <v>364</v>
      </c>
      <c r="N10568" s="6" t="s">
        <v>365</v>
      </c>
      <c r="P10568" s="6" t="s">
        <v>445</v>
      </c>
      <c r="Q10568" s="6" t="s">
        <v>446</v>
      </c>
      <c r="R10568" s="6" t="s">
        <v>447</v>
      </c>
      <c r="S10568" s="6" t="s">
        <v>448</v>
      </c>
    </row>
    <row r="10569" customFormat="false" ht="15" hidden="false" customHeight="false" outlineLevel="0" collapsed="false">
      <c r="A10569" s="4" t="s">
        <v>548</v>
      </c>
      <c r="B10569" s="36" t="s">
        <v>321</v>
      </c>
      <c r="C10569" s="48" t="n">
        <f aca="false">Assumptions!$E$97*C10511</f>
        <v>1</v>
      </c>
      <c r="D10569" s="48" t="n">
        <f aca="false">Assumptions!$E$97*D10511</f>
        <v>1</v>
      </c>
      <c r="E10569" s="48" t="n">
        <f aca="false">Assumptions!$E$97*E10511</f>
        <v>1</v>
      </c>
      <c r="F10569" s="48" t="n">
        <f aca="false">Assumptions!$E$97*F10511</f>
        <v>1</v>
      </c>
      <c r="G10569" s="48" t="n">
        <f aca="false">Assumptions!$E$97*G10511</f>
        <v>1</v>
      </c>
      <c r="H10569" s="48" t="n">
        <f aca="false">Assumptions!$E$97*H10511</f>
        <v>1</v>
      </c>
      <c r="I10569" s="48" t="n">
        <f aca="false">Assumptions!$E$97*I10511</f>
        <v>1</v>
      </c>
      <c r="J10569" s="48" t="n">
        <f aca="false">Assumptions!$E$97*J10511</f>
        <v>1</v>
      </c>
      <c r="K10569" s="48" t="n">
        <f aca="false">Assumptions!$E$97*K10511</f>
        <v>1</v>
      </c>
      <c r="L10569" s="48" t="n">
        <f aca="false">Assumptions!$E$97*L10511</f>
        <v>1</v>
      </c>
      <c r="M10569" s="48" t="n">
        <f aca="false">Assumptions!$E$97*M10511</f>
        <v>1</v>
      </c>
      <c r="N10569" s="48" t="n">
        <f aca="false">Assumptions!$E$97*N10511</f>
        <v>1</v>
      </c>
      <c r="P10569" s="49" t="n">
        <f aca="false">AVERAGE(C10569:F10569)</f>
        <v>1</v>
      </c>
      <c r="Q10569" s="49" t="n">
        <f aca="false">AVERAGE(G10569:J10569)</f>
        <v>1</v>
      </c>
      <c r="R10569" s="49" t="n">
        <f aca="false">AVERAGE(K10569:N10569)</f>
        <v>1</v>
      </c>
      <c r="S10569" s="50"/>
    </row>
    <row r="10570" customFormat="false" ht="15" hidden="false" customHeight="false" outlineLevel="0" collapsed="false">
      <c r="A10570" s="4" t="s">
        <v>549</v>
      </c>
      <c r="B10570" s="36" t="s">
        <v>321</v>
      </c>
      <c r="C10570" s="48" t="n">
        <f aca="false">C10524*C10511</f>
        <v>2</v>
      </c>
      <c r="D10570" s="48" t="n">
        <f aca="false">D10524*D10511</f>
        <v>2</v>
      </c>
      <c r="E10570" s="48" t="n">
        <f aca="false">E10524*E10511</f>
        <v>3</v>
      </c>
      <c r="F10570" s="48" t="n">
        <f aca="false">F10524*F10511</f>
        <v>3</v>
      </c>
      <c r="G10570" s="48" t="n">
        <f aca="false">G10524*G10511</f>
        <v>4</v>
      </c>
      <c r="H10570" s="48" t="n">
        <f aca="false">H10524*H10511</f>
        <v>4</v>
      </c>
      <c r="I10570" s="48" t="n">
        <f aca="false">I10524*I10511</f>
        <v>5</v>
      </c>
      <c r="J10570" s="48" t="n">
        <f aca="false">J10524*J10511</f>
        <v>5</v>
      </c>
      <c r="K10570" s="48" t="n">
        <f aca="false">K10524*K10511</f>
        <v>6</v>
      </c>
      <c r="L10570" s="48" t="n">
        <f aca="false">L10524*L10511</f>
        <v>6</v>
      </c>
      <c r="M10570" s="48" t="n">
        <f aca="false">M10524*M10511</f>
        <v>6</v>
      </c>
      <c r="N10570" s="48" t="n">
        <f aca="false">N10524*N10511</f>
        <v>6</v>
      </c>
      <c r="P10570" s="49" t="n">
        <f aca="false">AVERAGE(C10570:F10570)</f>
        <v>2.5</v>
      </c>
      <c r="Q10570" s="49" t="n">
        <f aca="false">AVERAGE(G10570:J10570)</f>
        <v>4.5</v>
      </c>
      <c r="R10570" s="49" t="n">
        <f aca="false">AVERAGE(K10570:N10570)</f>
        <v>6</v>
      </c>
      <c r="S10570" s="50"/>
    </row>
    <row r="10571" customFormat="false" ht="15" hidden="false" customHeight="false" outlineLevel="0" collapsed="false">
      <c r="A10571" s="4" t="s">
        <v>550</v>
      </c>
      <c r="B10571" s="36" t="s">
        <v>321</v>
      </c>
      <c r="C10571" s="48" t="n">
        <f aca="false">IF(C10510&lt;=4,Assumptions!$E$98,Assumptions!$E$99)*C10511</f>
        <v>1</v>
      </c>
      <c r="D10571" s="48" t="n">
        <f aca="false">IF(D10510&lt;=4,Assumptions!$E$98,Assumptions!$E$99)*D10511</f>
        <v>1</v>
      </c>
      <c r="E10571" s="48" t="n">
        <f aca="false">IF(E10510&lt;=4,Assumptions!$E$98,Assumptions!$E$99)*E10511</f>
        <v>1</v>
      </c>
      <c r="F10571" s="48" t="n">
        <f aca="false">IF(F10510&lt;=4,Assumptions!$E$98,Assumptions!$E$99)*F10511</f>
        <v>1</v>
      </c>
      <c r="G10571" s="48" t="n">
        <f aca="false">IF(G10510&lt;=4,Assumptions!$E$98,Assumptions!$E$99)*G10511</f>
        <v>1</v>
      </c>
      <c r="H10571" s="48" t="n">
        <f aca="false">IF(H10510&lt;=4,Assumptions!$E$98,Assumptions!$E$99)*H10511</f>
        <v>1</v>
      </c>
      <c r="I10571" s="48" t="n">
        <f aca="false">IF(I10510&lt;=4,Assumptions!$E$98,Assumptions!$E$99)*I10511</f>
        <v>1</v>
      </c>
      <c r="J10571" s="48" t="n">
        <f aca="false">IF(J10510&lt;=4,Assumptions!$E$98,Assumptions!$E$99)*J10511</f>
        <v>1</v>
      </c>
      <c r="K10571" s="48" t="n">
        <f aca="false">IF(K10510&lt;=4,Assumptions!$E$98,Assumptions!$E$99)*K10511</f>
        <v>1</v>
      </c>
      <c r="L10571" s="48" t="n">
        <f aca="false">IF(L10510&lt;=4,Assumptions!$E$98,Assumptions!$E$99)*L10511</f>
        <v>1</v>
      </c>
      <c r="M10571" s="48" t="n">
        <f aca="false">IF(M10510&lt;=4,Assumptions!$E$98,Assumptions!$E$99)*M10511</f>
        <v>1</v>
      </c>
      <c r="N10571" s="48" t="n">
        <f aca="false">IF(N10510&lt;=4,Assumptions!$E$98,Assumptions!$E$99)*N10511</f>
        <v>1</v>
      </c>
      <c r="P10571" s="49" t="n">
        <f aca="false">AVERAGE(C10571:F10571)</f>
        <v>1</v>
      </c>
      <c r="Q10571" s="49" t="n">
        <f aca="false">AVERAGE(G10571:J10571)</f>
        <v>1</v>
      </c>
      <c r="R10571" s="49" t="n">
        <f aca="false">AVERAGE(K10571:N10571)</f>
        <v>1</v>
      </c>
      <c r="S10571" s="50"/>
    </row>
    <row r="10572" customFormat="false" ht="15" hidden="false" customHeight="false" outlineLevel="0" collapsed="false">
      <c r="A10572" s="4" t="s">
        <v>551</v>
      </c>
      <c r="B10572" s="36" t="s">
        <v>321</v>
      </c>
      <c r="C10572" s="48" t="n">
        <f aca="false">IF(C10510&lt;=4,Assumptions!$E$100,Assumptions!$E$101)*C10511</f>
        <v>1</v>
      </c>
      <c r="D10572" s="48" t="n">
        <f aca="false">IF(D10510&lt;=4,Assumptions!$E$100,Assumptions!$E$101)*D10511</f>
        <v>1</v>
      </c>
      <c r="E10572" s="48" t="n">
        <f aca="false">IF(E10510&lt;=4,Assumptions!$E$100,Assumptions!$E$101)*E10511</f>
        <v>1</v>
      </c>
      <c r="F10572" s="48" t="n">
        <f aca="false">IF(F10510&lt;=4,Assumptions!$E$100,Assumptions!$E$101)*F10511</f>
        <v>1</v>
      </c>
      <c r="G10572" s="48" t="n">
        <f aca="false">IF(G10510&lt;=4,Assumptions!$E$100,Assumptions!$E$101)*G10511</f>
        <v>0.5</v>
      </c>
      <c r="H10572" s="48" t="n">
        <f aca="false">IF(H10510&lt;=4,Assumptions!$E$100,Assumptions!$E$101)*H10511</f>
        <v>0.5</v>
      </c>
      <c r="I10572" s="48" t="n">
        <f aca="false">IF(I10510&lt;=4,Assumptions!$E$100,Assumptions!$E$101)*I10511</f>
        <v>0.5</v>
      </c>
      <c r="J10572" s="48" t="n">
        <f aca="false">IF(J10510&lt;=4,Assumptions!$E$100,Assumptions!$E$101)*J10511</f>
        <v>0.5</v>
      </c>
      <c r="K10572" s="48" t="n">
        <f aca="false">IF(K10510&lt;=4,Assumptions!$E$100,Assumptions!$E$101)*K10511</f>
        <v>0.5</v>
      </c>
      <c r="L10572" s="48" t="n">
        <f aca="false">IF(L10510&lt;=4,Assumptions!$E$100,Assumptions!$E$101)*L10511</f>
        <v>0.5</v>
      </c>
      <c r="M10572" s="48" t="n">
        <f aca="false">IF(M10510&lt;=4,Assumptions!$E$100,Assumptions!$E$101)*M10511</f>
        <v>0.5</v>
      </c>
      <c r="N10572" s="48" t="n">
        <f aca="false">IF(N10510&lt;=4,Assumptions!$E$100,Assumptions!$E$101)*N10511</f>
        <v>0.5</v>
      </c>
      <c r="P10572" s="49" t="n">
        <f aca="false">AVERAGE(C10572:F10572)</f>
        <v>1</v>
      </c>
      <c r="Q10572" s="49" t="n">
        <f aca="false">AVERAGE(G10572:J10572)</f>
        <v>0.5</v>
      </c>
      <c r="R10572" s="49" t="n">
        <f aca="false">AVERAGE(K10572:N10572)</f>
        <v>0.5</v>
      </c>
      <c r="S10572" s="50"/>
    </row>
    <row r="10573" customFormat="false" ht="15" hidden="false" customHeight="false" outlineLevel="0" collapsed="false">
      <c r="A10573" s="4" t="s">
        <v>552</v>
      </c>
      <c r="B10573" s="36" t="s">
        <v>321</v>
      </c>
      <c r="C10573" s="48" t="n">
        <f aca="false">Assumptions!$E$102*C10511</f>
        <v>0.5</v>
      </c>
      <c r="D10573" s="48" t="n">
        <f aca="false">Assumptions!$E$102*D10511</f>
        <v>0.5</v>
      </c>
      <c r="E10573" s="48" t="n">
        <f aca="false">Assumptions!$E$102*E10511</f>
        <v>0.5</v>
      </c>
      <c r="F10573" s="48" t="n">
        <f aca="false">Assumptions!$E$102*F10511</f>
        <v>0.5</v>
      </c>
      <c r="G10573" s="48" t="n">
        <f aca="false">Assumptions!$E$102*G10511</f>
        <v>0.5</v>
      </c>
      <c r="H10573" s="48" t="n">
        <f aca="false">Assumptions!$E$102*H10511</f>
        <v>0.5</v>
      </c>
      <c r="I10573" s="48" t="n">
        <f aca="false">Assumptions!$E$102*I10511</f>
        <v>0.5</v>
      </c>
      <c r="J10573" s="48" t="n">
        <f aca="false">Assumptions!$E$102*J10511</f>
        <v>0.5</v>
      </c>
      <c r="K10573" s="48" t="n">
        <f aca="false">Assumptions!$E$102*K10511</f>
        <v>0.5</v>
      </c>
      <c r="L10573" s="48" t="n">
        <f aca="false">Assumptions!$E$102*L10511</f>
        <v>0.5</v>
      </c>
      <c r="M10573" s="48" t="n">
        <f aca="false">Assumptions!$E$102*M10511</f>
        <v>0.5</v>
      </c>
      <c r="N10573" s="48" t="n">
        <f aca="false">Assumptions!$E$102*N10511</f>
        <v>0.5</v>
      </c>
      <c r="P10573" s="49" t="n">
        <f aca="false">AVERAGE(C10573:F10573)</f>
        <v>0.5</v>
      </c>
      <c r="Q10573" s="49" t="n">
        <f aca="false">AVERAGE(G10573:J10573)</f>
        <v>0.5</v>
      </c>
      <c r="R10573" s="49" t="n">
        <f aca="false">AVERAGE(K10573:N10573)</f>
        <v>0.5</v>
      </c>
      <c r="S10573" s="50"/>
    </row>
    <row r="10574" customFormat="false" ht="15" hidden="false" customHeight="false" outlineLevel="0" collapsed="false">
      <c r="A10574" s="4" t="s">
        <v>553</v>
      </c>
      <c r="B10574" s="36" t="s">
        <v>321</v>
      </c>
      <c r="C10574" s="48" t="n">
        <f aca="false">(C10558+C10559)/Assumptions!$E$74+C10557/Assumptions!$E$75</f>
        <v>0</v>
      </c>
      <c r="D10574" s="48" t="n">
        <f aca="false">(D10558+D10559)/Assumptions!$E$74+D10557/Assumptions!$E$75</f>
        <v>0.0200946665043952</v>
      </c>
      <c r="E10574" s="48" t="n">
        <f aca="false">(E10558+E10559)/Assumptions!$E$74+E10557/Assumptions!$E$75</f>
        <v>0.0628818071215789</v>
      </c>
      <c r="F10574" s="48" t="n">
        <f aca="false">(F10558+F10559)/Assumptions!$E$74+F10557/Assumptions!$E$75</f>
        <v>0.114379147005152</v>
      </c>
      <c r="G10574" s="48" t="n">
        <f aca="false">(G10558+G10559)/Assumptions!$E$74+G10557/Assumptions!$E$75</f>
        <v>0.169673223753239</v>
      </c>
      <c r="H10574" s="48" t="n">
        <f aca="false">(H10558+H10559)/Assumptions!$E$74+H10557/Assumptions!$E$75</f>
        <v>0.237088721372091</v>
      </c>
      <c r="I10574" s="48" t="n">
        <f aca="false">(I10558+I10559)/Assumptions!$E$74+I10557/Assumptions!$E$75</f>
        <v>0.315189523564247</v>
      </c>
      <c r="J10574" s="48" t="n">
        <f aca="false">(J10558+J10559)/Assumptions!$E$74+J10557/Assumptions!$E$75</f>
        <v>0.417840526673516</v>
      </c>
      <c r="K10574" s="48" t="n">
        <f aca="false">(K10558+K10559)/Assumptions!$E$74+K10557/Assumptions!$E$75</f>
        <v>0.540959409883445</v>
      </c>
      <c r="L10574" s="48" t="n">
        <f aca="false">(L10558+L10559)/Assumptions!$E$74+L10557/Assumptions!$E$75</f>
        <v>0.663899519839558</v>
      </c>
      <c r="M10574" s="48" t="n">
        <f aca="false">(M10558+M10559)/Assumptions!$E$74+M10557/Assumptions!$E$75</f>
        <v>0.781788399967416</v>
      </c>
      <c r="N10574" s="48" t="n">
        <f aca="false">(N10558+N10559)/Assumptions!$E$74+N10557/Assumptions!$E$75</f>
        <v>0.894431473558753</v>
      </c>
      <c r="P10574" s="49" t="n">
        <f aca="false">AVERAGE(C10574:F10574)</f>
        <v>0.0493389051577816</v>
      </c>
      <c r="Q10574" s="49" t="n">
        <f aca="false">AVERAGE(G10574:J10574)</f>
        <v>0.284947998840773</v>
      </c>
      <c r="R10574" s="49" t="n">
        <f aca="false">AVERAGE(K10574:N10574)</f>
        <v>0.720269700812293</v>
      </c>
      <c r="S10574" s="50"/>
    </row>
    <row r="10575" customFormat="false" ht="15" hidden="false" customHeight="false" outlineLevel="0" collapsed="false">
      <c r="A10575" s="4" t="s">
        <v>554</v>
      </c>
      <c r="B10575" s="36" t="s">
        <v>125</v>
      </c>
      <c r="C10575" s="54" t="n">
        <f aca="false">(C10569+C10571)*Assumptions!$E$70/Assumptions!$E$69/4</f>
        <v>133507.142857143</v>
      </c>
      <c r="D10575" s="54" t="n">
        <f aca="false">(D10569+D10571)*Assumptions!$E$70/Assumptions!$E$69/4</f>
        <v>133507.142857143</v>
      </c>
      <c r="E10575" s="54" t="n">
        <f aca="false">(E10569+E10571)*Assumptions!$E$70/Assumptions!$E$69/4</f>
        <v>133507.142857143</v>
      </c>
      <c r="F10575" s="54" t="n">
        <f aca="false">(F10569+F10571)*Assumptions!$E$70/Assumptions!$E$69/4</f>
        <v>133507.142857143</v>
      </c>
      <c r="G10575" s="54" t="n">
        <f aca="false">(G10569+G10571)*Assumptions!$E$70/Assumptions!$E$69/4</f>
        <v>133507.142857143</v>
      </c>
      <c r="H10575" s="54" t="n">
        <f aca="false">(H10569+H10571)*Assumptions!$E$70/Assumptions!$E$69/4</f>
        <v>133507.142857143</v>
      </c>
      <c r="I10575" s="54" t="n">
        <f aca="false">(I10569+I10571)*Assumptions!$E$70/Assumptions!$E$69/4</f>
        <v>133507.142857143</v>
      </c>
      <c r="J10575" s="54" t="n">
        <f aca="false">(J10569+J10571)*Assumptions!$E$70/Assumptions!$E$69/4</f>
        <v>133507.142857143</v>
      </c>
      <c r="K10575" s="54" t="n">
        <f aca="false">(K10569+K10571)*Assumptions!$E$70/Assumptions!$E$69/4</f>
        <v>133507.142857143</v>
      </c>
      <c r="L10575" s="54" t="n">
        <f aca="false">(L10569+L10571)*Assumptions!$E$70/Assumptions!$E$69/4</f>
        <v>133507.142857143</v>
      </c>
      <c r="M10575" s="54" t="n">
        <f aca="false">(M10569+M10571)*Assumptions!$E$70/Assumptions!$E$69/4</f>
        <v>133507.142857143</v>
      </c>
      <c r="N10575" s="54" t="n">
        <f aca="false">(N10569+N10571)*Assumptions!$E$70/Assumptions!$E$69/4</f>
        <v>133507.142857143</v>
      </c>
      <c r="P10575" s="55" t="n">
        <f aca="false">SUM(C10575:F10575)</f>
        <v>534028.571428572</v>
      </c>
      <c r="Q10575" s="55" t="n">
        <f aca="false">SUM(G10575:J10575)</f>
        <v>534028.571428572</v>
      </c>
      <c r="R10575" s="55" t="n">
        <f aca="false">SUM(K10575:N10575)</f>
        <v>534028.571428572</v>
      </c>
      <c r="S10575" s="56" t="n">
        <f aca="false">SUM(P10575:R10575)</f>
        <v>1602085.71428571</v>
      </c>
    </row>
    <row r="10576" customFormat="false" ht="15" hidden="false" customHeight="false" outlineLevel="0" collapsed="false">
      <c r="A10576" s="4" t="s">
        <v>555</v>
      </c>
      <c r="B10576" s="36" t="s">
        <v>125</v>
      </c>
      <c r="C10576" s="54" t="n">
        <f aca="false">C10570*$C$10505/4</f>
        <v>142857.142857143</v>
      </c>
      <c r="D10576" s="54" t="n">
        <f aca="false">D10570*$C$10505/4</f>
        <v>142857.142857143</v>
      </c>
      <c r="E10576" s="54" t="n">
        <f aca="false">E10570*$C$10505/4</f>
        <v>214285.714285714</v>
      </c>
      <c r="F10576" s="54" t="n">
        <f aca="false">F10570*$C$10505/4</f>
        <v>214285.714285714</v>
      </c>
      <c r="G10576" s="54" t="n">
        <f aca="false">G10570*$C$10505/4</f>
        <v>285714.285714286</v>
      </c>
      <c r="H10576" s="54" t="n">
        <f aca="false">H10570*$C$10505/4</f>
        <v>285714.285714286</v>
      </c>
      <c r="I10576" s="54" t="n">
        <f aca="false">I10570*$C$10505/4</f>
        <v>357142.857142857</v>
      </c>
      <c r="J10576" s="54" t="n">
        <f aca="false">J10570*$C$10505/4</f>
        <v>357142.857142857</v>
      </c>
      <c r="K10576" s="54" t="n">
        <f aca="false">K10570*$C$10505/4</f>
        <v>428571.428571429</v>
      </c>
      <c r="L10576" s="54" t="n">
        <f aca="false">L10570*$C$10505/4</f>
        <v>428571.428571429</v>
      </c>
      <c r="M10576" s="54" t="n">
        <f aca="false">M10570*$C$10505/4</f>
        <v>428571.428571429</v>
      </c>
      <c r="N10576" s="54" t="n">
        <f aca="false">N10570*$C$10505/4</f>
        <v>428571.428571429</v>
      </c>
      <c r="P10576" s="55" t="n">
        <f aca="false">SUM(C10576:F10576)</f>
        <v>714285.714285714</v>
      </c>
      <c r="Q10576" s="55" t="n">
        <f aca="false">SUM(G10576:J10576)</f>
        <v>1285714.28571429</v>
      </c>
      <c r="R10576" s="55" t="n">
        <f aca="false">SUM(K10576:N10576)</f>
        <v>1714285.71428571</v>
      </c>
      <c r="S10576" s="56" t="n">
        <f aca="false">SUM(P10576:R10576)</f>
        <v>3714285.71428571</v>
      </c>
    </row>
    <row r="10577" customFormat="false" ht="15" hidden="false" customHeight="false" outlineLevel="0" collapsed="false">
      <c r="A10577" s="4" t="s">
        <v>556</v>
      </c>
      <c r="B10577" s="36" t="s">
        <v>125</v>
      </c>
      <c r="C10577" s="54" t="n">
        <f aca="false">MAX(0,(C10565-C10546*$C$10501)-C10525*$C$10506)*$C$10507*Assumptions!$E$105</f>
        <v>0</v>
      </c>
      <c r="D10577" s="54" t="n">
        <f aca="false">MAX(0,(D10565-D10546*$C$10501)-D10525*$C$10506)*$C$10507*Assumptions!$E$105</f>
        <v>0</v>
      </c>
      <c r="E10577" s="54" t="n">
        <f aca="false">MAX(0,(E10565-E10546*$C$10501)-E10525*$C$10506)*$C$10507*Assumptions!$E$105</f>
        <v>0</v>
      </c>
      <c r="F10577" s="54" t="n">
        <f aca="false">MAX(0,(F10565-F10546*$C$10501)-F10525*$C$10506)*$C$10507*Assumptions!$E$105</f>
        <v>0</v>
      </c>
      <c r="G10577" s="54" t="n">
        <f aca="false">MAX(0,(G10565-G10546*$C$10501)-G10525*$C$10506)*$C$10507*Assumptions!$E$105</f>
        <v>0</v>
      </c>
      <c r="H10577" s="54" t="n">
        <f aca="false">MAX(0,(H10565-H10546*$C$10501)-H10525*$C$10506)*$C$10507*Assumptions!$E$105</f>
        <v>0</v>
      </c>
      <c r="I10577" s="54" t="n">
        <f aca="false">MAX(0,(I10565-I10546*$C$10501)-I10525*$C$10506)*$C$10507*Assumptions!$E$105</f>
        <v>0</v>
      </c>
      <c r="J10577" s="54" t="n">
        <f aca="false">MAX(0,(J10565-J10546*$C$10501)-J10525*$C$10506)*$C$10507*Assumptions!$E$105</f>
        <v>0</v>
      </c>
      <c r="K10577" s="54" t="n">
        <f aca="false">MAX(0,(K10565-K10546*$C$10501)-K10525*$C$10506)*$C$10507*Assumptions!$E$105</f>
        <v>0</v>
      </c>
      <c r="L10577" s="54" t="n">
        <f aca="false">MAX(0,(L10565-L10546*$C$10501)-L10525*$C$10506)*$C$10507*Assumptions!$E$105</f>
        <v>0</v>
      </c>
      <c r="M10577" s="54" t="n">
        <f aca="false">MAX(0,(M10565-M10546*$C$10501)-M10525*$C$10506)*$C$10507*Assumptions!$E$105</f>
        <v>0</v>
      </c>
      <c r="N10577" s="54" t="n">
        <f aca="false">MAX(0,(N10565-N10546*$C$10501)-N10525*$C$10506)*$C$10507*Assumptions!$E$105</f>
        <v>0</v>
      </c>
      <c r="P10577" s="55" t="n">
        <f aca="false">SUM(C10577:F10577)</f>
        <v>0</v>
      </c>
      <c r="Q10577" s="55" t="n">
        <f aca="false">SUM(G10577:J10577)</f>
        <v>0</v>
      </c>
      <c r="R10577" s="55" t="n">
        <f aca="false">SUM(K10577:N10577)</f>
        <v>0</v>
      </c>
      <c r="S10577" s="56" t="n">
        <f aca="false">SUM(P10577:R10577)</f>
        <v>0</v>
      </c>
    </row>
    <row r="10578" customFormat="false" ht="15" hidden="false" customHeight="false" outlineLevel="0" collapsed="false">
      <c r="A10578" s="4" t="s">
        <v>557</v>
      </c>
      <c r="B10578" s="36" t="s">
        <v>125</v>
      </c>
      <c r="C10578" s="54" t="n">
        <f aca="false">C10573*Assumptions!$E$71/Assumptions!$E$69/4</f>
        <v>36951.7857142857</v>
      </c>
      <c r="D10578" s="54" t="n">
        <f aca="false">D10573*Assumptions!$E$71/Assumptions!$E$69/4</f>
        <v>36951.7857142857</v>
      </c>
      <c r="E10578" s="54" t="n">
        <f aca="false">E10573*Assumptions!$E$71/Assumptions!$E$69/4</f>
        <v>36951.7857142857</v>
      </c>
      <c r="F10578" s="54" t="n">
        <f aca="false">F10573*Assumptions!$E$71/Assumptions!$E$69/4</f>
        <v>36951.7857142857</v>
      </c>
      <c r="G10578" s="54" t="n">
        <f aca="false">G10573*Assumptions!$E$71/Assumptions!$E$69/4</f>
        <v>36951.7857142857</v>
      </c>
      <c r="H10578" s="54" t="n">
        <f aca="false">H10573*Assumptions!$E$71/Assumptions!$E$69/4</f>
        <v>36951.7857142857</v>
      </c>
      <c r="I10578" s="54" t="n">
        <f aca="false">I10573*Assumptions!$E$71/Assumptions!$E$69/4</f>
        <v>36951.7857142857</v>
      </c>
      <c r="J10578" s="54" t="n">
        <f aca="false">J10573*Assumptions!$E$71/Assumptions!$E$69/4</f>
        <v>36951.7857142857</v>
      </c>
      <c r="K10578" s="54" t="n">
        <f aca="false">K10573*Assumptions!$E$71/Assumptions!$E$69/4</f>
        <v>36951.7857142857</v>
      </c>
      <c r="L10578" s="54" t="n">
        <f aca="false">L10573*Assumptions!$E$71/Assumptions!$E$69/4</f>
        <v>36951.7857142857</v>
      </c>
      <c r="M10578" s="54" t="n">
        <f aca="false">M10573*Assumptions!$E$71/Assumptions!$E$69/4</f>
        <v>36951.7857142857</v>
      </c>
      <c r="N10578" s="54" t="n">
        <f aca="false">N10573*Assumptions!$E$71/Assumptions!$E$69/4</f>
        <v>36951.7857142857</v>
      </c>
      <c r="P10578" s="55" t="n">
        <f aca="false">SUM(C10578:F10578)</f>
        <v>147807.142857143</v>
      </c>
      <c r="Q10578" s="55" t="n">
        <f aca="false">SUM(G10578:J10578)</f>
        <v>147807.142857143</v>
      </c>
      <c r="R10578" s="55" t="n">
        <f aca="false">SUM(K10578:N10578)</f>
        <v>147807.142857143</v>
      </c>
      <c r="S10578" s="56" t="n">
        <f aca="false">SUM(P10578:R10578)</f>
        <v>443421.428571429</v>
      </c>
    </row>
    <row r="10579" customFormat="false" ht="15" hidden="false" customHeight="false" outlineLevel="0" collapsed="false">
      <c r="A10579" s="4" t="s">
        <v>558</v>
      </c>
      <c r="B10579" s="36" t="s">
        <v>125</v>
      </c>
      <c r="C10579" s="54" t="n">
        <f aca="false">(Assumptions!$E$103+Assumptions!$E$77*((C10510=Assumptions!$E$13)+(C10510=Assumptions!$E$14)+(C10510=Assumptions!$E$15)))*C10511</f>
        <v>100000</v>
      </c>
      <c r="D10579" s="54" t="n">
        <f aca="false">(Assumptions!$E$103+Assumptions!$E$77*((D10510=Assumptions!$E$13)+(D10510=Assumptions!$E$14)+(D10510=Assumptions!$E$15)))*D10511</f>
        <v>60000</v>
      </c>
      <c r="E10579" s="54" t="n">
        <f aca="false">(Assumptions!$E$103+Assumptions!$E$77*((E10510=Assumptions!$E$13)+(E10510=Assumptions!$E$14)+(E10510=Assumptions!$E$15)))*E10511</f>
        <v>60000</v>
      </c>
      <c r="F10579" s="54" t="n">
        <f aca="false">(Assumptions!$E$103+Assumptions!$E$77*((F10510=Assumptions!$E$13)+(F10510=Assumptions!$E$14)+(F10510=Assumptions!$E$15)))*F10511</f>
        <v>60000</v>
      </c>
      <c r="G10579" s="54" t="n">
        <f aca="false">(Assumptions!$E$103+Assumptions!$E$77*((G10510=Assumptions!$E$13)+(G10510=Assumptions!$E$14)+(G10510=Assumptions!$E$15)))*G10511</f>
        <v>100000</v>
      </c>
      <c r="H10579" s="54" t="n">
        <f aca="false">(Assumptions!$E$103+Assumptions!$E$77*((H10510=Assumptions!$E$13)+(H10510=Assumptions!$E$14)+(H10510=Assumptions!$E$15)))*H10511</f>
        <v>60000</v>
      </c>
      <c r="I10579" s="54" t="n">
        <f aca="false">(Assumptions!$E$103+Assumptions!$E$77*((I10510=Assumptions!$E$13)+(I10510=Assumptions!$E$14)+(I10510=Assumptions!$E$15)))*I10511</f>
        <v>100000</v>
      </c>
      <c r="J10579" s="54" t="n">
        <f aca="false">(Assumptions!$E$103+Assumptions!$E$77*((J10510=Assumptions!$E$13)+(J10510=Assumptions!$E$14)+(J10510=Assumptions!$E$15)))*J10511</f>
        <v>60000</v>
      </c>
      <c r="K10579" s="54" t="n">
        <f aca="false">(Assumptions!$E$103+Assumptions!$E$77*((K10510=Assumptions!$E$13)+(K10510=Assumptions!$E$14)+(K10510=Assumptions!$E$15)))*K10511</f>
        <v>60000</v>
      </c>
      <c r="L10579" s="54" t="n">
        <f aca="false">(Assumptions!$E$103+Assumptions!$E$77*((L10510=Assumptions!$E$13)+(L10510=Assumptions!$E$14)+(L10510=Assumptions!$E$15)))*L10511</f>
        <v>60000</v>
      </c>
      <c r="M10579" s="54" t="n">
        <f aca="false">(Assumptions!$E$103+Assumptions!$E$77*((M10510=Assumptions!$E$13)+(M10510=Assumptions!$E$14)+(M10510=Assumptions!$E$15)))*M10511</f>
        <v>60000</v>
      </c>
      <c r="N10579" s="54" t="n">
        <f aca="false">(Assumptions!$E$103+Assumptions!$E$77*((N10510=Assumptions!$E$13)+(N10510=Assumptions!$E$14)+(N10510=Assumptions!$E$15)))*N10511</f>
        <v>60000</v>
      </c>
      <c r="P10579" s="55" t="n">
        <f aca="false">SUM(C10579:F10579)</f>
        <v>280000</v>
      </c>
      <c r="Q10579" s="55" t="n">
        <f aca="false">SUM(G10579:J10579)</f>
        <v>320000</v>
      </c>
      <c r="R10579" s="55" t="n">
        <f aca="false">SUM(K10579:N10579)</f>
        <v>240000</v>
      </c>
      <c r="S10579" s="56" t="n">
        <f aca="false">SUM(P10579:R10579)</f>
        <v>840000</v>
      </c>
    </row>
    <row r="10580" customFormat="false" ht="15" hidden="false" customHeight="false" outlineLevel="0" collapsed="false">
      <c r="A10580" s="4" t="s">
        <v>559</v>
      </c>
      <c r="B10580" s="36" t="s">
        <v>125</v>
      </c>
      <c r="C10580" s="54" t="n">
        <f aca="false">C10565*C10545*Assumptions!$E$79</f>
        <v>0</v>
      </c>
      <c r="D10580" s="54" t="n">
        <f aca="false">D10565*D10545*Assumptions!$E$79</f>
        <v>815.338873355417</v>
      </c>
      <c r="E10580" s="54" t="n">
        <f aca="false">E10565*E10545*Assumptions!$E$79</f>
        <v>1521.55624916379</v>
      </c>
      <c r="F10580" s="54" t="n">
        <f aca="false">F10565*F10545*Assumptions!$E$79</f>
        <v>2317.19371331496</v>
      </c>
      <c r="G10580" s="54" t="n">
        <f aca="false">G10565*G10545*Assumptions!$E$79</f>
        <v>2967.19795603353</v>
      </c>
      <c r="H10580" s="54" t="n">
        <f aca="false">H10565*H10545*Assumptions!$E$79</f>
        <v>3415.7211221828</v>
      </c>
      <c r="I10580" s="54" t="n">
        <f aca="false">I10565*I10545*Assumptions!$E$79</f>
        <v>3972.82099963716</v>
      </c>
      <c r="J10580" s="54" t="n">
        <f aca="false">J10565*J10545*Assumptions!$E$79</f>
        <v>4298.98853729764</v>
      </c>
      <c r="K10580" s="54" t="n">
        <f aca="false">K10565*K10545*Assumptions!$E$79</f>
        <v>4866.07343795651</v>
      </c>
      <c r="L10580" s="54" t="n">
        <f aca="false">L10565*L10545*Assumptions!$E$79</f>
        <v>5622.39054021859</v>
      </c>
      <c r="M10580" s="54" t="n">
        <f aca="false">M10565*M10545*Assumptions!$E$79</f>
        <v>5663.11266801061</v>
      </c>
      <c r="N10580" s="54" t="n">
        <f aca="false">N10565*N10545*Assumptions!$E$79</f>
        <v>5663.63080270127</v>
      </c>
      <c r="P10580" s="55" t="n">
        <f aca="false">SUM(C10580:F10580)</f>
        <v>4654.08883583416</v>
      </c>
      <c r="Q10580" s="55" t="n">
        <f aca="false">SUM(G10580:J10580)</f>
        <v>14654.7286151511</v>
      </c>
      <c r="R10580" s="55" t="n">
        <f aca="false">SUM(K10580:N10580)</f>
        <v>21815.207448887</v>
      </c>
      <c r="S10580" s="56" t="n">
        <f aca="false">SUM(P10580:R10580)</f>
        <v>41124.0248998723</v>
      </c>
    </row>
    <row r="10581" customFormat="false" ht="15" hidden="false" customHeight="false" outlineLevel="0" collapsed="false">
      <c r="A10581" s="4" t="s">
        <v>560</v>
      </c>
      <c r="B10581" s="36" t="s">
        <v>125</v>
      </c>
      <c r="C10581" s="54" t="n">
        <f aca="false">C10530*Assumptions!$E$80</f>
        <v>4000</v>
      </c>
      <c r="D10581" s="54" t="n">
        <f aca="false">D10530*Assumptions!$E$80</f>
        <v>6000</v>
      </c>
      <c r="E10581" s="54" t="n">
        <f aca="false">E10530*Assumptions!$E$80</f>
        <v>8000</v>
      </c>
      <c r="F10581" s="54" t="n">
        <f aca="false">F10530*Assumptions!$E$80</f>
        <v>10000</v>
      </c>
      <c r="G10581" s="54" t="n">
        <f aca="false">G10530*Assumptions!$E$80</f>
        <v>12000</v>
      </c>
      <c r="H10581" s="54" t="n">
        <f aca="false">H10530*Assumptions!$E$80</f>
        <v>14000</v>
      </c>
      <c r="I10581" s="54" t="n">
        <f aca="false">I10530*Assumptions!$E$80</f>
        <v>16000</v>
      </c>
      <c r="J10581" s="54" t="n">
        <f aca="false">J10530*Assumptions!$E$80</f>
        <v>18000</v>
      </c>
      <c r="K10581" s="54" t="n">
        <f aca="false">K10530*Assumptions!$E$80</f>
        <v>20000</v>
      </c>
      <c r="L10581" s="54" t="n">
        <f aca="false">L10530*Assumptions!$E$80</f>
        <v>20000</v>
      </c>
      <c r="M10581" s="54" t="n">
        <f aca="false">M10530*Assumptions!$E$80</f>
        <v>20000</v>
      </c>
      <c r="N10581" s="54" t="n">
        <f aca="false">N10530*Assumptions!$E$80</f>
        <v>20000</v>
      </c>
      <c r="P10581" s="55" t="n">
        <f aca="false">SUM(C10581:F10581)</f>
        <v>28000</v>
      </c>
      <c r="Q10581" s="55" t="n">
        <f aca="false">SUM(G10581:J10581)</f>
        <v>60000</v>
      </c>
      <c r="R10581" s="55" t="n">
        <f aca="false">SUM(K10581:N10581)</f>
        <v>80000</v>
      </c>
      <c r="S10581" s="56" t="n">
        <f aca="false">SUM(P10581:R10581)</f>
        <v>168000</v>
      </c>
    </row>
    <row r="10582" customFormat="false" ht="15" hidden="false" customHeight="false" outlineLevel="0" collapsed="false">
      <c r="A10582" s="4" t="s">
        <v>561</v>
      </c>
      <c r="B10582" s="36" t="s">
        <v>125</v>
      </c>
      <c r="C10582" s="54" t="n">
        <f aca="false">(C10553*$C$10502+C10554*$C$10503)*Assumptions!$E$81</f>
        <v>0</v>
      </c>
      <c r="D10582" s="54" t="n">
        <f aca="false">(D10553*$C$10502+D10554*$C$10503)*Assumptions!$E$81</f>
        <v>892.533280237164</v>
      </c>
      <c r="E10582" s="54" t="n">
        <f aca="false">(E10553*$C$10502+E10554*$C$10503)*Assumptions!$E$81</f>
        <v>2740.74975205186</v>
      </c>
      <c r="F10582" s="54" t="n">
        <f aca="false">(F10553*$C$10502+F10554*$C$10503)*Assumptions!$E$81</f>
        <v>4020.93365307646</v>
      </c>
      <c r="G10582" s="54" t="n">
        <f aca="false">(G10553*$C$10502+G10554*$C$10503)*Assumptions!$E$81</f>
        <v>4546.17780020223</v>
      </c>
      <c r="H10582" s="54" t="n">
        <f aca="false">(H10553*$C$10502+H10554*$C$10503)*Assumptions!$E$81</f>
        <v>5308.91871361554</v>
      </c>
      <c r="I10582" s="54" t="n">
        <f aca="false">(I10553*$C$10502+I10554*$C$10503)*Assumptions!$E$81</f>
        <v>6197.69053833458</v>
      </c>
      <c r="J10582" s="54" t="n">
        <f aca="false">(J10553*$C$10502+J10554*$C$10503)*Assumptions!$E$81</f>
        <v>7605.93003372883</v>
      </c>
      <c r="K10582" s="54" t="n">
        <f aca="false">(K10553*$C$10502+K10554*$C$10503)*Assumptions!$E$81</f>
        <v>9288.55054275746</v>
      </c>
      <c r="L10582" s="54" t="n">
        <f aca="false">(L10553*$C$10502+L10554*$C$10503)*Assumptions!$E$81</f>
        <v>10024.7932344728</v>
      </c>
      <c r="M10582" s="54" t="n">
        <f aca="false">(M10553*$C$10502+M10554*$C$10503)*Assumptions!$E$81</f>
        <v>9991.9852102894</v>
      </c>
      <c r="N10582" s="54" t="n">
        <f aca="false">(N10553*$C$10502+N10554*$C$10503)*Assumptions!$E$81</f>
        <v>9839.1569693138</v>
      </c>
      <c r="P10582" s="55" t="n">
        <f aca="false">SUM(C10582:F10582)</f>
        <v>7654.21668536549</v>
      </c>
      <c r="Q10582" s="55" t="n">
        <f aca="false">SUM(G10582:J10582)</f>
        <v>23658.7170858812</v>
      </c>
      <c r="R10582" s="55" t="n">
        <f aca="false">SUM(K10582:N10582)</f>
        <v>39144.4859568334</v>
      </c>
      <c r="S10582" s="56" t="n">
        <f aca="false">SUM(P10582:R10582)</f>
        <v>70457.4197280801</v>
      </c>
    </row>
    <row r="10583" customFormat="false" ht="15" hidden="false" customHeight="false" outlineLevel="0" collapsed="false">
      <c r="A10583" s="9" t="s">
        <v>562</v>
      </c>
      <c r="B10583" s="36" t="s">
        <v>125</v>
      </c>
      <c r="C10583" s="55" t="n">
        <f aca="false">C10575+C10576+C10577+C10578+C10579+C10580+C10581+C10582</f>
        <v>417316.071428572</v>
      </c>
      <c r="D10583" s="55" t="n">
        <f aca="false">D10575+D10576+D10577+D10578+D10579+D10580+D10581+D10582</f>
        <v>381023.943582164</v>
      </c>
      <c r="E10583" s="55" t="n">
        <f aca="false">E10575+E10576+E10577+E10578+E10579+E10580+E10581+E10582</f>
        <v>457006.948858359</v>
      </c>
      <c r="F10583" s="55" t="n">
        <f aca="false">F10575+F10576+F10577+F10578+F10579+F10580+F10581+F10582</f>
        <v>461082.770223534</v>
      </c>
      <c r="G10583" s="55" t="n">
        <f aca="false">G10575+G10576+G10577+G10578+G10579+G10580+G10581+G10582</f>
        <v>575686.59004195</v>
      </c>
      <c r="H10583" s="55" t="n">
        <f aca="false">H10575+H10576+H10577+H10578+H10579+H10580+H10581+H10582</f>
        <v>538897.854121513</v>
      </c>
      <c r="I10583" s="55" t="n">
        <f aca="false">I10575+I10576+I10577+I10578+I10579+I10580+I10581+I10582</f>
        <v>653772.297252257</v>
      </c>
      <c r="J10583" s="55" t="n">
        <f aca="false">J10575+J10576+J10577+J10578+J10579+J10580+J10581+J10582</f>
        <v>617506.704285312</v>
      </c>
      <c r="K10583" s="55" t="n">
        <f aca="false">K10575+K10576+K10577+K10578+K10579+K10580+K10581+K10582</f>
        <v>693184.981123571</v>
      </c>
      <c r="L10583" s="55" t="n">
        <f aca="false">L10575+L10576+L10577+L10578+L10579+L10580+L10581+L10582</f>
        <v>694677.540917549</v>
      </c>
      <c r="M10583" s="55" t="n">
        <f aca="false">M10575+M10576+M10577+M10578+M10579+M10580+M10581+M10582</f>
        <v>694685.455021157</v>
      </c>
      <c r="N10583" s="55" t="n">
        <f aca="false">N10575+N10576+N10577+N10578+N10579+N10580+N10581+N10582</f>
        <v>694533.144914872</v>
      </c>
      <c r="P10583" s="55" t="n">
        <f aca="false">SUM(C10583:F10583)</f>
        <v>1716429.73409263</v>
      </c>
      <c r="Q10583" s="55" t="n">
        <f aca="false">SUM(G10583:J10583)</f>
        <v>2385863.44570103</v>
      </c>
      <c r="R10583" s="55" t="n">
        <f aca="false">SUM(K10583:N10583)</f>
        <v>2777081.12197715</v>
      </c>
      <c r="S10583" s="56" t="n">
        <f aca="false">SUM(P10583:R10583)</f>
        <v>6879374.30177081</v>
      </c>
    </row>
    <row r="10584" customFormat="false" ht="15" hidden="false" customHeight="false" outlineLevel="0" collapsed="false">
      <c r="A10584" s="4" t="s">
        <v>563</v>
      </c>
      <c r="B10584" s="36" t="s">
        <v>125</v>
      </c>
      <c r="C10584" s="54" t="n">
        <f aca="false">C10572*Assumptions!$E$72/Assumptions!$E$69/4</f>
        <v>56535.7142857143</v>
      </c>
      <c r="D10584" s="54" t="n">
        <f aca="false">D10572*Assumptions!$E$72/Assumptions!$E$69/4</f>
        <v>56535.7142857143</v>
      </c>
      <c r="E10584" s="54" t="n">
        <f aca="false">E10572*Assumptions!$E$72/Assumptions!$E$69/4</f>
        <v>56535.7142857143</v>
      </c>
      <c r="F10584" s="54" t="n">
        <f aca="false">F10572*Assumptions!$E$72/Assumptions!$E$69/4</f>
        <v>56535.7142857143</v>
      </c>
      <c r="G10584" s="54" t="n">
        <f aca="false">G10572*Assumptions!$E$72/Assumptions!$E$69/4</f>
        <v>28267.8571428571</v>
      </c>
      <c r="H10584" s="54" t="n">
        <f aca="false">H10572*Assumptions!$E$72/Assumptions!$E$69/4</f>
        <v>28267.8571428571</v>
      </c>
      <c r="I10584" s="54" t="n">
        <f aca="false">I10572*Assumptions!$E$72/Assumptions!$E$69/4</f>
        <v>28267.8571428571</v>
      </c>
      <c r="J10584" s="54" t="n">
        <f aca="false">J10572*Assumptions!$E$72/Assumptions!$E$69/4</f>
        <v>28267.8571428571</v>
      </c>
      <c r="K10584" s="54" t="n">
        <f aca="false">K10572*Assumptions!$E$72/Assumptions!$E$69/4</f>
        <v>28267.8571428571</v>
      </c>
      <c r="L10584" s="54" t="n">
        <f aca="false">L10572*Assumptions!$E$72/Assumptions!$E$69/4</f>
        <v>28267.8571428571</v>
      </c>
      <c r="M10584" s="54" t="n">
        <f aca="false">M10572*Assumptions!$E$72/Assumptions!$E$69/4</f>
        <v>28267.8571428571</v>
      </c>
      <c r="N10584" s="54" t="n">
        <f aca="false">N10572*Assumptions!$E$72/Assumptions!$E$69/4</f>
        <v>28267.8571428571</v>
      </c>
      <c r="P10584" s="55" t="n">
        <f aca="false">SUM(C10584:F10584)</f>
        <v>226142.857142857</v>
      </c>
      <c r="Q10584" s="55" t="n">
        <f aca="false">SUM(G10584:J10584)</f>
        <v>113071.428571429</v>
      </c>
      <c r="R10584" s="55" t="n">
        <f aca="false">SUM(K10584:N10584)</f>
        <v>113071.428571429</v>
      </c>
      <c r="S10584" s="56" t="n">
        <f aca="false">SUM(P10584:R10584)</f>
        <v>452285.714285714</v>
      </c>
    </row>
    <row r="10585" customFormat="false" ht="15" hidden="false" customHeight="false" outlineLevel="0" collapsed="false">
      <c r="A10585" s="4" t="s">
        <v>564</v>
      </c>
      <c r="B10585" s="36" t="s">
        <v>125</v>
      </c>
      <c r="C10585" s="54" t="n">
        <f aca="false">IF(C10510&lt;=Assumptions!$E$83,Assumptions!$E$82*Assumptions!$E$108/Assumptions!$E$83,0)</f>
        <v>62500</v>
      </c>
      <c r="D10585" s="54" t="n">
        <f aca="false">IF(D10510&lt;=Assumptions!$E$83,Assumptions!$E$82*Assumptions!$E$108/Assumptions!$E$83,0)</f>
        <v>62500</v>
      </c>
      <c r="E10585" s="54" t="n">
        <f aca="false">IF(E10510&lt;=Assumptions!$E$83,Assumptions!$E$82*Assumptions!$E$108/Assumptions!$E$83,0)</f>
        <v>62500</v>
      </c>
      <c r="F10585" s="54" t="n">
        <f aca="false">IF(F10510&lt;=Assumptions!$E$83,Assumptions!$E$82*Assumptions!$E$108/Assumptions!$E$83,0)</f>
        <v>62500</v>
      </c>
      <c r="G10585" s="54" t="n">
        <f aca="false">IF(G10510&lt;=Assumptions!$E$83,Assumptions!$E$82*Assumptions!$E$108/Assumptions!$E$83,0)</f>
        <v>0</v>
      </c>
      <c r="H10585" s="54" t="n">
        <f aca="false">IF(H10510&lt;=Assumptions!$E$83,Assumptions!$E$82*Assumptions!$E$108/Assumptions!$E$83,0)</f>
        <v>0</v>
      </c>
      <c r="I10585" s="54" t="n">
        <f aca="false">IF(I10510&lt;=Assumptions!$E$83,Assumptions!$E$82*Assumptions!$E$108/Assumptions!$E$83,0)</f>
        <v>0</v>
      </c>
      <c r="J10585" s="54" t="n">
        <f aca="false">IF(J10510&lt;=Assumptions!$E$83,Assumptions!$E$82*Assumptions!$E$108/Assumptions!$E$83,0)</f>
        <v>0</v>
      </c>
      <c r="K10585" s="54" t="n">
        <f aca="false">IF(K10510&lt;=Assumptions!$E$83,Assumptions!$E$82*Assumptions!$E$108/Assumptions!$E$83,0)</f>
        <v>0</v>
      </c>
      <c r="L10585" s="54" t="n">
        <f aca="false">IF(L10510&lt;=Assumptions!$E$83,Assumptions!$E$82*Assumptions!$E$108/Assumptions!$E$83,0)</f>
        <v>0</v>
      </c>
      <c r="M10585" s="54" t="n">
        <f aca="false">IF(M10510&lt;=Assumptions!$E$83,Assumptions!$E$82*Assumptions!$E$108/Assumptions!$E$83,0)</f>
        <v>0</v>
      </c>
      <c r="N10585" s="54" t="n">
        <f aca="false">IF(N10510&lt;=Assumptions!$E$83,Assumptions!$E$82*Assumptions!$E$108/Assumptions!$E$83,0)</f>
        <v>0</v>
      </c>
      <c r="P10585" s="55" t="n">
        <f aca="false">SUM(C10585:F10585)</f>
        <v>250000</v>
      </c>
      <c r="Q10585" s="55" t="n">
        <f aca="false">SUM(G10585:J10585)</f>
        <v>0</v>
      </c>
      <c r="R10585" s="55" t="n">
        <f aca="false">SUM(K10585:N10585)</f>
        <v>0</v>
      </c>
      <c r="S10585" s="56" t="n">
        <f aca="false">SUM(P10585:R10585)</f>
        <v>250000</v>
      </c>
    </row>
    <row r="10586" customFormat="false" ht="15" hidden="false" customHeight="false" outlineLevel="0" collapsed="false">
      <c r="A10586" s="4" t="s">
        <v>565</v>
      </c>
      <c r="B10586" s="36" t="s">
        <v>125</v>
      </c>
      <c r="C10586" s="54" t="n">
        <f aca="false">C10574*Assumptions!$E$73/Assumptions!$E$69/4</f>
        <v>0</v>
      </c>
      <c r="D10586" s="54" t="n">
        <f aca="false">D10574*Assumptions!$E$73/Assumptions!$E$69/4</f>
        <v>807.446760146251</v>
      </c>
      <c r="E10586" s="54" t="n">
        <f aca="false">E10574*Assumptions!$E$73/Assumptions!$E$69/4</f>
        <v>2526.72575687459</v>
      </c>
      <c r="F10586" s="54" t="n">
        <f aca="false">F10574*Assumptions!$E$73/Assumptions!$E$69/4</f>
        <v>4595.99922483918</v>
      </c>
      <c r="G10586" s="54" t="n">
        <f aca="false">G10574*Assumptions!$E$73/Assumptions!$E$69/4</f>
        <v>6817.83371588461</v>
      </c>
      <c r="H10586" s="54" t="n">
        <f aca="false">H10574*Assumptions!$E$73/Assumptions!$E$69/4</f>
        <v>9526.7328719907</v>
      </c>
      <c r="I10586" s="54" t="n">
        <f aca="false">I10574*Assumptions!$E$73/Assumptions!$E$69/4</f>
        <v>12664.9904629334</v>
      </c>
      <c r="J10586" s="54" t="n">
        <f aca="false">J10574*Assumptions!$E$73/Assumptions!$E$69/4</f>
        <v>16789.727734299</v>
      </c>
      <c r="K10586" s="54" t="n">
        <f aca="false">K10574*Assumptions!$E$73/Assumptions!$E$69/4</f>
        <v>21736.9082878523</v>
      </c>
      <c r="L10586" s="54" t="n">
        <f aca="false">L10574*Assumptions!$E$73/Assumptions!$E$69/4</f>
        <v>26676.9053489817</v>
      </c>
      <c r="M10586" s="54" t="n">
        <f aca="false">M10574*Assumptions!$E$73/Assumptions!$E$69/4</f>
        <v>31413.9331715479</v>
      </c>
      <c r="N10586" s="54" t="n">
        <f aca="false">N10574*Assumptions!$E$73/Assumptions!$E$69/4</f>
        <v>35940.1732464626</v>
      </c>
      <c r="P10586" s="55" t="n">
        <f aca="false">SUM(C10586:F10586)</f>
        <v>7930.17174186002</v>
      </c>
      <c r="Q10586" s="55" t="n">
        <f aca="false">SUM(G10586:J10586)</f>
        <v>45799.2847851077</v>
      </c>
      <c r="R10586" s="55" t="n">
        <f aca="false">SUM(K10586:N10586)</f>
        <v>115767.920054844</v>
      </c>
      <c r="S10586" s="56" t="n">
        <f aca="false">SUM(P10586:R10586)</f>
        <v>169497.376581812</v>
      </c>
    </row>
    <row r="10587" customFormat="false" ht="15" hidden="false" customHeight="false" outlineLevel="0" collapsed="false">
      <c r="A10587" s="9" t="s">
        <v>566</v>
      </c>
      <c r="B10587" s="36" t="s">
        <v>125</v>
      </c>
      <c r="C10587" s="55" t="n">
        <f aca="false">C10583+C10584+C10585+C10586</f>
        <v>536351.785714286</v>
      </c>
      <c r="D10587" s="55" t="n">
        <f aca="false">D10583+D10584+D10585+D10586</f>
        <v>500867.104628025</v>
      </c>
      <c r="E10587" s="55" t="n">
        <f aca="false">E10583+E10584+E10585+E10586</f>
        <v>578569.388900947</v>
      </c>
      <c r="F10587" s="55" t="n">
        <f aca="false">F10583+F10584+F10585+F10586</f>
        <v>584714.483734088</v>
      </c>
      <c r="G10587" s="55" t="n">
        <f aca="false">G10583+G10584+G10585+G10586</f>
        <v>610772.280900692</v>
      </c>
      <c r="H10587" s="55" t="n">
        <f aca="false">H10583+H10584+H10585+H10586</f>
        <v>576692.444136361</v>
      </c>
      <c r="I10587" s="55" t="n">
        <f aca="false">I10583+I10584+I10585+I10586</f>
        <v>694705.144858048</v>
      </c>
      <c r="J10587" s="55" t="n">
        <f aca="false">J10583+J10584+J10585+J10586</f>
        <v>662564.289162468</v>
      </c>
      <c r="K10587" s="55" t="n">
        <f aca="false">K10583+K10584+K10585+K10586</f>
        <v>743189.746554281</v>
      </c>
      <c r="L10587" s="55" t="n">
        <f aca="false">L10583+L10584+L10585+L10586</f>
        <v>749622.303409387</v>
      </c>
      <c r="M10587" s="55" t="n">
        <f aca="false">M10583+M10584+M10585+M10586</f>
        <v>754367.245335562</v>
      </c>
      <c r="N10587" s="55" t="n">
        <f aca="false">N10583+N10584+N10585+N10586</f>
        <v>758741.175304192</v>
      </c>
      <c r="P10587" s="55" t="n">
        <f aca="false">SUM(C10587:F10587)</f>
        <v>2200502.76297735</v>
      </c>
      <c r="Q10587" s="55" t="n">
        <f aca="false">SUM(G10587:J10587)</f>
        <v>2544734.15905757</v>
      </c>
      <c r="R10587" s="55" t="n">
        <f aca="false">SUM(K10587:N10587)</f>
        <v>3005920.47060342</v>
      </c>
      <c r="S10587" s="56" t="n">
        <f aca="false">SUM(P10587:R10587)</f>
        <v>7751157.39263834</v>
      </c>
    </row>
    <row r="10588" customFormat="false" ht="15" hidden="false" customHeight="false" outlineLevel="0" collapsed="false">
      <c r="A10588" s="35" t="s">
        <v>567</v>
      </c>
      <c r="B10588" s="35" t="s">
        <v>444</v>
      </c>
      <c r="C10588" s="6" t="s">
        <v>354</v>
      </c>
      <c r="D10588" s="6" t="s">
        <v>355</v>
      </c>
      <c r="E10588" s="6" t="s">
        <v>356</v>
      </c>
      <c r="F10588" s="6" t="s">
        <v>357</v>
      </c>
      <c r="G10588" s="6" t="s">
        <v>358</v>
      </c>
      <c r="H10588" s="6" t="s">
        <v>359</v>
      </c>
      <c r="I10588" s="6" t="s">
        <v>360</v>
      </c>
      <c r="J10588" s="6" t="s">
        <v>361</v>
      </c>
      <c r="K10588" s="6" t="s">
        <v>362</v>
      </c>
      <c r="L10588" s="6" t="s">
        <v>363</v>
      </c>
      <c r="M10588" s="6" t="s">
        <v>364</v>
      </c>
      <c r="N10588" s="6" t="s">
        <v>365</v>
      </c>
      <c r="P10588" s="6" t="s">
        <v>445</v>
      </c>
      <c r="Q10588" s="6" t="s">
        <v>446</v>
      </c>
      <c r="R10588" s="6" t="s">
        <v>447</v>
      </c>
      <c r="S10588" s="6" t="s">
        <v>448</v>
      </c>
    </row>
    <row r="10589" customFormat="false" ht="15" hidden="false" customHeight="false" outlineLevel="0" collapsed="false">
      <c r="A10589" s="9" t="s">
        <v>568</v>
      </c>
      <c r="B10589" s="36" t="s">
        <v>125</v>
      </c>
      <c r="C10589" s="55" t="n">
        <f aca="false">C10567-C10587</f>
        <v>-536351.785714286</v>
      </c>
      <c r="D10589" s="55" t="n">
        <f aca="false">D10567-D10587</f>
        <v>-499854.892534016</v>
      </c>
      <c r="E10589" s="55" t="n">
        <f aca="false">E10567-E10587</f>
        <v>-573978.789819139</v>
      </c>
      <c r="F10589" s="55" t="n">
        <f aca="false">F10567-F10587</f>
        <v>-574074.141750268</v>
      </c>
      <c r="G10589" s="55" t="n">
        <f aca="false">G10567-G10587</f>
        <v>-592713.890429582</v>
      </c>
      <c r="H10589" s="55" t="n">
        <f aca="false">H10567-H10587</f>
        <v>-549918.343202478</v>
      </c>
      <c r="I10589" s="55" t="n">
        <f aca="false">I10567-I10587</f>
        <v>-657489.87913114</v>
      </c>
      <c r="J10589" s="55" t="n">
        <f aca="false">J10567-J10587</f>
        <v>-612356.712797507</v>
      </c>
      <c r="K10589" s="55" t="n">
        <f aca="false">K10567-K10587</f>
        <v>-676638.068754733</v>
      </c>
      <c r="L10589" s="55" t="n">
        <f aca="false">L10567-L10587</f>
        <v>-664480.472675698</v>
      </c>
      <c r="M10589" s="55" t="n">
        <f aca="false">M10567-M10587</f>
        <v>-649992.772866774</v>
      </c>
      <c r="N10589" s="55" t="n">
        <f aca="false">N10567-N10587</f>
        <v>-635043.202312138</v>
      </c>
      <c r="P10589" s="55" t="n">
        <f aca="false">SUM(C10589:F10589)</f>
        <v>-2184259.60981771</v>
      </c>
      <c r="Q10589" s="55" t="n">
        <f aca="false">SUM(G10589:J10589)</f>
        <v>-2412478.82556071</v>
      </c>
      <c r="R10589" s="55" t="n">
        <f aca="false">SUM(K10589:N10589)</f>
        <v>-2626154.51660934</v>
      </c>
      <c r="S10589" s="56" t="n">
        <f aca="false">SUM(P10589:R10589)</f>
        <v>-7222892.95198776</v>
      </c>
    </row>
    <row r="10590" customFormat="false" ht="15" hidden="false" customHeight="false" outlineLevel="0" collapsed="false">
      <c r="A10590" s="9" t="s">
        <v>569</v>
      </c>
      <c r="B10590" s="36" t="s">
        <v>125</v>
      </c>
      <c r="C10590" s="55" t="n">
        <f aca="false">0+C10589</f>
        <v>-536351.785714286</v>
      </c>
      <c r="D10590" s="55" t="n">
        <f aca="false">C10590+D10589</f>
        <v>-1036206.6782483</v>
      </c>
      <c r="E10590" s="55" t="n">
        <f aca="false">D10590+E10589</f>
        <v>-1610185.46806744</v>
      </c>
      <c r="F10590" s="55" t="n">
        <f aca="false">E10590+F10589</f>
        <v>-2184259.60981771</v>
      </c>
      <c r="G10590" s="55" t="n">
        <f aca="false">F10590+G10589</f>
        <v>-2776973.50024729</v>
      </c>
      <c r="H10590" s="55" t="n">
        <f aca="false">G10590+H10589</f>
        <v>-3326891.84344977</v>
      </c>
      <c r="I10590" s="55" t="n">
        <f aca="false">H10590+I10589</f>
        <v>-3984381.72258091</v>
      </c>
      <c r="J10590" s="55" t="n">
        <f aca="false">I10590+J10589</f>
        <v>-4596738.43537842</v>
      </c>
      <c r="K10590" s="55" t="n">
        <f aca="false">J10590+K10589</f>
        <v>-5273376.50413315</v>
      </c>
      <c r="L10590" s="55" t="n">
        <f aca="false">K10590+L10589</f>
        <v>-5937856.97680885</v>
      </c>
      <c r="M10590" s="55" t="n">
        <f aca="false">L10590+M10589</f>
        <v>-6587849.74967562</v>
      </c>
      <c r="N10590" s="55" t="n">
        <f aca="false">M10590+N10589</f>
        <v>-7222892.95198776</v>
      </c>
      <c r="P10590" s="55" t="n">
        <f aca="false">F10590</f>
        <v>-2184259.60981771</v>
      </c>
      <c r="Q10590" s="55" t="n">
        <f aca="false">J10590</f>
        <v>-4596738.43537842</v>
      </c>
      <c r="R10590" s="55" t="n">
        <f aca="false">N10590</f>
        <v>-7222892.95198776</v>
      </c>
      <c r="S10590" s="56" t="n">
        <f aca="false">R10590</f>
        <v>-7222892.95198776</v>
      </c>
    </row>
    <row r="10591" customFormat="false" ht="15" hidden="false" customHeight="false" outlineLevel="0" collapsed="false">
      <c r="A10591" s="4" t="s">
        <v>570</v>
      </c>
      <c r="B10591" s="36" t="s">
        <v>107</v>
      </c>
      <c r="C10591" s="57" t="n">
        <f aca="false">1/(1+Assumptions!$E$87)^(C10510/4)</f>
        <v>0.972065420906982</v>
      </c>
      <c r="D10591" s="57" t="n">
        <f aca="false">1/(1+Assumptions!$E$87)^(D10510/4)</f>
        <v>0.944911182523068</v>
      </c>
      <c r="E10591" s="57" t="n">
        <f aca="false">1/(1+Assumptions!$E$87)^(E10510/4)</f>
        <v>0.918515486359</v>
      </c>
      <c r="F10591" s="57" t="n">
        <f aca="false">1/(1+Assumptions!$E$87)^(F10510/4)</f>
        <v>0.892857142857143</v>
      </c>
      <c r="G10591" s="57" t="n">
        <f aca="false">1/(1+Assumptions!$E$87)^(G10510/4)</f>
        <v>0.867915554381234</v>
      </c>
      <c r="H10591" s="57" t="n">
        <f aca="false">1/(1+Assumptions!$E$87)^(H10510/4)</f>
        <v>0.843670698681311</v>
      </c>
      <c r="I10591" s="57" t="n">
        <f aca="false">1/(1+Assumptions!$E$87)^(I10510/4)</f>
        <v>0.820103112820536</v>
      </c>
      <c r="J10591" s="57" t="n">
        <f aca="false">1/(1+Assumptions!$E$87)^(J10510/4)</f>
        <v>0.79719387755102</v>
      </c>
      <c r="K10591" s="57" t="n">
        <f aca="false">1/(1+Assumptions!$E$87)^(K10510/4)</f>
        <v>0.774924602126102</v>
      </c>
      <c r="L10591" s="57" t="n">
        <f aca="false">1/(1+Assumptions!$E$87)^(L10510/4)</f>
        <v>0.753277409536885</v>
      </c>
      <c r="M10591" s="57" t="n">
        <f aca="false">1/(1+Assumptions!$E$87)^(M10510/4)</f>
        <v>0.732234922161193</v>
      </c>
      <c r="N10591" s="57" t="n">
        <f aca="false">1/(1+Assumptions!$E$87)^(N10510/4)</f>
        <v>0.711780247813411</v>
      </c>
      <c r="P10591" s="58"/>
      <c r="Q10591" s="58"/>
      <c r="R10591" s="58"/>
      <c r="S10591" s="59"/>
    </row>
    <row r="10592" customFormat="false" ht="15" hidden="false" customHeight="false" outlineLevel="0" collapsed="false">
      <c r="A10592" s="4" t="s">
        <v>571</v>
      </c>
      <c r="B10592" s="36" t="s">
        <v>125</v>
      </c>
      <c r="C10592" s="54" t="n">
        <f aca="false">(C10567*(1-Assumptions!$E$88)-C10587)*C10591</f>
        <v>-521369.024334569</v>
      </c>
      <c r="D10592" s="54" t="n">
        <f aca="false">(D10567*(1-Assumptions!$E$88)-D10587)*D10591</f>
        <v>-472509.767699601</v>
      </c>
      <c r="E10592" s="54" t="n">
        <f aca="false">(E10567*(1-Assumptions!$E$88)-E10587)*E10591</f>
        <v>-528051.714560138</v>
      </c>
      <c r="F10592" s="54" t="n">
        <f aca="false">(F10567*(1-Assumptions!$E$88)-F10587)*F10591</f>
        <v>-514466.25905985</v>
      </c>
      <c r="G10592" s="54" t="n">
        <f aca="false">(G10567*(1-Assumptions!$E$88)-G10587)*G10591</f>
        <v>-517560.236397042</v>
      </c>
      <c r="H10592" s="54" t="n">
        <f aca="false">(H10567*(1-Assumptions!$E$88)-H10587)*H10591</f>
        <v>-468467.697715594</v>
      </c>
      <c r="I10592" s="54" t="n">
        <f aca="false">(I10567*(1-Assumptions!$E$88)-I10587)*I10591</f>
        <v>-545313.567576862</v>
      </c>
      <c r="J10592" s="54" t="n">
        <f aca="false">(J10567*(1-Assumptions!$E$88)-J10587)*J10591</f>
        <v>-496172.056816406</v>
      </c>
      <c r="K10592" s="54" t="n">
        <f aca="false">(K10567*(1-Assumptions!$E$88)-K10587)*K10591</f>
        <v>-534657.992701063</v>
      </c>
      <c r="L10592" s="54" t="n">
        <f aca="false">(L10567*(1-Assumptions!$E$88)-L10587)*L10591</f>
        <v>-513365.212684654</v>
      </c>
      <c r="M10592" s="54" t="n">
        <f aca="false">(M10567*(1-Assumptions!$E$88)-M10587)*M10591</f>
        <v>-491232.7341902</v>
      </c>
      <c r="N10592" s="54" t="n">
        <f aca="false">(N10567*(1-Assumptions!$E$88)-N10587)*N10591</f>
        <v>-469620.362688016</v>
      </c>
      <c r="P10592" s="55" t="n">
        <f aca="false">SUM(C10592:F10592)</f>
        <v>-2036396.76565416</v>
      </c>
      <c r="Q10592" s="55" t="n">
        <f aca="false">SUM(G10592:J10592)</f>
        <v>-2027513.5585059</v>
      </c>
      <c r="R10592" s="55" t="n">
        <f aca="false">SUM(K10592:N10592)</f>
        <v>-2008876.30226393</v>
      </c>
      <c r="S10592" s="56" t="n">
        <f aca="false">SUM(P10592:R10592)</f>
        <v>-6072786.62642399</v>
      </c>
    </row>
    <row r="10593" customFormat="false" ht="15" hidden="false" customHeight="false" outlineLevel="0" collapsed="false">
      <c r="A10593" s="4" t="s">
        <v>572</v>
      </c>
      <c r="B10593" s="36" t="s">
        <v>125</v>
      </c>
      <c r="C10593" s="54" t="n">
        <f aca="false">(C10587-C10586)*12/(Assumptions!$E$89*Assumptions!$E$76)*Assumptions!$E$90</f>
        <v>371320.467032967</v>
      </c>
      <c r="D10593" s="54" t="n">
        <f aca="false">(D10587-D10586)*12/(Assumptions!$E$89*Assumptions!$E$76)*Assumptions!$E$90</f>
        <v>346195.147754685</v>
      </c>
      <c r="E10593" s="54" t="n">
        <f aca="false">(E10587-E10586)*12/(Assumptions!$E$89*Assumptions!$E$76)*Assumptions!$E$90</f>
        <v>398798.76679205</v>
      </c>
      <c r="F10593" s="54" t="n">
        <f aca="false">(F10587-F10586)*12/(Assumptions!$E$89*Assumptions!$E$76)*Assumptions!$E$90</f>
        <v>401620.489275634</v>
      </c>
      <c r="G10593" s="54" t="n">
        <f aca="false">(G10587-G10586)*12/(Assumptions!$E$89*Assumptions!$E$76)*Assumptions!$E$90</f>
        <v>418122.309589482</v>
      </c>
      <c r="H10593" s="54" t="n">
        <f aca="false">(H10587-H10586)*12/(Assumptions!$E$89*Assumptions!$E$76)*Assumptions!$E$90</f>
        <v>392653.184721487</v>
      </c>
      <c r="I10593" s="54" t="n">
        <f aca="false">(I10587-I10586)*12/(Assumptions!$E$89*Assumptions!$E$76)*Assumptions!$E$90</f>
        <v>472181.645350464</v>
      </c>
      <c r="J10593" s="54" t="n">
        <f aca="false">(J10587-J10586)*12/(Assumptions!$E$89*Assumptions!$E$76)*Assumptions!$E$90</f>
        <v>447074.696373348</v>
      </c>
      <c r="K10593" s="54" t="n">
        <f aca="false">(K10587-K10586)*12/(Assumptions!$E$89*Assumptions!$E$76)*Assumptions!$E$90</f>
        <v>499467.349569066</v>
      </c>
      <c r="L10593" s="54" t="n">
        <f aca="false">(L10587-L10586)*12/(Assumptions!$E$89*Assumptions!$E$76)*Assumptions!$E$90</f>
        <v>500500.660195665</v>
      </c>
      <c r="M10593" s="54" t="n">
        <f aca="false">(M10587-M10586)*12/(Assumptions!$E$89*Assumptions!$E$76)*Assumptions!$E$90</f>
        <v>500506.139190471</v>
      </c>
      <c r="N10593" s="54" t="n">
        <f aca="false">(N10587-N10586)*12/(Assumptions!$E$89*Assumptions!$E$76)*Assumptions!$E$90</f>
        <v>500400.693732274</v>
      </c>
      <c r="P10593" s="55" t="n">
        <f aca="false">SUM(C10593:F10593)</f>
        <v>1517934.87085534</v>
      </c>
      <c r="Q10593" s="55" t="n">
        <f aca="false">SUM(G10593:J10593)</f>
        <v>1730031.83603478</v>
      </c>
      <c r="R10593" s="55" t="n">
        <f aca="false">SUM(K10593:N10593)</f>
        <v>2000874.84268748</v>
      </c>
      <c r="S10593" s="56" t="n">
        <f aca="false">SUM(P10593:R10593)</f>
        <v>5248841.54957759</v>
      </c>
    </row>
    <row r="10594" customFormat="false" ht="15" hidden="false" customHeight="false" outlineLevel="0" collapsed="false">
      <c r="A10594" s="4" t="s">
        <v>573</v>
      </c>
      <c r="B10594" s="36" t="s">
        <v>125</v>
      </c>
      <c r="C10594" s="54" t="n">
        <f aca="false">0*Assumptions!$E$92^(1/4)+C10593</f>
        <v>371320.467032967</v>
      </c>
      <c r="D10594" s="54" t="n">
        <f aca="false">C10594*Assumptions!$E$92^(1/4)+D10593</f>
        <v>718440.454993875</v>
      </c>
      <c r="E10594" s="54" t="n">
        <f aca="false">D10594*Assumptions!$E$92^(1/4)+E10593</f>
        <v>1119028.62656575</v>
      </c>
      <c r="F10594" s="54" t="n">
        <f aca="false">E10594*Assumptions!$E$92^(1/4)+F10593</f>
        <v>1523436.2572937</v>
      </c>
      <c r="G10594" s="54" t="n">
        <f aca="false">F10594*Assumptions!$E$92^(1/4)+G10593</f>
        <v>1945352.95805591</v>
      </c>
      <c r="H10594" s="54" t="n">
        <f aca="false">G10594*Assumptions!$E$92^(1/4)+H10593</f>
        <v>2342851.39314908</v>
      </c>
      <c r="I10594" s="54" t="n">
        <f aca="false">H10594*Assumptions!$E$92^(1/4)+I10593</f>
        <v>2820868.33000099</v>
      </c>
      <c r="J10594" s="54" t="n">
        <f aca="false">I10594*Assumptions!$E$92^(1/4)+J10593</f>
        <v>3274968.9047723</v>
      </c>
      <c r="K10594" s="54" t="n">
        <f aca="false">J10594*Assumptions!$E$92^(1/4)+K10593</f>
        <v>3782593.15164753</v>
      </c>
      <c r="L10594" s="54" t="n">
        <f aca="false">K10594*Assumptions!$E$92^(1/4)+L10593</f>
        <v>4292515.03836049</v>
      </c>
      <c r="M10594" s="54" t="n">
        <f aca="false">L10594*Assumptions!$E$92^(1/4)+M10593</f>
        <v>4803712.45596342</v>
      </c>
      <c r="N10594" s="54" t="n">
        <f aca="false">M10594*Assumptions!$E$92^(1/4)+N10593</f>
        <v>5316077.65694171</v>
      </c>
      <c r="P10594" s="55" t="n">
        <f aca="false">F10594</f>
        <v>1523436.2572937</v>
      </c>
      <c r="Q10594" s="55" t="n">
        <f aca="false">J10594</f>
        <v>3274968.9047723</v>
      </c>
      <c r="R10594" s="55" t="n">
        <f aca="false">N10594</f>
        <v>5316077.65694171</v>
      </c>
      <c r="S10594" s="56" t="n">
        <f aca="false">R10594</f>
        <v>5316077.65694171</v>
      </c>
    </row>
    <row r="10595" customFormat="false" ht="15" hidden="false" customHeight="false" outlineLevel="0" collapsed="false">
      <c r="A10595" s="4" t="s">
        <v>574</v>
      </c>
      <c r="B10595" s="36" t="s">
        <v>125</v>
      </c>
      <c r="C10595" s="54" t="n">
        <f aca="false">(0+C10594)/8*Assumptions!$E$76-(C10587-C10586)-C10594*Assumptions!$E$93/4</f>
        <v>-510823.503605769</v>
      </c>
      <c r="D10595" s="54" t="n">
        <f aca="false">(C10594+D10594)/8*Assumptions!$E$76-(D10587-D10586)-D10594*Assumptions!$E$93/4</f>
        <v>-420497.088640621</v>
      </c>
      <c r="E10595" s="54" t="n">
        <f aca="false">(D10594+E10594)/8*Assumptions!$E$76-(E10587-E10586)-E10594*Assumptions!$E$93/4</f>
        <v>-440736.158099425</v>
      </c>
      <c r="F10595" s="54" t="n">
        <f aca="false">(E10594+F10594)/8*Assumptions!$E$76-(F10587-F10586)-F10594*Assumptions!$E$93/4</f>
        <v>-384461.165911839</v>
      </c>
      <c r="G10595" s="54" t="n">
        <f aca="false">(F10594+G10594)/8*Assumptions!$E$76-(G10587-G10586)-G10594*Assumptions!$E$93/4</f>
        <v>-346432.23541335</v>
      </c>
      <c r="H10595" s="54" t="n">
        <f aca="false">(G10594+H10594)/8*Assumptions!$E$76-(H10587-H10586)-H10594*Assumptions!$E$93/4</f>
        <v>-248034.750143327</v>
      </c>
      <c r="I10595" s="54" t="n">
        <f aca="false">(H10594+I10594)/8*Assumptions!$E$76-(I10587-I10586)-I10594*Assumptions!$E$93/4</f>
        <v>-297748.781014183</v>
      </c>
      <c r="J10595" s="54" t="n">
        <f aca="false">(I10594+J10594)/8*Assumptions!$E$76-(J10587-J10586)-J10594*Assumptions!$E$93/4</f>
        <v>-191424.897412493</v>
      </c>
      <c r="K10595" s="54" t="n">
        <f aca="false">(J10594+K10594)/8*Assumptions!$E$76-(K10587-K10586)-K10594*Assumptions!$E$93/4</f>
        <v>-195308.335577912</v>
      </c>
      <c r="L10595" s="54" t="n">
        <f aca="false">(K10594+L10594)/8*Assumptions!$E$76-(L10587-L10586)-L10594*Assumptions!$E$93/4</f>
        <v>-120499.29560176</v>
      </c>
      <c r="M10595" s="54" t="n">
        <f aca="false">(L10594+M10594)/8*Assumptions!$E$76-(M10587-M10586)-M10594*Assumptions!$E$93/4</f>
        <v>-43931.2339497393</v>
      </c>
      <c r="N10595" s="54" t="n">
        <f aca="false">(M10594+N10594)/8*Assumptions!$E$76-(N10587-N10586)-N10594*Assumptions!$E$93/4</f>
        <v>32980.9739040409</v>
      </c>
      <c r="P10595" s="55" t="n">
        <f aca="false">SUM(C10595:F10595)</f>
        <v>-1756517.91625765</v>
      </c>
      <c r="Q10595" s="55" t="n">
        <f aca="false">SUM(G10595:J10595)</f>
        <v>-1083640.66398335</v>
      </c>
      <c r="R10595" s="55" t="n">
        <f aca="false">SUM(K10595:N10595)</f>
        <v>-326757.891225371</v>
      </c>
      <c r="S10595" s="56" t="n">
        <f aca="false">SUM(P10595:R10595)</f>
        <v>-3166916.47146638</v>
      </c>
    </row>
    <row r="10596" customFormat="false" ht="15" hidden="false" customHeight="false" outlineLevel="0" collapsed="false">
      <c r="A10596" s="4" t="s">
        <v>575</v>
      </c>
      <c r="B10596" s="36" t="s">
        <v>125</v>
      </c>
      <c r="C10596" s="54" t="n">
        <f aca="false">C10595*C10591</f>
        <v>-496553.864041721</v>
      </c>
      <c r="D10596" s="54" t="n">
        <f aca="false">D10595*D10591</f>
        <v>-397332.401274916</v>
      </c>
      <c r="E10596" s="54" t="n">
        <f aca="false">E10595*E10591</f>
        <v>-404822.986612691</v>
      </c>
      <c r="F10596" s="54" t="n">
        <f aca="false">F10595*F10591</f>
        <v>-343268.898135571</v>
      </c>
      <c r="G10596" s="54" t="n">
        <f aca="false">G10595*G10591</f>
        <v>-300673.925654308</v>
      </c>
      <c r="H10596" s="54" t="n">
        <f aca="false">H10595*H10591</f>
        <v>-209259.650950665</v>
      </c>
      <c r="I10596" s="54" t="n">
        <f aca="false">I10595*I10591</f>
        <v>-244184.702148252</v>
      </c>
      <c r="J10596" s="54" t="n">
        <f aca="false">J10595*J10591</f>
        <v>-152602.756228072</v>
      </c>
      <c r="K10596" s="54" t="n">
        <f aca="false">K10595*K10591</f>
        <v>-151349.234239624</v>
      </c>
      <c r="L10596" s="54" t="n">
        <f aca="false">L10595*L10591</f>
        <v>-90769.3972419134</v>
      </c>
      <c r="M10596" s="54" t="n">
        <f aca="false">M10595*M10591</f>
        <v>-32167.9836716325</v>
      </c>
      <c r="N10596" s="54" t="n">
        <f aca="false">N10595*N10591</f>
        <v>23475.2057785459</v>
      </c>
      <c r="P10596" s="55" t="n">
        <f aca="false">SUM(C10596:F10596)</f>
        <v>-1641978.1500649</v>
      </c>
      <c r="Q10596" s="55" t="n">
        <f aca="false">SUM(G10596:J10596)</f>
        <v>-906721.034981296</v>
      </c>
      <c r="R10596" s="55" t="n">
        <f aca="false">SUM(K10596:N10596)</f>
        <v>-250811.409374624</v>
      </c>
      <c r="S10596" s="56" t="n">
        <f aca="false">SUM(P10596:R10596)</f>
        <v>-2799510.59442082</v>
      </c>
    </row>
    <row r="10597" customFormat="false" ht="15" hidden="false" customHeight="false" outlineLevel="0" collapsed="false">
      <c r="A10597" s="4" t="s">
        <v>576</v>
      </c>
      <c r="B10597" s="36"/>
      <c r="C10597" s="37" t="n">
        <f aca="false">IFERROR((S10552*$C$10501*Assumptions!$E$59+S10553*$C$10502*Assumptions!$E$60+S10554*$C$10503*Assumptions!$E$61)/(S10552*$C$10501+S10553*$C$10502+S10554*$C$10503),0.9)</f>
        <v>0.897419496249564</v>
      </c>
    </row>
    <row r="10598" customFormat="false" ht="15" hidden="false" customHeight="false" outlineLevel="0" collapsed="false">
      <c r="A10598" s="4" t="s">
        <v>577</v>
      </c>
      <c r="B10598" s="36"/>
      <c r="C10598" s="37" t="n">
        <f aca="false">IFERROR(N10586*4/N10564,0)</f>
        <v>0.17516377532505</v>
      </c>
    </row>
    <row r="10599" customFormat="false" ht="15" hidden="false" customHeight="false" outlineLevel="0" collapsed="false">
      <c r="A10599" s="4" t="s">
        <v>578</v>
      </c>
      <c r="B10599" s="36"/>
      <c r="C10599" s="60" t="n">
        <f aca="false">$C$10597/(1+Assumptions!$E$87)</f>
        <v>0.801267407365682</v>
      </c>
    </row>
    <row r="10600" customFormat="false" ht="15" hidden="false" customHeight="false" outlineLevel="0" collapsed="false">
      <c r="A10600" s="4" t="s">
        <v>579</v>
      </c>
      <c r="B10600" s="36"/>
      <c r="C10600" s="60" t="n">
        <f aca="false">Assumptions!$E$91/(1+Assumptions!$E$87)</f>
        <v>0.803571428571429</v>
      </c>
    </row>
    <row r="10601" customFormat="false" ht="15" hidden="false" customHeight="false" outlineLevel="0" collapsed="false">
      <c r="A10601" s="35" t="s">
        <v>580</v>
      </c>
      <c r="B10601" s="35" t="s">
        <v>444</v>
      </c>
      <c r="C10601" s="6" t="s">
        <v>354</v>
      </c>
      <c r="D10601" s="6" t="s">
        <v>355</v>
      </c>
      <c r="E10601" s="6" t="s">
        <v>356</v>
      </c>
      <c r="F10601" s="6" t="s">
        <v>357</v>
      </c>
      <c r="G10601" s="6" t="s">
        <v>358</v>
      </c>
      <c r="H10601" s="6" t="s">
        <v>359</v>
      </c>
      <c r="I10601" s="6" t="s">
        <v>360</v>
      </c>
      <c r="J10601" s="6" t="s">
        <v>361</v>
      </c>
      <c r="K10601" s="6" t="s">
        <v>362</v>
      </c>
      <c r="L10601" s="6" t="s">
        <v>363</v>
      </c>
      <c r="M10601" s="6" t="s">
        <v>364</v>
      </c>
      <c r="N10601" s="6" t="s">
        <v>365</v>
      </c>
      <c r="P10601" s="6" t="s">
        <v>445</v>
      </c>
      <c r="Q10601" s="6" t="s">
        <v>446</v>
      </c>
      <c r="R10601" s="6" t="s">
        <v>447</v>
      </c>
      <c r="S10601" s="6" t="s">
        <v>448</v>
      </c>
    </row>
    <row r="10602" customFormat="false" ht="15" hidden="false" customHeight="false" outlineLevel="0" collapsed="false">
      <c r="A10602" s="9" t="s">
        <v>581</v>
      </c>
      <c r="C10602" s="61" t="n">
        <f aca="false">N10564</f>
        <v>820721.594513904</v>
      </c>
      <c r="D10602" s="61"/>
    </row>
    <row r="10603" customFormat="false" ht="15" hidden="false" customHeight="false" outlineLevel="0" collapsed="false">
      <c r="A10603" s="9" t="s">
        <v>582</v>
      </c>
      <c r="C10603" s="62" t="n">
        <f aca="false">N10560</f>
        <v>79.3218850472757</v>
      </c>
      <c r="D10603" s="62"/>
    </row>
    <row r="10604" customFormat="false" ht="15" hidden="false" customHeight="false" outlineLevel="0" collapsed="false">
      <c r="A10604" s="9" t="s">
        <v>583</v>
      </c>
      <c r="C10604" s="63" t="n">
        <f aca="false">S10555</f>
        <v>87.8923560527539</v>
      </c>
      <c r="D10604" s="63"/>
    </row>
    <row r="10605" customFormat="false" ht="15" hidden="false" customHeight="false" outlineLevel="0" collapsed="false">
      <c r="A10605" s="9" t="s">
        <v>584</v>
      </c>
      <c r="C10605" s="61" t="n">
        <f aca="false">S10566</f>
        <v>812714.524077813</v>
      </c>
      <c r="D10605" s="61"/>
    </row>
    <row r="10606" customFormat="false" ht="15" hidden="false" customHeight="false" outlineLevel="0" collapsed="false">
      <c r="A10606" s="9" t="s">
        <v>22</v>
      </c>
      <c r="C10606" s="61" t="n">
        <f aca="false">IFERROR(S10565/S10555,0)</f>
        <v>8863.82062103322</v>
      </c>
      <c r="D10606" s="61"/>
    </row>
    <row r="10607" customFormat="false" ht="15" hidden="false" customHeight="false" outlineLevel="0" collapsed="false">
      <c r="A10607" s="9" t="s">
        <v>585</v>
      </c>
      <c r="C10607" s="61" t="n">
        <f aca="false">IFERROR(S10583/S10555,0)</f>
        <v>78270.4504774196</v>
      </c>
      <c r="D10607" s="61"/>
    </row>
    <row r="10608" customFormat="false" ht="23.85" hidden="false" customHeight="false" outlineLevel="0" collapsed="false">
      <c r="A10608" s="9" t="s">
        <v>586</v>
      </c>
      <c r="C10608" s="61" t="n">
        <f aca="false">IFERROR((S10577+S10579+S10580+S10581+S10582)/S10555,0)</f>
        <v>12738.0979974637</v>
      </c>
      <c r="D10608" s="61"/>
    </row>
    <row r="10609" customFormat="false" ht="15" hidden="false" customHeight="false" outlineLevel="0" collapsed="false">
      <c r="A10609" s="9" t="s">
        <v>587</v>
      </c>
      <c r="C10609" s="64" t="n">
        <f aca="false">IFERROR('Engine Runs'!$C$10607/('Engine Runs'!$C$10606*Assumptions!$E$76/12),0)</f>
        <v>163.021454705656</v>
      </c>
      <c r="D10609" s="64"/>
    </row>
    <row r="10610" customFormat="false" ht="15" hidden="false" customHeight="false" outlineLevel="0" collapsed="false">
      <c r="A10610" s="9" t="s">
        <v>588</v>
      </c>
      <c r="C10610" s="64" t="n">
        <f aca="false">IFERROR((R10583/R10555)/((R10565/R10555)*Assumptions!$E$76/12),0)</f>
        <v>117.749971592235</v>
      </c>
      <c r="D10610" s="64"/>
    </row>
    <row r="10611" customFormat="false" ht="15" hidden="false" customHeight="false" outlineLevel="0" collapsed="false">
      <c r="A10611" s="9" t="s">
        <v>589</v>
      </c>
      <c r="C10611" s="61" t="n">
        <f aca="false">S10587</f>
        <v>7751157.39263834</v>
      </c>
      <c r="D10611" s="61"/>
    </row>
    <row r="10612" customFormat="false" ht="15" hidden="false" customHeight="false" outlineLevel="0" collapsed="false">
      <c r="A10612" s="9" t="s">
        <v>590</v>
      </c>
      <c r="C10612" s="61" t="n">
        <f aca="false">N10590</f>
        <v>-7222892.95198776</v>
      </c>
      <c r="D10612" s="61"/>
    </row>
    <row r="10613" customFormat="false" ht="15" hidden="false" customHeight="false" outlineLevel="0" collapsed="false">
      <c r="A10613" s="9" t="s">
        <v>591</v>
      </c>
      <c r="C10613" s="61" t="n">
        <f aca="false">MIN($C$10590:$N$10590)</f>
        <v>-7222892.95198776</v>
      </c>
      <c r="D10613" s="61"/>
    </row>
    <row r="10614" customFormat="false" ht="15" hidden="false" customHeight="false" outlineLevel="0" collapsed="false">
      <c r="A10614" s="9" t="s">
        <v>592</v>
      </c>
      <c r="C10614" s="61" t="n">
        <f aca="false">N10564*(Assumptions!$E$76-$C$10598)*$C$10597*(1-$C$10597^Assumptions!$E$85)/(1-$C$10597)</f>
        <v>1424855.23104191</v>
      </c>
      <c r="D10614" s="61"/>
    </row>
    <row r="10615" customFormat="false" ht="15" hidden="false" customHeight="false" outlineLevel="0" collapsed="false">
      <c r="A10615" s="9" t="s">
        <v>593</v>
      </c>
      <c r="C10615" s="61" t="n">
        <f aca="false">N10564*(Assumptions!$E$76-$C$10598)*(1-Assumptions!$E$88)/(1+Assumptions!$E$87)^2.5*$C$10599*(1-$C$10599^Assumptions!$E$85)/(1-$C$10599)</f>
        <v>634137.974333176</v>
      </c>
      <c r="D10615" s="61"/>
    </row>
    <row r="10616" customFormat="false" ht="15" hidden="false" customHeight="false" outlineLevel="0" collapsed="false">
      <c r="A10616" s="9" t="s">
        <v>594</v>
      </c>
      <c r="C10616" s="61" t="n">
        <f aca="false">SUM($C$10592:$N$10592)+'Engine Runs'!$C$10615</f>
        <v>-5438648.65209082</v>
      </c>
      <c r="D10616" s="61"/>
    </row>
    <row r="10617" customFormat="false" ht="15" hidden="false" customHeight="false" outlineLevel="0" collapsed="false">
      <c r="A10617" s="9" t="s">
        <v>595</v>
      </c>
      <c r="C10617" s="61" t="n">
        <f aca="false">SUM($C$10596:$N$10596)+N10594*(Assumptions!$E$76-Assumptions!$E$93)/(1+Assumptions!$E$87)^2.5*$C$10600*(1-$C$10600^Assumptions!$E$85)/(1-$C$10600)</f>
        <v>3736306.25451755</v>
      </c>
      <c r="D10617" s="61"/>
    </row>
    <row r="10618" customFormat="false" ht="15" hidden="false" customHeight="false" outlineLevel="0" collapsed="false">
      <c r="A10618" s="9" t="s">
        <v>596</v>
      </c>
      <c r="C10618" s="61" t="n">
        <f aca="false">'Engine Runs'!$C$10616-'Engine Runs'!$C$10617</f>
        <v>-9174954.90660837</v>
      </c>
      <c r="D10618" s="61"/>
    </row>
    <row r="10619" customFormat="false" ht="15" hidden="false" customHeight="false" outlineLevel="0" collapsed="false">
      <c r="A10619" s="9" t="s">
        <v>597</v>
      </c>
      <c r="C10619" s="61" t="n">
        <f aca="false">S10551</f>
        <v>0</v>
      </c>
      <c r="D10619" s="61"/>
    </row>
    <row r="10620" customFormat="false" ht="15" hidden="false" customHeight="false" outlineLevel="0" collapsed="false">
      <c r="A10620" s="9" t="s">
        <v>598</v>
      </c>
      <c r="C10620" s="63" t="n">
        <f aca="false">P10535</f>
        <v>73.6465844201646</v>
      </c>
      <c r="D10620" s="63"/>
    </row>
    <row r="10621" customFormat="false" ht="15" hidden="false" customHeight="false" outlineLevel="0" collapsed="false">
      <c r="A10621" s="9" t="s">
        <v>599</v>
      </c>
      <c r="C10621" s="63" t="n">
        <f aca="false">P10555</f>
        <v>10.2078993808733</v>
      </c>
      <c r="D10621" s="63"/>
    </row>
    <row r="10622" customFormat="false" ht="15" hidden="false" customHeight="false" outlineLevel="0" collapsed="false">
      <c r="A10622" s="9" t="s">
        <v>600</v>
      </c>
      <c r="C10622" s="63" t="n">
        <f aca="false">P10531</f>
        <v>42</v>
      </c>
      <c r="D10622" s="63"/>
    </row>
    <row r="10623" customFormat="false" ht="15" hidden="false" customHeight="false" outlineLevel="0" collapsed="false">
      <c r="A10623" s="9" t="s">
        <v>601</v>
      </c>
      <c r="C10623" s="61" t="n">
        <f aca="false">IFERROR(P10565/P10555,0)</f>
        <v>8458.47709261422</v>
      </c>
      <c r="D10623" s="61"/>
    </row>
    <row r="10626" customFormat="false" ht="15" hidden="false" customHeight="true" outlineLevel="0" collapsed="false">
      <c r="A10626" s="78" t="s">
        <v>969</v>
      </c>
      <c r="B10626" s="78"/>
      <c r="C10626" s="78"/>
      <c r="D10626" s="78"/>
      <c r="E10626" s="78"/>
      <c r="F10626" s="78"/>
      <c r="G10626" s="78"/>
      <c r="H10626" s="78"/>
      <c r="I10626" s="78"/>
      <c r="J10626" s="78"/>
      <c r="K10626" s="78"/>
      <c r="L10626" s="78"/>
      <c r="M10626" s="78"/>
      <c r="N10626" s="78"/>
    </row>
    <row r="10627" customFormat="false" ht="15" hidden="false" customHeight="true" outlineLevel="0" collapsed="false">
      <c r="A10627" s="79" t="s">
        <v>970</v>
      </c>
      <c r="B10627" s="79"/>
      <c r="C10627" s="79"/>
      <c r="D10627" s="79"/>
      <c r="E10627" s="79"/>
      <c r="F10627" s="79"/>
      <c r="G10627" s="79"/>
      <c r="H10627" s="79"/>
      <c r="I10627" s="79"/>
      <c r="J10627" s="79"/>
      <c r="K10627" s="79"/>
      <c r="L10627" s="79"/>
      <c r="M10627" s="79"/>
      <c r="N10627" s="79"/>
    </row>
    <row r="10628" customFormat="false" ht="23.85" hidden="false" customHeight="false" outlineLevel="0" collapsed="false">
      <c r="A10628" s="35" t="s">
        <v>971</v>
      </c>
      <c r="B10628" s="35" t="s">
        <v>444</v>
      </c>
      <c r="C10628" s="6" t="s">
        <v>354</v>
      </c>
      <c r="D10628" s="6" t="s">
        <v>355</v>
      </c>
      <c r="E10628" s="6" t="s">
        <v>356</v>
      </c>
      <c r="F10628" s="6" t="s">
        <v>357</v>
      </c>
      <c r="G10628" s="6" t="s">
        <v>358</v>
      </c>
      <c r="H10628" s="6" t="s">
        <v>359</v>
      </c>
      <c r="I10628" s="6" t="s">
        <v>360</v>
      </c>
      <c r="J10628" s="6" t="s">
        <v>361</v>
      </c>
      <c r="K10628" s="6" t="s">
        <v>362</v>
      </c>
      <c r="L10628" s="6" t="s">
        <v>363</v>
      </c>
      <c r="M10628" s="6" t="s">
        <v>364</v>
      </c>
      <c r="N10628" s="6" t="s">
        <v>365</v>
      </c>
      <c r="P10628" s="6" t="s">
        <v>445</v>
      </c>
      <c r="Q10628" s="6" t="s">
        <v>446</v>
      </c>
      <c r="R10628" s="6" t="s">
        <v>447</v>
      </c>
      <c r="S10628" s="6" t="s">
        <v>448</v>
      </c>
    </row>
    <row r="10629" customFormat="false" ht="15" hidden="false" customHeight="false" outlineLevel="0" collapsed="false">
      <c r="A10629" s="4" t="s">
        <v>449</v>
      </c>
      <c r="B10629" s="36" t="s">
        <v>450</v>
      </c>
      <c r="C10629" s="34" t="n">
        <f aca="false">'Market Sizing'!$C$17*Assumptions!$E$10*Assumptions!$E$11*(1-Assumptions!$E$12)</f>
        <v>843.03944704</v>
      </c>
    </row>
    <row r="10630" customFormat="false" ht="15" hidden="false" customHeight="false" outlineLevel="0" collapsed="false">
      <c r="A10630" s="4" t="s">
        <v>451</v>
      </c>
      <c r="B10630" s="36" t="s">
        <v>450</v>
      </c>
      <c r="C10630" s="34" t="n">
        <f aca="false">'Market Sizing'!$D$17*Assumptions!$E$10*Assumptions!$E$11*(1-Assumptions!$E$12)</f>
        <v>211.19616</v>
      </c>
    </row>
    <row r="10631" customFormat="false" ht="15" hidden="false" customHeight="false" outlineLevel="0" collapsed="false">
      <c r="A10631" s="4" t="s">
        <v>452</v>
      </c>
      <c r="B10631" s="36" t="s">
        <v>450</v>
      </c>
      <c r="C10631" s="34" t="n">
        <f aca="false">'Market Sizing'!$E$17*Assumptions!$E$10*Assumptions!$E$11*(1-Assumptions!$E$12)</f>
        <v>49.53984</v>
      </c>
    </row>
    <row r="10632" customFormat="false" ht="15" hidden="false" customHeight="false" outlineLevel="0" collapsed="false">
      <c r="A10632" s="4" t="s">
        <v>453</v>
      </c>
      <c r="B10632" s="36"/>
      <c r="C10632" s="34" t="n">
        <f aca="false">$C$10629+$C$10630+$C$10631</f>
        <v>1103.77544704</v>
      </c>
    </row>
    <row r="10633" customFormat="false" ht="15" hidden="false" customHeight="false" outlineLevel="0" collapsed="false">
      <c r="A10633" s="4" t="s">
        <v>454</v>
      </c>
      <c r="B10633" s="36" t="s">
        <v>450</v>
      </c>
      <c r="C10633" s="34" t="n">
        <f aca="false">'Market Sizing'!$C$18*Assumptions!$E$10*Assumptions!$E$11*(1-Assumptions!$E$12)</f>
        <v>612.57706944</v>
      </c>
    </row>
    <row r="10634" customFormat="false" ht="15" hidden="false" customHeight="false" outlineLevel="0" collapsed="false">
      <c r="A10634" s="4" t="s">
        <v>455</v>
      </c>
      <c r="B10634" s="36" t="s">
        <v>450</v>
      </c>
      <c r="C10634" s="34" t="n">
        <f aca="false">'Market Sizing'!$D$18*Assumptions!$E$10*Assumptions!$E$11*(1-Assumptions!$E$12)</f>
        <v>142.10112</v>
      </c>
    </row>
    <row r="10635" customFormat="false" ht="15" hidden="false" customHeight="false" outlineLevel="0" collapsed="false">
      <c r="A10635" s="4" t="s">
        <v>456</v>
      </c>
      <c r="B10635" s="36" t="s">
        <v>450</v>
      </c>
      <c r="C10635" s="34" t="n">
        <f aca="false">'Market Sizing'!$E$18*Assumptions!$E$10*Assumptions!$E$11*(1-Assumptions!$E$12)</f>
        <v>24.76992</v>
      </c>
    </row>
    <row r="10636" customFormat="false" ht="15" hidden="false" customHeight="false" outlineLevel="0" collapsed="false">
      <c r="A10636" s="4" t="s">
        <v>457</v>
      </c>
      <c r="B10636" s="36"/>
      <c r="C10636" s="34" t="n">
        <f aca="false">$C$10633+$C$10634+$C$10635</f>
        <v>779.44810944</v>
      </c>
    </row>
    <row r="10637" customFormat="false" ht="15" hidden="false" customHeight="false" outlineLevel="0" collapsed="false">
      <c r="A10637" s="4" t="s">
        <v>458</v>
      </c>
      <c r="B10637" s="36" t="s">
        <v>450</v>
      </c>
      <c r="C10637" s="34" t="n">
        <f aca="false">'Market Sizing'!$C$19*Assumptions!$E$10*Assumptions!$E$11*(1-Assumptions!$E$12)</f>
        <v>2060.77303936</v>
      </c>
    </row>
    <row r="10638" customFormat="false" ht="15" hidden="false" customHeight="false" outlineLevel="0" collapsed="false">
      <c r="A10638" s="4" t="s">
        <v>459</v>
      </c>
      <c r="B10638" s="36" t="s">
        <v>450</v>
      </c>
      <c r="C10638" s="34" t="n">
        <f aca="false">'Market Sizing'!$D$19*Assumptions!$E$10*Assumptions!$E$11*(1-Assumptions!$E$12)</f>
        <v>428.47616</v>
      </c>
    </row>
    <row r="10639" customFormat="false" ht="15" hidden="false" customHeight="false" outlineLevel="0" collapsed="false">
      <c r="A10639" s="4" t="s">
        <v>460</v>
      </c>
      <c r="B10639" s="36" t="s">
        <v>450</v>
      </c>
      <c r="C10639" s="34" t="n">
        <f aca="false">'Market Sizing'!$E$19*Assumptions!$E$10*Assumptions!$E$11*(1-Assumptions!$E$12)</f>
        <v>79.52448</v>
      </c>
    </row>
    <row r="10640" customFormat="false" ht="15" hidden="false" customHeight="false" outlineLevel="0" collapsed="false">
      <c r="A10640" s="4" t="s">
        <v>461</v>
      </c>
      <c r="B10640" s="36"/>
      <c r="C10640" s="34" t="n">
        <f aca="false">$C$10637+$C$10638+$C$10639</f>
        <v>2568.77367936</v>
      </c>
    </row>
    <row r="10641" customFormat="false" ht="15" hidden="false" customHeight="false" outlineLevel="0" collapsed="false">
      <c r="A10641" s="4" t="s">
        <v>462</v>
      </c>
      <c r="B10641" s="36" t="s">
        <v>463</v>
      </c>
      <c r="C10641" s="33" t="n">
        <f aca="false">MAX((Assumptions!$E$51+Assumptions!$E$53)*12,(((('Market Sizing'!$E$25*Assumptions!$E$41*Assumptions!$E$42*Assumptions!$E$43)*Assumptions!$E$44)*Assumptions!$E$45*Assumptions!$E$46+('Market Sizing'!$E$25*Assumptions!$E$41*Assumptions!$E$42*Assumptions!$E$43)*Assumptions!$E$47+('Market Sizing'!$E$25*Assumptions!$E$41*Assumptions!$E$42*Assumptions!$E$43)*Assumptions!$E$48*Assumptions!$E$49)*(Assumptions!$E$51*12/Assumptions!$E$52)+((('Market Sizing'!$E$25*Assumptions!$E$41*Assumptions!$E$42*Assumptions!$E$43)*Assumptions!$E$44)*Assumptions!$E$45+('Market Sizing'!$E$25*Assumptions!$E$41*Assumptions!$E$42*Assumptions!$E$43)+('Market Sizing'!$E$25*Assumptions!$E$41*Assumptions!$E$42*Assumptions!$E$43)*Assumptions!$E$48)*Assumptions!$E$50*(Assumptions!$E$53*12/Assumptions!$E$54)))</f>
        <v>5352</v>
      </c>
    </row>
    <row r="10642" customFormat="false" ht="15" hidden="false" customHeight="false" outlineLevel="0" collapsed="false">
      <c r="A10642" s="4" t="s">
        <v>464</v>
      </c>
      <c r="B10642" s="36" t="s">
        <v>463</v>
      </c>
      <c r="C10642" s="33" t="n">
        <f aca="false">MAX((Assumptions!$E$51+Assumptions!$E$53)*12,(((('Market Sizing'!$E$26*Assumptions!$E$41*Assumptions!$E$42*Assumptions!$E$43)*Assumptions!$E$44)*Assumptions!$E$45*Assumptions!$E$46+('Market Sizing'!$E$26*Assumptions!$E$41*Assumptions!$E$42*Assumptions!$E$43)*Assumptions!$E$47+('Market Sizing'!$E$26*Assumptions!$E$41*Assumptions!$E$42*Assumptions!$E$43)*Assumptions!$E$48*Assumptions!$E$49)*(Assumptions!$E$51*12/Assumptions!$E$52)+((('Market Sizing'!$E$26*Assumptions!$E$41*Assumptions!$E$42*Assumptions!$E$43)*Assumptions!$E$44)*Assumptions!$E$45+('Market Sizing'!$E$26*Assumptions!$E$41*Assumptions!$E$42*Assumptions!$E$43)+('Market Sizing'!$E$26*Assumptions!$E$41*Assumptions!$E$42*Assumptions!$E$43)*Assumptions!$E$48)*Assumptions!$E$50*(Assumptions!$E$53*12/Assumptions!$E$54)))</f>
        <v>9766.72012875208</v>
      </c>
    </row>
    <row r="10643" customFormat="false" ht="15" hidden="false" customHeight="false" outlineLevel="0" collapsed="false">
      <c r="A10643" s="4" t="s">
        <v>465</v>
      </c>
      <c r="B10643" s="36" t="s">
        <v>463</v>
      </c>
      <c r="C10643" s="33" t="n">
        <f aca="false">MAX(Assumptions!$E$55*(Assumptions!$E$51*12/Assumptions!$E$52)+Assumptions!$E$56*(Assumptions!$E$53*12/Assumptions!$E$54),(((('Market Sizing'!$E$27*Assumptions!$E$41*Assumptions!$E$42*Assumptions!$E$43)*Assumptions!$E$44)*Assumptions!$E$45*Assumptions!$E$46+('Market Sizing'!$E$27*Assumptions!$E$41*Assumptions!$E$42*Assumptions!$E$43)*Assumptions!$E$47+('Market Sizing'!$E$27*Assumptions!$E$41*Assumptions!$E$42*Assumptions!$E$43)*Assumptions!$E$48*Assumptions!$E$49)*(Assumptions!$E$51*12/Assumptions!$E$52)+((('Market Sizing'!$E$27*Assumptions!$E$41*Assumptions!$E$42*Assumptions!$E$43)*Assumptions!$E$44)*Assumptions!$E$45+('Market Sizing'!$E$27*Assumptions!$E$41*Assumptions!$E$42*Assumptions!$E$43)+('Market Sizing'!$E$27*Assumptions!$E$41*Assumptions!$E$42*Assumptions!$E$43)*Assumptions!$E$48)*Assumptions!$E$50*(Assumptions!$E$53*12/Assumptions!$E$54)))*(1-Assumptions!$E$57)</f>
        <v>61778.2562194386</v>
      </c>
    </row>
    <row r="10644" customFormat="false" ht="23.85" hidden="false" customHeight="false" outlineLevel="0" collapsed="false">
      <c r="A10644" s="4" t="s">
        <v>466</v>
      </c>
      <c r="B10644" s="36" t="s">
        <v>467</v>
      </c>
      <c r="C10644" s="37" t="n">
        <f aca="false">Assumptions!$E$17*Assumptions!$E$106</f>
        <v>0.4</v>
      </c>
    </row>
    <row r="10645" customFormat="false" ht="23.85" hidden="false" customHeight="false" outlineLevel="0" collapsed="false">
      <c r="A10645" s="4" t="s">
        <v>468</v>
      </c>
      <c r="B10645" s="36" t="s">
        <v>469</v>
      </c>
      <c r="C10645" s="33" t="n">
        <f aca="false">Assumptions!$E$68/Assumptions!$E$69</f>
        <v>285714.285714286</v>
      </c>
    </row>
    <row r="10646" customFormat="false" ht="23.85" hidden="false" customHeight="false" outlineLevel="0" collapsed="false">
      <c r="A10646" s="4" t="s">
        <v>470</v>
      </c>
      <c r="B10646" s="36" t="s">
        <v>471</v>
      </c>
      <c r="C10646" s="33" t="n">
        <f aca="false">Assumptions!$E$66*Assumptions!$E$67/4</f>
        <v>153125</v>
      </c>
    </row>
    <row r="10647" customFormat="false" ht="15" hidden="false" customHeight="false" outlineLevel="0" collapsed="false">
      <c r="A10647" s="4" t="s">
        <v>472</v>
      </c>
      <c r="B10647" s="36"/>
      <c r="C10647" s="38" t="n">
        <f aca="false">$C$10645/Assumptions!$E$66/Assumptions!$E$67</f>
        <v>0.466472303206997</v>
      </c>
    </row>
    <row r="10648" customFormat="false" ht="15" hidden="false" customHeight="false" outlineLevel="0" collapsed="false">
      <c r="A10648" s="4" t="s">
        <v>473</v>
      </c>
      <c r="B10648" s="36"/>
      <c r="C10648" s="33" t="n">
        <f aca="false">MAX(0,Assumptions!$E$103-Assumptions!$E$78)</f>
        <v>35000</v>
      </c>
    </row>
    <row r="10649" customFormat="false" ht="15" hidden="false" customHeight="false" outlineLevel="0" collapsed="false">
      <c r="A10649" s="35" t="s">
        <v>474</v>
      </c>
      <c r="B10649" s="35" t="s">
        <v>444</v>
      </c>
      <c r="C10649" s="6" t="s">
        <v>354</v>
      </c>
      <c r="D10649" s="6" t="s">
        <v>355</v>
      </c>
      <c r="E10649" s="6" t="s">
        <v>356</v>
      </c>
      <c r="F10649" s="6" t="s">
        <v>357</v>
      </c>
      <c r="G10649" s="6" t="s">
        <v>358</v>
      </c>
      <c r="H10649" s="6" t="s">
        <v>359</v>
      </c>
      <c r="I10649" s="6" t="s">
        <v>360</v>
      </c>
      <c r="J10649" s="6" t="s">
        <v>361</v>
      </c>
      <c r="K10649" s="6" t="s">
        <v>362</v>
      </c>
      <c r="L10649" s="6" t="s">
        <v>363</v>
      </c>
      <c r="M10649" s="6" t="s">
        <v>364</v>
      </c>
      <c r="N10649" s="6" t="s">
        <v>365</v>
      </c>
      <c r="P10649" s="6" t="s">
        <v>445</v>
      </c>
      <c r="Q10649" s="6" t="s">
        <v>446</v>
      </c>
      <c r="R10649" s="6" t="s">
        <v>447</v>
      </c>
      <c r="S10649" s="6" t="s">
        <v>448</v>
      </c>
    </row>
    <row r="10650" customFormat="false" ht="15" hidden="false" customHeight="false" outlineLevel="0" collapsed="false">
      <c r="A10650" s="4" t="s">
        <v>475</v>
      </c>
      <c r="B10650" s="36" t="s">
        <v>133</v>
      </c>
      <c r="C10650" s="39" t="n">
        <v>1</v>
      </c>
      <c r="D10650" s="39" t="n">
        <v>2</v>
      </c>
      <c r="E10650" s="39" t="n">
        <v>3</v>
      </c>
      <c r="F10650" s="39" t="n">
        <v>4</v>
      </c>
      <c r="G10650" s="39" t="n">
        <v>5</v>
      </c>
      <c r="H10650" s="39" t="n">
        <v>6</v>
      </c>
      <c r="I10650" s="39" t="n">
        <v>7</v>
      </c>
      <c r="J10650" s="39" t="n">
        <v>8</v>
      </c>
      <c r="K10650" s="39" t="n">
        <v>9</v>
      </c>
      <c r="L10650" s="39" t="n">
        <v>10</v>
      </c>
      <c r="M10650" s="39" t="n">
        <v>11</v>
      </c>
      <c r="N10650" s="39" t="n">
        <v>12</v>
      </c>
      <c r="P10650" s="40"/>
      <c r="Q10650" s="40"/>
      <c r="R10650" s="40"/>
      <c r="S10650" s="41"/>
    </row>
    <row r="10651" customFormat="false" ht="15" hidden="false" customHeight="false" outlineLevel="0" collapsed="false">
      <c r="A10651" s="4" t="s">
        <v>476</v>
      </c>
      <c r="B10651" s="36" t="s">
        <v>343</v>
      </c>
      <c r="C10651" s="39" t="n">
        <f aca="false">IF(C10650&lt;=Assumptions!$E$84,1,0)</f>
        <v>1</v>
      </c>
      <c r="D10651" s="39" t="n">
        <f aca="false">IF(D10650&lt;=Assumptions!$E$84,1,0)</f>
        <v>1</v>
      </c>
      <c r="E10651" s="39" t="n">
        <f aca="false">IF(E10650&lt;=Assumptions!$E$84,1,0)</f>
        <v>1</v>
      </c>
      <c r="F10651" s="39" t="n">
        <f aca="false">IF(F10650&lt;=Assumptions!$E$84,1,0)</f>
        <v>1</v>
      </c>
      <c r="G10651" s="39" t="n">
        <f aca="false">IF(G10650&lt;=Assumptions!$E$84,1,0)</f>
        <v>1</v>
      </c>
      <c r="H10651" s="39" t="n">
        <f aca="false">IF(H10650&lt;=Assumptions!$E$84,1,0)</f>
        <v>1</v>
      </c>
      <c r="I10651" s="39" t="n">
        <f aca="false">IF(I10650&lt;=Assumptions!$E$84,1,0)</f>
        <v>1</v>
      </c>
      <c r="J10651" s="39" t="n">
        <f aca="false">IF(J10650&lt;=Assumptions!$E$84,1,0)</f>
        <v>1</v>
      </c>
      <c r="K10651" s="39" t="n">
        <f aca="false">IF(K10650&lt;=Assumptions!$E$84,1,0)</f>
        <v>1</v>
      </c>
      <c r="L10651" s="39" t="n">
        <f aca="false">IF(L10650&lt;=Assumptions!$E$84,1,0)</f>
        <v>1</v>
      </c>
      <c r="M10651" s="39" t="n">
        <f aca="false">IF(M10650&lt;=Assumptions!$E$84,1,0)</f>
        <v>1</v>
      </c>
      <c r="N10651" s="39" t="n">
        <f aca="false">IF(N10650&lt;=Assumptions!$E$84,1,0)</f>
        <v>1</v>
      </c>
      <c r="P10651" s="40"/>
      <c r="Q10651" s="40"/>
      <c r="R10651" s="40"/>
      <c r="S10651" s="41"/>
    </row>
    <row r="10652" customFormat="false" ht="15" hidden="false" customHeight="false" outlineLevel="0" collapsed="false">
      <c r="A10652" s="4" t="s">
        <v>477</v>
      </c>
      <c r="B10652" s="36" t="s">
        <v>478</v>
      </c>
      <c r="C10652" s="42" t="n">
        <f aca="false">IF(C10650=Assumptions!$E$13,0.5,IF(C10650&gt;Assumptions!$E$13,1,0))</f>
        <v>0.5</v>
      </c>
      <c r="D10652" s="42" t="n">
        <f aca="false">IF(D10650=Assumptions!$E$13,0.5,IF(D10650&gt;Assumptions!$E$13,1,0))</f>
        <v>1</v>
      </c>
      <c r="E10652" s="42" t="n">
        <f aca="false">IF(E10650=Assumptions!$E$13,0.5,IF(E10650&gt;Assumptions!$E$13,1,0))</f>
        <v>1</v>
      </c>
      <c r="F10652" s="42" t="n">
        <f aca="false">IF(F10650=Assumptions!$E$13,0.5,IF(F10650&gt;Assumptions!$E$13,1,0))</f>
        <v>1</v>
      </c>
      <c r="G10652" s="42" t="n">
        <f aca="false">IF(G10650=Assumptions!$E$13,0.5,IF(G10650&gt;Assumptions!$E$13,1,0))</f>
        <v>1</v>
      </c>
      <c r="H10652" s="42" t="n">
        <f aca="false">IF(H10650=Assumptions!$E$13,0.5,IF(H10650&gt;Assumptions!$E$13,1,0))</f>
        <v>1</v>
      </c>
      <c r="I10652" s="42" t="n">
        <f aca="false">IF(I10650=Assumptions!$E$13,0.5,IF(I10650&gt;Assumptions!$E$13,1,0))</f>
        <v>1</v>
      </c>
      <c r="J10652" s="42" t="n">
        <f aca="false">IF(J10650=Assumptions!$E$13,0.5,IF(J10650&gt;Assumptions!$E$13,1,0))</f>
        <v>1</v>
      </c>
      <c r="K10652" s="42" t="n">
        <f aca="false">IF(K10650=Assumptions!$E$13,0.5,IF(K10650&gt;Assumptions!$E$13,1,0))</f>
        <v>1</v>
      </c>
      <c r="L10652" s="42" t="n">
        <f aca="false">IF(L10650=Assumptions!$E$13,0.5,IF(L10650&gt;Assumptions!$E$13,1,0))</f>
        <v>1</v>
      </c>
      <c r="M10652" s="42" t="n">
        <f aca="false">IF(M10650=Assumptions!$E$13,0.5,IF(M10650&gt;Assumptions!$E$13,1,0))</f>
        <v>1</v>
      </c>
      <c r="N10652" s="42" t="n">
        <f aca="false">IF(N10650=Assumptions!$E$13,0.5,IF(N10650&gt;Assumptions!$E$13,1,0))</f>
        <v>1</v>
      </c>
      <c r="P10652" s="43"/>
      <c r="Q10652" s="43"/>
      <c r="R10652" s="43"/>
      <c r="S10652" s="44"/>
    </row>
    <row r="10653" customFormat="false" ht="15" hidden="false" customHeight="false" outlineLevel="0" collapsed="false">
      <c r="A10653" s="4" t="s">
        <v>479</v>
      </c>
      <c r="B10653" s="36" t="s">
        <v>478</v>
      </c>
      <c r="C10653" s="42" t="n">
        <f aca="false">IF(C10650=Assumptions!$E$14,0.5,IF(C10650&gt;Assumptions!$E$14,1,0))</f>
        <v>0</v>
      </c>
      <c r="D10653" s="42" t="n">
        <f aca="false">IF(D10650=Assumptions!$E$14,0.5,IF(D10650&gt;Assumptions!$E$14,1,0))</f>
        <v>0</v>
      </c>
      <c r="E10653" s="42" t="n">
        <f aca="false">IF(E10650=Assumptions!$E$14,0.5,IF(E10650&gt;Assumptions!$E$14,1,0))</f>
        <v>0</v>
      </c>
      <c r="F10653" s="42" t="n">
        <f aca="false">IF(F10650=Assumptions!$E$14,0.5,IF(F10650&gt;Assumptions!$E$14,1,0))</f>
        <v>0</v>
      </c>
      <c r="G10653" s="42" t="n">
        <f aca="false">IF(G10650=Assumptions!$E$14,0.5,IF(G10650&gt;Assumptions!$E$14,1,0))</f>
        <v>0.5</v>
      </c>
      <c r="H10653" s="42" t="n">
        <f aca="false">IF(H10650=Assumptions!$E$14,0.5,IF(H10650&gt;Assumptions!$E$14,1,0))</f>
        <v>1</v>
      </c>
      <c r="I10653" s="42" t="n">
        <f aca="false">IF(I10650=Assumptions!$E$14,0.5,IF(I10650&gt;Assumptions!$E$14,1,0))</f>
        <v>1</v>
      </c>
      <c r="J10653" s="42" t="n">
        <f aca="false">IF(J10650=Assumptions!$E$14,0.5,IF(J10650&gt;Assumptions!$E$14,1,0))</f>
        <v>1</v>
      </c>
      <c r="K10653" s="42" t="n">
        <f aca="false">IF(K10650=Assumptions!$E$14,0.5,IF(K10650&gt;Assumptions!$E$14,1,0))</f>
        <v>1</v>
      </c>
      <c r="L10653" s="42" t="n">
        <f aca="false">IF(L10650=Assumptions!$E$14,0.5,IF(L10650&gt;Assumptions!$E$14,1,0))</f>
        <v>1</v>
      </c>
      <c r="M10653" s="42" t="n">
        <f aca="false">IF(M10650=Assumptions!$E$14,0.5,IF(M10650&gt;Assumptions!$E$14,1,0))</f>
        <v>1</v>
      </c>
      <c r="N10653" s="42" t="n">
        <f aca="false">IF(N10650=Assumptions!$E$14,0.5,IF(N10650&gt;Assumptions!$E$14,1,0))</f>
        <v>1</v>
      </c>
      <c r="P10653" s="43"/>
      <c r="Q10653" s="43"/>
      <c r="R10653" s="43"/>
      <c r="S10653" s="44"/>
    </row>
    <row r="10654" customFormat="false" ht="15" hidden="false" customHeight="false" outlineLevel="0" collapsed="false">
      <c r="A10654" s="4" t="s">
        <v>480</v>
      </c>
      <c r="B10654" s="36" t="s">
        <v>478</v>
      </c>
      <c r="C10654" s="42" t="n">
        <f aca="false">IF(C10650=Assumptions!$E$15,0.5,IF(C10650&gt;Assumptions!$E$15,1,0))</f>
        <v>0</v>
      </c>
      <c r="D10654" s="42" t="n">
        <f aca="false">IF(D10650=Assumptions!$E$15,0.5,IF(D10650&gt;Assumptions!$E$15,1,0))</f>
        <v>0</v>
      </c>
      <c r="E10654" s="42" t="n">
        <f aca="false">IF(E10650=Assumptions!$E$15,0.5,IF(E10650&gt;Assumptions!$E$15,1,0))</f>
        <v>0</v>
      </c>
      <c r="F10654" s="42" t="n">
        <f aca="false">IF(F10650=Assumptions!$E$15,0.5,IF(F10650&gt;Assumptions!$E$15,1,0))</f>
        <v>0</v>
      </c>
      <c r="G10654" s="42" t="n">
        <f aca="false">IF(G10650=Assumptions!$E$15,0.5,IF(G10650&gt;Assumptions!$E$15,1,0))</f>
        <v>0</v>
      </c>
      <c r="H10654" s="42" t="n">
        <f aca="false">IF(H10650=Assumptions!$E$15,0.5,IF(H10650&gt;Assumptions!$E$15,1,0))</f>
        <v>0</v>
      </c>
      <c r="I10654" s="42" t="n">
        <f aca="false">IF(I10650=Assumptions!$E$15,0.5,IF(I10650&gt;Assumptions!$E$15,1,0))</f>
        <v>0.5</v>
      </c>
      <c r="J10654" s="42" t="n">
        <f aca="false">IF(J10650=Assumptions!$E$15,0.5,IF(J10650&gt;Assumptions!$E$15,1,0))</f>
        <v>1</v>
      </c>
      <c r="K10654" s="42" t="n">
        <f aca="false">IF(K10650=Assumptions!$E$15,0.5,IF(K10650&gt;Assumptions!$E$15,1,0))</f>
        <v>1</v>
      </c>
      <c r="L10654" s="42" t="n">
        <f aca="false">IF(L10650=Assumptions!$E$15,0.5,IF(L10650&gt;Assumptions!$E$15,1,0))</f>
        <v>1</v>
      </c>
      <c r="M10654" s="42" t="n">
        <f aca="false">IF(M10650=Assumptions!$E$15,0.5,IF(M10650&gt;Assumptions!$E$15,1,0))</f>
        <v>1</v>
      </c>
      <c r="N10654" s="42" t="n">
        <f aca="false">IF(N10650=Assumptions!$E$15,0.5,IF(N10650&gt;Assumptions!$E$15,1,0))</f>
        <v>1</v>
      </c>
      <c r="P10654" s="43"/>
      <c r="Q10654" s="43"/>
      <c r="R10654" s="43"/>
      <c r="S10654" s="44"/>
    </row>
    <row r="10655" customFormat="false" ht="15" hidden="false" customHeight="false" outlineLevel="0" collapsed="false">
      <c r="A10655" s="4" t="s">
        <v>481</v>
      </c>
      <c r="B10655" s="36" t="s">
        <v>478</v>
      </c>
      <c r="C10655" s="45" t="n">
        <f aca="false">Assumptions!$E$21^(MAX(0,C10650-Assumptions!$E$13)/4)</f>
        <v>1</v>
      </c>
      <c r="D10655" s="45" t="n">
        <f aca="false">Assumptions!$E$21^(MAX(0,D10650-Assumptions!$E$13)/4)</f>
        <v>0.9306048591021</v>
      </c>
      <c r="E10655" s="45" t="n">
        <f aca="false">Assumptions!$E$21^(MAX(0,E10650-Assumptions!$E$13)/4)</f>
        <v>0.866025403784439</v>
      </c>
      <c r="F10655" s="45" t="n">
        <f aca="false">Assumptions!$E$21^(MAX(0,F10650-Assumptions!$E$13)/4)</f>
        <v>0.805927448867656</v>
      </c>
      <c r="G10655" s="45" t="n">
        <f aca="false">Assumptions!$E$21^(MAX(0,G10650-Assumptions!$E$13)/4)</f>
        <v>0.75</v>
      </c>
      <c r="H10655" s="45" t="n">
        <f aca="false">Assumptions!$E$21^(MAX(0,H10650-Assumptions!$E$13)/4)</f>
        <v>0.697953644326575</v>
      </c>
      <c r="I10655" s="45" t="n">
        <f aca="false">Assumptions!$E$21^(MAX(0,I10650-Assumptions!$E$13)/4)</f>
        <v>0.649519052838329</v>
      </c>
      <c r="J10655" s="45" t="n">
        <f aca="false">Assumptions!$E$21^(MAX(0,J10650-Assumptions!$E$13)/4)</f>
        <v>0.604445586650742</v>
      </c>
      <c r="K10655" s="45" t="n">
        <f aca="false">Assumptions!$E$21^(MAX(0,K10650-Assumptions!$E$13)/4)</f>
        <v>0.5625</v>
      </c>
      <c r="L10655" s="45" t="n">
        <f aca="false">Assumptions!$E$21^(MAX(0,L10650-Assumptions!$E$13)/4)</f>
        <v>0.523465233244931</v>
      </c>
      <c r="M10655" s="45" t="n">
        <f aca="false">Assumptions!$E$21^(MAX(0,M10650-Assumptions!$E$13)/4)</f>
        <v>0.487139289628747</v>
      </c>
      <c r="N10655" s="45" t="n">
        <f aca="false">Assumptions!$E$21^(MAX(0,N10650-Assumptions!$E$13)/4)</f>
        <v>0.453334189988057</v>
      </c>
      <c r="P10655" s="46"/>
      <c r="Q10655" s="46"/>
      <c r="R10655" s="46"/>
      <c r="S10655" s="47"/>
    </row>
    <row r="10656" customFormat="false" ht="15" hidden="false" customHeight="false" outlineLevel="0" collapsed="false">
      <c r="A10656" s="4" t="s">
        <v>482</v>
      </c>
      <c r="B10656" s="36" t="s">
        <v>478</v>
      </c>
      <c r="C10656" s="45" t="n">
        <f aca="false">Assumptions!$E$21^(MAX(0,C10650-Assumptions!$E$14)/4)</f>
        <v>1</v>
      </c>
      <c r="D10656" s="45" t="n">
        <f aca="false">Assumptions!$E$21^(MAX(0,D10650-Assumptions!$E$14)/4)</f>
        <v>1</v>
      </c>
      <c r="E10656" s="45" t="n">
        <f aca="false">Assumptions!$E$21^(MAX(0,E10650-Assumptions!$E$14)/4)</f>
        <v>1</v>
      </c>
      <c r="F10656" s="45" t="n">
        <f aca="false">Assumptions!$E$21^(MAX(0,F10650-Assumptions!$E$14)/4)</f>
        <v>1</v>
      </c>
      <c r="G10656" s="45" t="n">
        <f aca="false">Assumptions!$E$21^(MAX(0,G10650-Assumptions!$E$14)/4)</f>
        <v>1</v>
      </c>
      <c r="H10656" s="45" t="n">
        <f aca="false">Assumptions!$E$21^(MAX(0,H10650-Assumptions!$E$14)/4)</f>
        <v>0.9306048591021</v>
      </c>
      <c r="I10656" s="45" t="n">
        <f aca="false">Assumptions!$E$21^(MAX(0,I10650-Assumptions!$E$14)/4)</f>
        <v>0.866025403784439</v>
      </c>
      <c r="J10656" s="45" t="n">
        <f aca="false">Assumptions!$E$21^(MAX(0,J10650-Assumptions!$E$14)/4)</f>
        <v>0.805927448867656</v>
      </c>
      <c r="K10656" s="45" t="n">
        <f aca="false">Assumptions!$E$21^(MAX(0,K10650-Assumptions!$E$14)/4)</f>
        <v>0.75</v>
      </c>
      <c r="L10656" s="45" t="n">
        <f aca="false">Assumptions!$E$21^(MAX(0,L10650-Assumptions!$E$14)/4)</f>
        <v>0.697953644326575</v>
      </c>
      <c r="M10656" s="45" t="n">
        <f aca="false">Assumptions!$E$21^(MAX(0,M10650-Assumptions!$E$14)/4)</f>
        <v>0.649519052838329</v>
      </c>
      <c r="N10656" s="45" t="n">
        <f aca="false">Assumptions!$E$21^(MAX(0,N10650-Assumptions!$E$14)/4)</f>
        <v>0.604445586650742</v>
      </c>
      <c r="P10656" s="46"/>
      <c r="Q10656" s="46"/>
      <c r="R10656" s="46"/>
      <c r="S10656" s="47"/>
    </row>
    <row r="10657" customFormat="false" ht="15" hidden="false" customHeight="false" outlineLevel="0" collapsed="false">
      <c r="A10657" s="4" t="s">
        <v>483</v>
      </c>
      <c r="B10657" s="36" t="s">
        <v>478</v>
      </c>
      <c r="C10657" s="45" t="n">
        <f aca="false">Assumptions!$E$21^(MAX(0,C10650-Assumptions!$E$15)/4)</f>
        <v>1</v>
      </c>
      <c r="D10657" s="45" t="n">
        <f aca="false">Assumptions!$E$21^(MAX(0,D10650-Assumptions!$E$15)/4)</f>
        <v>1</v>
      </c>
      <c r="E10657" s="45" t="n">
        <f aca="false">Assumptions!$E$21^(MAX(0,E10650-Assumptions!$E$15)/4)</f>
        <v>1</v>
      </c>
      <c r="F10657" s="45" t="n">
        <f aca="false">Assumptions!$E$21^(MAX(0,F10650-Assumptions!$E$15)/4)</f>
        <v>1</v>
      </c>
      <c r="G10657" s="45" t="n">
        <f aca="false">Assumptions!$E$21^(MAX(0,G10650-Assumptions!$E$15)/4)</f>
        <v>1</v>
      </c>
      <c r="H10657" s="45" t="n">
        <f aca="false">Assumptions!$E$21^(MAX(0,H10650-Assumptions!$E$15)/4)</f>
        <v>1</v>
      </c>
      <c r="I10657" s="45" t="n">
        <f aca="false">Assumptions!$E$21^(MAX(0,I10650-Assumptions!$E$15)/4)</f>
        <v>1</v>
      </c>
      <c r="J10657" s="45" t="n">
        <f aca="false">Assumptions!$E$21^(MAX(0,J10650-Assumptions!$E$15)/4)</f>
        <v>0.9306048591021</v>
      </c>
      <c r="K10657" s="45" t="n">
        <f aca="false">Assumptions!$E$21^(MAX(0,K10650-Assumptions!$E$15)/4)</f>
        <v>0.866025403784439</v>
      </c>
      <c r="L10657" s="45" t="n">
        <f aca="false">Assumptions!$E$21^(MAX(0,L10650-Assumptions!$E$15)/4)</f>
        <v>0.805927448867656</v>
      </c>
      <c r="M10657" s="45" t="n">
        <f aca="false">Assumptions!$E$21^(MAX(0,M10650-Assumptions!$E$15)/4)</f>
        <v>0.75</v>
      </c>
      <c r="N10657" s="45" t="n">
        <f aca="false">Assumptions!$E$21^(MAX(0,N10650-Assumptions!$E$15)/4)</f>
        <v>0.697953644326575</v>
      </c>
      <c r="P10657" s="46"/>
      <c r="Q10657" s="46"/>
      <c r="R10657" s="46"/>
      <c r="S10657" s="47"/>
    </row>
    <row r="10658" customFormat="false" ht="15" hidden="false" customHeight="false" outlineLevel="0" collapsed="false">
      <c r="A10658" s="4" t="s">
        <v>484</v>
      </c>
      <c r="B10658" s="36" t="s">
        <v>485</v>
      </c>
      <c r="C10658" s="39" t="n">
        <f aca="false">$C$10629*C10652+$C$10633*C10653+$C$10637*C10654</f>
        <v>421.51972352</v>
      </c>
      <c r="D10658" s="39" t="n">
        <f aca="false">$C$10629*D10652+$C$10633*D10653+$C$10637*D10654</f>
        <v>843.03944704</v>
      </c>
      <c r="E10658" s="39" t="n">
        <f aca="false">$C$10629*E10652+$C$10633*E10653+$C$10637*E10654</f>
        <v>843.03944704</v>
      </c>
      <c r="F10658" s="39" t="n">
        <f aca="false">$C$10629*F10652+$C$10633*F10653+$C$10637*F10654</f>
        <v>843.03944704</v>
      </c>
      <c r="G10658" s="39" t="n">
        <f aca="false">$C$10629*G10652+$C$10633*G10653+$C$10637*G10654</f>
        <v>1149.32798176</v>
      </c>
      <c r="H10658" s="39" t="n">
        <f aca="false">$C$10629*H10652+$C$10633*H10653+$C$10637*H10654</f>
        <v>1455.61651648</v>
      </c>
      <c r="I10658" s="39" t="n">
        <f aca="false">$C$10629*I10652+$C$10633*I10653+$C$10637*I10654</f>
        <v>2486.00303616</v>
      </c>
      <c r="J10658" s="39" t="n">
        <f aca="false">$C$10629*J10652+$C$10633*J10653+$C$10637*J10654</f>
        <v>3516.38955584</v>
      </c>
      <c r="K10658" s="39" t="n">
        <f aca="false">$C$10629*K10652+$C$10633*K10653+$C$10637*K10654</f>
        <v>3516.38955584</v>
      </c>
      <c r="L10658" s="39" t="n">
        <f aca="false">$C$10629*L10652+$C$10633*L10653+$C$10637*L10654</f>
        <v>3516.38955584</v>
      </c>
      <c r="M10658" s="39" t="n">
        <f aca="false">$C$10629*M10652+$C$10633*M10653+$C$10637*M10654</f>
        <v>3516.38955584</v>
      </c>
      <c r="N10658" s="39" t="n">
        <f aca="false">$C$10629*N10652+$C$10633*N10653+$C$10637*N10654</f>
        <v>3516.38955584</v>
      </c>
      <c r="P10658" s="40" t="n">
        <f aca="false">F10658</f>
        <v>843.03944704</v>
      </c>
      <c r="Q10658" s="40" t="n">
        <f aca="false">J10658</f>
        <v>3516.38955584</v>
      </c>
      <c r="R10658" s="40" t="n">
        <f aca="false">N10658</f>
        <v>3516.38955584</v>
      </c>
      <c r="S10658" s="41" t="n">
        <f aca="false">R10658</f>
        <v>3516.38955584</v>
      </c>
    </row>
    <row r="10659" customFormat="false" ht="15" hidden="false" customHeight="false" outlineLevel="0" collapsed="false">
      <c r="A10659" s="4" t="s">
        <v>486</v>
      </c>
      <c r="B10659" s="36" t="s">
        <v>485</v>
      </c>
      <c r="C10659" s="39" t="n">
        <f aca="false">$C$10630*C10652+$C$10634*C10653+$C$10638*C10654</f>
        <v>105.59808</v>
      </c>
      <c r="D10659" s="39" t="n">
        <f aca="false">$C$10630*D10652+$C$10634*D10653+$C$10638*D10654</f>
        <v>211.19616</v>
      </c>
      <c r="E10659" s="39" t="n">
        <f aca="false">$C$10630*E10652+$C$10634*E10653+$C$10638*E10654</f>
        <v>211.19616</v>
      </c>
      <c r="F10659" s="39" t="n">
        <f aca="false">$C$10630*F10652+$C$10634*F10653+$C$10638*F10654</f>
        <v>211.19616</v>
      </c>
      <c r="G10659" s="39" t="n">
        <f aca="false">$C$10630*G10652+$C$10634*G10653+$C$10638*G10654</f>
        <v>282.24672</v>
      </c>
      <c r="H10659" s="39" t="n">
        <f aca="false">$C$10630*H10652+$C$10634*H10653+$C$10638*H10654</f>
        <v>353.29728</v>
      </c>
      <c r="I10659" s="39" t="n">
        <f aca="false">$C$10630*I10652+$C$10634*I10653+$C$10638*I10654</f>
        <v>567.53536</v>
      </c>
      <c r="J10659" s="39" t="n">
        <f aca="false">$C$10630*J10652+$C$10634*J10653+$C$10638*J10654</f>
        <v>781.77344</v>
      </c>
      <c r="K10659" s="39" t="n">
        <f aca="false">$C$10630*K10652+$C$10634*K10653+$C$10638*K10654</f>
        <v>781.77344</v>
      </c>
      <c r="L10659" s="39" t="n">
        <f aca="false">$C$10630*L10652+$C$10634*L10653+$C$10638*L10654</f>
        <v>781.77344</v>
      </c>
      <c r="M10659" s="39" t="n">
        <f aca="false">$C$10630*M10652+$C$10634*M10653+$C$10638*M10654</f>
        <v>781.77344</v>
      </c>
      <c r="N10659" s="39" t="n">
        <f aca="false">$C$10630*N10652+$C$10634*N10653+$C$10638*N10654</f>
        <v>781.77344</v>
      </c>
      <c r="P10659" s="40" t="n">
        <f aca="false">F10659</f>
        <v>211.19616</v>
      </c>
      <c r="Q10659" s="40" t="n">
        <f aca="false">J10659</f>
        <v>781.77344</v>
      </c>
      <c r="R10659" s="40" t="n">
        <f aca="false">N10659</f>
        <v>781.77344</v>
      </c>
      <c r="S10659" s="41" t="n">
        <f aca="false">R10659</f>
        <v>781.77344</v>
      </c>
    </row>
    <row r="10660" customFormat="false" ht="15" hidden="false" customHeight="false" outlineLevel="0" collapsed="false">
      <c r="A10660" s="4" t="s">
        <v>487</v>
      </c>
      <c r="B10660" s="36" t="s">
        <v>485</v>
      </c>
      <c r="C10660" s="39" t="n">
        <f aca="false">$C$10631*C10652+$C$10635*C10653+$C$10639*C10654</f>
        <v>24.76992</v>
      </c>
      <c r="D10660" s="39" t="n">
        <f aca="false">$C$10631*D10652+$C$10635*D10653+$C$10639*D10654</f>
        <v>49.53984</v>
      </c>
      <c r="E10660" s="39" t="n">
        <f aca="false">$C$10631*E10652+$C$10635*E10653+$C$10639*E10654</f>
        <v>49.53984</v>
      </c>
      <c r="F10660" s="39" t="n">
        <f aca="false">$C$10631*F10652+$C$10635*F10653+$C$10639*F10654</f>
        <v>49.53984</v>
      </c>
      <c r="G10660" s="39" t="n">
        <f aca="false">$C$10631*G10652+$C$10635*G10653+$C$10639*G10654</f>
        <v>61.9248</v>
      </c>
      <c r="H10660" s="39" t="n">
        <f aca="false">$C$10631*H10652+$C$10635*H10653+$C$10639*H10654</f>
        <v>74.30976</v>
      </c>
      <c r="I10660" s="39" t="n">
        <f aca="false">$C$10631*I10652+$C$10635*I10653+$C$10639*I10654</f>
        <v>114.072</v>
      </c>
      <c r="J10660" s="39" t="n">
        <f aca="false">$C$10631*J10652+$C$10635*J10653+$C$10639*J10654</f>
        <v>153.83424</v>
      </c>
      <c r="K10660" s="39" t="n">
        <f aca="false">$C$10631*K10652+$C$10635*K10653+$C$10639*K10654</f>
        <v>153.83424</v>
      </c>
      <c r="L10660" s="39" t="n">
        <f aca="false">$C$10631*L10652+$C$10635*L10653+$C$10639*L10654</f>
        <v>153.83424</v>
      </c>
      <c r="M10660" s="39" t="n">
        <f aca="false">$C$10631*M10652+$C$10635*M10653+$C$10639*M10654</f>
        <v>153.83424</v>
      </c>
      <c r="N10660" s="39" t="n">
        <f aca="false">$C$10631*N10652+$C$10635*N10653+$C$10639*N10654</f>
        <v>153.83424</v>
      </c>
      <c r="P10660" s="40" t="n">
        <f aca="false">F10660</f>
        <v>49.53984</v>
      </c>
      <c r="Q10660" s="40" t="n">
        <f aca="false">J10660</f>
        <v>153.83424</v>
      </c>
      <c r="R10660" s="40" t="n">
        <f aca="false">N10660</f>
        <v>153.83424</v>
      </c>
      <c r="S10660" s="41" t="n">
        <f aca="false">R10660</f>
        <v>153.83424</v>
      </c>
    </row>
    <row r="10661" customFormat="false" ht="15" hidden="false" customHeight="false" outlineLevel="0" collapsed="false">
      <c r="A10661" s="4" t="s">
        <v>488</v>
      </c>
      <c r="B10661" s="36" t="s">
        <v>485</v>
      </c>
      <c r="C10661" s="39" t="n">
        <f aca="false">C10658+C10659+C10660</f>
        <v>551.88772352</v>
      </c>
      <c r="D10661" s="39" t="n">
        <f aca="false">D10658+D10659+D10660</f>
        <v>1103.77544704</v>
      </c>
      <c r="E10661" s="39" t="n">
        <f aca="false">E10658+E10659+E10660</f>
        <v>1103.77544704</v>
      </c>
      <c r="F10661" s="39" t="n">
        <f aca="false">F10658+F10659+F10660</f>
        <v>1103.77544704</v>
      </c>
      <c r="G10661" s="39" t="n">
        <f aca="false">G10658+G10659+G10660</f>
        <v>1493.49950176</v>
      </c>
      <c r="H10661" s="39" t="n">
        <f aca="false">H10658+H10659+H10660</f>
        <v>1883.22355648</v>
      </c>
      <c r="I10661" s="39" t="n">
        <f aca="false">I10658+I10659+I10660</f>
        <v>3167.61039616</v>
      </c>
      <c r="J10661" s="39" t="n">
        <f aca="false">J10658+J10659+J10660</f>
        <v>4451.99723584</v>
      </c>
      <c r="K10661" s="39" t="n">
        <f aca="false">K10658+K10659+K10660</f>
        <v>4451.99723584</v>
      </c>
      <c r="L10661" s="39" t="n">
        <f aca="false">L10658+L10659+L10660</f>
        <v>4451.99723584</v>
      </c>
      <c r="M10661" s="39" t="n">
        <f aca="false">M10658+M10659+M10660</f>
        <v>4451.99723584</v>
      </c>
      <c r="N10661" s="39" t="n">
        <f aca="false">N10658+N10659+N10660</f>
        <v>4451.99723584</v>
      </c>
      <c r="P10661" s="40" t="n">
        <f aca="false">F10661</f>
        <v>1103.77544704</v>
      </c>
      <c r="Q10661" s="40" t="n">
        <f aca="false">J10661</f>
        <v>4451.99723584</v>
      </c>
      <c r="R10661" s="40" t="n">
        <f aca="false">N10661</f>
        <v>4451.99723584</v>
      </c>
      <c r="S10661" s="41" t="n">
        <f aca="false">R10661</f>
        <v>4451.99723584</v>
      </c>
    </row>
    <row r="10662" customFormat="false" ht="15" hidden="false" customHeight="false" outlineLevel="0" collapsed="false">
      <c r="A10662" s="4" t="s">
        <v>489</v>
      </c>
      <c r="B10662" s="36" t="s">
        <v>485</v>
      </c>
      <c r="C10662" s="39" t="n">
        <f aca="false">$C$10632*C10652*C10655+$C$10636*C10653*C10656+$C$10640*C10654*C10657</f>
        <v>551.88772352</v>
      </c>
      <c r="D10662" s="39" t="n">
        <f aca="false">$C$10632*D10652*D10655+$C$10636*D10653*D10656+$C$10640*D10654*D10657</f>
        <v>1027.17879437302</v>
      </c>
      <c r="E10662" s="39" t="n">
        <f aca="false">$C$10632*E10652*E10655+$C$10636*E10653*E10656+$C$10640*E10654*E10657</f>
        <v>955.897577210165</v>
      </c>
      <c r="F10662" s="39" t="n">
        <f aca="false">$C$10632*F10652*F10655+$C$10636*F10653*F10656+$C$10640*F10654*F10657</f>
        <v>889.562930155704</v>
      </c>
      <c r="G10662" s="39" t="n">
        <f aca="false">$C$10632*G10652*G10655+$C$10636*G10653*G10656+$C$10640*G10654*G10657</f>
        <v>1217.55564</v>
      </c>
      <c r="H10662" s="39" t="n">
        <f aca="false">$C$10632*H10652*H10655+$C$10636*H10653*H10656+$C$10640*H10654*H10657</f>
        <v>1495.74229384257</v>
      </c>
      <c r="I10662" s="39" t="n">
        <f aca="false">$C$10632*I10652*I10655+$C$10636*I10653*I10656+$C$10640*I10654*I10657</f>
        <v>2676.33188629442</v>
      </c>
      <c r="J10662" s="39" t="n">
        <f aca="false">$C$10632*J10652*J10655+$C$10636*J10653*J10656+$C$10640*J10654*J10657</f>
        <v>3685.86409192847</v>
      </c>
      <c r="K10662" s="39" t="n">
        <f aca="false">$C$10632*K10652*K10655+$C$10636*K10653*K10656+$C$10640*K10654*K10657</f>
        <v>3430.08303393858</v>
      </c>
      <c r="L10662" s="39" t="n">
        <f aca="false">$C$10632*L10652*L10655+$C$10636*L10653*L10656+$C$10640*L10654*L10657</f>
        <v>3192.05193850692</v>
      </c>
      <c r="M10662" s="39" t="n">
        <f aca="false">$C$10632*M10652*M10655+$C$10636*M10653*M10656+$C$10640*M10654*M10657</f>
        <v>2970.53904448081</v>
      </c>
      <c r="N10662" s="39" t="n">
        <f aca="false">$C$10632*N10652*N10655+$C$10636*N10653*N10656+$C$10640*N10654*N10657</f>
        <v>2764.39806894635</v>
      </c>
      <c r="P10662" s="40"/>
      <c r="Q10662" s="40"/>
      <c r="R10662" s="40"/>
      <c r="S10662" s="41"/>
    </row>
    <row r="10663" customFormat="false" ht="15" hidden="false" customHeight="false" outlineLevel="0" collapsed="false">
      <c r="A10663" s="4" t="s">
        <v>490</v>
      </c>
      <c r="B10663" s="36" t="s">
        <v>491</v>
      </c>
      <c r="C10663" s="48" t="n">
        <f aca="false">$C$10644*Assumptions!$E$20*C10651*C10662</f>
        <v>6.62265268224</v>
      </c>
      <c r="D10663" s="48" t="n">
        <f aca="false">$C$10644*Assumptions!$E$20*D10651*D10662</f>
        <v>12.3261455324762</v>
      </c>
      <c r="E10663" s="48" t="n">
        <f aca="false">$C$10644*Assumptions!$E$20*E10651*E10662</f>
        <v>11.470770926522</v>
      </c>
      <c r="F10663" s="48" t="n">
        <f aca="false">$C$10644*Assumptions!$E$20*F10651*F10662</f>
        <v>10.6747551618685</v>
      </c>
      <c r="G10663" s="48" t="n">
        <f aca="false">$C$10644*Assumptions!$E$20*G10651*G10662</f>
        <v>14.61066768</v>
      </c>
      <c r="H10663" s="48" t="n">
        <f aca="false">$C$10644*Assumptions!$E$20*H10651*H10662</f>
        <v>17.9489075261109</v>
      </c>
      <c r="I10663" s="48" t="n">
        <f aca="false">$C$10644*Assumptions!$E$20*I10651*I10662</f>
        <v>32.115982635533</v>
      </c>
      <c r="J10663" s="48" t="n">
        <f aca="false">$C$10644*Assumptions!$E$20*J10651*J10662</f>
        <v>44.2303691031417</v>
      </c>
      <c r="K10663" s="48" t="n">
        <f aca="false">$C$10644*Assumptions!$E$20*K10651*K10662</f>
        <v>41.160996407263</v>
      </c>
      <c r="L10663" s="48" t="n">
        <f aca="false">$C$10644*Assumptions!$E$20*L10651*L10662</f>
        <v>38.304623262083</v>
      </c>
      <c r="M10663" s="48" t="n">
        <f aca="false">$C$10644*Assumptions!$E$20*M10651*M10662</f>
        <v>35.6464685337698</v>
      </c>
      <c r="N10663" s="48" t="n">
        <f aca="false">$C$10644*Assumptions!$E$20*N10651*N10662</f>
        <v>33.1727768273562</v>
      </c>
      <c r="P10663" s="49" t="n">
        <f aca="false">SUM(C10663:F10663)</f>
        <v>41.0943243031066</v>
      </c>
      <c r="Q10663" s="49" t="n">
        <f aca="false">SUM(G10663:J10663)</f>
        <v>108.905926944786</v>
      </c>
      <c r="R10663" s="49" t="n">
        <f aca="false">SUM(K10663:N10663)</f>
        <v>148.284865030472</v>
      </c>
      <c r="S10663" s="50" t="n">
        <f aca="false">SUM(P10663:R10663)</f>
        <v>298.285116278364</v>
      </c>
    </row>
    <row r="10664" customFormat="false" ht="15" hidden="false" customHeight="false" outlineLevel="0" collapsed="false">
      <c r="A10664" s="4" t="s">
        <v>492</v>
      </c>
      <c r="B10664" s="36" t="s">
        <v>321</v>
      </c>
      <c r="C10664" s="48" t="n">
        <f aca="false">Assumptions!$D$112</f>
        <v>2</v>
      </c>
      <c r="D10664" s="48" t="n">
        <f aca="false">Assumptions!$E$112</f>
        <v>2</v>
      </c>
      <c r="E10664" s="48" t="n">
        <f aca="false">Assumptions!$F$112</f>
        <v>3</v>
      </c>
      <c r="F10664" s="48" t="n">
        <f aca="false">Assumptions!$G$112</f>
        <v>3</v>
      </c>
      <c r="G10664" s="48" t="n">
        <f aca="false">Assumptions!$H$112</f>
        <v>4</v>
      </c>
      <c r="H10664" s="48" t="n">
        <f aca="false">Assumptions!$I$112</f>
        <v>4</v>
      </c>
      <c r="I10664" s="48" t="n">
        <f aca="false">Assumptions!$J$112</f>
        <v>5</v>
      </c>
      <c r="J10664" s="48" t="n">
        <f aca="false">Assumptions!$K$112</f>
        <v>5</v>
      </c>
      <c r="K10664" s="48" t="n">
        <f aca="false">Assumptions!$L$112</f>
        <v>6</v>
      </c>
      <c r="L10664" s="48" t="n">
        <f aca="false">Assumptions!$M$112</f>
        <v>6</v>
      </c>
      <c r="M10664" s="48" t="n">
        <f aca="false">Assumptions!$N$112</f>
        <v>6</v>
      </c>
      <c r="N10664" s="48" t="n">
        <f aca="false">Assumptions!$O$112</f>
        <v>6</v>
      </c>
      <c r="P10664" s="49" t="n">
        <f aca="false">F10664</f>
        <v>3</v>
      </c>
      <c r="Q10664" s="49" t="n">
        <f aca="false">J10664</f>
        <v>5</v>
      </c>
      <c r="R10664" s="49" t="n">
        <f aca="false">N10664</f>
        <v>6</v>
      </c>
      <c r="S10664" s="50" t="n">
        <f aca="false">R10664</f>
        <v>6</v>
      </c>
    </row>
    <row r="10665" customFormat="false" ht="15" hidden="false" customHeight="false" outlineLevel="0" collapsed="false">
      <c r="A10665" s="4" t="s">
        <v>493</v>
      </c>
      <c r="B10665" s="36" t="s">
        <v>321</v>
      </c>
      <c r="C10665" s="48" t="n">
        <f aca="false">0</f>
        <v>0</v>
      </c>
      <c r="D10665" s="48" t="n">
        <f aca="false">0.5*C10664</f>
        <v>1</v>
      </c>
      <c r="E10665" s="48" t="n">
        <f aca="false">C10664+0.5*(D10664-C10664)</f>
        <v>2</v>
      </c>
      <c r="F10665" s="48" t="n">
        <f aca="false">D10664+0.5*(E10664-D10664)</f>
        <v>2.5</v>
      </c>
      <c r="G10665" s="48" t="n">
        <f aca="false">E10664+0.5*(F10664-E10664)</f>
        <v>3</v>
      </c>
      <c r="H10665" s="48" t="n">
        <f aca="false">F10664+0.5*(G10664-F10664)</f>
        <v>3.5</v>
      </c>
      <c r="I10665" s="48" t="n">
        <f aca="false">G10664+0.5*(H10664-G10664)</f>
        <v>4</v>
      </c>
      <c r="J10665" s="48" t="n">
        <f aca="false">H10664+0.5*(I10664-H10664)</f>
        <v>4.5</v>
      </c>
      <c r="K10665" s="48" t="n">
        <f aca="false">I10664+0.5*(J10664-I10664)</f>
        <v>5</v>
      </c>
      <c r="L10665" s="48" t="n">
        <f aca="false">J10664+0.5*(K10664-J10664)</f>
        <v>5.5</v>
      </c>
      <c r="M10665" s="48" t="n">
        <f aca="false">K10664+0.5*(L10664-K10664)</f>
        <v>6</v>
      </c>
      <c r="N10665" s="48" t="n">
        <f aca="false">L10664+0.5*(M10664-L10664)</f>
        <v>6</v>
      </c>
      <c r="P10665" s="49" t="n">
        <f aca="false">F10665</f>
        <v>2.5</v>
      </c>
      <c r="Q10665" s="49" t="n">
        <f aca="false">J10665</f>
        <v>4.5</v>
      </c>
      <c r="R10665" s="49" t="n">
        <f aca="false">N10665</f>
        <v>6</v>
      </c>
      <c r="S10665" s="50" t="n">
        <f aca="false">R10665</f>
        <v>6</v>
      </c>
    </row>
    <row r="10666" customFormat="false" ht="15" hidden="false" customHeight="false" outlineLevel="0" collapsed="false">
      <c r="A10666" s="4" t="s">
        <v>494</v>
      </c>
      <c r="B10666" s="36" t="s">
        <v>485</v>
      </c>
      <c r="C10666" s="39" t="n">
        <f aca="false">MIN(C10665*300,C10661*(1-$C$10644))</f>
        <v>0</v>
      </c>
      <c r="D10666" s="39" t="n">
        <f aca="false">MIN(D10665*300,D10661*(1-$C$10644))</f>
        <v>300</v>
      </c>
      <c r="E10666" s="39" t="n">
        <f aca="false">MIN(E10665*300,E10661*(1-$C$10644))</f>
        <v>600</v>
      </c>
      <c r="F10666" s="39" t="n">
        <f aca="false">MIN(F10665*300,F10661*(1-$C$10644))</f>
        <v>662.265268224</v>
      </c>
      <c r="G10666" s="39" t="n">
        <f aca="false">MIN(G10665*300,G10661*(1-$C$10644))</f>
        <v>896.099701056</v>
      </c>
      <c r="H10666" s="39" t="n">
        <f aca="false">MIN(H10665*300,H10661*(1-$C$10644))</f>
        <v>1050</v>
      </c>
      <c r="I10666" s="39" t="n">
        <f aca="false">MIN(I10665*300,I10661*(1-$C$10644))</f>
        <v>1200</v>
      </c>
      <c r="J10666" s="39" t="n">
        <f aca="false">MIN(J10665*300,J10661*(1-$C$10644))</f>
        <v>1350</v>
      </c>
      <c r="K10666" s="39" t="n">
        <f aca="false">MIN(K10665*300,K10661*(1-$C$10644))</f>
        <v>1500</v>
      </c>
      <c r="L10666" s="39" t="n">
        <f aca="false">MIN(L10665*300,L10661*(1-$C$10644))</f>
        <v>1650</v>
      </c>
      <c r="M10666" s="39" t="n">
        <f aca="false">MIN(M10665*300,M10661*(1-$C$10644))</f>
        <v>1800</v>
      </c>
      <c r="N10666" s="39" t="n">
        <f aca="false">MIN(N10665*300,N10661*(1-$C$10644))</f>
        <v>1800</v>
      </c>
      <c r="P10666" s="40" t="n">
        <f aca="false">SUM(C10666:F10666)</f>
        <v>1562.265268224</v>
      </c>
      <c r="Q10666" s="40" t="n">
        <f aca="false">SUM(G10666:J10666)</f>
        <v>4496.099701056</v>
      </c>
      <c r="R10666" s="40" t="n">
        <f aca="false">SUM(K10666:N10666)</f>
        <v>6750</v>
      </c>
      <c r="S10666" s="41" t="n">
        <f aca="false">SUM(P10666:R10666)</f>
        <v>12808.36496928</v>
      </c>
    </row>
    <row r="10667" customFormat="false" ht="15" hidden="false" customHeight="false" outlineLevel="0" collapsed="false">
      <c r="A10667" s="4" t="s">
        <v>495</v>
      </c>
      <c r="B10667" s="36" t="s">
        <v>491</v>
      </c>
      <c r="C10667" s="48" t="n">
        <f aca="false">C10666*Assumptions!$E$20*Assumptions!$E$39*IF(C10661&gt;0,C10662/C10661,0)*C10651</f>
        <v>0</v>
      </c>
      <c r="D10667" s="48" t="n">
        <f aca="false">D10666*Assumptions!$E$20*Assumptions!$E$39*IF(D10661&gt;0,D10662/D10661,0)*D10651</f>
        <v>12.5631655978783</v>
      </c>
      <c r="E10667" s="48" t="n">
        <f aca="false">E10666*Assumptions!$E$20*Assumptions!$E$39*IF(E10661&gt;0,E10662/E10661,0)*E10651</f>
        <v>23.3826859021798</v>
      </c>
      <c r="F10667" s="48" t="n">
        <f aca="false">F10666*Assumptions!$E$20*Assumptions!$E$39*IF(F10661&gt;0,F10662/F10661,0)*F10651</f>
        <v>24.018199114204</v>
      </c>
      <c r="G10667" s="48" t="n">
        <f aca="false">G10666*Assumptions!$E$20*Assumptions!$E$39*IF(G10661&gt;0,G10662/G10661,0)*G10651</f>
        <v>32.87400228</v>
      </c>
      <c r="H10667" s="48" t="n">
        <f aca="false">H10666*Assumptions!$E$20*Assumptions!$E$39*IF(H10661&gt;0,H10662/H10661,0)*H10651</f>
        <v>37.5281113816144</v>
      </c>
      <c r="I10667" s="48" t="n">
        <f aca="false">I10666*Assumptions!$E$20*Assumptions!$E$39*IF(I10661&gt;0,I10662/I10661,0)*I10651</f>
        <v>45.6249045132249</v>
      </c>
      <c r="J10667" s="48" t="n">
        <f aca="false">J10666*Assumptions!$E$20*Assumptions!$E$39*IF(J10661&gt;0,J10662/J10661,0)*J10651</f>
        <v>50.2956834254202</v>
      </c>
      <c r="K10667" s="48" t="n">
        <f aca="false">K10666*Assumptions!$E$20*Assumptions!$E$39*IF(K10661&gt;0,K10662/K10661,0)*K10651</f>
        <v>52.0060082083967</v>
      </c>
      <c r="L10667" s="48" t="n">
        <f aca="false">L10666*Assumptions!$E$20*Assumptions!$E$39*IF(L10661&gt;0,L10662/L10661,0)*L10651</f>
        <v>53.2367483353614</v>
      </c>
      <c r="M10667" s="48" t="n">
        <f aca="false">M10666*Assumptions!$E$20*Assumptions!$E$39*IF(M10661&gt;0,M10662/M10661,0)*M10651</f>
        <v>54.0462291094723</v>
      </c>
      <c r="N10667" s="48" t="n">
        <f aca="false">N10666*Assumptions!$E$20*Assumptions!$E$39*IF(N10661&gt;0,N10662/N10661,0)*N10651</f>
        <v>50.2956834254202</v>
      </c>
      <c r="P10667" s="49" t="n">
        <f aca="false">SUM(C10667:F10667)</f>
        <v>59.9640506142622</v>
      </c>
      <c r="Q10667" s="49" t="n">
        <f aca="false">SUM(G10667:J10667)</f>
        <v>166.32270160026</v>
      </c>
      <c r="R10667" s="49" t="n">
        <f aca="false">SUM(K10667:N10667)</f>
        <v>209.584669078651</v>
      </c>
      <c r="S10667" s="50" t="n">
        <f aca="false">SUM(P10667:R10667)</f>
        <v>435.871421293172</v>
      </c>
    </row>
    <row r="10668" customFormat="false" ht="15" hidden="false" customHeight="false" outlineLevel="0" collapsed="false">
      <c r="A10668" s="4" t="s">
        <v>496</v>
      </c>
      <c r="B10668" s="36" t="s">
        <v>497</v>
      </c>
      <c r="C10668" s="48" t="n">
        <f aca="false">IF(AND(C10661&gt;0,$C$10648&gt;0),C10661*Assumptions!$E$24*(1-EXP(-$C$10648/(Assumptions!$E$23*C10661*Assumptions!$E$24))),0)</f>
        <v>16.472729605943</v>
      </c>
      <c r="D10668" s="48" t="n">
        <f aca="false">IF(AND(D10661&gt;0,$C$10648&gt;0),D10661*Assumptions!$E$24*(1-EXP(-$C$10648/(Assumptions!$E$23*D10661*Assumptions!$E$24))),0)</f>
        <v>30.7560309972474</v>
      </c>
      <c r="E10668" s="48" t="n">
        <f aca="false">IF(AND(E10661&gt;0,$C$10648&gt;0),E10661*Assumptions!$E$24*(1-EXP(-$C$10648/(Assumptions!$E$23*E10661*Assumptions!$E$24))),0)</f>
        <v>30.7560309972474</v>
      </c>
      <c r="F10668" s="48" t="n">
        <f aca="false">IF(AND(F10661&gt;0,$C$10648&gt;0),F10661*Assumptions!$E$24*(1-EXP(-$C$10648/(Assumptions!$E$23*F10661*Assumptions!$E$24))),0)</f>
        <v>30.7560309972474</v>
      </c>
      <c r="G10668" s="48" t="n">
        <f aca="false">IF(AND(G10661&gt;0,$C$10648&gt;0),G10661*Assumptions!$E$24*(1-EXP(-$C$10648/(Assumptions!$E$23*G10661*Assumptions!$E$24))),0)</f>
        <v>38.4489058252097</v>
      </c>
      <c r="H10668" s="48" t="n">
        <f aca="false">IF(AND(H10661&gt;0,$C$10648&gt;0),H10661*Assumptions!$E$24*(1-EXP(-$C$10648/(Assumptions!$E$23*H10661*Assumptions!$E$24))),0)</f>
        <v>44.4905508381239</v>
      </c>
      <c r="I10668" s="48" t="n">
        <f aca="false">IF(AND(I10661&gt;0,$C$10648&gt;0),I10661*Assumptions!$E$24*(1-EXP(-$C$10648/(Assumptions!$E$23*I10661*Assumptions!$E$24))),0)</f>
        <v>57.1871803967491</v>
      </c>
      <c r="J10668" s="48" t="n">
        <f aca="false">IF(AND(J10661&gt;0,$C$10648&gt;0),J10661*Assumptions!$E$24*(1-EXP(-$C$10648/(Assumptions!$E$23*J10661*Assumptions!$E$24))),0)</f>
        <v>64.192759682173</v>
      </c>
      <c r="K10668" s="48" t="n">
        <f aca="false">IF(AND(K10661&gt;0,$C$10648&gt;0),K10661*Assumptions!$E$24*(1-EXP(-$C$10648/(Assumptions!$E$23*K10661*Assumptions!$E$24))),0)</f>
        <v>64.192759682173</v>
      </c>
      <c r="L10668" s="48" t="n">
        <f aca="false">IF(AND(L10661&gt;0,$C$10648&gt;0),L10661*Assumptions!$E$24*(1-EXP(-$C$10648/(Assumptions!$E$23*L10661*Assumptions!$E$24))),0)</f>
        <v>64.192759682173</v>
      </c>
      <c r="M10668" s="48" t="n">
        <f aca="false">IF(AND(M10661&gt;0,$C$10648&gt;0),M10661*Assumptions!$E$24*(1-EXP(-$C$10648/(Assumptions!$E$23*M10661*Assumptions!$E$24))),0)</f>
        <v>64.192759682173</v>
      </c>
      <c r="N10668" s="48" t="n">
        <f aca="false">IF(AND(N10661&gt;0,$C$10648&gt;0),N10661*Assumptions!$E$24*(1-EXP(-$C$10648/(Assumptions!$E$23*N10661*Assumptions!$E$24))),0)</f>
        <v>64.192759682173</v>
      </c>
      <c r="P10668" s="49" t="n">
        <f aca="false">SUM(C10668:F10668)</f>
        <v>108.740822597685</v>
      </c>
      <c r="Q10668" s="49" t="n">
        <f aca="false">SUM(G10668:J10668)</f>
        <v>204.319396742256</v>
      </c>
      <c r="R10668" s="49" t="n">
        <f aca="false">SUM(K10668:N10668)</f>
        <v>256.771038728692</v>
      </c>
      <c r="S10668" s="50" t="n">
        <f aca="false">SUM(P10668:R10668)</f>
        <v>569.831258068633</v>
      </c>
    </row>
    <row r="10669" customFormat="false" ht="15" hidden="false" customHeight="false" outlineLevel="0" collapsed="false">
      <c r="A10669" s="4" t="s">
        <v>498</v>
      </c>
      <c r="B10669" s="36" t="s">
        <v>497</v>
      </c>
      <c r="C10669" s="48" t="n">
        <f aca="false">(C10661*Assumptions!$E$22*MIN(1,Assumptions!$E$103/Assumptions!$E$78)+C10668)*C10651</f>
        <v>21.991606841143</v>
      </c>
      <c r="D10669" s="48" t="n">
        <f aca="false">(D10661*Assumptions!$E$22*MIN(1,Assumptions!$E$103/Assumptions!$E$78)+D10668)*D10651</f>
        <v>41.7937854676474</v>
      </c>
      <c r="E10669" s="48" t="n">
        <f aca="false">(E10661*Assumptions!$E$22*MIN(1,Assumptions!$E$103/Assumptions!$E$78)+E10668)*E10651</f>
        <v>41.7937854676474</v>
      </c>
      <c r="F10669" s="48" t="n">
        <f aca="false">(F10661*Assumptions!$E$22*MIN(1,Assumptions!$E$103/Assumptions!$E$78)+F10668)*F10651</f>
        <v>41.7937854676474</v>
      </c>
      <c r="G10669" s="48" t="n">
        <f aca="false">(G10661*Assumptions!$E$22*MIN(1,Assumptions!$E$103/Assumptions!$E$78)+G10668)*G10651</f>
        <v>53.3839008428097</v>
      </c>
      <c r="H10669" s="48" t="n">
        <f aca="false">(H10661*Assumptions!$E$22*MIN(1,Assumptions!$E$103/Assumptions!$E$78)+H10668)*H10651</f>
        <v>63.3227864029239</v>
      </c>
      <c r="I10669" s="48" t="n">
        <f aca="false">(I10661*Assumptions!$E$22*MIN(1,Assumptions!$E$103/Assumptions!$E$78)+I10668)*I10651</f>
        <v>88.8632843583491</v>
      </c>
      <c r="J10669" s="48" t="n">
        <f aca="false">(J10661*Assumptions!$E$22*MIN(1,Assumptions!$E$103/Assumptions!$E$78)+J10668)*J10651</f>
        <v>108.712732040573</v>
      </c>
      <c r="K10669" s="48" t="n">
        <f aca="false">(K10661*Assumptions!$E$22*MIN(1,Assumptions!$E$103/Assumptions!$E$78)+K10668)*K10651</f>
        <v>108.712732040573</v>
      </c>
      <c r="L10669" s="48" t="n">
        <f aca="false">(L10661*Assumptions!$E$22*MIN(1,Assumptions!$E$103/Assumptions!$E$78)+L10668)*L10651</f>
        <v>108.712732040573</v>
      </c>
      <c r="M10669" s="48" t="n">
        <f aca="false">(M10661*Assumptions!$E$22*MIN(1,Assumptions!$E$103/Assumptions!$E$78)+M10668)*M10651</f>
        <v>108.712732040573</v>
      </c>
      <c r="N10669" s="48" t="n">
        <f aca="false">(N10661*Assumptions!$E$22*MIN(1,Assumptions!$E$103/Assumptions!$E$78)+N10668)*N10651</f>
        <v>108.712732040573</v>
      </c>
      <c r="P10669" s="49" t="n">
        <f aca="false">SUM(C10669:F10669)</f>
        <v>147.372963244085</v>
      </c>
      <c r="Q10669" s="49" t="n">
        <f aca="false">SUM(G10669:J10669)</f>
        <v>314.282703644656</v>
      </c>
      <c r="R10669" s="49" t="n">
        <f aca="false">SUM(K10669:N10669)</f>
        <v>434.850928162292</v>
      </c>
      <c r="S10669" s="50" t="n">
        <f aca="false">SUM(P10669:R10669)</f>
        <v>896.506595051033</v>
      </c>
    </row>
    <row r="10670" customFormat="false" ht="15" hidden="false" customHeight="false" outlineLevel="0" collapsed="false">
      <c r="A10670" s="4" t="s">
        <v>499</v>
      </c>
      <c r="B10670" s="36" t="s">
        <v>500</v>
      </c>
      <c r="C10670" s="48" t="n">
        <f aca="false">C10651*MIN(Assumptions!$E$27,Assumptions!$E$25+Assumptions!$E$26*(C10650-1))*Assumptions!$E$107</f>
        <v>2</v>
      </c>
      <c r="D10670" s="48" t="n">
        <f aca="false">D10651*MIN(Assumptions!$E$27,Assumptions!$E$25+Assumptions!$E$26*(D10650-1))*Assumptions!$E$107</f>
        <v>3</v>
      </c>
      <c r="E10670" s="48" t="n">
        <f aca="false">E10651*MIN(Assumptions!$E$27,Assumptions!$E$25+Assumptions!$E$26*(E10650-1))*Assumptions!$E$107</f>
        <v>4</v>
      </c>
      <c r="F10670" s="48" t="n">
        <f aca="false">F10651*MIN(Assumptions!$E$27,Assumptions!$E$25+Assumptions!$E$26*(F10650-1))*Assumptions!$E$107</f>
        <v>5</v>
      </c>
      <c r="G10670" s="48" t="n">
        <f aca="false">G10651*MIN(Assumptions!$E$27,Assumptions!$E$25+Assumptions!$E$26*(G10650-1))*Assumptions!$E$107</f>
        <v>6</v>
      </c>
      <c r="H10670" s="48" t="n">
        <f aca="false">H10651*MIN(Assumptions!$E$27,Assumptions!$E$25+Assumptions!$E$26*(H10650-1))*Assumptions!$E$107</f>
        <v>7</v>
      </c>
      <c r="I10670" s="48" t="n">
        <f aca="false">I10651*MIN(Assumptions!$E$27,Assumptions!$E$25+Assumptions!$E$26*(I10650-1))*Assumptions!$E$107</f>
        <v>8</v>
      </c>
      <c r="J10670" s="48" t="n">
        <f aca="false">J10651*MIN(Assumptions!$E$27,Assumptions!$E$25+Assumptions!$E$26*(J10650-1))*Assumptions!$E$107</f>
        <v>9</v>
      </c>
      <c r="K10670" s="48" t="n">
        <f aca="false">K10651*MIN(Assumptions!$E$27,Assumptions!$E$25+Assumptions!$E$26*(K10650-1))*Assumptions!$E$107</f>
        <v>10</v>
      </c>
      <c r="L10670" s="48" t="n">
        <f aca="false">L10651*MIN(Assumptions!$E$27,Assumptions!$E$25+Assumptions!$E$26*(L10650-1))*Assumptions!$E$107</f>
        <v>10</v>
      </c>
      <c r="M10670" s="48" t="n">
        <f aca="false">M10651*MIN(Assumptions!$E$27,Assumptions!$E$25+Assumptions!$E$26*(M10650-1))*Assumptions!$E$107</f>
        <v>10</v>
      </c>
      <c r="N10670" s="48" t="n">
        <f aca="false">N10651*MIN(Assumptions!$E$27,Assumptions!$E$25+Assumptions!$E$26*(N10650-1))*Assumptions!$E$107</f>
        <v>10</v>
      </c>
      <c r="P10670" s="49" t="n">
        <f aca="false">F10670</f>
        <v>5</v>
      </c>
      <c r="Q10670" s="49" t="n">
        <f aca="false">J10670</f>
        <v>9</v>
      </c>
      <c r="R10670" s="49" t="n">
        <f aca="false">N10670</f>
        <v>10</v>
      </c>
      <c r="S10670" s="50" t="n">
        <f aca="false">R10670</f>
        <v>10</v>
      </c>
    </row>
    <row r="10671" customFormat="false" ht="15" hidden="false" customHeight="false" outlineLevel="0" collapsed="false">
      <c r="A10671" s="4" t="s">
        <v>501</v>
      </c>
      <c r="B10671" s="36" t="s">
        <v>502</v>
      </c>
      <c r="C10671" s="48" t="n">
        <f aca="false">C10670*Assumptions!$E$28</f>
        <v>6</v>
      </c>
      <c r="D10671" s="48" t="n">
        <f aca="false">D10670*Assumptions!$E$28</f>
        <v>9</v>
      </c>
      <c r="E10671" s="48" t="n">
        <f aca="false">E10670*Assumptions!$E$28</f>
        <v>12</v>
      </c>
      <c r="F10671" s="48" t="n">
        <f aca="false">F10670*Assumptions!$E$28</f>
        <v>15</v>
      </c>
      <c r="G10671" s="48" t="n">
        <f aca="false">G10670*Assumptions!$E$28</f>
        <v>18</v>
      </c>
      <c r="H10671" s="48" t="n">
        <f aca="false">H10670*Assumptions!$E$28</f>
        <v>21</v>
      </c>
      <c r="I10671" s="48" t="n">
        <f aca="false">I10670*Assumptions!$E$28</f>
        <v>24</v>
      </c>
      <c r="J10671" s="48" t="n">
        <f aca="false">J10670*Assumptions!$E$28</f>
        <v>27</v>
      </c>
      <c r="K10671" s="48" t="n">
        <f aca="false">K10670*Assumptions!$E$28</f>
        <v>30</v>
      </c>
      <c r="L10671" s="48" t="n">
        <f aca="false">L10670*Assumptions!$E$28</f>
        <v>30</v>
      </c>
      <c r="M10671" s="48" t="n">
        <f aca="false">M10670*Assumptions!$E$28</f>
        <v>30</v>
      </c>
      <c r="N10671" s="48" t="n">
        <f aca="false">N10670*Assumptions!$E$28</f>
        <v>30</v>
      </c>
      <c r="P10671" s="49" t="n">
        <f aca="false">SUM(C10671:F10671)</f>
        <v>42</v>
      </c>
      <c r="Q10671" s="49" t="n">
        <f aca="false">SUM(G10671:J10671)</f>
        <v>90</v>
      </c>
      <c r="R10671" s="49" t="n">
        <f aca="false">SUM(K10671:N10671)</f>
        <v>120</v>
      </c>
      <c r="S10671" s="50" t="n">
        <f aca="false">SUM(P10671:R10671)</f>
        <v>252</v>
      </c>
    </row>
    <row r="10672" customFormat="false" ht="15" hidden="false" customHeight="false" outlineLevel="0" collapsed="false">
      <c r="A10672" s="4" t="s">
        <v>503</v>
      </c>
      <c r="B10672" s="36" t="s">
        <v>504</v>
      </c>
      <c r="C10672" s="48" t="n">
        <f aca="false">(C10663+C10667)*Assumptions!$E$29</f>
        <v>2.649061072896</v>
      </c>
      <c r="D10672" s="48" t="n">
        <f aca="false">(D10663+D10667)*Assumptions!$E$29</f>
        <v>9.95572445214182</v>
      </c>
      <c r="E10672" s="48" t="n">
        <f aca="false">(E10663+E10667)*Assumptions!$E$29</f>
        <v>13.9413827314807</v>
      </c>
      <c r="F10672" s="48" t="n">
        <f aca="false">(F10663+F10667)*Assumptions!$E$29</f>
        <v>13.877181710429</v>
      </c>
      <c r="G10672" s="48" t="n">
        <f aca="false">(G10663+G10667)*Assumptions!$E$29</f>
        <v>18.993867984</v>
      </c>
      <c r="H10672" s="48" t="n">
        <f aca="false">(H10663+H10667)*Assumptions!$E$29</f>
        <v>22.1908075630901</v>
      </c>
      <c r="I10672" s="48" t="n">
        <f aca="false">(I10663+I10667)*Assumptions!$E$29</f>
        <v>31.0963548595032</v>
      </c>
      <c r="J10672" s="48" t="n">
        <f aca="false">(J10663+J10667)*Assumptions!$E$29</f>
        <v>37.8104210114248</v>
      </c>
      <c r="K10672" s="48" t="n">
        <f aca="false">(K10663+K10667)*Assumptions!$E$29</f>
        <v>37.2668018462639</v>
      </c>
      <c r="L10672" s="48" t="n">
        <f aca="false">(L10663+L10667)*Assumptions!$E$29</f>
        <v>36.6165486389778</v>
      </c>
      <c r="M10672" s="48" t="n">
        <f aca="false">(M10663+M10667)*Assumptions!$E$29</f>
        <v>35.8770790572968</v>
      </c>
      <c r="N10672" s="48" t="n">
        <f aca="false">(N10663+N10667)*Assumptions!$E$29</f>
        <v>33.3873841011106</v>
      </c>
      <c r="P10672" s="49" t="n">
        <f aca="false">SUM(C10672:F10672)</f>
        <v>40.4233499669475</v>
      </c>
      <c r="Q10672" s="49" t="n">
        <f aca="false">SUM(G10672:J10672)</f>
        <v>110.091451418018</v>
      </c>
      <c r="R10672" s="49" t="n">
        <f aca="false">SUM(K10672:N10672)</f>
        <v>143.147813643649</v>
      </c>
      <c r="S10672" s="50" t="n">
        <f aca="false">SUM(P10672:R10672)</f>
        <v>293.662615028615</v>
      </c>
    </row>
    <row r="10673" customFormat="false" ht="15" hidden="false" customHeight="false" outlineLevel="0" collapsed="false">
      <c r="A10673" s="4" t="s">
        <v>505</v>
      </c>
      <c r="B10673" s="36" t="s">
        <v>504</v>
      </c>
      <c r="C10673" s="48" t="n">
        <f aca="false">C10669*Assumptions!$E$31</f>
        <v>3.51865709458288</v>
      </c>
      <c r="D10673" s="48" t="n">
        <f aca="false">D10669*Assumptions!$E$31</f>
        <v>6.68700567482359</v>
      </c>
      <c r="E10673" s="48" t="n">
        <f aca="false">E10669*Assumptions!$E$31</f>
        <v>6.68700567482359</v>
      </c>
      <c r="F10673" s="48" t="n">
        <f aca="false">F10669*Assumptions!$E$31</f>
        <v>6.68700567482359</v>
      </c>
      <c r="G10673" s="48" t="n">
        <f aca="false">G10669*Assumptions!$E$31</f>
        <v>8.54142413484956</v>
      </c>
      <c r="H10673" s="48" t="n">
        <f aca="false">H10669*Assumptions!$E$31</f>
        <v>10.1316458244678</v>
      </c>
      <c r="I10673" s="48" t="n">
        <f aca="false">I10669*Assumptions!$E$31</f>
        <v>14.2181254973359</v>
      </c>
      <c r="J10673" s="48" t="n">
        <f aca="false">J10669*Assumptions!$E$31</f>
        <v>17.3940371264917</v>
      </c>
      <c r="K10673" s="48" t="n">
        <f aca="false">K10669*Assumptions!$E$31</f>
        <v>17.3940371264917</v>
      </c>
      <c r="L10673" s="48" t="n">
        <f aca="false">L10669*Assumptions!$E$31</f>
        <v>17.3940371264917</v>
      </c>
      <c r="M10673" s="48" t="n">
        <f aca="false">M10669*Assumptions!$E$31</f>
        <v>17.3940371264917</v>
      </c>
      <c r="N10673" s="48" t="n">
        <f aca="false">N10669*Assumptions!$E$31</f>
        <v>17.3940371264917</v>
      </c>
      <c r="P10673" s="49" t="n">
        <f aca="false">SUM(C10673:F10673)</f>
        <v>23.5796741190536</v>
      </c>
      <c r="Q10673" s="49" t="n">
        <f aca="false">SUM(G10673:J10673)</f>
        <v>50.2852325831449</v>
      </c>
      <c r="R10673" s="49" t="n">
        <f aca="false">SUM(K10673:N10673)</f>
        <v>69.5761485059667</v>
      </c>
      <c r="S10673" s="50" t="n">
        <f aca="false">SUM(P10673:R10673)</f>
        <v>143.441055208165</v>
      </c>
    </row>
    <row r="10674" customFormat="false" ht="15" hidden="false" customHeight="false" outlineLevel="0" collapsed="false">
      <c r="A10674" s="4" t="s">
        <v>506</v>
      </c>
      <c r="B10674" s="36" t="s">
        <v>504</v>
      </c>
      <c r="C10674" s="48" t="n">
        <f aca="false">C10671*Assumptions!$E$30</f>
        <v>3</v>
      </c>
      <c r="D10674" s="48" t="n">
        <f aca="false">D10671*Assumptions!$E$30</f>
        <v>4.5</v>
      </c>
      <c r="E10674" s="48" t="n">
        <f aca="false">E10671*Assumptions!$E$30</f>
        <v>6</v>
      </c>
      <c r="F10674" s="48" t="n">
        <f aca="false">F10671*Assumptions!$E$30</f>
        <v>7.5</v>
      </c>
      <c r="G10674" s="48" t="n">
        <f aca="false">G10671*Assumptions!$E$30</f>
        <v>9</v>
      </c>
      <c r="H10674" s="48" t="n">
        <f aca="false">H10671*Assumptions!$E$30</f>
        <v>10.5</v>
      </c>
      <c r="I10674" s="48" t="n">
        <f aca="false">I10671*Assumptions!$E$30</f>
        <v>12</v>
      </c>
      <c r="J10674" s="48" t="n">
        <f aca="false">J10671*Assumptions!$E$30</f>
        <v>13.5</v>
      </c>
      <c r="K10674" s="48" t="n">
        <f aca="false">K10671*Assumptions!$E$30</f>
        <v>15</v>
      </c>
      <c r="L10674" s="48" t="n">
        <f aca="false">L10671*Assumptions!$E$30</f>
        <v>15</v>
      </c>
      <c r="M10674" s="48" t="n">
        <f aca="false">M10671*Assumptions!$E$30</f>
        <v>15</v>
      </c>
      <c r="N10674" s="48" t="n">
        <f aca="false">N10671*Assumptions!$E$30</f>
        <v>15</v>
      </c>
      <c r="P10674" s="49" t="n">
        <f aca="false">SUM(C10674:F10674)</f>
        <v>21</v>
      </c>
      <c r="Q10674" s="49" t="n">
        <f aca="false">SUM(G10674:J10674)</f>
        <v>45</v>
      </c>
      <c r="R10674" s="49" t="n">
        <f aca="false">SUM(K10674:N10674)</f>
        <v>60</v>
      </c>
      <c r="S10674" s="50" t="n">
        <f aca="false">SUM(P10674:R10674)</f>
        <v>126</v>
      </c>
    </row>
    <row r="10675" customFormat="false" ht="15" hidden="false" customHeight="false" outlineLevel="0" collapsed="false">
      <c r="A10675" s="9" t="s">
        <v>507</v>
      </c>
      <c r="B10675" s="36" t="s">
        <v>504</v>
      </c>
      <c r="C10675" s="49" t="n">
        <f aca="false">C10672+C10673+C10674</f>
        <v>9.16771816747888</v>
      </c>
      <c r="D10675" s="49" t="n">
        <f aca="false">D10672+D10673+D10674</f>
        <v>21.1427301269654</v>
      </c>
      <c r="E10675" s="49" t="n">
        <f aca="false">E10672+E10673+E10674</f>
        <v>26.6283884063043</v>
      </c>
      <c r="F10675" s="49" t="n">
        <f aca="false">F10672+F10673+F10674</f>
        <v>28.0641873852526</v>
      </c>
      <c r="G10675" s="49" t="n">
        <f aca="false">G10672+G10673+G10674</f>
        <v>36.5352921188496</v>
      </c>
      <c r="H10675" s="49" t="n">
        <f aca="false">H10672+H10673+H10674</f>
        <v>42.8224533875579</v>
      </c>
      <c r="I10675" s="49" t="n">
        <f aca="false">I10672+I10673+I10674</f>
        <v>57.314480356839</v>
      </c>
      <c r="J10675" s="49" t="n">
        <f aca="false">J10672+J10673+J10674</f>
        <v>68.7044581379164</v>
      </c>
      <c r="K10675" s="49" t="n">
        <f aca="false">K10672+K10673+K10674</f>
        <v>69.6608389727555</v>
      </c>
      <c r="L10675" s="49" t="n">
        <f aca="false">L10672+L10673+L10674</f>
        <v>69.0105857654694</v>
      </c>
      <c r="M10675" s="49" t="n">
        <f aca="false">M10672+M10673+M10674</f>
        <v>68.2711161837885</v>
      </c>
      <c r="N10675" s="49" t="n">
        <f aca="false">N10672+N10673+N10674</f>
        <v>65.7814212276023</v>
      </c>
      <c r="P10675" s="49" t="n">
        <f aca="false">SUM(C10675:F10675)</f>
        <v>85.0030240860012</v>
      </c>
      <c r="Q10675" s="49" t="n">
        <f aca="false">SUM(G10675:J10675)</f>
        <v>205.376684001163</v>
      </c>
      <c r="R10675" s="49" t="n">
        <f aca="false">SUM(K10675:N10675)</f>
        <v>272.723962149616</v>
      </c>
      <c r="S10675" s="50" t="n">
        <f aca="false">SUM(P10675:R10675)</f>
        <v>563.10367023678</v>
      </c>
    </row>
    <row r="10676" customFormat="false" ht="15" hidden="false" customHeight="false" outlineLevel="0" collapsed="false">
      <c r="A10676" s="4" t="s">
        <v>508</v>
      </c>
      <c r="B10676" s="36" t="s">
        <v>509</v>
      </c>
      <c r="C10676" s="48" t="n">
        <f aca="false">C10658</f>
        <v>421.51972352</v>
      </c>
      <c r="D10676" s="48" t="n">
        <f aca="false">D10658</f>
        <v>843.03944704</v>
      </c>
      <c r="E10676" s="48" t="n">
        <f aca="false">E10658</f>
        <v>843.03944704</v>
      </c>
      <c r="F10676" s="48" t="n">
        <f aca="false">F10658</f>
        <v>843.03944704</v>
      </c>
      <c r="G10676" s="48" t="n">
        <f aca="false">G10658</f>
        <v>1149.32798176</v>
      </c>
      <c r="H10676" s="48" t="n">
        <f aca="false">H10658</f>
        <v>1455.61651648</v>
      </c>
      <c r="I10676" s="48" t="n">
        <f aca="false">I10658</f>
        <v>2486.00303616</v>
      </c>
      <c r="J10676" s="48" t="n">
        <f aca="false">J10658</f>
        <v>3516.38955584</v>
      </c>
      <c r="K10676" s="48" t="n">
        <f aca="false">K10658</f>
        <v>3516.38955584</v>
      </c>
      <c r="L10676" s="48" t="n">
        <f aca="false">L10658</f>
        <v>3516.38955584</v>
      </c>
      <c r="M10676" s="48" t="n">
        <f aca="false">M10658</f>
        <v>3516.38955584</v>
      </c>
      <c r="N10676" s="48" t="n">
        <f aca="false">N10658</f>
        <v>3516.38955584</v>
      </c>
      <c r="P10676" s="49"/>
      <c r="Q10676" s="49"/>
      <c r="R10676" s="49"/>
      <c r="S10676" s="50"/>
    </row>
    <row r="10677" customFormat="false" ht="15" hidden="false" customHeight="false" outlineLevel="0" collapsed="false">
      <c r="A10677" s="4" t="s">
        <v>510</v>
      </c>
      <c r="B10677" s="36" t="s">
        <v>509</v>
      </c>
      <c r="C10677" s="48" t="n">
        <f aca="false">C10659*Assumptions!$E$18*Assumptions!$E$33</f>
        <v>211.19616</v>
      </c>
      <c r="D10677" s="48" t="n">
        <f aca="false">D10659*Assumptions!$E$18*Assumptions!$E$33</f>
        <v>422.39232</v>
      </c>
      <c r="E10677" s="48" t="n">
        <f aca="false">E10659*Assumptions!$E$18*Assumptions!$E$33</f>
        <v>422.39232</v>
      </c>
      <c r="F10677" s="48" t="n">
        <f aca="false">F10659*Assumptions!$E$18*Assumptions!$E$33</f>
        <v>422.39232</v>
      </c>
      <c r="G10677" s="48" t="n">
        <f aca="false">G10659*Assumptions!$E$18*Assumptions!$E$33</f>
        <v>564.49344</v>
      </c>
      <c r="H10677" s="48" t="n">
        <f aca="false">H10659*Assumptions!$E$18*Assumptions!$E$33</f>
        <v>706.59456</v>
      </c>
      <c r="I10677" s="48" t="n">
        <f aca="false">I10659*Assumptions!$E$18*Assumptions!$E$33</f>
        <v>1135.07072</v>
      </c>
      <c r="J10677" s="48" t="n">
        <f aca="false">J10659*Assumptions!$E$18*Assumptions!$E$33</f>
        <v>1563.54688</v>
      </c>
      <c r="K10677" s="48" t="n">
        <f aca="false">K10659*Assumptions!$E$18*Assumptions!$E$33</f>
        <v>1563.54688</v>
      </c>
      <c r="L10677" s="48" t="n">
        <f aca="false">L10659*Assumptions!$E$18*Assumptions!$E$33</f>
        <v>1563.54688</v>
      </c>
      <c r="M10677" s="48" t="n">
        <f aca="false">M10659*Assumptions!$E$18*Assumptions!$E$33</f>
        <v>1563.54688</v>
      </c>
      <c r="N10677" s="48" t="n">
        <f aca="false">N10659*Assumptions!$E$18*Assumptions!$E$33</f>
        <v>1563.54688</v>
      </c>
      <c r="P10677" s="49"/>
      <c r="Q10677" s="49"/>
      <c r="R10677" s="49"/>
      <c r="S10677" s="50"/>
    </row>
    <row r="10678" customFormat="false" ht="15" hidden="false" customHeight="false" outlineLevel="0" collapsed="false">
      <c r="A10678" s="4" t="s">
        <v>511</v>
      </c>
      <c r="B10678" s="36" t="s">
        <v>509</v>
      </c>
      <c r="C10678" s="48" t="n">
        <f aca="false">C10660*Assumptions!$E$19*Assumptions!$E$34</f>
        <v>34.677888</v>
      </c>
      <c r="D10678" s="48" t="n">
        <f aca="false">D10660*Assumptions!$E$19*Assumptions!$E$34</f>
        <v>69.355776</v>
      </c>
      <c r="E10678" s="48" t="n">
        <f aca="false">E10660*Assumptions!$E$19*Assumptions!$E$34</f>
        <v>69.355776</v>
      </c>
      <c r="F10678" s="48" t="n">
        <f aca="false">F10660*Assumptions!$E$19*Assumptions!$E$34</f>
        <v>69.355776</v>
      </c>
      <c r="G10678" s="48" t="n">
        <f aca="false">G10660*Assumptions!$E$19*Assumptions!$E$34</f>
        <v>86.69472</v>
      </c>
      <c r="H10678" s="48" t="n">
        <f aca="false">H10660*Assumptions!$E$19*Assumptions!$E$34</f>
        <v>104.033664</v>
      </c>
      <c r="I10678" s="48" t="n">
        <f aca="false">I10660*Assumptions!$E$19*Assumptions!$E$34</f>
        <v>159.7008</v>
      </c>
      <c r="J10678" s="48" t="n">
        <f aca="false">J10660*Assumptions!$E$19*Assumptions!$E$34</f>
        <v>215.367936</v>
      </c>
      <c r="K10678" s="48" t="n">
        <f aca="false">K10660*Assumptions!$E$19*Assumptions!$E$34</f>
        <v>215.367936</v>
      </c>
      <c r="L10678" s="48" t="n">
        <f aca="false">L10660*Assumptions!$E$19*Assumptions!$E$34</f>
        <v>215.367936</v>
      </c>
      <c r="M10678" s="48" t="n">
        <f aca="false">M10660*Assumptions!$E$19*Assumptions!$E$34</f>
        <v>215.367936</v>
      </c>
      <c r="N10678" s="48" t="n">
        <f aca="false">N10660*Assumptions!$E$19*Assumptions!$E$34</f>
        <v>215.367936</v>
      </c>
      <c r="P10678" s="49"/>
      <c r="Q10678" s="49"/>
      <c r="R10678" s="49"/>
      <c r="S10678" s="50"/>
    </row>
    <row r="10679" customFormat="false" ht="15" hidden="false" customHeight="false" outlineLevel="0" collapsed="false">
      <c r="A10679" s="4" t="s">
        <v>512</v>
      </c>
      <c r="B10679" s="36" t="s">
        <v>77</v>
      </c>
      <c r="C10679" s="51" t="n">
        <f aca="false">IFERROR(C10676/(C10676+C10677+C10678),0)</f>
        <v>0.631590736245533</v>
      </c>
      <c r="D10679" s="51" t="n">
        <f aca="false">IFERROR(D10676/(D10676+D10677+D10678),0)</f>
        <v>0.631590736245533</v>
      </c>
      <c r="E10679" s="51" t="n">
        <f aca="false">IFERROR(E10676/(E10676+E10677+E10678),0)</f>
        <v>0.631590736245533</v>
      </c>
      <c r="F10679" s="51" t="n">
        <f aca="false">IFERROR(F10676/(F10676+F10677+F10678),0)</f>
        <v>0.631590736245533</v>
      </c>
      <c r="G10679" s="51" t="n">
        <f aca="false">IFERROR(G10676/(G10676+G10677+G10678),0)</f>
        <v>0.638332506498128</v>
      </c>
      <c r="H10679" s="51" t="n">
        <f aca="false">IFERROR(H10676/(H10676+H10677+H10678),0)</f>
        <v>0.642303318118984</v>
      </c>
      <c r="I10679" s="51" t="n">
        <f aca="false">IFERROR(I10676/(I10676+I10677+I10678),0)</f>
        <v>0.657538025405288</v>
      </c>
      <c r="J10679" s="51" t="n">
        <f aca="false">IFERROR(J10676/(J10676+J10677+J10678),0)</f>
        <v>0.664058061428891</v>
      </c>
      <c r="K10679" s="51" t="n">
        <f aca="false">IFERROR(K10676/(K10676+K10677+K10678),0)</f>
        <v>0.664058061428891</v>
      </c>
      <c r="L10679" s="51" t="n">
        <f aca="false">IFERROR(L10676/(L10676+L10677+L10678),0)</f>
        <v>0.664058061428891</v>
      </c>
      <c r="M10679" s="51" t="n">
        <f aca="false">IFERROR(M10676/(M10676+M10677+M10678),0)</f>
        <v>0.664058061428891</v>
      </c>
      <c r="N10679" s="51" t="n">
        <f aca="false">IFERROR(N10676/(N10676+N10677+N10678),0)</f>
        <v>0.664058061428891</v>
      </c>
      <c r="P10679" s="52"/>
      <c r="Q10679" s="52"/>
      <c r="R10679" s="52"/>
      <c r="S10679" s="53"/>
    </row>
    <row r="10680" customFormat="false" ht="15" hidden="false" customHeight="false" outlineLevel="0" collapsed="false">
      <c r="A10680" s="4" t="s">
        <v>513</v>
      </c>
      <c r="B10680" s="36" t="s">
        <v>77</v>
      </c>
      <c r="C10680" s="51" t="n">
        <f aca="false">IFERROR(C10677/(C10676+C10677+C10678),0)</f>
        <v>0.316449102482628</v>
      </c>
      <c r="D10680" s="51" t="n">
        <f aca="false">IFERROR(D10677/(D10676+D10677+D10678),0)</f>
        <v>0.316449102482628</v>
      </c>
      <c r="E10680" s="51" t="n">
        <f aca="false">IFERROR(E10677/(E10676+E10677+E10678),0)</f>
        <v>0.316449102482628</v>
      </c>
      <c r="F10680" s="51" t="n">
        <f aca="false">IFERROR(F10677/(F10676+F10677+F10678),0)</f>
        <v>0.316449102482628</v>
      </c>
      <c r="G10680" s="51" t="n">
        <f aca="false">IFERROR(G10677/(G10676+G10677+G10678),0)</f>
        <v>0.313517566939561</v>
      </c>
      <c r="H10680" s="51" t="n">
        <f aca="false">IFERROR(H10677/(H10676+H10677+H10678),0)</f>
        <v>0.311790932099567</v>
      </c>
      <c r="I10680" s="51" t="n">
        <f aca="false">IFERROR(I10677/(I10676+I10677+I10678),0)</f>
        <v>0.300221741111391</v>
      </c>
      <c r="J10680" s="51" t="n">
        <f aca="false">IFERROR(J10677/(J10676+J10677+J10678),0)</f>
        <v>0.295270445324128</v>
      </c>
      <c r="K10680" s="51" t="n">
        <f aca="false">IFERROR(K10677/(K10676+K10677+K10678),0)</f>
        <v>0.295270445324128</v>
      </c>
      <c r="L10680" s="51" t="n">
        <f aca="false">IFERROR(L10677/(L10676+L10677+L10678),0)</f>
        <v>0.295270445324128</v>
      </c>
      <c r="M10680" s="51" t="n">
        <f aca="false">IFERROR(M10677/(M10676+M10677+M10678),0)</f>
        <v>0.295270445324128</v>
      </c>
      <c r="N10680" s="51" t="n">
        <f aca="false">IFERROR(N10677/(N10676+N10677+N10678),0)</f>
        <v>0.295270445324128</v>
      </c>
      <c r="P10680" s="52"/>
      <c r="Q10680" s="52"/>
      <c r="R10680" s="52"/>
      <c r="S10680" s="53"/>
    </row>
    <row r="10681" customFormat="false" ht="15" hidden="false" customHeight="false" outlineLevel="0" collapsed="false">
      <c r="A10681" s="4" t="s">
        <v>514</v>
      </c>
      <c r="B10681" s="36" t="s">
        <v>77</v>
      </c>
      <c r="C10681" s="51" t="n">
        <f aca="false">IFERROR(C10678/(C10676+C10677+C10678),0)</f>
        <v>0.0519601612718389</v>
      </c>
      <c r="D10681" s="51" t="n">
        <f aca="false">IFERROR(D10678/(D10676+D10677+D10678),0)</f>
        <v>0.0519601612718389</v>
      </c>
      <c r="E10681" s="51" t="n">
        <f aca="false">IFERROR(E10678/(E10676+E10677+E10678),0)</f>
        <v>0.0519601612718389</v>
      </c>
      <c r="F10681" s="51" t="n">
        <f aca="false">IFERROR(F10678/(F10676+F10677+F10678),0)</f>
        <v>0.0519601612718389</v>
      </c>
      <c r="G10681" s="51" t="n">
        <f aca="false">IFERROR(G10678/(G10676+G10677+G10678),0)</f>
        <v>0.0481499265623113</v>
      </c>
      <c r="H10681" s="51" t="n">
        <f aca="false">IFERROR(H10678/(H10676+H10677+H10678),0)</f>
        <v>0.0459057497814491</v>
      </c>
      <c r="I10681" s="51" t="n">
        <f aca="false">IFERROR(I10678/(I10676+I10677+I10678),0)</f>
        <v>0.0422402334833216</v>
      </c>
      <c r="J10681" s="51" t="n">
        <f aca="false">IFERROR(J10678/(J10676+J10677+J10678),0)</f>
        <v>0.0406714932469811</v>
      </c>
      <c r="K10681" s="51" t="n">
        <f aca="false">IFERROR(K10678/(K10676+K10677+K10678),0)</f>
        <v>0.0406714932469811</v>
      </c>
      <c r="L10681" s="51" t="n">
        <f aca="false">IFERROR(L10678/(L10676+L10677+L10678),0)</f>
        <v>0.0406714932469811</v>
      </c>
      <c r="M10681" s="51" t="n">
        <f aca="false">IFERROR(M10678/(M10676+M10677+M10678),0)</f>
        <v>0.0406714932469811</v>
      </c>
      <c r="N10681" s="51" t="n">
        <f aca="false">IFERROR(N10678/(N10676+N10677+N10678),0)</f>
        <v>0.0406714932469811</v>
      </c>
      <c r="P10681" s="52"/>
      <c r="Q10681" s="52"/>
      <c r="R10681" s="52"/>
      <c r="S10681" s="53"/>
    </row>
    <row r="10682" customFormat="false" ht="15" hidden="false" customHeight="false" outlineLevel="0" collapsed="false">
      <c r="A10682" s="4" t="s">
        <v>515</v>
      </c>
      <c r="B10682" s="36" t="s">
        <v>516</v>
      </c>
      <c r="C10682" s="48" t="n">
        <f aca="false">IF(C10650-Assumptions!$E$35&lt;1,0,INDEX($C$10675:$N$10675,1,C10650-Assumptions!$E$35)*INDEX($C$10679:$N$10679,1,C10650-Assumptions!$E$35)*Assumptions!$E$32)</f>
        <v>0</v>
      </c>
      <c r="D10682" s="48" t="n">
        <f aca="false">IF(D10650-Assumptions!$E$35&lt;1,0,INDEX($C$10675:$N$10675,1,D10650-Assumptions!$E$35)*INDEX($C$10679:$N$10679,1,D10650-Assumptions!$E$35)*Assumptions!$E$32)</f>
        <v>1.2159516320888</v>
      </c>
      <c r="E10682" s="48" t="n">
        <f aca="false">IF(E10650-Assumptions!$E$35&lt;1,0,INDEX($C$10675:$N$10675,1,E10650-Assumptions!$E$35)*INDEX($C$10679:$N$10679,1,E10650-Assumptions!$E$35)*Assumptions!$E$32)</f>
        <v>2.80424602229745</v>
      </c>
      <c r="F10682" s="48" t="n">
        <f aca="false">IF(F10650-Assumptions!$E$35&lt;1,0,INDEX($C$10675:$N$10675,1,F10650-Assumptions!$E$35)*INDEX($C$10679:$N$10679,1,F10650-Assumptions!$E$35)*Assumptions!$E$32)</f>
        <v>3.53183112209965</v>
      </c>
      <c r="G10682" s="48" t="n">
        <f aca="false">IF(G10650-Assumptions!$E$35&lt;1,0,INDEX($C$10675:$N$10675,1,G10650-Assumptions!$E$35)*INDEX($C$10679:$N$10679,1,G10650-Assumptions!$E$35)*Assumptions!$E$32)</f>
        <v>3.7222669622847</v>
      </c>
      <c r="H10682" s="48" t="n">
        <f aca="false">IF(H10650-Assumptions!$E$35&lt;1,0,INDEX($C$10675:$N$10675,1,H10650-Assumptions!$E$35)*INDEX($C$10679:$N$10679,1,H10650-Assumptions!$E$35)*Assumptions!$E$32)</f>
        <v>4.89754956471198</v>
      </c>
      <c r="I10682" s="48" t="n">
        <f aca="false">IF(I10650-Assumptions!$E$35&lt;1,0,INDEX($C$10675:$N$10675,1,I10650-Assumptions!$E$35)*INDEX($C$10679:$N$10679,1,I10650-Assumptions!$E$35)*Assumptions!$E$32)</f>
        <v>5.77605081917304</v>
      </c>
      <c r="J10682" s="48" t="n">
        <f aca="false">IF(J10650-Assumptions!$E$35&lt;1,0,INDEX($C$10675:$N$10675,1,J10650-Assumptions!$E$35)*INDEX($C$10679:$N$10679,1,J10650-Assumptions!$E$35)*Assumptions!$E$32)</f>
        <v>7.91415455060288</v>
      </c>
      <c r="K10682" s="48" t="n">
        <f aca="false">IF(K10650-Assumptions!$E$35&lt;1,0,INDEX($C$10675:$N$10675,1,K10650-Assumptions!$E$35)*INDEX($C$10679:$N$10679,1,K10650-Assumptions!$E$35)*Assumptions!$E$32)</f>
        <v>9.5809873493433</v>
      </c>
      <c r="L10682" s="48" t="n">
        <f aca="false">IF(L10650-Assumptions!$E$35&lt;1,0,INDEX($C$10675:$N$10675,1,L10650-Assumptions!$E$35)*INDEX($C$10679:$N$10679,1,L10650-Assumptions!$E$35)*Assumptions!$E$32)</f>
        <v>9.71435675400922</v>
      </c>
      <c r="M10682" s="48" t="n">
        <f aca="false">IF(M10650-Assumptions!$E$35&lt;1,0,INDEX($C$10675:$N$10675,1,M10650-Assumptions!$E$35)*INDEX($C$10679:$N$10679,1,M10650-Assumptions!$E$35)*Assumptions!$E$32)</f>
        <v>9.62367751831287</v>
      </c>
      <c r="N10682" s="48" t="n">
        <f aca="false">IF(N10650-Assumptions!$E$35&lt;1,0,INDEX($C$10675:$N$10675,1,N10650-Assumptions!$E$35)*INDEX($C$10679:$N$10679,1,N10650-Assumptions!$E$35)*Assumptions!$E$32)</f>
        <v>9.52055686356456</v>
      </c>
      <c r="P10682" s="49" t="n">
        <f aca="false">SUM(C10682:F10682)</f>
        <v>7.5520287764859</v>
      </c>
      <c r="Q10682" s="49" t="n">
        <f aca="false">SUM(G10682:J10682)</f>
        <v>22.3100218967726</v>
      </c>
      <c r="R10682" s="49" t="n">
        <f aca="false">SUM(K10682:N10682)</f>
        <v>38.4395784852299</v>
      </c>
      <c r="S10682" s="50" t="n">
        <f aca="false">SUM(P10682:R10682)</f>
        <v>68.3016291584884</v>
      </c>
    </row>
    <row r="10683" customFormat="false" ht="15" hidden="false" customHeight="false" outlineLevel="0" collapsed="false">
      <c r="A10683" s="4" t="s">
        <v>517</v>
      </c>
      <c r="B10683" s="36" t="s">
        <v>516</v>
      </c>
      <c r="C10683" s="48" t="n">
        <f aca="false">IF(C10650-Assumptions!$E$35&lt;1,0,INDEX($C$10675:$N$10675,1,C10650-Assumptions!$E$35)*INDEX($C$10680:$N$10680,1,C10650-Assumptions!$E$35)*Assumptions!$E$32)</f>
        <v>0</v>
      </c>
      <c r="D10683" s="48" t="n">
        <f aca="false">IF(D10650-Assumptions!$E$35&lt;1,0,INDEX($C$10675:$N$10675,1,D10650-Assumptions!$E$35)*INDEX($C$10680:$N$10680,1,D10650-Assumptions!$E$35)*Assumptions!$E$32)</f>
        <v>0.609234399041599</v>
      </c>
      <c r="E10683" s="48" t="n">
        <f aca="false">IF(E10650-Assumptions!$E$35&lt;1,0,INDEX($C$10675:$N$10675,1,E10650-Assumptions!$E$35)*INDEX($C$10680:$N$10680,1,E10650-Assumptions!$E$35)*Assumptions!$E$32)</f>
        <v>1.40502557426923</v>
      </c>
      <c r="F10683" s="48" t="n">
        <f aca="false">IF(F10650-Assumptions!$E$35&lt;1,0,INDEX($C$10675:$N$10675,1,F10650-Assumptions!$E$35)*INDEX($C$10680:$N$10680,1,F10650-Assumptions!$E$35)*Assumptions!$E$32)</f>
        <v>1.7695712184641</v>
      </c>
      <c r="G10683" s="48" t="n">
        <f aca="false">IF(G10650-Assumptions!$E$35&lt;1,0,INDEX($C$10675:$N$10675,1,G10650-Assumptions!$E$35)*INDEX($C$10680:$N$10680,1,G10650-Assumptions!$E$35)*Assumptions!$E$32)</f>
        <v>1.86498625109317</v>
      </c>
      <c r="H10683" s="48" t="n">
        <f aca="false">IF(H10650-Assumptions!$E$35&lt;1,0,INDEX($C$10675:$N$10675,1,H10650-Assumptions!$E$35)*INDEX($C$10680:$N$10680,1,H10650-Assumptions!$E$35)*Assumptions!$E$32)</f>
        <v>2.40543573743084</v>
      </c>
      <c r="I10683" s="48" t="n">
        <f aca="false">IF(I10650-Assumptions!$E$35&lt;1,0,INDEX($C$10675:$N$10675,1,I10650-Assumptions!$E$35)*INDEX($C$10680:$N$10680,1,I10650-Assumptions!$E$35)*Assumptions!$E$32)</f>
        <v>2.80384705786436</v>
      </c>
      <c r="J10683" s="48" t="n">
        <f aca="false">IF(J10650-Assumptions!$E$35&lt;1,0,INDEX($C$10675:$N$10675,1,J10650-Assumptions!$E$35)*INDEX($C$10680:$N$10680,1,J10650-Assumptions!$E$35)*Assumptions!$E$32)</f>
        <v>3.61348114756121</v>
      </c>
      <c r="K10683" s="48" t="n">
        <f aca="false">IF(K10650-Assumptions!$E$35&lt;1,0,INDEX($C$10675:$N$10675,1,K10650-Assumptions!$E$35)*INDEX($C$10680:$N$10680,1,K10650-Assumptions!$E$35)*Assumptions!$E$32)</f>
        <v>4.26014314952846</v>
      </c>
      <c r="L10683" s="48" t="n">
        <f aca="false">IF(L10650-Assumptions!$E$35&lt;1,0,INDEX($C$10675:$N$10675,1,L10650-Assumptions!$E$35)*INDEX($C$10680:$N$10680,1,L10650-Assumptions!$E$35)*Assumptions!$E$32)</f>
        <v>4.31944525847896</v>
      </c>
      <c r="M10683" s="48" t="n">
        <f aca="false">IF(M10650-Assumptions!$E$35&lt;1,0,INDEX($C$10675:$N$10675,1,M10650-Assumptions!$E$35)*INDEX($C$10680:$N$10680,1,M10650-Assumptions!$E$35)*Assumptions!$E$32)</f>
        <v>4.27912514212031</v>
      </c>
      <c r="N10683" s="48" t="n">
        <f aca="false">IF(N10650-Assumptions!$E$35&lt;1,0,INDEX($C$10675:$N$10675,1,N10650-Assumptions!$E$35)*INDEX($C$10680:$N$10680,1,N10650-Assumptions!$E$35)*Assumptions!$E$32)</f>
        <v>4.23327300445613</v>
      </c>
      <c r="P10683" s="49" t="n">
        <f aca="false">SUM(C10683:F10683)</f>
        <v>3.78383119177493</v>
      </c>
      <c r="Q10683" s="49" t="n">
        <f aca="false">SUM(G10683:J10683)</f>
        <v>10.6877501939496</v>
      </c>
      <c r="R10683" s="49" t="n">
        <f aca="false">SUM(K10683:N10683)</f>
        <v>17.0919865545839</v>
      </c>
      <c r="S10683" s="50" t="n">
        <f aca="false">SUM(P10683:R10683)</f>
        <v>31.5635679403084</v>
      </c>
    </row>
    <row r="10684" customFormat="false" ht="15" hidden="false" customHeight="false" outlineLevel="0" collapsed="false">
      <c r="A10684" s="4" t="s">
        <v>518</v>
      </c>
      <c r="B10684" s="36" t="s">
        <v>516</v>
      </c>
      <c r="C10684" s="48" t="n">
        <f aca="false">IF(C10650-Assumptions!$E$36&lt;1,0,INDEX($C$10675:$N$10675,1,C10650-Assumptions!$E$36)*INDEX($C$10681:$N$10681,1,C10650-Assumptions!$E$36)*Assumptions!$E$32)</f>
        <v>0</v>
      </c>
      <c r="D10684" s="48" t="n">
        <f aca="false">IF(D10650-Assumptions!$E$36&lt;1,0,INDEX($C$10675:$N$10675,1,D10650-Assumptions!$E$36)*INDEX($C$10681:$N$10681,1,D10650-Assumptions!$E$36)*Assumptions!$E$32)</f>
        <v>0</v>
      </c>
      <c r="E10684" s="48" t="n">
        <f aca="false">IF(E10650-Assumptions!$E$36&lt;1,0,INDEX($C$10675:$N$10675,1,E10650-Assumptions!$E$36)*INDEX($C$10681:$N$10681,1,E10650-Assumptions!$E$36)*Assumptions!$E$32)</f>
        <v>0.100034784040164</v>
      </c>
      <c r="F10684" s="48" t="n">
        <f aca="false">IF(F10650-Assumptions!$E$36&lt;1,0,INDEX($C$10675:$N$10675,1,F10650-Assumptions!$E$36)*INDEX($C$10681:$N$10681,1,F10650-Assumptions!$E$36)*Assumptions!$E$32)</f>
        <v>0.230701730096059</v>
      </c>
      <c r="G10684" s="48" t="n">
        <f aca="false">IF(G10650-Assumptions!$E$36&lt;1,0,INDEX($C$10675:$N$10675,1,G10650-Assumptions!$E$36)*INDEX($C$10681:$N$10681,1,G10650-Assumptions!$E$36)*Assumptions!$E$32)</f>
        <v>0.290559224760155</v>
      </c>
      <c r="H10684" s="48" t="n">
        <f aca="false">IF(H10650-Assumptions!$E$36&lt;1,0,INDEX($C$10675:$N$10675,1,H10650-Assumptions!$E$36)*INDEX($C$10681:$N$10681,1,H10650-Assumptions!$E$36)*Assumptions!$E$32)</f>
        <v>0.306226137525174</v>
      </c>
      <c r="I10684" s="48" t="n">
        <f aca="false">IF(I10650-Assumptions!$E$36&lt;1,0,INDEX($C$10675:$N$10675,1,I10650-Assumptions!$E$36)*INDEX($C$10681:$N$10681,1,I10650-Assumptions!$E$36)*Assumptions!$E$32)</f>
        <v>0.369426042815591</v>
      </c>
      <c r="J10684" s="48" t="n">
        <f aca="false">IF(J10650-Assumptions!$E$36&lt;1,0,INDEX($C$10675:$N$10675,1,J10650-Assumptions!$E$36)*INDEX($C$10681:$N$10681,1,J10650-Assumptions!$E$36)*Assumptions!$E$32)</f>
        <v>0.412817334349771</v>
      </c>
      <c r="K10684" s="48" t="n">
        <f aca="false">IF(K10650-Assumptions!$E$36&lt;1,0,INDEX($C$10675:$N$10675,1,K10650-Assumptions!$E$36)*INDEX($C$10681:$N$10681,1,K10650-Assumptions!$E$36)*Assumptions!$E$32)</f>
        <v>0.508405176772107</v>
      </c>
      <c r="L10684" s="48" t="n">
        <f aca="false">IF(L10650-Assumptions!$E$36&lt;1,0,INDEX($C$10675:$N$10675,1,L10650-Assumptions!$E$36)*INDEX($C$10681:$N$10681,1,L10650-Assumptions!$E$36)*Assumptions!$E$32)</f>
        <v>0.58680571009069</v>
      </c>
      <c r="M10684" s="48" t="n">
        <f aca="false">IF(M10650-Assumptions!$E$36&lt;1,0,INDEX($C$10675:$N$10675,1,M10650-Assumptions!$E$36)*INDEX($C$10681:$N$10681,1,M10650-Assumptions!$E$36)*Assumptions!$E$32)</f>
        <v>0.594974171790487</v>
      </c>
      <c r="N10684" s="48" t="n">
        <f aca="false">IF(N10650-Assumptions!$E$36&lt;1,0,INDEX($C$10675:$N$10675,1,N10650-Assumptions!$E$36)*INDEX($C$10681:$N$10681,1,N10650-Assumptions!$E$36)*Assumptions!$E$32)</f>
        <v>0.589420350315405</v>
      </c>
      <c r="P10684" s="49" t="n">
        <f aca="false">SUM(C10684:F10684)</f>
        <v>0.330736514136222</v>
      </c>
      <c r="Q10684" s="49" t="n">
        <f aca="false">SUM(G10684:J10684)</f>
        <v>1.37902873945069</v>
      </c>
      <c r="R10684" s="49" t="n">
        <f aca="false">SUM(K10684:N10684)</f>
        <v>2.27960540896869</v>
      </c>
      <c r="S10684" s="50" t="n">
        <f aca="false">SUM(P10684:R10684)</f>
        <v>3.9893706625556</v>
      </c>
    </row>
    <row r="10685" customFormat="false" ht="15" hidden="false" customHeight="false" outlineLevel="0" collapsed="false">
      <c r="A10685" s="4" t="s">
        <v>519</v>
      </c>
      <c r="B10685" s="36" t="s">
        <v>77</v>
      </c>
      <c r="C10685" s="51" t="n">
        <f aca="false">IF(C10650-Assumptions!$E$35&lt;1,0,IFERROR(INDEX($C$10674:$N$10674,1,C10650-Assumptions!$E$35)/INDEX($C$10675:$N$10675,1,C10650-Assumptions!$E$35),0))</f>
        <v>0</v>
      </c>
      <c r="D10685" s="51" t="n">
        <f aca="false">IF(D10650-Assumptions!$E$35&lt;1,0,IFERROR(INDEX($C$10674:$N$10674,1,D10650-Assumptions!$E$35)/INDEX($C$10675:$N$10675,1,D10650-Assumptions!$E$35),0))</f>
        <v>0.327235190392529</v>
      </c>
      <c r="E10685" s="51" t="n">
        <f aca="false">IF(E10650-Assumptions!$E$35&lt;1,0,IFERROR(INDEX($C$10674:$N$10674,1,E10650-Assumptions!$E$35)/INDEX($C$10675:$N$10675,1,E10650-Assumptions!$E$35),0))</f>
        <v>0.212839116470616</v>
      </c>
      <c r="F10685" s="51" t="n">
        <f aca="false">IF(F10650-Assumptions!$E$35&lt;1,0,IFERROR(INDEX($C$10674:$N$10674,1,F10650-Assumptions!$E$35)/INDEX($C$10675:$N$10675,1,F10650-Assumptions!$E$35),0))</f>
        <v>0.225323437094657</v>
      </c>
      <c r="G10685" s="51" t="n">
        <f aca="false">IF(G10650-Assumptions!$E$35&lt;1,0,IFERROR(INDEX($C$10674:$N$10674,1,G10650-Assumptions!$E$35)/INDEX($C$10675:$N$10675,1,G10650-Assumptions!$E$35),0))</f>
        <v>0.267244509774802</v>
      </c>
      <c r="H10685" s="51" t="n">
        <f aca="false">IF(H10650-Assumptions!$E$35&lt;1,0,IFERROR(INDEX($C$10674:$N$10674,1,H10650-Assumptions!$E$35)/INDEX($C$10675:$N$10675,1,H10650-Assumptions!$E$35),0))</f>
        <v>0.246337157253949</v>
      </c>
      <c r="I10685" s="51" t="n">
        <f aca="false">IF(I10650-Assumptions!$E$35&lt;1,0,IFERROR(INDEX($C$10674:$N$10674,1,I10650-Assumptions!$E$35)/INDEX($C$10675:$N$10675,1,I10650-Assumptions!$E$35),0))</f>
        <v>0.24519846877925</v>
      </c>
      <c r="J10685" s="51" t="n">
        <f aca="false">IF(J10650-Assumptions!$E$35&lt;1,0,IFERROR(INDEX($C$10674:$N$10674,1,J10650-Assumptions!$E$35)/INDEX($C$10675:$N$10675,1,J10650-Assumptions!$E$35),0))</f>
        <v>0.209371173310622</v>
      </c>
      <c r="K10685" s="51" t="n">
        <f aca="false">IF(K10650-Assumptions!$E$35&lt;1,0,IFERROR(INDEX($C$10674:$N$10674,1,K10650-Assumptions!$E$35)/INDEX($C$10675:$N$10675,1,K10650-Assumptions!$E$35),0))</f>
        <v>0.196493799178217</v>
      </c>
      <c r="L10685" s="51" t="n">
        <f aca="false">IF(L10650-Assumptions!$E$35&lt;1,0,IFERROR(INDEX($C$10674:$N$10674,1,L10650-Assumptions!$E$35)/INDEX($C$10675:$N$10675,1,L10650-Assumptions!$E$35),0))</f>
        <v>0.215329017295737</v>
      </c>
      <c r="M10685" s="51" t="n">
        <f aca="false">IF(M10650-Assumptions!$E$35&lt;1,0,IFERROR(INDEX($C$10674:$N$10674,1,M10650-Assumptions!$E$35)/INDEX($C$10675:$N$10675,1,M10650-Assumptions!$E$35),0))</f>
        <v>0.217357957965711</v>
      </c>
      <c r="N10685" s="51" t="n">
        <f aca="false">IF(N10650-Assumptions!$E$35&lt;1,0,IFERROR(INDEX($C$10674:$N$10674,1,N10650-Assumptions!$E$35)/INDEX($C$10675:$N$10675,1,N10650-Assumptions!$E$35),0))</f>
        <v>0.219712241991466</v>
      </c>
      <c r="P10685" s="52"/>
      <c r="Q10685" s="52"/>
      <c r="R10685" s="52"/>
      <c r="S10685" s="53"/>
    </row>
    <row r="10686" customFormat="false" ht="15" hidden="false" customHeight="false" outlineLevel="0" collapsed="false">
      <c r="A10686" s="4" t="s">
        <v>520</v>
      </c>
      <c r="B10686" s="36" t="s">
        <v>516</v>
      </c>
      <c r="C10686" s="48" t="n">
        <f aca="false">C10682*Assumptions!$E$37</f>
        <v>0</v>
      </c>
      <c r="D10686" s="48" t="n">
        <f aca="false">D10682*Assumptions!$E$37</f>
        <v>0.364785489626641</v>
      </c>
      <c r="E10686" s="48" t="n">
        <f aca="false">E10682*Assumptions!$E$37</f>
        <v>0.841273806689234</v>
      </c>
      <c r="F10686" s="48" t="n">
        <f aca="false">F10682*Assumptions!$E$37</f>
        <v>1.0595493366299</v>
      </c>
      <c r="G10686" s="48" t="n">
        <f aca="false">G10682*Assumptions!$E$37</f>
        <v>1.11668008868541</v>
      </c>
      <c r="H10686" s="48" t="n">
        <f aca="false">H10682*Assumptions!$E$37</f>
        <v>1.46926486941359</v>
      </c>
      <c r="I10686" s="48" t="n">
        <f aca="false">I10682*Assumptions!$E$37</f>
        <v>1.73281524575191</v>
      </c>
      <c r="J10686" s="48" t="n">
        <f aca="false">J10682*Assumptions!$E$37</f>
        <v>2.37424636518086</v>
      </c>
      <c r="K10686" s="48" t="n">
        <f aca="false">K10682*Assumptions!$E$37</f>
        <v>2.87429620480299</v>
      </c>
      <c r="L10686" s="48" t="n">
        <f aca="false">L10682*Assumptions!$E$37</f>
        <v>2.91430702620276</v>
      </c>
      <c r="M10686" s="48" t="n">
        <f aca="false">M10682*Assumptions!$E$37</f>
        <v>2.88710325549386</v>
      </c>
      <c r="N10686" s="48" t="n">
        <f aca="false">N10682*Assumptions!$E$37</f>
        <v>2.85616705906937</v>
      </c>
      <c r="P10686" s="49" t="n">
        <f aca="false">SUM(C10686:F10686)</f>
        <v>2.26560863294577</v>
      </c>
      <c r="Q10686" s="49" t="n">
        <f aca="false">SUM(G10686:J10686)</f>
        <v>6.69300656903178</v>
      </c>
      <c r="R10686" s="49" t="n">
        <f aca="false">SUM(K10686:N10686)</f>
        <v>11.531873545569</v>
      </c>
      <c r="S10686" s="50" t="n">
        <f aca="false">SUM(P10686:R10686)</f>
        <v>20.4904887475465</v>
      </c>
    </row>
    <row r="10687" customFormat="false" ht="15" hidden="false" customHeight="false" outlineLevel="0" collapsed="false">
      <c r="A10687" s="4" t="s">
        <v>521</v>
      </c>
      <c r="B10687" s="36" t="s">
        <v>516</v>
      </c>
      <c r="C10687" s="48" t="n">
        <f aca="false">C10682*(1-Assumptions!$E$37)</f>
        <v>0</v>
      </c>
      <c r="D10687" s="48" t="n">
        <f aca="false">D10682*(1-Assumptions!$E$37)</f>
        <v>0.851166142462162</v>
      </c>
      <c r="E10687" s="48" t="n">
        <f aca="false">E10682*(1-Assumptions!$E$37)</f>
        <v>1.96297221560821</v>
      </c>
      <c r="F10687" s="48" t="n">
        <f aca="false">F10682*(1-Assumptions!$E$37)</f>
        <v>2.47228178546976</v>
      </c>
      <c r="G10687" s="48" t="n">
        <f aca="false">G10682*(1-Assumptions!$E$37)</f>
        <v>2.60558687359929</v>
      </c>
      <c r="H10687" s="48" t="n">
        <f aca="false">H10682*(1-Assumptions!$E$37)</f>
        <v>3.42828469529838</v>
      </c>
      <c r="I10687" s="48" t="n">
        <f aca="false">I10682*(1-Assumptions!$E$37)</f>
        <v>4.04323557342113</v>
      </c>
      <c r="J10687" s="48" t="n">
        <f aca="false">J10682*(1-Assumptions!$E$37)</f>
        <v>5.53990818542202</v>
      </c>
      <c r="K10687" s="48" t="n">
        <f aca="false">K10682*(1-Assumptions!$E$37)</f>
        <v>6.70669114454031</v>
      </c>
      <c r="L10687" s="48" t="n">
        <f aca="false">L10682*(1-Assumptions!$E$37)</f>
        <v>6.80004972780645</v>
      </c>
      <c r="M10687" s="48" t="n">
        <f aca="false">M10682*(1-Assumptions!$E$37)</f>
        <v>6.73657426281901</v>
      </c>
      <c r="N10687" s="48" t="n">
        <f aca="false">N10682*(1-Assumptions!$E$37)</f>
        <v>6.66438980449519</v>
      </c>
      <c r="P10687" s="49" t="n">
        <f aca="false">SUM(C10687:F10687)</f>
        <v>5.28642014354013</v>
      </c>
      <c r="Q10687" s="49" t="n">
        <f aca="false">SUM(G10687:J10687)</f>
        <v>15.6170153277408</v>
      </c>
      <c r="R10687" s="49" t="n">
        <f aca="false">SUM(K10687:N10687)</f>
        <v>26.907704939661</v>
      </c>
      <c r="S10687" s="50" t="n">
        <f aca="false">SUM(P10687:R10687)</f>
        <v>47.8111404109419</v>
      </c>
    </row>
    <row r="10688" customFormat="false" ht="15" hidden="false" customHeight="false" outlineLevel="0" collapsed="false">
      <c r="A10688" s="4" t="s">
        <v>522</v>
      </c>
      <c r="B10688" s="36" t="s">
        <v>125</v>
      </c>
      <c r="C10688" s="54" t="n">
        <f aca="false">C10687*$C$10641+C10683*$C$10642+C10684*$C$10643</f>
        <v>0</v>
      </c>
      <c r="D10688" s="54" t="n">
        <f aca="false">D10687*$C$10641+D10683*$C$10642+D10684*$C$10643</f>
        <v>10505.6630627053</v>
      </c>
      <c r="E10688" s="54" t="n">
        <f aca="false">E10687*$C$10641+E10683*$C$10642+E10684*$C$10643</f>
        <v>30408.2933748513</v>
      </c>
      <c r="F10688" s="54" t="n">
        <f aca="false">F10687*$C$10641+F10683*$C$10642+F10684*$C$10643</f>
        <v>44766.9095466099</v>
      </c>
      <c r="G10688" s="54" t="n">
        <f aca="false">G10687*$C$10641+G10683*$C$10642+G10684*$C$10643</f>
        <v>50110.1419400552</v>
      </c>
      <c r="H10688" s="54" t="n">
        <f aca="false">H10687*$C$10641+H10683*$C$10642+H10684*$C$10643</f>
        <v>60759.5141095416</v>
      </c>
      <c r="I10688" s="54" t="n">
        <f aca="false">I10687*$C$10641+I10683*$C$10642+I10684*$C$10643</f>
        <v>71846.2830141309</v>
      </c>
      <c r="J10688" s="54" t="n">
        <f aca="false">J10687*$C$10641+J10683*$C$10642+J10684*$C$10643</f>
        <v>90444.5827204166</v>
      </c>
      <c r="K10688" s="54" t="n">
        <f aca="false">K10687*$C$10641+K10683*$C$10642+K10684*$C$10643</f>
        <v>108910.222129361</v>
      </c>
      <c r="L10688" s="54" t="n">
        <f aca="false">L10687*$C$10641+L10683*$C$10642+L10684*$C$10643</f>
        <v>114832.512603262</v>
      </c>
      <c r="M10688" s="54" t="n">
        <f aca="false">M10687*$C$10641+M10683*$C$10642+M10684*$C$10643</f>
        <v>114603.629942424</v>
      </c>
      <c r="N10688" s="54" t="n">
        <f aca="false">N10687*$C$10641+N10683*$C$10642+N10684*$C$10643</f>
        <v>113426.368319519</v>
      </c>
      <c r="P10688" s="55" t="n">
        <f aca="false">SUM(C10688:F10688)</f>
        <v>85680.8659841665</v>
      </c>
      <c r="Q10688" s="55" t="n">
        <f aca="false">SUM(G10688:J10688)</f>
        <v>273160.521784144</v>
      </c>
      <c r="R10688" s="55" t="n">
        <f aca="false">SUM(K10688:N10688)</f>
        <v>451772.732994565</v>
      </c>
      <c r="S10688" s="56" t="n">
        <f aca="false">SUM(P10688:R10688)</f>
        <v>810614.120762876</v>
      </c>
    </row>
    <row r="10689" customFormat="false" ht="15" hidden="false" customHeight="false" outlineLevel="0" collapsed="false">
      <c r="A10689" s="4" t="s">
        <v>523</v>
      </c>
      <c r="B10689" s="36" t="s">
        <v>125</v>
      </c>
      <c r="C10689" s="54" t="n">
        <f aca="false">(C10665+Assumptions!$E$104*C10651)*$C$10646</f>
        <v>0</v>
      </c>
      <c r="D10689" s="54" t="n">
        <f aca="false">(D10665+Assumptions!$E$104*D10651)*$C$10646</f>
        <v>153125</v>
      </c>
      <c r="E10689" s="54" t="n">
        <f aca="false">(E10665+Assumptions!$E$104*E10651)*$C$10646</f>
        <v>306250</v>
      </c>
      <c r="F10689" s="54" t="n">
        <f aca="false">(F10665+Assumptions!$E$104*F10651)*$C$10646</f>
        <v>382812.5</v>
      </c>
      <c r="G10689" s="54" t="n">
        <f aca="false">(G10665+Assumptions!$E$104*G10651)*$C$10646</f>
        <v>459375</v>
      </c>
      <c r="H10689" s="54" t="n">
        <f aca="false">(H10665+Assumptions!$E$104*H10651)*$C$10646</f>
        <v>535937.5</v>
      </c>
      <c r="I10689" s="54" t="n">
        <f aca="false">(I10665+Assumptions!$E$104*I10651)*$C$10646</f>
        <v>612500</v>
      </c>
      <c r="J10689" s="54" t="n">
        <f aca="false">(J10665+Assumptions!$E$104*J10651)*$C$10646</f>
        <v>689062.5</v>
      </c>
      <c r="K10689" s="54" t="n">
        <f aca="false">(K10665+Assumptions!$E$104*K10651)*$C$10646</f>
        <v>765625</v>
      </c>
      <c r="L10689" s="54" t="n">
        <f aca="false">(L10665+Assumptions!$E$104*L10651)*$C$10646</f>
        <v>842187.5</v>
      </c>
      <c r="M10689" s="54" t="n">
        <f aca="false">(M10665+Assumptions!$E$104*M10651)*$C$10646</f>
        <v>918750</v>
      </c>
      <c r="N10689" s="54" t="n">
        <f aca="false">(N10665+Assumptions!$E$104*N10651)*$C$10646</f>
        <v>918750</v>
      </c>
      <c r="P10689" s="55" t="n">
        <f aca="false">SUM(C10689:F10689)</f>
        <v>842187.5</v>
      </c>
      <c r="Q10689" s="55" t="n">
        <f aca="false">SUM(G10689:J10689)</f>
        <v>2296875</v>
      </c>
      <c r="R10689" s="55" t="n">
        <f aca="false">SUM(K10689:N10689)</f>
        <v>3445312.5</v>
      </c>
      <c r="S10689" s="56" t="n">
        <f aca="false">SUM(P10689:R10689)</f>
        <v>6584375</v>
      </c>
    </row>
    <row r="10690" customFormat="false" ht="15" hidden="false" customHeight="false" outlineLevel="0" collapsed="false">
      <c r="A10690" s="4" t="s">
        <v>524</v>
      </c>
      <c r="B10690" s="36" t="s">
        <v>77</v>
      </c>
      <c r="C10690" s="51" t="n">
        <f aca="false">IF(C10688&gt;0,MIN(1,C10689/C10688),1)</f>
        <v>1</v>
      </c>
      <c r="D10690" s="51" t="n">
        <f aca="false">IF(D10688&gt;0,MIN(1,D10689/D10688),1)</f>
        <v>1</v>
      </c>
      <c r="E10690" s="51" t="n">
        <f aca="false">IF(E10688&gt;0,MIN(1,E10689/E10688),1)</f>
        <v>1</v>
      </c>
      <c r="F10690" s="51" t="n">
        <f aca="false">IF(F10688&gt;0,MIN(1,F10689/F10688),1)</f>
        <v>1</v>
      </c>
      <c r="G10690" s="51" t="n">
        <f aca="false">IF(G10688&gt;0,MIN(1,G10689/G10688),1)</f>
        <v>1</v>
      </c>
      <c r="H10690" s="51" t="n">
        <f aca="false">IF(H10688&gt;0,MIN(1,H10689/H10688),1)</f>
        <v>1</v>
      </c>
      <c r="I10690" s="51" t="n">
        <f aca="false">IF(I10688&gt;0,MIN(1,I10689/I10688),1)</f>
        <v>1</v>
      </c>
      <c r="J10690" s="51" t="n">
        <f aca="false">IF(J10688&gt;0,MIN(1,J10689/J10688),1)</f>
        <v>1</v>
      </c>
      <c r="K10690" s="51" t="n">
        <f aca="false">IF(K10688&gt;0,MIN(1,K10689/K10688),1)</f>
        <v>1</v>
      </c>
      <c r="L10690" s="51" t="n">
        <f aca="false">IF(L10688&gt;0,MIN(1,L10689/L10688),1)</f>
        <v>1</v>
      </c>
      <c r="M10690" s="51" t="n">
        <f aca="false">IF(M10688&gt;0,MIN(1,M10689/M10688),1)</f>
        <v>1</v>
      </c>
      <c r="N10690" s="51" t="n">
        <f aca="false">IF(N10688&gt;0,MIN(1,N10689/N10688),1)</f>
        <v>1</v>
      </c>
      <c r="P10690" s="52"/>
      <c r="Q10690" s="52"/>
      <c r="R10690" s="52"/>
      <c r="S10690" s="53"/>
    </row>
    <row r="10691" customFormat="false" ht="15" hidden="false" customHeight="false" outlineLevel="0" collapsed="false">
      <c r="A10691" s="4" t="s">
        <v>525</v>
      </c>
      <c r="B10691" s="36" t="s">
        <v>125</v>
      </c>
      <c r="C10691" s="54" t="n">
        <f aca="false">C10688*(1-C10690)</f>
        <v>0</v>
      </c>
      <c r="D10691" s="54" t="n">
        <f aca="false">D10688*(1-D10690)</f>
        <v>0</v>
      </c>
      <c r="E10691" s="54" t="n">
        <f aca="false">E10688*(1-E10690)</f>
        <v>0</v>
      </c>
      <c r="F10691" s="54" t="n">
        <f aca="false">F10688*(1-F10690)</f>
        <v>0</v>
      </c>
      <c r="G10691" s="54" t="n">
        <f aca="false">G10688*(1-G10690)</f>
        <v>0</v>
      </c>
      <c r="H10691" s="54" t="n">
        <f aca="false">H10688*(1-H10690)</f>
        <v>0</v>
      </c>
      <c r="I10691" s="54" t="n">
        <f aca="false">I10688*(1-I10690)</f>
        <v>0</v>
      </c>
      <c r="J10691" s="54" t="n">
        <f aca="false">J10688*(1-J10690)</f>
        <v>0</v>
      </c>
      <c r="K10691" s="54" t="n">
        <f aca="false">K10688*(1-K10690)</f>
        <v>0</v>
      </c>
      <c r="L10691" s="54" t="n">
        <f aca="false">L10688*(1-L10690)</f>
        <v>0</v>
      </c>
      <c r="M10691" s="54" t="n">
        <f aca="false">M10688*(1-M10690)</f>
        <v>0</v>
      </c>
      <c r="N10691" s="54" t="n">
        <f aca="false">N10688*(1-N10690)</f>
        <v>0</v>
      </c>
      <c r="P10691" s="55" t="n">
        <f aca="false">SUM(C10691:F10691)</f>
        <v>0</v>
      </c>
      <c r="Q10691" s="55" t="n">
        <f aca="false">SUM(G10691:J10691)</f>
        <v>0</v>
      </c>
      <c r="R10691" s="55" t="n">
        <f aca="false">SUM(K10691:N10691)</f>
        <v>0</v>
      </c>
      <c r="S10691" s="56" t="n">
        <f aca="false">SUM(P10691:R10691)</f>
        <v>0</v>
      </c>
    </row>
    <row r="10692" customFormat="false" ht="15" hidden="false" customHeight="false" outlineLevel="0" collapsed="false">
      <c r="A10692" s="4" t="s">
        <v>526</v>
      </c>
      <c r="B10692" s="36" t="s">
        <v>527</v>
      </c>
      <c r="C10692" s="48" t="n">
        <f aca="false">C10686+C10687*C10690</f>
        <v>0</v>
      </c>
      <c r="D10692" s="48" t="n">
        <f aca="false">D10686+D10687*D10690</f>
        <v>1.2159516320888</v>
      </c>
      <c r="E10692" s="48" t="n">
        <f aca="false">E10686+E10687*E10690</f>
        <v>2.80424602229745</v>
      </c>
      <c r="F10692" s="48" t="n">
        <f aca="false">F10686+F10687*F10690</f>
        <v>3.53183112209965</v>
      </c>
      <c r="G10692" s="48" t="n">
        <f aca="false">G10686+G10687*G10690</f>
        <v>3.7222669622847</v>
      </c>
      <c r="H10692" s="48" t="n">
        <f aca="false">H10686+H10687*H10690</f>
        <v>4.89754956471198</v>
      </c>
      <c r="I10692" s="48" t="n">
        <f aca="false">I10686+I10687*I10690</f>
        <v>5.77605081917304</v>
      </c>
      <c r="J10692" s="48" t="n">
        <f aca="false">J10686+J10687*J10690</f>
        <v>7.91415455060288</v>
      </c>
      <c r="K10692" s="48" t="n">
        <f aca="false">K10686+K10687*K10690</f>
        <v>9.5809873493433</v>
      </c>
      <c r="L10692" s="48" t="n">
        <f aca="false">L10686+L10687*L10690</f>
        <v>9.71435675400922</v>
      </c>
      <c r="M10692" s="48" t="n">
        <f aca="false">M10686+M10687*M10690</f>
        <v>9.62367751831287</v>
      </c>
      <c r="N10692" s="48" t="n">
        <f aca="false">N10686+N10687*N10690</f>
        <v>9.52055686356456</v>
      </c>
      <c r="P10692" s="49" t="n">
        <f aca="false">SUM(C10692:F10692)</f>
        <v>7.5520287764859</v>
      </c>
      <c r="Q10692" s="49" t="n">
        <f aca="false">SUM(G10692:J10692)</f>
        <v>22.3100218967726</v>
      </c>
      <c r="R10692" s="49" t="n">
        <f aca="false">SUM(K10692:N10692)</f>
        <v>38.4395784852299</v>
      </c>
      <c r="S10692" s="50" t="n">
        <f aca="false">SUM(P10692:R10692)</f>
        <v>68.3016291584884</v>
      </c>
    </row>
    <row r="10693" customFormat="false" ht="15" hidden="false" customHeight="false" outlineLevel="0" collapsed="false">
      <c r="A10693" s="4" t="s">
        <v>528</v>
      </c>
      <c r="B10693" s="36" t="s">
        <v>527</v>
      </c>
      <c r="C10693" s="48" t="n">
        <f aca="false">C10683*C10690</f>
        <v>0</v>
      </c>
      <c r="D10693" s="48" t="n">
        <f aca="false">D10683*D10690</f>
        <v>0.609234399041599</v>
      </c>
      <c r="E10693" s="48" t="n">
        <f aca="false">E10683*E10690</f>
        <v>1.40502557426923</v>
      </c>
      <c r="F10693" s="48" t="n">
        <f aca="false">F10683*F10690</f>
        <v>1.7695712184641</v>
      </c>
      <c r="G10693" s="48" t="n">
        <f aca="false">G10683*G10690</f>
        <v>1.86498625109317</v>
      </c>
      <c r="H10693" s="48" t="n">
        <f aca="false">H10683*H10690</f>
        <v>2.40543573743084</v>
      </c>
      <c r="I10693" s="48" t="n">
        <f aca="false">I10683*I10690</f>
        <v>2.80384705786436</v>
      </c>
      <c r="J10693" s="48" t="n">
        <f aca="false">J10683*J10690</f>
        <v>3.61348114756121</v>
      </c>
      <c r="K10693" s="48" t="n">
        <f aca="false">K10683*K10690</f>
        <v>4.26014314952846</v>
      </c>
      <c r="L10693" s="48" t="n">
        <f aca="false">L10683*L10690</f>
        <v>4.31944525847896</v>
      </c>
      <c r="M10693" s="48" t="n">
        <f aca="false">M10683*M10690</f>
        <v>4.27912514212031</v>
      </c>
      <c r="N10693" s="48" t="n">
        <f aca="false">N10683*N10690</f>
        <v>4.23327300445613</v>
      </c>
      <c r="P10693" s="49" t="n">
        <f aca="false">SUM(C10693:F10693)</f>
        <v>3.78383119177493</v>
      </c>
      <c r="Q10693" s="49" t="n">
        <f aca="false">SUM(G10693:J10693)</f>
        <v>10.6877501939496</v>
      </c>
      <c r="R10693" s="49" t="n">
        <f aca="false">SUM(K10693:N10693)</f>
        <v>17.0919865545839</v>
      </c>
      <c r="S10693" s="50" t="n">
        <f aca="false">SUM(P10693:R10693)</f>
        <v>31.5635679403084</v>
      </c>
    </row>
    <row r="10694" customFormat="false" ht="15" hidden="false" customHeight="false" outlineLevel="0" collapsed="false">
      <c r="A10694" s="4" t="s">
        <v>529</v>
      </c>
      <c r="B10694" s="36" t="s">
        <v>527</v>
      </c>
      <c r="C10694" s="48" t="n">
        <f aca="false">C10684*C10690</f>
        <v>0</v>
      </c>
      <c r="D10694" s="48" t="n">
        <f aca="false">D10684*D10690</f>
        <v>0</v>
      </c>
      <c r="E10694" s="48" t="n">
        <f aca="false">E10684*E10690</f>
        <v>0.100034784040164</v>
      </c>
      <c r="F10694" s="48" t="n">
        <f aca="false">F10684*F10690</f>
        <v>0.230701730096059</v>
      </c>
      <c r="G10694" s="48" t="n">
        <f aca="false">G10684*G10690</f>
        <v>0.290559224760155</v>
      </c>
      <c r="H10694" s="48" t="n">
        <f aca="false">H10684*H10690</f>
        <v>0.306226137525174</v>
      </c>
      <c r="I10694" s="48" t="n">
        <f aca="false">I10684*I10690</f>
        <v>0.369426042815591</v>
      </c>
      <c r="J10694" s="48" t="n">
        <f aca="false">J10684*J10690</f>
        <v>0.412817334349771</v>
      </c>
      <c r="K10694" s="48" t="n">
        <f aca="false">K10684*K10690</f>
        <v>0.508405176772107</v>
      </c>
      <c r="L10694" s="48" t="n">
        <f aca="false">L10684*L10690</f>
        <v>0.58680571009069</v>
      </c>
      <c r="M10694" s="48" t="n">
        <f aca="false">M10684*M10690</f>
        <v>0.594974171790487</v>
      </c>
      <c r="N10694" s="48" t="n">
        <f aca="false">N10684*N10690</f>
        <v>0.589420350315405</v>
      </c>
      <c r="P10694" s="49" t="n">
        <f aca="false">SUM(C10694:F10694)</f>
        <v>0.330736514136222</v>
      </c>
      <c r="Q10694" s="49" t="n">
        <f aca="false">SUM(G10694:J10694)</f>
        <v>1.37902873945069</v>
      </c>
      <c r="R10694" s="49" t="n">
        <f aca="false">SUM(K10694:N10694)</f>
        <v>2.27960540896869</v>
      </c>
      <c r="S10694" s="50" t="n">
        <f aca="false">SUM(P10694:R10694)</f>
        <v>3.9893706625556</v>
      </c>
    </row>
    <row r="10695" customFormat="false" ht="15" hidden="false" customHeight="false" outlineLevel="0" collapsed="false">
      <c r="A10695" s="9" t="s">
        <v>530</v>
      </c>
      <c r="B10695" s="36" t="s">
        <v>527</v>
      </c>
      <c r="C10695" s="49" t="n">
        <f aca="false">C10692+C10693+C10694</f>
        <v>0</v>
      </c>
      <c r="D10695" s="49" t="n">
        <f aca="false">D10692+D10693+D10694</f>
        <v>1.8251860311304</v>
      </c>
      <c r="E10695" s="49" t="n">
        <f aca="false">E10692+E10693+E10694</f>
        <v>4.30930638060684</v>
      </c>
      <c r="F10695" s="49" t="n">
        <f aca="false">F10692+F10693+F10694</f>
        <v>5.53210407065981</v>
      </c>
      <c r="G10695" s="49" t="n">
        <f aca="false">G10692+G10693+G10694</f>
        <v>5.87781243813802</v>
      </c>
      <c r="H10695" s="49" t="n">
        <f aca="false">H10692+H10693+H10694</f>
        <v>7.60921143966799</v>
      </c>
      <c r="I10695" s="49" t="n">
        <f aca="false">I10692+I10693+I10694</f>
        <v>8.94932391985299</v>
      </c>
      <c r="J10695" s="49" t="n">
        <f aca="false">J10692+J10693+J10694</f>
        <v>11.9404530325139</v>
      </c>
      <c r="K10695" s="49" t="n">
        <f aca="false">K10692+K10693+K10694</f>
        <v>14.3495356756439</v>
      </c>
      <c r="L10695" s="49" t="n">
        <f aca="false">L10692+L10693+L10694</f>
        <v>14.6206077225789</v>
      </c>
      <c r="M10695" s="49" t="n">
        <f aca="false">M10692+M10693+M10694</f>
        <v>14.4977768322237</v>
      </c>
      <c r="N10695" s="49" t="n">
        <f aca="false">N10692+N10693+N10694</f>
        <v>14.3432502183361</v>
      </c>
      <c r="P10695" s="49" t="n">
        <f aca="false">SUM(C10695:F10695)</f>
        <v>11.6665964823971</v>
      </c>
      <c r="Q10695" s="49" t="n">
        <f aca="false">SUM(G10695:J10695)</f>
        <v>34.3768008301729</v>
      </c>
      <c r="R10695" s="49" t="n">
        <f aca="false">SUM(K10695:N10695)</f>
        <v>57.8111704487825</v>
      </c>
      <c r="S10695" s="50" t="n">
        <f aca="false">SUM(P10695:R10695)</f>
        <v>103.854567761352</v>
      </c>
    </row>
    <row r="10696" customFormat="false" ht="15" hidden="false" customHeight="false" outlineLevel="0" collapsed="false">
      <c r="A10696" s="35" t="s">
        <v>533</v>
      </c>
      <c r="B10696" s="35" t="s">
        <v>444</v>
      </c>
      <c r="C10696" s="6" t="s">
        <v>354</v>
      </c>
      <c r="D10696" s="6" t="s">
        <v>355</v>
      </c>
      <c r="E10696" s="6" t="s">
        <v>356</v>
      </c>
      <c r="F10696" s="6" t="s">
        <v>357</v>
      </c>
      <c r="G10696" s="6" t="s">
        <v>358</v>
      </c>
      <c r="H10696" s="6" t="s">
        <v>359</v>
      </c>
      <c r="I10696" s="6" t="s">
        <v>360</v>
      </c>
      <c r="J10696" s="6" t="s">
        <v>361</v>
      </c>
      <c r="K10696" s="6" t="s">
        <v>362</v>
      </c>
      <c r="L10696" s="6" t="s">
        <v>363</v>
      </c>
      <c r="M10696" s="6" t="s">
        <v>364</v>
      </c>
      <c r="N10696" s="6" t="s">
        <v>365</v>
      </c>
      <c r="P10696" s="6" t="s">
        <v>445</v>
      </c>
      <c r="Q10696" s="6" t="s">
        <v>446</v>
      </c>
      <c r="R10696" s="6" t="s">
        <v>447</v>
      </c>
      <c r="S10696" s="6" t="s">
        <v>448</v>
      </c>
    </row>
    <row r="10697" customFormat="false" ht="15" hidden="false" customHeight="false" outlineLevel="0" collapsed="false">
      <c r="A10697" s="4" t="s">
        <v>534</v>
      </c>
      <c r="B10697" s="36" t="s">
        <v>527</v>
      </c>
      <c r="C10697" s="48" t="n">
        <f aca="false">0*Assumptions!$E$59^(1/4)+C10692</f>
        <v>0</v>
      </c>
      <c r="D10697" s="48" t="n">
        <f aca="false">C10697*Assumptions!$E$59^(1/4)+D10692</f>
        <v>1.2159516320888</v>
      </c>
      <c r="E10697" s="48" t="n">
        <f aca="false">D10697*Assumptions!$E$59^(1/4)+E10692</f>
        <v>3.98195224029579</v>
      </c>
      <c r="F10697" s="48" t="n">
        <f aca="false">E10697*Assumptions!$E$59^(1/4)+F10692</f>
        <v>7.38853873234635</v>
      </c>
      <c r="G10697" s="48" t="n">
        <f aca="false">F10697*Assumptions!$E$59^(1/4)+G10692</f>
        <v>10.8784134547715</v>
      </c>
      <c r="H10697" s="48" t="n">
        <f aca="false">G10697*Assumptions!$E$59^(1/4)+H10692</f>
        <v>15.4338034991165</v>
      </c>
      <c r="I10697" s="48" t="n">
        <f aca="false">H10697*Assumptions!$E$59^(1/4)+I10692</f>
        <v>20.7244137874022</v>
      </c>
      <c r="J10697" s="48" t="n">
        <f aca="false">I10697*Assumptions!$E$59^(1/4)+J10692</f>
        <v>27.9867218614148</v>
      </c>
      <c r="K10697" s="48" t="n">
        <f aca="false">J10697*Assumptions!$E$59^(1/4)+K10692</f>
        <v>36.6874408362788</v>
      </c>
      <c r="L10697" s="48" t="n">
        <f aca="false">K10697*Assumptions!$E$59^(1/4)+L10692</f>
        <v>45.2478648764576</v>
      </c>
      <c r="M10697" s="48" t="n">
        <f aca="false">L10697*Assumptions!$E$59^(1/4)+M10692</f>
        <v>53.4483580482545</v>
      </c>
      <c r="N10697" s="48" t="n">
        <f aca="false">M10697*Assumptions!$E$59^(1/4)+N10692</f>
        <v>61.2877998640937</v>
      </c>
      <c r="P10697" s="49" t="n">
        <f aca="false">F10697</f>
        <v>7.38853873234635</v>
      </c>
      <c r="Q10697" s="49" t="n">
        <f aca="false">J10697</f>
        <v>27.9867218614148</v>
      </c>
      <c r="R10697" s="49" t="n">
        <f aca="false">N10697</f>
        <v>61.2877998640937</v>
      </c>
      <c r="S10697" s="50" t="n">
        <f aca="false">R10697</f>
        <v>61.2877998640937</v>
      </c>
    </row>
    <row r="10698" customFormat="false" ht="15" hidden="false" customHeight="false" outlineLevel="0" collapsed="false">
      <c r="A10698" s="4" t="s">
        <v>535</v>
      </c>
      <c r="B10698" s="36" t="s">
        <v>527</v>
      </c>
      <c r="C10698" s="48" t="n">
        <f aca="false">0*Assumptions!$E$60^(1/4)+C10693</f>
        <v>0</v>
      </c>
      <c r="D10698" s="48" t="n">
        <f aca="false">C10698*Assumptions!$E$60^(1/4)+D10693</f>
        <v>0.609234399041599</v>
      </c>
      <c r="E10698" s="48" t="n">
        <f aca="false">D10698*Assumptions!$E$60^(1/4)+E10693</f>
        <v>1.99842216138691</v>
      </c>
      <c r="F10698" s="48" t="n">
        <f aca="false">E10698*Assumptions!$E$60^(1/4)+F10693</f>
        <v>3.71604189059429</v>
      </c>
      <c r="G10698" s="48" t="n">
        <f aca="false">F10698*Assumptions!$E$60^(1/4)+G10693</f>
        <v>5.48442497440535</v>
      </c>
      <c r="H10698" s="48" t="n">
        <f aca="false">G10698*Assumptions!$E$60^(1/4)+H10693</f>
        <v>7.74728620949011</v>
      </c>
      <c r="I10698" s="48" t="n">
        <f aca="false">H10698*Assumptions!$E$60^(1/4)+I10693</f>
        <v>10.3497328505368</v>
      </c>
      <c r="J10698" s="48" t="n">
        <f aca="false">I10698*Assumptions!$E$60^(1/4)+J10693</f>
        <v>13.694159718485</v>
      </c>
      <c r="K10698" s="48" t="n">
        <f aca="false">J10698*Assumptions!$E$60^(1/4)+K10693</f>
        <v>17.5983060194792</v>
      </c>
      <c r="L10698" s="48" t="n">
        <f aca="false">K10698*Assumptions!$E$60^(1/4)+L10693</f>
        <v>21.4602612521906</v>
      </c>
      <c r="M10698" s="48" t="n">
        <f aca="false">L10698*Assumptions!$E$60^(1/4)+M10693</f>
        <v>25.1815000010196</v>
      </c>
      <c r="N10698" s="48" t="n">
        <f aca="false">M10698*Assumptions!$E$60^(1/4)+N10693</f>
        <v>28.7601483460578</v>
      </c>
      <c r="P10698" s="49" t="n">
        <f aca="false">F10698</f>
        <v>3.71604189059429</v>
      </c>
      <c r="Q10698" s="49" t="n">
        <f aca="false">J10698</f>
        <v>13.694159718485</v>
      </c>
      <c r="R10698" s="49" t="n">
        <f aca="false">N10698</f>
        <v>28.7601483460578</v>
      </c>
      <c r="S10698" s="50" t="n">
        <f aca="false">R10698</f>
        <v>28.7601483460578</v>
      </c>
    </row>
    <row r="10699" customFormat="false" ht="15" hidden="false" customHeight="false" outlineLevel="0" collapsed="false">
      <c r="A10699" s="4" t="s">
        <v>536</v>
      </c>
      <c r="B10699" s="36" t="s">
        <v>527</v>
      </c>
      <c r="C10699" s="48" t="n">
        <f aca="false">0*Assumptions!$E$61^(1/4)+C10694</f>
        <v>0</v>
      </c>
      <c r="D10699" s="48" t="n">
        <f aca="false">C10699*Assumptions!$E$61^(1/4)+D10694</f>
        <v>0</v>
      </c>
      <c r="E10699" s="48" t="n">
        <f aca="false">D10699*Assumptions!$E$61^(1/4)+E10694</f>
        <v>0.100034784040164</v>
      </c>
      <c r="F10699" s="48" t="n">
        <f aca="false">E10699*Assumptions!$E$61^(1/4)+F10694</f>
        <v>0.328672832687598</v>
      </c>
      <c r="G10699" s="48" t="n">
        <f aca="false">F10699*Assumptions!$E$61^(1/4)+G10694</f>
        <v>0.61245165567059</v>
      </c>
      <c r="H10699" s="48" t="n">
        <f aca="false">G10699*Assumptions!$E$61^(1/4)+H10694</f>
        <v>0.906043136839841</v>
      </c>
      <c r="I10699" s="48" t="n">
        <f aca="false">H10699*Assumptions!$E$61^(1/4)+I10694</f>
        <v>1.25677783712803</v>
      </c>
      <c r="J10699" s="48" t="n">
        <f aca="false">I10699*Assumptions!$E$61^(1/4)+J10694</f>
        <v>1.64366829881637</v>
      </c>
      <c r="K10699" s="48" t="n">
        <f aca="false">J10699*Assumptions!$E$61^(1/4)+K10694</f>
        <v>2.1181651924997</v>
      </c>
      <c r="L10699" s="48" t="n">
        <f aca="false">K10699*Assumptions!$E$61^(1/4)+L10694</f>
        <v>2.66127392003753</v>
      </c>
      <c r="M10699" s="48" t="n">
        <f aca="false">L10699*Assumptions!$E$61^(1/4)+M10694</f>
        <v>3.20134697247054</v>
      </c>
      <c r="N10699" s="48" t="n">
        <f aca="false">M10699*Assumptions!$E$61^(1/4)+N10694</f>
        <v>3.72472469150438</v>
      </c>
      <c r="P10699" s="49" t="n">
        <f aca="false">F10699</f>
        <v>0.328672832687598</v>
      </c>
      <c r="Q10699" s="49" t="n">
        <f aca="false">J10699</f>
        <v>1.64366829881637</v>
      </c>
      <c r="R10699" s="49" t="n">
        <f aca="false">N10699</f>
        <v>3.72472469150438</v>
      </c>
      <c r="S10699" s="50" t="n">
        <f aca="false">R10699</f>
        <v>3.72472469150438</v>
      </c>
    </row>
    <row r="10700" customFormat="false" ht="15" hidden="false" customHeight="false" outlineLevel="0" collapsed="false">
      <c r="A10700" s="9" t="s">
        <v>537</v>
      </c>
      <c r="B10700" s="36" t="s">
        <v>527</v>
      </c>
      <c r="C10700" s="49" t="n">
        <f aca="false">C10697+C10698+C10699</f>
        <v>0</v>
      </c>
      <c r="D10700" s="49" t="n">
        <f aca="false">D10697+D10698+D10699</f>
        <v>1.8251860311304</v>
      </c>
      <c r="E10700" s="49" t="n">
        <f aca="false">E10697+E10698+E10699</f>
        <v>6.08040918572286</v>
      </c>
      <c r="F10700" s="49" t="n">
        <f aca="false">F10697+F10698+F10699</f>
        <v>11.4332534556282</v>
      </c>
      <c r="G10700" s="49" t="n">
        <f aca="false">G10697+G10698+G10699</f>
        <v>16.9752900848474</v>
      </c>
      <c r="H10700" s="49" t="n">
        <f aca="false">H10697+H10698+H10699</f>
        <v>24.0871328454464</v>
      </c>
      <c r="I10700" s="49" t="n">
        <f aca="false">I10697+I10698+I10699</f>
        <v>32.330924475067</v>
      </c>
      <c r="J10700" s="49" t="n">
        <f aca="false">J10697+J10698+J10699</f>
        <v>43.3245498787162</v>
      </c>
      <c r="K10700" s="49" t="n">
        <f aca="false">K10697+K10698+K10699</f>
        <v>56.4039120482577</v>
      </c>
      <c r="L10700" s="49" t="n">
        <f aca="false">L10697+L10698+L10699</f>
        <v>69.3694000486857</v>
      </c>
      <c r="M10700" s="49" t="n">
        <f aca="false">M10697+M10698+M10699</f>
        <v>81.8312050217446</v>
      </c>
      <c r="N10700" s="49" t="n">
        <f aca="false">N10697+N10698+N10699</f>
        <v>93.7726729016559</v>
      </c>
      <c r="P10700" s="49" t="n">
        <f aca="false">F10700</f>
        <v>11.4332534556282</v>
      </c>
      <c r="Q10700" s="49" t="n">
        <f aca="false">J10700</f>
        <v>43.3245498787162</v>
      </c>
      <c r="R10700" s="49" t="n">
        <f aca="false">N10700</f>
        <v>93.7726729016559</v>
      </c>
      <c r="S10700" s="50" t="n">
        <f aca="false">R10700</f>
        <v>93.7726729016559</v>
      </c>
    </row>
    <row r="10701" customFormat="false" ht="15" hidden="false" customHeight="false" outlineLevel="0" collapsed="false">
      <c r="A10701" s="4" t="s">
        <v>538</v>
      </c>
      <c r="B10701" s="36" t="s">
        <v>125</v>
      </c>
      <c r="C10701" s="54" t="n">
        <f aca="false">0*Assumptions!$E$62^(1/4)+C10692*$C$10641</f>
        <v>0</v>
      </c>
      <c r="D10701" s="54" t="n">
        <f aca="false">C10701*Assumptions!$E$62^(1/4)+D10692*$C$10641</f>
        <v>6507.77313493928</v>
      </c>
      <c r="E10701" s="54" t="n">
        <f aca="false">D10701*Assumptions!$E$62^(1/4)+E10692*$C$10641</f>
        <v>21516.0978462752</v>
      </c>
      <c r="F10701" s="54" t="n">
        <f aca="false">E10701*Assumptions!$E$62^(1/4)+F10692*$C$10641</f>
        <v>40418.4580117525</v>
      </c>
      <c r="G10701" s="54" t="n">
        <f aca="false">F10701*Assumptions!$E$62^(1/4)+G10692*$C$10641</f>
        <v>60340.0307939002</v>
      </c>
      <c r="H10701" s="54" t="n">
        <f aca="false">G10701*Assumptions!$E$62^(1/4)+H10692*$C$10641</f>
        <v>86551.7160642387</v>
      </c>
      <c r="I10701" s="54" t="n">
        <f aca="false">H10701*Assumptions!$E$62^(1/4)+I10692*$C$10641</f>
        <v>117465.140048453</v>
      </c>
      <c r="J10701" s="54" t="n">
        <f aca="false">I10701*Assumptions!$E$62^(1/4)+J10692*$C$10641</f>
        <v>159821.695203279</v>
      </c>
      <c r="K10701" s="54" t="n">
        <f aca="false">J10701*Assumptions!$E$62^(1/4)+K10692*$C$10641</f>
        <v>211099.139496965</v>
      </c>
      <c r="L10701" s="54" t="n">
        <f aca="false">K10701*Assumptions!$E$62^(1/4)+L10692*$C$10641</f>
        <v>263090.376844422</v>
      </c>
      <c r="M10701" s="54" t="n">
        <f aca="false">L10701*Assumptions!$E$62^(1/4)+M10692*$C$10641</f>
        <v>314596.298922433</v>
      </c>
      <c r="N10701" s="54" t="n">
        <f aca="false">M10701*Assumptions!$E$62^(1/4)+N10692*$C$10641</f>
        <v>365550.31925623</v>
      </c>
      <c r="P10701" s="55" t="n">
        <f aca="false">F10701</f>
        <v>40418.4580117525</v>
      </c>
      <c r="Q10701" s="55" t="n">
        <f aca="false">J10701</f>
        <v>159821.695203279</v>
      </c>
      <c r="R10701" s="55" t="n">
        <f aca="false">N10701</f>
        <v>365550.31925623</v>
      </c>
      <c r="S10701" s="56" t="n">
        <f aca="false">R10701</f>
        <v>365550.31925623</v>
      </c>
    </row>
    <row r="10702" customFormat="false" ht="15" hidden="false" customHeight="false" outlineLevel="0" collapsed="false">
      <c r="A10702" s="4" t="s">
        <v>539</v>
      </c>
      <c r="B10702" s="36" t="s">
        <v>125</v>
      </c>
      <c r="C10702" s="54" t="n">
        <f aca="false">0*Assumptions!$E$63^(1/4)+C10693*$C$10642</f>
        <v>0</v>
      </c>
      <c r="D10702" s="54" t="n">
        <f aca="false">C10702*Assumptions!$E$63^(1/4)+D10693*$C$10642</f>
        <v>5950.22186824776</v>
      </c>
      <c r="E10702" s="54" t="n">
        <f aca="false">D10702*Assumptions!$E$63^(1/4)+E10693*$C$10642</f>
        <v>19760.0260662386</v>
      </c>
      <c r="F10702" s="54" t="n">
        <f aca="false">E10702*Assumptions!$E$63^(1/4)+F10693*$C$10642</f>
        <v>37332.8884876569</v>
      </c>
      <c r="G10702" s="54" t="n">
        <f aca="false">F10702*Assumptions!$E$63^(1/4)+G10693*$C$10642</f>
        <v>56095.504308754</v>
      </c>
      <c r="H10702" s="54" t="n">
        <f aca="false">G10702*Assumptions!$E$63^(1/4)+H10693*$C$10642</f>
        <v>80411.8587449195</v>
      </c>
      <c r="I10702" s="54" t="n">
        <f aca="false">H10702*Assumptions!$E$63^(1/4)+I10693*$C$10642</f>
        <v>108976.199488264</v>
      </c>
      <c r="J10702" s="54" t="n">
        <f aca="false">I10702*Assumptions!$E$63^(1/4)+J10693*$C$10642</f>
        <v>145867.158534353</v>
      </c>
      <c r="K10702" s="54" t="n">
        <f aca="false">J10702*Assumptions!$E$63^(1/4)+K10693*$C$10642</f>
        <v>189615.21662961</v>
      </c>
      <c r="L10702" s="54" t="n">
        <f aca="false">K10702*Assumptions!$E$63^(1/4)+L10693*$C$10642</f>
        <v>234584.414100699</v>
      </c>
      <c r="M10702" s="54" t="n">
        <f aca="false">L10702*Assumptions!$E$63^(1/4)+M10693*$C$10642</f>
        <v>279819.687365774</v>
      </c>
      <c r="N10702" s="54" t="n">
        <f aca="false">M10702*Assumptions!$E$63^(1/4)+N10693*$C$10642</f>
        <v>325270.911076266</v>
      </c>
      <c r="P10702" s="55" t="n">
        <f aca="false">F10702</f>
        <v>37332.8884876569</v>
      </c>
      <c r="Q10702" s="55" t="n">
        <f aca="false">J10702</f>
        <v>145867.158534353</v>
      </c>
      <c r="R10702" s="55" t="n">
        <f aca="false">N10702</f>
        <v>325270.911076266</v>
      </c>
      <c r="S10702" s="56" t="n">
        <f aca="false">R10702</f>
        <v>325270.911076266</v>
      </c>
    </row>
    <row r="10703" customFormat="false" ht="15" hidden="false" customHeight="false" outlineLevel="0" collapsed="false">
      <c r="A10703" s="4" t="s">
        <v>540</v>
      </c>
      <c r="B10703" s="36" t="s">
        <v>125</v>
      </c>
      <c r="C10703" s="54" t="n">
        <f aca="false">0*Assumptions!$E$64^(1/4)+C10694*$C$10643</f>
        <v>0</v>
      </c>
      <c r="D10703" s="54" t="n">
        <f aca="false">C10703*Assumptions!$E$64^(1/4)+D10694*$C$10643</f>
        <v>0</v>
      </c>
      <c r="E10703" s="54" t="n">
        <f aca="false">D10703*Assumptions!$E$64^(1/4)+E10694*$C$10643</f>
        <v>6179.97451928944</v>
      </c>
      <c r="F10703" s="54" t="n">
        <f aca="false">E10703*Assumptions!$E$64^(1/4)+F10694*$C$10643</f>
        <v>20652.0731171777</v>
      </c>
      <c r="G10703" s="54" t="n">
        <f aca="false">F10703*Assumptions!$E$64^(1/4)+G10694*$C$10643</f>
        <v>39336.6633438453</v>
      </c>
      <c r="H10703" s="54" t="n">
        <f aca="false">G10703*Assumptions!$E$64^(1/4)+H10694*$C$10643</f>
        <v>59653.5162071697</v>
      </c>
      <c r="I10703" s="54" t="n">
        <f aca="false">H10703*Assumptions!$E$64^(1/4)+I10694*$C$10643</f>
        <v>84597.1772177053</v>
      </c>
      <c r="J10703" s="54" t="n">
        <f aca="false">I10703*Assumptions!$E$64^(1/4)+J10694*$C$10643</f>
        <v>113108.425156784</v>
      </c>
      <c r="K10703" s="54" t="n">
        <f aca="false">J10703*Assumptions!$E$64^(1/4)+K10694*$C$10643</f>
        <v>148538.728447306</v>
      </c>
      <c r="L10703" s="54" t="n">
        <f aca="false">K10703*Assumptions!$E$64^(1/4)+L10694*$C$10643</f>
        <v>190072.313402135</v>
      </c>
      <c r="M10703" s="54" t="n">
        <f aca="false">L10703*Assumptions!$E$64^(1/4)+M10694*$C$10643</f>
        <v>233587.386061338</v>
      </c>
      <c r="N10703" s="54" t="n">
        <f aca="false">M10703*Assumptions!$E$64^(1/4)+N10694*$C$10643</f>
        <v>278306.665590083</v>
      </c>
      <c r="P10703" s="55" t="n">
        <f aca="false">F10703</f>
        <v>20652.0731171777</v>
      </c>
      <c r="Q10703" s="55" t="n">
        <f aca="false">J10703</f>
        <v>113108.425156784</v>
      </c>
      <c r="R10703" s="55" t="n">
        <f aca="false">N10703</f>
        <v>278306.665590083</v>
      </c>
      <c r="S10703" s="56" t="n">
        <f aca="false">R10703</f>
        <v>278306.665590083</v>
      </c>
    </row>
    <row r="10704" customFormat="false" ht="15" hidden="false" customHeight="false" outlineLevel="0" collapsed="false">
      <c r="A10704" s="9" t="s">
        <v>541</v>
      </c>
      <c r="B10704" s="36" t="s">
        <v>125</v>
      </c>
      <c r="C10704" s="55" t="n">
        <f aca="false">C10701+C10702+C10703</f>
        <v>0</v>
      </c>
      <c r="D10704" s="55" t="n">
        <f aca="false">D10701+D10702+D10703</f>
        <v>12457.995003187</v>
      </c>
      <c r="E10704" s="55" t="n">
        <f aca="false">E10701+E10702+E10703</f>
        <v>47456.0984318032</v>
      </c>
      <c r="F10704" s="55" t="n">
        <f aca="false">F10701+F10702+F10703</f>
        <v>98403.4196165871</v>
      </c>
      <c r="G10704" s="55" t="n">
        <f aca="false">G10701+G10702+G10703</f>
        <v>155772.1984465</v>
      </c>
      <c r="H10704" s="55" t="n">
        <f aca="false">H10701+H10702+H10703</f>
        <v>226617.091016328</v>
      </c>
      <c r="I10704" s="55" t="n">
        <f aca="false">I10701+I10702+I10703</f>
        <v>311038.516754423</v>
      </c>
      <c r="J10704" s="55" t="n">
        <f aca="false">J10701+J10702+J10703</f>
        <v>418797.278894416</v>
      </c>
      <c r="K10704" s="55" t="n">
        <f aca="false">K10701+K10702+K10703</f>
        <v>549253.084573881</v>
      </c>
      <c r="L10704" s="55" t="n">
        <f aca="false">L10701+L10702+L10703</f>
        <v>687747.104347256</v>
      </c>
      <c r="M10704" s="55" t="n">
        <f aca="false">M10701+M10702+M10703</f>
        <v>828003.372349544</v>
      </c>
      <c r="N10704" s="55" t="n">
        <f aca="false">N10701+N10702+N10703</f>
        <v>969127.895922579</v>
      </c>
      <c r="P10704" s="55" t="n">
        <f aca="false">F10704</f>
        <v>98403.4196165871</v>
      </c>
      <c r="Q10704" s="55" t="n">
        <f aca="false">J10704</f>
        <v>418797.278894416</v>
      </c>
      <c r="R10704" s="55" t="n">
        <f aca="false">N10704</f>
        <v>969127.895922579</v>
      </c>
      <c r="S10704" s="56" t="n">
        <f aca="false">R10704</f>
        <v>969127.895922579</v>
      </c>
    </row>
    <row r="10705" customFormat="false" ht="15" hidden="false" customHeight="false" outlineLevel="0" collapsed="false">
      <c r="A10705" s="4" t="s">
        <v>542</v>
      </c>
      <c r="B10705" s="36" t="s">
        <v>125</v>
      </c>
      <c r="C10705" s="54" t="n">
        <f aca="false">C10692*$C$10641+C10693*$C$10642+C10694*$C$10643</f>
        <v>0</v>
      </c>
      <c r="D10705" s="54" t="n">
        <f aca="false">D10692*$C$10641+D10693*$C$10642+D10694*$C$10643</f>
        <v>12457.995003187</v>
      </c>
      <c r="E10705" s="54" t="n">
        <f aca="false">E10692*$C$10641+E10693*$C$10642+E10694*$C$10643</f>
        <v>34910.7907882521</v>
      </c>
      <c r="F10705" s="54" t="n">
        <f aca="false">F10692*$C$10641+F10693*$C$10642+F10694*$C$10643</f>
        <v>50437.6175962531</v>
      </c>
      <c r="G10705" s="54" t="n">
        <f aca="false">G10692*$C$10641+G10693*$C$10642+G10694*$C$10643</f>
        <v>56086.6137746995</v>
      </c>
      <c r="H10705" s="54" t="n">
        <f aca="false">H10692*$C$10641+H10693*$C$10642+H10694*$C$10643</f>
        <v>68623.0196906431</v>
      </c>
      <c r="I10705" s="54" t="n">
        <f aca="false">I10692*$C$10641+I10693*$C$10642+I10694*$C$10643</f>
        <v>81120.3102093951</v>
      </c>
      <c r="J10705" s="54" t="n">
        <f aca="false">J10692*$C$10641+J10693*$C$10642+J10694*$C$10643</f>
        <v>103151.549266865</v>
      </c>
      <c r="K10705" s="54" t="n">
        <f aca="false">K10692*$C$10641+K10693*$C$10642+K10694*$C$10643</f>
        <v>124293.455417466</v>
      </c>
      <c r="L10705" s="54" t="n">
        <f aca="false">L10692*$C$10641+L10693*$C$10642+L10694*$C$10643</f>
        <v>130429.883807499</v>
      </c>
      <c r="M10705" s="54" t="n">
        <f aca="false">M10692*$C$10641+M10693*$C$10642+M10694*$C$10643</f>
        <v>130055.406565827</v>
      </c>
      <c r="N10705" s="54" t="n">
        <f aca="false">N10692*$C$10641+N10693*$C$10642+N10694*$C$10643</f>
        <v>128712.574419658</v>
      </c>
      <c r="P10705" s="55" t="n">
        <f aca="false">SUM(C10705:F10705)</f>
        <v>97806.4033876922</v>
      </c>
      <c r="Q10705" s="55" t="n">
        <f aca="false">SUM(G10705:J10705)</f>
        <v>308981.492941602</v>
      </c>
      <c r="R10705" s="55" t="n">
        <f aca="false">SUM(K10705:N10705)</f>
        <v>513491.32021045</v>
      </c>
      <c r="S10705" s="56" t="n">
        <f aca="false">SUM(P10705:R10705)</f>
        <v>920279.216539745</v>
      </c>
    </row>
    <row r="10706" customFormat="false" ht="15" hidden="false" customHeight="false" outlineLevel="0" collapsed="false">
      <c r="A10706" s="9" t="s">
        <v>543</v>
      </c>
      <c r="B10706" s="36" t="s">
        <v>125</v>
      </c>
      <c r="C10706" s="55" t="n">
        <f aca="false">(0+C10704)/8</f>
        <v>0</v>
      </c>
      <c r="D10706" s="55" t="n">
        <f aca="false">(C10704+D10704)/8</f>
        <v>1557.24937539838</v>
      </c>
      <c r="E10706" s="55" t="n">
        <f aca="false">(D10704+E10704)/8</f>
        <v>7489.26167937378</v>
      </c>
      <c r="F10706" s="55" t="n">
        <f aca="false">(E10704+F10704)/8</f>
        <v>18232.4397560488</v>
      </c>
      <c r="G10706" s="55" t="n">
        <f aca="false">(F10704+G10704)/8</f>
        <v>31771.9522578858</v>
      </c>
      <c r="H10706" s="55" t="n">
        <f aca="false">(G10704+H10704)/8</f>
        <v>47798.6611828534</v>
      </c>
      <c r="I10706" s="55" t="n">
        <f aca="false">(H10704+I10704)/8</f>
        <v>67206.9509713438</v>
      </c>
      <c r="J10706" s="55" t="n">
        <f aca="false">(I10704+J10704)/8</f>
        <v>91229.4744561048</v>
      </c>
      <c r="K10706" s="55" t="n">
        <f aca="false">(J10704+K10704)/8</f>
        <v>121006.295433537</v>
      </c>
      <c r="L10706" s="55" t="n">
        <f aca="false">(K10704+L10704)/8</f>
        <v>154625.023615142</v>
      </c>
      <c r="M10706" s="55" t="n">
        <f aca="false">(L10704+M10704)/8</f>
        <v>189468.8095871</v>
      </c>
      <c r="N10706" s="55" t="n">
        <f aca="false">(M10704+N10704)/8</f>
        <v>224641.408534015</v>
      </c>
      <c r="P10706" s="55" t="n">
        <f aca="false">SUM(C10706:F10706)</f>
        <v>27278.950810821</v>
      </c>
      <c r="Q10706" s="55" t="n">
        <f aca="false">SUM(G10706:J10706)</f>
        <v>238007.038868188</v>
      </c>
      <c r="R10706" s="55" t="n">
        <f aca="false">SUM(K10706:N10706)</f>
        <v>689741.537169794</v>
      </c>
      <c r="S10706" s="56" t="n">
        <f aca="false">SUM(P10706:R10706)</f>
        <v>955027.526848803</v>
      </c>
    </row>
    <row r="10707" customFormat="false" ht="15" hidden="false" customHeight="false" outlineLevel="0" collapsed="false">
      <c r="A10707" s="4" t="s">
        <v>544</v>
      </c>
      <c r="B10707" s="36" t="s">
        <v>125</v>
      </c>
      <c r="C10707" s="54" t="n">
        <f aca="false">C10706*Assumptions!$E$76</f>
        <v>0</v>
      </c>
      <c r="D10707" s="54" t="n">
        <f aca="false">D10706*Assumptions!$E$76</f>
        <v>1012.21209400895</v>
      </c>
      <c r="E10707" s="54" t="n">
        <f aca="false">E10706*Assumptions!$E$76</f>
        <v>4868.02009159296</v>
      </c>
      <c r="F10707" s="54" t="n">
        <f aca="false">F10706*Assumptions!$E$76</f>
        <v>11851.0858414317</v>
      </c>
      <c r="G10707" s="54" t="n">
        <f aca="false">G10706*Assumptions!$E$76</f>
        <v>20651.7689676258</v>
      </c>
      <c r="H10707" s="54" t="n">
        <f aca="false">H10706*Assumptions!$E$76</f>
        <v>31069.1297688547</v>
      </c>
      <c r="I10707" s="54" t="n">
        <f aca="false">I10706*Assumptions!$E$76</f>
        <v>43684.5181313735</v>
      </c>
      <c r="J10707" s="54" t="n">
        <f aca="false">J10706*Assumptions!$E$76</f>
        <v>59299.1583964681</v>
      </c>
      <c r="K10707" s="54" t="n">
        <f aca="false">K10706*Assumptions!$E$76</f>
        <v>78654.0920317991</v>
      </c>
      <c r="L10707" s="54" t="n">
        <f aca="false">L10706*Assumptions!$E$76</f>
        <v>100506.265349842</v>
      </c>
      <c r="M10707" s="54" t="n">
        <f aca="false">M10706*Assumptions!$E$76</f>
        <v>123154.726231615</v>
      </c>
      <c r="N10707" s="54" t="n">
        <f aca="false">N10706*Assumptions!$E$76</f>
        <v>146016.91554711</v>
      </c>
      <c r="P10707" s="55" t="n">
        <f aca="false">SUM(C10707:F10707)</f>
        <v>17731.3180270336</v>
      </c>
      <c r="Q10707" s="55" t="n">
        <f aca="false">SUM(G10707:J10707)</f>
        <v>154704.575264322</v>
      </c>
      <c r="R10707" s="55" t="n">
        <f aca="false">SUM(K10707:N10707)</f>
        <v>448331.999160366</v>
      </c>
      <c r="S10707" s="56" t="n">
        <f aca="false">SUM(P10707:R10707)</f>
        <v>620767.892451722</v>
      </c>
    </row>
    <row r="10708" customFormat="false" ht="15" hidden="false" customHeight="false" outlineLevel="0" collapsed="false">
      <c r="A10708" s="35" t="s">
        <v>547</v>
      </c>
      <c r="B10708" s="35" t="s">
        <v>444</v>
      </c>
      <c r="C10708" s="6" t="s">
        <v>354</v>
      </c>
      <c r="D10708" s="6" t="s">
        <v>355</v>
      </c>
      <c r="E10708" s="6" t="s">
        <v>356</v>
      </c>
      <c r="F10708" s="6" t="s">
        <v>357</v>
      </c>
      <c r="G10708" s="6" t="s">
        <v>358</v>
      </c>
      <c r="H10708" s="6" t="s">
        <v>359</v>
      </c>
      <c r="I10708" s="6" t="s">
        <v>360</v>
      </c>
      <c r="J10708" s="6" t="s">
        <v>361</v>
      </c>
      <c r="K10708" s="6" t="s">
        <v>362</v>
      </c>
      <c r="L10708" s="6" t="s">
        <v>363</v>
      </c>
      <c r="M10708" s="6" t="s">
        <v>364</v>
      </c>
      <c r="N10708" s="6" t="s">
        <v>365</v>
      </c>
      <c r="P10708" s="6" t="s">
        <v>445</v>
      </c>
      <c r="Q10708" s="6" t="s">
        <v>446</v>
      </c>
      <c r="R10708" s="6" t="s">
        <v>447</v>
      </c>
      <c r="S10708" s="6" t="s">
        <v>448</v>
      </c>
    </row>
    <row r="10709" customFormat="false" ht="15" hidden="false" customHeight="false" outlineLevel="0" collapsed="false">
      <c r="A10709" s="4" t="s">
        <v>548</v>
      </c>
      <c r="B10709" s="36" t="s">
        <v>321</v>
      </c>
      <c r="C10709" s="48" t="n">
        <f aca="false">Assumptions!$E$97*C10651</f>
        <v>1</v>
      </c>
      <c r="D10709" s="48" t="n">
        <f aca="false">Assumptions!$E$97*D10651</f>
        <v>1</v>
      </c>
      <c r="E10709" s="48" t="n">
        <f aca="false">Assumptions!$E$97*E10651</f>
        <v>1</v>
      </c>
      <c r="F10709" s="48" t="n">
        <f aca="false">Assumptions!$E$97*F10651</f>
        <v>1</v>
      </c>
      <c r="G10709" s="48" t="n">
        <f aca="false">Assumptions!$E$97*G10651</f>
        <v>1</v>
      </c>
      <c r="H10709" s="48" t="n">
        <f aca="false">Assumptions!$E$97*H10651</f>
        <v>1</v>
      </c>
      <c r="I10709" s="48" t="n">
        <f aca="false">Assumptions!$E$97*I10651</f>
        <v>1</v>
      </c>
      <c r="J10709" s="48" t="n">
        <f aca="false">Assumptions!$E$97*J10651</f>
        <v>1</v>
      </c>
      <c r="K10709" s="48" t="n">
        <f aca="false">Assumptions!$E$97*K10651</f>
        <v>1</v>
      </c>
      <c r="L10709" s="48" t="n">
        <f aca="false">Assumptions!$E$97*L10651</f>
        <v>1</v>
      </c>
      <c r="M10709" s="48" t="n">
        <f aca="false">Assumptions!$E$97*M10651</f>
        <v>1</v>
      </c>
      <c r="N10709" s="48" t="n">
        <f aca="false">Assumptions!$E$97*N10651</f>
        <v>1</v>
      </c>
      <c r="P10709" s="49" t="n">
        <f aca="false">AVERAGE(C10709:F10709)</f>
        <v>1</v>
      </c>
      <c r="Q10709" s="49" t="n">
        <f aca="false">AVERAGE(G10709:J10709)</f>
        <v>1</v>
      </c>
      <c r="R10709" s="49" t="n">
        <f aca="false">AVERAGE(K10709:N10709)</f>
        <v>1</v>
      </c>
      <c r="S10709" s="50"/>
    </row>
    <row r="10710" customFormat="false" ht="15" hidden="false" customHeight="false" outlineLevel="0" collapsed="false">
      <c r="A10710" s="4" t="s">
        <v>549</v>
      </c>
      <c r="B10710" s="36" t="s">
        <v>321</v>
      </c>
      <c r="C10710" s="48" t="n">
        <f aca="false">C10664*C10651</f>
        <v>2</v>
      </c>
      <c r="D10710" s="48" t="n">
        <f aca="false">D10664*D10651</f>
        <v>2</v>
      </c>
      <c r="E10710" s="48" t="n">
        <f aca="false">E10664*E10651</f>
        <v>3</v>
      </c>
      <c r="F10710" s="48" t="n">
        <f aca="false">F10664*F10651</f>
        <v>3</v>
      </c>
      <c r="G10710" s="48" t="n">
        <f aca="false">G10664*G10651</f>
        <v>4</v>
      </c>
      <c r="H10710" s="48" t="n">
        <f aca="false">H10664*H10651</f>
        <v>4</v>
      </c>
      <c r="I10710" s="48" t="n">
        <f aca="false">I10664*I10651</f>
        <v>5</v>
      </c>
      <c r="J10710" s="48" t="n">
        <f aca="false">J10664*J10651</f>
        <v>5</v>
      </c>
      <c r="K10710" s="48" t="n">
        <f aca="false">K10664*K10651</f>
        <v>6</v>
      </c>
      <c r="L10710" s="48" t="n">
        <f aca="false">L10664*L10651</f>
        <v>6</v>
      </c>
      <c r="M10710" s="48" t="n">
        <f aca="false">M10664*M10651</f>
        <v>6</v>
      </c>
      <c r="N10710" s="48" t="n">
        <f aca="false">N10664*N10651</f>
        <v>6</v>
      </c>
      <c r="P10710" s="49" t="n">
        <f aca="false">AVERAGE(C10710:F10710)</f>
        <v>2.5</v>
      </c>
      <c r="Q10710" s="49" t="n">
        <f aca="false">AVERAGE(G10710:J10710)</f>
        <v>4.5</v>
      </c>
      <c r="R10710" s="49" t="n">
        <f aca="false">AVERAGE(K10710:N10710)</f>
        <v>6</v>
      </c>
      <c r="S10710" s="50"/>
    </row>
    <row r="10711" customFormat="false" ht="15" hidden="false" customHeight="false" outlineLevel="0" collapsed="false">
      <c r="A10711" s="4" t="s">
        <v>550</v>
      </c>
      <c r="B10711" s="36" t="s">
        <v>321</v>
      </c>
      <c r="C10711" s="48" t="n">
        <f aca="false">IF(C10650&lt;=4,Assumptions!$E$98,Assumptions!$E$99)*C10651</f>
        <v>1</v>
      </c>
      <c r="D10711" s="48" t="n">
        <f aca="false">IF(D10650&lt;=4,Assumptions!$E$98,Assumptions!$E$99)*D10651</f>
        <v>1</v>
      </c>
      <c r="E10711" s="48" t="n">
        <f aca="false">IF(E10650&lt;=4,Assumptions!$E$98,Assumptions!$E$99)*E10651</f>
        <v>1</v>
      </c>
      <c r="F10711" s="48" t="n">
        <f aca="false">IF(F10650&lt;=4,Assumptions!$E$98,Assumptions!$E$99)*F10651</f>
        <v>1</v>
      </c>
      <c r="G10711" s="48" t="n">
        <f aca="false">IF(G10650&lt;=4,Assumptions!$E$98,Assumptions!$E$99)*G10651</f>
        <v>1</v>
      </c>
      <c r="H10711" s="48" t="n">
        <f aca="false">IF(H10650&lt;=4,Assumptions!$E$98,Assumptions!$E$99)*H10651</f>
        <v>1</v>
      </c>
      <c r="I10711" s="48" t="n">
        <f aca="false">IF(I10650&lt;=4,Assumptions!$E$98,Assumptions!$E$99)*I10651</f>
        <v>1</v>
      </c>
      <c r="J10711" s="48" t="n">
        <f aca="false">IF(J10650&lt;=4,Assumptions!$E$98,Assumptions!$E$99)*J10651</f>
        <v>1</v>
      </c>
      <c r="K10711" s="48" t="n">
        <f aca="false">IF(K10650&lt;=4,Assumptions!$E$98,Assumptions!$E$99)*K10651</f>
        <v>1</v>
      </c>
      <c r="L10711" s="48" t="n">
        <f aca="false">IF(L10650&lt;=4,Assumptions!$E$98,Assumptions!$E$99)*L10651</f>
        <v>1</v>
      </c>
      <c r="M10711" s="48" t="n">
        <f aca="false">IF(M10650&lt;=4,Assumptions!$E$98,Assumptions!$E$99)*M10651</f>
        <v>1</v>
      </c>
      <c r="N10711" s="48" t="n">
        <f aca="false">IF(N10650&lt;=4,Assumptions!$E$98,Assumptions!$E$99)*N10651</f>
        <v>1</v>
      </c>
      <c r="P10711" s="49" t="n">
        <f aca="false">AVERAGE(C10711:F10711)</f>
        <v>1</v>
      </c>
      <c r="Q10711" s="49" t="n">
        <f aca="false">AVERAGE(G10711:J10711)</f>
        <v>1</v>
      </c>
      <c r="R10711" s="49" t="n">
        <f aca="false">AVERAGE(K10711:N10711)</f>
        <v>1</v>
      </c>
      <c r="S10711" s="50"/>
    </row>
    <row r="10712" customFormat="false" ht="15" hidden="false" customHeight="false" outlineLevel="0" collapsed="false">
      <c r="A10712" s="4" t="s">
        <v>551</v>
      </c>
      <c r="B10712" s="36" t="s">
        <v>321</v>
      </c>
      <c r="C10712" s="48" t="n">
        <f aca="false">IF(C10650&lt;=4,Assumptions!$E$100,Assumptions!$E$101)*C10651</f>
        <v>1</v>
      </c>
      <c r="D10712" s="48" t="n">
        <f aca="false">IF(D10650&lt;=4,Assumptions!$E$100,Assumptions!$E$101)*D10651</f>
        <v>1</v>
      </c>
      <c r="E10712" s="48" t="n">
        <f aca="false">IF(E10650&lt;=4,Assumptions!$E$100,Assumptions!$E$101)*E10651</f>
        <v>1</v>
      </c>
      <c r="F10712" s="48" t="n">
        <f aca="false">IF(F10650&lt;=4,Assumptions!$E$100,Assumptions!$E$101)*F10651</f>
        <v>1</v>
      </c>
      <c r="G10712" s="48" t="n">
        <f aca="false">IF(G10650&lt;=4,Assumptions!$E$100,Assumptions!$E$101)*G10651</f>
        <v>0.5</v>
      </c>
      <c r="H10712" s="48" t="n">
        <f aca="false">IF(H10650&lt;=4,Assumptions!$E$100,Assumptions!$E$101)*H10651</f>
        <v>0.5</v>
      </c>
      <c r="I10712" s="48" t="n">
        <f aca="false">IF(I10650&lt;=4,Assumptions!$E$100,Assumptions!$E$101)*I10651</f>
        <v>0.5</v>
      </c>
      <c r="J10712" s="48" t="n">
        <f aca="false">IF(J10650&lt;=4,Assumptions!$E$100,Assumptions!$E$101)*J10651</f>
        <v>0.5</v>
      </c>
      <c r="K10712" s="48" t="n">
        <f aca="false">IF(K10650&lt;=4,Assumptions!$E$100,Assumptions!$E$101)*K10651</f>
        <v>0.5</v>
      </c>
      <c r="L10712" s="48" t="n">
        <f aca="false">IF(L10650&lt;=4,Assumptions!$E$100,Assumptions!$E$101)*L10651</f>
        <v>0.5</v>
      </c>
      <c r="M10712" s="48" t="n">
        <f aca="false">IF(M10650&lt;=4,Assumptions!$E$100,Assumptions!$E$101)*M10651</f>
        <v>0.5</v>
      </c>
      <c r="N10712" s="48" t="n">
        <f aca="false">IF(N10650&lt;=4,Assumptions!$E$100,Assumptions!$E$101)*N10651</f>
        <v>0.5</v>
      </c>
      <c r="P10712" s="49" t="n">
        <f aca="false">AVERAGE(C10712:F10712)</f>
        <v>1</v>
      </c>
      <c r="Q10712" s="49" t="n">
        <f aca="false">AVERAGE(G10712:J10712)</f>
        <v>0.5</v>
      </c>
      <c r="R10712" s="49" t="n">
        <f aca="false">AVERAGE(K10712:N10712)</f>
        <v>0.5</v>
      </c>
      <c r="S10712" s="50"/>
    </row>
    <row r="10713" customFormat="false" ht="15" hidden="false" customHeight="false" outlineLevel="0" collapsed="false">
      <c r="A10713" s="4" t="s">
        <v>552</v>
      </c>
      <c r="B10713" s="36" t="s">
        <v>321</v>
      </c>
      <c r="C10713" s="48" t="n">
        <f aca="false">Assumptions!$E$102*C10651</f>
        <v>0.5</v>
      </c>
      <c r="D10713" s="48" t="n">
        <f aca="false">Assumptions!$E$102*D10651</f>
        <v>0.5</v>
      </c>
      <c r="E10713" s="48" t="n">
        <f aca="false">Assumptions!$E$102*E10651</f>
        <v>0.5</v>
      </c>
      <c r="F10713" s="48" t="n">
        <f aca="false">Assumptions!$E$102*F10651</f>
        <v>0.5</v>
      </c>
      <c r="G10713" s="48" t="n">
        <f aca="false">Assumptions!$E$102*G10651</f>
        <v>0.5</v>
      </c>
      <c r="H10713" s="48" t="n">
        <f aca="false">Assumptions!$E$102*H10651</f>
        <v>0.5</v>
      </c>
      <c r="I10713" s="48" t="n">
        <f aca="false">Assumptions!$E$102*I10651</f>
        <v>0.5</v>
      </c>
      <c r="J10713" s="48" t="n">
        <f aca="false">Assumptions!$E$102*J10651</f>
        <v>0.5</v>
      </c>
      <c r="K10713" s="48" t="n">
        <f aca="false">Assumptions!$E$102*K10651</f>
        <v>0.5</v>
      </c>
      <c r="L10713" s="48" t="n">
        <f aca="false">Assumptions!$E$102*L10651</f>
        <v>0.5</v>
      </c>
      <c r="M10713" s="48" t="n">
        <f aca="false">Assumptions!$E$102*M10651</f>
        <v>0.5</v>
      </c>
      <c r="N10713" s="48" t="n">
        <f aca="false">Assumptions!$E$102*N10651</f>
        <v>0.5</v>
      </c>
      <c r="P10713" s="49" t="n">
        <f aca="false">AVERAGE(C10713:F10713)</f>
        <v>0.5</v>
      </c>
      <c r="Q10713" s="49" t="n">
        <f aca="false">AVERAGE(G10713:J10713)</f>
        <v>0.5</v>
      </c>
      <c r="R10713" s="49" t="n">
        <f aca="false">AVERAGE(K10713:N10713)</f>
        <v>0.5</v>
      </c>
      <c r="S10713" s="50"/>
    </row>
    <row r="10714" customFormat="false" ht="15" hidden="false" customHeight="false" outlineLevel="0" collapsed="false">
      <c r="A10714" s="4" t="s">
        <v>553</v>
      </c>
      <c r="B10714" s="36" t="s">
        <v>321</v>
      </c>
      <c r="C10714" s="48" t="n">
        <f aca="false">(C10698+C10699)/Assumptions!$E$74+C10697/Assumptions!$E$75</f>
        <v>0</v>
      </c>
      <c r="D10714" s="48" t="n">
        <f aca="false">(D10698+D10699)/Assumptions!$E$74+D10697/Assumptions!$E$75</f>
        <v>0.0200946665043952</v>
      </c>
      <c r="E10714" s="48" t="n">
        <f aca="false">(E10698+E10699)/Assumptions!$E$74+E10697/Assumptions!$E$75</f>
        <v>0.06838923259686</v>
      </c>
      <c r="F10714" s="48" t="n">
        <f aca="false">(F10698+F10699)/Assumptions!$E$74+F10697/Assumptions!$E$75</f>
        <v>0.130672023011433</v>
      </c>
      <c r="G10714" s="48" t="n">
        <f aca="false">(G10698+G10699)/Assumptions!$E$74+G10697/Assumptions!$E$75</f>
        <v>0.195935569570984</v>
      </c>
      <c r="H10714" s="48" t="n">
        <f aca="false">(H10698+H10699)/Assumptions!$E$74+H10697/Assumptions!$E$75</f>
        <v>0.278068447654715</v>
      </c>
      <c r="I10714" s="48" t="n">
        <f aca="false">(I10698+I10699)/Assumptions!$E$74+I10697/Assumptions!$E$75</f>
        <v>0.373060422341229</v>
      </c>
      <c r="J10714" s="48" t="n">
        <f aca="false">(J10698+J10699)/Assumptions!$E$74+J10697/Assumptions!$E$75</f>
        <v>0.495392587878193</v>
      </c>
      <c r="K10714" s="48" t="n">
        <f aca="false">(K10698+K10699)/Assumptions!$E$74+K10697/Assumptions!$E$75</f>
        <v>0.639661543644588</v>
      </c>
      <c r="L10714" s="48" t="n">
        <f aca="false">(L10698+L10699)/Assumptions!$E$74+L10697/Assumptions!$E$75</f>
        <v>0.784029838811533</v>
      </c>
      <c r="M10714" s="48" t="n">
        <f aca="false">(M10698+M10699)/Assumptions!$E$74+M10697/Assumptions!$E$75</f>
        <v>0.92336460653027</v>
      </c>
      <c r="N10714" s="48" t="n">
        <f aca="false">(N10698+N10699)/Assumptions!$E$74+N10697/Assumptions!$E$75</f>
        <v>1.05727302539543</v>
      </c>
      <c r="P10714" s="49" t="n">
        <f aca="false">AVERAGE(C10714:F10714)</f>
        <v>0.054788980528172</v>
      </c>
      <c r="Q10714" s="49" t="n">
        <f aca="false">AVERAGE(G10714:J10714)</f>
        <v>0.33561425686128</v>
      </c>
      <c r="R10714" s="49" t="n">
        <f aca="false">AVERAGE(K10714:N10714)</f>
        <v>0.851082253595455</v>
      </c>
      <c r="S10714" s="50"/>
    </row>
    <row r="10715" customFormat="false" ht="15" hidden="false" customHeight="false" outlineLevel="0" collapsed="false">
      <c r="A10715" s="4" t="s">
        <v>554</v>
      </c>
      <c r="B10715" s="36" t="s">
        <v>125</v>
      </c>
      <c r="C10715" s="54" t="n">
        <f aca="false">(C10709+C10711)*Assumptions!$E$70/Assumptions!$E$69/4</f>
        <v>133507.142857143</v>
      </c>
      <c r="D10715" s="54" t="n">
        <f aca="false">(D10709+D10711)*Assumptions!$E$70/Assumptions!$E$69/4</f>
        <v>133507.142857143</v>
      </c>
      <c r="E10715" s="54" t="n">
        <f aca="false">(E10709+E10711)*Assumptions!$E$70/Assumptions!$E$69/4</f>
        <v>133507.142857143</v>
      </c>
      <c r="F10715" s="54" t="n">
        <f aca="false">(F10709+F10711)*Assumptions!$E$70/Assumptions!$E$69/4</f>
        <v>133507.142857143</v>
      </c>
      <c r="G10715" s="54" t="n">
        <f aca="false">(G10709+G10711)*Assumptions!$E$70/Assumptions!$E$69/4</f>
        <v>133507.142857143</v>
      </c>
      <c r="H10715" s="54" t="n">
        <f aca="false">(H10709+H10711)*Assumptions!$E$70/Assumptions!$E$69/4</f>
        <v>133507.142857143</v>
      </c>
      <c r="I10715" s="54" t="n">
        <f aca="false">(I10709+I10711)*Assumptions!$E$70/Assumptions!$E$69/4</f>
        <v>133507.142857143</v>
      </c>
      <c r="J10715" s="54" t="n">
        <f aca="false">(J10709+J10711)*Assumptions!$E$70/Assumptions!$E$69/4</f>
        <v>133507.142857143</v>
      </c>
      <c r="K10715" s="54" t="n">
        <f aca="false">(K10709+K10711)*Assumptions!$E$70/Assumptions!$E$69/4</f>
        <v>133507.142857143</v>
      </c>
      <c r="L10715" s="54" t="n">
        <f aca="false">(L10709+L10711)*Assumptions!$E$70/Assumptions!$E$69/4</f>
        <v>133507.142857143</v>
      </c>
      <c r="M10715" s="54" t="n">
        <f aca="false">(M10709+M10711)*Assumptions!$E$70/Assumptions!$E$69/4</f>
        <v>133507.142857143</v>
      </c>
      <c r="N10715" s="54" t="n">
        <f aca="false">(N10709+N10711)*Assumptions!$E$70/Assumptions!$E$69/4</f>
        <v>133507.142857143</v>
      </c>
      <c r="P10715" s="55" t="n">
        <f aca="false">SUM(C10715:F10715)</f>
        <v>534028.571428572</v>
      </c>
      <c r="Q10715" s="55" t="n">
        <f aca="false">SUM(G10715:J10715)</f>
        <v>534028.571428572</v>
      </c>
      <c r="R10715" s="55" t="n">
        <f aca="false">SUM(K10715:N10715)</f>
        <v>534028.571428572</v>
      </c>
      <c r="S10715" s="56" t="n">
        <f aca="false">SUM(P10715:R10715)</f>
        <v>1602085.71428571</v>
      </c>
    </row>
    <row r="10716" customFormat="false" ht="15" hidden="false" customHeight="false" outlineLevel="0" collapsed="false">
      <c r="A10716" s="4" t="s">
        <v>555</v>
      </c>
      <c r="B10716" s="36" t="s">
        <v>125</v>
      </c>
      <c r="C10716" s="54" t="n">
        <f aca="false">C10710*$C$10645/4</f>
        <v>142857.142857143</v>
      </c>
      <c r="D10716" s="54" t="n">
        <f aca="false">D10710*$C$10645/4</f>
        <v>142857.142857143</v>
      </c>
      <c r="E10716" s="54" t="n">
        <f aca="false">E10710*$C$10645/4</f>
        <v>214285.714285714</v>
      </c>
      <c r="F10716" s="54" t="n">
        <f aca="false">F10710*$C$10645/4</f>
        <v>214285.714285714</v>
      </c>
      <c r="G10716" s="54" t="n">
        <f aca="false">G10710*$C$10645/4</f>
        <v>285714.285714286</v>
      </c>
      <c r="H10716" s="54" t="n">
        <f aca="false">H10710*$C$10645/4</f>
        <v>285714.285714286</v>
      </c>
      <c r="I10716" s="54" t="n">
        <f aca="false">I10710*$C$10645/4</f>
        <v>357142.857142857</v>
      </c>
      <c r="J10716" s="54" t="n">
        <f aca="false">J10710*$C$10645/4</f>
        <v>357142.857142857</v>
      </c>
      <c r="K10716" s="54" t="n">
        <f aca="false">K10710*$C$10645/4</f>
        <v>428571.428571429</v>
      </c>
      <c r="L10716" s="54" t="n">
        <f aca="false">L10710*$C$10645/4</f>
        <v>428571.428571429</v>
      </c>
      <c r="M10716" s="54" t="n">
        <f aca="false">M10710*$C$10645/4</f>
        <v>428571.428571429</v>
      </c>
      <c r="N10716" s="54" t="n">
        <f aca="false">N10710*$C$10645/4</f>
        <v>428571.428571429</v>
      </c>
      <c r="P10716" s="55" t="n">
        <f aca="false">SUM(C10716:F10716)</f>
        <v>714285.714285714</v>
      </c>
      <c r="Q10716" s="55" t="n">
        <f aca="false">SUM(G10716:J10716)</f>
        <v>1285714.28571429</v>
      </c>
      <c r="R10716" s="55" t="n">
        <f aca="false">SUM(K10716:N10716)</f>
        <v>1714285.71428571</v>
      </c>
      <c r="S10716" s="56" t="n">
        <f aca="false">SUM(P10716:R10716)</f>
        <v>3714285.71428571</v>
      </c>
    </row>
    <row r="10717" customFormat="false" ht="15" hidden="false" customHeight="false" outlineLevel="0" collapsed="false">
      <c r="A10717" s="4" t="s">
        <v>556</v>
      </c>
      <c r="B10717" s="36" t="s">
        <v>125</v>
      </c>
      <c r="C10717" s="54" t="n">
        <f aca="false">MAX(0,(C10705-C10686*$C$10641)-C10665*$C$10646)*$C$10647*Assumptions!$E$105</f>
        <v>0</v>
      </c>
      <c r="D10717" s="54" t="n">
        <f aca="false">MAX(0,(D10705-D10686*$C$10641)-D10665*$C$10646)*$C$10647*Assumptions!$E$105</f>
        <v>0</v>
      </c>
      <c r="E10717" s="54" t="n">
        <f aca="false">MAX(0,(E10705-E10686*$C$10641)-E10665*$C$10646)*$C$10647*Assumptions!$E$105</f>
        <v>0</v>
      </c>
      <c r="F10717" s="54" t="n">
        <f aca="false">MAX(0,(F10705-F10686*$C$10641)-F10665*$C$10646)*$C$10647*Assumptions!$E$105</f>
        <v>0</v>
      </c>
      <c r="G10717" s="54" t="n">
        <f aca="false">MAX(0,(G10705-G10686*$C$10641)-G10665*$C$10646)*$C$10647*Assumptions!$E$105</f>
        <v>0</v>
      </c>
      <c r="H10717" s="54" t="n">
        <f aca="false">MAX(0,(H10705-H10686*$C$10641)-H10665*$C$10646)*$C$10647*Assumptions!$E$105</f>
        <v>0</v>
      </c>
      <c r="I10717" s="54" t="n">
        <f aca="false">MAX(0,(I10705-I10686*$C$10641)-I10665*$C$10646)*$C$10647*Assumptions!$E$105</f>
        <v>0</v>
      </c>
      <c r="J10717" s="54" t="n">
        <f aca="false">MAX(0,(J10705-J10686*$C$10641)-J10665*$C$10646)*$C$10647*Assumptions!$E$105</f>
        <v>0</v>
      </c>
      <c r="K10717" s="54" t="n">
        <f aca="false">MAX(0,(K10705-K10686*$C$10641)-K10665*$C$10646)*$C$10647*Assumptions!$E$105</f>
        <v>0</v>
      </c>
      <c r="L10717" s="54" t="n">
        <f aca="false">MAX(0,(L10705-L10686*$C$10641)-L10665*$C$10646)*$C$10647*Assumptions!$E$105</f>
        <v>0</v>
      </c>
      <c r="M10717" s="54" t="n">
        <f aca="false">MAX(0,(M10705-M10686*$C$10641)-M10665*$C$10646)*$C$10647*Assumptions!$E$105</f>
        <v>0</v>
      </c>
      <c r="N10717" s="54" t="n">
        <f aca="false">MAX(0,(N10705-N10686*$C$10641)-N10665*$C$10646)*$C$10647*Assumptions!$E$105</f>
        <v>0</v>
      </c>
      <c r="P10717" s="55" t="n">
        <f aca="false">SUM(C10717:F10717)</f>
        <v>0</v>
      </c>
      <c r="Q10717" s="55" t="n">
        <f aca="false">SUM(G10717:J10717)</f>
        <v>0</v>
      </c>
      <c r="R10717" s="55" t="n">
        <f aca="false">SUM(K10717:N10717)</f>
        <v>0</v>
      </c>
      <c r="S10717" s="56" t="n">
        <f aca="false">SUM(P10717:R10717)</f>
        <v>0</v>
      </c>
    </row>
    <row r="10718" customFormat="false" ht="15" hidden="false" customHeight="false" outlineLevel="0" collapsed="false">
      <c r="A10718" s="4" t="s">
        <v>557</v>
      </c>
      <c r="B10718" s="36" t="s">
        <v>125</v>
      </c>
      <c r="C10718" s="54" t="n">
        <f aca="false">C10713*Assumptions!$E$71/Assumptions!$E$69/4</f>
        <v>36951.7857142857</v>
      </c>
      <c r="D10718" s="54" t="n">
        <f aca="false">D10713*Assumptions!$E$71/Assumptions!$E$69/4</f>
        <v>36951.7857142857</v>
      </c>
      <c r="E10718" s="54" t="n">
        <f aca="false">E10713*Assumptions!$E$71/Assumptions!$E$69/4</f>
        <v>36951.7857142857</v>
      </c>
      <c r="F10718" s="54" t="n">
        <f aca="false">F10713*Assumptions!$E$71/Assumptions!$E$69/4</f>
        <v>36951.7857142857</v>
      </c>
      <c r="G10718" s="54" t="n">
        <f aca="false">G10713*Assumptions!$E$71/Assumptions!$E$69/4</f>
        <v>36951.7857142857</v>
      </c>
      <c r="H10718" s="54" t="n">
        <f aca="false">H10713*Assumptions!$E$71/Assumptions!$E$69/4</f>
        <v>36951.7857142857</v>
      </c>
      <c r="I10718" s="54" t="n">
        <f aca="false">I10713*Assumptions!$E$71/Assumptions!$E$69/4</f>
        <v>36951.7857142857</v>
      </c>
      <c r="J10718" s="54" t="n">
        <f aca="false">J10713*Assumptions!$E$71/Assumptions!$E$69/4</f>
        <v>36951.7857142857</v>
      </c>
      <c r="K10718" s="54" t="n">
        <f aca="false">K10713*Assumptions!$E$71/Assumptions!$E$69/4</f>
        <v>36951.7857142857</v>
      </c>
      <c r="L10718" s="54" t="n">
        <f aca="false">L10713*Assumptions!$E$71/Assumptions!$E$69/4</f>
        <v>36951.7857142857</v>
      </c>
      <c r="M10718" s="54" t="n">
        <f aca="false">M10713*Assumptions!$E$71/Assumptions!$E$69/4</f>
        <v>36951.7857142857</v>
      </c>
      <c r="N10718" s="54" t="n">
        <f aca="false">N10713*Assumptions!$E$71/Assumptions!$E$69/4</f>
        <v>36951.7857142857</v>
      </c>
      <c r="P10718" s="55" t="n">
        <f aca="false">SUM(C10718:F10718)</f>
        <v>147807.142857143</v>
      </c>
      <c r="Q10718" s="55" t="n">
        <f aca="false">SUM(G10718:J10718)</f>
        <v>147807.142857143</v>
      </c>
      <c r="R10718" s="55" t="n">
        <f aca="false">SUM(K10718:N10718)</f>
        <v>147807.142857143</v>
      </c>
      <c r="S10718" s="56" t="n">
        <f aca="false">SUM(P10718:R10718)</f>
        <v>443421.428571429</v>
      </c>
    </row>
    <row r="10719" customFormat="false" ht="15" hidden="false" customHeight="false" outlineLevel="0" collapsed="false">
      <c r="A10719" s="4" t="s">
        <v>558</v>
      </c>
      <c r="B10719" s="36" t="s">
        <v>125</v>
      </c>
      <c r="C10719" s="54" t="n">
        <f aca="false">(Assumptions!$E$103+Assumptions!$E$77*((C10650=Assumptions!$E$13)+(C10650=Assumptions!$E$14)+(C10650=Assumptions!$E$15)))*C10651</f>
        <v>100000</v>
      </c>
      <c r="D10719" s="54" t="n">
        <f aca="false">(Assumptions!$E$103+Assumptions!$E$77*((D10650=Assumptions!$E$13)+(D10650=Assumptions!$E$14)+(D10650=Assumptions!$E$15)))*D10651</f>
        <v>60000</v>
      </c>
      <c r="E10719" s="54" t="n">
        <f aca="false">(Assumptions!$E$103+Assumptions!$E$77*((E10650=Assumptions!$E$13)+(E10650=Assumptions!$E$14)+(E10650=Assumptions!$E$15)))*E10651</f>
        <v>60000</v>
      </c>
      <c r="F10719" s="54" t="n">
        <f aca="false">(Assumptions!$E$103+Assumptions!$E$77*((F10650=Assumptions!$E$13)+(F10650=Assumptions!$E$14)+(F10650=Assumptions!$E$15)))*F10651</f>
        <v>60000</v>
      </c>
      <c r="G10719" s="54" t="n">
        <f aca="false">(Assumptions!$E$103+Assumptions!$E$77*((G10650=Assumptions!$E$13)+(G10650=Assumptions!$E$14)+(G10650=Assumptions!$E$15)))*G10651</f>
        <v>100000</v>
      </c>
      <c r="H10719" s="54" t="n">
        <f aca="false">(Assumptions!$E$103+Assumptions!$E$77*((H10650=Assumptions!$E$13)+(H10650=Assumptions!$E$14)+(H10650=Assumptions!$E$15)))*H10651</f>
        <v>60000</v>
      </c>
      <c r="I10719" s="54" t="n">
        <f aca="false">(Assumptions!$E$103+Assumptions!$E$77*((I10650=Assumptions!$E$13)+(I10650=Assumptions!$E$14)+(I10650=Assumptions!$E$15)))*I10651</f>
        <v>100000</v>
      </c>
      <c r="J10719" s="54" t="n">
        <f aca="false">(Assumptions!$E$103+Assumptions!$E$77*((J10650=Assumptions!$E$13)+(J10650=Assumptions!$E$14)+(J10650=Assumptions!$E$15)))*J10651</f>
        <v>60000</v>
      </c>
      <c r="K10719" s="54" t="n">
        <f aca="false">(Assumptions!$E$103+Assumptions!$E$77*((K10650=Assumptions!$E$13)+(K10650=Assumptions!$E$14)+(K10650=Assumptions!$E$15)))*K10651</f>
        <v>60000</v>
      </c>
      <c r="L10719" s="54" t="n">
        <f aca="false">(Assumptions!$E$103+Assumptions!$E$77*((L10650=Assumptions!$E$13)+(L10650=Assumptions!$E$14)+(L10650=Assumptions!$E$15)))*L10651</f>
        <v>60000</v>
      </c>
      <c r="M10719" s="54" t="n">
        <f aca="false">(Assumptions!$E$103+Assumptions!$E$77*((M10650=Assumptions!$E$13)+(M10650=Assumptions!$E$14)+(M10650=Assumptions!$E$15)))*M10651</f>
        <v>60000</v>
      </c>
      <c r="N10719" s="54" t="n">
        <f aca="false">(Assumptions!$E$103+Assumptions!$E$77*((N10650=Assumptions!$E$13)+(N10650=Assumptions!$E$14)+(N10650=Assumptions!$E$15)))*N10651</f>
        <v>60000</v>
      </c>
      <c r="P10719" s="55" t="n">
        <f aca="false">SUM(C10719:F10719)</f>
        <v>280000</v>
      </c>
      <c r="Q10719" s="55" t="n">
        <f aca="false">SUM(G10719:J10719)</f>
        <v>320000</v>
      </c>
      <c r="R10719" s="55" t="n">
        <f aca="false">SUM(K10719:N10719)</f>
        <v>240000</v>
      </c>
      <c r="S10719" s="56" t="n">
        <f aca="false">SUM(P10719:R10719)</f>
        <v>840000</v>
      </c>
    </row>
    <row r="10720" customFormat="false" ht="15" hidden="false" customHeight="false" outlineLevel="0" collapsed="false">
      <c r="A10720" s="4" t="s">
        <v>559</v>
      </c>
      <c r="B10720" s="36" t="s">
        <v>125</v>
      </c>
      <c r="C10720" s="54" t="n">
        <f aca="false">C10705*C10685*Assumptions!$E$79</f>
        <v>0</v>
      </c>
      <c r="D10720" s="54" t="n">
        <f aca="false">D10705*D10685*Assumptions!$E$79</f>
        <v>815.338873355417</v>
      </c>
      <c r="E10720" s="54" t="n">
        <f aca="false">E10705*E10685*Assumptions!$E$79</f>
        <v>1486.07637333242</v>
      </c>
      <c r="F10720" s="54" t="n">
        <f aca="false">F10705*F10685*Assumptions!$E$79</f>
        <v>2272.95547113074</v>
      </c>
      <c r="G10720" s="54" t="n">
        <f aca="false">G10705*G10685*Assumptions!$E$79</f>
        <v>2997.76792062964</v>
      </c>
      <c r="H10720" s="54" t="n">
        <f aca="false">H10705*H10685*Assumptions!$E$79</f>
        <v>3380.87991855496</v>
      </c>
      <c r="I10720" s="54" t="n">
        <f aca="false">I10705*I10685*Assumptions!$E$79</f>
        <v>3978.11517004828</v>
      </c>
      <c r="J10720" s="54" t="n">
        <f aca="false">J10705*J10685*Assumptions!$E$79</f>
        <v>4319.39217976238</v>
      </c>
      <c r="K10720" s="54" t="n">
        <f aca="false">K10705*K10685*Assumptions!$E$79</f>
        <v>4884.57865359328</v>
      </c>
      <c r="L10720" s="54" t="n">
        <f aca="false">L10705*L10685*Assumptions!$E$79</f>
        <v>5617.06774125316</v>
      </c>
      <c r="M10720" s="54" t="n">
        <f aca="false">M10705*M10685*Assumptions!$E$79</f>
        <v>5653.7155187097</v>
      </c>
      <c r="N10720" s="54" t="n">
        <f aca="false">N10705*N10685*Assumptions!$E$79</f>
        <v>5655.9456596473</v>
      </c>
      <c r="P10720" s="55" t="n">
        <f aca="false">SUM(C10720:F10720)</f>
        <v>4574.37071781858</v>
      </c>
      <c r="Q10720" s="55" t="n">
        <f aca="false">SUM(G10720:J10720)</f>
        <v>14676.1551889953</v>
      </c>
      <c r="R10720" s="55" t="n">
        <f aca="false">SUM(K10720:N10720)</f>
        <v>21811.3075732034</v>
      </c>
      <c r="S10720" s="56" t="n">
        <f aca="false">SUM(P10720:R10720)</f>
        <v>41061.8334800173</v>
      </c>
    </row>
    <row r="10721" customFormat="false" ht="15" hidden="false" customHeight="false" outlineLevel="0" collapsed="false">
      <c r="A10721" s="4" t="s">
        <v>560</v>
      </c>
      <c r="B10721" s="36" t="s">
        <v>125</v>
      </c>
      <c r="C10721" s="54" t="n">
        <f aca="false">C10670*Assumptions!$E$80</f>
        <v>4000</v>
      </c>
      <c r="D10721" s="54" t="n">
        <f aca="false">D10670*Assumptions!$E$80</f>
        <v>6000</v>
      </c>
      <c r="E10721" s="54" t="n">
        <f aca="false">E10670*Assumptions!$E$80</f>
        <v>8000</v>
      </c>
      <c r="F10721" s="54" t="n">
        <f aca="false">F10670*Assumptions!$E$80</f>
        <v>10000</v>
      </c>
      <c r="G10721" s="54" t="n">
        <f aca="false">G10670*Assumptions!$E$80</f>
        <v>12000</v>
      </c>
      <c r="H10721" s="54" t="n">
        <f aca="false">H10670*Assumptions!$E$80</f>
        <v>14000</v>
      </c>
      <c r="I10721" s="54" t="n">
        <f aca="false">I10670*Assumptions!$E$80</f>
        <v>16000</v>
      </c>
      <c r="J10721" s="54" t="n">
        <f aca="false">J10670*Assumptions!$E$80</f>
        <v>18000</v>
      </c>
      <c r="K10721" s="54" t="n">
        <f aca="false">K10670*Assumptions!$E$80</f>
        <v>20000</v>
      </c>
      <c r="L10721" s="54" t="n">
        <f aca="false">L10670*Assumptions!$E$80</f>
        <v>20000</v>
      </c>
      <c r="M10721" s="54" t="n">
        <f aca="false">M10670*Assumptions!$E$80</f>
        <v>20000</v>
      </c>
      <c r="N10721" s="54" t="n">
        <f aca="false">N10670*Assumptions!$E$80</f>
        <v>20000</v>
      </c>
      <c r="P10721" s="55" t="n">
        <f aca="false">SUM(C10721:F10721)</f>
        <v>28000</v>
      </c>
      <c r="Q10721" s="55" t="n">
        <f aca="false">SUM(G10721:J10721)</f>
        <v>60000</v>
      </c>
      <c r="R10721" s="55" t="n">
        <f aca="false">SUM(K10721:N10721)</f>
        <v>80000</v>
      </c>
      <c r="S10721" s="56" t="n">
        <f aca="false">SUM(P10721:R10721)</f>
        <v>168000</v>
      </c>
    </row>
    <row r="10722" customFormat="false" ht="15" hidden="false" customHeight="false" outlineLevel="0" collapsed="false">
      <c r="A10722" s="4" t="s">
        <v>561</v>
      </c>
      <c r="B10722" s="36" t="s">
        <v>125</v>
      </c>
      <c r="C10722" s="54" t="n">
        <f aca="false">(C10693*$C$10642+C10694*$C$10643)*Assumptions!$E$81</f>
        <v>0</v>
      </c>
      <c r="D10722" s="54" t="n">
        <f aca="false">(D10693*$C$10642+D10694*$C$10643)*Assumptions!$E$81</f>
        <v>892.533280237164</v>
      </c>
      <c r="E10722" s="54" t="n">
        <f aca="false">(E10693*$C$10642+E10694*$C$10643)*Assumptions!$E$81</f>
        <v>2985.36991153743</v>
      </c>
      <c r="F10722" s="54" t="n">
        <f aca="false">(F10693*$C$10642+F10694*$C$10643)*Assumptions!$E$81</f>
        <v>4730.28861461636</v>
      </c>
      <c r="G10722" s="54" t="n">
        <f aca="false">(G10693*$C$10642+G10694*$C$10643)*Assumptions!$E$81</f>
        <v>5424.75614888277</v>
      </c>
      <c r="H10722" s="54" t="n">
        <f aca="false">(H10693*$C$10642+H10694*$C$10643)*Assumptions!$E$81</f>
        <v>6361.7001630457</v>
      </c>
      <c r="I10722" s="54" t="n">
        <f aca="false">(I10693*$C$10642+I10694*$C$10643)*Assumptions!$E$81</f>
        <v>7531.03293377715</v>
      </c>
      <c r="J10722" s="54" t="n">
        <f aca="false">(J10693*$C$10642+J10694*$C$10643)*Assumptions!$E$81</f>
        <v>9119.2491168057</v>
      </c>
      <c r="K10722" s="54" t="n">
        <f aca="false">(K10693*$C$10642+K10694*$C$10643)*Assumptions!$E$81</f>
        <v>10952.4016685672</v>
      </c>
      <c r="L10722" s="54" t="n">
        <f aca="false">(L10693*$C$10642+L10694*$C$10643)*Assumptions!$E$81</f>
        <v>11765.7969690062</v>
      </c>
      <c r="M10722" s="54" t="n">
        <f aca="false">(M10693*$C$10642+M10694*$C$10643)*Assumptions!$E$81</f>
        <v>11782.4226731725</v>
      </c>
      <c r="N10722" s="54" t="n">
        <f aca="false">(N10693*$C$10642+N10694*$C$10643)*Assumptions!$E$81</f>
        <v>11663.7831128791</v>
      </c>
      <c r="P10722" s="55" t="n">
        <f aca="false">SUM(C10722:F10722)</f>
        <v>8608.19180639095</v>
      </c>
      <c r="Q10722" s="55" t="n">
        <f aca="false">SUM(G10722:J10722)</f>
        <v>28436.7383625113</v>
      </c>
      <c r="R10722" s="55" t="n">
        <f aca="false">SUM(K10722:N10722)</f>
        <v>46164.404423625</v>
      </c>
      <c r="S10722" s="56" t="n">
        <f aca="false">SUM(P10722:R10722)</f>
        <v>83209.3345925272</v>
      </c>
    </row>
    <row r="10723" customFormat="false" ht="15" hidden="false" customHeight="false" outlineLevel="0" collapsed="false">
      <c r="A10723" s="9" t="s">
        <v>562</v>
      </c>
      <c r="B10723" s="36" t="s">
        <v>125</v>
      </c>
      <c r="C10723" s="55" t="n">
        <f aca="false">C10715+C10716+C10717+C10718+C10719+C10720+C10721+C10722</f>
        <v>417316.071428572</v>
      </c>
      <c r="D10723" s="55" t="n">
        <f aca="false">D10715+D10716+D10717+D10718+D10719+D10720+D10721+D10722</f>
        <v>381023.943582164</v>
      </c>
      <c r="E10723" s="55" t="n">
        <f aca="false">E10715+E10716+E10717+E10718+E10719+E10720+E10721+E10722</f>
        <v>457216.089142013</v>
      </c>
      <c r="F10723" s="55" t="n">
        <f aca="false">F10715+F10716+F10717+F10718+F10719+F10720+F10721+F10722</f>
        <v>461747.88694289</v>
      </c>
      <c r="G10723" s="55" t="n">
        <f aca="false">G10715+G10716+G10717+G10718+G10719+G10720+G10721+G10722</f>
        <v>576595.738355227</v>
      </c>
      <c r="H10723" s="55" t="n">
        <f aca="false">H10715+H10716+H10717+H10718+H10719+H10720+H10721+H10722</f>
        <v>539915.794367315</v>
      </c>
      <c r="I10723" s="55" t="n">
        <f aca="false">I10715+I10716+I10717+I10718+I10719+I10720+I10721+I10722</f>
        <v>655110.933818111</v>
      </c>
      <c r="J10723" s="55" t="n">
        <f aca="false">J10715+J10716+J10717+J10718+J10719+J10720+J10721+J10722</f>
        <v>619040.427010854</v>
      </c>
      <c r="K10723" s="55" t="n">
        <f aca="false">K10715+K10716+K10717+K10718+K10719+K10720+K10721+K10722</f>
        <v>694867.337465018</v>
      </c>
      <c r="L10723" s="55" t="n">
        <f aca="false">L10715+L10716+L10717+L10718+L10719+L10720+L10721+L10722</f>
        <v>696413.221853117</v>
      </c>
      <c r="M10723" s="55" t="n">
        <f aca="false">M10715+M10716+M10717+M10718+M10719+M10720+M10721+M10722</f>
        <v>696466.495334739</v>
      </c>
      <c r="N10723" s="55" t="n">
        <f aca="false">N10715+N10716+N10717+N10718+N10719+N10720+N10721+N10722</f>
        <v>696350.085915384</v>
      </c>
      <c r="P10723" s="55" t="n">
        <f aca="false">SUM(C10723:F10723)</f>
        <v>1717303.99109564</v>
      </c>
      <c r="Q10723" s="55" t="n">
        <f aca="false">SUM(G10723:J10723)</f>
        <v>2390662.89355151</v>
      </c>
      <c r="R10723" s="55" t="n">
        <f aca="false">SUM(K10723:N10723)</f>
        <v>2784097.14056826</v>
      </c>
      <c r="S10723" s="56" t="n">
        <f aca="false">SUM(P10723:R10723)</f>
        <v>6892064.0252154</v>
      </c>
    </row>
    <row r="10724" customFormat="false" ht="15" hidden="false" customHeight="false" outlineLevel="0" collapsed="false">
      <c r="A10724" s="4" t="s">
        <v>563</v>
      </c>
      <c r="B10724" s="36" t="s">
        <v>125</v>
      </c>
      <c r="C10724" s="54" t="n">
        <f aca="false">C10712*Assumptions!$E$72/Assumptions!$E$69/4</f>
        <v>56535.7142857143</v>
      </c>
      <c r="D10724" s="54" t="n">
        <f aca="false">D10712*Assumptions!$E$72/Assumptions!$E$69/4</f>
        <v>56535.7142857143</v>
      </c>
      <c r="E10724" s="54" t="n">
        <f aca="false">E10712*Assumptions!$E$72/Assumptions!$E$69/4</f>
        <v>56535.7142857143</v>
      </c>
      <c r="F10724" s="54" t="n">
        <f aca="false">F10712*Assumptions!$E$72/Assumptions!$E$69/4</f>
        <v>56535.7142857143</v>
      </c>
      <c r="G10724" s="54" t="n">
        <f aca="false">G10712*Assumptions!$E$72/Assumptions!$E$69/4</f>
        <v>28267.8571428571</v>
      </c>
      <c r="H10724" s="54" t="n">
        <f aca="false">H10712*Assumptions!$E$72/Assumptions!$E$69/4</f>
        <v>28267.8571428571</v>
      </c>
      <c r="I10724" s="54" t="n">
        <f aca="false">I10712*Assumptions!$E$72/Assumptions!$E$69/4</f>
        <v>28267.8571428571</v>
      </c>
      <c r="J10724" s="54" t="n">
        <f aca="false">J10712*Assumptions!$E$72/Assumptions!$E$69/4</f>
        <v>28267.8571428571</v>
      </c>
      <c r="K10724" s="54" t="n">
        <f aca="false">K10712*Assumptions!$E$72/Assumptions!$E$69/4</f>
        <v>28267.8571428571</v>
      </c>
      <c r="L10724" s="54" t="n">
        <f aca="false">L10712*Assumptions!$E$72/Assumptions!$E$69/4</f>
        <v>28267.8571428571</v>
      </c>
      <c r="M10724" s="54" t="n">
        <f aca="false">M10712*Assumptions!$E$72/Assumptions!$E$69/4</f>
        <v>28267.8571428571</v>
      </c>
      <c r="N10724" s="54" t="n">
        <f aca="false">N10712*Assumptions!$E$72/Assumptions!$E$69/4</f>
        <v>28267.8571428571</v>
      </c>
      <c r="P10724" s="55" t="n">
        <f aca="false">SUM(C10724:F10724)</f>
        <v>226142.857142857</v>
      </c>
      <c r="Q10724" s="55" t="n">
        <f aca="false">SUM(G10724:J10724)</f>
        <v>113071.428571429</v>
      </c>
      <c r="R10724" s="55" t="n">
        <f aca="false">SUM(K10724:N10724)</f>
        <v>113071.428571429</v>
      </c>
      <c r="S10724" s="56" t="n">
        <f aca="false">SUM(P10724:R10724)</f>
        <v>452285.714285714</v>
      </c>
    </row>
    <row r="10725" customFormat="false" ht="15" hidden="false" customHeight="false" outlineLevel="0" collapsed="false">
      <c r="A10725" s="4" t="s">
        <v>564</v>
      </c>
      <c r="B10725" s="36" t="s">
        <v>125</v>
      </c>
      <c r="C10725" s="54" t="n">
        <f aca="false">IF(C10650&lt;=Assumptions!$E$83,Assumptions!$E$82*Assumptions!$E$108/Assumptions!$E$83,0)</f>
        <v>62500</v>
      </c>
      <c r="D10725" s="54" t="n">
        <f aca="false">IF(D10650&lt;=Assumptions!$E$83,Assumptions!$E$82*Assumptions!$E$108/Assumptions!$E$83,0)</f>
        <v>62500</v>
      </c>
      <c r="E10725" s="54" t="n">
        <f aca="false">IF(E10650&lt;=Assumptions!$E$83,Assumptions!$E$82*Assumptions!$E$108/Assumptions!$E$83,0)</f>
        <v>62500</v>
      </c>
      <c r="F10725" s="54" t="n">
        <f aca="false">IF(F10650&lt;=Assumptions!$E$83,Assumptions!$E$82*Assumptions!$E$108/Assumptions!$E$83,0)</f>
        <v>62500</v>
      </c>
      <c r="G10725" s="54" t="n">
        <f aca="false">IF(G10650&lt;=Assumptions!$E$83,Assumptions!$E$82*Assumptions!$E$108/Assumptions!$E$83,0)</f>
        <v>0</v>
      </c>
      <c r="H10725" s="54" t="n">
        <f aca="false">IF(H10650&lt;=Assumptions!$E$83,Assumptions!$E$82*Assumptions!$E$108/Assumptions!$E$83,0)</f>
        <v>0</v>
      </c>
      <c r="I10725" s="54" t="n">
        <f aca="false">IF(I10650&lt;=Assumptions!$E$83,Assumptions!$E$82*Assumptions!$E$108/Assumptions!$E$83,0)</f>
        <v>0</v>
      </c>
      <c r="J10725" s="54" t="n">
        <f aca="false">IF(J10650&lt;=Assumptions!$E$83,Assumptions!$E$82*Assumptions!$E$108/Assumptions!$E$83,0)</f>
        <v>0</v>
      </c>
      <c r="K10725" s="54" t="n">
        <f aca="false">IF(K10650&lt;=Assumptions!$E$83,Assumptions!$E$82*Assumptions!$E$108/Assumptions!$E$83,0)</f>
        <v>0</v>
      </c>
      <c r="L10725" s="54" t="n">
        <f aca="false">IF(L10650&lt;=Assumptions!$E$83,Assumptions!$E$82*Assumptions!$E$108/Assumptions!$E$83,0)</f>
        <v>0</v>
      </c>
      <c r="M10725" s="54" t="n">
        <f aca="false">IF(M10650&lt;=Assumptions!$E$83,Assumptions!$E$82*Assumptions!$E$108/Assumptions!$E$83,0)</f>
        <v>0</v>
      </c>
      <c r="N10725" s="54" t="n">
        <f aca="false">IF(N10650&lt;=Assumptions!$E$83,Assumptions!$E$82*Assumptions!$E$108/Assumptions!$E$83,0)</f>
        <v>0</v>
      </c>
      <c r="P10725" s="55" t="n">
        <f aca="false">SUM(C10725:F10725)</f>
        <v>250000</v>
      </c>
      <c r="Q10725" s="55" t="n">
        <f aca="false">SUM(G10725:J10725)</f>
        <v>0</v>
      </c>
      <c r="R10725" s="55" t="n">
        <f aca="false">SUM(K10725:N10725)</f>
        <v>0</v>
      </c>
      <c r="S10725" s="56" t="n">
        <f aca="false">SUM(P10725:R10725)</f>
        <v>250000</v>
      </c>
    </row>
    <row r="10726" customFormat="false" ht="15" hidden="false" customHeight="false" outlineLevel="0" collapsed="false">
      <c r="A10726" s="4" t="s">
        <v>565</v>
      </c>
      <c r="B10726" s="36" t="s">
        <v>125</v>
      </c>
      <c r="C10726" s="54" t="n">
        <f aca="false">C10714*Assumptions!$E$73/Assumptions!$E$69/4</f>
        <v>0</v>
      </c>
      <c r="D10726" s="54" t="n">
        <f aca="false">D10714*Assumptions!$E$73/Assumptions!$E$69/4</f>
        <v>807.446760146251</v>
      </c>
      <c r="E10726" s="54" t="n">
        <f aca="false">E10714*Assumptions!$E$73/Assumptions!$E$69/4</f>
        <v>2748.0259140974</v>
      </c>
      <c r="F10726" s="54" t="n">
        <f aca="false">F10714*Assumptions!$E$73/Assumptions!$E$69/4</f>
        <v>5250.68189607724</v>
      </c>
      <c r="G10726" s="54" t="n">
        <f aca="false">G10714*Assumptions!$E$73/Assumptions!$E$69/4</f>
        <v>7873.11104729695</v>
      </c>
      <c r="H10726" s="54" t="n">
        <f aca="false">H10714*Assumptions!$E$73/Assumptions!$E$69/4</f>
        <v>11173.3860877257</v>
      </c>
      <c r="I10726" s="54" t="n">
        <f aca="false">I10714*Assumptions!$E$73/Assumptions!$E$69/4</f>
        <v>14990.3671848613</v>
      </c>
      <c r="J10726" s="54" t="n">
        <f aca="false">J10714*Assumptions!$E$73/Assumptions!$E$69/4</f>
        <v>19905.9357364913</v>
      </c>
      <c r="K10726" s="54" t="n">
        <f aca="false">K10714*Assumptions!$E$73/Assumptions!$E$69/4</f>
        <v>25702.9715269474</v>
      </c>
      <c r="L10726" s="54" t="n">
        <f aca="false">L10714*Assumptions!$E$73/Assumptions!$E$69/4</f>
        <v>31503.9989873877</v>
      </c>
      <c r="M10726" s="54" t="n">
        <f aca="false">M10714*Assumptions!$E$73/Assumptions!$E$69/4</f>
        <v>37102.7685288288</v>
      </c>
      <c r="N10726" s="54" t="n">
        <f aca="false">N10714*Assumptions!$E$73/Assumptions!$E$69/4</f>
        <v>42483.4957454428</v>
      </c>
      <c r="P10726" s="55" t="n">
        <f aca="false">SUM(C10726:F10726)</f>
        <v>8806.1545703209</v>
      </c>
      <c r="Q10726" s="55" t="n">
        <f aca="false">SUM(G10726:J10726)</f>
        <v>53942.8000563752</v>
      </c>
      <c r="R10726" s="55" t="n">
        <f aca="false">SUM(K10726:N10726)</f>
        <v>136793.234788607</v>
      </c>
      <c r="S10726" s="56" t="n">
        <f aca="false">SUM(P10726:R10726)</f>
        <v>199542.189415303</v>
      </c>
    </row>
    <row r="10727" customFormat="false" ht="15" hidden="false" customHeight="false" outlineLevel="0" collapsed="false">
      <c r="A10727" s="9" t="s">
        <v>566</v>
      </c>
      <c r="B10727" s="36" t="s">
        <v>125</v>
      </c>
      <c r="C10727" s="55" t="n">
        <f aca="false">C10723+C10724+C10725+C10726</f>
        <v>536351.785714286</v>
      </c>
      <c r="D10727" s="55" t="n">
        <f aca="false">D10723+D10724+D10725+D10726</f>
        <v>500867.104628025</v>
      </c>
      <c r="E10727" s="55" t="n">
        <f aca="false">E10723+E10724+E10725+E10726</f>
        <v>578999.829341825</v>
      </c>
      <c r="F10727" s="55" t="n">
        <f aca="false">F10723+F10724+F10725+F10726</f>
        <v>586034.283124682</v>
      </c>
      <c r="G10727" s="55" t="n">
        <f aca="false">G10723+G10724+G10725+G10726</f>
        <v>612736.706545381</v>
      </c>
      <c r="H10727" s="55" t="n">
        <f aca="false">H10723+H10724+H10725+H10726</f>
        <v>579357.037597898</v>
      </c>
      <c r="I10727" s="55" t="n">
        <f aca="false">I10723+I10724+I10725+I10726</f>
        <v>698369.15814583</v>
      </c>
      <c r="J10727" s="55" t="n">
        <f aca="false">J10723+J10724+J10725+J10726</f>
        <v>667214.219890202</v>
      </c>
      <c r="K10727" s="55" t="n">
        <f aca="false">K10723+K10724+K10725+K10726</f>
        <v>748838.166134822</v>
      </c>
      <c r="L10727" s="55" t="n">
        <f aca="false">L10723+L10724+L10725+L10726</f>
        <v>756185.077983361</v>
      </c>
      <c r="M10727" s="55" t="n">
        <f aca="false">M10723+M10724+M10725+M10726</f>
        <v>761837.121006425</v>
      </c>
      <c r="N10727" s="55" t="n">
        <f aca="false">N10723+N10724+N10725+N10726</f>
        <v>767101.438803684</v>
      </c>
      <c r="P10727" s="55" t="n">
        <f aca="false">SUM(C10727:F10727)</f>
        <v>2202253.00280882</v>
      </c>
      <c r="Q10727" s="55" t="n">
        <f aca="false">SUM(G10727:J10727)</f>
        <v>2557677.12217931</v>
      </c>
      <c r="R10727" s="55" t="n">
        <f aca="false">SUM(K10727:N10727)</f>
        <v>3033961.80392829</v>
      </c>
      <c r="S10727" s="56" t="n">
        <f aca="false">SUM(P10727:R10727)</f>
        <v>7793891.92891642</v>
      </c>
    </row>
    <row r="10728" customFormat="false" ht="15" hidden="false" customHeight="false" outlineLevel="0" collapsed="false">
      <c r="A10728" s="35" t="s">
        <v>567</v>
      </c>
      <c r="B10728" s="35" t="s">
        <v>444</v>
      </c>
      <c r="C10728" s="6" t="s">
        <v>354</v>
      </c>
      <c r="D10728" s="6" t="s">
        <v>355</v>
      </c>
      <c r="E10728" s="6" t="s">
        <v>356</v>
      </c>
      <c r="F10728" s="6" t="s">
        <v>357</v>
      </c>
      <c r="G10728" s="6" t="s">
        <v>358</v>
      </c>
      <c r="H10728" s="6" t="s">
        <v>359</v>
      </c>
      <c r="I10728" s="6" t="s">
        <v>360</v>
      </c>
      <c r="J10728" s="6" t="s">
        <v>361</v>
      </c>
      <c r="K10728" s="6" t="s">
        <v>362</v>
      </c>
      <c r="L10728" s="6" t="s">
        <v>363</v>
      </c>
      <c r="M10728" s="6" t="s">
        <v>364</v>
      </c>
      <c r="N10728" s="6" t="s">
        <v>365</v>
      </c>
      <c r="P10728" s="6" t="s">
        <v>445</v>
      </c>
      <c r="Q10728" s="6" t="s">
        <v>446</v>
      </c>
      <c r="R10728" s="6" t="s">
        <v>447</v>
      </c>
      <c r="S10728" s="6" t="s">
        <v>448</v>
      </c>
    </row>
    <row r="10729" customFormat="false" ht="15" hidden="false" customHeight="false" outlineLevel="0" collapsed="false">
      <c r="A10729" s="9" t="s">
        <v>568</v>
      </c>
      <c r="B10729" s="36" t="s">
        <v>125</v>
      </c>
      <c r="C10729" s="55" t="n">
        <f aca="false">C10707-C10727</f>
        <v>-536351.785714286</v>
      </c>
      <c r="D10729" s="55" t="n">
        <f aca="false">D10707-D10727</f>
        <v>-499854.892534016</v>
      </c>
      <c r="E10729" s="55" t="n">
        <f aca="false">E10707-E10727</f>
        <v>-574131.809250232</v>
      </c>
      <c r="F10729" s="55" t="n">
        <f aca="false">F10707-F10727</f>
        <v>-574183.19728325</v>
      </c>
      <c r="G10729" s="55" t="n">
        <f aca="false">G10707-G10727</f>
        <v>-592084.937577755</v>
      </c>
      <c r="H10729" s="55" t="n">
        <f aca="false">H10707-H10727</f>
        <v>-548287.907829043</v>
      </c>
      <c r="I10729" s="55" t="n">
        <f aca="false">I10707-I10727</f>
        <v>-654684.640014456</v>
      </c>
      <c r="J10729" s="55" t="n">
        <f aca="false">J10707-J10727</f>
        <v>-607915.061493734</v>
      </c>
      <c r="K10729" s="55" t="n">
        <f aca="false">K10707-K10727</f>
        <v>-670184.074103023</v>
      </c>
      <c r="L10729" s="55" t="n">
        <f aca="false">L10707-L10727</f>
        <v>-655678.812633519</v>
      </c>
      <c r="M10729" s="55" t="n">
        <f aca="false">M10707-M10727</f>
        <v>-638682.39477481</v>
      </c>
      <c r="N10729" s="55" t="n">
        <f aca="false">N10707-N10727</f>
        <v>-621084.523256574</v>
      </c>
      <c r="P10729" s="55" t="n">
        <f aca="false">SUM(C10729:F10729)</f>
        <v>-2184521.68478178</v>
      </c>
      <c r="Q10729" s="55" t="n">
        <f aca="false">SUM(G10729:J10729)</f>
        <v>-2402972.54691499</v>
      </c>
      <c r="R10729" s="55" t="n">
        <f aca="false">SUM(K10729:N10729)</f>
        <v>-2585629.80476793</v>
      </c>
      <c r="S10729" s="56" t="n">
        <f aca="false">SUM(P10729:R10729)</f>
        <v>-7173124.0364647</v>
      </c>
    </row>
    <row r="10730" customFormat="false" ht="15" hidden="false" customHeight="false" outlineLevel="0" collapsed="false">
      <c r="A10730" s="9" t="s">
        <v>569</v>
      </c>
      <c r="B10730" s="36" t="s">
        <v>125</v>
      </c>
      <c r="C10730" s="55" t="n">
        <f aca="false">0+C10729</f>
        <v>-536351.785714286</v>
      </c>
      <c r="D10730" s="55" t="n">
        <f aca="false">C10730+D10729</f>
        <v>-1036206.6782483</v>
      </c>
      <c r="E10730" s="55" t="n">
        <f aca="false">D10730+E10729</f>
        <v>-1610338.48749853</v>
      </c>
      <c r="F10730" s="55" t="n">
        <f aca="false">E10730+F10729</f>
        <v>-2184521.68478178</v>
      </c>
      <c r="G10730" s="55" t="n">
        <f aca="false">F10730+G10729</f>
        <v>-2776606.62235954</v>
      </c>
      <c r="H10730" s="55" t="n">
        <f aca="false">G10730+H10729</f>
        <v>-3324894.53018858</v>
      </c>
      <c r="I10730" s="55" t="n">
        <f aca="false">H10730+I10729</f>
        <v>-3979579.17020304</v>
      </c>
      <c r="J10730" s="55" t="n">
        <f aca="false">I10730+J10729</f>
        <v>-4587494.23169677</v>
      </c>
      <c r="K10730" s="55" t="n">
        <f aca="false">J10730+K10729</f>
        <v>-5257678.30579979</v>
      </c>
      <c r="L10730" s="55" t="n">
        <f aca="false">K10730+L10729</f>
        <v>-5913357.11843331</v>
      </c>
      <c r="M10730" s="55" t="n">
        <f aca="false">L10730+M10729</f>
        <v>-6552039.51320812</v>
      </c>
      <c r="N10730" s="55" t="n">
        <f aca="false">M10730+N10729</f>
        <v>-7173124.0364647</v>
      </c>
      <c r="P10730" s="55" t="n">
        <f aca="false">F10730</f>
        <v>-2184521.68478178</v>
      </c>
      <c r="Q10730" s="55" t="n">
        <f aca="false">J10730</f>
        <v>-4587494.23169677</v>
      </c>
      <c r="R10730" s="55" t="n">
        <f aca="false">N10730</f>
        <v>-7173124.0364647</v>
      </c>
      <c r="S10730" s="56" t="n">
        <f aca="false">R10730</f>
        <v>-7173124.0364647</v>
      </c>
    </row>
    <row r="10731" customFormat="false" ht="15" hidden="false" customHeight="false" outlineLevel="0" collapsed="false">
      <c r="A10731" s="4" t="s">
        <v>570</v>
      </c>
      <c r="B10731" s="36" t="s">
        <v>107</v>
      </c>
      <c r="C10731" s="57" t="n">
        <f aca="false">1/(1+Assumptions!$E$87)^(C10650/4)</f>
        <v>0.972065420906982</v>
      </c>
      <c r="D10731" s="57" t="n">
        <f aca="false">1/(1+Assumptions!$E$87)^(D10650/4)</f>
        <v>0.944911182523068</v>
      </c>
      <c r="E10731" s="57" t="n">
        <f aca="false">1/(1+Assumptions!$E$87)^(E10650/4)</f>
        <v>0.918515486359</v>
      </c>
      <c r="F10731" s="57" t="n">
        <f aca="false">1/(1+Assumptions!$E$87)^(F10650/4)</f>
        <v>0.892857142857143</v>
      </c>
      <c r="G10731" s="57" t="n">
        <f aca="false">1/(1+Assumptions!$E$87)^(G10650/4)</f>
        <v>0.867915554381234</v>
      </c>
      <c r="H10731" s="57" t="n">
        <f aca="false">1/(1+Assumptions!$E$87)^(H10650/4)</f>
        <v>0.843670698681311</v>
      </c>
      <c r="I10731" s="57" t="n">
        <f aca="false">1/(1+Assumptions!$E$87)^(I10650/4)</f>
        <v>0.820103112820536</v>
      </c>
      <c r="J10731" s="57" t="n">
        <f aca="false">1/(1+Assumptions!$E$87)^(J10650/4)</f>
        <v>0.79719387755102</v>
      </c>
      <c r="K10731" s="57" t="n">
        <f aca="false">1/(1+Assumptions!$E$87)^(K10650/4)</f>
        <v>0.774924602126102</v>
      </c>
      <c r="L10731" s="57" t="n">
        <f aca="false">1/(1+Assumptions!$E$87)^(L10650/4)</f>
        <v>0.753277409536885</v>
      </c>
      <c r="M10731" s="57" t="n">
        <f aca="false">1/(1+Assumptions!$E$87)^(M10650/4)</f>
        <v>0.732234922161193</v>
      </c>
      <c r="N10731" s="57" t="n">
        <f aca="false">1/(1+Assumptions!$E$87)^(N10650/4)</f>
        <v>0.711780247813411</v>
      </c>
      <c r="P10731" s="58"/>
      <c r="Q10731" s="58"/>
      <c r="R10731" s="58"/>
      <c r="S10731" s="59"/>
    </row>
    <row r="10732" customFormat="false" ht="15" hidden="false" customHeight="false" outlineLevel="0" collapsed="false">
      <c r="A10732" s="4" t="s">
        <v>571</v>
      </c>
      <c r="B10732" s="36" t="s">
        <v>125</v>
      </c>
      <c r="C10732" s="54" t="n">
        <f aca="false">(C10707*(1-Assumptions!$E$88)-C10727)*C10731</f>
        <v>-521369.024334569</v>
      </c>
      <c r="D10732" s="54" t="n">
        <f aca="false">(D10707*(1-Assumptions!$E$88)-D10727)*D10731</f>
        <v>-472509.767699601</v>
      </c>
      <c r="E10732" s="54" t="n">
        <f aca="false">(E10707*(1-Assumptions!$E$88)-E10727)*E10731</f>
        <v>-528243.228376056</v>
      </c>
      <c r="F10732" s="54" t="n">
        <f aca="false">(F10707*(1-Assumptions!$E$88)-F10727)*F10731</f>
        <v>-514779.834331729</v>
      </c>
      <c r="G10732" s="54" t="n">
        <f aca="false">(G10707*(1-Assumptions!$E$88)-G10727)*G10731</f>
        <v>-517464.525141073</v>
      </c>
      <c r="H10732" s="54" t="n">
        <f aca="false">(H10707*(1-Assumptions!$E$88)-H10727)*H10731</f>
        <v>-467816.865160545</v>
      </c>
      <c r="I10732" s="54" t="n">
        <f aca="false">(I10707*(1-Assumptions!$E$88)-I10727)*I10731</f>
        <v>-544074.073051968</v>
      </c>
      <c r="J10732" s="54" t="n">
        <f aca="false">(J10707*(1-Assumptions!$E$88)-J10727)*J10731</f>
        <v>-494080.750297375</v>
      </c>
      <c r="K10732" s="54" t="n">
        <f aca="false">(K10707*(1-Assumptions!$E$88)-K10727)*K10731</f>
        <v>-531532.325170201</v>
      </c>
      <c r="L10732" s="54" t="n">
        <f aca="false">(L10707*(1-Assumptions!$E$88)-L10727)*L10731</f>
        <v>-509049.857309789</v>
      </c>
      <c r="M10732" s="54" t="n">
        <f aca="false">(M10707*(1-Assumptions!$E$88)-M10727)*M10731</f>
        <v>-485701.191898855</v>
      </c>
      <c r="N10732" s="54" t="n">
        <f aca="false">(N10707*(1-Assumptions!$E$88)-N10727)*N10731</f>
        <v>-462862.087143252</v>
      </c>
      <c r="P10732" s="55" t="n">
        <f aca="false">SUM(C10732:F10732)</f>
        <v>-2036901.85474195</v>
      </c>
      <c r="Q10732" s="55" t="n">
        <f aca="false">SUM(G10732:J10732)</f>
        <v>-2023436.21365096</v>
      </c>
      <c r="R10732" s="55" t="n">
        <f aca="false">SUM(K10732:N10732)</f>
        <v>-1989145.4615221</v>
      </c>
      <c r="S10732" s="56" t="n">
        <f aca="false">SUM(P10732:R10732)</f>
        <v>-6049483.52991501</v>
      </c>
    </row>
    <row r="10733" customFormat="false" ht="15" hidden="false" customHeight="false" outlineLevel="0" collapsed="false">
      <c r="A10733" s="4" t="s">
        <v>572</v>
      </c>
      <c r="B10733" s="36" t="s">
        <v>125</v>
      </c>
      <c r="C10733" s="54" t="n">
        <f aca="false">(C10727-C10726)*12/(Assumptions!$E$89*Assumptions!$E$76)*Assumptions!$E$90</f>
        <v>371320.467032967</v>
      </c>
      <c r="D10733" s="54" t="n">
        <f aca="false">(D10727-D10726)*12/(Assumptions!$E$89*Assumptions!$E$76)*Assumptions!$E$90</f>
        <v>346195.147754685</v>
      </c>
      <c r="E10733" s="54" t="n">
        <f aca="false">(E10727-E10726)*12/(Assumptions!$E$89*Assumptions!$E$76)*Assumptions!$E$90</f>
        <v>398943.556219196</v>
      </c>
      <c r="F10733" s="54" t="n">
        <f aca="false">(F10727-F10726)*12/(Assumptions!$E$89*Assumptions!$E$76)*Assumptions!$E$90</f>
        <v>402080.954696726</v>
      </c>
      <c r="G10733" s="54" t="n">
        <f aca="false">(G10727-G10726)*12/(Assumptions!$E$89*Assumptions!$E$76)*Assumptions!$E$90</f>
        <v>418751.719960212</v>
      </c>
      <c r="H10733" s="54" t="n">
        <f aca="false">(H10727-H10726)*12/(Assumptions!$E$89*Assumptions!$E$76)*Assumptions!$E$90</f>
        <v>393357.912583965</v>
      </c>
      <c r="I10733" s="54" t="n">
        <f aca="false">(I10727-I10726)*12/(Assumptions!$E$89*Assumptions!$E$76)*Assumptions!$E$90</f>
        <v>473108.393742209</v>
      </c>
      <c r="J10733" s="54" t="n">
        <f aca="false">(J10727-J10726)*12/(Assumptions!$E$89*Assumptions!$E$76)*Assumptions!$E$90</f>
        <v>448136.504414108</v>
      </c>
      <c r="K10733" s="54" t="n">
        <f aca="false">(K10727-K10726)*12/(Assumptions!$E$89*Assumptions!$E$76)*Assumptions!$E$90</f>
        <v>500632.057805452</v>
      </c>
      <c r="L10733" s="54" t="n">
        <f aca="false">(L10727-L10726)*12/(Assumptions!$E$89*Assumptions!$E$76)*Assumptions!$E$90</f>
        <v>501702.285458751</v>
      </c>
      <c r="M10733" s="54" t="n">
        <f aca="false">(M10727-M10726)*12/(Assumptions!$E$89*Assumptions!$E$76)*Assumptions!$E$90</f>
        <v>501739.167099874</v>
      </c>
      <c r="N10733" s="54" t="n">
        <f aca="false">(N10727-N10726)*12/(Assumptions!$E$89*Assumptions!$E$76)*Assumptions!$E$90</f>
        <v>501658.575963397</v>
      </c>
      <c r="P10733" s="55" t="n">
        <f aca="false">SUM(C10733:F10733)</f>
        <v>1518540.12570357</v>
      </c>
      <c r="Q10733" s="55" t="n">
        <f aca="false">SUM(G10733:J10733)</f>
        <v>1733354.53070049</v>
      </c>
      <c r="R10733" s="55" t="n">
        <f aca="false">SUM(K10733:N10733)</f>
        <v>2005732.08632747</v>
      </c>
      <c r="S10733" s="56" t="n">
        <f aca="false">SUM(P10733:R10733)</f>
        <v>5257626.74273154</v>
      </c>
    </row>
    <row r="10734" customFormat="false" ht="15" hidden="false" customHeight="false" outlineLevel="0" collapsed="false">
      <c r="A10734" s="4" t="s">
        <v>573</v>
      </c>
      <c r="B10734" s="36" t="s">
        <v>125</v>
      </c>
      <c r="C10734" s="54" t="n">
        <f aca="false">0*Assumptions!$E$92^(1/4)+C10733</f>
        <v>371320.467032967</v>
      </c>
      <c r="D10734" s="54" t="n">
        <f aca="false">C10734*Assumptions!$E$92^(1/4)+D10733</f>
        <v>718440.454993875</v>
      </c>
      <c r="E10734" s="54" t="n">
        <f aca="false">D10734*Assumptions!$E$92^(1/4)+E10733</f>
        <v>1119173.4159929</v>
      </c>
      <c r="F10734" s="54" t="n">
        <f aca="false">E10734*Assumptions!$E$92^(1/4)+F10733</f>
        <v>1524041.87276597</v>
      </c>
      <c r="G10734" s="54" t="n">
        <f aca="false">F10734*Assumptions!$E$92^(1/4)+G10733</f>
        <v>1946589.49229284</v>
      </c>
      <c r="H10734" s="54" t="n">
        <f aca="false">G10734*Assumptions!$E$92^(1/4)+H10733</f>
        <v>2344795.73505874</v>
      </c>
      <c r="I10734" s="54" t="n">
        <f aca="false">H10734*Assumptions!$E$92^(1/4)+I10733</f>
        <v>2823744.26303456</v>
      </c>
      <c r="J10734" s="54" t="n">
        <f aca="false">I10734*Assumptions!$E$92^(1/4)+J10733</f>
        <v>3278913.80887355</v>
      </c>
      <c r="K10734" s="54" t="n">
        <f aca="false">J10734*Assumptions!$E$92^(1/4)+K10733</f>
        <v>3787712.5894762</v>
      </c>
      <c r="L10734" s="54" t="n">
        <f aca="false">K10734*Assumptions!$E$92^(1/4)+L10733</f>
        <v>4298848.85233015</v>
      </c>
      <c r="M10734" s="54" t="n">
        <f aca="false">L10734*Assumptions!$E$92^(1/4)+M10733</f>
        <v>4811295.07334192</v>
      </c>
      <c r="N10734" s="54" t="n">
        <f aca="false">M10734*Assumptions!$E$92^(1/4)+N10733</f>
        <v>5324937.04241958</v>
      </c>
      <c r="P10734" s="55" t="n">
        <f aca="false">F10734</f>
        <v>1524041.87276597</v>
      </c>
      <c r="Q10734" s="55" t="n">
        <f aca="false">J10734</f>
        <v>3278913.80887355</v>
      </c>
      <c r="R10734" s="55" t="n">
        <f aca="false">N10734</f>
        <v>5324937.04241958</v>
      </c>
      <c r="S10734" s="56" t="n">
        <f aca="false">R10734</f>
        <v>5324937.04241958</v>
      </c>
    </row>
    <row r="10735" customFormat="false" ht="15" hidden="false" customHeight="false" outlineLevel="0" collapsed="false">
      <c r="A10735" s="4" t="s">
        <v>574</v>
      </c>
      <c r="B10735" s="36" t="s">
        <v>125</v>
      </c>
      <c r="C10735" s="54" t="n">
        <f aca="false">(0+C10734)/8*Assumptions!$E$76-(C10727-C10726)-C10734*Assumptions!$E$93/4</f>
        <v>-510823.503605769</v>
      </c>
      <c r="D10735" s="54" t="n">
        <f aca="false">(C10734+D10734)/8*Assumptions!$E$76-(D10727-D10726)-D10734*Assumptions!$E$93/4</f>
        <v>-420497.088640621</v>
      </c>
      <c r="E10735" s="54" t="n">
        <f aca="false">(D10734+E10734)/8*Assumptions!$E$76-(E10727-E10726)-E10734*Assumptions!$E$93/4</f>
        <v>-440935.344109963</v>
      </c>
      <c r="F10735" s="54" t="n">
        <f aca="false">(E10734+F10734)/8*Assumptions!$E$76-(F10727-F10726)-F10734*Assumptions!$E$93/4</f>
        <v>-385072.882426521</v>
      </c>
      <c r="G10735" s="54" t="n">
        <f aca="false">(F10734+G10734)/8*Assumptions!$E$76-(G10727-G10726)-G10734*Assumptions!$E$93/4</f>
        <v>-347207.165740716</v>
      </c>
      <c r="H10735" s="54" t="n">
        <f aca="false">(G10734+H10734)/8*Assumptions!$E$76-(H10727-H10726)-H10734*Assumptions!$E$93/4</f>
        <v>-248818.548476091</v>
      </c>
      <c r="I10735" s="54" t="n">
        <f aca="false">(H10734+I10734)/8*Assumptions!$E$76-(I10727-I10726)-I10734*Assumptions!$E$93/4</f>
        <v>-298731.71940382</v>
      </c>
      <c r="J10735" s="54" t="n">
        <f aca="false">(I10734+J10734)/8*Assumptions!$E$76-(J10727-J10726)-J10734*Assumptions!$E$93/4</f>
        <v>-192453.738422096</v>
      </c>
      <c r="K10735" s="54" t="n">
        <f aca="false">(J10734+K10734)/8*Assumptions!$E$76-(K10727-K10726)-K10734*Assumptions!$E$93/4</f>
        <v>-196318.207110411</v>
      </c>
      <c r="L10735" s="54" t="n">
        <f aca="false">(K10734+L10734)/8*Assumptions!$E$76-(L10727-L10726)-L10734*Assumptions!$E$93/4</f>
        <v>-121383.572503334</v>
      </c>
      <c r="M10735" s="54" t="n">
        <f aca="false">(L10734+M10734)/8*Assumptions!$E$76-(M10727-M10726)-M10734*Assumptions!$E$93/4</f>
        <v>-44676.3469335145</v>
      </c>
      <c r="N10735" s="54" t="n">
        <f aca="false">(M10734+N10734)/8*Assumptions!$E$76-(N10727-N10726)-N10734*Assumptions!$E$93/4</f>
        <v>32389.2033171367</v>
      </c>
      <c r="P10735" s="55" t="n">
        <f aca="false">SUM(C10735:F10735)</f>
        <v>-1757328.81878287</v>
      </c>
      <c r="Q10735" s="55" t="n">
        <f aca="false">SUM(G10735:J10735)</f>
        <v>-1087211.17204272</v>
      </c>
      <c r="R10735" s="55" t="n">
        <f aca="false">SUM(K10735:N10735)</f>
        <v>-329988.923230123</v>
      </c>
      <c r="S10735" s="56" t="n">
        <f aca="false">SUM(P10735:R10735)</f>
        <v>-3174528.91405572</v>
      </c>
    </row>
    <row r="10736" customFormat="false" ht="15" hidden="false" customHeight="false" outlineLevel="0" collapsed="false">
      <c r="A10736" s="4" t="s">
        <v>575</v>
      </c>
      <c r="B10736" s="36" t="s">
        <v>125</v>
      </c>
      <c r="C10736" s="54" t="n">
        <f aca="false">C10735*C10731</f>
        <v>-496553.864041721</v>
      </c>
      <c r="D10736" s="54" t="n">
        <f aca="false">D10735*D10731</f>
        <v>-397332.401274916</v>
      </c>
      <c r="E10736" s="54" t="n">
        <f aca="false">E10735*E10731</f>
        <v>-405005.942048036</v>
      </c>
      <c r="F10736" s="54" t="n">
        <f aca="false">F10735*F10731</f>
        <v>-343815.073595108</v>
      </c>
      <c r="G10736" s="54" t="n">
        <f aca="false">G10735*G10731</f>
        <v>-301346.49973899</v>
      </c>
      <c r="H10736" s="54" t="n">
        <f aca="false">H10735*H10731</f>
        <v>-209920.918637693</v>
      </c>
      <c r="I10736" s="54" t="n">
        <f aca="false">I10735*I10731</f>
        <v>-244990.812981303</v>
      </c>
      <c r="J10736" s="54" t="n">
        <f aca="false">J10735*J10731</f>
        <v>-153422.941981901</v>
      </c>
      <c r="K10736" s="54" t="n">
        <f aca="false">K10735*K10731</f>
        <v>-152131.808535145</v>
      </c>
      <c r="L10736" s="54" t="n">
        <f aca="false">L10735*L10731</f>
        <v>-91435.5030556444</v>
      </c>
      <c r="M10736" s="54" t="n">
        <f aca="false">M10735*M10731</f>
        <v>-32713.5814193085</v>
      </c>
      <c r="N10736" s="54" t="n">
        <f aca="false">N10735*N10731</f>
        <v>23053.9951635505</v>
      </c>
      <c r="P10736" s="55" t="n">
        <f aca="false">SUM(C10736:F10736)</f>
        <v>-1642707.28095978</v>
      </c>
      <c r="Q10736" s="55" t="n">
        <f aca="false">SUM(G10736:J10736)</f>
        <v>-909681.173339887</v>
      </c>
      <c r="R10736" s="55" t="n">
        <f aca="false">SUM(K10736:N10736)</f>
        <v>-253226.897846547</v>
      </c>
      <c r="S10736" s="56" t="n">
        <f aca="false">SUM(P10736:R10736)</f>
        <v>-2805615.35214622</v>
      </c>
    </row>
    <row r="10737" customFormat="false" ht="15" hidden="false" customHeight="false" outlineLevel="0" collapsed="false">
      <c r="A10737" s="4" t="s">
        <v>576</v>
      </c>
      <c r="B10737" s="36"/>
      <c r="C10737" s="37" t="n">
        <f aca="false">IFERROR((S10692*$C$10641*Assumptions!$E$59+S10693*$C$10642*Assumptions!$E$60+S10694*$C$10643*Assumptions!$E$61)/(S10692*$C$10641+S10693*$C$10642+S10694*$C$10643),0.9)</f>
        <v>0.897411786462845</v>
      </c>
    </row>
    <row r="10738" customFormat="false" ht="15" hidden="false" customHeight="false" outlineLevel="0" collapsed="false">
      <c r="A10738" s="4" t="s">
        <v>577</v>
      </c>
      <c r="B10738" s="36"/>
      <c r="C10738" s="37" t="n">
        <f aca="false">IFERROR(N10726*4/N10704,0)</f>
        <v>0.175347323812198</v>
      </c>
    </row>
    <row r="10739" customFormat="false" ht="15" hidden="false" customHeight="false" outlineLevel="0" collapsed="false">
      <c r="A10739" s="4" t="s">
        <v>578</v>
      </c>
      <c r="B10739" s="36"/>
      <c r="C10739" s="60" t="n">
        <f aca="false">$C$10737/(1+Assumptions!$E$87)</f>
        <v>0.80126052362754</v>
      </c>
    </row>
    <row r="10740" customFormat="false" ht="15" hidden="false" customHeight="false" outlineLevel="0" collapsed="false">
      <c r="A10740" s="4" t="s">
        <v>579</v>
      </c>
      <c r="B10740" s="36"/>
      <c r="C10740" s="60" t="n">
        <f aca="false">Assumptions!$E$91/(1+Assumptions!$E$87)</f>
        <v>0.803571428571429</v>
      </c>
    </row>
    <row r="10741" customFormat="false" ht="15" hidden="false" customHeight="false" outlineLevel="0" collapsed="false">
      <c r="A10741" s="35" t="s">
        <v>580</v>
      </c>
      <c r="B10741" s="35" t="s">
        <v>444</v>
      </c>
      <c r="C10741" s="6" t="s">
        <v>354</v>
      </c>
      <c r="D10741" s="6" t="s">
        <v>355</v>
      </c>
      <c r="E10741" s="6" t="s">
        <v>356</v>
      </c>
      <c r="F10741" s="6" t="s">
        <v>357</v>
      </c>
      <c r="G10741" s="6" t="s">
        <v>358</v>
      </c>
      <c r="H10741" s="6" t="s">
        <v>359</v>
      </c>
      <c r="I10741" s="6" t="s">
        <v>360</v>
      </c>
      <c r="J10741" s="6" t="s">
        <v>361</v>
      </c>
      <c r="K10741" s="6" t="s">
        <v>362</v>
      </c>
      <c r="L10741" s="6" t="s">
        <v>363</v>
      </c>
      <c r="M10741" s="6" t="s">
        <v>364</v>
      </c>
      <c r="N10741" s="6" t="s">
        <v>365</v>
      </c>
      <c r="P10741" s="6" t="s">
        <v>445</v>
      </c>
      <c r="Q10741" s="6" t="s">
        <v>446</v>
      </c>
      <c r="R10741" s="6" t="s">
        <v>447</v>
      </c>
      <c r="S10741" s="6" t="s">
        <v>448</v>
      </c>
    </row>
    <row r="10742" customFormat="false" ht="15" hidden="false" customHeight="false" outlineLevel="0" collapsed="false">
      <c r="A10742" s="9" t="s">
        <v>581</v>
      </c>
      <c r="C10742" s="61" t="n">
        <f aca="false">N10704</f>
        <v>969127.895922579</v>
      </c>
      <c r="D10742" s="61"/>
    </row>
    <row r="10743" customFormat="false" ht="15" hidden="false" customHeight="false" outlineLevel="0" collapsed="false">
      <c r="A10743" s="9" t="s">
        <v>582</v>
      </c>
      <c r="C10743" s="62" t="n">
        <f aca="false">N10700</f>
        <v>93.7726729016559</v>
      </c>
      <c r="D10743" s="62"/>
    </row>
    <row r="10744" customFormat="false" ht="15" hidden="false" customHeight="false" outlineLevel="0" collapsed="false">
      <c r="A10744" s="9" t="s">
        <v>583</v>
      </c>
      <c r="C10744" s="63" t="n">
        <f aca="false">S10695</f>
        <v>103.854567761352</v>
      </c>
      <c r="D10744" s="63"/>
    </row>
    <row r="10745" customFormat="false" ht="15" hidden="false" customHeight="false" outlineLevel="0" collapsed="false">
      <c r="A10745" s="9" t="s">
        <v>584</v>
      </c>
      <c r="C10745" s="61" t="n">
        <f aca="false">S10706</f>
        <v>955027.526848803</v>
      </c>
      <c r="D10745" s="61"/>
    </row>
    <row r="10746" customFormat="false" ht="15" hidden="false" customHeight="false" outlineLevel="0" collapsed="false">
      <c r="A10746" s="9" t="s">
        <v>22</v>
      </c>
      <c r="C10746" s="61" t="n">
        <f aca="false">IFERROR(S10705/S10695,0)</f>
        <v>8861.23004868169</v>
      </c>
      <c r="D10746" s="61"/>
    </row>
    <row r="10747" customFormat="false" ht="15" hidden="false" customHeight="false" outlineLevel="0" collapsed="false">
      <c r="A10747" s="9" t="s">
        <v>585</v>
      </c>
      <c r="C10747" s="61" t="n">
        <f aca="false">IFERROR(S10723/S10695,0)</f>
        <v>66362.647053259</v>
      </c>
      <c r="D10747" s="61"/>
    </row>
    <row r="10748" customFormat="false" ht="23.85" hidden="false" customHeight="false" outlineLevel="0" collapsed="false">
      <c r="A10748" s="9" t="s">
        <v>586</v>
      </c>
      <c r="C10748" s="61" t="n">
        <f aca="false">IFERROR((S10717+S10719+S10720+S10721+S10722)/S10695,0)</f>
        <v>10902.4686393611</v>
      </c>
      <c r="D10748" s="61"/>
    </row>
    <row r="10749" customFormat="false" ht="15" hidden="false" customHeight="false" outlineLevel="0" collapsed="false">
      <c r="A10749" s="9" t="s">
        <v>587</v>
      </c>
      <c r="C10749" s="64" t="n">
        <f aca="false">IFERROR('Engine Runs'!$C$10747/('Engine Runs'!$C$10746*Assumptions!$E$76/12),0)</f>
        <v>138.260326642294</v>
      </c>
      <c r="D10749" s="64"/>
    </row>
    <row r="10750" customFormat="false" ht="15" hidden="false" customHeight="false" outlineLevel="0" collapsed="false">
      <c r="A10750" s="9" t="s">
        <v>588</v>
      </c>
      <c r="C10750" s="64" t="n">
        <f aca="false">IFERROR((R10723/R10695)/((R10705/R10695)*Assumptions!$E$76/12),0)</f>
        <v>100.096563307428</v>
      </c>
      <c r="D10750" s="64"/>
    </row>
    <row r="10751" customFormat="false" ht="15" hidden="false" customHeight="false" outlineLevel="0" collapsed="false">
      <c r="A10751" s="9" t="s">
        <v>589</v>
      </c>
      <c r="C10751" s="61" t="n">
        <f aca="false">S10727</f>
        <v>7793891.92891642</v>
      </c>
      <c r="D10751" s="61"/>
    </row>
    <row r="10752" customFormat="false" ht="15" hidden="false" customHeight="false" outlineLevel="0" collapsed="false">
      <c r="A10752" s="9" t="s">
        <v>590</v>
      </c>
      <c r="C10752" s="61" t="n">
        <f aca="false">N10730</f>
        <v>-7173124.0364647</v>
      </c>
      <c r="D10752" s="61"/>
    </row>
    <row r="10753" customFormat="false" ht="15" hidden="false" customHeight="false" outlineLevel="0" collapsed="false">
      <c r="A10753" s="9" t="s">
        <v>591</v>
      </c>
      <c r="C10753" s="61" t="n">
        <f aca="false">MIN($C$10730:$N$10730)</f>
        <v>-7173124.0364647</v>
      </c>
      <c r="D10753" s="61"/>
    </row>
    <row r="10754" customFormat="false" ht="15" hidden="false" customHeight="false" outlineLevel="0" collapsed="false">
      <c r="A10754" s="9" t="s">
        <v>592</v>
      </c>
      <c r="C10754" s="61" t="n">
        <f aca="false">N10704*(Assumptions!$E$76-$C$10738)*$C$10737*(1-$C$10737^Assumptions!$E$85)/(1-$C$10737)</f>
        <v>1681812.88800857</v>
      </c>
      <c r="D10754" s="61"/>
    </row>
    <row r="10755" customFormat="false" ht="15" hidden="false" customHeight="false" outlineLevel="0" collapsed="false">
      <c r="A10755" s="9" t="s">
        <v>593</v>
      </c>
      <c r="C10755" s="61" t="n">
        <f aca="false">N10704*(Assumptions!$E$76-$C$10738)*(1-Assumptions!$E$88)/(1+Assumptions!$E$87)^2.5*$C$10739*(1-$C$10739^Assumptions!$E$85)/(1-$C$10739)</f>
        <v>748499.494957256</v>
      </c>
      <c r="D10755" s="61"/>
    </row>
    <row r="10756" customFormat="false" ht="15" hidden="false" customHeight="false" outlineLevel="0" collapsed="false">
      <c r="A10756" s="9" t="s">
        <v>594</v>
      </c>
      <c r="C10756" s="61" t="n">
        <f aca="false">SUM($C$10732:$N$10732)+'Engine Runs'!$C$10755</f>
        <v>-5300984.03495776</v>
      </c>
      <c r="D10756" s="61"/>
    </row>
    <row r="10757" customFormat="false" ht="15" hidden="false" customHeight="false" outlineLevel="0" collapsed="false">
      <c r="A10757" s="9" t="s">
        <v>595</v>
      </c>
      <c r="C10757" s="61" t="n">
        <f aca="false">SUM($C$10736:$N$10736)+N10734*(Assumptions!$E$76-Assumptions!$E$93)/(1+Assumptions!$E$87)^2.5*$C$10740*(1-$C$10740^Assumptions!$E$85)/(1-$C$10740)</f>
        <v>3741093.61022882</v>
      </c>
      <c r="D10757" s="61"/>
    </row>
    <row r="10758" customFormat="false" ht="15" hidden="false" customHeight="false" outlineLevel="0" collapsed="false">
      <c r="A10758" s="9" t="s">
        <v>596</v>
      </c>
      <c r="C10758" s="61" t="n">
        <f aca="false">'Engine Runs'!$C$10756-'Engine Runs'!$C$10757</f>
        <v>-9042077.64518658</v>
      </c>
      <c r="D10758" s="61"/>
    </row>
    <row r="10759" customFormat="false" ht="15" hidden="false" customHeight="false" outlineLevel="0" collapsed="false">
      <c r="A10759" s="9" t="s">
        <v>597</v>
      </c>
      <c r="C10759" s="61" t="n">
        <f aca="false">S10691</f>
        <v>0</v>
      </c>
      <c r="D10759" s="61"/>
    </row>
    <row r="10760" customFormat="false" ht="15" hidden="false" customHeight="false" outlineLevel="0" collapsed="false">
      <c r="A10760" s="9" t="s">
        <v>598</v>
      </c>
      <c r="C10760" s="63" t="n">
        <f aca="false">P10675</f>
        <v>85.0030240860012</v>
      </c>
      <c r="D10760" s="63"/>
    </row>
    <row r="10761" customFormat="false" ht="15" hidden="false" customHeight="false" outlineLevel="0" collapsed="false">
      <c r="A10761" s="9" t="s">
        <v>599</v>
      </c>
      <c r="C10761" s="63" t="n">
        <f aca="false">P10695</f>
        <v>11.6665964823971</v>
      </c>
      <c r="D10761" s="63"/>
    </row>
    <row r="10762" customFormat="false" ht="15" hidden="false" customHeight="false" outlineLevel="0" collapsed="false">
      <c r="A10762" s="9" t="s">
        <v>600</v>
      </c>
      <c r="C10762" s="63" t="n">
        <f aca="false">P10671</f>
        <v>42</v>
      </c>
      <c r="D10762" s="63"/>
    </row>
    <row r="10763" customFormat="false" ht="15" hidden="false" customHeight="false" outlineLevel="0" collapsed="false">
      <c r="A10763" s="9" t="s">
        <v>601</v>
      </c>
      <c r="C10763" s="61" t="n">
        <f aca="false">IFERROR(P10705/P10695,0)</f>
        <v>8383.45643781079</v>
      </c>
      <c r="D10763" s="61"/>
    </row>
    <row r="10766" customFormat="false" ht="15" hidden="false" customHeight="true" outlineLevel="0" collapsed="false">
      <c r="A10766" s="78" t="s">
        <v>972</v>
      </c>
      <c r="B10766" s="78"/>
      <c r="C10766" s="78"/>
      <c r="D10766" s="78"/>
      <c r="E10766" s="78"/>
      <c r="F10766" s="78"/>
      <c r="G10766" s="78"/>
      <c r="H10766" s="78"/>
      <c r="I10766" s="78"/>
      <c r="J10766" s="78"/>
      <c r="K10766" s="78"/>
      <c r="L10766" s="78"/>
      <c r="M10766" s="78"/>
      <c r="N10766" s="78"/>
    </row>
    <row r="10767" customFormat="false" ht="15" hidden="false" customHeight="true" outlineLevel="0" collapsed="false">
      <c r="A10767" s="79" t="s">
        <v>973</v>
      </c>
      <c r="B10767" s="79"/>
      <c r="C10767" s="79"/>
      <c r="D10767" s="79"/>
      <c r="E10767" s="79"/>
      <c r="F10767" s="79"/>
      <c r="G10767" s="79"/>
      <c r="H10767" s="79"/>
      <c r="I10767" s="79"/>
      <c r="J10767" s="79"/>
      <c r="K10767" s="79"/>
      <c r="L10767" s="79"/>
      <c r="M10767" s="79"/>
      <c r="N10767" s="79"/>
    </row>
    <row r="10768" customFormat="false" ht="23.85" hidden="false" customHeight="false" outlineLevel="0" collapsed="false">
      <c r="A10768" s="35" t="s">
        <v>974</v>
      </c>
      <c r="B10768" s="35" t="s">
        <v>444</v>
      </c>
      <c r="C10768" s="6" t="s">
        <v>354</v>
      </c>
      <c r="D10768" s="6" t="s">
        <v>355</v>
      </c>
      <c r="E10768" s="6" t="s">
        <v>356</v>
      </c>
      <c r="F10768" s="6" t="s">
        <v>357</v>
      </c>
      <c r="G10768" s="6" t="s">
        <v>358</v>
      </c>
      <c r="H10768" s="6" t="s">
        <v>359</v>
      </c>
      <c r="I10768" s="6" t="s">
        <v>360</v>
      </c>
      <c r="J10768" s="6" t="s">
        <v>361</v>
      </c>
      <c r="K10768" s="6" t="s">
        <v>362</v>
      </c>
      <c r="L10768" s="6" t="s">
        <v>363</v>
      </c>
      <c r="M10768" s="6" t="s">
        <v>364</v>
      </c>
      <c r="N10768" s="6" t="s">
        <v>365</v>
      </c>
      <c r="P10768" s="6" t="s">
        <v>445</v>
      </c>
      <c r="Q10768" s="6" t="s">
        <v>446</v>
      </c>
      <c r="R10768" s="6" t="s">
        <v>447</v>
      </c>
      <c r="S10768" s="6" t="s">
        <v>448</v>
      </c>
    </row>
    <row r="10769" customFormat="false" ht="15" hidden="false" customHeight="false" outlineLevel="0" collapsed="false">
      <c r="A10769" s="4" t="s">
        <v>449</v>
      </c>
      <c r="B10769" s="36" t="s">
        <v>450</v>
      </c>
      <c r="C10769" s="34" t="n">
        <f aca="false">'Market Sizing'!$C$17*Assumptions!$E$10*Assumptions!$E$11*(1-Assumptions!$E$12)</f>
        <v>843.03944704</v>
      </c>
    </row>
    <row r="10770" customFormat="false" ht="15" hidden="false" customHeight="false" outlineLevel="0" collapsed="false">
      <c r="A10770" s="4" t="s">
        <v>451</v>
      </c>
      <c r="B10770" s="36" t="s">
        <v>450</v>
      </c>
      <c r="C10770" s="34" t="n">
        <f aca="false">'Market Sizing'!$D$17*Assumptions!$E$10*Assumptions!$E$11*(1-Assumptions!$E$12)</f>
        <v>211.19616</v>
      </c>
    </row>
    <row r="10771" customFormat="false" ht="15" hidden="false" customHeight="false" outlineLevel="0" collapsed="false">
      <c r="A10771" s="4" t="s">
        <v>452</v>
      </c>
      <c r="B10771" s="36" t="s">
        <v>450</v>
      </c>
      <c r="C10771" s="34" t="n">
        <f aca="false">'Market Sizing'!$E$17*Assumptions!$E$10*Assumptions!$E$11*(1-Assumptions!$E$12)</f>
        <v>49.53984</v>
      </c>
    </row>
    <row r="10772" customFormat="false" ht="15" hidden="false" customHeight="false" outlineLevel="0" collapsed="false">
      <c r="A10772" s="4" t="s">
        <v>453</v>
      </c>
      <c r="B10772" s="36"/>
      <c r="C10772" s="34" t="n">
        <f aca="false">$C$10769+$C$10770+$C$10771</f>
        <v>1103.77544704</v>
      </c>
    </row>
    <row r="10773" customFormat="false" ht="15" hidden="false" customHeight="false" outlineLevel="0" collapsed="false">
      <c r="A10773" s="4" t="s">
        <v>454</v>
      </c>
      <c r="B10773" s="36" t="s">
        <v>450</v>
      </c>
      <c r="C10773" s="34" t="n">
        <f aca="false">'Market Sizing'!$C$18*Assumptions!$E$10*Assumptions!$E$11*(1-Assumptions!$E$12)</f>
        <v>612.57706944</v>
      </c>
    </row>
    <row r="10774" customFormat="false" ht="15" hidden="false" customHeight="false" outlineLevel="0" collapsed="false">
      <c r="A10774" s="4" t="s">
        <v>455</v>
      </c>
      <c r="B10774" s="36" t="s">
        <v>450</v>
      </c>
      <c r="C10774" s="34" t="n">
        <f aca="false">'Market Sizing'!$D$18*Assumptions!$E$10*Assumptions!$E$11*(1-Assumptions!$E$12)</f>
        <v>142.10112</v>
      </c>
    </row>
    <row r="10775" customFormat="false" ht="15" hidden="false" customHeight="false" outlineLevel="0" collapsed="false">
      <c r="A10775" s="4" t="s">
        <v>456</v>
      </c>
      <c r="B10775" s="36" t="s">
        <v>450</v>
      </c>
      <c r="C10775" s="34" t="n">
        <f aca="false">'Market Sizing'!$E$18*Assumptions!$E$10*Assumptions!$E$11*(1-Assumptions!$E$12)</f>
        <v>24.76992</v>
      </c>
    </row>
    <row r="10776" customFormat="false" ht="15" hidden="false" customHeight="false" outlineLevel="0" collapsed="false">
      <c r="A10776" s="4" t="s">
        <v>457</v>
      </c>
      <c r="B10776" s="36"/>
      <c r="C10776" s="34" t="n">
        <f aca="false">$C$10773+$C$10774+$C$10775</f>
        <v>779.44810944</v>
      </c>
    </row>
    <row r="10777" customFormat="false" ht="15" hidden="false" customHeight="false" outlineLevel="0" collapsed="false">
      <c r="A10777" s="4" t="s">
        <v>458</v>
      </c>
      <c r="B10777" s="36" t="s">
        <v>450</v>
      </c>
      <c r="C10777" s="34" t="n">
        <f aca="false">'Market Sizing'!$C$19*Assumptions!$E$10*Assumptions!$E$11*(1-Assumptions!$E$12)</f>
        <v>2060.77303936</v>
      </c>
    </row>
    <row r="10778" customFormat="false" ht="15" hidden="false" customHeight="false" outlineLevel="0" collapsed="false">
      <c r="A10778" s="4" t="s">
        <v>459</v>
      </c>
      <c r="B10778" s="36" t="s">
        <v>450</v>
      </c>
      <c r="C10778" s="34" t="n">
        <f aca="false">'Market Sizing'!$D$19*Assumptions!$E$10*Assumptions!$E$11*(1-Assumptions!$E$12)</f>
        <v>428.47616</v>
      </c>
    </row>
    <row r="10779" customFormat="false" ht="15" hidden="false" customHeight="false" outlineLevel="0" collapsed="false">
      <c r="A10779" s="4" t="s">
        <v>460</v>
      </c>
      <c r="B10779" s="36" t="s">
        <v>450</v>
      </c>
      <c r="C10779" s="34" t="n">
        <f aca="false">'Market Sizing'!$E$19*Assumptions!$E$10*Assumptions!$E$11*(1-Assumptions!$E$12)</f>
        <v>79.52448</v>
      </c>
    </row>
    <row r="10780" customFormat="false" ht="15" hidden="false" customHeight="false" outlineLevel="0" collapsed="false">
      <c r="A10780" s="4" t="s">
        <v>461</v>
      </c>
      <c r="B10780" s="36"/>
      <c r="C10780" s="34" t="n">
        <f aca="false">$C$10777+$C$10778+$C$10779</f>
        <v>2568.77367936</v>
      </c>
    </row>
    <row r="10781" customFormat="false" ht="15" hidden="false" customHeight="false" outlineLevel="0" collapsed="false">
      <c r="A10781" s="4" t="s">
        <v>462</v>
      </c>
      <c r="B10781" s="36" t="s">
        <v>463</v>
      </c>
      <c r="C10781" s="33" t="n">
        <f aca="false">MAX((Assumptions!$E$51+Assumptions!$E$53)*12,(((('Market Sizing'!$E$25*Assumptions!$E$41*Assumptions!$E$42*Assumptions!$E$43)*Assumptions!$E$44)*Assumptions!$E$45*Assumptions!$E$46+('Market Sizing'!$E$25*Assumptions!$E$41*Assumptions!$E$42*Assumptions!$E$43)*Assumptions!$E$47+('Market Sizing'!$E$25*Assumptions!$E$41*Assumptions!$E$42*Assumptions!$E$43)*Assumptions!$E$48*Assumptions!$E$49)*(Assumptions!$E$51*12/Assumptions!$E$52)+((('Market Sizing'!$E$25*Assumptions!$E$41*Assumptions!$E$42*Assumptions!$E$43)*Assumptions!$E$44)*Assumptions!$E$45+('Market Sizing'!$E$25*Assumptions!$E$41*Assumptions!$E$42*Assumptions!$E$43)+('Market Sizing'!$E$25*Assumptions!$E$41*Assumptions!$E$42*Assumptions!$E$43)*Assumptions!$E$48)*Assumptions!$E$50*(Assumptions!$E$53*12/Assumptions!$E$54)))</f>
        <v>5352</v>
      </c>
    </row>
    <row r="10782" customFormat="false" ht="15" hidden="false" customHeight="false" outlineLevel="0" collapsed="false">
      <c r="A10782" s="4" t="s">
        <v>464</v>
      </c>
      <c r="B10782" s="36" t="s">
        <v>463</v>
      </c>
      <c r="C10782" s="33" t="n">
        <f aca="false">MAX((Assumptions!$E$51+Assumptions!$E$53)*12,(((('Market Sizing'!$E$26*Assumptions!$E$41*Assumptions!$E$42*Assumptions!$E$43)*Assumptions!$E$44)*Assumptions!$E$45*Assumptions!$E$46+('Market Sizing'!$E$26*Assumptions!$E$41*Assumptions!$E$42*Assumptions!$E$43)*Assumptions!$E$47+('Market Sizing'!$E$26*Assumptions!$E$41*Assumptions!$E$42*Assumptions!$E$43)*Assumptions!$E$48*Assumptions!$E$49)*(Assumptions!$E$51*12/Assumptions!$E$52)+((('Market Sizing'!$E$26*Assumptions!$E$41*Assumptions!$E$42*Assumptions!$E$43)*Assumptions!$E$44)*Assumptions!$E$45+('Market Sizing'!$E$26*Assumptions!$E$41*Assumptions!$E$42*Assumptions!$E$43)+('Market Sizing'!$E$26*Assumptions!$E$41*Assumptions!$E$42*Assumptions!$E$43)*Assumptions!$E$48)*Assumptions!$E$50*(Assumptions!$E$53*12/Assumptions!$E$54)))</f>
        <v>9766.72012875208</v>
      </c>
    </row>
    <row r="10783" customFormat="false" ht="15" hidden="false" customHeight="false" outlineLevel="0" collapsed="false">
      <c r="A10783" s="4" t="s">
        <v>465</v>
      </c>
      <c r="B10783" s="36" t="s">
        <v>463</v>
      </c>
      <c r="C10783" s="33" t="n">
        <f aca="false">MAX(Assumptions!$E$55*(Assumptions!$E$51*12/Assumptions!$E$52)+Assumptions!$E$56*(Assumptions!$E$53*12/Assumptions!$E$54),(((('Market Sizing'!$E$27*Assumptions!$E$41*Assumptions!$E$42*Assumptions!$E$43)*Assumptions!$E$44)*Assumptions!$E$45*Assumptions!$E$46+('Market Sizing'!$E$27*Assumptions!$E$41*Assumptions!$E$42*Assumptions!$E$43)*Assumptions!$E$47+('Market Sizing'!$E$27*Assumptions!$E$41*Assumptions!$E$42*Assumptions!$E$43)*Assumptions!$E$48*Assumptions!$E$49)*(Assumptions!$E$51*12/Assumptions!$E$52)+((('Market Sizing'!$E$27*Assumptions!$E$41*Assumptions!$E$42*Assumptions!$E$43)*Assumptions!$E$44)*Assumptions!$E$45+('Market Sizing'!$E$27*Assumptions!$E$41*Assumptions!$E$42*Assumptions!$E$43)+('Market Sizing'!$E$27*Assumptions!$E$41*Assumptions!$E$42*Assumptions!$E$43)*Assumptions!$E$48)*Assumptions!$E$50*(Assumptions!$E$53*12/Assumptions!$E$54)))*(1-Assumptions!$E$57)</f>
        <v>61778.2562194386</v>
      </c>
    </row>
    <row r="10784" customFormat="false" ht="23.85" hidden="false" customHeight="false" outlineLevel="0" collapsed="false">
      <c r="A10784" s="4" t="s">
        <v>466</v>
      </c>
      <c r="B10784" s="36" t="s">
        <v>467</v>
      </c>
      <c r="C10784" s="37" t="n">
        <f aca="false">Assumptions!$E$17*Assumptions!$E$106</f>
        <v>0.4</v>
      </c>
    </row>
    <row r="10785" customFormat="false" ht="23.85" hidden="false" customHeight="false" outlineLevel="0" collapsed="false">
      <c r="A10785" s="4" t="s">
        <v>468</v>
      </c>
      <c r="B10785" s="36" t="s">
        <v>469</v>
      </c>
      <c r="C10785" s="33" t="n">
        <f aca="false">Assumptions!$E$68/Assumptions!$E$69</f>
        <v>285714.285714286</v>
      </c>
    </row>
    <row r="10786" customFormat="false" ht="23.85" hidden="false" customHeight="false" outlineLevel="0" collapsed="false">
      <c r="A10786" s="4" t="s">
        <v>470</v>
      </c>
      <c r="B10786" s="36" t="s">
        <v>471</v>
      </c>
      <c r="C10786" s="33" t="n">
        <f aca="false">Assumptions!$E$66*Assumptions!$E$67/4</f>
        <v>153125</v>
      </c>
    </row>
    <row r="10787" customFormat="false" ht="15" hidden="false" customHeight="false" outlineLevel="0" collapsed="false">
      <c r="A10787" s="4" t="s">
        <v>472</v>
      </c>
      <c r="B10787" s="36"/>
      <c r="C10787" s="38" t="n">
        <f aca="false">$C$10785/Assumptions!$E$66/Assumptions!$E$67</f>
        <v>0.466472303206997</v>
      </c>
    </row>
    <row r="10788" customFormat="false" ht="15" hidden="false" customHeight="false" outlineLevel="0" collapsed="false">
      <c r="A10788" s="4" t="s">
        <v>473</v>
      </c>
      <c r="B10788" s="36"/>
      <c r="C10788" s="33" t="n">
        <f aca="false">MAX(0,Assumptions!$E$103-Assumptions!$E$78)</f>
        <v>35000</v>
      </c>
    </row>
    <row r="10789" customFormat="false" ht="15" hidden="false" customHeight="false" outlineLevel="0" collapsed="false">
      <c r="A10789" s="35" t="s">
        <v>474</v>
      </c>
      <c r="B10789" s="35" t="s">
        <v>444</v>
      </c>
      <c r="C10789" s="6" t="s">
        <v>354</v>
      </c>
      <c r="D10789" s="6" t="s">
        <v>355</v>
      </c>
      <c r="E10789" s="6" t="s">
        <v>356</v>
      </c>
      <c r="F10789" s="6" t="s">
        <v>357</v>
      </c>
      <c r="G10789" s="6" t="s">
        <v>358</v>
      </c>
      <c r="H10789" s="6" t="s">
        <v>359</v>
      </c>
      <c r="I10789" s="6" t="s">
        <v>360</v>
      </c>
      <c r="J10789" s="6" t="s">
        <v>361</v>
      </c>
      <c r="K10789" s="6" t="s">
        <v>362</v>
      </c>
      <c r="L10789" s="6" t="s">
        <v>363</v>
      </c>
      <c r="M10789" s="6" t="s">
        <v>364</v>
      </c>
      <c r="N10789" s="6" t="s">
        <v>365</v>
      </c>
      <c r="P10789" s="6" t="s">
        <v>445</v>
      </c>
      <c r="Q10789" s="6" t="s">
        <v>446</v>
      </c>
      <c r="R10789" s="6" t="s">
        <v>447</v>
      </c>
      <c r="S10789" s="6" t="s">
        <v>448</v>
      </c>
    </row>
    <row r="10790" customFormat="false" ht="15" hidden="false" customHeight="false" outlineLevel="0" collapsed="false">
      <c r="A10790" s="4" t="s">
        <v>475</v>
      </c>
      <c r="B10790" s="36" t="s">
        <v>133</v>
      </c>
      <c r="C10790" s="39" t="n">
        <v>1</v>
      </c>
      <c r="D10790" s="39" t="n">
        <v>2</v>
      </c>
      <c r="E10790" s="39" t="n">
        <v>3</v>
      </c>
      <c r="F10790" s="39" t="n">
        <v>4</v>
      </c>
      <c r="G10790" s="39" t="n">
        <v>5</v>
      </c>
      <c r="H10790" s="39" t="n">
        <v>6</v>
      </c>
      <c r="I10790" s="39" t="n">
        <v>7</v>
      </c>
      <c r="J10790" s="39" t="n">
        <v>8</v>
      </c>
      <c r="K10790" s="39" t="n">
        <v>9</v>
      </c>
      <c r="L10790" s="39" t="n">
        <v>10</v>
      </c>
      <c r="M10790" s="39" t="n">
        <v>11</v>
      </c>
      <c r="N10790" s="39" t="n">
        <v>12</v>
      </c>
      <c r="P10790" s="40"/>
      <c r="Q10790" s="40"/>
      <c r="R10790" s="40"/>
      <c r="S10790" s="41"/>
    </row>
    <row r="10791" customFormat="false" ht="15" hidden="false" customHeight="false" outlineLevel="0" collapsed="false">
      <c r="A10791" s="4" t="s">
        <v>476</v>
      </c>
      <c r="B10791" s="36" t="s">
        <v>343</v>
      </c>
      <c r="C10791" s="39" t="n">
        <f aca="false">IF(C10790&lt;=Assumptions!$E$84,1,0)</f>
        <v>1</v>
      </c>
      <c r="D10791" s="39" t="n">
        <f aca="false">IF(D10790&lt;=Assumptions!$E$84,1,0)</f>
        <v>1</v>
      </c>
      <c r="E10791" s="39" t="n">
        <f aca="false">IF(E10790&lt;=Assumptions!$E$84,1,0)</f>
        <v>1</v>
      </c>
      <c r="F10791" s="39" t="n">
        <f aca="false">IF(F10790&lt;=Assumptions!$E$84,1,0)</f>
        <v>1</v>
      </c>
      <c r="G10791" s="39" t="n">
        <f aca="false">IF(G10790&lt;=Assumptions!$E$84,1,0)</f>
        <v>1</v>
      </c>
      <c r="H10791" s="39" t="n">
        <f aca="false">IF(H10790&lt;=Assumptions!$E$84,1,0)</f>
        <v>1</v>
      </c>
      <c r="I10791" s="39" t="n">
        <f aca="false">IF(I10790&lt;=Assumptions!$E$84,1,0)</f>
        <v>1</v>
      </c>
      <c r="J10791" s="39" t="n">
        <f aca="false">IF(J10790&lt;=Assumptions!$E$84,1,0)</f>
        <v>1</v>
      </c>
      <c r="K10791" s="39" t="n">
        <f aca="false">IF(K10790&lt;=Assumptions!$E$84,1,0)</f>
        <v>1</v>
      </c>
      <c r="L10791" s="39" t="n">
        <f aca="false">IF(L10790&lt;=Assumptions!$E$84,1,0)</f>
        <v>1</v>
      </c>
      <c r="M10791" s="39" t="n">
        <f aca="false">IF(M10790&lt;=Assumptions!$E$84,1,0)</f>
        <v>1</v>
      </c>
      <c r="N10791" s="39" t="n">
        <f aca="false">IF(N10790&lt;=Assumptions!$E$84,1,0)</f>
        <v>1</v>
      </c>
      <c r="P10791" s="40"/>
      <c r="Q10791" s="40"/>
      <c r="R10791" s="40"/>
      <c r="S10791" s="41"/>
    </row>
    <row r="10792" customFormat="false" ht="15" hidden="false" customHeight="false" outlineLevel="0" collapsed="false">
      <c r="A10792" s="4" t="s">
        <v>477</v>
      </c>
      <c r="B10792" s="36" t="s">
        <v>478</v>
      </c>
      <c r="C10792" s="42" t="n">
        <f aca="false">IF(C10790=Assumptions!$E$13,0.5,IF(C10790&gt;Assumptions!$E$13,1,0))</f>
        <v>0.5</v>
      </c>
      <c r="D10792" s="42" t="n">
        <f aca="false">IF(D10790=Assumptions!$E$13,0.5,IF(D10790&gt;Assumptions!$E$13,1,0))</f>
        <v>1</v>
      </c>
      <c r="E10792" s="42" t="n">
        <f aca="false">IF(E10790=Assumptions!$E$13,0.5,IF(E10790&gt;Assumptions!$E$13,1,0))</f>
        <v>1</v>
      </c>
      <c r="F10792" s="42" t="n">
        <f aca="false">IF(F10790=Assumptions!$E$13,0.5,IF(F10790&gt;Assumptions!$E$13,1,0))</f>
        <v>1</v>
      </c>
      <c r="G10792" s="42" t="n">
        <f aca="false">IF(G10790=Assumptions!$E$13,0.5,IF(G10790&gt;Assumptions!$E$13,1,0))</f>
        <v>1</v>
      </c>
      <c r="H10792" s="42" t="n">
        <f aca="false">IF(H10790=Assumptions!$E$13,0.5,IF(H10790&gt;Assumptions!$E$13,1,0))</f>
        <v>1</v>
      </c>
      <c r="I10792" s="42" t="n">
        <f aca="false">IF(I10790=Assumptions!$E$13,0.5,IF(I10790&gt;Assumptions!$E$13,1,0))</f>
        <v>1</v>
      </c>
      <c r="J10792" s="42" t="n">
        <f aca="false">IF(J10790=Assumptions!$E$13,0.5,IF(J10790&gt;Assumptions!$E$13,1,0))</f>
        <v>1</v>
      </c>
      <c r="K10792" s="42" t="n">
        <f aca="false">IF(K10790=Assumptions!$E$13,0.5,IF(K10790&gt;Assumptions!$E$13,1,0))</f>
        <v>1</v>
      </c>
      <c r="L10792" s="42" t="n">
        <f aca="false">IF(L10790=Assumptions!$E$13,0.5,IF(L10790&gt;Assumptions!$E$13,1,0))</f>
        <v>1</v>
      </c>
      <c r="M10792" s="42" t="n">
        <f aca="false">IF(M10790=Assumptions!$E$13,0.5,IF(M10790&gt;Assumptions!$E$13,1,0))</f>
        <v>1</v>
      </c>
      <c r="N10792" s="42" t="n">
        <f aca="false">IF(N10790=Assumptions!$E$13,0.5,IF(N10790&gt;Assumptions!$E$13,1,0))</f>
        <v>1</v>
      </c>
      <c r="P10792" s="43"/>
      <c r="Q10792" s="43"/>
      <c r="R10792" s="43"/>
      <c r="S10792" s="44"/>
    </row>
    <row r="10793" customFormat="false" ht="15" hidden="false" customHeight="false" outlineLevel="0" collapsed="false">
      <c r="A10793" s="4" t="s">
        <v>479</v>
      </c>
      <c r="B10793" s="36" t="s">
        <v>478</v>
      </c>
      <c r="C10793" s="42" t="n">
        <f aca="false">IF(C10790=Assumptions!$E$14,0.5,IF(C10790&gt;Assumptions!$E$14,1,0))</f>
        <v>0</v>
      </c>
      <c r="D10793" s="42" t="n">
        <f aca="false">IF(D10790=Assumptions!$E$14,0.5,IF(D10790&gt;Assumptions!$E$14,1,0))</f>
        <v>0</v>
      </c>
      <c r="E10793" s="42" t="n">
        <f aca="false">IF(E10790=Assumptions!$E$14,0.5,IF(E10790&gt;Assumptions!$E$14,1,0))</f>
        <v>0</v>
      </c>
      <c r="F10793" s="42" t="n">
        <f aca="false">IF(F10790=Assumptions!$E$14,0.5,IF(F10790&gt;Assumptions!$E$14,1,0))</f>
        <v>0</v>
      </c>
      <c r="G10793" s="42" t="n">
        <f aca="false">IF(G10790=Assumptions!$E$14,0.5,IF(G10790&gt;Assumptions!$E$14,1,0))</f>
        <v>0.5</v>
      </c>
      <c r="H10793" s="42" t="n">
        <f aca="false">IF(H10790=Assumptions!$E$14,0.5,IF(H10790&gt;Assumptions!$E$14,1,0))</f>
        <v>1</v>
      </c>
      <c r="I10793" s="42" t="n">
        <f aca="false">IF(I10790=Assumptions!$E$14,0.5,IF(I10790&gt;Assumptions!$E$14,1,0))</f>
        <v>1</v>
      </c>
      <c r="J10793" s="42" t="n">
        <f aca="false">IF(J10790=Assumptions!$E$14,0.5,IF(J10790&gt;Assumptions!$E$14,1,0))</f>
        <v>1</v>
      </c>
      <c r="K10793" s="42" t="n">
        <f aca="false">IF(K10790=Assumptions!$E$14,0.5,IF(K10790&gt;Assumptions!$E$14,1,0))</f>
        <v>1</v>
      </c>
      <c r="L10793" s="42" t="n">
        <f aca="false">IF(L10790=Assumptions!$E$14,0.5,IF(L10790&gt;Assumptions!$E$14,1,0))</f>
        <v>1</v>
      </c>
      <c r="M10793" s="42" t="n">
        <f aca="false">IF(M10790=Assumptions!$E$14,0.5,IF(M10790&gt;Assumptions!$E$14,1,0))</f>
        <v>1</v>
      </c>
      <c r="N10793" s="42" t="n">
        <f aca="false">IF(N10790=Assumptions!$E$14,0.5,IF(N10790&gt;Assumptions!$E$14,1,0))</f>
        <v>1</v>
      </c>
      <c r="P10793" s="43"/>
      <c r="Q10793" s="43"/>
      <c r="R10793" s="43"/>
      <c r="S10793" s="44"/>
    </row>
    <row r="10794" customFormat="false" ht="15" hidden="false" customHeight="false" outlineLevel="0" collapsed="false">
      <c r="A10794" s="4" t="s">
        <v>480</v>
      </c>
      <c r="B10794" s="36" t="s">
        <v>478</v>
      </c>
      <c r="C10794" s="42" t="n">
        <f aca="false">IF(C10790=Assumptions!$E$15,0.5,IF(C10790&gt;Assumptions!$E$15,1,0))</f>
        <v>0</v>
      </c>
      <c r="D10794" s="42" t="n">
        <f aca="false">IF(D10790=Assumptions!$E$15,0.5,IF(D10790&gt;Assumptions!$E$15,1,0))</f>
        <v>0</v>
      </c>
      <c r="E10794" s="42" t="n">
        <f aca="false">IF(E10790=Assumptions!$E$15,0.5,IF(E10790&gt;Assumptions!$E$15,1,0))</f>
        <v>0</v>
      </c>
      <c r="F10794" s="42" t="n">
        <f aca="false">IF(F10790=Assumptions!$E$15,0.5,IF(F10790&gt;Assumptions!$E$15,1,0))</f>
        <v>0</v>
      </c>
      <c r="G10794" s="42" t="n">
        <f aca="false">IF(G10790=Assumptions!$E$15,0.5,IF(G10790&gt;Assumptions!$E$15,1,0))</f>
        <v>0</v>
      </c>
      <c r="H10794" s="42" t="n">
        <f aca="false">IF(H10790=Assumptions!$E$15,0.5,IF(H10790&gt;Assumptions!$E$15,1,0))</f>
        <v>0</v>
      </c>
      <c r="I10794" s="42" t="n">
        <f aca="false">IF(I10790=Assumptions!$E$15,0.5,IF(I10790&gt;Assumptions!$E$15,1,0))</f>
        <v>0.5</v>
      </c>
      <c r="J10794" s="42" t="n">
        <f aca="false">IF(J10790=Assumptions!$E$15,0.5,IF(J10790&gt;Assumptions!$E$15,1,0))</f>
        <v>1</v>
      </c>
      <c r="K10794" s="42" t="n">
        <f aca="false">IF(K10790=Assumptions!$E$15,0.5,IF(K10790&gt;Assumptions!$E$15,1,0))</f>
        <v>1</v>
      </c>
      <c r="L10794" s="42" t="n">
        <f aca="false">IF(L10790=Assumptions!$E$15,0.5,IF(L10790&gt;Assumptions!$E$15,1,0))</f>
        <v>1</v>
      </c>
      <c r="M10794" s="42" t="n">
        <f aca="false">IF(M10790=Assumptions!$E$15,0.5,IF(M10790&gt;Assumptions!$E$15,1,0))</f>
        <v>1</v>
      </c>
      <c r="N10794" s="42" t="n">
        <f aca="false">IF(N10790=Assumptions!$E$15,0.5,IF(N10790&gt;Assumptions!$E$15,1,0))</f>
        <v>1</v>
      </c>
      <c r="P10794" s="43"/>
      <c r="Q10794" s="43"/>
      <c r="R10794" s="43"/>
      <c r="S10794" s="44"/>
    </row>
    <row r="10795" customFormat="false" ht="15" hidden="false" customHeight="false" outlineLevel="0" collapsed="false">
      <c r="A10795" s="4" t="s">
        <v>481</v>
      </c>
      <c r="B10795" s="36" t="s">
        <v>478</v>
      </c>
      <c r="C10795" s="45" t="n">
        <f aca="false">Assumptions!$E$21^(MAX(0,C10790-Assumptions!$E$13)/4)</f>
        <v>1</v>
      </c>
      <c r="D10795" s="45" t="n">
        <f aca="false">Assumptions!$E$21^(MAX(0,D10790-Assumptions!$E$13)/4)</f>
        <v>0.9306048591021</v>
      </c>
      <c r="E10795" s="45" t="n">
        <f aca="false">Assumptions!$E$21^(MAX(0,E10790-Assumptions!$E$13)/4)</f>
        <v>0.866025403784439</v>
      </c>
      <c r="F10795" s="45" t="n">
        <f aca="false">Assumptions!$E$21^(MAX(0,F10790-Assumptions!$E$13)/4)</f>
        <v>0.805927448867656</v>
      </c>
      <c r="G10795" s="45" t="n">
        <f aca="false">Assumptions!$E$21^(MAX(0,G10790-Assumptions!$E$13)/4)</f>
        <v>0.75</v>
      </c>
      <c r="H10795" s="45" t="n">
        <f aca="false">Assumptions!$E$21^(MAX(0,H10790-Assumptions!$E$13)/4)</f>
        <v>0.697953644326575</v>
      </c>
      <c r="I10795" s="45" t="n">
        <f aca="false">Assumptions!$E$21^(MAX(0,I10790-Assumptions!$E$13)/4)</f>
        <v>0.649519052838329</v>
      </c>
      <c r="J10795" s="45" t="n">
        <f aca="false">Assumptions!$E$21^(MAX(0,J10790-Assumptions!$E$13)/4)</f>
        <v>0.604445586650742</v>
      </c>
      <c r="K10795" s="45" t="n">
        <f aca="false">Assumptions!$E$21^(MAX(0,K10790-Assumptions!$E$13)/4)</f>
        <v>0.5625</v>
      </c>
      <c r="L10795" s="45" t="n">
        <f aca="false">Assumptions!$E$21^(MAX(0,L10790-Assumptions!$E$13)/4)</f>
        <v>0.523465233244931</v>
      </c>
      <c r="M10795" s="45" t="n">
        <f aca="false">Assumptions!$E$21^(MAX(0,M10790-Assumptions!$E$13)/4)</f>
        <v>0.487139289628747</v>
      </c>
      <c r="N10795" s="45" t="n">
        <f aca="false">Assumptions!$E$21^(MAX(0,N10790-Assumptions!$E$13)/4)</f>
        <v>0.453334189988057</v>
      </c>
      <c r="P10795" s="46"/>
      <c r="Q10795" s="46"/>
      <c r="R10795" s="46"/>
      <c r="S10795" s="47"/>
    </row>
    <row r="10796" customFormat="false" ht="15" hidden="false" customHeight="false" outlineLevel="0" collapsed="false">
      <c r="A10796" s="4" t="s">
        <v>482</v>
      </c>
      <c r="B10796" s="36" t="s">
        <v>478</v>
      </c>
      <c r="C10796" s="45" t="n">
        <f aca="false">Assumptions!$E$21^(MAX(0,C10790-Assumptions!$E$14)/4)</f>
        <v>1</v>
      </c>
      <c r="D10796" s="45" t="n">
        <f aca="false">Assumptions!$E$21^(MAX(0,D10790-Assumptions!$E$14)/4)</f>
        <v>1</v>
      </c>
      <c r="E10796" s="45" t="n">
        <f aca="false">Assumptions!$E$21^(MAX(0,E10790-Assumptions!$E$14)/4)</f>
        <v>1</v>
      </c>
      <c r="F10796" s="45" t="n">
        <f aca="false">Assumptions!$E$21^(MAX(0,F10790-Assumptions!$E$14)/4)</f>
        <v>1</v>
      </c>
      <c r="G10796" s="45" t="n">
        <f aca="false">Assumptions!$E$21^(MAX(0,G10790-Assumptions!$E$14)/4)</f>
        <v>1</v>
      </c>
      <c r="H10796" s="45" t="n">
        <f aca="false">Assumptions!$E$21^(MAX(0,H10790-Assumptions!$E$14)/4)</f>
        <v>0.9306048591021</v>
      </c>
      <c r="I10796" s="45" t="n">
        <f aca="false">Assumptions!$E$21^(MAX(0,I10790-Assumptions!$E$14)/4)</f>
        <v>0.866025403784439</v>
      </c>
      <c r="J10796" s="45" t="n">
        <f aca="false">Assumptions!$E$21^(MAX(0,J10790-Assumptions!$E$14)/4)</f>
        <v>0.805927448867656</v>
      </c>
      <c r="K10796" s="45" t="n">
        <f aca="false">Assumptions!$E$21^(MAX(0,K10790-Assumptions!$E$14)/4)</f>
        <v>0.75</v>
      </c>
      <c r="L10796" s="45" t="n">
        <f aca="false">Assumptions!$E$21^(MAX(0,L10790-Assumptions!$E$14)/4)</f>
        <v>0.697953644326575</v>
      </c>
      <c r="M10796" s="45" t="n">
        <f aca="false">Assumptions!$E$21^(MAX(0,M10790-Assumptions!$E$14)/4)</f>
        <v>0.649519052838329</v>
      </c>
      <c r="N10796" s="45" t="n">
        <f aca="false">Assumptions!$E$21^(MAX(0,N10790-Assumptions!$E$14)/4)</f>
        <v>0.604445586650742</v>
      </c>
      <c r="P10796" s="46"/>
      <c r="Q10796" s="46"/>
      <c r="R10796" s="46"/>
      <c r="S10796" s="47"/>
    </row>
    <row r="10797" customFormat="false" ht="15" hidden="false" customHeight="false" outlineLevel="0" collapsed="false">
      <c r="A10797" s="4" t="s">
        <v>483</v>
      </c>
      <c r="B10797" s="36" t="s">
        <v>478</v>
      </c>
      <c r="C10797" s="45" t="n">
        <f aca="false">Assumptions!$E$21^(MAX(0,C10790-Assumptions!$E$15)/4)</f>
        <v>1</v>
      </c>
      <c r="D10797" s="45" t="n">
        <f aca="false">Assumptions!$E$21^(MAX(0,D10790-Assumptions!$E$15)/4)</f>
        <v>1</v>
      </c>
      <c r="E10797" s="45" t="n">
        <f aca="false">Assumptions!$E$21^(MAX(0,E10790-Assumptions!$E$15)/4)</f>
        <v>1</v>
      </c>
      <c r="F10797" s="45" t="n">
        <f aca="false">Assumptions!$E$21^(MAX(0,F10790-Assumptions!$E$15)/4)</f>
        <v>1</v>
      </c>
      <c r="G10797" s="45" t="n">
        <f aca="false">Assumptions!$E$21^(MAX(0,G10790-Assumptions!$E$15)/4)</f>
        <v>1</v>
      </c>
      <c r="H10797" s="45" t="n">
        <f aca="false">Assumptions!$E$21^(MAX(0,H10790-Assumptions!$E$15)/4)</f>
        <v>1</v>
      </c>
      <c r="I10797" s="45" t="n">
        <f aca="false">Assumptions!$E$21^(MAX(0,I10790-Assumptions!$E$15)/4)</f>
        <v>1</v>
      </c>
      <c r="J10797" s="45" t="n">
        <f aca="false">Assumptions!$E$21^(MAX(0,J10790-Assumptions!$E$15)/4)</f>
        <v>0.9306048591021</v>
      </c>
      <c r="K10797" s="45" t="n">
        <f aca="false">Assumptions!$E$21^(MAX(0,K10790-Assumptions!$E$15)/4)</f>
        <v>0.866025403784439</v>
      </c>
      <c r="L10797" s="45" t="n">
        <f aca="false">Assumptions!$E$21^(MAX(0,L10790-Assumptions!$E$15)/4)</f>
        <v>0.805927448867656</v>
      </c>
      <c r="M10797" s="45" t="n">
        <f aca="false">Assumptions!$E$21^(MAX(0,M10790-Assumptions!$E$15)/4)</f>
        <v>0.75</v>
      </c>
      <c r="N10797" s="45" t="n">
        <f aca="false">Assumptions!$E$21^(MAX(0,N10790-Assumptions!$E$15)/4)</f>
        <v>0.697953644326575</v>
      </c>
      <c r="P10797" s="46"/>
      <c r="Q10797" s="46"/>
      <c r="R10797" s="46"/>
      <c r="S10797" s="47"/>
    </row>
    <row r="10798" customFormat="false" ht="15" hidden="false" customHeight="false" outlineLevel="0" collapsed="false">
      <c r="A10798" s="4" t="s">
        <v>484</v>
      </c>
      <c r="B10798" s="36" t="s">
        <v>485</v>
      </c>
      <c r="C10798" s="39" t="n">
        <f aca="false">$C$10769*C10792+$C$10773*C10793+$C$10777*C10794</f>
        <v>421.51972352</v>
      </c>
      <c r="D10798" s="39" t="n">
        <f aca="false">$C$10769*D10792+$C$10773*D10793+$C$10777*D10794</f>
        <v>843.03944704</v>
      </c>
      <c r="E10798" s="39" t="n">
        <f aca="false">$C$10769*E10792+$C$10773*E10793+$C$10777*E10794</f>
        <v>843.03944704</v>
      </c>
      <c r="F10798" s="39" t="n">
        <f aca="false">$C$10769*F10792+$C$10773*F10793+$C$10777*F10794</f>
        <v>843.03944704</v>
      </c>
      <c r="G10798" s="39" t="n">
        <f aca="false">$C$10769*G10792+$C$10773*G10793+$C$10777*G10794</f>
        <v>1149.32798176</v>
      </c>
      <c r="H10798" s="39" t="n">
        <f aca="false">$C$10769*H10792+$C$10773*H10793+$C$10777*H10794</f>
        <v>1455.61651648</v>
      </c>
      <c r="I10798" s="39" t="n">
        <f aca="false">$C$10769*I10792+$C$10773*I10793+$C$10777*I10794</f>
        <v>2486.00303616</v>
      </c>
      <c r="J10798" s="39" t="n">
        <f aca="false">$C$10769*J10792+$C$10773*J10793+$C$10777*J10794</f>
        <v>3516.38955584</v>
      </c>
      <c r="K10798" s="39" t="n">
        <f aca="false">$C$10769*K10792+$C$10773*K10793+$C$10777*K10794</f>
        <v>3516.38955584</v>
      </c>
      <c r="L10798" s="39" t="n">
        <f aca="false">$C$10769*L10792+$C$10773*L10793+$C$10777*L10794</f>
        <v>3516.38955584</v>
      </c>
      <c r="M10798" s="39" t="n">
        <f aca="false">$C$10769*M10792+$C$10773*M10793+$C$10777*M10794</f>
        <v>3516.38955584</v>
      </c>
      <c r="N10798" s="39" t="n">
        <f aca="false">$C$10769*N10792+$C$10773*N10793+$C$10777*N10794</f>
        <v>3516.38955584</v>
      </c>
      <c r="P10798" s="40" t="n">
        <f aca="false">F10798</f>
        <v>843.03944704</v>
      </c>
      <c r="Q10798" s="40" t="n">
        <f aca="false">J10798</f>
        <v>3516.38955584</v>
      </c>
      <c r="R10798" s="40" t="n">
        <f aca="false">N10798</f>
        <v>3516.38955584</v>
      </c>
      <c r="S10798" s="41" t="n">
        <f aca="false">R10798</f>
        <v>3516.38955584</v>
      </c>
    </row>
    <row r="10799" customFormat="false" ht="15" hidden="false" customHeight="false" outlineLevel="0" collapsed="false">
      <c r="A10799" s="4" t="s">
        <v>486</v>
      </c>
      <c r="B10799" s="36" t="s">
        <v>485</v>
      </c>
      <c r="C10799" s="39" t="n">
        <f aca="false">$C$10770*C10792+$C$10774*C10793+$C$10778*C10794</f>
        <v>105.59808</v>
      </c>
      <c r="D10799" s="39" t="n">
        <f aca="false">$C$10770*D10792+$C$10774*D10793+$C$10778*D10794</f>
        <v>211.19616</v>
      </c>
      <c r="E10799" s="39" t="n">
        <f aca="false">$C$10770*E10792+$C$10774*E10793+$C$10778*E10794</f>
        <v>211.19616</v>
      </c>
      <c r="F10799" s="39" t="n">
        <f aca="false">$C$10770*F10792+$C$10774*F10793+$C$10778*F10794</f>
        <v>211.19616</v>
      </c>
      <c r="G10799" s="39" t="n">
        <f aca="false">$C$10770*G10792+$C$10774*G10793+$C$10778*G10794</f>
        <v>282.24672</v>
      </c>
      <c r="H10799" s="39" t="n">
        <f aca="false">$C$10770*H10792+$C$10774*H10793+$C$10778*H10794</f>
        <v>353.29728</v>
      </c>
      <c r="I10799" s="39" t="n">
        <f aca="false">$C$10770*I10792+$C$10774*I10793+$C$10778*I10794</f>
        <v>567.53536</v>
      </c>
      <c r="J10799" s="39" t="n">
        <f aca="false">$C$10770*J10792+$C$10774*J10793+$C$10778*J10794</f>
        <v>781.77344</v>
      </c>
      <c r="K10799" s="39" t="n">
        <f aca="false">$C$10770*K10792+$C$10774*K10793+$C$10778*K10794</f>
        <v>781.77344</v>
      </c>
      <c r="L10799" s="39" t="n">
        <f aca="false">$C$10770*L10792+$C$10774*L10793+$C$10778*L10794</f>
        <v>781.77344</v>
      </c>
      <c r="M10799" s="39" t="n">
        <f aca="false">$C$10770*M10792+$C$10774*M10793+$C$10778*M10794</f>
        <v>781.77344</v>
      </c>
      <c r="N10799" s="39" t="n">
        <f aca="false">$C$10770*N10792+$C$10774*N10793+$C$10778*N10794</f>
        <v>781.77344</v>
      </c>
      <c r="P10799" s="40" t="n">
        <f aca="false">F10799</f>
        <v>211.19616</v>
      </c>
      <c r="Q10799" s="40" t="n">
        <f aca="false">J10799</f>
        <v>781.77344</v>
      </c>
      <c r="R10799" s="40" t="n">
        <f aca="false">N10799</f>
        <v>781.77344</v>
      </c>
      <c r="S10799" s="41" t="n">
        <f aca="false">R10799</f>
        <v>781.77344</v>
      </c>
    </row>
    <row r="10800" customFormat="false" ht="15" hidden="false" customHeight="false" outlineLevel="0" collapsed="false">
      <c r="A10800" s="4" t="s">
        <v>487</v>
      </c>
      <c r="B10800" s="36" t="s">
        <v>485</v>
      </c>
      <c r="C10800" s="39" t="n">
        <f aca="false">$C$10771*C10792+$C$10775*C10793+$C$10779*C10794</f>
        <v>24.76992</v>
      </c>
      <c r="D10800" s="39" t="n">
        <f aca="false">$C$10771*D10792+$C$10775*D10793+$C$10779*D10794</f>
        <v>49.53984</v>
      </c>
      <c r="E10800" s="39" t="n">
        <f aca="false">$C$10771*E10792+$C$10775*E10793+$C$10779*E10794</f>
        <v>49.53984</v>
      </c>
      <c r="F10800" s="39" t="n">
        <f aca="false">$C$10771*F10792+$C$10775*F10793+$C$10779*F10794</f>
        <v>49.53984</v>
      </c>
      <c r="G10800" s="39" t="n">
        <f aca="false">$C$10771*G10792+$C$10775*G10793+$C$10779*G10794</f>
        <v>61.9248</v>
      </c>
      <c r="H10800" s="39" t="n">
        <f aca="false">$C$10771*H10792+$C$10775*H10793+$C$10779*H10794</f>
        <v>74.30976</v>
      </c>
      <c r="I10800" s="39" t="n">
        <f aca="false">$C$10771*I10792+$C$10775*I10793+$C$10779*I10794</f>
        <v>114.072</v>
      </c>
      <c r="J10800" s="39" t="n">
        <f aca="false">$C$10771*J10792+$C$10775*J10793+$C$10779*J10794</f>
        <v>153.83424</v>
      </c>
      <c r="K10800" s="39" t="n">
        <f aca="false">$C$10771*K10792+$C$10775*K10793+$C$10779*K10794</f>
        <v>153.83424</v>
      </c>
      <c r="L10800" s="39" t="n">
        <f aca="false">$C$10771*L10792+$C$10775*L10793+$C$10779*L10794</f>
        <v>153.83424</v>
      </c>
      <c r="M10800" s="39" t="n">
        <f aca="false">$C$10771*M10792+$C$10775*M10793+$C$10779*M10794</f>
        <v>153.83424</v>
      </c>
      <c r="N10800" s="39" t="n">
        <f aca="false">$C$10771*N10792+$C$10775*N10793+$C$10779*N10794</f>
        <v>153.83424</v>
      </c>
      <c r="P10800" s="40" t="n">
        <f aca="false">F10800</f>
        <v>49.53984</v>
      </c>
      <c r="Q10800" s="40" t="n">
        <f aca="false">J10800</f>
        <v>153.83424</v>
      </c>
      <c r="R10800" s="40" t="n">
        <f aca="false">N10800</f>
        <v>153.83424</v>
      </c>
      <c r="S10800" s="41" t="n">
        <f aca="false">R10800</f>
        <v>153.83424</v>
      </c>
    </row>
    <row r="10801" customFormat="false" ht="15" hidden="false" customHeight="false" outlineLevel="0" collapsed="false">
      <c r="A10801" s="4" t="s">
        <v>488</v>
      </c>
      <c r="B10801" s="36" t="s">
        <v>485</v>
      </c>
      <c r="C10801" s="39" t="n">
        <f aca="false">C10798+C10799+C10800</f>
        <v>551.88772352</v>
      </c>
      <c r="D10801" s="39" t="n">
        <f aca="false">D10798+D10799+D10800</f>
        <v>1103.77544704</v>
      </c>
      <c r="E10801" s="39" t="n">
        <f aca="false">E10798+E10799+E10800</f>
        <v>1103.77544704</v>
      </c>
      <c r="F10801" s="39" t="n">
        <f aca="false">F10798+F10799+F10800</f>
        <v>1103.77544704</v>
      </c>
      <c r="G10801" s="39" t="n">
        <f aca="false">G10798+G10799+G10800</f>
        <v>1493.49950176</v>
      </c>
      <c r="H10801" s="39" t="n">
        <f aca="false">H10798+H10799+H10800</f>
        <v>1883.22355648</v>
      </c>
      <c r="I10801" s="39" t="n">
        <f aca="false">I10798+I10799+I10800</f>
        <v>3167.61039616</v>
      </c>
      <c r="J10801" s="39" t="n">
        <f aca="false">J10798+J10799+J10800</f>
        <v>4451.99723584</v>
      </c>
      <c r="K10801" s="39" t="n">
        <f aca="false">K10798+K10799+K10800</f>
        <v>4451.99723584</v>
      </c>
      <c r="L10801" s="39" t="n">
        <f aca="false">L10798+L10799+L10800</f>
        <v>4451.99723584</v>
      </c>
      <c r="M10801" s="39" t="n">
        <f aca="false">M10798+M10799+M10800</f>
        <v>4451.99723584</v>
      </c>
      <c r="N10801" s="39" t="n">
        <f aca="false">N10798+N10799+N10800</f>
        <v>4451.99723584</v>
      </c>
      <c r="P10801" s="40" t="n">
        <f aca="false">F10801</f>
        <v>1103.77544704</v>
      </c>
      <c r="Q10801" s="40" t="n">
        <f aca="false">J10801</f>
        <v>4451.99723584</v>
      </c>
      <c r="R10801" s="40" t="n">
        <f aca="false">N10801</f>
        <v>4451.99723584</v>
      </c>
      <c r="S10801" s="41" t="n">
        <f aca="false">R10801</f>
        <v>4451.99723584</v>
      </c>
    </row>
    <row r="10802" customFormat="false" ht="15" hidden="false" customHeight="false" outlineLevel="0" collapsed="false">
      <c r="A10802" s="4" t="s">
        <v>489</v>
      </c>
      <c r="B10802" s="36" t="s">
        <v>485</v>
      </c>
      <c r="C10802" s="39" t="n">
        <f aca="false">$C$10772*C10792*C10795+$C$10776*C10793*C10796+$C$10780*C10794*C10797</f>
        <v>551.88772352</v>
      </c>
      <c r="D10802" s="39" t="n">
        <f aca="false">$C$10772*D10792*D10795+$C$10776*D10793*D10796+$C$10780*D10794*D10797</f>
        <v>1027.17879437302</v>
      </c>
      <c r="E10802" s="39" t="n">
        <f aca="false">$C$10772*E10792*E10795+$C$10776*E10793*E10796+$C$10780*E10794*E10797</f>
        <v>955.897577210165</v>
      </c>
      <c r="F10802" s="39" t="n">
        <f aca="false">$C$10772*F10792*F10795+$C$10776*F10793*F10796+$C$10780*F10794*F10797</f>
        <v>889.562930155704</v>
      </c>
      <c r="G10802" s="39" t="n">
        <f aca="false">$C$10772*G10792*G10795+$C$10776*G10793*G10796+$C$10780*G10794*G10797</f>
        <v>1217.55564</v>
      </c>
      <c r="H10802" s="39" t="n">
        <f aca="false">$C$10772*H10792*H10795+$C$10776*H10793*H10796+$C$10780*H10794*H10797</f>
        <v>1495.74229384257</v>
      </c>
      <c r="I10802" s="39" t="n">
        <f aca="false">$C$10772*I10792*I10795+$C$10776*I10793*I10796+$C$10780*I10794*I10797</f>
        <v>2676.33188629442</v>
      </c>
      <c r="J10802" s="39" t="n">
        <f aca="false">$C$10772*J10792*J10795+$C$10776*J10793*J10796+$C$10780*J10794*J10797</f>
        <v>3685.86409192847</v>
      </c>
      <c r="K10802" s="39" t="n">
        <f aca="false">$C$10772*K10792*K10795+$C$10776*K10793*K10796+$C$10780*K10794*K10797</f>
        <v>3430.08303393858</v>
      </c>
      <c r="L10802" s="39" t="n">
        <f aca="false">$C$10772*L10792*L10795+$C$10776*L10793*L10796+$C$10780*L10794*L10797</f>
        <v>3192.05193850692</v>
      </c>
      <c r="M10802" s="39" t="n">
        <f aca="false">$C$10772*M10792*M10795+$C$10776*M10793*M10796+$C$10780*M10794*M10797</f>
        <v>2970.53904448081</v>
      </c>
      <c r="N10802" s="39" t="n">
        <f aca="false">$C$10772*N10792*N10795+$C$10776*N10793*N10796+$C$10780*N10794*N10797</f>
        <v>2764.39806894635</v>
      </c>
      <c r="P10802" s="40"/>
      <c r="Q10802" s="40"/>
      <c r="R10802" s="40"/>
      <c r="S10802" s="41"/>
    </row>
    <row r="10803" customFormat="false" ht="15" hidden="false" customHeight="false" outlineLevel="0" collapsed="false">
      <c r="A10803" s="4" t="s">
        <v>490</v>
      </c>
      <c r="B10803" s="36" t="s">
        <v>491</v>
      </c>
      <c r="C10803" s="48" t="n">
        <f aca="false">$C$10784*Assumptions!$E$20*C10791*C10802</f>
        <v>6.62265268224</v>
      </c>
      <c r="D10803" s="48" t="n">
        <f aca="false">$C$10784*Assumptions!$E$20*D10791*D10802</f>
        <v>12.3261455324762</v>
      </c>
      <c r="E10803" s="48" t="n">
        <f aca="false">$C$10784*Assumptions!$E$20*E10791*E10802</f>
        <v>11.470770926522</v>
      </c>
      <c r="F10803" s="48" t="n">
        <f aca="false">$C$10784*Assumptions!$E$20*F10791*F10802</f>
        <v>10.6747551618685</v>
      </c>
      <c r="G10803" s="48" t="n">
        <f aca="false">$C$10784*Assumptions!$E$20*G10791*G10802</f>
        <v>14.61066768</v>
      </c>
      <c r="H10803" s="48" t="n">
        <f aca="false">$C$10784*Assumptions!$E$20*H10791*H10802</f>
        <v>17.9489075261109</v>
      </c>
      <c r="I10803" s="48" t="n">
        <f aca="false">$C$10784*Assumptions!$E$20*I10791*I10802</f>
        <v>32.115982635533</v>
      </c>
      <c r="J10803" s="48" t="n">
        <f aca="false">$C$10784*Assumptions!$E$20*J10791*J10802</f>
        <v>44.2303691031417</v>
      </c>
      <c r="K10803" s="48" t="n">
        <f aca="false">$C$10784*Assumptions!$E$20*K10791*K10802</f>
        <v>41.160996407263</v>
      </c>
      <c r="L10803" s="48" t="n">
        <f aca="false">$C$10784*Assumptions!$E$20*L10791*L10802</f>
        <v>38.304623262083</v>
      </c>
      <c r="M10803" s="48" t="n">
        <f aca="false">$C$10784*Assumptions!$E$20*M10791*M10802</f>
        <v>35.6464685337698</v>
      </c>
      <c r="N10803" s="48" t="n">
        <f aca="false">$C$10784*Assumptions!$E$20*N10791*N10802</f>
        <v>33.1727768273562</v>
      </c>
      <c r="P10803" s="49" t="n">
        <f aca="false">SUM(C10803:F10803)</f>
        <v>41.0943243031066</v>
      </c>
      <c r="Q10803" s="49" t="n">
        <f aca="false">SUM(G10803:J10803)</f>
        <v>108.905926944786</v>
      </c>
      <c r="R10803" s="49" t="n">
        <f aca="false">SUM(K10803:N10803)</f>
        <v>148.284865030472</v>
      </c>
      <c r="S10803" s="50" t="n">
        <f aca="false">SUM(P10803:R10803)</f>
        <v>298.285116278364</v>
      </c>
    </row>
    <row r="10804" customFormat="false" ht="15" hidden="false" customHeight="false" outlineLevel="0" collapsed="false">
      <c r="A10804" s="4" t="s">
        <v>492</v>
      </c>
      <c r="B10804" s="36" t="s">
        <v>321</v>
      </c>
      <c r="C10804" s="48" t="n">
        <f aca="false">Assumptions!$D$112</f>
        <v>2</v>
      </c>
      <c r="D10804" s="48" t="n">
        <f aca="false">Assumptions!$E$112</f>
        <v>2</v>
      </c>
      <c r="E10804" s="48" t="n">
        <f aca="false">Assumptions!$F$112</f>
        <v>3</v>
      </c>
      <c r="F10804" s="48" t="n">
        <f aca="false">Assumptions!$G$112</f>
        <v>3</v>
      </c>
      <c r="G10804" s="48" t="n">
        <f aca="false">Assumptions!$H$112</f>
        <v>4</v>
      </c>
      <c r="H10804" s="48" t="n">
        <f aca="false">Assumptions!$I$112</f>
        <v>4</v>
      </c>
      <c r="I10804" s="48" t="n">
        <f aca="false">Assumptions!$J$112</f>
        <v>5</v>
      </c>
      <c r="J10804" s="48" t="n">
        <f aca="false">Assumptions!$K$112</f>
        <v>5</v>
      </c>
      <c r="K10804" s="48" t="n">
        <f aca="false">Assumptions!$L$112</f>
        <v>6</v>
      </c>
      <c r="L10804" s="48" t="n">
        <f aca="false">Assumptions!$M$112</f>
        <v>6</v>
      </c>
      <c r="M10804" s="48" t="n">
        <f aca="false">Assumptions!$N$112</f>
        <v>6</v>
      </c>
      <c r="N10804" s="48" t="n">
        <f aca="false">Assumptions!$O$112</f>
        <v>6</v>
      </c>
      <c r="P10804" s="49" t="n">
        <f aca="false">F10804</f>
        <v>3</v>
      </c>
      <c r="Q10804" s="49" t="n">
        <f aca="false">J10804</f>
        <v>5</v>
      </c>
      <c r="R10804" s="49" t="n">
        <f aca="false">N10804</f>
        <v>6</v>
      </c>
      <c r="S10804" s="50" t="n">
        <f aca="false">R10804</f>
        <v>6</v>
      </c>
    </row>
    <row r="10805" customFormat="false" ht="15" hidden="false" customHeight="false" outlineLevel="0" collapsed="false">
      <c r="A10805" s="4" t="s">
        <v>493</v>
      </c>
      <c r="B10805" s="36" t="s">
        <v>321</v>
      </c>
      <c r="C10805" s="48" t="n">
        <f aca="false">0</f>
        <v>0</v>
      </c>
      <c r="D10805" s="48" t="n">
        <f aca="false">0.5*C10804</f>
        <v>1</v>
      </c>
      <c r="E10805" s="48" t="n">
        <f aca="false">C10804+0.5*(D10804-C10804)</f>
        <v>2</v>
      </c>
      <c r="F10805" s="48" t="n">
        <f aca="false">D10804+0.5*(E10804-D10804)</f>
        <v>2.5</v>
      </c>
      <c r="G10805" s="48" t="n">
        <f aca="false">E10804+0.5*(F10804-E10804)</f>
        <v>3</v>
      </c>
      <c r="H10805" s="48" t="n">
        <f aca="false">F10804+0.5*(G10804-F10804)</f>
        <v>3.5</v>
      </c>
      <c r="I10805" s="48" t="n">
        <f aca="false">G10804+0.5*(H10804-G10804)</f>
        <v>4</v>
      </c>
      <c r="J10805" s="48" t="n">
        <f aca="false">H10804+0.5*(I10804-H10804)</f>
        <v>4.5</v>
      </c>
      <c r="K10805" s="48" t="n">
        <f aca="false">I10804+0.5*(J10804-I10804)</f>
        <v>5</v>
      </c>
      <c r="L10805" s="48" t="n">
        <f aca="false">J10804+0.5*(K10804-J10804)</f>
        <v>5.5</v>
      </c>
      <c r="M10805" s="48" t="n">
        <f aca="false">K10804+0.5*(L10804-K10804)</f>
        <v>6</v>
      </c>
      <c r="N10805" s="48" t="n">
        <f aca="false">L10804+0.5*(M10804-L10804)</f>
        <v>6</v>
      </c>
      <c r="P10805" s="49" t="n">
        <f aca="false">F10805</f>
        <v>2.5</v>
      </c>
      <c r="Q10805" s="49" t="n">
        <f aca="false">J10805</f>
        <v>4.5</v>
      </c>
      <c r="R10805" s="49" t="n">
        <f aca="false">N10805</f>
        <v>6</v>
      </c>
      <c r="S10805" s="50" t="n">
        <f aca="false">R10805</f>
        <v>6</v>
      </c>
    </row>
    <row r="10806" customFormat="false" ht="15" hidden="false" customHeight="false" outlineLevel="0" collapsed="false">
      <c r="A10806" s="4" t="s">
        <v>494</v>
      </c>
      <c r="B10806" s="36" t="s">
        <v>485</v>
      </c>
      <c r="C10806" s="39" t="n">
        <f aca="false">MIN(C10805*600,C10801*(1-$C$10784))</f>
        <v>0</v>
      </c>
      <c r="D10806" s="39" t="n">
        <f aca="false">MIN(D10805*600,D10801*(1-$C$10784))</f>
        <v>600</v>
      </c>
      <c r="E10806" s="39" t="n">
        <f aca="false">MIN(E10805*600,E10801*(1-$C$10784))</f>
        <v>662.265268224</v>
      </c>
      <c r="F10806" s="39" t="n">
        <f aca="false">MIN(F10805*600,F10801*(1-$C$10784))</f>
        <v>662.265268224</v>
      </c>
      <c r="G10806" s="39" t="n">
        <f aca="false">MIN(G10805*600,G10801*(1-$C$10784))</f>
        <v>896.099701056</v>
      </c>
      <c r="H10806" s="39" t="n">
        <f aca="false">MIN(H10805*600,H10801*(1-$C$10784))</f>
        <v>1129.934133888</v>
      </c>
      <c r="I10806" s="39" t="n">
        <f aca="false">MIN(I10805*600,I10801*(1-$C$10784))</f>
        <v>1900.566237696</v>
      </c>
      <c r="J10806" s="39" t="n">
        <f aca="false">MIN(J10805*600,J10801*(1-$C$10784))</f>
        <v>2671.198341504</v>
      </c>
      <c r="K10806" s="39" t="n">
        <f aca="false">MIN(K10805*600,K10801*(1-$C$10784))</f>
        <v>2671.198341504</v>
      </c>
      <c r="L10806" s="39" t="n">
        <f aca="false">MIN(L10805*600,L10801*(1-$C$10784))</f>
        <v>2671.198341504</v>
      </c>
      <c r="M10806" s="39" t="n">
        <f aca="false">MIN(M10805*600,M10801*(1-$C$10784))</f>
        <v>2671.198341504</v>
      </c>
      <c r="N10806" s="39" t="n">
        <f aca="false">MIN(N10805*600,N10801*(1-$C$10784))</f>
        <v>2671.198341504</v>
      </c>
      <c r="P10806" s="40" t="n">
        <f aca="false">SUM(C10806:F10806)</f>
        <v>1924.530536448</v>
      </c>
      <c r="Q10806" s="40" t="n">
        <f aca="false">SUM(G10806:J10806)</f>
        <v>6597.798414144</v>
      </c>
      <c r="R10806" s="40" t="n">
        <f aca="false">SUM(K10806:N10806)</f>
        <v>10684.793366016</v>
      </c>
      <c r="S10806" s="41" t="n">
        <f aca="false">SUM(P10806:R10806)</f>
        <v>19207.122316608</v>
      </c>
    </row>
    <row r="10807" customFormat="false" ht="15" hidden="false" customHeight="false" outlineLevel="0" collapsed="false">
      <c r="A10807" s="4" t="s">
        <v>495</v>
      </c>
      <c r="B10807" s="36" t="s">
        <v>491</v>
      </c>
      <c r="C10807" s="48" t="n">
        <f aca="false">C10806*Assumptions!$E$20*Assumptions!$E$39*IF(C10801&gt;0,C10802/C10801,0)*C10791</f>
        <v>0</v>
      </c>
      <c r="D10807" s="48" t="n">
        <f aca="false">D10806*Assumptions!$E$20*Assumptions!$E$39*IF(D10801&gt;0,D10802/D10801,0)*D10791</f>
        <v>25.1263311957567</v>
      </c>
      <c r="E10807" s="48" t="n">
        <f aca="false">E10806*Assumptions!$E$20*Assumptions!$E$39*IF(E10801&gt;0,E10802/E10801,0)*E10791</f>
        <v>25.8092345846745</v>
      </c>
      <c r="F10807" s="48" t="n">
        <f aca="false">F10806*Assumptions!$E$20*Assumptions!$E$39*IF(F10801&gt;0,F10802/F10801,0)*F10791</f>
        <v>24.018199114204</v>
      </c>
      <c r="G10807" s="48" t="n">
        <f aca="false">G10806*Assumptions!$E$20*Assumptions!$E$39*IF(G10801&gt;0,G10802/G10801,0)*G10791</f>
        <v>32.87400228</v>
      </c>
      <c r="H10807" s="48" t="n">
        <f aca="false">H10806*Assumptions!$E$20*Assumptions!$E$39*IF(H10801&gt;0,H10802/H10801,0)*H10791</f>
        <v>40.3850419337494</v>
      </c>
      <c r="I10807" s="48" t="n">
        <f aca="false">I10806*Assumptions!$E$20*Assumptions!$E$39*IF(I10801&gt;0,I10802/I10801,0)*I10791</f>
        <v>72.2609609299493</v>
      </c>
      <c r="J10807" s="48" t="n">
        <f aca="false">J10806*Assumptions!$E$20*Assumptions!$E$39*IF(J10801&gt;0,J10802/J10801,0)*J10791</f>
        <v>99.5183304820687</v>
      </c>
      <c r="K10807" s="48" t="n">
        <f aca="false">K10806*Assumptions!$E$20*Assumptions!$E$39*IF(K10801&gt;0,K10802/K10801,0)*K10791</f>
        <v>92.6122419163417</v>
      </c>
      <c r="L10807" s="48" t="n">
        <f aca="false">L10806*Assumptions!$E$20*Assumptions!$E$39*IF(L10801&gt;0,L10802/L10801,0)*L10791</f>
        <v>86.1854023396868</v>
      </c>
      <c r="M10807" s="48" t="n">
        <f aca="false">M10806*Assumptions!$E$20*Assumptions!$E$39*IF(M10801&gt;0,M10802/M10801,0)*M10791</f>
        <v>80.204554200982</v>
      </c>
      <c r="N10807" s="48" t="n">
        <f aca="false">N10806*Assumptions!$E$20*Assumptions!$E$39*IF(N10801&gt;0,N10802/N10801,0)*N10791</f>
        <v>74.6387478615515</v>
      </c>
      <c r="P10807" s="49" t="n">
        <f aca="false">SUM(C10807:F10807)</f>
        <v>74.9537648946352</v>
      </c>
      <c r="Q10807" s="49" t="n">
        <f aca="false">SUM(G10807:J10807)</f>
        <v>245.038335625767</v>
      </c>
      <c r="R10807" s="49" t="n">
        <f aca="false">SUM(K10807:N10807)</f>
        <v>333.640946318562</v>
      </c>
      <c r="S10807" s="50" t="n">
        <f aca="false">SUM(P10807:R10807)</f>
        <v>653.633046838965</v>
      </c>
    </row>
    <row r="10808" customFormat="false" ht="15" hidden="false" customHeight="false" outlineLevel="0" collapsed="false">
      <c r="A10808" s="4" t="s">
        <v>496</v>
      </c>
      <c r="B10808" s="36" t="s">
        <v>497</v>
      </c>
      <c r="C10808" s="48" t="n">
        <f aca="false">IF(AND(C10801&gt;0,$C$10788&gt;0),C10801*Assumptions!$E$24*(1-EXP(-$C$10788/(Assumptions!$E$23*C10801*Assumptions!$E$24))),0)</f>
        <v>16.472729605943</v>
      </c>
      <c r="D10808" s="48" t="n">
        <f aca="false">IF(AND(D10801&gt;0,$C$10788&gt;0),D10801*Assumptions!$E$24*(1-EXP(-$C$10788/(Assumptions!$E$23*D10801*Assumptions!$E$24))),0)</f>
        <v>30.7560309972474</v>
      </c>
      <c r="E10808" s="48" t="n">
        <f aca="false">IF(AND(E10801&gt;0,$C$10788&gt;0),E10801*Assumptions!$E$24*(1-EXP(-$C$10788/(Assumptions!$E$23*E10801*Assumptions!$E$24))),0)</f>
        <v>30.7560309972474</v>
      </c>
      <c r="F10808" s="48" t="n">
        <f aca="false">IF(AND(F10801&gt;0,$C$10788&gt;0),F10801*Assumptions!$E$24*(1-EXP(-$C$10788/(Assumptions!$E$23*F10801*Assumptions!$E$24))),0)</f>
        <v>30.7560309972474</v>
      </c>
      <c r="G10808" s="48" t="n">
        <f aca="false">IF(AND(G10801&gt;0,$C$10788&gt;0),G10801*Assumptions!$E$24*(1-EXP(-$C$10788/(Assumptions!$E$23*G10801*Assumptions!$E$24))),0)</f>
        <v>38.4489058252097</v>
      </c>
      <c r="H10808" s="48" t="n">
        <f aca="false">IF(AND(H10801&gt;0,$C$10788&gt;0),H10801*Assumptions!$E$24*(1-EXP(-$C$10788/(Assumptions!$E$23*H10801*Assumptions!$E$24))),0)</f>
        <v>44.4905508381239</v>
      </c>
      <c r="I10808" s="48" t="n">
        <f aca="false">IF(AND(I10801&gt;0,$C$10788&gt;0),I10801*Assumptions!$E$24*(1-EXP(-$C$10788/(Assumptions!$E$23*I10801*Assumptions!$E$24))),0)</f>
        <v>57.1871803967491</v>
      </c>
      <c r="J10808" s="48" t="n">
        <f aca="false">IF(AND(J10801&gt;0,$C$10788&gt;0),J10801*Assumptions!$E$24*(1-EXP(-$C$10788/(Assumptions!$E$23*J10801*Assumptions!$E$24))),0)</f>
        <v>64.192759682173</v>
      </c>
      <c r="K10808" s="48" t="n">
        <f aca="false">IF(AND(K10801&gt;0,$C$10788&gt;0),K10801*Assumptions!$E$24*(1-EXP(-$C$10788/(Assumptions!$E$23*K10801*Assumptions!$E$24))),0)</f>
        <v>64.192759682173</v>
      </c>
      <c r="L10808" s="48" t="n">
        <f aca="false">IF(AND(L10801&gt;0,$C$10788&gt;0),L10801*Assumptions!$E$24*(1-EXP(-$C$10788/(Assumptions!$E$23*L10801*Assumptions!$E$24))),0)</f>
        <v>64.192759682173</v>
      </c>
      <c r="M10808" s="48" t="n">
        <f aca="false">IF(AND(M10801&gt;0,$C$10788&gt;0),M10801*Assumptions!$E$24*(1-EXP(-$C$10788/(Assumptions!$E$23*M10801*Assumptions!$E$24))),0)</f>
        <v>64.192759682173</v>
      </c>
      <c r="N10808" s="48" t="n">
        <f aca="false">IF(AND(N10801&gt;0,$C$10788&gt;0),N10801*Assumptions!$E$24*(1-EXP(-$C$10788/(Assumptions!$E$23*N10801*Assumptions!$E$24))),0)</f>
        <v>64.192759682173</v>
      </c>
      <c r="P10808" s="49" t="n">
        <f aca="false">SUM(C10808:F10808)</f>
        <v>108.740822597685</v>
      </c>
      <c r="Q10808" s="49" t="n">
        <f aca="false">SUM(G10808:J10808)</f>
        <v>204.319396742256</v>
      </c>
      <c r="R10808" s="49" t="n">
        <f aca="false">SUM(K10808:N10808)</f>
        <v>256.771038728692</v>
      </c>
      <c r="S10808" s="50" t="n">
        <f aca="false">SUM(P10808:R10808)</f>
        <v>569.831258068633</v>
      </c>
    </row>
    <row r="10809" customFormat="false" ht="15" hidden="false" customHeight="false" outlineLevel="0" collapsed="false">
      <c r="A10809" s="4" t="s">
        <v>498</v>
      </c>
      <c r="B10809" s="36" t="s">
        <v>497</v>
      </c>
      <c r="C10809" s="48" t="n">
        <f aca="false">(C10801*Assumptions!$E$22*MIN(1,Assumptions!$E$103/Assumptions!$E$78)+C10808)*C10791</f>
        <v>21.991606841143</v>
      </c>
      <c r="D10809" s="48" t="n">
        <f aca="false">(D10801*Assumptions!$E$22*MIN(1,Assumptions!$E$103/Assumptions!$E$78)+D10808)*D10791</f>
        <v>41.7937854676474</v>
      </c>
      <c r="E10809" s="48" t="n">
        <f aca="false">(E10801*Assumptions!$E$22*MIN(1,Assumptions!$E$103/Assumptions!$E$78)+E10808)*E10791</f>
        <v>41.7937854676474</v>
      </c>
      <c r="F10809" s="48" t="n">
        <f aca="false">(F10801*Assumptions!$E$22*MIN(1,Assumptions!$E$103/Assumptions!$E$78)+F10808)*F10791</f>
        <v>41.7937854676474</v>
      </c>
      <c r="G10809" s="48" t="n">
        <f aca="false">(G10801*Assumptions!$E$22*MIN(1,Assumptions!$E$103/Assumptions!$E$78)+G10808)*G10791</f>
        <v>53.3839008428097</v>
      </c>
      <c r="H10809" s="48" t="n">
        <f aca="false">(H10801*Assumptions!$E$22*MIN(1,Assumptions!$E$103/Assumptions!$E$78)+H10808)*H10791</f>
        <v>63.3227864029239</v>
      </c>
      <c r="I10809" s="48" t="n">
        <f aca="false">(I10801*Assumptions!$E$22*MIN(1,Assumptions!$E$103/Assumptions!$E$78)+I10808)*I10791</f>
        <v>88.8632843583491</v>
      </c>
      <c r="J10809" s="48" t="n">
        <f aca="false">(J10801*Assumptions!$E$22*MIN(1,Assumptions!$E$103/Assumptions!$E$78)+J10808)*J10791</f>
        <v>108.712732040573</v>
      </c>
      <c r="K10809" s="48" t="n">
        <f aca="false">(K10801*Assumptions!$E$22*MIN(1,Assumptions!$E$103/Assumptions!$E$78)+K10808)*K10791</f>
        <v>108.712732040573</v>
      </c>
      <c r="L10809" s="48" t="n">
        <f aca="false">(L10801*Assumptions!$E$22*MIN(1,Assumptions!$E$103/Assumptions!$E$78)+L10808)*L10791</f>
        <v>108.712732040573</v>
      </c>
      <c r="M10809" s="48" t="n">
        <f aca="false">(M10801*Assumptions!$E$22*MIN(1,Assumptions!$E$103/Assumptions!$E$78)+M10808)*M10791</f>
        <v>108.712732040573</v>
      </c>
      <c r="N10809" s="48" t="n">
        <f aca="false">(N10801*Assumptions!$E$22*MIN(1,Assumptions!$E$103/Assumptions!$E$78)+N10808)*N10791</f>
        <v>108.712732040573</v>
      </c>
      <c r="P10809" s="49" t="n">
        <f aca="false">SUM(C10809:F10809)</f>
        <v>147.372963244085</v>
      </c>
      <c r="Q10809" s="49" t="n">
        <f aca="false">SUM(G10809:J10809)</f>
        <v>314.282703644656</v>
      </c>
      <c r="R10809" s="49" t="n">
        <f aca="false">SUM(K10809:N10809)</f>
        <v>434.850928162292</v>
      </c>
      <c r="S10809" s="50" t="n">
        <f aca="false">SUM(P10809:R10809)</f>
        <v>896.506595051033</v>
      </c>
    </row>
    <row r="10810" customFormat="false" ht="15" hidden="false" customHeight="false" outlineLevel="0" collapsed="false">
      <c r="A10810" s="4" t="s">
        <v>499</v>
      </c>
      <c r="B10810" s="36" t="s">
        <v>500</v>
      </c>
      <c r="C10810" s="48" t="n">
        <f aca="false">C10791*MIN(Assumptions!$E$27,Assumptions!$E$25+Assumptions!$E$26*(C10790-1))*Assumptions!$E$107</f>
        <v>2</v>
      </c>
      <c r="D10810" s="48" t="n">
        <f aca="false">D10791*MIN(Assumptions!$E$27,Assumptions!$E$25+Assumptions!$E$26*(D10790-1))*Assumptions!$E$107</f>
        <v>3</v>
      </c>
      <c r="E10810" s="48" t="n">
        <f aca="false">E10791*MIN(Assumptions!$E$27,Assumptions!$E$25+Assumptions!$E$26*(E10790-1))*Assumptions!$E$107</f>
        <v>4</v>
      </c>
      <c r="F10810" s="48" t="n">
        <f aca="false">F10791*MIN(Assumptions!$E$27,Assumptions!$E$25+Assumptions!$E$26*(F10790-1))*Assumptions!$E$107</f>
        <v>5</v>
      </c>
      <c r="G10810" s="48" t="n">
        <f aca="false">G10791*MIN(Assumptions!$E$27,Assumptions!$E$25+Assumptions!$E$26*(G10790-1))*Assumptions!$E$107</f>
        <v>6</v>
      </c>
      <c r="H10810" s="48" t="n">
        <f aca="false">H10791*MIN(Assumptions!$E$27,Assumptions!$E$25+Assumptions!$E$26*(H10790-1))*Assumptions!$E$107</f>
        <v>7</v>
      </c>
      <c r="I10810" s="48" t="n">
        <f aca="false">I10791*MIN(Assumptions!$E$27,Assumptions!$E$25+Assumptions!$E$26*(I10790-1))*Assumptions!$E$107</f>
        <v>8</v>
      </c>
      <c r="J10810" s="48" t="n">
        <f aca="false">J10791*MIN(Assumptions!$E$27,Assumptions!$E$25+Assumptions!$E$26*(J10790-1))*Assumptions!$E$107</f>
        <v>9</v>
      </c>
      <c r="K10810" s="48" t="n">
        <f aca="false">K10791*MIN(Assumptions!$E$27,Assumptions!$E$25+Assumptions!$E$26*(K10790-1))*Assumptions!$E$107</f>
        <v>10</v>
      </c>
      <c r="L10810" s="48" t="n">
        <f aca="false">L10791*MIN(Assumptions!$E$27,Assumptions!$E$25+Assumptions!$E$26*(L10790-1))*Assumptions!$E$107</f>
        <v>10</v>
      </c>
      <c r="M10810" s="48" t="n">
        <f aca="false">M10791*MIN(Assumptions!$E$27,Assumptions!$E$25+Assumptions!$E$26*(M10790-1))*Assumptions!$E$107</f>
        <v>10</v>
      </c>
      <c r="N10810" s="48" t="n">
        <f aca="false">N10791*MIN(Assumptions!$E$27,Assumptions!$E$25+Assumptions!$E$26*(N10790-1))*Assumptions!$E$107</f>
        <v>10</v>
      </c>
      <c r="P10810" s="49" t="n">
        <f aca="false">F10810</f>
        <v>5</v>
      </c>
      <c r="Q10810" s="49" t="n">
        <f aca="false">J10810</f>
        <v>9</v>
      </c>
      <c r="R10810" s="49" t="n">
        <f aca="false">N10810</f>
        <v>10</v>
      </c>
      <c r="S10810" s="50" t="n">
        <f aca="false">R10810</f>
        <v>10</v>
      </c>
    </row>
    <row r="10811" customFormat="false" ht="15" hidden="false" customHeight="false" outlineLevel="0" collapsed="false">
      <c r="A10811" s="4" t="s">
        <v>501</v>
      </c>
      <c r="B10811" s="36" t="s">
        <v>502</v>
      </c>
      <c r="C10811" s="48" t="n">
        <f aca="false">C10810*Assumptions!$E$28</f>
        <v>6</v>
      </c>
      <c r="D10811" s="48" t="n">
        <f aca="false">D10810*Assumptions!$E$28</f>
        <v>9</v>
      </c>
      <c r="E10811" s="48" t="n">
        <f aca="false">E10810*Assumptions!$E$28</f>
        <v>12</v>
      </c>
      <c r="F10811" s="48" t="n">
        <f aca="false">F10810*Assumptions!$E$28</f>
        <v>15</v>
      </c>
      <c r="G10811" s="48" t="n">
        <f aca="false">G10810*Assumptions!$E$28</f>
        <v>18</v>
      </c>
      <c r="H10811" s="48" t="n">
        <f aca="false">H10810*Assumptions!$E$28</f>
        <v>21</v>
      </c>
      <c r="I10811" s="48" t="n">
        <f aca="false">I10810*Assumptions!$E$28</f>
        <v>24</v>
      </c>
      <c r="J10811" s="48" t="n">
        <f aca="false">J10810*Assumptions!$E$28</f>
        <v>27</v>
      </c>
      <c r="K10811" s="48" t="n">
        <f aca="false">K10810*Assumptions!$E$28</f>
        <v>30</v>
      </c>
      <c r="L10811" s="48" t="n">
        <f aca="false">L10810*Assumptions!$E$28</f>
        <v>30</v>
      </c>
      <c r="M10811" s="48" t="n">
        <f aca="false">M10810*Assumptions!$E$28</f>
        <v>30</v>
      </c>
      <c r="N10811" s="48" t="n">
        <f aca="false">N10810*Assumptions!$E$28</f>
        <v>30</v>
      </c>
      <c r="P10811" s="49" t="n">
        <f aca="false">SUM(C10811:F10811)</f>
        <v>42</v>
      </c>
      <c r="Q10811" s="49" t="n">
        <f aca="false">SUM(G10811:J10811)</f>
        <v>90</v>
      </c>
      <c r="R10811" s="49" t="n">
        <f aca="false">SUM(K10811:N10811)</f>
        <v>120</v>
      </c>
      <c r="S10811" s="50" t="n">
        <f aca="false">SUM(P10811:R10811)</f>
        <v>252</v>
      </c>
    </row>
    <row r="10812" customFormat="false" ht="15" hidden="false" customHeight="false" outlineLevel="0" collapsed="false">
      <c r="A10812" s="4" t="s">
        <v>503</v>
      </c>
      <c r="B10812" s="36" t="s">
        <v>504</v>
      </c>
      <c r="C10812" s="48" t="n">
        <f aca="false">(C10803+C10807)*Assumptions!$E$29</f>
        <v>2.649061072896</v>
      </c>
      <c r="D10812" s="48" t="n">
        <f aca="false">(D10803+D10807)*Assumptions!$E$29</f>
        <v>14.9809906912932</v>
      </c>
      <c r="E10812" s="48" t="n">
        <f aca="false">(E10803+E10807)*Assumptions!$E$29</f>
        <v>14.9120022044786</v>
      </c>
      <c r="F10812" s="48" t="n">
        <f aca="false">(F10803+F10807)*Assumptions!$E$29</f>
        <v>13.877181710429</v>
      </c>
      <c r="G10812" s="48" t="n">
        <f aca="false">(G10803+G10807)*Assumptions!$E$29</f>
        <v>18.993867984</v>
      </c>
      <c r="H10812" s="48" t="n">
        <f aca="false">(H10803+H10807)*Assumptions!$E$29</f>
        <v>23.3335797839441</v>
      </c>
      <c r="I10812" s="48" t="n">
        <f aca="false">(I10803+I10807)*Assumptions!$E$29</f>
        <v>41.7507774261929</v>
      </c>
      <c r="J10812" s="48" t="n">
        <f aca="false">(J10803+J10807)*Assumptions!$E$29</f>
        <v>57.4994798340841</v>
      </c>
      <c r="K10812" s="48" t="n">
        <f aca="false">(K10803+K10807)*Assumptions!$E$29</f>
        <v>53.5092953294419</v>
      </c>
      <c r="L10812" s="48" t="n">
        <f aca="false">(L10803+L10807)*Assumptions!$E$29</f>
        <v>49.7960102407079</v>
      </c>
      <c r="M10812" s="48" t="n">
        <f aca="false">(M10803+M10807)*Assumptions!$E$29</f>
        <v>46.3404090939007</v>
      </c>
      <c r="N10812" s="48" t="n">
        <f aca="false">(N10803+N10807)*Assumptions!$E$29</f>
        <v>43.1246098755631</v>
      </c>
      <c r="P10812" s="49" t="n">
        <f aca="false">SUM(C10812:F10812)</f>
        <v>46.4192356790967</v>
      </c>
      <c r="Q10812" s="49" t="n">
        <f aca="false">SUM(G10812:J10812)</f>
        <v>141.577705028221</v>
      </c>
      <c r="R10812" s="49" t="n">
        <f aca="false">SUM(K10812:N10812)</f>
        <v>192.770324539614</v>
      </c>
      <c r="S10812" s="50" t="n">
        <f aca="false">SUM(P10812:R10812)</f>
        <v>380.767265246932</v>
      </c>
    </row>
    <row r="10813" customFormat="false" ht="15" hidden="false" customHeight="false" outlineLevel="0" collapsed="false">
      <c r="A10813" s="4" t="s">
        <v>505</v>
      </c>
      <c r="B10813" s="36" t="s">
        <v>504</v>
      </c>
      <c r="C10813" s="48" t="n">
        <f aca="false">C10809*Assumptions!$E$31</f>
        <v>3.51865709458288</v>
      </c>
      <c r="D10813" s="48" t="n">
        <f aca="false">D10809*Assumptions!$E$31</f>
        <v>6.68700567482359</v>
      </c>
      <c r="E10813" s="48" t="n">
        <f aca="false">E10809*Assumptions!$E$31</f>
        <v>6.68700567482359</v>
      </c>
      <c r="F10813" s="48" t="n">
        <f aca="false">F10809*Assumptions!$E$31</f>
        <v>6.68700567482359</v>
      </c>
      <c r="G10813" s="48" t="n">
        <f aca="false">G10809*Assumptions!$E$31</f>
        <v>8.54142413484956</v>
      </c>
      <c r="H10813" s="48" t="n">
        <f aca="false">H10809*Assumptions!$E$31</f>
        <v>10.1316458244678</v>
      </c>
      <c r="I10813" s="48" t="n">
        <f aca="false">I10809*Assumptions!$E$31</f>
        <v>14.2181254973359</v>
      </c>
      <c r="J10813" s="48" t="n">
        <f aca="false">J10809*Assumptions!$E$31</f>
        <v>17.3940371264917</v>
      </c>
      <c r="K10813" s="48" t="n">
        <f aca="false">K10809*Assumptions!$E$31</f>
        <v>17.3940371264917</v>
      </c>
      <c r="L10813" s="48" t="n">
        <f aca="false">L10809*Assumptions!$E$31</f>
        <v>17.3940371264917</v>
      </c>
      <c r="M10813" s="48" t="n">
        <f aca="false">M10809*Assumptions!$E$31</f>
        <v>17.3940371264917</v>
      </c>
      <c r="N10813" s="48" t="n">
        <f aca="false">N10809*Assumptions!$E$31</f>
        <v>17.3940371264917</v>
      </c>
      <c r="P10813" s="49" t="n">
        <f aca="false">SUM(C10813:F10813)</f>
        <v>23.5796741190536</v>
      </c>
      <c r="Q10813" s="49" t="n">
        <f aca="false">SUM(G10813:J10813)</f>
        <v>50.2852325831449</v>
      </c>
      <c r="R10813" s="49" t="n">
        <f aca="false">SUM(K10813:N10813)</f>
        <v>69.5761485059667</v>
      </c>
      <c r="S10813" s="50" t="n">
        <f aca="false">SUM(P10813:R10813)</f>
        <v>143.441055208165</v>
      </c>
    </row>
    <row r="10814" customFormat="false" ht="15" hidden="false" customHeight="false" outlineLevel="0" collapsed="false">
      <c r="A10814" s="4" t="s">
        <v>506</v>
      </c>
      <c r="B10814" s="36" t="s">
        <v>504</v>
      </c>
      <c r="C10814" s="48" t="n">
        <f aca="false">C10811*Assumptions!$E$30</f>
        <v>3</v>
      </c>
      <c r="D10814" s="48" t="n">
        <f aca="false">D10811*Assumptions!$E$30</f>
        <v>4.5</v>
      </c>
      <c r="E10814" s="48" t="n">
        <f aca="false">E10811*Assumptions!$E$30</f>
        <v>6</v>
      </c>
      <c r="F10814" s="48" t="n">
        <f aca="false">F10811*Assumptions!$E$30</f>
        <v>7.5</v>
      </c>
      <c r="G10814" s="48" t="n">
        <f aca="false">G10811*Assumptions!$E$30</f>
        <v>9</v>
      </c>
      <c r="H10814" s="48" t="n">
        <f aca="false">H10811*Assumptions!$E$30</f>
        <v>10.5</v>
      </c>
      <c r="I10814" s="48" t="n">
        <f aca="false">I10811*Assumptions!$E$30</f>
        <v>12</v>
      </c>
      <c r="J10814" s="48" t="n">
        <f aca="false">J10811*Assumptions!$E$30</f>
        <v>13.5</v>
      </c>
      <c r="K10814" s="48" t="n">
        <f aca="false">K10811*Assumptions!$E$30</f>
        <v>15</v>
      </c>
      <c r="L10814" s="48" t="n">
        <f aca="false">L10811*Assumptions!$E$30</f>
        <v>15</v>
      </c>
      <c r="M10814" s="48" t="n">
        <f aca="false">M10811*Assumptions!$E$30</f>
        <v>15</v>
      </c>
      <c r="N10814" s="48" t="n">
        <f aca="false">N10811*Assumptions!$E$30</f>
        <v>15</v>
      </c>
      <c r="P10814" s="49" t="n">
        <f aca="false">SUM(C10814:F10814)</f>
        <v>21</v>
      </c>
      <c r="Q10814" s="49" t="n">
        <f aca="false">SUM(G10814:J10814)</f>
        <v>45</v>
      </c>
      <c r="R10814" s="49" t="n">
        <f aca="false">SUM(K10814:N10814)</f>
        <v>60</v>
      </c>
      <c r="S10814" s="50" t="n">
        <f aca="false">SUM(P10814:R10814)</f>
        <v>126</v>
      </c>
    </row>
    <row r="10815" customFormat="false" ht="15" hidden="false" customHeight="false" outlineLevel="0" collapsed="false">
      <c r="A10815" s="9" t="s">
        <v>507</v>
      </c>
      <c r="B10815" s="36" t="s">
        <v>504</v>
      </c>
      <c r="C10815" s="49" t="n">
        <f aca="false">C10812+C10813+C10814</f>
        <v>9.16771816747888</v>
      </c>
      <c r="D10815" s="49" t="n">
        <f aca="false">D10812+D10813+D10814</f>
        <v>26.1679963661167</v>
      </c>
      <c r="E10815" s="49" t="n">
        <f aca="false">E10812+E10813+E10814</f>
        <v>27.5990078793022</v>
      </c>
      <c r="F10815" s="49" t="n">
        <f aca="false">F10812+F10813+F10814</f>
        <v>28.0641873852526</v>
      </c>
      <c r="G10815" s="49" t="n">
        <f aca="false">G10812+G10813+G10814</f>
        <v>36.5352921188496</v>
      </c>
      <c r="H10815" s="49" t="n">
        <f aca="false">H10812+H10813+H10814</f>
        <v>43.9652256084119</v>
      </c>
      <c r="I10815" s="49" t="n">
        <f aca="false">I10812+I10813+I10814</f>
        <v>67.9689029235288</v>
      </c>
      <c r="J10815" s="49" t="n">
        <f aca="false">J10812+J10813+J10814</f>
        <v>88.3935169605758</v>
      </c>
      <c r="K10815" s="49" t="n">
        <f aca="false">K10812+K10813+K10814</f>
        <v>85.9033324559336</v>
      </c>
      <c r="L10815" s="49" t="n">
        <f aca="false">L10812+L10813+L10814</f>
        <v>82.1900473671996</v>
      </c>
      <c r="M10815" s="49" t="n">
        <f aca="false">M10812+M10813+M10814</f>
        <v>78.7344462203924</v>
      </c>
      <c r="N10815" s="49" t="n">
        <f aca="false">N10812+N10813+N10814</f>
        <v>75.5186470020548</v>
      </c>
      <c r="P10815" s="49" t="n">
        <f aca="false">SUM(C10815:F10815)</f>
        <v>90.9989097981504</v>
      </c>
      <c r="Q10815" s="49" t="n">
        <f aca="false">SUM(G10815:J10815)</f>
        <v>236.862937611366</v>
      </c>
      <c r="R10815" s="49" t="n">
        <f aca="false">SUM(K10815:N10815)</f>
        <v>322.34647304558</v>
      </c>
      <c r="S10815" s="50" t="n">
        <f aca="false">SUM(P10815:R10815)</f>
        <v>650.208320455097</v>
      </c>
    </row>
    <row r="10816" customFormat="false" ht="15" hidden="false" customHeight="false" outlineLevel="0" collapsed="false">
      <c r="A10816" s="4" t="s">
        <v>508</v>
      </c>
      <c r="B10816" s="36" t="s">
        <v>509</v>
      </c>
      <c r="C10816" s="48" t="n">
        <f aca="false">C10798</f>
        <v>421.51972352</v>
      </c>
      <c r="D10816" s="48" t="n">
        <f aca="false">D10798</f>
        <v>843.03944704</v>
      </c>
      <c r="E10816" s="48" t="n">
        <f aca="false">E10798</f>
        <v>843.03944704</v>
      </c>
      <c r="F10816" s="48" t="n">
        <f aca="false">F10798</f>
        <v>843.03944704</v>
      </c>
      <c r="G10816" s="48" t="n">
        <f aca="false">G10798</f>
        <v>1149.32798176</v>
      </c>
      <c r="H10816" s="48" t="n">
        <f aca="false">H10798</f>
        <v>1455.61651648</v>
      </c>
      <c r="I10816" s="48" t="n">
        <f aca="false">I10798</f>
        <v>2486.00303616</v>
      </c>
      <c r="J10816" s="48" t="n">
        <f aca="false">J10798</f>
        <v>3516.38955584</v>
      </c>
      <c r="K10816" s="48" t="n">
        <f aca="false">K10798</f>
        <v>3516.38955584</v>
      </c>
      <c r="L10816" s="48" t="n">
        <f aca="false">L10798</f>
        <v>3516.38955584</v>
      </c>
      <c r="M10816" s="48" t="n">
        <f aca="false">M10798</f>
        <v>3516.38955584</v>
      </c>
      <c r="N10816" s="48" t="n">
        <f aca="false">N10798</f>
        <v>3516.38955584</v>
      </c>
      <c r="P10816" s="49"/>
      <c r="Q10816" s="49"/>
      <c r="R10816" s="49"/>
      <c r="S10816" s="50"/>
    </row>
    <row r="10817" customFormat="false" ht="15" hidden="false" customHeight="false" outlineLevel="0" collapsed="false">
      <c r="A10817" s="4" t="s">
        <v>510</v>
      </c>
      <c r="B10817" s="36" t="s">
        <v>509</v>
      </c>
      <c r="C10817" s="48" t="n">
        <f aca="false">C10799*Assumptions!$E$18*Assumptions!$E$33</f>
        <v>211.19616</v>
      </c>
      <c r="D10817" s="48" t="n">
        <f aca="false">D10799*Assumptions!$E$18*Assumptions!$E$33</f>
        <v>422.39232</v>
      </c>
      <c r="E10817" s="48" t="n">
        <f aca="false">E10799*Assumptions!$E$18*Assumptions!$E$33</f>
        <v>422.39232</v>
      </c>
      <c r="F10817" s="48" t="n">
        <f aca="false">F10799*Assumptions!$E$18*Assumptions!$E$33</f>
        <v>422.39232</v>
      </c>
      <c r="G10817" s="48" t="n">
        <f aca="false">G10799*Assumptions!$E$18*Assumptions!$E$33</f>
        <v>564.49344</v>
      </c>
      <c r="H10817" s="48" t="n">
        <f aca="false">H10799*Assumptions!$E$18*Assumptions!$E$33</f>
        <v>706.59456</v>
      </c>
      <c r="I10817" s="48" t="n">
        <f aca="false">I10799*Assumptions!$E$18*Assumptions!$E$33</f>
        <v>1135.07072</v>
      </c>
      <c r="J10817" s="48" t="n">
        <f aca="false">J10799*Assumptions!$E$18*Assumptions!$E$33</f>
        <v>1563.54688</v>
      </c>
      <c r="K10817" s="48" t="n">
        <f aca="false">K10799*Assumptions!$E$18*Assumptions!$E$33</f>
        <v>1563.54688</v>
      </c>
      <c r="L10817" s="48" t="n">
        <f aca="false">L10799*Assumptions!$E$18*Assumptions!$E$33</f>
        <v>1563.54688</v>
      </c>
      <c r="M10817" s="48" t="n">
        <f aca="false">M10799*Assumptions!$E$18*Assumptions!$E$33</f>
        <v>1563.54688</v>
      </c>
      <c r="N10817" s="48" t="n">
        <f aca="false">N10799*Assumptions!$E$18*Assumptions!$E$33</f>
        <v>1563.54688</v>
      </c>
      <c r="P10817" s="49"/>
      <c r="Q10817" s="49"/>
      <c r="R10817" s="49"/>
      <c r="S10817" s="50"/>
    </row>
    <row r="10818" customFormat="false" ht="15" hidden="false" customHeight="false" outlineLevel="0" collapsed="false">
      <c r="A10818" s="4" t="s">
        <v>511</v>
      </c>
      <c r="B10818" s="36" t="s">
        <v>509</v>
      </c>
      <c r="C10818" s="48" t="n">
        <f aca="false">C10800*Assumptions!$E$19*Assumptions!$E$34</f>
        <v>34.677888</v>
      </c>
      <c r="D10818" s="48" t="n">
        <f aca="false">D10800*Assumptions!$E$19*Assumptions!$E$34</f>
        <v>69.355776</v>
      </c>
      <c r="E10818" s="48" t="n">
        <f aca="false">E10800*Assumptions!$E$19*Assumptions!$E$34</f>
        <v>69.355776</v>
      </c>
      <c r="F10818" s="48" t="n">
        <f aca="false">F10800*Assumptions!$E$19*Assumptions!$E$34</f>
        <v>69.355776</v>
      </c>
      <c r="G10818" s="48" t="n">
        <f aca="false">G10800*Assumptions!$E$19*Assumptions!$E$34</f>
        <v>86.69472</v>
      </c>
      <c r="H10818" s="48" t="n">
        <f aca="false">H10800*Assumptions!$E$19*Assumptions!$E$34</f>
        <v>104.033664</v>
      </c>
      <c r="I10818" s="48" t="n">
        <f aca="false">I10800*Assumptions!$E$19*Assumptions!$E$34</f>
        <v>159.7008</v>
      </c>
      <c r="J10818" s="48" t="n">
        <f aca="false">J10800*Assumptions!$E$19*Assumptions!$E$34</f>
        <v>215.367936</v>
      </c>
      <c r="K10818" s="48" t="n">
        <f aca="false">K10800*Assumptions!$E$19*Assumptions!$E$34</f>
        <v>215.367936</v>
      </c>
      <c r="L10818" s="48" t="n">
        <f aca="false">L10800*Assumptions!$E$19*Assumptions!$E$34</f>
        <v>215.367936</v>
      </c>
      <c r="M10818" s="48" t="n">
        <f aca="false">M10800*Assumptions!$E$19*Assumptions!$E$34</f>
        <v>215.367936</v>
      </c>
      <c r="N10818" s="48" t="n">
        <f aca="false">N10800*Assumptions!$E$19*Assumptions!$E$34</f>
        <v>215.367936</v>
      </c>
      <c r="P10818" s="49"/>
      <c r="Q10818" s="49"/>
      <c r="R10818" s="49"/>
      <c r="S10818" s="50"/>
    </row>
    <row r="10819" customFormat="false" ht="15" hidden="false" customHeight="false" outlineLevel="0" collapsed="false">
      <c r="A10819" s="4" t="s">
        <v>512</v>
      </c>
      <c r="B10819" s="36" t="s">
        <v>77</v>
      </c>
      <c r="C10819" s="51" t="n">
        <f aca="false">IFERROR(C10816/(C10816+C10817+C10818),0)</f>
        <v>0.631590736245533</v>
      </c>
      <c r="D10819" s="51" t="n">
        <f aca="false">IFERROR(D10816/(D10816+D10817+D10818),0)</f>
        <v>0.631590736245533</v>
      </c>
      <c r="E10819" s="51" t="n">
        <f aca="false">IFERROR(E10816/(E10816+E10817+E10818),0)</f>
        <v>0.631590736245533</v>
      </c>
      <c r="F10819" s="51" t="n">
        <f aca="false">IFERROR(F10816/(F10816+F10817+F10818),0)</f>
        <v>0.631590736245533</v>
      </c>
      <c r="G10819" s="51" t="n">
        <f aca="false">IFERROR(G10816/(G10816+G10817+G10818),0)</f>
        <v>0.638332506498128</v>
      </c>
      <c r="H10819" s="51" t="n">
        <f aca="false">IFERROR(H10816/(H10816+H10817+H10818),0)</f>
        <v>0.642303318118984</v>
      </c>
      <c r="I10819" s="51" t="n">
        <f aca="false">IFERROR(I10816/(I10816+I10817+I10818),0)</f>
        <v>0.657538025405288</v>
      </c>
      <c r="J10819" s="51" t="n">
        <f aca="false">IFERROR(J10816/(J10816+J10817+J10818),0)</f>
        <v>0.664058061428891</v>
      </c>
      <c r="K10819" s="51" t="n">
        <f aca="false">IFERROR(K10816/(K10816+K10817+K10818),0)</f>
        <v>0.664058061428891</v>
      </c>
      <c r="L10819" s="51" t="n">
        <f aca="false">IFERROR(L10816/(L10816+L10817+L10818),0)</f>
        <v>0.664058061428891</v>
      </c>
      <c r="M10819" s="51" t="n">
        <f aca="false">IFERROR(M10816/(M10816+M10817+M10818),0)</f>
        <v>0.664058061428891</v>
      </c>
      <c r="N10819" s="51" t="n">
        <f aca="false">IFERROR(N10816/(N10816+N10817+N10818),0)</f>
        <v>0.664058061428891</v>
      </c>
      <c r="P10819" s="52"/>
      <c r="Q10819" s="52"/>
      <c r="R10819" s="52"/>
      <c r="S10819" s="53"/>
    </row>
    <row r="10820" customFormat="false" ht="15" hidden="false" customHeight="false" outlineLevel="0" collapsed="false">
      <c r="A10820" s="4" t="s">
        <v>513</v>
      </c>
      <c r="B10820" s="36" t="s">
        <v>77</v>
      </c>
      <c r="C10820" s="51" t="n">
        <f aca="false">IFERROR(C10817/(C10816+C10817+C10818),0)</f>
        <v>0.316449102482628</v>
      </c>
      <c r="D10820" s="51" t="n">
        <f aca="false">IFERROR(D10817/(D10816+D10817+D10818),0)</f>
        <v>0.316449102482628</v>
      </c>
      <c r="E10820" s="51" t="n">
        <f aca="false">IFERROR(E10817/(E10816+E10817+E10818),0)</f>
        <v>0.316449102482628</v>
      </c>
      <c r="F10820" s="51" t="n">
        <f aca="false">IFERROR(F10817/(F10816+F10817+F10818),0)</f>
        <v>0.316449102482628</v>
      </c>
      <c r="G10820" s="51" t="n">
        <f aca="false">IFERROR(G10817/(G10816+G10817+G10818),0)</f>
        <v>0.313517566939561</v>
      </c>
      <c r="H10820" s="51" t="n">
        <f aca="false">IFERROR(H10817/(H10816+H10817+H10818),0)</f>
        <v>0.311790932099567</v>
      </c>
      <c r="I10820" s="51" t="n">
        <f aca="false">IFERROR(I10817/(I10816+I10817+I10818),0)</f>
        <v>0.300221741111391</v>
      </c>
      <c r="J10820" s="51" t="n">
        <f aca="false">IFERROR(J10817/(J10816+J10817+J10818),0)</f>
        <v>0.295270445324128</v>
      </c>
      <c r="K10820" s="51" t="n">
        <f aca="false">IFERROR(K10817/(K10816+K10817+K10818),0)</f>
        <v>0.295270445324128</v>
      </c>
      <c r="L10820" s="51" t="n">
        <f aca="false">IFERROR(L10817/(L10816+L10817+L10818),0)</f>
        <v>0.295270445324128</v>
      </c>
      <c r="M10820" s="51" t="n">
        <f aca="false">IFERROR(M10817/(M10816+M10817+M10818),0)</f>
        <v>0.295270445324128</v>
      </c>
      <c r="N10820" s="51" t="n">
        <f aca="false">IFERROR(N10817/(N10816+N10817+N10818),0)</f>
        <v>0.295270445324128</v>
      </c>
      <c r="P10820" s="52"/>
      <c r="Q10820" s="52"/>
      <c r="R10820" s="52"/>
      <c r="S10820" s="53"/>
    </row>
    <row r="10821" customFormat="false" ht="15" hidden="false" customHeight="false" outlineLevel="0" collapsed="false">
      <c r="A10821" s="4" t="s">
        <v>514</v>
      </c>
      <c r="B10821" s="36" t="s">
        <v>77</v>
      </c>
      <c r="C10821" s="51" t="n">
        <f aca="false">IFERROR(C10818/(C10816+C10817+C10818),0)</f>
        <v>0.0519601612718389</v>
      </c>
      <c r="D10821" s="51" t="n">
        <f aca="false">IFERROR(D10818/(D10816+D10817+D10818),0)</f>
        <v>0.0519601612718389</v>
      </c>
      <c r="E10821" s="51" t="n">
        <f aca="false">IFERROR(E10818/(E10816+E10817+E10818),0)</f>
        <v>0.0519601612718389</v>
      </c>
      <c r="F10821" s="51" t="n">
        <f aca="false">IFERROR(F10818/(F10816+F10817+F10818),0)</f>
        <v>0.0519601612718389</v>
      </c>
      <c r="G10821" s="51" t="n">
        <f aca="false">IFERROR(G10818/(G10816+G10817+G10818),0)</f>
        <v>0.0481499265623113</v>
      </c>
      <c r="H10821" s="51" t="n">
        <f aca="false">IFERROR(H10818/(H10816+H10817+H10818),0)</f>
        <v>0.0459057497814491</v>
      </c>
      <c r="I10821" s="51" t="n">
        <f aca="false">IFERROR(I10818/(I10816+I10817+I10818),0)</f>
        <v>0.0422402334833216</v>
      </c>
      <c r="J10821" s="51" t="n">
        <f aca="false">IFERROR(J10818/(J10816+J10817+J10818),0)</f>
        <v>0.0406714932469811</v>
      </c>
      <c r="K10821" s="51" t="n">
        <f aca="false">IFERROR(K10818/(K10816+K10817+K10818),0)</f>
        <v>0.0406714932469811</v>
      </c>
      <c r="L10821" s="51" t="n">
        <f aca="false">IFERROR(L10818/(L10816+L10817+L10818),0)</f>
        <v>0.0406714932469811</v>
      </c>
      <c r="M10821" s="51" t="n">
        <f aca="false">IFERROR(M10818/(M10816+M10817+M10818),0)</f>
        <v>0.0406714932469811</v>
      </c>
      <c r="N10821" s="51" t="n">
        <f aca="false">IFERROR(N10818/(N10816+N10817+N10818),0)</f>
        <v>0.0406714932469811</v>
      </c>
      <c r="P10821" s="52"/>
      <c r="Q10821" s="52"/>
      <c r="R10821" s="52"/>
      <c r="S10821" s="53"/>
    </row>
    <row r="10822" customFormat="false" ht="15" hidden="false" customHeight="false" outlineLevel="0" collapsed="false">
      <c r="A10822" s="4" t="s">
        <v>515</v>
      </c>
      <c r="B10822" s="36" t="s">
        <v>516</v>
      </c>
      <c r="C10822" s="48" t="n">
        <f aca="false">IF(C10790-Assumptions!$E$35&lt;1,0,INDEX($C$10815:$N$10815,1,C10790-Assumptions!$E$35)*INDEX($C$10819:$N$10819,1,C10790-Assumptions!$E$35)*Assumptions!$E$32)</f>
        <v>0</v>
      </c>
      <c r="D10822" s="48" t="n">
        <f aca="false">IF(D10790-Assumptions!$E$35&lt;1,0,INDEX($C$10815:$N$10815,1,D10790-Assumptions!$E$35)*INDEX($C$10819:$N$10819,1,D10790-Assumptions!$E$35)*Assumptions!$E$32)</f>
        <v>1.2159516320888</v>
      </c>
      <c r="E10822" s="48" t="n">
        <f aca="false">IF(E10790-Assumptions!$E$35&lt;1,0,INDEX($C$10815:$N$10815,1,E10790-Assumptions!$E$35)*INDEX($C$10819:$N$10819,1,E10790-Assumptions!$E$35)*Assumptions!$E$32)</f>
        <v>3.47076745909868</v>
      </c>
      <c r="F10822" s="48" t="n">
        <f aca="false">IF(F10790-Assumptions!$E$35&lt;1,0,INDEX($C$10815:$N$10815,1,F10790-Assumptions!$E$35)*INDEX($C$10819:$N$10819,1,F10790-Assumptions!$E$35)*Assumptions!$E$32)</f>
        <v>3.66056831828829</v>
      </c>
      <c r="G10822" s="48" t="n">
        <f aca="false">IF(G10790-Assumptions!$E$35&lt;1,0,INDEX($C$10815:$N$10815,1,G10790-Assumptions!$E$35)*INDEX($C$10819:$N$10819,1,G10790-Assumptions!$E$35)*Assumptions!$E$32)</f>
        <v>3.7222669622847</v>
      </c>
      <c r="H10822" s="48" t="n">
        <f aca="false">IF(H10790-Assumptions!$E$35&lt;1,0,INDEX($C$10815:$N$10815,1,H10790-Assumptions!$E$35)*INDEX($C$10819:$N$10819,1,H10790-Assumptions!$E$35)*Assumptions!$E$32)</f>
        <v>4.89754956471198</v>
      </c>
      <c r="I10822" s="48" t="n">
        <f aca="false">IF(I10790-Assumptions!$E$35&lt;1,0,INDEX($C$10815:$N$10815,1,I10790-Assumptions!$E$35)*INDEX($C$10819:$N$10819,1,I10790-Assumptions!$E$35)*Assumptions!$E$32)</f>
        <v>5.93019216092787</v>
      </c>
      <c r="J10822" s="48" t="n">
        <f aca="false">IF(J10790-Assumptions!$E$35&lt;1,0,INDEX($C$10815:$N$10815,1,J10790-Assumptions!$E$35)*INDEX($C$10819:$N$10819,1,J10790-Assumptions!$E$35)*Assumptions!$E$32)</f>
        <v>9.38534902563317</v>
      </c>
      <c r="K10822" s="48" t="n">
        <f aca="false">IF(K10790-Assumptions!$E$35&lt;1,0,INDEX($C$10815:$N$10815,1,K10790-Assumptions!$E$35)*INDEX($C$10819:$N$10819,1,K10790-Assumptions!$E$35)*Assumptions!$E$32)</f>
        <v>12.3266697783016</v>
      </c>
      <c r="L10822" s="48" t="n">
        <f aca="false">IF(L10790-Assumptions!$E$35&lt;1,0,INDEX($C$10815:$N$10815,1,L10790-Assumptions!$E$35)*INDEX($C$10819:$N$10819,1,L10790-Assumptions!$E$35)*Assumptions!$E$32)</f>
        <v>11.9794080884034</v>
      </c>
      <c r="M10822" s="48" t="n">
        <f aca="false">IF(M10790-Assumptions!$E$35&lt;1,0,INDEX($C$10815:$N$10815,1,M10790-Assumptions!$E$35)*INDEX($C$10819:$N$10819,1,M10790-Assumptions!$E$35)*Assumptions!$E$32)</f>
        <v>11.4615823399164</v>
      </c>
      <c r="N10822" s="48" t="n">
        <f aca="false">IF(N10790-Assumptions!$E$35&lt;1,0,INDEX($C$10815:$N$10815,1,N10790-Assumptions!$E$35)*INDEX($C$10819:$N$10819,1,N10790-Assumptions!$E$35)*Assumptions!$E$32)</f>
        <v>10.9796911822061</v>
      </c>
      <c r="P10822" s="49" t="n">
        <f aca="false">SUM(C10822:F10822)</f>
        <v>8.34728740947578</v>
      </c>
      <c r="Q10822" s="49" t="n">
        <f aca="false">SUM(G10822:J10822)</f>
        <v>23.9353577135577</v>
      </c>
      <c r="R10822" s="49" t="n">
        <f aca="false">SUM(K10822:N10822)</f>
        <v>46.7473513888275</v>
      </c>
      <c r="S10822" s="50" t="n">
        <f aca="false">SUM(P10822:R10822)</f>
        <v>79.029996511861</v>
      </c>
    </row>
    <row r="10823" customFormat="false" ht="15" hidden="false" customHeight="false" outlineLevel="0" collapsed="false">
      <c r="A10823" s="4" t="s">
        <v>517</v>
      </c>
      <c r="B10823" s="36" t="s">
        <v>516</v>
      </c>
      <c r="C10823" s="48" t="n">
        <f aca="false">IF(C10790-Assumptions!$E$35&lt;1,0,INDEX($C$10815:$N$10815,1,C10790-Assumptions!$E$35)*INDEX($C$10820:$N$10820,1,C10790-Assumptions!$E$35)*Assumptions!$E$32)</f>
        <v>0</v>
      </c>
      <c r="D10823" s="48" t="n">
        <f aca="false">IF(D10790-Assumptions!$E$35&lt;1,0,INDEX($C$10815:$N$10815,1,D10790-Assumptions!$E$35)*INDEX($C$10820:$N$10820,1,D10790-Assumptions!$E$35)*Assumptions!$E$32)</f>
        <v>0.609234399041599</v>
      </c>
      <c r="E10823" s="48" t="n">
        <f aca="false">IF(E10790-Assumptions!$E$35&lt;1,0,INDEX($C$10815:$N$10815,1,E10790-Assumptions!$E$35)*INDEX($C$10820:$N$10820,1,E10790-Assumptions!$E$35)*Assumptions!$E$32)</f>
        <v>1.73897618240352</v>
      </c>
      <c r="F10823" s="48" t="n">
        <f aca="false">IF(F10790-Assumptions!$E$35&lt;1,0,INDEX($C$10815:$N$10815,1,F10790-Assumptions!$E$35)*INDEX($C$10820:$N$10820,1,F10790-Assumptions!$E$35)*Assumptions!$E$32)</f>
        <v>1.83407306729139</v>
      </c>
      <c r="G10823" s="48" t="n">
        <f aca="false">IF(G10790-Assumptions!$E$35&lt;1,0,INDEX($C$10815:$N$10815,1,G10790-Assumptions!$E$35)*INDEX($C$10820:$N$10820,1,G10790-Assumptions!$E$35)*Assumptions!$E$32)</f>
        <v>1.86498625109317</v>
      </c>
      <c r="H10823" s="48" t="n">
        <f aca="false">IF(H10790-Assumptions!$E$35&lt;1,0,INDEX($C$10815:$N$10815,1,H10790-Assumptions!$E$35)*INDEX($C$10820:$N$10820,1,H10790-Assumptions!$E$35)*Assumptions!$E$32)</f>
        <v>2.40543573743084</v>
      </c>
      <c r="I10823" s="48" t="n">
        <f aca="false">IF(I10790-Assumptions!$E$35&lt;1,0,INDEX($C$10815:$N$10815,1,I10790-Assumptions!$E$35)*INDEX($C$10820:$N$10820,1,I10790-Assumptions!$E$35)*Assumptions!$E$32)</f>
        <v>2.87867132120705</v>
      </c>
      <c r="J10823" s="48" t="n">
        <f aca="false">IF(J10790-Assumptions!$E$35&lt;1,0,INDEX($C$10815:$N$10815,1,J10790-Assumptions!$E$35)*INDEX($C$10820:$N$10820,1,J10790-Assumptions!$E$35)*Assumptions!$E$32)</f>
        <v>4.28520589919791</v>
      </c>
      <c r="K10823" s="48" t="n">
        <f aca="false">IF(K10790-Assumptions!$E$35&lt;1,0,INDEX($C$10815:$N$10815,1,K10790-Assumptions!$E$35)*INDEX($C$10820:$N$10820,1,K10790-Assumptions!$E$35)*Assumptions!$E$32)</f>
        <v>5.48099855451017</v>
      </c>
      <c r="L10823" s="48" t="n">
        <f aca="false">IF(L10790-Assumptions!$E$35&lt;1,0,INDEX($C$10815:$N$10815,1,L10790-Assumptions!$E$35)*INDEX($C$10820:$N$10820,1,L10790-Assumptions!$E$35)*Assumptions!$E$32)</f>
        <v>5.32659019810893</v>
      </c>
      <c r="M10823" s="48" t="n">
        <f aca="false">IF(M10790-Assumptions!$E$35&lt;1,0,INDEX($C$10815:$N$10815,1,M10790-Assumptions!$E$35)*INDEX($C$10820:$N$10820,1,M10790-Assumptions!$E$35)*Assumptions!$E$32)</f>
        <v>5.09634129633809</v>
      </c>
      <c r="N10823" s="48" t="n">
        <f aca="false">IF(N10790-Assumptions!$E$35&lt;1,0,INDEX($C$10815:$N$10815,1,N10790-Assumptions!$E$35)*INDEX($C$10820:$N$10820,1,N10790-Assumptions!$E$35)*Assumptions!$E$32)</f>
        <v>4.88207054954721</v>
      </c>
      <c r="P10823" s="49" t="n">
        <f aca="false">SUM(C10823:F10823)</f>
        <v>4.18228364873651</v>
      </c>
      <c r="Q10823" s="49" t="n">
        <f aca="false">SUM(G10823:J10823)</f>
        <v>11.434299208929</v>
      </c>
      <c r="R10823" s="49" t="n">
        <f aca="false">SUM(K10823:N10823)</f>
        <v>20.7860005985044</v>
      </c>
      <c r="S10823" s="50" t="n">
        <f aca="false">SUM(P10823:R10823)</f>
        <v>36.4025834561699</v>
      </c>
    </row>
    <row r="10824" customFormat="false" ht="15" hidden="false" customHeight="false" outlineLevel="0" collapsed="false">
      <c r="A10824" s="4" t="s">
        <v>518</v>
      </c>
      <c r="B10824" s="36" t="s">
        <v>516</v>
      </c>
      <c r="C10824" s="48" t="n">
        <f aca="false">IF(C10790-Assumptions!$E$36&lt;1,0,INDEX($C$10815:$N$10815,1,C10790-Assumptions!$E$36)*INDEX($C$10821:$N$10821,1,C10790-Assumptions!$E$36)*Assumptions!$E$32)</f>
        <v>0</v>
      </c>
      <c r="D10824" s="48" t="n">
        <f aca="false">IF(D10790-Assumptions!$E$36&lt;1,0,INDEX($C$10815:$N$10815,1,D10790-Assumptions!$E$36)*INDEX($C$10821:$N$10821,1,D10790-Assumptions!$E$36)*Assumptions!$E$32)</f>
        <v>0</v>
      </c>
      <c r="E10824" s="48" t="n">
        <f aca="false">IF(E10790-Assumptions!$E$36&lt;1,0,INDEX($C$10815:$N$10815,1,E10790-Assumptions!$E$36)*INDEX($C$10821:$N$10821,1,E10790-Assumptions!$E$36)*Assumptions!$E$32)</f>
        <v>0.100034784040164</v>
      </c>
      <c r="F10824" s="48" t="n">
        <f aca="false">IF(F10790-Assumptions!$E$36&lt;1,0,INDEX($C$10815:$N$10815,1,F10790-Assumptions!$E$36)*INDEX($C$10821:$N$10821,1,F10790-Assumptions!$E$36)*Assumptions!$E$32)</f>
        <v>0.285535595382307</v>
      </c>
      <c r="G10824" s="48" t="n">
        <f aca="false">IF(G10790-Assumptions!$E$36&lt;1,0,INDEX($C$10815:$N$10815,1,G10790-Assumptions!$E$36)*INDEX($C$10821:$N$10821,1,G10790-Assumptions!$E$36)*Assumptions!$E$32)</f>
        <v>0.301150269073771</v>
      </c>
      <c r="H10824" s="48" t="n">
        <f aca="false">IF(H10790-Assumptions!$E$36&lt;1,0,INDEX($C$10815:$N$10815,1,H10790-Assumptions!$E$36)*INDEX($C$10821:$N$10821,1,H10790-Assumptions!$E$36)*Assumptions!$E$32)</f>
        <v>0.306226137525174</v>
      </c>
      <c r="I10824" s="48" t="n">
        <f aca="false">IF(I10790-Assumptions!$E$36&lt;1,0,INDEX($C$10815:$N$10815,1,I10790-Assumptions!$E$36)*INDEX($C$10821:$N$10821,1,I10790-Assumptions!$E$36)*Assumptions!$E$32)</f>
        <v>0.369426042815591</v>
      </c>
      <c r="J10824" s="48" t="n">
        <f aca="false">IF(J10790-Assumptions!$E$36&lt;1,0,INDEX($C$10815:$N$10815,1,J10790-Assumptions!$E$36)*INDEX($C$10821:$N$10821,1,J10790-Assumptions!$E$36)*Assumptions!$E$32)</f>
        <v>0.423833895631591</v>
      </c>
      <c r="K10824" s="48" t="n">
        <f aca="false">IF(K10790-Assumptions!$E$36&lt;1,0,INDEX($C$10815:$N$10815,1,K10790-Assumptions!$E$36)*INDEX($C$10821:$N$10821,1,K10790-Assumptions!$E$36)*Assumptions!$E$32)</f>
        <v>0.602914689109966</v>
      </c>
      <c r="L10824" s="48" t="n">
        <f aca="false">IF(L10790-Assumptions!$E$36&lt;1,0,INDEX($C$10815:$N$10815,1,L10790-Assumptions!$E$36)*INDEX($C$10821:$N$10821,1,L10790-Assumptions!$E$36)*Assumptions!$E$32)</f>
        <v>0.754970228909183</v>
      </c>
      <c r="M10824" s="48" t="n">
        <f aca="false">IF(M10790-Assumptions!$E$36&lt;1,0,INDEX($C$10815:$N$10815,1,M10790-Assumptions!$E$36)*INDEX($C$10821:$N$10821,1,M10790-Assumptions!$E$36)*Assumptions!$E$32)</f>
        <v>0.733701529233681</v>
      </c>
      <c r="N10824" s="48" t="n">
        <f aca="false">IF(N10790-Assumptions!$E$36&lt;1,0,INDEX($C$10815:$N$10815,1,N10790-Assumptions!$E$36)*INDEX($C$10821:$N$10821,1,N10790-Assumptions!$E$36)*Assumptions!$E$32)</f>
        <v>0.701986310857464</v>
      </c>
      <c r="P10824" s="49" t="n">
        <f aca="false">SUM(C10824:F10824)</f>
        <v>0.385570379422471</v>
      </c>
      <c r="Q10824" s="49" t="n">
        <f aca="false">SUM(G10824:J10824)</f>
        <v>1.40063634504613</v>
      </c>
      <c r="R10824" s="49" t="n">
        <f aca="false">SUM(K10824:N10824)</f>
        <v>2.79357275811029</v>
      </c>
      <c r="S10824" s="50" t="n">
        <f aca="false">SUM(P10824:R10824)</f>
        <v>4.57977948257889</v>
      </c>
    </row>
    <row r="10825" customFormat="false" ht="15" hidden="false" customHeight="false" outlineLevel="0" collapsed="false">
      <c r="A10825" s="4" t="s">
        <v>519</v>
      </c>
      <c r="B10825" s="36" t="s">
        <v>77</v>
      </c>
      <c r="C10825" s="51" t="n">
        <f aca="false">IF(C10790-Assumptions!$E$35&lt;1,0,IFERROR(INDEX($C$10814:$N$10814,1,C10790-Assumptions!$E$35)/INDEX($C$10815:$N$10815,1,C10790-Assumptions!$E$35),0))</f>
        <v>0</v>
      </c>
      <c r="D10825" s="51" t="n">
        <f aca="false">IF(D10790-Assumptions!$E$35&lt;1,0,IFERROR(INDEX($C$10814:$N$10814,1,D10790-Assumptions!$E$35)/INDEX($C$10815:$N$10815,1,D10790-Assumptions!$E$35),0))</f>
        <v>0.327235190392529</v>
      </c>
      <c r="E10825" s="51" t="n">
        <f aca="false">IF(E10790-Assumptions!$E$35&lt;1,0,IFERROR(INDEX($C$10814:$N$10814,1,E10790-Assumptions!$E$35)/INDEX($C$10815:$N$10815,1,E10790-Assumptions!$E$35),0))</f>
        <v>0.171965783586961</v>
      </c>
      <c r="F10825" s="51" t="n">
        <f aca="false">IF(F10790-Assumptions!$E$35&lt;1,0,IFERROR(INDEX($C$10814:$N$10814,1,F10790-Assumptions!$E$35)/INDEX($C$10815:$N$10815,1,F10790-Assumptions!$E$35),0))</f>
        <v>0.217399119063975</v>
      </c>
      <c r="G10825" s="51" t="n">
        <f aca="false">IF(G10790-Assumptions!$E$35&lt;1,0,IFERROR(INDEX($C$10814:$N$10814,1,G10790-Assumptions!$E$35)/INDEX($C$10815:$N$10815,1,G10790-Assumptions!$E$35),0))</f>
        <v>0.267244509774802</v>
      </c>
      <c r="H10825" s="51" t="n">
        <f aca="false">IF(H10790-Assumptions!$E$35&lt;1,0,IFERROR(INDEX($C$10814:$N$10814,1,H10790-Assumptions!$E$35)/INDEX($C$10815:$N$10815,1,H10790-Assumptions!$E$35),0))</f>
        <v>0.246337157253949</v>
      </c>
      <c r="I10825" s="51" t="n">
        <f aca="false">IF(I10790-Assumptions!$E$35&lt;1,0,IFERROR(INDEX($C$10814:$N$10814,1,I10790-Assumptions!$E$35)/INDEX($C$10815:$N$10815,1,I10790-Assumptions!$E$35),0))</f>
        <v>0.238825113591388</v>
      </c>
      <c r="J10825" s="51" t="n">
        <f aca="false">IF(J10790-Assumptions!$E$35&lt;1,0,IFERROR(INDEX($C$10814:$N$10814,1,J10790-Assumptions!$E$35)/INDEX($C$10815:$N$10815,1,J10790-Assumptions!$E$35),0))</f>
        <v>0.176551326913443</v>
      </c>
      <c r="K10825" s="51" t="n">
        <f aca="false">IF(K10790-Assumptions!$E$35&lt;1,0,IFERROR(INDEX($C$10814:$N$10814,1,K10790-Assumptions!$E$35)/INDEX($C$10815:$N$10815,1,K10790-Assumptions!$E$35),0))</f>
        <v>0.152726132687096</v>
      </c>
      <c r="L10825" s="51" t="n">
        <f aca="false">IF(L10790-Assumptions!$E$35&lt;1,0,IFERROR(INDEX($C$10814:$N$10814,1,L10790-Assumptions!$E$35)/INDEX($C$10815:$N$10815,1,L10790-Assumptions!$E$35),0))</f>
        <v>0.174614878971018</v>
      </c>
      <c r="M10825" s="51" t="n">
        <f aca="false">IF(M10790-Assumptions!$E$35&lt;1,0,IFERROR(INDEX($C$10814:$N$10814,1,M10790-Assumptions!$E$35)/INDEX($C$10815:$N$10815,1,M10790-Assumptions!$E$35),0))</f>
        <v>0.182503849072926</v>
      </c>
      <c r="N10825" s="51" t="n">
        <f aca="false">IF(N10790-Assumptions!$E$35&lt;1,0,IFERROR(INDEX($C$10814:$N$10814,1,N10790-Assumptions!$E$35)/INDEX($C$10815:$N$10815,1,N10790-Assumptions!$E$35),0))</f>
        <v>0.190513818538994</v>
      </c>
      <c r="P10825" s="52"/>
      <c r="Q10825" s="52"/>
      <c r="R10825" s="52"/>
      <c r="S10825" s="53"/>
    </row>
    <row r="10826" customFormat="false" ht="15" hidden="false" customHeight="false" outlineLevel="0" collapsed="false">
      <c r="A10826" s="4" t="s">
        <v>520</v>
      </c>
      <c r="B10826" s="36" t="s">
        <v>516</v>
      </c>
      <c r="C10826" s="48" t="n">
        <f aca="false">C10822*Assumptions!$E$37</f>
        <v>0</v>
      </c>
      <c r="D10826" s="48" t="n">
        <f aca="false">D10822*Assumptions!$E$37</f>
        <v>0.364785489626641</v>
      </c>
      <c r="E10826" s="48" t="n">
        <f aca="false">E10822*Assumptions!$E$37</f>
        <v>1.04123023772961</v>
      </c>
      <c r="F10826" s="48" t="n">
        <f aca="false">F10822*Assumptions!$E$37</f>
        <v>1.09817049548649</v>
      </c>
      <c r="G10826" s="48" t="n">
        <f aca="false">G10822*Assumptions!$E$37</f>
        <v>1.11668008868541</v>
      </c>
      <c r="H10826" s="48" t="n">
        <f aca="false">H10822*Assumptions!$E$37</f>
        <v>1.46926486941359</v>
      </c>
      <c r="I10826" s="48" t="n">
        <f aca="false">I10822*Assumptions!$E$37</f>
        <v>1.77905764827836</v>
      </c>
      <c r="J10826" s="48" t="n">
        <f aca="false">J10822*Assumptions!$E$37</f>
        <v>2.81560470768995</v>
      </c>
      <c r="K10826" s="48" t="n">
        <f aca="false">K10822*Assumptions!$E$37</f>
        <v>3.69800093349047</v>
      </c>
      <c r="L10826" s="48" t="n">
        <f aca="false">L10822*Assumptions!$E$37</f>
        <v>3.59382242652103</v>
      </c>
      <c r="M10826" s="48" t="n">
        <f aca="false">M10822*Assumptions!$E$37</f>
        <v>3.43847470197491</v>
      </c>
      <c r="N10826" s="48" t="n">
        <f aca="false">N10822*Assumptions!$E$37</f>
        <v>3.29390735466183</v>
      </c>
      <c r="P10826" s="49" t="n">
        <f aca="false">SUM(C10826:F10826)</f>
        <v>2.50418622284273</v>
      </c>
      <c r="Q10826" s="49" t="n">
        <f aca="false">SUM(G10826:J10826)</f>
        <v>7.18060731406731</v>
      </c>
      <c r="R10826" s="49" t="n">
        <f aca="false">SUM(K10826:N10826)</f>
        <v>14.0242054166482</v>
      </c>
      <c r="S10826" s="50" t="n">
        <f aca="false">SUM(P10826:R10826)</f>
        <v>23.7089989535583</v>
      </c>
    </row>
    <row r="10827" customFormat="false" ht="15" hidden="false" customHeight="false" outlineLevel="0" collapsed="false">
      <c r="A10827" s="4" t="s">
        <v>521</v>
      </c>
      <c r="B10827" s="36" t="s">
        <v>516</v>
      </c>
      <c r="C10827" s="48" t="n">
        <f aca="false">C10822*(1-Assumptions!$E$37)</f>
        <v>0</v>
      </c>
      <c r="D10827" s="48" t="n">
        <f aca="false">D10822*(1-Assumptions!$E$37)</f>
        <v>0.851166142462162</v>
      </c>
      <c r="E10827" s="48" t="n">
        <f aca="false">E10822*(1-Assumptions!$E$37)</f>
        <v>2.42953722136908</v>
      </c>
      <c r="F10827" s="48" t="n">
        <f aca="false">F10822*(1-Assumptions!$E$37)</f>
        <v>2.56239782280181</v>
      </c>
      <c r="G10827" s="48" t="n">
        <f aca="false">G10822*(1-Assumptions!$E$37)</f>
        <v>2.60558687359929</v>
      </c>
      <c r="H10827" s="48" t="n">
        <f aca="false">H10822*(1-Assumptions!$E$37)</f>
        <v>3.42828469529838</v>
      </c>
      <c r="I10827" s="48" t="n">
        <f aca="false">I10822*(1-Assumptions!$E$37)</f>
        <v>4.15113451264951</v>
      </c>
      <c r="J10827" s="48" t="n">
        <f aca="false">J10822*(1-Assumptions!$E$37)</f>
        <v>6.56974431794322</v>
      </c>
      <c r="K10827" s="48" t="n">
        <f aca="false">K10822*(1-Assumptions!$E$37)</f>
        <v>8.6286688448111</v>
      </c>
      <c r="L10827" s="48" t="n">
        <f aca="false">L10822*(1-Assumptions!$E$37)</f>
        <v>8.38558566188241</v>
      </c>
      <c r="M10827" s="48" t="n">
        <f aca="false">M10822*(1-Assumptions!$E$37)</f>
        <v>8.02310763794146</v>
      </c>
      <c r="N10827" s="48" t="n">
        <f aca="false">N10822*(1-Assumptions!$E$37)</f>
        <v>7.68578382754428</v>
      </c>
      <c r="P10827" s="49" t="n">
        <f aca="false">SUM(C10827:F10827)</f>
        <v>5.84310118663305</v>
      </c>
      <c r="Q10827" s="49" t="n">
        <f aca="false">SUM(G10827:J10827)</f>
        <v>16.7547503994904</v>
      </c>
      <c r="R10827" s="49" t="n">
        <f aca="false">SUM(K10827:N10827)</f>
        <v>32.7231459721792</v>
      </c>
      <c r="S10827" s="50" t="n">
        <f aca="false">SUM(P10827:R10827)</f>
        <v>55.3209975583027</v>
      </c>
    </row>
    <row r="10828" customFormat="false" ht="15" hidden="false" customHeight="false" outlineLevel="0" collapsed="false">
      <c r="A10828" s="4" t="s">
        <v>522</v>
      </c>
      <c r="B10828" s="36" t="s">
        <v>125</v>
      </c>
      <c r="C10828" s="54" t="n">
        <f aca="false">C10827*$C$10781+C10823*$C$10782+C10824*$C$10783</f>
        <v>0</v>
      </c>
      <c r="D10828" s="54" t="n">
        <f aca="false">D10827*$C$10781+D10823*$C$10782+D10824*$C$10783</f>
        <v>10505.6630627053</v>
      </c>
      <c r="E10828" s="54" t="n">
        <f aca="false">E10827*$C$10781+E10823*$C$10782+E10824*$C$10783</f>
        <v>36166.9514121577</v>
      </c>
      <c r="F10828" s="54" t="n">
        <f aca="false">F10827*$C$10781+F10823*$C$10782+F10824*$C$10783</f>
        <v>49266.7226628503</v>
      </c>
      <c r="G10828" s="54" t="n">
        <f aca="false">G10827*$C$10781+G10823*$C$10782+G10824*$C$10783</f>
        <v>50764.4381892932</v>
      </c>
      <c r="H10828" s="54" t="n">
        <f aca="false">H10827*$C$10781+H10823*$C$10782+H10824*$C$10783</f>
        <v>60759.5141095416</v>
      </c>
      <c r="I10828" s="54" t="n">
        <f aca="false">I10827*$C$10781+I10823*$C$10782+I10824*$C$10783</f>
        <v>73154.5457757892</v>
      </c>
      <c r="J10828" s="54" t="n">
        <f aca="false">J10827*$C$10781+J10823*$C$10782+J10824*$C$10783</f>
        <v>103197.397299987</v>
      </c>
      <c r="K10828" s="54" t="n">
        <f aca="false">K10827*$C$10781+K10823*$C$10782+K10824*$C$10783</f>
        <v>136959.032707723</v>
      </c>
      <c r="L10828" s="54" t="n">
        <f aca="false">L10827*$C$10781+L10823*$C$10782+L10824*$C$10783</f>
        <v>143543.714407478</v>
      </c>
      <c r="M10828" s="54" t="n">
        <f aca="false">M10827*$C$10781+M10823*$C$10782+M10824*$C$10783</f>
        <v>138041.012261791</v>
      </c>
      <c r="N10828" s="54" t="n">
        <f aca="false">N10827*$C$10781+N10823*$C$10782+N10824*$C$10783</f>
        <v>132183.621925958</v>
      </c>
      <c r="P10828" s="55" t="n">
        <f aca="false">SUM(C10828:F10828)</f>
        <v>95939.3371377132</v>
      </c>
      <c r="Q10828" s="55" t="n">
        <f aca="false">SUM(G10828:J10828)</f>
        <v>287875.895374611</v>
      </c>
      <c r="R10828" s="55" t="n">
        <f aca="false">SUM(K10828:N10828)</f>
        <v>550727.38130295</v>
      </c>
      <c r="S10828" s="56" t="n">
        <f aca="false">SUM(P10828:R10828)</f>
        <v>934542.613815274</v>
      </c>
    </row>
    <row r="10829" customFormat="false" ht="15" hidden="false" customHeight="false" outlineLevel="0" collapsed="false">
      <c r="A10829" s="4" t="s">
        <v>523</v>
      </c>
      <c r="B10829" s="36" t="s">
        <v>125</v>
      </c>
      <c r="C10829" s="54" t="n">
        <f aca="false">(C10805+Assumptions!$E$104*C10791)*$C$10786</f>
        <v>0</v>
      </c>
      <c r="D10829" s="54" t="n">
        <f aca="false">(D10805+Assumptions!$E$104*D10791)*$C$10786</f>
        <v>153125</v>
      </c>
      <c r="E10829" s="54" t="n">
        <f aca="false">(E10805+Assumptions!$E$104*E10791)*$C$10786</f>
        <v>306250</v>
      </c>
      <c r="F10829" s="54" t="n">
        <f aca="false">(F10805+Assumptions!$E$104*F10791)*$C$10786</f>
        <v>382812.5</v>
      </c>
      <c r="G10829" s="54" t="n">
        <f aca="false">(G10805+Assumptions!$E$104*G10791)*$C$10786</f>
        <v>459375</v>
      </c>
      <c r="H10829" s="54" t="n">
        <f aca="false">(H10805+Assumptions!$E$104*H10791)*$C$10786</f>
        <v>535937.5</v>
      </c>
      <c r="I10829" s="54" t="n">
        <f aca="false">(I10805+Assumptions!$E$104*I10791)*$C$10786</f>
        <v>612500</v>
      </c>
      <c r="J10829" s="54" t="n">
        <f aca="false">(J10805+Assumptions!$E$104*J10791)*$C$10786</f>
        <v>689062.5</v>
      </c>
      <c r="K10829" s="54" t="n">
        <f aca="false">(K10805+Assumptions!$E$104*K10791)*$C$10786</f>
        <v>765625</v>
      </c>
      <c r="L10829" s="54" t="n">
        <f aca="false">(L10805+Assumptions!$E$104*L10791)*$C$10786</f>
        <v>842187.5</v>
      </c>
      <c r="M10829" s="54" t="n">
        <f aca="false">(M10805+Assumptions!$E$104*M10791)*$C$10786</f>
        <v>918750</v>
      </c>
      <c r="N10829" s="54" t="n">
        <f aca="false">(N10805+Assumptions!$E$104*N10791)*$C$10786</f>
        <v>918750</v>
      </c>
      <c r="P10829" s="55" t="n">
        <f aca="false">SUM(C10829:F10829)</f>
        <v>842187.5</v>
      </c>
      <c r="Q10829" s="55" t="n">
        <f aca="false">SUM(G10829:J10829)</f>
        <v>2296875</v>
      </c>
      <c r="R10829" s="55" t="n">
        <f aca="false">SUM(K10829:N10829)</f>
        <v>3445312.5</v>
      </c>
      <c r="S10829" s="56" t="n">
        <f aca="false">SUM(P10829:R10829)</f>
        <v>6584375</v>
      </c>
    </row>
    <row r="10830" customFormat="false" ht="15" hidden="false" customHeight="false" outlineLevel="0" collapsed="false">
      <c r="A10830" s="4" t="s">
        <v>524</v>
      </c>
      <c r="B10830" s="36" t="s">
        <v>77</v>
      </c>
      <c r="C10830" s="51" t="n">
        <f aca="false">IF(C10828&gt;0,MIN(1,C10829/C10828),1)</f>
        <v>1</v>
      </c>
      <c r="D10830" s="51" t="n">
        <f aca="false">IF(D10828&gt;0,MIN(1,D10829/D10828),1)</f>
        <v>1</v>
      </c>
      <c r="E10830" s="51" t="n">
        <f aca="false">IF(E10828&gt;0,MIN(1,E10829/E10828),1)</f>
        <v>1</v>
      </c>
      <c r="F10830" s="51" t="n">
        <f aca="false">IF(F10828&gt;0,MIN(1,F10829/F10828),1)</f>
        <v>1</v>
      </c>
      <c r="G10830" s="51" t="n">
        <f aca="false">IF(G10828&gt;0,MIN(1,G10829/G10828),1)</f>
        <v>1</v>
      </c>
      <c r="H10830" s="51" t="n">
        <f aca="false">IF(H10828&gt;0,MIN(1,H10829/H10828),1)</f>
        <v>1</v>
      </c>
      <c r="I10830" s="51" t="n">
        <f aca="false">IF(I10828&gt;0,MIN(1,I10829/I10828),1)</f>
        <v>1</v>
      </c>
      <c r="J10830" s="51" t="n">
        <f aca="false">IF(J10828&gt;0,MIN(1,J10829/J10828),1)</f>
        <v>1</v>
      </c>
      <c r="K10830" s="51" t="n">
        <f aca="false">IF(K10828&gt;0,MIN(1,K10829/K10828),1)</f>
        <v>1</v>
      </c>
      <c r="L10830" s="51" t="n">
        <f aca="false">IF(L10828&gt;0,MIN(1,L10829/L10828),1)</f>
        <v>1</v>
      </c>
      <c r="M10830" s="51" t="n">
        <f aca="false">IF(M10828&gt;0,MIN(1,M10829/M10828),1)</f>
        <v>1</v>
      </c>
      <c r="N10830" s="51" t="n">
        <f aca="false">IF(N10828&gt;0,MIN(1,N10829/N10828),1)</f>
        <v>1</v>
      </c>
      <c r="P10830" s="52"/>
      <c r="Q10830" s="52"/>
      <c r="R10830" s="52"/>
      <c r="S10830" s="53"/>
    </row>
    <row r="10831" customFormat="false" ht="15" hidden="false" customHeight="false" outlineLevel="0" collapsed="false">
      <c r="A10831" s="4" t="s">
        <v>525</v>
      </c>
      <c r="B10831" s="36" t="s">
        <v>125</v>
      </c>
      <c r="C10831" s="54" t="n">
        <f aca="false">C10828*(1-C10830)</f>
        <v>0</v>
      </c>
      <c r="D10831" s="54" t="n">
        <f aca="false">D10828*(1-D10830)</f>
        <v>0</v>
      </c>
      <c r="E10831" s="54" t="n">
        <f aca="false">E10828*(1-E10830)</f>
        <v>0</v>
      </c>
      <c r="F10831" s="54" t="n">
        <f aca="false">F10828*(1-F10830)</f>
        <v>0</v>
      </c>
      <c r="G10831" s="54" t="n">
        <f aca="false">G10828*(1-G10830)</f>
        <v>0</v>
      </c>
      <c r="H10831" s="54" t="n">
        <f aca="false">H10828*(1-H10830)</f>
        <v>0</v>
      </c>
      <c r="I10831" s="54" t="n">
        <f aca="false">I10828*(1-I10830)</f>
        <v>0</v>
      </c>
      <c r="J10831" s="54" t="n">
        <f aca="false">J10828*(1-J10830)</f>
        <v>0</v>
      </c>
      <c r="K10831" s="54" t="n">
        <f aca="false">K10828*(1-K10830)</f>
        <v>0</v>
      </c>
      <c r="L10831" s="54" t="n">
        <f aca="false">L10828*(1-L10830)</f>
        <v>0</v>
      </c>
      <c r="M10831" s="54" t="n">
        <f aca="false">M10828*(1-M10830)</f>
        <v>0</v>
      </c>
      <c r="N10831" s="54" t="n">
        <f aca="false">N10828*(1-N10830)</f>
        <v>0</v>
      </c>
      <c r="P10831" s="55" t="n">
        <f aca="false">SUM(C10831:F10831)</f>
        <v>0</v>
      </c>
      <c r="Q10831" s="55" t="n">
        <f aca="false">SUM(G10831:J10831)</f>
        <v>0</v>
      </c>
      <c r="R10831" s="55" t="n">
        <f aca="false">SUM(K10831:N10831)</f>
        <v>0</v>
      </c>
      <c r="S10831" s="56" t="n">
        <f aca="false">SUM(P10831:R10831)</f>
        <v>0</v>
      </c>
    </row>
    <row r="10832" customFormat="false" ht="15" hidden="false" customHeight="false" outlineLevel="0" collapsed="false">
      <c r="A10832" s="4" t="s">
        <v>526</v>
      </c>
      <c r="B10832" s="36" t="s">
        <v>527</v>
      </c>
      <c r="C10832" s="48" t="n">
        <f aca="false">C10826+C10827*C10830</f>
        <v>0</v>
      </c>
      <c r="D10832" s="48" t="n">
        <f aca="false">D10826+D10827*D10830</f>
        <v>1.2159516320888</v>
      </c>
      <c r="E10832" s="48" t="n">
        <f aca="false">E10826+E10827*E10830</f>
        <v>3.47076745909868</v>
      </c>
      <c r="F10832" s="48" t="n">
        <f aca="false">F10826+F10827*F10830</f>
        <v>3.66056831828829</v>
      </c>
      <c r="G10832" s="48" t="n">
        <f aca="false">G10826+G10827*G10830</f>
        <v>3.7222669622847</v>
      </c>
      <c r="H10832" s="48" t="n">
        <f aca="false">H10826+H10827*H10830</f>
        <v>4.89754956471198</v>
      </c>
      <c r="I10832" s="48" t="n">
        <f aca="false">I10826+I10827*I10830</f>
        <v>5.93019216092787</v>
      </c>
      <c r="J10832" s="48" t="n">
        <f aca="false">J10826+J10827*J10830</f>
        <v>9.38534902563317</v>
      </c>
      <c r="K10832" s="48" t="n">
        <f aca="false">K10826+K10827*K10830</f>
        <v>12.3266697783016</v>
      </c>
      <c r="L10832" s="48" t="n">
        <f aca="false">L10826+L10827*L10830</f>
        <v>11.9794080884034</v>
      </c>
      <c r="M10832" s="48" t="n">
        <f aca="false">M10826+M10827*M10830</f>
        <v>11.4615823399164</v>
      </c>
      <c r="N10832" s="48" t="n">
        <f aca="false">N10826+N10827*N10830</f>
        <v>10.9796911822061</v>
      </c>
      <c r="P10832" s="49" t="n">
        <f aca="false">SUM(C10832:F10832)</f>
        <v>8.34728740947578</v>
      </c>
      <c r="Q10832" s="49" t="n">
        <f aca="false">SUM(G10832:J10832)</f>
        <v>23.9353577135577</v>
      </c>
      <c r="R10832" s="49" t="n">
        <f aca="false">SUM(K10832:N10832)</f>
        <v>46.7473513888275</v>
      </c>
      <c r="S10832" s="50" t="n">
        <f aca="false">SUM(P10832:R10832)</f>
        <v>79.029996511861</v>
      </c>
    </row>
    <row r="10833" customFormat="false" ht="15" hidden="false" customHeight="false" outlineLevel="0" collapsed="false">
      <c r="A10833" s="4" t="s">
        <v>528</v>
      </c>
      <c r="B10833" s="36" t="s">
        <v>527</v>
      </c>
      <c r="C10833" s="48" t="n">
        <f aca="false">C10823*C10830</f>
        <v>0</v>
      </c>
      <c r="D10833" s="48" t="n">
        <f aca="false">D10823*D10830</f>
        <v>0.609234399041599</v>
      </c>
      <c r="E10833" s="48" t="n">
        <f aca="false">E10823*E10830</f>
        <v>1.73897618240352</v>
      </c>
      <c r="F10833" s="48" t="n">
        <f aca="false">F10823*F10830</f>
        <v>1.83407306729139</v>
      </c>
      <c r="G10833" s="48" t="n">
        <f aca="false">G10823*G10830</f>
        <v>1.86498625109317</v>
      </c>
      <c r="H10833" s="48" t="n">
        <f aca="false">H10823*H10830</f>
        <v>2.40543573743084</v>
      </c>
      <c r="I10833" s="48" t="n">
        <f aca="false">I10823*I10830</f>
        <v>2.87867132120705</v>
      </c>
      <c r="J10833" s="48" t="n">
        <f aca="false">J10823*J10830</f>
        <v>4.28520589919791</v>
      </c>
      <c r="K10833" s="48" t="n">
        <f aca="false">K10823*K10830</f>
        <v>5.48099855451017</v>
      </c>
      <c r="L10833" s="48" t="n">
        <f aca="false">L10823*L10830</f>
        <v>5.32659019810893</v>
      </c>
      <c r="M10833" s="48" t="n">
        <f aca="false">M10823*M10830</f>
        <v>5.09634129633809</v>
      </c>
      <c r="N10833" s="48" t="n">
        <f aca="false">N10823*N10830</f>
        <v>4.88207054954721</v>
      </c>
      <c r="P10833" s="49" t="n">
        <f aca="false">SUM(C10833:F10833)</f>
        <v>4.18228364873651</v>
      </c>
      <c r="Q10833" s="49" t="n">
        <f aca="false">SUM(G10833:J10833)</f>
        <v>11.434299208929</v>
      </c>
      <c r="R10833" s="49" t="n">
        <f aca="false">SUM(K10833:N10833)</f>
        <v>20.7860005985044</v>
      </c>
      <c r="S10833" s="50" t="n">
        <f aca="false">SUM(P10833:R10833)</f>
        <v>36.4025834561699</v>
      </c>
    </row>
    <row r="10834" customFormat="false" ht="15" hidden="false" customHeight="false" outlineLevel="0" collapsed="false">
      <c r="A10834" s="4" t="s">
        <v>529</v>
      </c>
      <c r="B10834" s="36" t="s">
        <v>527</v>
      </c>
      <c r="C10834" s="48" t="n">
        <f aca="false">C10824*C10830</f>
        <v>0</v>
      </c>
      <c r="D10834" s="48" t="n">
        <f aca="false">D10824*D10830</f>
        <v>0</v>
      </c>
      <c r="E10834" s="48" t="n">
        <f aca="false">E10824*E10830</f>
        <v>0.100034784040164</v>
      </c>
      <c r="F10834" s="48" t="n">
        <f aca="false">F10824*F10830</f>
        <v>0.285535595382307</v>
      </c>
      <c r="G10834" s="48" t="n">
        <f aca="false">G10824*G10830</f>
        <v>0.301150269073771</v>
      </c>
      <c r="H10834" s="48" t="n">
        <f aca="false">H10824*H10830</f>
        <v>0.306226137525174</v>
      </c>
      <c r="I10834" s="48" t="n">
        <f aca="false">I10824*I10830</f>
        <v>0.369426042815591</v>
      </c>
      <c r="J10834" s="48" t="n">
        <f aca="false">J10824*J10830</f>
        <v>0.423833895631591</v>
      </c>
      <c r="K10834" s="48" t="n">
        <f aca="false">K10824*K10830</f>
        <v>0.602914689109966</v>
      </c>
      <c r="L10834" s="48" t="n">
        <f aca="false">L10824*L10830</f>
        <v>0.754970228909183</v>
      </c>
      <c r="M10834" s="48" t="n">
        <f aca="false">M10824*M10830</f>
        <v>0.733701529233681</v>
      </c>
      <c r="N10834" s="48" t="n">
        <f aca="false">N10824*N10830</f>
        <v>0.701986310857464</v>
      </c>
      <c r="P10834" s="49" t="n">
        <f aca="false">SUM(C10834:F10834)</f>
        <v>0.385570379422471</v>
      </c>
      <c r="Q10834" s="49" t="n">
        <f aca="false">SUM(G10834:J10834)</f>
        <v>1.40063634504613</v>
      </c>
      <c r="R10834" s="49" t="n">
        <f aca="false">SUM(K10834:N10834)</f>
        <v>2.79357275811029</v>
      </c>
      <c r="S10834" s="50" t="n">
        <f aca="false">SUM(P10834:R10834)</f>
        <v>4.57977948257889</v>
      </c>
    </row>
    <row r="10835" customFormat="false" ht="15" hidden="false" customHeight="false" outlineLevel="0" collapsed="false">
      <c r="A10835" s="9" t="s">
        <v>530</v>
      </c>
      <c r="B10835" s="36" t="s">
        <v>527</v>
      </c>
      <c r="C10835" s="49" t="n">
        <f aca="false">C10832+C10833+C10834</f>
        <v>0</v>
      </c>
      <c r="D10835" s="49" t="n">
        <f aca="false">D10832+D10833+D10834</f>
        <v>1.8251860311304</v>
      </c>
      <c r="E10835" s="49" t="n">
        <f aca="false">E10832+E10833+E10834</f>
        <v>5.30977842554237</v>
      </c>
      <c r="F10835" s="49" t="n">
        <f aca="false">F10832+F10833+F10834</f>
        <v>5.78017698096199</v>
      </c>
      <c r="G10835" s="49" t="n">
        <f aca="false">G10832+G10833+G10834</f>
        <v>5.88840348245164</v>
      </c>
      <c r="H10835" s="49" t="n">
        <f aca="false">H10832+H10833+H10834</f>
        <v>7.60921143966799</v>
      </c>
      <c r="I10835" s="49" t="n">
        <f aca="false">I10832+I10833+I10834</f>
        <v>9.17828952495051</v>
      </c>
      <c r="J10835" s="49" t="n">
        <f aca="false">J10832+J10833+J10834</f>
        <v>14.0943888204627</v>
      </c>
      <c r="K10835" s="49" t="n">
        <f aca="false">K10832+K10833+K10834</f>
        <v>18.4105830219217</v>
      </c>
      <c r="L10835" s="49" t="n">
        <f aca="false">L10832+L10833+L10834</f>
        <v>18.0609685154216</v>
      </c>
      <c r="M10835" s="49" t="n">
        <f aca="false">M10832+M10833+M10834</f>
        <v>17.2916251654881</v>
      </c>
      <c r="N10835" s="49" t="n">
        <f aca="false">N10832+N10833+N10834</f>
        <v>16.5637480426108</v>
      </c>
      <c r="P10835" s="49" t="n">
        <f aca="false">SUM(C10835:F10835)</f>
        <v>12.9151414376348</v>
      </c>
      <c r="Q10835" s="49" t="n">
        <f aca="false">SUM(G10835:J10835)</f>
        <v>36.7702932675328</v>
      </c>
      <c r="R10835" s="49" t="n">
        <f aca="false">SUM(K10835:N10835)</f>
        <v>70.3269247454422</v>
      </c>
      <c r="S10835" s="50" t="n">
        <f aca="false">SUM(P10835:R10835)</f>
        <v>120.01235945061</v>
      </c>
    </row>
    <row r="10836" customFormat="false" ht="15" hidden="false" customHeight="false" outlineLevel="0" collapsed="false">
      <c r="A10836" s="35" t="s">
        <v>533</v>
      </c>
      <c r="B10836" s="35" t="s">
        <v>444</v>
      </c>
      <c r="C10836" s="6" t="s">
        <v>354</v>
      </c>
      <c r="D10836" s="6" t="s">
        <v>355</v>
      </c>
      <c r="E10836" s="6" t="s">
        <v>356</v>
      </c>
      <c r="F10836" s="6" t="s">
        <v>357</v>
      </c>
      <c r="G10836" s="6" t="s">
        <v>358</v>
      </c>
      <c r="H10836" s="6" t="s">
        <v>359</v>
      </c>
      <c r="I10836" s="6" t="s">
        <v>360</v>
      </c>
      <c r="J10836" s="6" t="s">
        <v>361</v>
      </c>
      <c r="K10836" s="6" t="s">
        <v>362</v>
      </c>
      <c r="L10836" s="6" t="s">
        <v>363</v>
      </c>
      <c r="M10836" s="6" t="s">
        <v>364</v>
      </c>
      <c r="N10836" s="6" t="s">
        <v>365</v>
      </c>
      <c r="P10836" s="6" t="s">
        <v>445</v>
      </c>
      <c r="Q10836" s="6" t="s">
        <v>446</v>
      </c>
      <c r="R10836" s="6" t="s">
        <v>447</v>
      </c>
      <c r="S10836" s="6" t="s">
        <v>448</v>
      </c>
    </row>
    <row r="10837" customFormat="false" ht="15" hidden="false" customHeight="false" outlineLevel="0" collapsed="false">
      <c r="A10837" s="4" t="s">
        <v>534</v>
      </c>
      <c r="B10837" s="36" t="s">
        <v>527</v>
      </c>
      <c r="C10837" s="48" t="n">
        <f aca="false">0*Assumptions!$E$59^(1/4)+C10832</f>
        <v>0</v>
      </c>
      <c r="D10837" s="48" t="n">
        <f aca="false">C10837*Assumptions!$E$59^(1/4)+D10832</f>
        <v>1.2159516320888</v>
      </c>
      <c r="E10837" s="48" t="n">
        <f aca="false">D10837*Assumptions!$E$59^(1/4)+E10832</f>
        <v>4.64847367709703</v>
      </c>
      <c r="F10837" s="48" t="n">
        <f aca="false">E10837*Assumptions!$E$59^(1/4)+F10832</f>
        <v>8.16283321867289</v>
      </c>
      <c r="G10837" s="48" t="n">
        <f aca="false">F10837*Assumptions!$E$59^(1/4)+G10832</f>
        <v>11.6283540009609</v>
      </c>
      <c r="H10837" s="48" t="n">
        <f aca="false">G10837*Assumptions!$E$59^(1/4)+H10832</f>
        <v>16.1601561113986</v>
      </c>
      <c r="I10837" s="48" t="n">
        <f aca="false">H10837*Assumptions!$E$59^(1/4)+I10832</f>
        <v>21.5820617205125</v>
      </c>
      <c r="J10837" s="48" t="n">
        <f aca="false">I10837*Assumptions!$E$59^(1/4)+J10832</f>
        <v>30.2885886074649</v>
      </c>
      <c r="K10837" s="48" t="n">
        <f aca="false">J10837*Assumptions!$E$59^(1/4)+K10832</f>
        <v>41.6625892310583</v>
      </c>
      <c r="L10837" s="48" t="n">
        <f aca="false">K10837*Assumptions!$E$59^(1/4)+L10832</f>
        <v>52.3315809055412</v>
      </c>
      <c r="M10837" s="48" t="n">
        <f aca="false">L10837*Assumptions!$E$59^(1/4)+M10832</f>
        <v>62.1471742694794</v>
      </c>
      <c r="N10837" s="48" t="n">
        <f aca="false">M10837*Assumptions!$E$59^(1/4)+N10832</f>
        <v>71.1721459120561</v>
      </c>
      <c r="P10837" s="49" t="n">
        <f aca="false">F10837</f>
        <v>8.16283321867289</v>
      </c>
      <c r="Q10837" s="49" t="n">
        <f aca="false">J10837</f>
        <v>30.2885886074649</v>
      </c>
      <c r="R10837" s="49" t="n">
        <f aca="false">N10837</f>
        <v>71.1721459120561</v>
      </c>
      <c r="S10837" s="50" t="n">
        <f aca="false">R10837</f>
        <v>71.1721459120561</v>
      </c>
    </row>
    <row r="10838" customFormat="false" ht="15" hidden="false" customHeight="false" outlineLevel="0" collapsed="false">
      <c r="A10838" s="4" t="s">
        <v>535</v>
      </c>
      <c r="B10838" s="36" t="s">
        <v>527</v>
      </c>
      <c r="C10838" s="48" t="n">
        <f aca="false">0*Assumptions!$E$60^(1/4)+C10833</f>
        <v>0</v>
      </c>
      <c r="D10838" s="48" t="n">
        <f aca="false">C10838*Assumptions!$E$60^(1/4)+D10833</f>
        <v>0.609234399041599</v>
      </c>
      <c r="E10838" s="48" t="n">
        <f aca="false">D10838*Assumptions!$E$60^(1/4)+E10833</f>
        <v>2.33237276952121</v>
      </c>
      <c r="F10838" s="48" t="n">
        <f aca="false">E10838*Assumptions!$E$60^(1/4)+F10833</f>
        <v>4.10581288286539</v>
      </c>
      <c r="G10838" s="48" t="n">
        <f aca="false">F10838*Assumptions!$E$60^(1/4)+G10833</f>
        <v>5.86406338112531</v>
      </c>
      <c r="H10838" s="48" t="n">
        <f aca="false">G10838*Assumptions!$E$60^(1/4)+H10833</f>
        <v>8.11705543992228</v>
      </c>
      <c r="I10838" s="48" t="n">
        <f aca="false">H10838*Assumptions!$E$60^(1/4)+I10833</f>
        <v>10.7847137296332</v>
      </c>
      <c r="J10838" s="48" t="n">
        <f aca="false">I10838*Assumptions!$E$60^(1/4)+J10833</f>
        <v>14.789557475985</v>
      </c>
      <c r="K10838" s="48" t="n">
        <f aca="false">J10838*Assumptions!$E$60^(1/4)+K10833</f>
        <v>19.8860829440918</v>
      </c>
      <c r="L10838" s="48" t="n">
        <f aca="false">K10838*Assumptions!$E$60^(1/4)+L10833</f>
        <v>24.6957094873785</v>
      </c>
      <c r="M10838" s="48" t="n">
        <f aca="false">L10838*Assumptions!$E$60^(1/4)+M10833</f>
        <v>29.1500548576755</v>
      </c>
      <c r="N10838" s="48" t="n">
        <f aca="false">M10838*Assumptions!$E$60^(1/4)+N10833</f>
        <v>33.2743331894261</v>
      </c>
      <c r="P10838" s="49" t="n">
        <f aca="false">F10838</f>
        <v>4.10581288286539</v>
      </c>
      <c r="Q10838" s="49" t="n">
        <f aca="false">J10838</f>
        <v>14.789557475985</v>
      </c>
      <c r="R10838" s="49" t="n">
        <f aca="false">N10838</f>
        <v>33.2743331894261</v>
      </c>
      <c r="S10838" s="50" t="n">
        <f aca="false">R10838</f>
        <v>33.2743331894261</v>
      </c>
    </row>
    <row r="10839" customFormat="false" ht="15" hidden="false" customHeight="false" outlineLevel="0" collapsed="false">
      <c r="A10839" s="4" t="s">
        <v>536</v>
      </c>
      <c r="B10839" s="36" t="s">
        <v>527</v>
      </c>
      <c r="C10839" s="48" t="n">
        <f aca="false">0*Assumptions!$E$61^(1/4)+C10834</f>
        <v>0</v>
      </c>
      <c r="D10839" s="48" t="n">
        <f aca="false">C10839*Assumptions!$E$61^(1/4)+D10834</f>
        <v>0</v>
      </c>
      <c r="E10839" s="48" t="n">
        <f aca="false">D10839*Assumptions!$E$61^(1/4)+E10834</f>
        <v>0.100034784040164</v>
      </c>
      <c r="F10839" s="48" t="n">
        <f aca="false">E10839*Assumptions!$E$61^(1/4)+F10834</f>
        <v>0.383506697973847</v>
      </c>
      <c r="G10839" s="48" t="n">
        <f aca="false">F10839*Assumptions!$E$61^(1/4)+G10834</f>
        <v>0.676745362443025</v>
      </c>
      <c r="H10839" s="48" t="n">
        <f aca="false">G10839*Assumptions!$E$61^(1/4)+H10834</f>
        <v>0.969010487673164</v>
      </c>
      <c r="I10839" s="48" t="n">
        <f aca="false">H10839*Assumptions!$E$61^(1/4)+I10834</f>
        <v>1.318446194266</v>
      </c>
      <c r="J10839" s="48" t="n">
        <f aca="false">I10839*Assumptions!$E$61^(1/4)+J10834</f>
        <v>1.71508102131138</v>
      </c>
      <c r="K10839" s="48" t="n">
        <f aca="false">J10839*Assumptions!$E$61^(1/4)+K10834</f>
        <v>2.28261420867145</v>
      </c>
      <c r="L10839" s="48" t="n">
        <f aca="false">K10839*Assumptions!$E$61^(1/4)+L10834</f>
        <v>2.99049493124542</v>
      </c>
      <c r="M10839" s="48" t="n">
        <f aca="false">L10839*Assumptions!$E$61^(1/4)+M10834</f>
        <v>3.66250363061967</v>
      </c>
      <c r="N10839" s="48" t="n">
        <f aca="false">M10839*Assumptions!$E$61^(1/4)+N10834</f>
        <v>4.28893381497025</v>
      </c>
      <c r="P10839" s="49" t="n">
        <f aca="false">F10839</f>
        <v>0.383506697973847</v>
      </c>
      <c r="Q10839" s="49" t="n">
        <f aca="false">J10839</f>
        <v>1.71508102131138</v>
      </c>
      <c r="R10839" s="49" t="n">
        <f aca="false">N10839</f>
        <v>4.28893381497025</v>
      </c>
      <c r="S10839" s="50" t="n">
        <f aca="false">R10839</f>
        <v>4.28893381497025</v>
      </c>
    </row>
    <row r="10840" customFormat="false" ht="15" hidden="false" customHeight="false" outlineLevel="0" collapsed="false">
      <c r="A10840" s="9" t="s">
        <v>537</v>
      </c>
      <c r="B10840" s="36" t="s">
        <v>527</v>
      </c>
      <c r="C10840" s="49" t="n">
        <f aca="false">C10837+C10838+C10839</f>
        <v>0</v>
      </c>
      <c r="D10840" s="49" t="n">
        <f aca="false">D10837+D10838+D10839</f>
        <v>1.8251860311304</v>
      </c>
      <c r="E10840" s="49" t="n">
        <f aca="false">E10837+E10838+E10839</f>
        <v>7.0808812306584</v>
      </c>
      <c r="F10840" s="49" t="n">
        <f aca="false">F10837+F10838+F10839</f>
        <v>12.6521527995121</v>
      </c>
      <c r="G10840" s="49" t="n">
        <f aca="false">G10837+G10838+G10839</f>
        <v>18.1691627445293</v>
      </c>
      <c r="H10840" s="49" t="n">
        <f aca="false">H10837+H10838+H10839</f>
        <v>25.246222038994</v>
      </c>
      <c r="I10840" s="49" t="n">
        <f aca="false">I10837+I10838+I10839</f>
        <v>33.6852216444117</v>
      </c>
      <c r="J10840" s="49" t="n">
        <f aca="false">J10837+J10838+J10839</f>
        <v>46.7932271047613</v>
      </c>
      <c r="K10840" s="49" t="n">
        <f aca="false">K10837+K10838+K10839</f>
        <v>63.8312863838215</v>
      </c>
      <c r="L10840" s="49" t="n">
        <f aca="false">L10837+L10838+L10839</f>
        <v>80.0177853241652</v>
      </c>
      <c r="M10840" s="49" t="n">
        <f aca="false">M10837+M10838+M10839</f>
        <v>94.9597327577746</v>
      </c>
      <c r="N10840" s="49" t="n">
        <f aca="false">N10837+N10838+N10839</f>
        <v>108.735412916452</v>
      </c>
      <c r="P10840" s="49" t="n">
        <f aca="false">F10840</f>
        <v>12.6521527995121</v>
      </c>
      <c r="Q10840" s="49" t="n">
        <f aca="false">J10840</f>
        <v>46.7932271047613</v>
      </c>
      <c r="R10840" s="49" t="n">
        <f aca="false">N10840</f>
        <v>108.735412916452</v>
      </c>
      <c r="S10840" s="50" t="n">
        <f aca="false">R10840</f>
        <v>108.735412916452</v>
      </c>
    </row>
    <row r="10841" customFormat="false" ht="15" hidden="false" customHeight="false" outlineLevel="0" collapsed="false">
      <c r="A10841" s="4" t="s">
        <v>538</v>
      </c>
      <c r="B10841" s="36" t="s">
        <v>125</v>
      </c>
      <c r="C10841" s="54" t="n">
        <f aca="false">0*Assumptions!$E$62^(1/4)+C10832*$C$10781</f>
        <v>0</v>
      </c>
      <c r="D10841" s="54" t="n">
        <f aca="false">C10841*Assumptions!$E$62^(1/4)+D10832*$C$10781</f>
        <v>6507.77313493928</v>
      </c>
      <c r="E10841" s="54" t="n">
        <f aca="false">D10841*Assumptions!$E$62^(1/4)+E10832*$C$10781</f>
        <v>25083.3205760354</v>
      </c>
      <c r="F10841" s="54" t="n">
        <f aca="false">E10841*Assumptions!$E$62^(1/4)+F10832*$C$10781</f>
        <v>44674.6822155144</v>
      </c>
      <c r="G10841" s="54" t="n">
        <f aca="false">F10841*Assumptions!$E$62^(1/4)+G10832*$C$10781</f>
        <v>64596.2549976621</v>
      </c>
      <c r="H10841" s="54" t="n">
        <f aca="false">G10841*Assumptions!$E$62^(1/4)+H10832*$C$10781</f>
        <v>90807.9402680006</v>
      </c>
      <c r="I10841" s="54" t="n">
        <f aca="false">H10841*Assumptions!$E$62^(1/4)+I10832*$C$10781</f>
        <v>122546.328713287</v>
      </c>
      <c r="J10841" s="54" t="n">
        <f aca="false">I10841*Assumptions!$E$62^(1/4)+J10832*$C$10781</f>
        <v>172776.716698475</v>
      </c>
      <c r="K10841" s="54" t="n">
        <f aca="false">J10841*Assumptions!$E$62^(1/4)+K10832*$C$10781</f>
        <v>238749.053351945</v>
      </c>
      <c r="L10841" s="54" t="n">
        <f aca="false">K10841*Assumptions!$E$62^(1/4)+L10832*$C$10781</f>
        <v>302862.84544108</v>
      </c>
      <c r="M10841" s="54" t="n">
        <f aca="false">L10841*Assumptions!$E$62^(1/4)+M10832*$C$10781</f>
        <v>364205.234124313</v>
      </c>
      <c r="N10841" s="54" t="n">
        <f aca="false">M10841*Assumptions!$E$62^(1/4)+N10832*$C$10781</f>
        <v>422968.54133148</v>
      </c>
      <c r="P10841" s="55" t="n">
        <f aca="false">F10841</f>
        <v>44674.6822155144</v>
      </c>
      <c r="Q10841" s="55" t="n">
        <f aca="false">J10841</f>
        <v>172776.716698475</v>
      </c>
      <c r="R10841" s="55" t="n">
        <f aca="false">N10841</f>
        <v>422968.54133148</v>
      </c>
      <c r="S10841" s="56" t="n">
        <f aca="false">R10841</f>
        <v>422968.54133148</v>
      </c>
    </row>
    <row r="10842" customFormat="false" ht="15" hidden="false" customHeight="false" outlineLevel="0" collapsed="false">
      <c r="A10842" s="4" t="s">
        <v>539</v>
      </c>
      <c r="B10842" s="36" t="s">
        <v>125</v>
      </c>
      <c r="C10842" s="54" t="n">
        <f aca="false">0*Assumptions!$E$63^(1/4)+C10833*$C$10782</f>
        <v>0</v>
      </c>
      <c r="D10842" s="54" t="n">
        <f aca="false">C10842*Assumptions!$E$63^(1/4)+D10833*$C$10782</f>
        <v>5950.22186824776</v>
      </c>
      <c r="E10842" s="54" t="n">
        <f aca="false">D10842*Assumptions!$E$63^(1/4)+E10833*$C$10782</f>
        <v>23021.6281927128</v>
      </c>
      <c r="F10842" s="54" t="n">
        <f aca="false">E10842*Assumptions!$E$63^(1/4)+F10833*$C$10782</f>
        <v>41272.3223672816</v>
      </c>
      <c r="G10842" s="54" t="n">
        <f aca="false">F10842*Assumptions!$E$63^(1/4)+G10833*$C$10782</f>
        <v>60092.7448351199</v>
      </c>
      <c r="H10842" s="54" t="n">
        <f aca="false">G10842*Assumptions!$E$63^(1/4)+H10833*$C$10782</f>
        <v>84467.7541638684</v>
      </c>
      <c r="I10842" s="54" t="n">
        <f aca="false">H10842*Assumptions!$E$63^(1/4)+I10833*$C$10782</f>
        <v>113822.398131575</v>
      </c>
      <c r="J10842" s="54" t="n">
        <f aca="false">I10842*Assumptions!$E$63^(1/4)+J10833*$C$10782</f>
        <v>157345.017203849</v>
      </c>
      <c r="K10842" s="54" t="n">
        <f aca="false">J10842*Assumptions!$E$63^(1/4)+K10833*$C$10782</f>
        <v>213185.252689699</v>
      </c>
      <c r="L10842" s="54" t="n">
        <f aca="false">K10842*Assumptions!$E$63^(1/4)+L10833*$C$10782</f>
        <v>268336.815998579</v>
      </c>
      <c r="M10842" s="54" t="n">
        <f aca="false">L10842*Assumptions!$E$63^(1/4)+M10833*$C$10782</f>
        <v>322048.888279865</v>
      </c>
      <c r="N10842" s="54" t="n">
        <f aca="false">M10842*Assumptions!$E$63^(1/4)+N10833*$C$10782</f>
        <v>374456.400831522</v>
      </c>
      <c r="P10842" s="55" t="n">
        <f aca="false">F10842</f>
        <v>41272.3223672816</v>
      </c>
      <c r="Q10842" s="55" t="n">
        <f aca="false">J10842</f>
        <v>157345.017203849</v>
      </c>
      <c r="R10842" s="55" t="n">
        <f aca="false">N10842</f>
        <v>374456.400831522</v>
      </c>
      <c r="S10842" s="56" t="n">
        <f aca="false">R10842</f>
        <v>374456.400831522</v>
      </c>
    </row>
    <row r="10843" customFormat="false" ht="15" hidden="false" customHeight="false" outlineLevel="0" collapsed="false">
      <c r="A10843" s="4" t="s">
        <v>540</v>
      </c>
      <c r="B10843" s="36" t="s">
        <v>125</v>
      </c>
      <c r="C10843" s="54" t="n">
        <f aca="false">0*Assumptions!$E$64^(1/4)+C10834*$C$10783</f>
        <v>0</v>
      </c>
      <c r="D10843" s="54" t="n">
        <f aca="false">C10843*Assumptions!$E$64^(1/4)+D10834*$C$10783</f>
        <v>0</v>
      </c>
      <c r="E10843" s="54" t="n">
        <f aca="false">D10843*Assumptions!$E$64^(1/4)+E10834*$C$10783</f>
        <v>6179.97451928944</v>
      </c>
      <c r="F10843" s="54" t="n">
        <f aca="false">E10843*Assumptions!$E$64^(1/4)+F10834*$C$10783</f>
        <v>24039.6136963337</v>
      </c>
      <c r="G10843" s="54" t="n">
        <f aca="false">F10843*Assumptions!$E$64^(1/4)+G10834*$C$10783</f>
        <v>43498.9545987634</v>
      </c>
      <c r="H10843" s="54" t="n">
        <f aca="false">G10843*Assumptions!$E$64^(1/4)+H10834*$C$10783</f>
        <v>63963.8105322862</v>
      </c>
      <c r="I10843" s="54" t="n">
        <f aca="false">H10843*Assumptions!$E$64^(1/4)+I10834*$C$10783</f>
        <v>89060.7373174892</v>
      </c>
      <c r="J10843" s="54" t="n">
        <f aca="false">I10843*Assumptions!$E$64^(1/4)+J10834*$C$10783</f>
        <v>118411.284812877</v>
      </c>
      <c r="K10843" s="54" t="n">
        <f aca="false">J10843*Assumptions!$E$64^(1/4)+K10834*$C$10783</f>
        <v>159868.780460261</v>
      </c>
      <c r="L10843" s="54" t="n">
        <f aca="false">K10843*Assumptions!$E$64^(1/4)+L10834*$C$10783</f>
        <v>212194.151000109</v>
      </c>
      <c r="M10843" s="54" t="n">
        <f aca="false">L10843*Assumptions!$E$64^(1/4)+M10834*$C$10783</f>
        <v>265066.167882209</v>
      </c>
      <c r="N10843" s="54" t="n">
        <f aca="false">M10843*Assumptions!$E$64^(1/4)+N10834*$C$10783</f>
        <v>317858.901090036</v>
      </c>
      <c r="P10843" s="55" t="n">
        <f aca="false">F10843</f>
        <v>24039.6136963337</v>
      </c>
      <c r="Q10843" s="55" t="n">
        <f aca="false">J10843</f>
        <v>118411.284812877</v>
      </c>
      <c r="R10843" s="55" t="n">
        <f aca="false">N10843</f>
        <v>317858.901090036</v>
      </c>
      <c r="S10843" s="56" t="n">
        <f aca="false">R10843</f>
        <v>317858.901090036</v>
      </c>
    </row>
    <row r="10844" customFormat="false" ht="15" hidden="false" customHeight="false" outlineLevel="0" collapsed="false">
      <c r="A10844" s="9" t="s">
        <v>541</v>
      </c>
      <c r="B10844" s="36" t="s">
        <v>125</v>
      </c>
      <c r="C10844" s="55" t="n">
        <f aca="false">C10841+C10842+C10843</f>
        <v>0</v>
      </c>
      <c r="D10844" s="55" t="n">
        <f aca="false">D10841+D10842+D10843</f>
        <v>12457.995003187</v>
      </c>
      <c r="E10844" s="55" t="n">
        <f aca="false">E10841+E10842+E10843</f>
        <v>54284.9232880376</v>
      </c>
      <c r="F10844" s="55" t="n">
        <f aca="false">F10841+F10842+F10843</f>
        <v>109986.61827913</v>
      </c>
      <c r="G10844" s="55" t="n">
        <f aca="false">G10841+G10842+G10843</f>
        <v>168187.954431545</v>
      </c>
      <c r="H10844" s="55" t="n">
        <f aca="false">H10841+H10842+H10843</f>
        <v>239239.504964155</v>
      </c>
      <c r="I10844" s="55" t="n">
        <f aca="false">I10841+I10842+I10843</f>
        <v>325429.464162351</v>
      </c>
      <c r="J10844" s="55" t="n">
        <f aca="false">J10841+J10842+J10843</f>
        <v>448533.018715201</v>
      </c>
      <c r="K10844" s="55" t="n">
        <f aca="false">K10841+K10842+K10843</f>
        <v>611803.086501906</v>
      </c>
      <c r="L10844" s="55" t="n">
        <f aca="false">L10841+L10842+L10843</f>
        <v>783393.812439768</v>
      </c>
      <c r="M10844" s="55" t="n">
        <f aca="false">M10841+M10842+M10843</f>
        <v>951320.290286387</v>
      </c>
      <c r="N10844" s="55" t="n">
        <f aca="false">N10841+N10842+N10843</f>
        <v>1115283.84325304</v>
      </c>
      <c r="P10844" s="55" t="n">
        <f aca="false">F10844</f>
        <v>109986.61827913</v>
      </c>
      <c r="Q10844" s="55" t="n">
        <f aca="false">J10844</f>
        <v>448533.018715201</v>
      </c>
      <c r="R10844" s="55" t="n">
        <f aca="false">N10844</f>
        <v>1115283.84325304</v>
      </c>
      <c r="S10844" s="56" t="n">
        <f aca="false">R10844</f>
        <v>1115283.84325304</v>
      </c>
    </row>
    <row r="10845" customFormat="false" ht="15" hidden="false" customHeight="false" outlineLevel="0" collapsed="false">
      <c r="A10845" s="4" t="s">
        <v>542</v>
      </c>
      <c r="B10845" s="36" t="s">
        <v>125</v>
      </c>
      <c r="C10845" s="54" t="n">
        <f aca="false">C10832*$C$10781+C10833*$C$10782+C10834*$C$10783</f>
        <v>0</v>
      </c>
      <c r="D10845" s="54" t="n">
        <f aca="false">D10832*$C$10781+D10833*$C$10782+D10834*$C$10783</f>
        <v>12457.995003187</v>
      </c>
      <c r="E10845" s="54" t="n">
        <f aca="false">E10832*$C$10781+E10833*$C$10782+E10834*$C$10783</f>
        <v>41739.6156444866</v>
      </c>
      <c r="F10845" s="54" t="n">
        <f aca="false">F10832*$C$10781+F10833*$C$10782+F10834*$C$10783</f>
        <v>55144.1311546939</v>
      </c>
      <c r="G10845" s="54" t="n">
        <f aca="false">G10832*$C$10781+G10833*$C$10782+G10834*$C$10783</f>
        <v>56740.9100239375</v>
      </c>
      <c r="H10845" s="54" t="n">
        <f aca="false">H10832*$C$10781+H10833*$C$10782+H10834*$C$10783</f>
        <v>68623.0196906431</v>
      </c>
      <c r="I10845" s="54" t="n">
        <f aca="false">I10832*$C$10781+I10833*$C$10782+I10834*$C$10783</f>
        <v>82676.062309375</v>
      </c>
      <c r="J10845" s="54" t="n">
        <f aca="false">J10832*$C$10781+J10833*$C$10782+J10834*$C$10783</f>
        <v>118266.513695543</v>
      </c>
      <c r="K10845" s="54" t="n">
        <f aca="false">K10832*$C$10781+K10833*$C$10782+K10834*$C$10783</f>
        <v>156750.733703764</v>
      </c>
      <c r="L10845" s="54" t="n">
        <f aca="false">L10832*$C$10781+L10833*$C$10782+L10834*$C$10783</f>
        <v>162777.852034219</v>
      </c>
      <c r="M10845" s="54" t="n">
        <f aca="false">M10832*$C$10781+M10833*$C$10782+M10834*$C$10783</f>
        <v>156443.72886676</v>
      </c>
      <c r="N10845" s="54" t="n">
        <f aca="false">N10832*$C$10781+N10833*$C$10782+N10834*$C$10783</f>
        <v>149812.614088108</v>
      </c>
      <c r="P10845" s="55" t="n">
        <f aca="false">SUM(C10845:F10845)</f>
        <v>109341.741802368</v>
      </c>
      <c r="Q10845" s="55" t="n">
        <f aca="false">SUM(G10845:J10845)</f>
        <v>326306.505719499</v>
      </c>
      <c r="R10845" s="55" t="n">
        <f aca="false">SUM(K10845:N10845)</f>
        <v>625784.928692852</v>
      </c>
      <c r="S10845" s="56" t="n">
        <f aca="false">SUM(P10845:R10845)</f>
        <v>1061433.17621472</v>
      </c>
    </row>
    <row r="10846" customFormat="false" ht="15" hidden="false" customHeight="false" outlineLevel="0" collapsed="false">
      <c r="A10846" s="9" t="s">
        <v>543</v>
      </c>
      <c r="B10846" s="36" t="s">
        <v>125</v>
      </c>
      <c r="C10846" s="55" t="n">
        <f aca="false">(0+C10844)/8</f>
        <v>0</v>
      </c>
      <c r="D10846" s="55" t="n">
        <f aca="false">(C10844+D10844)/8</f>
        <v>1557.24937539838</v>
      </c>
      <c r="E10846" s="55" t="n">
        <f aca="false">(D10844+E10844)/8</f>
        <v>8342.86478640309</v>
      </c>
      <c r="F10846" s="55" t="n">
        <f aca="false">(E10844+F10844)/8</f>
        <v>20533.9426958959</v>
      </c>
      <c r="G10846" s="55" t="n">
        <f aca="false">(F10844+G10844)/8</f>
        <v>34771.8215888344</v>
      </c>
      <c r="H10846" s="55" t="n">
        <f aca="false">(G10844+H10844)/8</f>
        <v>50928.4324244626</v>
      </c>
      <c r="I10846" s="55" t="n">
        <f aca="false">(H10844+I10844)/8</f>
        <v>70583.6211408133</v>
      </c>
      <c r="J10846" s="55" t="n">
        <f aca="false">(I10844+J10844)/8</f>
        <v>96745.310359694</v>
      </c>
      <c r="K10846" s="55" t="n">
        <f aca="false">(J10844+K10844)/8</f>
        <v>132542.013152138</v>
      </c>
      <c r="L10846" s="55" t="n">
        <f aca="false">(K10844+L10844)/8</f>
        <v>174399.612367709</v>
      </c>
      <c r="M10846" s="55" t="n">
        <f aca="false">(L10844+M10844)/8</f>
        <v>216839.262840769</v>
      </c>
      <c r="N10846" s="55" t="n">
        <f aca="false">(M10844+N10844)/8</f>
        <v>258325.516692428</v>
      </c>
      <c r="P10846" s="55" t="n">
        <f aca="false">SUM(C10846:F10846)</f>
        <v>30434.0568576974</v>
      </c>
      <c r="Q10846" s="55" t="n">
        <f aca="false">SUM(G10846:J10846)</f>
        <v>253029.185513804</v>
      </c>
      <c r="R10846" s="55" t="n">
        <f aca="false">SUM(K10846:N10846)</f>
        <v>782106.405053045</v>
      </c>
      <c r="S10846" s="56" t="n">
        <f aca="false">SUM(P10846:R10846)</f>
        <v>1065569.64742455</v>
      </c>
    </row>
    <row r="10847" customFormat="false" ht="15" hidden="false" customHeight="false" outlineLevel="0" collapsed="false">
      <c r="A10847" s="4" t="s">
        <v>544</v>
      </c>
      <c r="B10847" s="36" t="s">
        <v>125</v>
      </c>
      <c r="C10847" s="54" t="n">
        <f aca="false">C10846*Assumptions!$E$76</f>
        <v>0</v>
      </c>
      <c r="D10847" s="54" t="n">
        <f aca="false">D10846*Assumptions!$E$76</f>
        <v>1012.21209400895</v>
      </c>
      <c r="E10847" s="54" t="n">
        <f aca="false">E10846*Assumptions!$E$76</f>
        <v>5422.86211116201</v>
      </c>
      <c r="F10847" s="54" t="n">
        <f aca="false">F10846*Assumptions!$E$76</f>
        <v>13347.0627523323</v>
      </c>
      <c r="G10847" s="54" t="n">
        <f aca="false">G10846*Assumptions!$E$76</f>
        <v>22601.6840327424</v>
      </c>
      <c r="H10847" s="54" t="n">
        <f aca="false">H10846*Assumptions!$E$76</f>
        <v>33103.4810759007</v>
      </c>
      <c r="I10847" s="54" t="n">
        <f aca="false">I10846*Assumptions!$E$76</f>
        <v>45879.3537415286</v>
      </c>
      <c r="J10847" s="54" t="n">
        <f aca="false">J10846*Assumptions!$E$76</f>
        <v>62884.4517338011</v>
      </c>
      <c r="K10847" s="54" t="n">
        <f aca="false">K10846*Assumptions!$E$76</f>
        <v>86152.30854889</v>
      </c>
      <c r="L10847" s="54" t="n">
        <f aca="false">L10846*Assumptions!$E$76</f>
        <v>113359.748039011</v>
      </c>
      <c r="M10847" s="54" t="n">
        <f aca="false">M10846*Assumptions!$E$76</f>
        <v>140945.5208465</v>
      </c>
      <c r="N10847" s="54" t="n">
        <f aca="false">N10846*Assumptions!$E$76</f>
        <v>167911.585850078</v>
      </c>
      <c r="P10847" s="55" t="n">
        <f aca="false">SUM(C10847:F10847)</f>
        <v>19782.1369575033</v>
      </c>
      <c r="Q10847" s="55" t="n">
        <f aca="false">SUM(G10847:J10847)</f>
        <v>164468.970583973</v>
      </c>
      <c r="R10847" s="55" t="n">
        <f aca="false">SUM(K10847:N10847)</f>
        <v>508369.163284479</v>
      </c>
      <c r="S10847" s="56" t="n">
        <f aca="false">SUM(P10847:R10847)</f>
        <v>692620.270825955</v>
      </c>
    </row>
    <row r="10848" customFormat="false" ht="15" hidden="false" customHeight="false" outlineLevel="0" collapsed="false">
      <c r="A10848" s="35" t="s">
        <v>547</v>
      </c>
      <c r="B10848" s="35" t="s">
        <v>444</v>
      </c>
      <c r="C10848" s="6" t="s">
        <v>354</v>
      </c>
      <c r="D10848" s="6" t="s">
        <v>355</v>
      </c>
      <c r="E10848" s="6" t="s">
        <v>356</v>
      </c>
      <c r="F10848" s="6" t="s">
        <v>357</v>
      </c>
      <c r="G10848" s="6" t="s">
        <v>358</v>
      </c>
      <c r="H10848" s="6" t="s">
        <v>359</v>
      </c>
      <c r="I10848" s="6" t="s">
        <v>360</v>
      </c>
      <c r="J10848" s="6" t="s">
        <v>361</v>
      </c>
      <c r="K10848" s="6" t="s">
        <v>362</v>
      </c>
      <c r="L10848" s="6" t="s">
        <v>363</v>
      </c>
      <c r="M10848" s="6" t="s">
        <v>364</v>
      </c>
      <c r="N10848" s="6" t="s">
        <v>365</v>
      </c>
      <c r="P10848" s="6" t="s">
        <v>445</v>
      </c>
      <c r="Q10848" s="6" t="s">
        <v>446</v>
      </c>
      <c r="R10848" s="6" t="s">
        <v>447</v>
      </c>
      <c r="S10848" s="6" t="s">
        <v>448</v>
      </c>
    </row>
    <row r="10849" customFormat="false" ht="15" hidden="false" customHeight="false" outlineLevel="0" collapsed="false">
      <c r="A10849" s="4" t="s">
        <v>548</v>
      </c>
      <c r="B10849" s="36" t="s">
        <v>321</v>
      </c>
      <c r="C10849" s="48" t="n">
        <f aca="false">Assumptions!$E$97*C10791</f>
        <v>1</v>
      </c>
      <c r="D10849" s="48" t="n">
        <f aca="false">Assumptions!$E$97*D10791</f>
        <v>1</v>
      </c>
      <c r="E10849" s="48" t="n">
        <f aca="false">Assumptions!$E$97*E10791</f>
        <v>1</v>
      </c>
      <c r="F10849" s="48" t="n">
        <f aca="false">Assumptions!$E$97*F10791</f>
        <v>1</v>
      </c>
      <c r="G10849" s="48" t="n">
        <f aca="false">Assumptions!$E$97*G10791</f>
        <v>1</v>
      </c>
      <c r="H10849" s="48" t="n">
        <f aca="false">Assumptions!$E$97*H10791</f>
        <v>1</v>
      </c>
      <c r="I10849" s="48" t="n">
        <f aca="false">Assumptions!$E$97*I10791</f>
        <v>1</v>
      </c>
      <c r="J10849" s="48" t="n">
        <f aca="false">Assumptions!$E$97*J10791</f>
        <v>1</v>
      </c>
      <c r="K10849" s="48" t="n">
        <f aca="false">Assumptions!$E$97*K10791</f>
        <v>1</v>
      </c>
      <c r="L10849" s="48" t="n">
        <f aca="false">Assumptions!$E$97*L10791</f>
        <v>1</v>
      </c>
      <c r="M10849" s="48" t="n">
        <f aca="false">Assumptions!$E$97*M10791</f>
        <v>1</v>
      </c>
      <c r="N10849" s="48" t="n">
        <f aca="false">Assumptions!$E$97*N10791</f>
        <v>1</v>
      </c>
      <c r="P10849" s="49" t="n">
        <f aca="false">AVERAGE(C10849:F10849)</f>
        <v>1</v>
      </c>
      <c r="Q10849" s="49" t="n">
        <f aca="false">AVERAGE(G10849:J10849)</f>
        <v>1</v>
      </c>
      <c r="R10849" s="49" t="n">
        <f aca="false">AVERAGE(K10849:N10849)</f>
        <v>1</v>
      </c>
      <c r="S10849" s="50"/>
    </row>
    <row r="10850" customFormat="false" ht="15" hidden="false" customHeight="false" outlineLevel="0" collapsed="false">
      <c r="A10850" s="4" t="s">
        <v>549</v>
      </c>
      <c r="B10850" s="36" t="s">
        <v>321</v>
      </c>
      <c r="C10850" s="48" t="n">
        <f aca="false">C10804*C10791</f>
        <v>2</v>
      </c>
      <c r="D10850" s="48" t="n">
        <f aca="false">D10804*D10791</f>
        <v>2</v>
      </c>
      <c r="E10850" s="48" t="n">
        <f aca="false">E10804*E10791</f>
        <v>3</v>
      </c>
      <c r="F10850" s="48" t="n">
        <f aca="false">F10804*F10791</f>
        <v>3</v>
      </c>
      <c r="G10850" s="48" t="n">
        <f aca="false">G10804*G10791</f>
        <v>4</v>
      </c>
      <c r="H10850" s="48" t="n">
        <f aca="false">H10804*H10791</f>
        <v>4</v>
      </c>
      <c r="I10850" s="48" t="n">
        <f aca="false">I10804*I10791</f>
        <v>5</v>
      </c>
      <c r="J10850" s="48" t="n">
        <f aca="false">J10804*J10791</f>
        <v>5</v>
      </c>
      <c r="K10850" s="48" t="n">
        <f aca="false">K10804*K10791</f>
        <v>6</v>
      </c>
      <c r="L10850" s="48" t="n">
        <f aca="false">L10804*L10791</f>
        <v>6</v>
      </c>
      <c r="M10850" s="48" t="n">
        <f aca="false">M10804*M10791</f>
        <v>6</v>
      </c>
      <c r="N10850" s="48" t="n">
        <f aca="false">N10804*N10791</f>
        <v>6</v>
      </c>
      <c r="P10850" s="49" t="n">
        <f aca="false">AVERAGE(C10850:F10850)</f>
        <v>2.5</v>
      </c>
      <c r="Q10850" s="49" t="n">
        <f aca="false">AVERAGE(G10850:J10850)</f>
        <v>4.5</v>
      </c>
      <c r="R10850" s="49" t="n">
        <f aca="false">AVERAGE(K10850:N10850)</f>
        <v>6</v>
      </c>
      <c r="S10850" s="50"/>
    </row>
    <row r="10851" customFormat="false" ht="15" hidden="false" customHeight="false" outlineLevel="0" collapsed="false">
      <c r="A10851" s="4" t="s">
        <v>550</v>
      </c>
      <c r="B10851" s="36" t="s">
        <v>321</v>
      </c>
      <c r="C10851" s="48" t="n">
        <f aca="false">IF(C10790&lt;=4,Assumptions!$E$98,Assumptions!$E$99)*C10791</f>
        <v>1</v>
      </c>
      <c r="D10851" s="48" t="n">
        <f aca="false">IF(D10790&lt;=4,Assumptions!$E$98,Assumptions!$E$99)*D10791</f>
        <v>1</v>
      </c>
      <c r="E10851" s="48" t="n">
        <f aca="false">IF(E10790&lt;=4,Assumptions!$E$98,Assumptions!$E$99)*E10791</f>
        <v>1</v>
      </c>
      <c r="F10851" s="48" t="n">
        <f aca="false">IF(F10790&lt;=4,Assumptions!$E$98,Assumptions!$E$99)*F10791</f>
        <v>1</v>
      </c>
      <c r="G10851" s="48" t="n">
        <f aca="false">IF(G10790&lt;=4,Assumptions!$E$98,Assumptions!$E$99)*G10791</f>
        <v>1</v>
      </c>
      <c r="H10851" s="48" t="n">
        <f aca="false">IF(H10790&lt;=4,Assumptions!$E$98,Assumptions!$E$99)*H10791</f>
        <v>1</v>
      </c>
      <c r="I10851" s="48" t="n">
        <f aca="false">IF(I10790&lt;=4,Assumptions!$E$98,Assumptions!$E$99)*I10791</f>
        <v>1</v>
      </c>
      <c r="J10851" s="48" t="n">
        <f aca="false">IF(J10790&lt;=4,Assumptions!$E$98,Assumptions!$E$99)*J10791</f>
        <v>1</v>
      </c>
      <c r="K10851" s="48" t="n">
        <f aca="false">IF(K10790&lt;=4,Assumptions!$E$98,Assumptions!$E$99)*K10791</f>
        <v>1</v>
      </c>
      <c r="L10851" s="48" t="n">
        <f aca="false">IF(L10790&lt;=4,Assumptions!$E$98,Assumptions!$E$99)*L10791</f>
        <v>1</v>
      </c>
      <c r="M10851" s="48" t="n">
        <f aca="false">IF(M10790&lt;=4,Assumptions!$E$98,Assumptions!$E$99)*M10791</f>
        <v>1</v>
      </c>
      <c r="N10851" s="48" t="n">
        <f aca="false">IF(N10790&lt;=4,Assumptions!$E$98,Assumptions!$E$99)*N10791</f>
        <v>1</v>
      </c>
      <c r="P10851" s="49" t="n">
        <f aca="false">AVERAGE(C10851:F10851)</f>
        <v>1</v>
      </c>
      <c r="Q10851" s="49" t="n">
        <f aca="false">AVERAGE(G10851:J10851)</f>
        <v>1</v>
      </c>
      <c r="R10851" s="49" t="n">
        <f aca="false">AVERAGE(K10851:N10851)</f>
        <v>1</v>
      </c>
      <c r="S10851" s="50"/>
    </row>
    <row r="10852" customFormat="false" ht="15" hidden="false" customHeight="false" outlineLevel="0" collapsed="false">
      <c r="A10852" s="4" t="s">
        <v>551</v>
      </c>
      <c r="B10852" s="36" t="s">
        <v>321</v>
      </c>
      <c r="C10852" s="48" t="n">
        <f aca="false">IF(C10790&lt;=4,Assumptions!$E$100,Assumptions!$E$101)*C10791</f>
        <v>1</v>
      </c>
      <c r="D10852" s="48" t="n">
        <f aca="false">IF(D10790&lt;=4,Assumptions!$E$100,Assumptions!$E$101)*D10791</f>
        <v>1</v>
      </c>
      <c r="E10852" s="48" t="n">
        <f aca="false">IF(E10790&lt;=4,Assumptions!$E$100,Assumptions!$E$101)*E10791</f>
        <v>1</v>
      </c>
      <c r="F10852" s="48" t="n">
        <f aca="false">IF(F10790&lt;=4,Assumptions!$E$100,Assumptions!$E$101)*F10791</f>
        <v>1</v>
      </c>
      <c r="G10852" s="48" t="n">
        <f aca="false">IF(G10790&lt;=4,Assumptions!$E$100,Assumptions!$E$101)*G10791</f>
        <v>0.5</v>
      </c>
      <c r="H10852" s="48" t="n">
        <f aca="false">IF(H10790&lt;=4,Assumptions!$E$100,Assumptions!$E$101)*H10791</f>
        <v>0.5</v>
      </c>
      <c r="I10852" s="48" t="n">
        <f aca="false">IF(I10790&lt;=4,Assumptions!$E$100,Assumptions!$E$101)*I10791</f>
        <v>0.5</v>
      </c>
      <c r="J10852" s="48" t="n">
        <f aca="false">IF(J10790&lt;=4,Assumptions!$E$100,Assumptions!$E$101)*J10791</f>
        <v>0.5</v>
      </c>
      <c r="K10852" s="48" t="n">
        <f aca="false">IF(K10790&lt;=4,Assumptions!$E$100,Assumptions!$E$101)*K10791</f>
        <v>0.5</v>
      </c>
      <c r="L10852" s="48" t="n">
        <f aca="false">IF(L10790&lt;=4,Assumptions!$E$100,Assumptions!$E$101)*L10791</f>
        <v>0.5</v>
      </c>
      <c r="M10852" s="48" t="n">
        <f aca="false">IF(M10790&lt;=4,Assumptions!$E$100,Assumptions!$E$101)*M10791</f>
        <v>0.5</v>
      </c>
      <c r="N10852" s="48" t="n">
        <f aca="false">IF(N10790&lt;=4,Assumptions!$E$100,Assumptions!$E$101)*N10791</f>
        <v>0.5</v>
      </c>
      <c r="P10852" s="49" t="n">
        <f aca="false">AVERAGE(C10852:F10852)</f>
        <v>1</v>
      </c>
      <c r="Q10852" s="49" t="n">
        <f aca="false">AVERAGE(G10852:J10852)</f>
        <v>0.5</v>
      </c>
      <c r="R10852" s="49" t="n">
        <f aca="false">AVERAGE(K10852:N10852)</f>
        <v>0.5</v>
      </c>
      <c r="S10852" s="50"/>
    </row>
    <row r="10853" customFormat="false" ht="15" hidden="false" customHeight="false" outlineLevel="0" collapsed="false">
      <c r="A10853" s="4" t="s">
        <v>552</v>
      </c>
      <c r="B10853" s="36" t="s">
        <v>321</v>
      </c>
      <c r="C10853" s="48" t="n">
        <f aca="false">Assumptions!$E$102*C10791</f>
        <v>0.5</v>
      </c>
      <c r="D10853" s="48" t="n">
        <f aca="false">Assumptions!$E$102*D10791</f>
        <v>0.5</v>
      </c>
      <c r="E10853" s="48" t="n">
        <f aca="false">Assumptions!$E$102*E10791</f>
        <v>0.5</v>
      </c>
      <c r="F10853" s="48" t="n">
        <f aca="false">Assumptions!$E$102*F10791</f>
        <v>0.5</v>
      </c>
      <c r="G10853" s="48" t="n">
        <f aca="false">Assumptions!$E$102*G10791</f>
        <v>0.5</v>
      </c>
      <c r="H10853" s="48" t="n">
        <f aca="false">Assumptions!$E$102*H10791</f>
        <v>0.5</v>
      </c>
      <c r="I10853" s="48" t="n">
        <f aca="false">Assumptions!$E$102*I10791</f>
        <v>0.5</v>
      </c>
      <c r="J10853" s="48" t="n">
        <f aca="false">Assumptions!$E$102*J10791</f>
        <v>0.5</v>
      </c>
      <c r="K10853" s="48" t="n">
        <f aca="false">Assumptions!$E$102*K10791</f>
        <v>0.5</v>
      </c>
      <c r="L10853" s="48" t="n">
        <f aca="false">Assumptions!$E$102*L10791</f>
        <v>0.5</v>
      </c>
      <c r="M10853" s="48" t="n">
        <f aca="false">Assumptions!$E$102*M10791</f>
        <v>0.5</v>
      </c>
      <c r="N10853" s="48" t="n">
        <f aca="false">Assumptions!$E$102*N10791</f>
        <v>0.5</v>
      </c>
      <c r="P10853" s="49" t="n">
        <f aca="false">AVERAGE(C10853:F10853)</f>
        <v>0.5</v>
      </c>
      <c r="Q10853" s="49" t="n">
        <f aca="false">AVERAGE(G10853:J10853)</f>
        <v>0.5</v>
      </c>
      <c r="R10853" s="49" t="n">
        <f aca="false">AVERAGE(K10853:N10853)</f>
        <v>0.5</v>
      </c>
      <c r="S10853" s="50"/>
    </row>
    <row r="10854" customFormat="false" ht="15" hidden="false" customHeight="false" outlineLevel="0" collapsed="false">
      <c r="A10854" s="4" t="s">
        <v>553</v>
      </c>
      <c r="B10854" s="36" t="s">
        <v>321</v>
      </c>
      <c r="C10854" s="48" t="n">
        <f aca="false">(C10838+C10839)/Assumptions!$E$74+C10837/Assumptions!$E$75</f>
        <v>0</v>
      </c>
      <c r="D10854" s="48" t="n">
        <f aca="false">(D10838+D10839)/Assumptions!$E$74+D10837/Assumptions!$E$75</f>
        <v>0.0200946665043952</v>
      </c>
      <c r="E10854" s="48" t="n">
        <f aca="false">(E10838+E10839)/Assumptions!$E$74+E10837/Assumptions!$E$75</f>
        <v>0.0794040835474224</v>
      </c>
      <c r="F10854" s="48" t="n">
        <f aca="false">(F10838+F10839)/Assumptions!$E$74+F10837/Assumptions!$E$75</f>
        <v>0.144884322395673</v>
      </c>
      <c r="G10854" s="48" t="n">
        <f aca="false">(G10838+G10839)/Assumptions!$E$74+G10837/Assumptions!$E$75</f>
        <v>0.210033634593052</v>
      </c>
      <c r="H10854" s="48" t="n">
        <f aca="false">(H10838+H10839)/Assumptions!$E$74+H10837/Assumptions!$E$75</f>
        <v>0.29179227263548</v>
      </c>
      <c r="I10854" s="48" t="n">
        <f aca="false">(I10838+I10839)/Assumptions!$E$74+I10837/Assumptions!$E$75</f>
        <v>0.38890724497953</v>
      </c>
      <c r="J10854" s="48" t="n">
        <f aca="false">(J10838+J10839)/Assumptions!$E$74+J10837/Assumptions!$E$75</f>
        <v>0.533770316862268</v>
      </c>
      <c r="K10854" s="48" t="n">
        <f aca="false">(K10838+K10839)/Assumptions!$E$74+K10837/Assumptions!$E$75</f>
        <v>0.720867785743314</v>
      </c>
      <c r="L10854" s="48" t="n">
        <f aca="false">(L10838+L10839)/Assumptions!$E$74+L10837/Assumptions!$E$75</f>
        <v>0.901481434087764</v>
      </c>
      <c r="M10854" s="48" t="n">
        <f aca="false">(M10838+M10839)/Assumptions!$E$74+M10837/Assumptions!$E$75</f>
        <v>1.0689026592853</v>
      </c>
      <c r="N10854" s="48" t="n">
        <f aca="false">(N10838+N10839)/Assumptions!$E$74+N10837/Assumptions!$E$75</f>
        <v>1.22377025875813</v>
      </c>
      <c r="P10854" s="49" t="n">
        <f aca="false">AVERAGE(C10854:F10854)</f>
        <v>0.0610957681118725</v>
      </c>
      <c r="Q10854" s="49" t="n">
        <f aca="false">AVERAGE(G10854:J10854)</f>
        <v>0.356125867267583</v>
      </c>
      <c r="R10854" s="49" t="n">
        <f aca="false">AVERAGE(K10854:N10854)</f>
        <v>0.978755534468627</v>
      </c>
      <c r="S10854" s="50"/>
    </row>
    <row r="10855" customFormat="false" ht="15" hidden="false" customHeight="false" outlineLevel="0" collapsed="false">
      <c r="A10855" s="4" t="s">
        <v>554</v>
      </c>
      <c r="B10855" s="36" t="s">
        <v>125</v>
      </c>
      <c r="C10855" s="54" t="n">
        <f aca="false">(C10849+C10851)*Assumptions!$E$70/Assumptions!$E$69/4</f>
        <v>133507.142857143</v>
      </c>
      <c r="D10855" s="54" t="n">
        <f aca="false">(D10849+D10851)*Assumptions!$E$70/Assumptions!$E$69/4</f>
        <v>133507.142857143</v>
      </c>
      <c r="E10855" s="54" t="n">
        <f aca="false">(E10849+E10851)*Assumptions!$E$70/Assumptions!$E$69/4</f>
        <v>133507.142857143</v>
      </c>
      <c r="F10855" s="54" t="n">
        <f aca="false">(F10849+F10851)*Assumptions!$E$70/Assumptions!$E$69/4</f>
        <v>133507.142857143</v>
      </c>
      <c r="G10855" s="54" t="n">
        <f aca="false">(G10849+G10851)*Assumptions!$E$70/Assumptions!$E$69/4</f>
        <v>133507.142857143</v>
      </c>
      <c r="H10855" s="54" t="n">
        <f aca="false">(H10849+H10851)*Assumptions!$E$70/Assumptions!$E$69/4</f>
        <v>133507.142857143</v>
      </c>
      <c r="I10855" s="54" t="n">
        <f aca="false">(I10849+I10851)*Assumptions!$E$70/Assumptions!$E$69/4</f>
        <v>133507.142857143</v>
      </c>
      <c r="J10855" s="54" t="n">
        <f aca="false">(J10849+J10851)*Assumptions!$E$70/Assumptions!$E$69/4</f>
        <v>133507.142857143</v>
      </c>
      <c r="K10855" s="54" t="n">
        <f aca="false">(K10849+K10851)*Assumptions!$E$70/Assumptions!$E$69/4</f>
        <v>133507.142857143</v>
      </c>
      <c r="L10855" s="54" t="n">
        <f aca="false">(L10849+L10851)*Assumptions!$E$70/Assumptions!$E$69/4</f>
        <v>133507.142857143</v>
      </c>
      <c r="M10855" s="54" t="n">
        <f aca="false">(M10849+M10851)*Assumptions!$E$70/Assumptions!$E$69/4</f>
        <v>133507.142857143</v>
      </c>
      <c r="N10855" s="54" t="n">
        <f aca="false">(N10849+N10851)*Assumptions!$E$70/Assumptions!$E$69/4</f>
        <v>133507.142857143</v>
      </c>
      <c r="P10855" s="55" t="n">
        <f aca="false">SUM(C10855:F10855)</f>
        <v>534028.571428572</v>
      </c>
      <c r="Q10855" s="55" t="n">
        <f aca="false">SUM(G10855:J10855)</f>
        <v>534028.571428572</v>
      </c>
      <c r="R10855" s="55" t="n">
        <f aca="false">SUM(K10855:N10855)</f>
        <v>534028.571428572</v>
      </c>
      <c r="S10855" s="56" t="n">
        <f aca="false">SUM(P10855:R10855)</f>
        <v>1602085.71428571</v>
      </c>
    </row>
    <row r="10856" customFormat="false" ht="15" hidden="false" customHeight="false" outlineLevel="0" collapsed="false">
      <c r="A10856" s="4" t="s">
        <v>555</v>
      </c>
      <c r="B10856" s="36" t="s">
        <v>125</v>
      </c>
      <c r="C10856" s="54" t="n">
        <f aca="false">C10850*$C$10785/4</f>
        <v>142857.142857143</v>
      </c>
      <c r="D10856" s="54" t="n">
        <f aca="false">D10850*$C$10785/4</f>
        <v>142857.142857143</v>
      </c>
      <c r="E10856" s="54" t="n">
        <f aca="false">E10850*$C$10785/4</f>
        <v>214285.714285714</v>
      </c>
      <c r="F10856" s="54" t="n">
        <f aca="false">F10850*$C$10785/4</f>
        <v>214285.714285714</v>
      </c>
      <c r="G10856" s="54" t="n">
        <f aca="false">G10850*$C$10785/4</f>
        <v>285714.285714286</v>
      </c>
      <c r="H10856" s="54" t="n">
        <f aca="false">H10850*$C$10785/4</f>
        <v>285714.285714286</v>
      </c>
      <c r="I10856" s="54" t="n">
        <f aca="false">I10850*$C$10785/4</f>
        <v>357142.857142857</v>
      </c>
      <c r="J10856" s="54" t="n">
        <f aca="false">J10850*$C$10785/4</f>
        <v>357142.857142857</v>
      </c>
      <c r="K10856" s="54" t="n">
        <f aca="false">K10850*$C$10785/4</f>
        <v>428571.428571429</v>
      </c>
      <c r="L10856" s="54" t="n">
        <f aca="false">L10850*$C$10785/4</f>
        <v>428571.428571429</v>
      </c>
      <c r="M10856" s="54" t="n">
        <f aca="false">M10850*$C$10785/4</f>
        <v>428571.428571429</v>
      </c>
      <c r="N10856" s="54" t="n">
        <f aca="false">N10850*$C$10785/4</f>
        <v>428571.428571429</v>
      </c>
      <c r="P10856" s="55" t="n">
        <f aca="false">SUM(C10856:F10856)</f>
        <v>714285.714285714</v>
      </c>
      <c r="Q10856" s="55" t="n">
        <f aca="false">SUM(G10856:J10856)</f>
        <v>1285714.28571429</v>
      </c>
      <c r="R10856" s="55" t="n">
        <f aca="false">SUM(K10856:N10856)</f>
        <v>1714285.71428571</v>
      </c>
      <c r="S10856" s="56" t="n">
        <f aca="false">SUM(P10856:R10856)</f>
        <v>3714285.71428571</v>
      </c>
    </row>
    <row r="10857" customFormat="false" ht="15" hidden="false" customHeight="false" outlineLevel="0" collapsed="false">
      <c r="A10857" s="4" t="s">
        <v>556</v>
      </c>
      <c r="B10857" s="36" t="s">
        <v>125</v>
      </c>
      <c r="C10857" s="54" t="n">
        <f aca="false">MAX(0,(C10845-C10826*$C$10781)-C10805*$C$10786)*$C$10787*Assumptions!$E$105</f>
        <v>0</v>
      </c>
      <c r="D10857" s="54" t="n">
        <f aca="false">MAX(0,(D10845-D10826*$C$10781)-D10805*$C$10786)*$C$10787*Assumptions!$E$105</f>
        <v>0</v>
      </c>
      <c r="E10857" s="54" t="n">
        <f aca="false">MAX(0,(E10845-E10826*$C$10781)-E10805*$C$10786)*$C$10787*Assumptions!$E$105</f>
        <v>0</v>
      </c>
      <c r="F10857" s="54" t="n">
        <f aca="false">MAX(0,(F10845-F10826*$C$10781)-F10805*$C$10786)*$C$10787*Assumptions!$E$105</f>
        <v>0</v>
      </c>
      <c r="G10857" s="54" t="n">
        <f aca="false">MAX(0,(G10845-G10826*$C$10781)-G10805*$C$10786)*$C$10787*Assumptions!$E$105</f>
        <v>0</v>
      </c>
      <c r="H10857" s="54" t="n">
        <f aca="false">MAX(0,(H10845-H10826*$C$10781)-H10805*$C$10786)*$C$10787*Assumptions!$E$105</f>
        <v>0</v>
      </c>
      <c r="I10857" s="54" t="n">
        <f aca="false">MAX(0,(I10845-I10826*$C$10781)-I10805*$C$10786)*$C$10787*Assumptions!$E$105</f>
        <v>0</v>
      </c>
      <c r="J10857" s="54" t="n">
        <f aca="false">MAX(0,(J10845-J10826*$C$10781)-J10805*$C$10786)*$C$10787*Assumptions!$E$105</f>
        <v>0</v>
      </c>
      <c r="K10857" s="54" t="n">
        <f aca="false">MAX(0,(K10845-K10826*$C$10781)-K10805*$C$10786)*$C$10787*Assumptions!$E$105</f>
        <v>0</v>
      </c>
      <c r="L10857" s="54" t="n">
        <f aca="false">MAX(0,(L10845-L10826*$C$10781)-L10805*$C$10786)*$C$10787*Assumptions!$E$105</f>
        <v>0</v>
      </c>
      <c r="M10857" s="54" t="n">
        <f aca="false">MAX(0,(M10845-M10826*$C$10781)-M10805*$C$10786)*$C$10787*Assumptions!$E$105</f>
        <v>0</v>
      </c>
      <c r="N10857" s="54" t="n">
        <f aca="false">MAX(0,(N10845-N10826*$C$10781)-N10805*$C$10786)*$C$10787*Assumptions!$E$105</f>
        <v>0</v>
      </c>
      <c r="P10857" s="55" t="n">
        <f aca="false">SUM(C10857:F10857)</f>
        <v>0</v>
      </c>
      <c r="Q10857" s="55" t="n">
        <f aca="false">SUM(G10857:J10857)</f>
        <v>0</v>
      </c>
      <c r="R10857" s="55" t="n">
        <f aca="false">SUM(K10857:N10857)</f>
        <v>0</v>
      </c>
      <c r="S10857" s="56" t="n">
        <f aca="false">SUM(P10857:R10857)</f>
        <v>0</v>
      </c>
    </row>
    <row r="10858" customFormat="false" ht="15" hidden="false" customHeight="false" outlineLevel="0" collapsed="false">
      <c r="A10858" s="4" t="s">
        <v>557</v>
      </c>
      <c r="B10858" s="36" t="s">
        <v>125</v>
      </c>
      <c r="C10858" s="54" t="n">
        <f aca="false">C10853*Assumptions!$E$71/Assumptions!$E$69/4</f>
        <v>36951.7857142857</v>
      </c>
      <c r="D10858" s="54" t="n">
        <f aca="false">D10853*Assumptions!$E$71/Assumptions!$E$69/4</f>
        <v>36951.7857142857</v>
      </c>
      <c r="E10858" s="54" t="n">
        <f aca="false">E10853*Assumptions!$E$71/Assumptions!$E$69/4</f>
        <v>36951.7857142857</v>
      </c>
      <c r="F10858" s="54" t="n">
        <f aca="false">F10853*Assumptions!$E$71/Assumptions!$E$69/4</f>
        <v>36951.7857142857</v>
      </c>
      <c r="G10858" s="54" t="n">
        <f aca="false">G10853*Assumptions!$E$71/Assumptions!$E$69/4</f>
        <v>36951.7857142857</v>
      </c>
      <c r="H10858" s="54" t="n">
        <f aca="false">H10853*Assumptions!$E$71/Assumptions!$E$69/4</f>
        <v>36951.7857142857</v>
      </c>
      <c r="I10858" s="54" t="n">
        <f aca="false">I10853*Assumptions!$E$71/Assumptions!$E$69/4</f>
        <v>36951.7857142857</v>
      </c>
      <c r="J10858" s="54" t="n">
        <f aca="false">J10853*Assumptions!$E$71/Assumptions!$E$69/4</f>
        <v>36951.7857142857</v>
      </c>
      <c r="K10858" s="54" t="n">
        <f aca="false">K10853*Assumptions!$E$71/Assumptions!$E$69/4</f>
        <v>36951.7857142857</v>
      </c>
      <c r="L10858" s="54" t="n">
        <f aca="false">L10853*Assumptions!$E$71/Assumptions!$E$69/4</f>
        <v>36951.7857142857</v>
      </c>
      <c r="M10858" s="54" t="n">
        <f aca="false">M10853*Assumptions!$E$71/Assumptions!$E$69/4</f>
        <v>36951.7857142857</v>
      </c>
      <c r="N10858" s="54" t="n">
        <f aca="false">N10853*Assumptions!$E$71/Assumptions!$E$69/4</f>
        <v>36951.7857142857</v>
      </c>
      <c r="P10858" s="55" t="n">
        <f aca="false">SUM(C10858:F10858)</f>
        <v>147807.142857143</v>
      </c>
      <c r="Q10858" s="55" t="n">
        <f aca="false">SUM(G10858:J10858)</f>
        <v>147807.142857143</v>
      </c>
      <c r="R10858" s="55" t="n">
        <f aca="false">SUM(K10858:N10858)</f>
        <v>147807.142857143</v>
      </c>
      <c r="S10858" s="56" t="n">
        <f aca="false">SUM(P10858:R10858)</f>
        <v>443421.428571429</v>
      </c>
    </row>
    <row r="10859" customFormat="false" ht="15" hidden="false" customHeight="false" outlineLevel="0" collapsed="false">
      <c r="A10859" s="4" t="s">
        <v>558</v>
      </c>
      <c r="B10859" s="36" t="s">
        <v>125</v>
      </c>
      <c r="C10859" s="54" t="n">
        <f aca="false">(Assumptions!$E$103+Assumptions!$E$77*((C10790=Assumptions!$E$13)+(C10790=Assumptions!$E$14)+(C10790=Assumptions!$E$15)))*C10791</f>
        <v>100000</v>
      </c>
      <c r="D10859" s="54" t="n">
        <f aca="false">(Assumptions!$E$103+Assumptions!$E$77*((D10790=Assumptions!$E$13)+(D10790=Assumptions!$E$14)+(D10790=Assumptions!$E$15)))*D10791</f>
        <v>60000</v>
      </c>
      <c r="E10859" s="54" t="n">
        <f aca="false">(Assumptions!$E$103+Assumptions!$E$77*((E10790=Assumptions!$E$13)+(E10790=Assumptions!$E$14)+(E10790=Assumptions!$E$15)))*E10791</f>
        <v>60000</v>
      </c>
      <c r="F10859" s="54" t="n">
        <f aca="false">(Assumptions!$E$103+Assumptions!$E$77*((F10790=Assumptions!$E$13)+(F10790=Assumptions!$E$14)+(F10790=Assumptions!$E$15)))*F10791</f>
        <v>60000</v>
      </c>
      <c r="G10859" s="54" t="n">
        <f aca="false">(Assumptions!$E$103+Assumptions!$E$77*((G10790=Assumptions!$E$13)+(G10790=Assumptions!$E$14)+(G10790=Assumptions!$E$15)))*G10791</f>
        <v>100000</v>
      </c>
      <c r="H10859" s="54" t="n">
        <f aca="false">(Assumptions!$E$103+Assumptions!$E$77*((H10790=Assumptions!$E$13)+(H10790=Assumptions!$E$14)+(H10790=Assumptions!$E$15)))*H10791</f>
        <v>60000</v>
      </c>
      <c r="I10859" s="54" t="n">
        <f aca="false">(Assumptions!$E$103+Assumptions!$E$77*((I10790=Assumptions!$E$13)+(I10790=Assumptions!$E$14)+(I10790=Assumptions!$E$15)))*I10791</f>
        <v>100000</v>
      </c>
      <c r="J10859" s="54" t="n">
        <f aca="false">(Assumptions!$E$103+Assumptions!$E$77*((J10790=Assumptions!$E$13)+(J10790=Assumptions!$E$14)+(J10790=Assumptions!$E$15)))*J10791</f>
        <v>60000</v>
      </c>
      <c r="K10859" s="54" t="n">
        <f aca="false">(Assumptions!$E$103+Assumptions!$E$77*((K10790=Assumptions!$E$13)+(K10790=Assumptions!$E$14)+(K10790=Assumptions!$E$15)))*K10791</f>
        <v>60000</v>
      </c>
      <c r="L10859" s="54" t="n">
        <f aca="false">(Assumptions!$E$103+Assumptions!$E$77*((L10790=Assumptions!$E$13)+(L10790=Assumptions!$E$14)+(L10790=Assumptions!$E$15)))*L10791</f>
        <v>60000</v>
      </c>
      <c r="M10859" s="54" t="n">
        <f aca="false">(Assumptions!$E$103+Assumptions!$E$77*((M10790=Assumptions!$E$13)+(M10790=Assumptions!$E$14)+(M10790=Assumptions!$E$15)))*M10791</f>
        <v>60000</v>
      </c>
      <c r="N10859" s="54" t="n">
        <f aca="false">(Assumptions!$E$103+Assumptions!$E$77*((N10790=Assumptions!$E$13)+(N10790=Assumptions!$E$14)+(N10790=Assumptions!$E$15)))*N10791</f>
        <v>60000</v>
      </c>
      <c r="P10859" s="55" t="n">
        <f aca="false">SUM(C10859:F10859)</f>
        <v>280000</v>
      </c>
      <c r="Q10859" s="55" t="n">
        <f aca="false">SUM(G10859:J10859)</f>
        <v>320000</v>
      </c>
      <c r="R10859" s="55" t="n">
        <f aca="false">SUM(K10859:N10859)</f>
        <v>240000</v>
      </c>
      <c r="S10859" s="56" t="n">
        <f aca="false">SUM(P10859:R10859)</f>
        <v>840000</v>
      </c>
    </row>
    <row r="10860" customFormat="false" ht="15" hidden="false" customHeight="false" outlineLevel="0" collapsed="false">
      <c r="A10860" s="4" t="s">
        <v>559</v>
      </c>
      <c r="B10860" s="36" t="s">
        <v>125</v>
      </c>
      <c r="C10860" s="54" t="n">
        <f aca="false">C10845*C10825*Assumptions!$E$79</f>
        <v>0</v>
      </c>
      <c r="D10860" s="54" t="n">
        <f aca="false">D10845*D10825*Assumptions!$E$79</f>
        <v>815.338873355417</v>
      </c>
      <c r="E10860" s="54" t="n">
        <f aca="false">E10845*E10825*Assumptions!$E$79</f>
        <v>1435.55714218454</v>
      </c>
      <c r="F10860" s="54" t="n">
        <f aca="false">F10845*F10825*Assumptions!$E$79</f>
        <v>2397.65710691575</v>
      </c>
      <c r="G10860" s="54" t="n">
        <f aca="false">G10845*G10825*Assumptions!$E$79</f>
        <v>3032.73933670467</v>
      </c>
      <c r="H10860" s="54" t="n">
        <f aca="false">H10845*H10825*Assumptions!$E$79</f>
        <v>3380.87991855496</v>
      </c>
      <c r="I10860" s="54" t="n">
        <f aca="false">I10845*I10825*Assumptions!$E$79</f>
        <v>3949.02399446504</v>
      </c>
      <c r="J10860" s="54" t="n">
        <f aca="false">J10845*J10825*Assumptions!$E$79</f>
        <v>4176.02198447501</v>
      </c>
      <c r="K10860" s="54" t="n">
        <f aca="false">K10845*K10825*Assumptions!$E$79</f>
        <v>4787.98667088816</v>
      </c>
      <c r="L10860" s="54" t="n">
        <f aca="false">L10845*L10825*Assumptions!$E$79</f>
        <v>5684.6869864235</v>
      </c>
      <c r="M10860" s="54" t="n">
        <f aca="false">M10845*M10825*Assumptions!$E$79</f>
        <v>5710.31653630098</v>
      </c>
      <c r="N10860" s="54" t="n">
        <f aca="false">N10845*N10825*Assumptions!$E$79</f>
        <v>5708.27463504684</v>
      </c>
      <c r="P10860" s="55" t="n">
        <f aca="false">SUM(C10860:F10860)</f>
        <v>4648.55312245571</v>
      </c>
      <c r="Q10860" s="55" t="n">
        <f aca="false">SUM(G10860:J10860)</f>
        <v>14538.6652341997</v>
      </c>
      <c r="R10860" s="55" t="n">
        <f aca="false">SUM(K10860:N10860)</f>
        <v>21891.2648286595</v>
      </c>
      <c r="S10860" s="56" t="n">
        <f aca="false">SUM(P10860:R10860)</f>
        <v>41078.4831853149</v>
      </c>
    </row>
    <row r="10861" customFormat="false" ht="15" hidden="false" customHeight="false" outlineLevel="0" collapsed="false">
      <c r="A10861" s="4" t="s">
        <v>560</v>
      </c>
      <c r="B10861" s="36" t="s">
        <v>125</v>
      </c>
      <c r="C10861" s="54" t="n">
        <f aca="false">C10810*Assumptions!$E$80</f>
        <v>4000</v>
      </c>
      <c r="D10861" s="54" t="n">
        <f aca="false">D10810*Assumptions!$E$80</f>
        <v>6000</v>
      </c>
      <c r="E10861" s="54" t="n">
        <f aca="false">E10810*Assumptions!$E$80</f>
        <v>8000</v>
      </c>
      <c r="F10861" s="54" t="n">
        <f aca="false">F10810*Assumptions!$E$80</f>
        <v>10000</v>
      </c>
      <c r="G10861" s="54" t="n">
        <f aca="false">G10810*Assumptions!$E$80</f>
        <v>12000</v>
      </c>
      <c r="H10861" s="54" t="n">
        <f aca="false">H10810*Assumptions!$E$80</f>
        <v>14000</v>
      </c>
      <c r="I10861" s="54" t="n">
        <f aca="false">I10810*Assumptions!$E$80</f>
        <v>16000</v>
      </c>
      <c r="J10861" s="54" t="n">
        <f aca="false">J10810*Assumptions!$E$80</f>
        <v>18000</v>
      </c>
      <c r="K10861" s="54" t="n">
        <f aca="false">K10810*Assumptions!$E$80</f>
        <v>20000</v>
      </c>
      <c r="L10861" s="54" t="n">
        <f aca="false">L10810*Assumptions!$E$80</f>
        <v>20000</v>
      </c>
      <c r="M10861" s="54" t="n">
        <f aca="false">M10810*Assumptions!$E$80</f>
        <v>20000</v>
      </c>
      <c r="N10861" s="54" t="n">
        <f aca="false">N10810*Assumptions!$E$80</f>
        <v>20000</v>
      </c>
      <c r="P10861" s="55" t="n">
        <f aca="false">SUM(C10861:F10861)</f>
        <v>28000</v>
      </c>
      <c r="Q10861" s="55" t="n">
        <f aca="false">SUM(G10861:J10861)</f>
        <v>60000</v>
      </c>
      <c r="R10861" s="55" t="n">
        <f aca="false">SUM(K10861:N10861)</f>
        <v>80000</v>
      </c>
      <c r="S10861" s="56" t="n">
        <f aca="false">SUM(P10861:R10861)</f>
        <v>168000</v>
      </c>
    </row>
    <row r="10862" customFormat="false" ht="15" hidden="false" customHeight="false" outlineLevel="0" collapsed="false">
      <c r="A10862" s="4" t="s">
        <v>561</v>
      </c>
      <c r="B10862" s="36" t="s">
        <v>125</v>
      </c>
      <c r="C10862" s="54" t="n">
        <f aca="false">(C10833*$C$10782+C10834*$C$10783)*Assumptions!$E$81</f>
        <v>0</v>
      </c>
      <c r="D10862" s="54" t="n">
        <f aca="false">(D10833*$C$10782+D10834*$C$10783)*Assumptions!$E$81</f>
        <v>892.533280237164</v>
      </c>
      <c r="E10862" s="54" t="n">
        <f aca="false">(E10833*$C$10782+E10834*$C$10783)*Assumptions!$E$81</f>
        <v>3474.61023050856</v>
      </c>
      <c r="F10862" s="54" t="n">
        <f aca="false">(F10833*$C$10782+F10834*$C$10783)*Assumptions!$E$81</f>
        <v>5332.91542728225</v>
      </c>
      <c r="G10862" s="54" t="n">
        <f aca="false">(G10833*$C$10782+G10834*$C$10783)*Assumptions!$E$81</f>
        <v>5522.90058626848</v>
      </c>
      <c r="H10862" s="54" t="n">
        <f aca="false">(H10833*$C$10782+H10834*$C$10783)*Assumptions!$E$81</f>
        <v>6361.7001630457</v>
      </c>
      <c r="I10862" s="54" t="n">
        <f aca="false">(I10833*$C$10782+I10834*$C$10783)*Assumptions!$E$81</f>
        <v>7640.65107961336</v>
      </c>
      <c r="J10862" s="54" t="n">
        <f aca="false">(J10833*$C$10782+J10834*$C$10783)*Assumptions!$E$81</f>
        <v>10205.4188565532</v>
      </c>
      <c r="K10862" s="54" t="n">
        <f aca="false">(K10833*$C$10782+K10834*$C$10783)*Assumptions!$E$81</f>
        <v>13616.7595575441</v>
      </c>
      <c r="L10862" s="54" t="n">
        <f aca="false">(L10833*$C$10782+L10834*$C$10783)*Assumptions!$E$81</f>
        <v>14799.6089917626</v>
      </c>
      <c r="M10862" s="54" t="n">
        <f aca="false">(M10833*$C$10782+M10834*$C$10783)*Assumptions!$E$81</f>
        <v>14265.2010275292</v>
      </c>
      <c r="N10862" s="54" t="n">
        <f aca="false">(N10833*$C$10782+N10834*$C$10783)*Assumptions!$E$81</f>
        <v>13657.3960321412</v>
      </c>
      <c r="P10862" s="55" t="n">
        <f aca="false">SUM(C10862:F10862)</f>
        <v>9700.05893802797</v>
      </c>
      <c r="Q10862" s="55" t="n">
        <f aca="false">SUM(G10862:J10862)</f>
        <v>29730.6706854807</v>
      </c>
      <c r="R10862" s="55" t="n">
        <f aca="false">SUM(K10862:N10862)</f>
        <v>56338.9656089771</v>
      </c>
      <c r="S10862" s="56" t="n">
        <f aca="false">SUM(P10862:R10862)</f>
        <v>95769.6952324858</v>
      </c>
    </row>
    <row r="10863" customFormat="false" ht="15" hidden="false" customHeight="false" outlineLevel="0" collapsed="false">
      <c r="A10863" s="9" t="s">
        <v>562</v>
      </c>
      <c r="B10863" s="36" t="s">
        <v>125</v>
      </c>
      <c r="C10863" s="55" t="n">
        <f aca="false">C10855+C10856+C10857+C10858+C10859+C10860+C10861+C10862</f>
        <v>417316.071428572</v>
      </c>
      <c r="D10863" s="55" t="n">
        <f aca="false">D10855+D10856+D10857+D10858+D10859+D10860+D10861+D10862</f>
        <v>381023.943582164</v>
      </c>
      <c r="E10863" s="55" t="n">
        <f aca="false">E10855+E10856+E10857+E10858+E10859+E10860+E10861+E10862</f>
        <v>457654.810229836</v>
      </c>
      <c r="F10863" s="55" t="n">
        <f aca="false">F10855+F10856+F10857+F10858+F10859+F10860+F10861+F10862</f>
        <v>462475.215391341</v>
      </c>
      <c r="G10863" s="55" t="n">
        <f aca="false">G10855+G10856+G10857+G10858+G10859+G10860+G10861+G10862</f>
        <v>576728.854208688</v>
      </c>
      <c r="H10863" s="55" t="n">
        <f aca="false">H10855+H10856+H10857+H10858+H10859+H10860+H10861+H10862</f>
        <v>539915.794367315</v>
      </c>
      <c r="I10863" s="55" t="n">
        <f aca="false">I10855+I10856+I10857+I10858+I10859+I10860+I10861+I10862</f>
        <v>655191.460788364</v>
      </c>
      <c r="J10863" s="55" t="n">
        <f aca="false">J10855+J10856+J10857+J10858+J10859+J10860+J10861+J10862</f>
        <v>619983.226555314</v>
      </c>
      <c r="K10863" s="55" t="n">
        <f aca="false">K10855+K10856+K10857+K10858+K10859+K10860+K10861+K10862</f>
        <v>697435.103371289</v>
      </c>
      <c r="L10863" s="55" t="n">
        <f aca="false">L10855+L10856+L10857+L10858+L10859+L10860+L10861+L10862</f>
        <v>699514.653121043</v>
      </c>
      <c r="M10863" s="55" t="n">
        <f aca="false">M10855+M10856+M10857+M10858+M10859+M10860+M10861+M10862</f>
        <v>699005.874706687</v>
      </c>
      <c r="N10863" s="55" t="n">
        <f aca="false">N10855+N10856+N10857+N10858+N10859+N10860+N10861+N10862</f>
        <v>698396.027810045</v>
      </c>
      <c r="P10863" s="55" t="n">
        <f aca="false">SUM(C10863:F10863)</f>
        <v>1718470.04063191</v>
      </c>
      <c r="Q10863" s="55" t="n">
        <f aca="false">SUM(G10863:J10863)</f>
        <v>2391819.33591968</v>
      </c>
      <c r="R10863" s="55" t="n">
        <f aca="false">SUM(K10863:N10863)</f>
        <v>2794351.65900907</v>
      </c>
      <c r="S10863" s="56" t="n">
        <f aca="false">SUM(P10863:R10863)</f>
        <v>6904641.03556066</v>
      </c>
    </row>
    <row r="10864" customFormat="false" ht="15" hidden="false" customHeight="false" outlineLevel="0" collapsed="false">
      <c r="A10864" s="4" t="s">
        <v>563</v>
      </c>
      <c r="B10864" s="36" t="s">
        <v>125</v>
      </c>
      <c r="C10864" s="54" t="n">
        <f aca="false">C10852*Assumptions!$E$72/Assumptions!$E$69/4</f>
        <v>56535.7142857143</v>
      </c>
      <c r="D10864" s="54" t="n">
        <f aca="false">D10852*Assumptions!$E$72/Assumptions!$E$69/4</f>
        <v>56535.7142857143</v>
      </c>
      <c r="E10864" s="54" t="n">
        <f aca="false">E10852*Assumptions!$E$72/Assumptions!$E$69/4</f>
        <v>56535.7142857143</v>
      </c>
      <c r="F10864" s="54" t="n">
        <f aca="false">F10852*Assumptions!$E$72/Assumptions!$E$69/4</f>
        <v>56535.7142857143</v>
      </c>
      <c r="G10864" s="54" t="n">
        <f aca="false">G10852*Assumptions!$E$72/Assumptions!$E$69/4</f>
        <v>28267.8571428571</v>
      </c>
      <c r="H10864" s="54" t="n">
        <f aca="false">H10852*Assumptions!$E$72/Assumptions!$E$69/4</f>
        <v>28267.8571428571</v>
      </c>
      <c r="I10864" s="54" t="n">
        <f aca="false">I10852*Assumptions!$E$72/Assumptions!$E$69/4</f>
        <v>28267.8571428571</v>
      </c>
      <c r="J10864" s="54" t="n">
        <f aca="false">J10852*Assumptions!$E$72/Assumptions!$E$69/4</f>
        <v>28267.8571428571</v>
      </c>
      <c r="K10864" s="54" t="n">
        <f aca="false">K10852*Assumptions!$E$72/Assumptions!$E$69/4</f>
        <v>28267.8571428571</v>
      </c>
      <c r="L10864" s="54" t="n">
        <f aca="false">L10852*Assumptions!$E$72/Assumptions!$E$69/4</f>
        <v>28267.8571428571</v>
      </c>
      <c r="M10864" s="54" t="n">
        <f aca="false">M10852*Assumptions!$E$72/Assumptions!$E$69/4</f>
        <v>28267.8571428571</v>
      </c>
      <c r="N10864" s="54" t="n">
        <f aca="false">N10852*Assumptions!$E$72/Assumptions!$E$69/4</f>
        <v>28267.8571428571</v>
      </c>
      <c r="P10864" s="55" t="n">
        <f aca="false">SUM(C10864:F10864)</f>
        <v>226142.857142857</v>
      </c>
      <c r="Q10864" s="55" t="n">
        <f aca="false">SUM(G10864:J10864)</f>
        <v>113071.428571429</v>
      </c>
      <c r="R10864" s="55" t="n">
        <f aca="false">SUM(K10864:N10864)</f>
        <v>113071.428571429</v>
      </c>
      <c r="S10864" s="56" t="n">
        <f aca="false">SUM(P10864:R10864)</f>
        <v>452285.714285714</v>
      </c>
    </row>
    <row r="10865" customFormat="false" ht="15" hidden="false" customHeight="false" outlineLevel="0" collapsed="false">
      <c r="A10865" s="4" t="s">
        <v>564</v>
      </c>
      <c r="B10865" s="36" t="s">
        <v>125</v>
      </c>
      <c r="C10865" s="54" t="n">
        <f aca="false">IF(C10790&lt;=Assumptions!$E$83,Assumptions!$E$82*Assumptions!$E$108/Assumptions!$E$83,0)</f>
        <v>62500</v>
      </c>
      <c r="D10865" s="54" t="n">
        <f aca="false">IF(D10790&lt;=Assumptions!$E$83,Assumptions!$E$82*Assumptions!$E$108/Assumptions!$E$83,0)</f>
        <v>62500</v>
      </c>
      <c r="E10865" s="54" t="n">
        <f aca="false">IF(E10790&lt;=Assumptions!$E$83,Assumptions!$E$82*Assumptions!$E$108/Assumptions!$E$83,0)</f>
        <v>62500</v>
      </c>
      <c r="F10865" s="54" t="n">
        <f aca="false">IF(F10790&lt;=Assumptions!$E$83,Assumptions!$E$82*Assumptions!$E$108/Assumptions!$E$83,0)</f>
        <v>62500</v>
      </c>
      <c r="G10865" s="54" t="n">
        <f aca="false">IF(G10790&lt;=Assumptions!$E$83,Assumptions!$E$82*Assumptions!$E$108/Assumptions!$E$83,0)</f>
        <v>0</v>
      </c>
      <c r="H10865" s="54" t="n">
        <f aca="false">IF(H10790&lt;=Assumptions!$E$83,Assumptions!$E$82*Assumptions!$E$108/Assumptions!$E$83,0)</f>
        <v>0</v>
      </c>
      <c r="I10865" s="54" t="n">
        <f aca="false">IF(I10790&lt;=Assumptions!$E$83,Assumptions!$E$82*Assumptions!$E$108/Assumptions!$E$83,0)</f>
        <v>0</v>
      </c>
      <c r="J10865" s="54" t="n">
        <f aca="false">IF(J10790&lt;=Assumptions!$E$83,Assumptions!$E$82*Assumptions!$E$108/Assumptions!$E$83,0)</f>
        <v>0</v>
      </c>
      <c r="K10865" s="54" t="n">
        <f aca="false">IF(K10790&lt;=Assumptions!$E$83,Assumptions!$E$82*Assumptions!$E$108/Assumptions!$E$83,0)</f>
        <v>0</v>
      </c>
      <c r="L10865" s="54" t="n">
        <f aca="false">IF(L10790&lt;=Assumptions!$E$83,Assumptions!$E$82*Assumptions!$E$108/Assumptions!$E$83,0)</f>
        <v>0</v>
      </c>
      <c r="M10865" s="54" t="n">
        <f aca="false">IF(M10790&lt;=Assumptions!$E$83,Assumptions!$E$82*Assumptions!$E$108/Assumptions!$E$83,0)</f>
        <v>0</v>
      </c>
      <c r="N10865" s="54" t="n">
        <f aca="false">IF(N10790&lt;=Assumptions!$E$83,Assumptions!$E$82*Assumptions!$E$108/Assumptions!$E$83,0)</f>
        <v>0</v>
      </c>
      <c r="P10865" s="55" t="n">
        <f aca="false">SUM(C10865:F10865)</f>
        <v>250000</v>
      </c>
      <c r="Q10865" s="55" t="n">
        <f aca="false">SUM(G10865:J10865)</f>
        <v>0</v>
      </c>
      <c r="R10865" s="55" t="n">
        <f aca="false">SUM(K10865:N10865)</f>
        <v>0</v>
      </c>
      <c r="S10865" s="56" t="n">
        <f aca="false">SUM(P10865:R10865)</f>
        <v>250000</v>
      </c>
    </row>
    <row r="10866" customFormat="false" ht="15" hidden="false" customHeight="false" outlineLevel="0" collapsed="false">
      <c r="A10866" s="4" t="s">
        <v>565</v>
      </c>
      <c r="B10866" s="36" t="s">
        <v>125</v>
      </c>
      <c r="C10866" s="54" t="n">
        <f aca="false">C10854*Assumptions!$E$73/Assumptions!$E$69/4</f>
        <v>0</v>
      </c>
      <c r="D10866" s="54" t="n">
        <f aca="false">D10854*Assumptions!$E$73/Assumptions!$E$69/4</f>
        <v>807.446760146251</v>
      </c>
      <c r="E10866" s="54" t="n">
        <f aca="false">E10854*Assumptions!$E$73/Assumptions!$E$69/4</f>
        <v>3190.62622854303</v>
      </c>
      <c r="F10866" s="54" t="n">
        <f aca="false">F10854*Assumptions!$E$73/Assumptions!$E$69/4</f>
        <v>5821.76254026326</v>
      </c>
      <c r="G10866" s="54" t="n">
        <f aca="false">G10854*Assumptions!$E$73/Assumptions!$E$69/4</f>
        <v>8439.60151002296</v>
      </c>
      <c r="H10866" s="54" t="n">
        <f aca="false">H10854*Assumptions!$E$73/Assumptions!$E$69/4</f>
        <v>11724.8387836492</v>
      </c>
      <c r="I10866" s="54" t="n">
        <f aca="false">I10854*Assumptions!$E$73/Assumptions!$E$69/4</f>
        <v>15627.1264759453</v>
      </c>
      <c r="J10866" s="54" t="n">
        <f aca="false">J10854*Assumptions!$E$73/Assumptions!$E$69/4</f>
        <v>21448.0351250621</v>
      </c>
      <c r="K10866" s="54" t="n">
        <f aca="false">K10854*Assumptions!$E$73/Assumptions!$E$69/4</f>
        <v>28966.0123478501</v>
      </c>
      <c r="L10866" s="54" t="n">
        <f aca="false">L10854*Assumptions!$E$73/Assumptions!$E$69/4</f>
        <v>36223.4557675765</v>
      </c>
      <c r="M10866" s="54" t="n">
        <f aca="false">M10854*Assumptions!$E$73/Assumptions!$E$69/4</f>
        <v>42950.7993557817</v>
      </c>
      <c r="N10866" s="54" t="n">
        <f aca="false">N10854*Assumptions!$E$73/Assumptions!$E$69/4</f>
        <v>49173.711361742</v>
      </c>
      <c r="P10866" s="55" t="n">
        <f aca="false">SUM(C10866:F10866)</f>
        <v>9819.83552895254</v>
      </c>
      <c r="Q10866" s="55" t="n">
        <f aca="false">SUM(G10866:J10866)</f>
        <v>57239.6018946796</v>
      </c>
      <c r="R10866" s="55" t="n">
        <f aca="false">SUM(K10866:N10866)</f>
        <v>157313.97883295</v>
      </c>
      <c r="S10866" s="56" t="n">
        <f aca="false">SUM(P10866:R10866)</f>
        <v>224373.416256582</v>
      </c>
    </row>
    <row r="10867" customFormat="false" ht="15" hidden="false" customHeight="false" outlineLevel="0" collapsed="false">
      <c r="A10867" s="9" t="s">
        <v>566</v>
      </c>
      <c r="B10867" s="36" t="s">
        <v>125</v>
      </c>
      <c r="C10867" s="55" t="n">
        <f aca="false">C10863+C10864+C10865+C10866</f>
        <v>536351.785714286</v>
      </c>
      <c r="D10867" s="55" t="n">
        <f aca="false">D10863+D10864+D10865+D10866</f>
        <v>500867.104628025</v>
      </c>
      <c r="E10867" s="55" t="n">
        <f aca="false">E10863+E10864+E10865+E10866</f>
        <v>579881.150744093</v>
      </c>
      <c r="F10867" s="55" t="n">
        <f aca="false">F10863+F10864+F10865+F10866</f>
        <v>587332.692217319</v>
      </c>
      <c r="G10867" s="55" t="n">
        <f aca="false">G10863+G10864+G10865+G10866</f>
        <v>613436.312861568</v>
      </c>
      <c r="H10867" s="55" t="n">
        <f aca="false">H10863+H10864+H10865+H10866</f>
        <v>579908.490293821</v>
      </c>
      <c r="I10867" s="55" t="n">
        <f aca="false">I10863+I10864+I10865+I10866</f>
        <v>699086.444407167</v>
      </c>
      <c r="J10867" s="55" t="n">
        <f aca="false">J10863+J10864+J10865+J10866</f>
        <v>669699.118823233</v>
      </c>
      <c r="K10867" s="55" t="n">
        <f aca="false">K10863+K10864+K10865+K10866</f>
        <v>754668.972861997</v>
      </c>
      <c r="L10867" s="55" t="n">
        <f aca="false">L10863+L10864+L10865+L10866</f>
        <v>764005.966031477</v>
      </c>
      <c r="M10867" s="55" t="n">
        <f aca="false">M10863+M10864+M10865+M10866</f>
        <v>770224.531205326</v>
      </c>
      <c r="N10867" s="55" t="n">
        <f aca="false">N10863+N10864+N10865+N10866</f>
        <v>775837.596314644</v>
      </c>
      <c r="P10867" s="55" t="n">
        <f aca="false">SUM(C10867:F10867)</f>
        <v>2204432.73330372</v>
      </c>
      <c r="Q10867" s="55" t="n">
        <f aca="false">SUM(G10867:J10867)</f>
        <v>2562130.36638579</v>
      </c>
      <c r="R10867" s="55" t="n">
        <f aca="false">SUM(K10867:N10867)</f>
        <v>3064737.06641344</v>
      </c>
      <c r="S10867" s="56" t="n">
        <f aca="false">SUM(P10867:R10867)</f>
        <v>7831300.16610296</v>
      </c>
    </row>
    <row r="10868" customFormat="false" ht="15" hidden="false" customHeight="false" outlineLevel="0" collapsed="false">
      <c r="A10868" s="35" t="s">
        <v>567</v>
      </c>
      <c r="B10868" s="35" t="s">
        <v>444</v>
      </c>
      <c r="C10868" s="6" t="s">
        <v>354</v>
      </c>
      <c r="D10868" s="6" t="s">
        <v>355</v>
      </c>
      <c r="E10868" s="6" t="s">
        <v>356</v>
      </c>
      <c r="F10868" s="6" t="s">
        <v>357</v>
      </c>
      <c r="G10868" s="6" t="s">
        <v>358</v>
      </c>
      <c r="H10868" s="6" t="s">
        <v>359</v>
      </c>
      <c r="I10868" s="6" t="s">
        <v>360</v>
      </c>
      <c r="J10868" s="6" t="s">
        <v>361</v>
      </c>
      <c r="K10868" s="6" t="s">
        <v>362</v>
      </c>
      <c r="L10868" s="6" t="s">
        <v>363</v>
      </c>
      <c r="M10868" s="6" t="s">
        <v>364</v>
      </c>
      <c r="N10868" s="6" t="s">
        <v>365</v>
      </c>
      <c r="P10868" s="6" t="s">
        <v>445</v>
      </c>
      <c r="Q10868" s="6" t="s">
        <v>446</v>
      </c>
      <c r="R10868" s="6" t="s">
        <v>447</v>
      </c>
      <c r="S10868" s="6" t="s">
        <v>448</v>
      </c>
    </row>
    <row r="10869" customFormat="false" ht="15" hidden="false" customHeight="false" outlineLevel="0" collapsed="false">
      <c r="A10869" s="9" t="s">
        <v>568</v>
      </c>
      <c r="B10869" s="36" t="s">
        <v>125</v>
      </c>
      <c r="C10869" s="55" t="n">
        <f aca="false">C10847-C10867</f>
        <v>-536351.785714286</v>
      </c>
      <c r="D10869" s="55" t="n">
        <f aca="false">D10847-D10867</f>
        <v>-499854.892534016</v>
      </c>
      <c r="E10869" s="55" t="n">
        <f aca="false">E10847-E10867</f>
        <v>-574458.288632931</v>
      </c>
      <c r="F10869" s="55" t="n">
        <f aca="false">F10847-F10867</f>
        <v>-573985.629464986</v>
      </c>
      <c r="G10869" s="55" t="n">
        <f aca="false">G10847-G10867</f>
        <v>-590834.628828825</v>
      </c>
      <c r="H10869" s="55" t="n">
        <f aca="false">H10847-H10867</f>
        <v>-546805.009217921</v>
      </c>
      <c r="I10869" s="55" t="n">
        <f aca="false">I10847-I10867</f>
        <v>-653207.090665638</v>
      </c>
      <c r="J10869" s="55" t="n">
        <f aca="false">J10847-J10867</f>
        <v>-606814.667089432</v>
      </c>
      <c r="K10869" s="55" t="n">
        <f aca="false">K10847-K10867</f>
        <v>-668516.664313107</v>
      </c>
      <c r="L10869" s="55" t="n">
        <f aca="false">L10847-L10867</f>
        <v>-650646.217992466</v>
      </c>
      <c r="M10869" s="55" t="n">
        <f aca="false">M10847-M10867</f>
        <v>-629279.010358826</v>
      </c>
      <c r="N10869" s="55" t="n">
        <f aca="false">N10847-N10867</f>
        <v>-607926.010464566</v>
      </c>
      <c r="P10869" s="55" t="n">
        <f aca="false">SUM(C10869:F10869)</f>
        <v>-2184650.59634622</v>
      </c>
      <c r="Q10869" s="55" t="n">
        <f aca="false">SUM(G10869:J10869)</f>
        <v>-2397661.39580182</v>
      </c>
      <c r="R10869" s="55" t="n">
        <f aca="false">SUM(K10869:N10869)</f>
        <v>-2556367.90312897</v>
      </c>
      <c r="S10869" s="56" t="n">
        <f aca="false">SUM(P10869:R10869)</f>
        <v>-7138679.895277</v>
      </c>
    </row>
    <row r="10870" customFormat="false" ht="15" hidden="false" customHeight="false" outlineLevel="0" collapsed="false">
      <c r="A10870" s="9" t="s">
        <v>569</v>
      </c>
      <c r="B10870" s="36" t="s">
        <v>125</v>
      </c>
      <c r="C10870" s="55" t="n">
        <f aca="false">0+C10869</f>
        <v>-536351.785714286</v>
      </c>
      <c r="D10870" s="55" t="n">
        <f aca="false">C10870+D10869</f>
        <v>-1036206.6782483</v>
      </c>
      <c r="E10870" s="55" t="n">
        <f aca="false">D10870+E10869</f>
        <v>-1610664.96688123</v>
      </c>
      <c r="F10870" s="55" t="n">
        <f aca="false">E10870+F10869</f>
        <v>-2184650.59634622</v>
      </c>
      <c r="G10870" s="55" t="n">
        <f aca="false">F10870+G10869</f>
        <v>-2775485.22517504</v>
      </c>
      <c r="H10870" s="55" t="n">
        <f aca="false">G10870+H10869</f>
        <v>-3322290.23439296</v>
      </c>
      <c r="I10870" s="55" t="n">
        <f aca="false">H10870+I10869</f>
        <v>-3975497.3250586</v>
      </c>
      <c r="J10870" s="55" t="n">
        <f aca="false">I10870+J10869</f>
        <v>-4582311.99214803</v>
      </c>
      <c r="K10870" s="55" t="n">
        <f aca="false">J10870+K10869</f>
        <v>-5250828.65646114</v>
      </c>
      <c r="L10870" s="55" t="n">
        <f aca="false">K10870+L10869</f>
        <v>-5901474.87445361</v>
      </c>
      <c r="M10870" s="55" t="n">
        <f aca="false">L10870+M10869</f>
        <v>-6530753.88481243</v>
      </c>
      <c r="N10870" s="55" t="n">
        <f aca="false">M10870+N10869</f>
        <v>-7138679.895277</v>
      </c>
      <c r="P10870" s="55" t="n">
        <f aca="false">F10870</f>
        <v>-2184650.59634622</v>
      </c>
      <c r="Q10870" s="55" t="n">
        <f aca="false">J10870</f>
        <v>-4582311.99214803</v>
      </c>
      <c r="R10870" s="55" t="n">
        <f aca="false">N10870</f>
        <v>-7138679.895277</v>
      </c>
      <c r="S10870" s="56" t="n">
        <f aca="false">R10870</f>
        <v>-7138679.895277</v>
      </c>
    </row>
    <row r="10871" customFormat="false" ht="15" hidden="false" customHeight="false" outlineLevel="0" collapsed="false">
      <c r="A10871" s="4" t="s">
        <v>570</v>
      </c>
      <c r="B10871" s="36" t="s">
        <v>107</v>
      </c>
      <c r="C10871" s="57" t="n">
        <f aca="false">1/(1+Assumptions!$E$87)^(C10790/4)</f>
        <v>0.972065420906982</v>
      </c>
      <c r="D10871" s="57" t="n">
        <f aca="false">1/(1+Assumptions!$E$87)^(D10790/4)</f>
        <v>0.944911182523068</v>
      </c>
      <c r="E10871" s="57" t="n">
        <f aca="false">1/(1+Assumptions!$E$87)^(E10790/4)</f>
        <v>0.918515486359</v>
      </c>
      <c r="F10871" s="57" t="n">
        <f aca="false">1/(1+Assumptions!$E$87)^(F10790/4)</f>
        <v>0.892857142857143</v>
      </c>
      <c r="G10871" s="57" t="n">
        <f aca="false">1/(1+Assumptions!$E$87)^(G10790/4)</f>
        <v>0.867915554381234</v>
      </c>
      <c r="H10871" s="57" t="n">
        <f aca="false">1/(1+Assumptions!$E$87)^(H10790/4)</f>
        <v>0.843670698681311</v>
      </c>
      <c r="I10871" s="57" t="n">
        <f aca="false">1/(1+Assumptions!$E$87)^(I10790/4)</f>
        <v>0.820103112820536</v>
      </c>
      <c r="J10871" s="57" t="n">
        <f aca="false">1/(1+Assumptions!$E$87)^(J10790/4)</f>
        <v>0.79719387755102</v>
      </c>
      <c r="K10871" s="57" t="n">
        <f aca="false">1/(1+Assumptions!$E$87)^(K10790/4)</f>
        <v>0.774924602126102</v>
      </c>
      <c r="L10871" s="57" t="n">
        <f aca="false">1/(1+Assumptions!$E$87)^(L10790/4)</f>
        <v>0.753277409536885</v>
      </c>
      <c r="M10871" s="57" t="n">
        <f aca="false">1/(1+Assumptions!$E$87)^(M10790/4)</f>
        <v>0.732234922161193</v>
      </c>
      <c r="N10871" s="57" t="n">
        <f aca="false">1/(1+Assumptions!$E$87)^(N10790/4)</f>
        <v>0.711780247813411</v>
      </c>
      <c r="P10871" s="58"/>
      <c r="Q10871" s="58"/>
      <c r="R10871" s="58"/>
      <c r="S10871" s="59"/>
    </row>
    <row r="10872" customFormat="false" ht="15" hidden="false" customHeight="false" outlineLevel="0" collapsed="false">
      <c r="A10872" s="4" t="s">
        <v>571</v>
      </c>
      <c r="B10872" s="36" t="s">
        <v>125</v>
      </c>
      <c r="C10872" s="54" t="n">
        <f aca="false">(C10847*(1-Assumptions!$E$88)-C10867)*C10871</f>
        <v>-521369.024334569</v>
      </c>
      <c r="D10872" s="54" t="n">
        <f aca="false">(D10847*(1-Assumptions!$E$88)-D10867)*D10871</f>
        <v>-472509.767699601</v>
      </c>
      <c r="E10872" s="54" t="n">
        <f aca="false">(E10847*(1-Assumptions!$E$88)-E10867)*E10871</f>
        <v>-528645.030942534</v>
      </c>
      <c r="F10872" s="54" t="n">
        <f aca="false">(F10847*(1-Assumptions!$E$88)-F10867)*F10871</f>
        <v>-514870.573228083</v>
      </c>
      <c r="G10872" s="54" t="n">
        <f aca="false">(G10847*(1-Assumptions!$E$88)-G10867)*G10871</f>
        <v>-516717.835053046</v>
      </c>
      <c r="H10872" s="54" t="n">
        <f aca="false">(H10847*(1-Assumptions!$E$88)-H10867)*H10871</f>
        <v>-466909.051570941</v>
      </c>
      <c r="I10872" s="54" t="n">
        <f aca="false">(I10847*(1-Assumptions!$E$88)-I10867)*I10871</f>
        <v>-543222.32853486</v>
      </c>
      <c r="J10872" s="54" t="n">
        <f aca="false">(J10847*(1-Assumptions!$E$88)-J10867)*J10871</f>
        <v>-493775.157394924</v>
      </c>
      <c r="K10872" s="54" t="n">
        <f aca="false">(K10847*(1-Assumptions!$E$88)-K10867)*K10871</f>
        <v>-531402.318792402</v>
      </c>
      <c r="L10872" s="54" t="n">
        <f aca="false">(L10847*(1-Assumptions!$E$88)-L10867)*L10871</f>
        <v>-507195.365084052</v>
      </c>
      <c r="M10872" s="54" t="n">
        <f aca="false">(M10847*(1-Assumptions!$E$88)-M10867)*M10871</f>
        <v>-481421.113664969</v>
      </c>
      <c r="N10872" s="54" t="n">
        <f aca="false">(N10847*(1-Assumptions!$E$88)-N10867)*N10871</f>
        <v>-456612.956418109</v>
      </c>
      <c r="P10872" s="55" t="n">
        <f aca="false">SUM(C10872:F10872)</f>
        <v>-2037394.39620479</v>
      </c>
      <c r="Q10872" s="55" t="n">
        <f aca="false">SUM(G10872:J10872)</f>
        <v>-2020624.37255377</v>
      </c>
      <c r="R10872" s="55" t="n">
        <f aca="false">SUM(K10872:N10872)</f>
        <v>-1976631.75395953</v>
      </c>
      <c r="S10872" s="56" t="n">
        <f aca="false">SUM(P10872:R10872)</f>
        <v>-6034650.52271809</v>
      </c>
    </row>
    <row r="10873" customFormat="false" ht="15" hidden="false" customHeight="false" outlineLevel="0" collapsed="false">
      <c r="A10873" s="4" t="s">
        <v>572</v>
      </c>
      <c r="B10873" s="36" t="s">
        <v>125</v>
      </c>
      <c r="C10873" s="54" t="n">
        <f aca="false">(C10867-C10866)*12/(Assumptions!$E$89*Assumptions!$E$76)*Assumptions!$E$90</f>
        <v>371320.467032967</v>
      </c>
      <c r="D10873" s="54" t="n">
        <f aca="false">(D10867-D10866)*12/(Assumptions!$E$89*Assumptions!$E$76)*Assumptions!$E$90</f>
        <v>346195.147754685</v>
      </c>
      <c r="E10873" s="54" t="n">
        <f aca="false">(E10867-E10866)*12/(Assumptions!$E$89*Assumptions!$E$76)*Assumptions!$E$90</f>
        <v>399247.286203073</v>
      </c>
      <c r="F10873" s="54" t="n">
        <f aca="false">(F10867-F10866)*12/(Assumptions!$E$89*Assumptions!$E$76)*Assumptions!$E$90</f>
        <v>402584.489776423</v>
      </c>
      <c r="G10873" s="54" t="n">
        <f aca="false">(G10867-G10866)*12/(Assumptions!$E$89*Assumptions!$E$76)*Assumptions!$E$90</f>
        <v>418843.877089531</v>
      </c>
      <c r="H10873" s="54" t="n">
        <f aca="false">(H10867-H10866)*12/(Assumptions!$E$89*Assumptions!$E$76)*Assumptions!$E$90</f>
        <v>393357.912583965</v>
      </c>
      <c r="I10873" s="54" t="n">
        <f aca="false">(I10867-I10866)*12/(Assumptions!$E$89*Assumptions!$E$76)*Assumptions!$E$90</f>
        <v>473164.143183153</v>
      </c>
      <c r="J10873" s="54" t="n">
        <f aca="false">(J10867-J10866)*12/(Assumptions!$E$89*Assumptions!$E$76)*Assumptions!$E$90</f>
        <v>448789.211791041</v>
      </c>
      <c r="K10873" s="54" t="n">
        <f aca="false">(K10867-K10866)*12/(Assumptions!$E$89*Assumptions!$E$76)*Assumptions!$E$90</f>
        <v>502409.741894409</v>
      </c>
      <c r="L10873" s="54" t="n">
        <f aca="false">(L10867-L10866)*12/(Assumptions!$E$89*Assumptions!$E$76)*Assumptions!$E$90</f>
        <v>503849.4301827</v>
      </c>
      <c r="M10873" s="54" t="n">
        <f aca="false">(M10867-M10866)*12/(Assumptions!$E$89*Assumptions!$E$76)*Assumptions!$E$90</f>
        <v>503497.198972761</v>
      </c>
      <c r="N10873" s="54" t="n">
        <f aca="false">(N10867-N10866)*12/(Assumptions!$E$89*Assumptions!$E$76)*Assumptions!$E$90</f>
        <v>503074.997275086</v>
      </c>
      <c r="P10873" s="55" t="n">
        <f aca="false">SUM(C10873:F10873)</f>
        <v>1519347.39076715</v>
      </c>
      <c r="Q10873" s="55" t="n">
        <f aca="false">SUM(G10873:J10873)</f>
        <v>1734155.14464769</v>
      </c>
      <c r="R10873" s="55" t="n">
        <f aca="false">SUM(K10873:N10873)</f>
        <v>2012831.36832496</v>
      </c>
      <c r="S10873" s="56" t="n">
        <f aca="false">SUM(P10873:R10873)</f>
        <v>5266333.9037398</v>
      </c>
    </row>
    <row r="10874" customFormat="false" ht="15" hidden="false" customHeight="false" outlineLevel="0" collapsed="false">
      <c r="A10874" s="4" t="s">
        <v>573</v>
      </c>
      <c r="B10874" s="36" t="s">
        <v>125</v>
      </c>
      <c r="C10874" s="54" t="n">
        <f aca="false">0*Assumptions!$E$92^(1/4)+C10873</f>
        <v>371320.467032967</v>
      </c>
      <c r="D10874" s="54" t="n">
        <f aca="false">C10874*Assumptions!$E$92^(1/4)+D10873</f>
        <v>718440.454993875</v>
      </c>
      <c r="E10874" s="54" t="n">
        <f aca="false">D10874*Assumptions!$E$92^(1/4)+E10873</f>
        <v>1119477.14597677</v>
      </c>
      <c r="F10874" s="54" t="n">
        <f aca="false">E10874*Assumptions!$E$92^(1/4)+F10873</f>
        <v>1524849.89432354</v>
      </c>
      <c r="G10874" s="54" t="n">
        <f aca="false">F10874*Assumptions!$E$92^(1/4)+G10873</f>
        <v>1947491.6835023</v>
      </c>
      <c r="H10874" s="54" t="n">
        <f aca="false">G10874*Assumptions!$E$92^(1/4)+H10873</f>
        <v>2345700.17333718</v>
      </c>
      <c r="I10874" s="54" t="n">
        <f aca="false">H10874*Assumptions!$E$92^(1/4)+I10873</f>
        <v>2824706.70341966</v>
      </c>
      <c r="J10874" s="54" t="n">
        <f aca="false">I10874*Assumptions!$E$92^(1/4)+J10873</f>
        <v>3280531.35376594</v>
      </c>
      <c r="K10874" s="54" t="n">
        <f aca="false">J10874*Assumptions!$E$92^(1/4)+K10873</f>
        <v>3791111.84724315</v>
      </c>
      <c r="L10874" s="54" t="n">
        <f aca="false">K10874*Assumptions!$E$92^(1/4)+L10873</f>
        <v>4304403.72128206</v>
      </c>
      <c r="M10874" s="54" t="n">
        <f aca="false">L10874*Assumptions!$E$92^(1/4)+M10873</f>
        <v>4818621.8095639</v>
      </c>
      <c r="N10874" s="54" t="n">
        <f aca="false">M10874*Assumptions!$E$92^(1/4)+N10873</f>
        <v>5333698.44850361</v>
      </c>
      <c r="P10874" s="55" t="n">
        <f aca="false">F10874</f>
        <v>1524849.89432354</v>
      </c>
      <c r="Q10874" s="55" t="n">
        <f aca="false">J10874</f>
        <v>3280531.35376594</v>
      </c>
      <c r="R10874" s="55" t="n">
        <f aca="false">N10874</f>
        <v>5333698.44850361</v>
      </c>
      <c r="S10874" s="56" t="n">
        <f aca="false">R10874</f>
        <v>5333698.44850361</v>
      </c>
    </row>
    <row r="10875" customFormat="false" ht="15" hidden="false" customHeight="false" outlineLevel="0" collapsed="false">
      <c r="A10875" s="4" t="s">
        <v>574</v>
      </c>
      <c r="B10875" s="36" t="s">
        <v>125</v>
      </c>
      <c r="C10875" s="54" t="n">
        <f aca="false">(0+C10874)/8*Assumptions!$E$76-(C10867-C10866)-C10874*Assumptions!$E$93/4</f>
        <v>-510823.503605769</v>
      </c>
      <c r="D10875" s="54" t="n">
        <f aca="false">(C10874+D10874)/8*Assumptions!$E$76-(D10867-D10866)-D10874*Assumptions!$E$93/4</f>
        <v>-420497.088640621</v>
      </c>
      <c r="E10875" s="54" t="n">
        <f aca="false">(D10874+E10874)/8*Assumptions!$E$76-(E10867-E10866)-E10874*Assumptions!$E$93/4</f>
        <v>-441353.183761395</v>
      </c>
      <c r="F10875" s="54" t="n">
        <f aca="false">(E10874+F10874)/8*Assumptions!$E$76-(F10867-F10866)-F10874*Assumptions!$E$93/4</f>
        <v>-385719.981331699</v>
      </c>
      <c r="G10875" s="54" t="n">
        <f aca="false">(F10874+G10874)/8*Assumptions!$E$76-(G10867-G10866)-G10874*Assumptions!$E$93/4</f>
        <v>-347212.604196974</v>
      </c>
      <c r="H10875" s="54" t="n">
        <f aca="false">(G10874+H10874)/8*Assumptions!$E$76-(H10867-H10866)-H10874*Assumptions!$E$93/4</f>
        <v>-248683.065308679</v>
      </c>
      <c r="I10875" s="54" t="n">
        <f aca="false">(H10874+I10874)/8*Assumptions!$E$76-(I10867-I10866)-I10874*Assumptions!$E$93/4</f>
        <v>-298672.592987474</v>
      </c>
      <c r="J10875" s="54" t="n">
        <f aca="false">(I10874+J10874)/8*Assumptions!$E$76-(J10867-J10866)-J10874*Assumptions!$E$93/4</f>
        <v>-193207.133473915</v>
      </c>
      <c r="K10875" s="54" t="n">
        <f aca="false">(J10874+K10874)/8*Assumptions!$E$76-(K10867-K10866)-K10874*Assumptions!$E$93/4</f>
        <v>-198520.848522698</v>
      </c>
      <c r="L10875" s="54" t="n">
        <f aca="false">(K10874+L10874)/8*Assumptions!$E$76-(L10867-L10866)-L10874*Assumptions!$E$93/4</f>
        <v>-123826.916837253</v>
      </c>
      <c r="M10875" s="54" t="n">
        <f aca="false">(L10874+M10874)/8*Assumptions!$E$76-(M10867-M10866)-M10874*Assumptions!$E$93/4</f>
        <v>-46260.6800878588</v>
      </c>
      <c r="N10875" s="54" t="n">
        <f aca="false">(M10874+N10874)/8*Assumptions!$E$76-(N10867-N10866)-N10874*Assumptions!$E$93/4</f>
        <v>31540.9054087878</v>
      </c>
      <c r="P10875" s="55" t="n">
        <f aca="false">SUM(C10875:F10875)</f>
        <v>-1758393.75733948</v>
      </c>
      <c r="Q10875" s="55" t="n">
        <f aca="false">SUM(G10875:J10875)</f>
        <v>-1087775.39596704</v>
      </c>
      <c r="R10875" s="55" t="n">
        <f aca="false">SUM(K10875:N10875)</f>
        <v>-337067.540039021</v>
      </c>
      <c r="S10875" s="56" t="n">
        <f aca="false">SUM(P10875:R10875)</f>
        <v>-3183236.69334555</v>
      </c>
    </row>
    <row r="10876" customFormat="false" ht="15" hidden="false" customHeight="false" outlineLevel="0" collapsed="false">
      <c r="A10876" s="4" t="s">
        <v>575</v>
      </c>
      <c r="B10876" s="36" t="s">
        <v>125</v>
      </c>
      <c r="C10876" s="54" t="n">
        <f aca="false">C10875*C10871</f>
        <v>-496553.864041721</v>
      </c>
      <c r="D10876" s="54" t="n">
        <f aca="false">D10875*D10871</f>
        <v>-397332.401274916</v>
      </c>
      <c r="E10876" s="54" t="n">
        <f aca="false">E10875*E10871</f>
        <v>-405389.734238691</v>
      </c>
      <c r="F10876" s="54" t="n">
        <f aca="false">F10875*F10871</f>
        <v>-344392.840474732</v>
      </c>
      <c r="G10876" s="54" t="n">
        <f aca="false">G10875*G10871</f>
        <v>-301351.219859769</v>
      </c>
      <c r="H10876" s="54" t="n">
        <f aca="false">H10875*H10871</f>
        <v>-209806.615459183</v>
      </c>
      <c r="I10876" s="54" t="n">
        <f aca="false">I10875*I10871</f>
        <v>-244942.323223208</v>
      </c>
      <c r="J10876" s="54" t="n">
        <f aca="false">J10875*J10871</f>
        <v>-154023.543904588</v>
      </c>
      <c r="K10876" s="54" t="n">
        <f aca="false">K10875*K10871</f>
        <v>-153838.689555188</v>
      </c>
      <c r="L10876" s="54" t="n">
        <f aca="false">L10875*L10871</f>
        <v>-93276.0191461049</v>
      </c>
      <c r="M10876" s="54" t="n">
        <f aca="false">M10875*M10871</f>
        <v>-33873.6854832571</v>
      </c>
      <c r="N10876" s="54" t="n">
        <f aca="false">N10875*N10871</f>
        <v>22450.1934681264</v>
      </c>
      <c r="P10876" s="55" t="n">
        <f aca="false">SUM(C10876:F10876)</f>
        <v>-1643668.84003006</v>
      </c>
      <c r="Q10876" s="55" t="n">
        <f aca="false">SUM(G10876:J10876)</f>
        <v>-910123.702446748</v>
      </c>
      <c r="R10876" s="55" t="n">
        <f aca="false">SUM(K10876:N10876)</f>
        <v>-258538.200716423</v>
      </c>
      <c r="S10876" s="56" t="n">
        <f aca="false">SUM(P10876:R10876)</f>
        <v>-2812330.74319323</v>
      </c>
    </row>
    <row r="10877" customFormat="false" ht="15" hidden="false" customHeight="false" outlineLevel="0" collapsed="false">
      <c r="A10877" s="4" t="s">
        <v>576</v>
      </c>
      <c r="B10877" s="36"/>
      <c r="C10877" s="37" t="n">
        <f aca="false">IFERROR((S10832*$C$10781*Assumptions!$E$59+S10833*$C$10782*Assumptions!$E$60+S10834*$C$10783*Assumptions!$E$61)/(S10832*$C$10781+S10833*$C$10782+S10834*$C$10783),0.9)</f>
        <v>0.897361345882788</v>
      </c>
    </row>
    <row r="10878" customFormat="false" ht="15" hidden="false" customHeight="false" outlineLevel="0" collapsed="false">
      <c r="A10878" s="4" t="s">
        <v>577</v>
      </c>
      <c r="B10878" s="36"/>
      <c r="C10878" s="37" t="n">
        <f aca="false">IFERROR(N10866*4/N10844,0)</f>
        <v>0.176363036761343</v>
      </c>
    </row>
    <row r="10879" customFormat="false" ht="15" hidden="false" customHeight="false" outlineLevel="0" collapsed="false">
      <c r="A10879" s="4" t="s">
        <v>578</v>
      </c>
      <c r="B10879" s="36"/>
      <c r="C10879" s="60" t="n">
        <f aca="false">$C$10877/(1+Assumptions!$E$87)</f>
        <v>0.801215487395347</v>
      </c>
    </row>
    <row r="10880" customFormat="false" ht="15" hidden="false" customHeight="false" outlineLevel="0" collapsed="false">
      <c r="A10880" s="4" t="s">
        <v>579</v>
      </c>
      <c r="B10880" s="36"/>
      <c r="C10880" s="60" t="n">
        <f aca="false">Assumptions!$E$91/(1+Assumptions!$E$87)</f>
        <v>0.803571428571429</v>
      </c>
    </row>
    <row r="10881" customFormat="false" ht="15" hidden="false" customHeight="false" outlineLevel="0" collapsed="false">
      <c r="A10881" s="35" t="s">
        <v>580</v>
      </c>
      <c r="B10881" s="35" t="s">
        <v>444</v>
      </c>
      <c r="C10881" s="6" t="s">
        <v>354</v>
      </c>
      <c r="D10881" s="6" t="s">
        <v>355</v>
      </c>
      <c r="E10881" s="6" t="s">
        <v>356</v>
      </c>
      <c r="F10881" s="6" t="s">
        <v>357</v>
      </c>
      <c r="G10881" s="6" t="s">
        <v>358</v>
      </c>
      <c r="H10881" s="6" t="s">
        <v>359</v>
      </c>
      <c r="I10881" s="6" t="s">
        <v>360</v>
      </c>
      <c r="J10881" s="6" t="s">
        <v>361</v>
      </c>
      <c r="K10881" s="6" t="s">
        <v>362</v>
      </c>
      <c r="L10881" s="6" t="s">
        <v>363</v>
      </c>
      <c r="M10881" s="6" t="s">
        <v>364</v>
      </c>
      <c r="N10881" s="6" t="s">
        <v>365</v>
      </c>
      <c r="P10881" s="6" t="s">
        <v>445</v>
      </c>
      <c r="Q10881" s="6" t="s">
        <v>446</v>
      </c>
      <c r="R10881" s="6" t="s">
        <v>447</v>
      </c>
      <c r="S10881" s="6" t="s">
        <v>448</v>
      </c>
    </row>
    <row r="10882" customFormat="false" ht="15" hidden="false" customHeight="false" outlineLevel="0" collapsed="false">
      <c r="A10882" s="9" t="s">
        <v>581</v>
      </c>
      <c r="C10882" s="61" t="n">
        <f aca="false">N10844</f>
        <v>1115283.84325304</v>
      </c>
      <c r="D10882" s="61"/>
    </row>
    <row r="10883" customFormat="false" ht="15" hidden="false" customHeight="false" outlineLevel="0" collapsed="false">
      <c r="A10883" s="9" t="s">
        <v>582</v>
      </c>
      <c r="C10883" s="62" t="n">
        <f aca="false">N10840</f>
        <v>108.735412916452</v>
      </c>
      <c r="D10883" s="62"/>
    </row>
    <row r="10884" customFormat="false" ht="15" hidden="false" customHeight="false" outlineLevel="0" collapsed="false">
      <c r="A10884" s="9" t="s">
        <v>583</v>
      </c>
      <c r="C10884" s="63" t="n">
        <f aca="false">S10835</f>
        <v>120.01235945061</v>
      </c>
      <c r="D10884" s="63"/>
    </row>
    <row r="10885" customFormat="false" ht="15" hidden="false" customHeight="false" outlineLevel="0" collapsed="false">
      <c r="A10885" s="9" t="s">
        <v>584</v>
      </c>
      <c r="C10885" s="61" t="n">
        <f aca="false">S10846</f>
        <v>1065569.64742455</v>
      </c>
      <c r="D10885" s="61"/>
    </row>
    <row r="10886" customFormat="false" ht="15" hidden="false" customHeight="false" outlineLevel="0" collapsed="false">
      <c r="A10886" s="9" t="s">
        <v>22</v>
      </c>
      <c r="C10886" s="61" t="n">
        <f aca="false">IFERROR(S10845/S10835,0)</f>
        <v>8844.36553929717</v>
      </c>
      <c r="D10886" s="61"/>
    </row>
    <row r="10887" customFormat="false" ht="15" hidden="false" customHeight="false" outlineLevel="0" collapsed="false">
      <c r="A10887" s="9" t="s">
        <v>585</v>
      </c>
      <c r="C10887" s="61" t="n">
        <f aca="false">IFERROR(S10863/S10835,0)</f>
        <v>57532.7496865206</v>
      </c>
      <c r="D10887" s="61"/>
    </row>
    <row r="10888" customFormat="false" ht="23.85" hidden="false" customHeight="false" outlineLevel="0" collapsed="false">
      <c r="A10888" s="9" t="s">
        <v>586</v>
      </c>
      <c r="C10888" s="61" t="n">
        <f aca="false">IFERROR((S10857+S10859+S10860+S10861+S10862)/S10835,0)</f>
        <v>9539.41897033493</v>
      </c>
      <c r="D10888" s="61"/>
    </row>
    <row r="10889" customFormat="false" ht="15" hidden="false" customHeight="false" outlineLevel="0" collapsed="false">
      <c r="A10889" s="9" t="s">
        <v>587</v>
      </c>
      <c r="C10889" s="64" t="n">
        <f aca="false">IFERROR('Engine Runs'!$C$10887/('Engine Runs'!$C$10886*Assumptions!$E$76/12),0)</f>
        <v>120.092624667814</v>
      </c>
      <c r="D10889" s="64"/>
    </row>
    <row r="10890" customFormat="false" ht="15" hidden="false" customHeight="false" outlineLevel="0" collapsed="false">
      <c r="A10890" s="9" t="s">
        <v>588</v>
      </c>
      <c r="C10890" s="64" t="n">
        <f aca="false">IFERROR((R10863/R10835)/((R10845/R10835)*Assumptions!$E$76/12),0)</f>
        <v>82.43731713964</v>
      </c>
      <c r="D10890" s="64"/>
    </row>
    <row r="10891" customFormat="false" ht="15" hidden="false" customHeight="false" outlineLevel="0" collapsed="false">
      <c r="A10891" s="9" t="s">
        <v>589</v>
      </c>
      <c r="C10891" s="61" t="n">
        <f aca="false">S10867</f>
        <v>7831300.16610296</v>
      </c>
      <c r="D10891" s="61"/>
    </row>
    <row r="10892" customFormat="false" ht="15" hidden="false" customHeight="false" outlineLevel="0" collapsed="false">
      <c r="A10892" s="9" t="s">
        <v>590</v>
      </c>
      <c r="C10892" s="61" t="n">
        <f aca="false">N10870</f>
        <v>-7138679.895277</v>
      </c>
      <c r="D10892" s="61"/>
    </row>
    <row r="10893" customFormat="false" ht="15" hidden="false" customHeight="false" outlineLevel="0" collapsed="false">
      <c r="A10893" s="9" t="s">
        <v>591</v>
      </c>
      <c r="C10893" s="61" t="n">
        <f aca="false">MIN($C$10870:$N$10870)</f>
        <v>-7138679.895277</v>
      </c>
      <c r="D10893" s="61"/>
    </row>
    <row r="10894" customFormat="false" ht="15" hidden="false" customHeight="false" outlineLevel="0" collapsed="false">
      <c r="A10894" s="9" t="s">
        <v>592</v>
      </c>
      <c r="C10894" s="61" t="n">
        <f aca="false">N10844*(Assumptions!$E$76-$C$10878)*$C$10877*(1-$C$10877^Assumptions!$E$85)/(1-$C$10877)</f>
        <v>1931006.21996878</v>
      </c>
      <c r="D10894" s="61"/>
    </row>
    <row r="10895" customFormat="false" ht="15" hidden="false" customHeight="false" outlineLevel="0" collapsed="false">
      <c r="A10895" s="9" t="s">
        <v>593</v>
      </c>
      <c r="C10895" s="61" t="n">
        <f aca="false">N10844*(Assumptions!$E$76-$C$10878)*(1-Assumptions!$E$88)/(1+Assumptions!$E$87)^2.5*$C$10879*(1-$C$10879^Assumptions!$E$85)/(1-$C$10879)</f>
        <v>859414.830893254</v>
      </c>
      <c r="D10895" s="61"/>
    </row>
    <row r="10896" customFormat="false" ht="15" hidden="false" customHeight="false" outlineLevel="0" collapsed="false">
      <c r="A10896" s="9" t="s">
        <v>594</v>
      </c>
      <c r="C10896" s="61" t="n">
        <f aca="false">SUM($C$10872:$N$10872)+'Engine Runs'!$C$10895</f>
        <v>-5175235.69182483</v>
      </c>
      <c r="D10896" s="61"/>
    </row>
    <row r="10897" customFormat="false" ht="15" hidden="false" customHeight="false" outlineLevel="0" collapsed="false">
      <c r="A10897" s="9" t="s">
        <v>595</v>
      </c>
      <c r="C10897" s="61" t="n">
        <f aca="false">SUM($C$10876:$N$10876)+N10874*(Assumptions!$E$76-Assumptions!$E$93)/(1+Assumptions!$E$87)^2.5*$C$10880*(1-$C$10880^Assumptions!$E$85)/(1-$C$10880)</f>
        <v>3745149.87249458</v>
      </c>
      <c r="D10897" s="61"/>
    </row>
    <row r="10898" customFormat="false" ht="15" hidden="false" customHeight="false" outlineLevel="0" collapsed="false">
      <c r="A10898" s="9" t="s">
        <v>596</v>
      </c>
      <c r="C10898" s="61" t="n">
        <f aca="false">'Engine Runs'!$C$10896-'Engine Runs'!$C$10897</f>
        <v>-8920385.56431941</v>
      </c>
      <c r="D10898" s="61"/>
    </row>
    <row r="10899" customFormat="false" ht="15" hidden="false" customHeight="false" outlineLevel="0" collapsed="false">
      <c r="A10899" s="9" t="s">
        <v>597</v>
      </c>
      <c r="C10899" s="61" t="n">
        <f aca="false">S10831</f>
        <v>0</v>
      </c>
      <c r="D10899" s="61"/>
    </row>
    <row r="10900" customFormat="false" ht="15" hidden="false" customHeight="false" outlineLevel="0" collapsed="false">
      <c r="A10900" s="9" t="s">
        <v>598</v>
      </c>
      <c r="C10900" s="63" t="n">
        <f aca="false">P10815</f>
        <v>90.9989097981504</v>
      </c>
      <c r="D10900" s="63"/>
    </row>
    <row r="10901" customFormat="false" ht="15" hidden="false" customHeight="false" outlineLevel="0" collapsed="false">
      <c r="A10901" s="9" t="s">
        <v>599</v>
      </c>
      <c r="C10901" s="63" t="n">
        <f aca="false">P10835</f>
        <v>12.9151414376348</v>
      </c>
      <c r="D10901" s="63"/>
    </row>
    <row r="10902" customFormat="false" ht="15" hidden="false" customHeight="false" outlineLevel="0" collapsed="false">
      <c r="A10902" s="9" t="s">
        <v>600</v>
      </c>
      <c r="C10902" s="63" t="n">
        <f aca="false">P10811</f>
        <v>42</v>
      </c>
      <c r="D10902" s="63"/>
    </row>
    <row r="10903" customFormat="false" ht="15" hidden="false" customHeight="false" outlineLevel="0" collapsed="false">
      <c r="A10903" s="9" t="s">
        <v>601</v>
      </c>
      <c r="C10903" s="61" t="n">
        <f aca="false">IFERROR(P10845/P10835,0)</f>
        <v>8466.16681128596</v>
      </c>
      <c r="D10903" s="61"/>
    </row>
  </sheetData>
  <mergeCells count="1854">
    <mergeCell ref="A4:N4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C140:D140"/>
    <mergeCell ref="A143:N143"/>
    <mergeCell ref="C258:D258"/>
    <mergeCell ref="C259:D259"/>
    <mergeCell ref="C260:D260"/>
    <mergeCell ref="C261:D261"/>
    <mergeCell ref="C262:D262"/>
    <mergeCell ref="C263:D263"/>
    <mergeCell ref="C264:D264"/>
    <mergeCell ref="C265:D265"/>
    <mergeCell ref="C266:D266"/>
    <mergeCell ref="C267:D267"/>
    <mergeCell ref="C268:D268"/>
    <mergeCell ref="C269:D269"/>
    <mergeCell ref="C270:D270"/>
    <mergeCell ref="C271:D271"/>
    <mergeCell ref="C272:D272"/>
    <mergeCell ref="C273:D273"/>
    <mergeCell ref="C274:D274"/>
    <mergeCell ref="C275:D275"/>
    <mergeCell ref="C276:D276"/>
    <mergeCell ref="C277:D277"/>
    <mergeCell ref="C278:D278"/>
    <mergeCell ref="C279:D279"/>
    <mergeCell ref="A282:N282"/>
    <mergeCell ref="C397:D397"/>
    <mergeCell ref="C398:D398"/>
    <mergeCell ref="C399:D399"/>
    <mergeCell ref="C400:D400"/>
    <mergeCell ref="C401:D401"/>
    <mergeCell ref="C402:D402"/>
    <mergeCell ref="C403:D403"/>
    <mergeCell ref="C404:D404"/>
    <mergeCell ref="C405:D405"/>
    <mergeCell ref="C406:D406"/>
    <mergeCell ref="C407:D407"/>
    <mergeCell ref="C408:D408"/>
    <mergeCell ref="C409:D409"/>
    <mergeCell ref="C410:D410"/>
    <mergeCell ref="C411:D411"/>
    <mergeCell ref="C412:D412"/>
    <mergeCell ref="C413:D413"/>
    <mergeCell ref="C414:D414"/>
    <mergeCell ref="C415:D415"/>
    <mergeCell ref="C416:D416"/>
    <mergeCell ref="C417:D417"/>
    <mergeCell ref="C418:D418"/>
    <mergeCell ref="A421:N421"/>
    <mergeCell ref="A422:N422"/>
    <mergeCell ref="C537:D537"/>
    <mergeCell ref="C538:D538"/>
    <mergeCell ref="C539:D539"/>
    <mergeCell ref="C540:D540"/>
    <mergeCell ref="C541:D541"/>
    <mergeCell ref="C542:D542"/>
    <mergeCell ref="C543:D543"/>
    <mergeCell ref="C544:D544"/>
    <mergeCell ref="C545:D545"/>
    <mergeCell ref="C546:D546"/>
    <mergeCell ref="C547:D547"/>
    <mergeCell ref="C548:D548"/>
    <mergeCell ref="C549:D549"/>
    <mergeCell ref="C550:D550"/>
    <mergeCell ref="C551:D551"/>
    <mergeCell ref="C552:D552"/>
    <mergeCell ref="C553:D553"/>
    <mergeCell ref="C554:D554"/>
    <mergeCell ref="C555:D555"/>
    <mergeCell ref="C556:D556"/>
    <mergeCell ref="C557:D557"/>
    <mergeCell ref="C558:D558"/>
    <mergeCell ref="A561:N561"/>
    <mergeCell ref="A562:N562"/>
    <mergeCell ref="C677:D677"/>
    <mergeCell ref="C678:D678"/>
    <mergeCell ref="C679:D679"/>
    <mergeCell ref="C680:D680"/>
    <mergeCell ref="C681:D681"/>
    <mergeCell ref="C682:D682"/>
    <mergeCell ref="C683:D683"/>
    <mergeCell ref="C684:D684"/>
    <mergeCell ref="C685:D685"/>
    <mergeCell ref="C686:D686"/>
    <mergeCell ref="C687:D687"/>
    <mergeCell ref="C688:D688"/>
    <mergeCell ref="C689:D689"/>
    <mergeCell ref="C690:D690"/>
    <mergeCell ref="C691:D691"/>
    <mergeCell ref="C692:D692"/>
    <mergeCell ref="C693:D693"/>
    <mergeCell ref="C694:D694"/>
    <mergeCell ref="C695:D695"/>
    <mergeCell ref="C696:D696"/>
    <mergeCell ref="C697:D697"/>
    <mergeCell ref="C698:D698"/>
    <mergeCell ref="A701:N701"/>
    <mergeCell ref="C816:D816"/>
    <mergeCell ref="C817:D817"/>
    <mergeCell ref="C818:D818"/>
    <mergeCell ref="C819:D819"/>
    <mergeCell ref="C820:D820"/>
    <mergeCell ref="C821:D821"/>
    <mergeCell ref="C822:D822"/>
    <mergeCell ref="C823:D823"/>
    <mergeCell ref="C824:D824"/>
    <mergeCell ref="C825:D825"/>
    <mergeCell ref="C826:D826"/>
    <mergeCell ref="C827:D827"/>
    <mergeCell ref="C828:D828"/>
    <mergeCell ref="C829:D829"/>
    <mergeCell ref="C830:D830"/>
    <mergeCell ref="C831:D831"/>
    <mergeCell ref="C832:D832"/>
    <mergeCell ref="C833:D833"/>
    <mergeCell ref="C834:D834"/>
    <mergeCell ref="C835:D835"/>
    <mergeCell ref="C836:D836"/>
    <mergeCell ref="C837:D837"/>
    <mergeCell ref="A840:N840"/>
    <mergeCell ref="C955:D955"/>
    <mergeCell ref="C956:D956"/>
    <mergeCell ref="C957:D957"/>
    <mergeCell ref="C958:D958"/>
    <mergeCell ref="C959:D959"/>
    <mergeCell ref="C960:D960"/>
    <mergeCell ref="C961:D961"/>
    <mergeCell ref="C962:D962"/>
    <mergeCell ref="C963:D963"/>
    <mergeCell ref="C964:D964"/>
    <mergeCell ref="C965:D965"/>
    <mergeCell ref="C966:D966"/>
    <mergeCell ref="C967:D967"/>
    <mergeCell ref="C968:D968"/>
    <mergeCell ref="C969:D969"/>
    <mergeCell ref="C970:D970"/>
    <mergeCell ref="C971:D971"/>
    <mergeCell ref="C972:D972"/>
    <mergeCell ref="C973:D973"/>
    <mergeCell ref="C974:D974"/>
    <mergeCell ref="C975:D975"/>
    <mergeCell ref="C976:D976"/>
    <mergeCell ref="A979:N979"/>
    <mergeCell ref="C1094:D1094"/>
    <mergeCell ref="C1095:D1095"/>
    <mergeCell ref="C1096:D1096"/>
    <mergeCell ref="C1097:D1097"/>
    <mergeCell ref="C1098:D1098"/>
    <mergeCell ref="C1099:D1099"/>
    <mergeCell ref="C1100:D1100"/>
    <mergeCell ref="C1101:D1101"/>
    <mergeCell ref="C1102:D1102"/>
    <mergeCell ref="C1103:D1103"/>
    <mergeCell ref="C1104:D1104"/>
    <mergeCell ref="C1105:D1105"/>
    <mergeCell ref="C1106:D1106"/>
    <mergeCell ref="C1107:D1107"/>
    <mergeCell ref="C1108:D1108"/>
    <mergeCell ref="C1109:D1109"/>
    <mergeCell ref="C1110:D1110"/>
    <mergeCell ref="C1111:D1111"/>
    <mergeCell ref="C1112:D1112"/>
    <mergeCell ref="C1113:D1113"/>
    <mergeCell ref="C1114:D1114"/>
    <mergeCell ref="C1115:D1115"/>
    <mergeCell ref="A1118:N1118"/>
    <mergeCell ref="C1233:D1233"/>
    <mergeCell ref="C1234:D1234"/>
    <mergeCell ref="C1235:D1235"/>
    <mergeCell ref="C1236:D1236"/>
    <mergeCell ref="C1237:D1237"/>
    <mergeCell ref="C1238:D1238"/>
    <mergeCell ref="C1239:D1239"/>
    <mergeCell ref="C1240:D1240"/>
    <mergeCell ref="C1241:D1241"/>
    <mergeCell ref="C1242:D1242"/>
    <mergeCell ref="C1243:D1243"/>
    <mergeCell ref="C1244:D1244"/>
    <mergeCell ref="C1245:D1245"/>
    <mergeCell ref="C1246:D1246"/>
    <mergeCell ref="C1247:D1247"/>
    <mergeCell ref="C1248:D1248"/>
    <mergeCell ref="C1249:D1249"/>
    <mergeCell ref="C1250:D1250"/>
    <mergeCell ref="C1251:D1251"/>
    <mergeCell ref="C1252:D1252"/>
    <mergeCell ref="C1253:D1253"/>
    <mergeCell ref="C1254:D1254"/>
    <mergeCell ref="A1257:N1257"/>
    <mergeCell ref="C1372:D1372"/>
    <mergeCell ref="C1373:D1373"/>
    <mergeCell ref="C1374:D1374"/>
    <mergeCell ref="C1375:D1375"/>
    <mergeCell ref="C1376:D1376"/>
    <mergeCell ref="C1377:D1377"/>
    <mergeCell ref="C1378:D1378"/>
    <mergeCell ref="C1379:D1379"/>
    <mergeCell ref="C1380:D1380"/>
    <mergeCell ref="C1381:D1381"/>
    <mergeCell ref="C1382:D1382"/>
    <mergeCell ref="C1383:D1383"/>
    <mergeCell ref="C1384:D1384"/>
    <mergeCell ref="C1385:D1385"/>
    <mergeCell ref="C1386:D1386"/>
    <mergeCell ref="C1387:D1387"/>
    <mergeCell ref="C1388:D1388"/>
    <mergeCell ref="C1389:D1389"/>
    <mergeCell ref="C1390:D1390"/>
    <mergeCell ref="C1391:D1391"/>
    <mergeCell ref="C1392:D1392"/>
    <mergeCell ref="C1393:D1393"/>
    <mergeCell ref="A1396:N1396"/>
    <mergeCell ref="C1511:D1511"/>
    <mergeCell ref="C1512:D1512"/>
    <mergeCell ref="C1513:D1513"/>
    <mergeCell ref="C1514:D1514"/>
    <mergeCell ref="C1515:D1515"/>
    <mergeCell ref="C1516:D1516"/>
    <mergeCell ref="C1517:D1517"/>
    <mergeCell ref="C1518:D1518"/>
    <mergeCell ref="C1519:D1519"/>
    <mergeCell ref="C1520:D1520"/>
    <mergeCell ref="C1521:D1521"/>
    <mergeCell ref="C1522:D1522"/>
    <mergeCell ref="C1523:D1523"/>
    <mergeCell ref="C1524:D1524"/>
    <mergeCell ref="C1525:D1525"/>
    <mergeCell ref="C1526:D1526"/>
    <mergeCell ref="C1527:D1527"/>
    <mergeCell ref="C1528:D1528"/>
    <mergeCell ref="C1529:D1529"/>
    <mergeCell ref="C1530:D1530"/>
    <mergeCell ref="C1531:D1531"/>
    <mergeCell ref="C1532:D1532"/>
    <mergeCell ref="A1535:N1535"/>
    <mergeCell ref="C1650:D1650"/>
    <mergeCell ref="C1651:D1651"/>
    <mergeCell ref="C1652:D1652"/>
    <mergeCell ref="C1653:D1653"/>
    <mergeCell ref="C1654:D1654"/>
    <mergeCell ref="C1655:D1655"/>
    <mergeCell ref="C1656:D1656"/>
    <mergeCell ref="C1657:D1657"/>
    <mergeCell ref="C1658:D1658"/>
    <mergeCell ref="C1659:D1659"/>
    <mergeCell ref="C1660:D1660"/>
    <mergeCell ref="C1661:D1661"/>
    <mergeCell ref="C1662:D1662"/>
    <mergeCell ref="C1663:D1663"/>
    <mergeCell ref="C1664:D1664"/>
    <mergeCell ref="C1665:D1665"/>
    <mergeCell ref="C1666:D1666"/>
    <mergeCell ref="C1667:D1667"/>
    <mergeCell ref="C1668:D1668"/>
    <mergeCell ref="C1669:D1669"/>
    <mergeCell ref="C1670:D1670"/>
    <mergeCell ref="C1671:D1671"/>
    <mergeCell ref="A1674:N1674"/>
    <mergeCell ref="C1789:D1789"/>
    <mergeCell ref="C1790:D1790"/>
    <mergeCell ref="C1791:D1791"/>
    <mergeCell ref="C1792:D1792"/>
    <mergeCell ref="C1793:D1793"/>
    <mergeCell ref="C1794:D1794"/>
    <mergeCell ref="C1795:D1795"/>
    <mergeCell ref="C1796:D1796"/>
    <mergeCell ref="C1797:D1797"/>
    <mergeCell ref="C1798:D1798"/>
    <mergeCell ref="C1799:D1799"/>
    <mergeCell ref="C1800:D1800"/>
    <mergeCell ref="C1801:D1801"/>
    <mergeCell ref="C1802:D1802"/>
    <mergeCell ref="C1803:D1803"/>
    <mergeCell ref="C1804:D1804"/>
    <mergeCell ref="C1805:D1805"/>
    <mergeCell ref="C1806:D1806"/>
    <mergeCell ref="C1807:D1807"/>
    <mergeCell ref="C1808:D1808"/>
    <mergeCell ref="C1809:D1809"/>
    <mergeCell ref="C1810:D1810"/>
    <mergeCell ref="A1813:N1813"/>
    <mergeCell ref="C1928:D1928"/>
    <mergeCell ref="C1929:D1929"/>
    <mergeCell ref="C1930:D1930"/>
    <mergeCell ref="C1931:D1931"/>
    <mergeCell ref="C1932:D1932"/>
    <mergeCell ref="C1933:D1933"/>
    <mergeCell ref="C1934:D1934"/>
    <mergeCell ref="C1935:D1935"/>
    <mergeCell ref="C1936:D1936"/>
    <mergeCell ref="C1937:D1937"/>
    <mergeCell ref="C1938:D1938"/>
    <mergeCell ref="C1939:D1939"/>
    <mergeCell ref="C1940:D1940"/>
    <mergeCell ref="C1941:D1941"/>
    <mergeCell ref="C1942:D1942"/>
    <mergeCell ref="C1943:D1943"/>
    <mergeCell ref="C1944:D1944"/>
    <mergeCell ref="C1945:D1945"/>
    <mergeCell ref="C1946:D1946"/>
    <mergeCell ref="C1947:D1947"/>
    <mergeCell ref="C1948:D1948"/>
    <mergeCell ref="C1949:D1949"/>
    <mergeCell ref="A1952:N1952"/>
    <mergeCell ref="A1953:N1953"/>
    <mergeCell ref="C2068:D2068"/>
    <mergeCell ref="C2069:D2069"/>
    <mergeCell ref="C2070:D2070"/>
    <mergeCell ref="C2071:D2071"/>
    <mergeCell ref="C2072:D2072"/>
    <mergeCell ref="C2073:D2073"/>
    <mergeCell ref="C2074:D2074"/>
    <mergeCell ref="C2075:D2075"/>
    <mergeCell ref="C2076:D2076"/>
    <mergeCell ref="C2077:D2077"/>
    <mergeCell ref="C2078:D2078"/>
    <mergeCell ref="C2079:D2079"/>
    <mergeCell ref="C2080:D2080"/>
    <mergeCell ref="C2081:D2081"/>
    <mergeCell ref="C2082:D2082"/>
    <mergeCell ref="C2083:D2083"/>
    <mergeCell ref="C2084:D2084"/>
    <mergeCell ref="C2085:D2085"/>
    <mergeCell ref="C2086:D2086"/>
    <mergeCell ref="C2087:D2087"/>
    <mergeCell ref="C2088:D2088"/>
    <mergeCell ref="C2089:D2089"/>
    <mergeCell ref="A2092:N2092"/>
    <mergeCell ref="A2093:N2093"/>
    <mergeCell ref="C2208:D2208"/>
    <mergeCell ref="C2209:D2209"/>
    <mergeCell ref="C2210:D2210"/>
    <mergeCell ref="C2211:D2211"/>
    <mergeCell ref="C2212:D2212"/>
    <mergeCell ref="C2213:D2213"/>
    <mergeCell ref="C2214:D2214"/>
    <mergeCell ref="C2215:D2215"/>
    <mergeCell ref="C2216:D2216"/>
    <mergeCell ref="C2217:D2217"/>
    <mergeCell ref="C2218:D2218"/>
    <mergeCell ref="C2219:D2219"/>
    <mergeCell ref="C2220:D2220"/>
    <mergeCell ref="C2221:D2221"/>
    <mergeCell ref="C2222:D2222"/>
    <mergeCell ref="C2223:D2223"/>
    <mergeCell ref="C2224:D2224"/>
    <mergeCell ref="C2225:D2225"/>
    <mergeCell ref="C2226:D2226"/>
    <mergeCell ref="C2227:D2227"/>
    <mergeCell ref="C2228:D2228"/>
    <mergeCell ref="C2229:D2229"/>
    <mergeCell ref="A2232:N2232"/>
    <mergeCell ref="C2347:D2347"/>
    <mergeCell ref="C2348:D2348"/>
    <mergeCell ref="C2349:D2349"/>
    <mergeCell ref="C2350:D2350"/>
    <mergeCell ref="C2351:D2351"/>
    <mergeCell ref="C2352:D2352"/>
    <mergeCell ref="C2353:D2353"/>
    <mergeCell ref="C2354:D2354"/>
    <mergeCell ref="C2355:D2355"/>
    <mergeCell ref="C2356:D2356"/>
    <mergeCell ref="C2357:D2357"/>
    <mergeCell ref="C2358:D2358"/>
    <mergeCell ref="C2359:D2359"/>
    <mergeCell ref="C2360:D2360"/>
    <mergeCell ref="C2361:D2361"/>
    <mergeCell ref="C2362:D2362"/>
    <mergeCell ref="C2363:D2363"/>
    <mergeCell ref="C2364:D2364"/>
    <mergeCell ref="C2365:D2365"/>
    <mergeCell ref="C2366:D2366"/>
    <mergeCell ref="C2367:D2367"/>
    <mergeCell ref="C2368:D2368"/>
    <mergeCell ref="A2371:N2371"/>
    <mergeCell ref="C2486:D2486"/>
    <mergeCell ref="C2487:D2487"/>
    <mergeCell ref="C2488:D2488"/>
    <mergeCell ref="C2489:D2489"/>
    <mergeCell ref="C2490:D2490"/>
    <mergeCell ref="C2491:D2491"/>
    <mergeCell ref="C2492:D2492"/>
    <mergeCell ref="C2493:D2493"/>
    <mergeCell ref="C2494:D2494"/>
    <mergeCell ref="C2495:D2495"/>
    <mergeCell ref="C2496:D2496"/>
    <mergeCell ref="C2497:D2497"/>
    <mergeCell ref="C2498:D2498"/>
    <mergeCell ref="C2499:D2499"/>
    <mergeCell ref="C2500:D2500"/>
    <mergeCell ref="C2501:D2501"/>
    <mergeCell ref="C2502:D2502"/>
    <mergeCell ref="C2503:D2503"/>
    <mergeCell ref="C2504:D2504"/>
    <mergeCell ref="C2505:D2505"/>
    <mergeCell ref="C2506:D2506"/>
    <mergeCell ref="C2507:D2507"/>
    <mergeCell ref="A2510:N2510"/>
    <mergeCell ref="C2625:D2625"/>
    <mergeCell ref="C2626:D2626"/>
    <mergeCell ref="C2627:D2627"/>
    <mergeCell ref="C2628:D2628"/>
    <mergeCell ref="C2629:D2629"/>
    <mergeCell ref="C2630:D2630"/>
    <mergeCell ref="C2631:D2631"/>
    <mergeCell ref="C2632:D2632"/>
    <mergeCell ref="C2633:D2633"/>
    <mergeCell ref="C2634:D2634"/>
    <mergeCell ref="C2635:D2635"/>
    <mergeCell ref="C2636:D2636"/>
    <mergeCell ref="C2637:D2637"/>
    <mergeCell ref="C2638:D2638"/>
    <mergeCell ref="C2639:D2639"/>
    <mergeCell ref="C2640:D2640"/>
    <mergeCell ref="C2641:D2641"/>
    <mergeCell ref="C2642:D2642"/>
    <mergeCell ref="C2643:D2643"/>
    <mergeCell ref="C2644:D2644"/>
    <mergeCell ref="C2645:D2645"/>
    <mergeCell ref="C2646:D2646"/>
    <mergeCell ref="A2649:N2649"/>
    <mergeCell ref="C2764:D2764"/>
    <mergeCell ref="C2765:D2765"/>
    <mergeCell ref="C2766:D2766"/>
    <mergeCell ref="C2767:D2767"/>
    <mergeCell ref="C2768:D2768"/>
    <mergeCell ref="C2769:D2769"/>
    <mergeCell ref="C2770:D2770"/>
    <mergeCell ref="C2771:D2771"/>
    <mergeCell ref="C2772:D2772"/>
    <mergeCell ref="C2773:D2773"/>
    <mergeCell ref="C2774:D2774"/>
    <mergeCell ref="C2775:D2775"/>
    <mergeCell ref="C2776:D2776"/>
    <mergeCell ref="C2777:D2777"/>
    <mergeCell ref="C2778:D2778"/>
    <mergeCell ref="C2779:D2779"/>
    <mergeCell ref="C2780:D2780"/>
    <mergeCell ref="C2781:D2781"/>
    <mergeCell ref="C2782:D2782"/>
    <mergeCell ref="C2783:D2783"/>
    <mergeCell ref="C2784:D2784"/>
    <mergeCell ref="C2785:D2785"/>
    <mergeCell ref="A2788:N2788"/>
    <mergeCell ref="C2903:D2903"/>
    <mergeCell ref="C2904:D2904"/>
    <mergeCell ref="C2905:D2905"/>
    <mergeCell ref="C2906:D2906"/>
    <mergeCell ref="C2907:D2907"/>
    <mergeCell ref="C2908:D2908"/>
    <mergeCell ref="C2909:D2909"/>
    <mergeCell ref="C2910:D2910"/>
    <mergeCell ref="C2911:D2911"/>
    <mergeCell ref="C2912:D2912"/>
    <mergeCell ref="C2913:D2913"/>
    <mergeCell ref="C2914:D2914"/>
    <mergeCell ref="C2915:D2915"/>
    <mergeCell ref="C2916:D2916"/>
    <mergeCell ref="C2917:D2917"/>
    <mergeCell ref="C2918:D2918"/>
    <mergeCell ref="C2919:D2919"/>
    <mergeCell ref="C2920:D2920"/>
    <mergeCell ref="C2921:D2921"/>
    <mergeCell ref="C2922:D2922"/>
    <mergeCell ref="C2923:D2923"/>
    <mergeCell ref="C2924:D2924"/>
    <mergeCell ref="A2927:N2927"/>
    <mergeCell ref="C3042:D3042"/>
    <mergeCell ref="C3043:D3043"/>
    <mergeCell ref="C3044:D3044"/>
    <mergeCell ref="C3045:D3045"/>
    <mergeCell ref="C3046:D3046"/>
    <mergeCell ref="C3047:D3047"/>
    <mergeCell ref="C3048:D3048"/>
    <mergeCell ref="C3049:D3049"/>
    <mergeCell ref="C3050:D3050"/>
    <mergeCell ref="C3051:D3051"/>
    <mergeCell ref="C3052:D3052"/>
    <mergeCell ref="C3053:D3053"/>
    <mergeCell ref="C3054:D3054"/>
    <mergeCell ref="C3055:D3055"/>
    <mergeCell ref="C3056:D3056"/>
    <mergeCell ref="C3057:D3057"/>
    <mergeCell ref="C3058:D3058"/>
    <mergeCell ref="C3059:D3059"/>
    <mergeCell ref="C3060:D3060"/>
    <mergeCell ref="C3061:D3061"/>
    <mergeCell ref="C3062:D3062"/>
    <mergeCell ref="C3063:D3063"/>
    <mergeCell ref="A3066:N3066"/>
    <mergeCell ref="A3067:N3067"/>
    <mergeCell ref="C3182:D3182"/>
    <mergeCell ref="C3183:D3183"/>
    <mergeCell ref="C3184:D3184"/>
    <mergeCell ref="C3185:D3185"/>
    <mergeCell ref="C3186:D3186"/>
    <mergeCell ref="C3187:D3187"/>
    <mergeCell ref="C3188:D3188"/>
    <mergeCell ref="C3189:D3189"/>
    <mergeCell ref="C3190:D3190"/>
    <mergeCell ref="C3191:D3191"/>
    <mergeCell ref="C3192:D3192"/>
    <mergeCell ref="C3193:D3193"/>
    <mergeCell ref="C3194:D3194"/>
    <mergeCell ref="C3195:D3195"/>
    <mergeCell ref="C3196:D3196"/>
    <mergeCell ref="C3197:D3197"/>
    <mergeCell ref="C3198:D3198"/>
    <mergeCell ref="C3199:D3199"/>
    <mergeCell ref="C3200:D3200"/>
    <mergeCell ref="C3201:D3201"/>
    <mergeCell ref="C3202:D3202"/>
    <mergeCell ref="C3203:D3203"/>
    <mergeCell ref="A3206:N3206"/>
    <mergeCell ref="A3207:N3207"/>
    <mergeCell ref="C3322:D3322"/>
    <mergeCell ref="C3323:D3323"/>
    <mergeCell ref="C3324:D3324"/>
    <mergeCell ref="C3325:D3325"/>
    <mergeCell ref="C3326:D3326"/>
    <mergeCell ref="C3327:D3327"/>
    <mergeCell ref="C3328:D3328"/>
    <mergeCell ref="C3329:D3329"/>
    <mergeCell ref="C3330:D3330"/>
    <mergeCell ref="C3331:D3331"/>
    <mergeCell ref="C3332:D3332"/>
    <mergeCell ref="C3333:D3333"/>
    <mergeCell ref="C3334:D3334"/>
    <mergeCell ref="C3335:D3335"/>
    <mergeCell ref="C3336:D3336"/>
    <mergeCell ref="C3337:D3337"/>
    <mergeCell ref="C3338:D3338"/>
    <mergeCell ref="C3339:D3339"/>
    <mergeCell ref="C3340:D3340"/>
    <mergeCell ref="C3341:D3341"/>
    <mergeCell ref="C3342:D3342"/>
    <mergeCell ref="C3343:D3343"/>
    <mergeCell ref="A3346:N3346"/>
    <mergeCell ref="A3347:N3347"/>
    <mergeCell ref="C3462:D3462"/>
    <mergeCell ref="C3463:D3463"/>
    <mergeCell ref="C3464:D3464"/>
    <mergeCell ref="C3465:D3465"/>
    <mergeCell ref="C3466:D3466"/>
    <mergeCell ref="C3467:D3467"/>
    <mergeCell ref="C3468:D3468"/>
    <mergeCell ref="C3469:D3469"/>
    <mergeCell ref="C3470:D3470"/>
    <mergeCell ref="C3471:D3471"/>
    <mergeCell ref="C3472:D3472"/>
    <mergeCell ref="C3473:D3473"/>
    <mergeCell ref="C3474:D3474"/>
    <mergeCell ref="C3475:D3475"/>
    <mergeCell ref="C3476:D3476"/>
    <mergeCell ref="C3477:D3477"/>
    <mergeCell ref="C3478:D3478"/>
    <mergeCell ref="C3479:D3479"/>
    <mergeCell ref="C3480:D3480"/>
    <mergeCell ref="C3481:D3481"/>
    <mergeCell ref="C3482:D3482"/>
    <mergeCell ref="C3483:D3483"/>
    <mergeCell ref="A3486:N3486"/>
    <mergeCell ref="A3487:N3487"/>
    <mergeCell ref="C3602:D3602"/>
    <mergeCell ref="C3603:D3603"/>
    <mergeCell ref="C3604:D3604"/>
    <mergeCell ref="C3605:D3605"/>
    <mergeCell ref="C3606:D3606"/>
    <mergeCell ref="C3607:D3607"/>
    <mergeCell ref="C3608:D3608"/>
    <mergeCell ref="C3609:D3609"/>
    <mergeCell ref="C3610:D3610"/>
    <mergeCell ref="C3611:D3611"/>
    <mergeCell ref="C3612:D3612"/>
    <mergeCell ref="C3613:D3613"/>
    <mergeCell ref="C3614:D3614"/>
    <mergeCell ref="C3615:D3615"/>
    <mergeCell ref="C3616:D3616"/>
    <mergeCell ref="C3617:D3617"/>
    <mergeCell ref="C3618:D3618"/>
    <mergeCell ref="C3619:D3619"/>
    <mergeCell ref="C3620:D3620"/>
    <mergeCell ref="C3621:D3621"/>
    <mergeCell ref="C3622:D3622"/>
    <mergeCell ref="C3623:D3623"/>
    <mergeCell ref="A3626:N3626"/>
    <mergeCell ref="A3627:N3627"/>
    <mergeCell ref="C3742:D3742"/>
    <mergeCell ref="C3743:D3743"/>
    <mergeCell ref="C3744:D3744"/>
    <mergeCell ref="C3745:D3745"/>
    <mergeCell ref="C3746:D3746"/>
    <mergeCell ref="C3747:D3747"/>
    <mergeCell ref="C3748:D3748"/>
    <mergeCell ref="C3749:D3749"/>
    <mergeCell ref="C3750:D3750"/>
    <mergeCell ref="C3751:D3751"/>
    <mergeCell ref="C3752:D3752"/>
    <mergeCell ref="C3753:D3753"/>
    <mergeCell ref="C3754:D3754"/>
    <mergeCell ref="C3755:D3755"/>
    <mergeCell ref="C3756:D3756"/>
    <mergeCell ref="C3757:D3757"/>
    <mergeCell ref="C3758:D3758"/>
    <mergeCell ref="C3759:D3759"/>
    <mergeCell ref="C3760:D3760"/>
    <mergeCell ref="C3761:D3761"/>
    <mergeCell ref="C3762:D3762"/>
    <mergeCell ref="C3763:D3763"/>
    <mergeCell ref="A3766:N3766"/>
    <mergeCell ref="A3767:N3767"/>
    <mergeCell ref="C3882:D3882"/>
    <mergeCell ref="C3883:D3883"/>
    <mergeCell ref="C3884:D3884"/>
    <mergeCell ref="C3885:D3885"/>
    <mergeCell ref="C3886:D3886"/>
    <mergeCell ref="C3887:D3887"/>
    <mergeCell ref="C3888:D3888"/>
    <mergeCell ref="C3889:D3889"/>
    <mergeCell ref="C3890:D3890"/>
    <mergeCell ref="C3891:D3891"/>
    <mergeCell ref="C3892:D3892"/>
    <mergeCell ref="C3893:D3893"/>
    <mergeCell ref="C3894:D3894"/>
    <mergeCell ref="C3895:D3895"/>
    <mergeCell ref="C3896:D3896"/>
    <mergeCell ref="C3897:D3897"/>
    <mergeCell ref="C3898:D3898"/>
    <mergeCell ref="C3899:D3899"/>
    <mergeCell ref="C3900:D3900"/>
    <mergeCell ref="C3901:D3901"/>
    <mergeCell ref="C3902:D3902"/>
    <mergeCell ref="C3903:D3903"/>
    <mergeCell ref="A3906:N3906"/>
    <mergeCell ref="A3907:N3907"/>
    <mergeCell ref="C4022:D4022"/>
    <mergeCell ref="C4023:D4023"/>
    <mergeCell ref="C4024:D4024"/>
    <mergeCell ref="C4025:D4025"/>
    <mergeCell ref="C4026:D4026"/>
    <mergeCell ref="C4027:D4027"/>
    <mergeCell ref="C4028:D4028"/>
    <mergeCell ref="C4029:D4029"/>
    <mergeCell ref="C4030:D4030"/>
    <mergeCell ref="C4031:D4031"/>
    <mergeCell ref="C4032:D4032"/>
    <mergeCell ref="C4033:D4033"/>
    <mergeCell ref="C4034:D4034"/>
    <mergeCell ref="C4035:D4035"/>
    <mergeCell ref="C4036:D4036"/>
    <mergeCell ref="C4037:D4037"/>
    <mergeCell ref="C4038:D4038"/>
    <mergeCell ref="C4039:D4039"/>
    <mergeCell ref="C4040:D4040"/>
    <mergeCell ref="C4041:D4041"/>
    <mergeCell ref="C4042:D4042"/>
    <mergeCell ref="C4043:D4043"/>
    <mergeCell ref="A4046:N4046"/>
    <mergeCell ref="A4047:N4047"/>
    <mergeCell ref="C4162:D4162"/>
    <mergeCell ref="C4163:D4163"/>
    <mergeCell ref="C4164:D4164"/>
    <mergeCell ref="C4165:D4165"/>
    <mergeCell ref="C4166:D4166"/>
    <mergeCell ref="C4167:D4167"/>
    <mergeCell ref="C4168:D4168"/>
    <mergeCell ref="C4169:D4169"/>
    <mergeCell ref="C4170:D4170"/>
    <mergeCell ref="C4171:D4171"/>
    <mergeCell ref="C4172:D4172"/>
    <mergeCell ref="C4173:D4173"/>
    <mergeCell ref="C4174:D4174"/>
    <mergeCell ref="C4175:D4175"/>
    <mergeCell ref="C4176:D4176"/>
    <mergeCell ref="C4177:D4177"/>
    <mergeCell ref="C4178:D4178"/>
    <mergeCell ref="C4179:D4179"/>
    <mergeCell ref="C4180:D4180"/>
    <mergeCell ref="C4181:D4181"/>
    <mergeCell ref="C4182:D4182"/>
    <mergeCell ref="C4183:D4183"/>
    <mergeCell ref="A4186:N4186"/>
    <mergeCell ref="A4187:N4187"/>
    <mergeCell ref="C4302:D4302"/>
    <mergeCell ref="C4303:D4303"/>
    <mergeCell ref="C4304:D4304"/>
    <mergeCell ref="C4305:D4305"/>
    <mergeCell ref="C4306:D4306"/>
    <mergeCell ref="C4307:D4307"/>
    <mergeCell ref="C4308:D4308"/>
    <mergeCell ref="C4309:D4309"/>
    <mergeCell ref="C4310:D4310"/>
    <mergeCell ref="C4311:D4311"/>
    <mergeCell ref="C4312:D4312"/>
    <mergeCell ref="C4313:D4313"/>
    <mergeCell ref="C4314:D4314"/>
    <mergeCell ref="C4315:D4315"/>
    <mergeCell ref="C4316:D4316"/>
    <mergeCell ref="C4317:D4317"/>
    <mergeCell ref="C4318:D4318"/>
    <mergeCell ref="C4319:D4319"/>
    <mergeCell ref="C4320:D4320"/>
    <mergeCell ref="C4321:D4321"/>
    <mergeCell ref="C4322:D4322"/>
    <mergeCell ref="C4323:D4323"/>
    <mergeCell ref="A4326:N4326"/>
    <mergeCell ref="A4327:N4327"/>
    <mergeCell ref="C4442:D4442"/>
    <mergeCell ref="C4443:D4443"/>
    <mergeCell ref="C4444:D4444"/>
    <mergeCell ref="C4445:D4445"/>
    <mergeCell ref="C4446:D4446"/>
    <mergeCell ref="C4447:D4447"/>
    <mergeCell ref="C4448:D4448"/>
    <mergeCell ref="C4449:D4449"/>
    <mergeCell ref="C4450:D4450"/>
    <mergeCell ref="C4451:D4451"/>
    <mergeCell ref="C4452:D4452"/>
    <mergeCell ref="C4453:D4453"/>
    <mergeCell ref="C4454:D4454"/>
    <mergeCell ref="C4455:D4455"/>
    <mergeCell ref="C4456:D4456"/>
    <mergeCell ref="C4457:D4457"/>
    <mergeCell ref="C4458:D4458"/>
    <mergeCell ref="C4459:D4459"/>
    <mergeCell ref="C4460:D4460"/>
    <mergeCell ref="C4461:D4461"/>
    <mergeCell ref="C4462:D4462"/>
    <mergeCell ref="C4463:D4463"/>
    <mergeCell ref="A4466:N4466"/>
    <mergeCell ref="A4467:N4467"/>
    <mergeCell ref="C4582:D4582"/>
    <mergeCell ref="C4583:D4583"/>
    <mergeCell ref="C4584:D4584"/>
    <mergeCell ref="C4585:D4585"/>
    <mergeCell ref="C4586:D4586"/>
    <mergeCell ref="C4587:D4587"/>
    <mergeCell ref="C4588:D4588"/>
    <mergeCell ref="C4589:D4589"/>
    <mergeCell ref="C4590:D4590"/>
    <mergeCell ref="C4591:D4591"/>
    <mergeCell ref="C4592:D4592"/>
    <mergeCell ref="C4593:D4593"/>
    <mergeCell ref="C4594:D4594"/>
    <mergeCell ref="C4595:D4595"/>
    <mergeCell ref="C4596:D4596"/>
    <mergeCell ref="C4597:D4597"/>
    <mergeCell ref="C4598:D4598"/>
    <mergeCell ref="C4599:D4599"/>
    <mergeCell ref="C4600:D4600"/>
    <mergeCell ref="C4601:D4601"/>
    <mergeCell ref="C4602:D4602"/>
    <mergeCell ref="C4603:D4603"/>
    <mergeCell ref="A4606:N4606"/>
    <mergeCell ref="A4607:N4607"/>
    <mergeCell ref="C4722:D4722"/>
    <mergeCell ref="C4723:D4723"/>
    <mergeCell ref="C4724:D4724"/>
    <mergeCell ref="C4725:D4725"/>
    <mergeCell ref="C4726:D4726"/>
    <mergeCell ref="C4727:D4727"/>
    <mergeCell ref="C4728:D4728"/>
    <mergeCell ref="C4729:D4729"/>
    <mergeCell ref="C4730:D4730"/>
    <mergeCell ref="C4731:D4731"/>
    <mergeCell ref="C4732:D4732"/>
    <mergeCell ref="C4733:D4733"/>
    <mergeCell ref="C4734:D4734"/>
    <mergeCell ref="C4735:D4735"/>
    <mergeCell ref="C4736:D4736"/>
    <mergeCell ref="C4737:D4737"/>
    <mergeCell ref="C4738:D4738"/>
    <mergeCell ref="C4739:D4739"/>
    <mergeCell ref="C4740:D4740"/>
    <mergeCell ref="C4741:D4741"/>
    <mergeCell ref="C4742:D4742"/>
    <mergeCell ref="C4743:D4743"/>
    <mergeCell ref="A4746:N4746"/>
    <mergeCell ref="A4747:N4747"/>
    <mergeCell ref="C4862:D4862"/>
    <mergeCell ref="C4863:D4863"/>
    <mergeCell ref="C4864:D4864"/>
    <mergeCell ref="C4865:D4865"/>
    <mergeCell ref="C4866:D4866"/>
    <mergeCell ref="C4867:D4867"/>
    <mergeCell ref="C4868:D4868"/>
    <mergeCell ref="C4869:D4869"/>
    <mergeCell ref="C4870:D4870"/>
    <mergeCell ref="C4871:D4871"/>
    <mergeCell ref="C4872:D4872"/>
    <mergeCell ref="C4873:D4873"/>
    <mergeCell ref="C4874:D4874"/>
    <mergeCell ref="C4875:D4875"/>
    <mergeCell ref="C4876:D4876"/>
    <mergeCell ref="C4877:D4877"/>
    <mergeCell ref="C4878:D4878"/>
    <mergeCell ref="C4879:D4879"/>
    <mergeCell ref="C4880:D4880"/>
    <mergeCell ref="C4881:D4881"/>
    <mergeCell ref="C4882:D4882"/>
    <mergeCell ref="C4883:D4883"/>
    <mergeCell ref="A4886:N4886"/>
    <mergeCell ref="A4887:N4887"/>
    <mergeCell ref="C5002:D5002"/>
    <mergeCell ref="C5003:D5003"/>
    <mergeCell ref="C5004:D5004"/>
    <mergeCell ref="C5005:D5005"/>
    <mergeCell ref="C5006:D5006"/>
    <mergeCell ref="C5007:D5007"/>
    <mergeCell ref="C5008:D5008"/>
    <mergeCell ref="C5009:D5009"/>
    <mergeCell ref="C5010:D5010"/>
    <mergeCell ref="C5011:D5011"/>
    <mergeCell ref="C5012:D5012"/>
    <mergeCell ref="C5013:D5013"/>
    <mergeCell ref="C5014:D5014"/>
    <mergeCell ref="C5015:D5015"/>
    <mergeCell ref="C5016:D5016"/>
    <mergeCell ref="C5017:D5017"/>
    <mergeCell ref="C5018:D5018"/>
    <mergeCell ref="C5019:D5019"/>
    <mergeCell ref="C5020:D5020"/>
    <mergeCell ref="C5021:D5021"/>
    <mergeCell ref="C5022:D5022"/>
    <mergeCell ref="C5023:D5023"/>
    <mergeCell ref="A5026:N5026"/>
    <mergeCell ref="A5027:N5027"/>
    <mergeCell ref="C5142:D5142"/>
    <mergeCell ref="C5143:D5143"/>
    <mergeCell ref="C5144:D5144"/>
    <mergeCell ref="C5145:D5145"/>
    <mergeCell ref="C5146:D5146"/>
    <mergeCell ref="C5147:D5147"/>
    <mergeCell ref="C5148:D5148"/>
    <mergeCell ref="C5149:D5149"/>
    <mergeCell ref="C5150:D5150"/>
    <mergeCell ref="C5151:D5151"/>
    <mergeCell ref="C5152:D5152"/>
    <mergeCell ref="C5153:D5153"/>
    <mergeCell ref="C5154:D5154"/>
    <mergeCell ref="C5155:D5155"/>
    <mergeCell ref="C5156:D5156"/>
    <mergeCell ref="C5157:D5157"/>
    <mergeCell ref="C5158:D5158"/>
    <mergeCell ref="C5159:D5159"/>
    <mergeCell ref="C5160:D5160"/>
    <mergeCell ref="C5161:D5161"/>
    <mergeCell ref="C5162:D5162"/>
    <mergeCell ref="C5163:D5163"/>
    <mergeCell ref="A5166:N5166"/>
    <mergeCell ref="A5167:N5167"/>
    <mergeCell ref="C5282:D5282"/>
    <mergeCell ref="C5283:D5283"/>
    <mergeCell ref="C5284:D5284"/>
    <mergeCell ref="C5285:D5285"/>
    <mergeCell ref="C5286:D5286"/>
    <mergeCell ref="C5287:D5287"/>
    <mergeCell ref="C5288:D5288"/>
    <mergeCell ref="C5289:D5289"/>
    <mergeCell ref="C5290:D5290"/>
    <mergeCell ref="C5291:D5291"/>
    <mergeCell ref="C5292:D5292"/>
    <mergeCell ref="C5293:D5293"/>
    <mergeCell ref="C5294:D5294"/>
    <mergeCell ref="C5295:D5295"/>
    <mergeCell ref="C5296:D5296"/>
    <mergeCell ref="C5297:D5297"/>
    <mergeCell ref="C5298:D5298"/>
    <mergeCell ref="C5299:D5299"/>
    <mergeCell ref="C5300:D5300"/>
    <mergeCell ref="C5301:D5301"/>
    <mergeCell ref="C5302:D5302"/>
    <mergeCell ref="C5303:D5303"/>
    <mergeCell ref="A5306:N5306"/>
    <mergeCell ref="A5307:N5307"/>
    <mergeCell ref="C5422:D5422"/>
    <mergeCell ref="C5423:D5423"/>
    <mergeCell ref="C5424:D5424"/>
    <mergeCell ref="C5425:D5425"/>
    <mergeCell ref="C5426:D5426"/>
    <mergeCell ref="C5427:D5427"/>
    <mergeCell ref="C5428:D5428"/>
    <mergeCell ref="C5429:D5429"/>
    <mergeCell ref="C5430:D5430"/>
    <mergeCell ref="C5431:D5431"/>
    <mergeCell ref="C5432:D5432"/>
    <mergeCell ref="C5433:D5433"/>
    <mergeCell ref="C5434:D5434"/>
    <mergeCell ref="C5435:D5435"/>
    <mergeCell ref="C5436:D5436"/>
    <mergeCell ref="C5437:D5437"/>
    <mergeCell ref="C5438:D5438"/>
    <mergeCell ref="C5439:D5439"/>
    <mergeCell ref="C5440:D5440"/>
    <mergeCell ref="C5441:D5441"/>
    <mergeCell ref="C5442:D5442"/>
    <mergeCell ref="C5443:D5443"/>
    <mergeCell ref="A5446:N5446"/>
    <mergeCell ref="A5447:N5447"/>
    <mergeCell ref="C5562:D5562"/>
    <mergeCell ref="C5563:D5563"/>
    <mergeCell ref="C5564:D5564"/>
    <mergeCell ref="C5565:D5565"/>
    <mergeCell ref="C5566:D5566"/>
    <mergeCell ref="C5567:D5567"/>
    <mergeCell ref="C5568:D5568"/>
    <mergeCell ref="C5569:D5569"/>
    <mergeCell ref="C5570:D5570"/>
    <mergeCell ref="C5571:D5571"/>
    <mergeCell ref="C5572:D5572"/>
    <mergeCell ref="C5573:D5573"/>
    <mergeCell ref="C5574:D5574"/>
    <mergeCell ref="C5575:D5575"/>
    <mergeCell ref="C5576:D5576"/>
    <mergeCell ref="C5577:D5577"/>
    <mergeCell ref="C5578:D5578"/>
    <mergeCell ref="C5579:D5579"/>
    <mergeCell ref="C5580:D5580"/>
    <mergeCell ref="C5581:D5581"/>
    <mergeCell ref="C5582:D5582"/>
    <mergeCell ref="C5583:D5583"/>
    <mergeCell ref="A5586:N5586"/>
    <mergeCell ref="A5587:N5587"/>
    <mergeCell ref="C5702:D5702"/>
    <mergeCell ref="C5703:D5703"/>
    <mergeCell ref="C5704:D5704"/>
    <mergeCell ref="C5705:D5705"/>
    <mergeCell ref="C5706:D5706"/>
    <mergeCell ref="C5707:D5707"/>
    <mergeCell ref="C5708:D5708"/>
    <mergeCell ref="C5709:D5709"/>
    <mergeCell ref="C5710:D5710"/>
    <mergeCell ref="C5711:D5711"/>
    <mergeCell ref="C5712:D5712"/>
    <mergeCell ref="C5713:D5713"/>
    <mergeCell ref="C5714:D5714"/>
    <mergeCell ref="C5715:D5715"/>
    <mergeCell ref="C5716:D5716"/>
    <mergeCell ref="C5717:D5717"/>
    <mergeCell ref="C5718:D5718"/>
    <mergeCell ref="C5719:D5719"/>
    <mergeCell ref="C5720:D5720"/>
    <mergeCell ref="C5721:D5721"/>
    <mergeCell ref="C5722:D5722"/>
    <mergeCell ref="C5723:D5723"/>
    <mergeCell ref="A5726:N5726"/>
    <mergeCell ref="A5727:N5727"/>
    <mergeCell ref="C5842:D5842"/>
    <mergeCell ref="C5843:D5843"/>
    <mergeCell ref="C5844:D5844"/>
    <mergeCell ref="C5845:D5845"/>
    <mergeCell ref="C5846:D5846"/>
    <mergeCell ref="C5847:D5847"/>
    <mergeCell ref="C5848:D5848"/>
    <mergeCell ref="C5849:D5849"/>
    <mergeCell ref="C5850:D5850"/>
    <mergeCell ref="C5851:D5851"/>
    <mergeCell ref="C5852:D5852"/>
    <mergeCell ref="C5853:D5853"/>
    <mergeCell ref="C5854:D5854"/>
    <mergeCell ref="C5855:D5855"/>
    <mergeCell ref="C5856:D5856"/>
    <mergeCell ref="C5857:D5857"/>
    <mergeCell ref="C5858:D5858"/>
    <mergeCell ref="C5859:D5859"/>
    <mergeCell ref="C5860:D5860"/>
    <mergeCell ref="C5861:D5861"/>
    <mergeCell ref="C5862:D5862"/>
    <mergeCell ref="C5863:D5863"/>
    <mergeCell ref="A5866:N5866"/>
    <mergeCell ref="A5867:N5867"/>
    <mergeCell ref="C5982:D5982"/>
    <mergeCell ref="C5983:D5983"/>
    <mergeCell ref="C5984:D5984"/>
    <mergeCell ref="C5985:D5985"/>
    <mergeCell ref="C5986:D5986"/>
    <mergeCell ref="C5987:D5987"/>
    <mergeCell ref="C5988:D5988"/>
    <mergeCell ref="C5989:D5989"/>
    <mergeCell ref="C5990:D5990"/>
    <mergeCell ref="C5991:D5991"/>
    <mergeCell ref="C5992:D5992"/>
    <mergeCell ref="C5993:D5993"/>
    <mergeCell ref="C5994:D5994"/>
    <mergeCell ref="C5995:D5995"/>
    <mergeCell ref="C5996:D5996"/>
    <mergeCell ref="C5997:D5997"/>
    <mergeCell ref="C5998:D5998"/>
    <mergeCell ref="C5999:D5999"/>
    <mergeCell ref="C6000:D6000"/>
    <mergeCell ref="C6001:D6001"/>
    <mergeCell ref="C6002:D6002"/>
    <mergeCell ref="C6003:D6003"/>
    <mergeCell ref="A6006:N6006"/>
    <mergeCell ref="A6007:N6007"/>
    <mergeCell ref="C6122:D6122"/>
    <mergeCell ref="C6123:D6123"/>
    <mergeCell ref="C6124:D6124"/>
    <mergeCell ref="C6125:D6125"/>
    <mergeCell ref="C6126:D6126"/>
    <mergeCell ref="C6127:D6127"/>
    <mergeCell ref="C6128:D6128"/>
    <mergeCell ref="C6129:D6129"/>
    <mergeCell ref="C6130:D6130"/>
    <mergeCell ref="C6131:D6131"/>
    <mergeCell ref="C6132:D6132"/>
    <mergeCell ref="C6133:D6133"/>
    <mergeCell ref="C6134:D6134"/>
    <mergeCell ref="C6135:D6135"/>
    <mergeCell ref="C6136:D6136"/>
    <mergeCell ref="C6137:D6137"/>
    <mergeCell ref="C6138:D6138"/>
    <mergeCell ref="C6139:D6139"/>
    <mergeCell ref="C6140:D6140"/>
    <mergeCell ref="C6141:D6141"/>
    <mergeCell ref="C6142:D6142"/>
    <mergeCell ref="C6143:D6143"/>
    <mergeCell ref="A6146:N6146"/>
    <mergeCell ref="A6147:N6147"/>
    <mergeCell ref="C6262:D6262"/>
    <mergeCell ref="C6263:D6263"/>
    <mergeCell ref="C6264:D6264"/>
    <mergeCell ref="C6265:D6265"/>
    <mergeCell ref="C6266:D6266"/>
    <mergeCell ref="C6267:D6267"/>
    <mergeCell ref="C6268:D6268"/>
    <mergeCell ref="C6269:D6269"/>
    <mergeCell ref="C6270:D6270"/>
    <mergeCell ref="C6271:D6271"/>
    <mergeCell ref="C6272:D6272"/>
    <mergeCell ref="C6273:D6273"/>
    <mergeCell ref="C6274:D6274"/>
    <mergeCell ref="C6275:D6275"/>
    <mergeCell ref="C6276:D6276"/>
    <mergeCell ref="C6277:D6277"/>
    <mergeCell ref="C6278:D6278"/>
    <mergeCell ref="C6279:D6279"/>
    <mergeCell ref="C6280:D6280"/>
    <mergeCell ref="C6281:D6281"/>
    <mergeCell ref="C6282:D6282"/>
    <mergeCell ref="C6283:D6283"/>
    <mergeCell ref="A6286:N6286"/>
    <mergeCell ref="A6287:N6287"/>
    <mergeCell ref="C6402:D6402"/>
    <mergeCell ref="C6403:D6403"/>
    <mergeCell ref="C6404:D6404"/>
    <mergeCell ref="C6405:D6405"/>
    <mergeCell ref="C6406:D6406"/>
    <mergeCell ref="C6407:D6407"/>
    <mergeCell ref="C6408:D6408"/>
    <mergeCell ref="C6409:D6409"/>
    <mergeCell ref="C6410:D6410"/>
    <mergeCell ref="C6411:D6411"/>
    <mergeCell ref="C6412:D6412"/>
    <mergeCell ref="C6413:D6413"/>
    <mergeCell ref="C6414:D6414"/>
    <mergeCell ref="C6415:D6415"/>
    <mergeCell ref="C6416:D6416"/>
    <mergeCell ref="C6417:D6417"/>
    <mergeCell ref="C6418:D6418"/>
    <mergeCell ref="C6419:D6419"/>
    <mergeCell ref="C6420:D6420"/>
    <mergeCell ref="C6421:D6421"/>
    <mergeCell ref="C6422:D6422"/>
    <mergeCell ref="C6423:D6423"/>
    <mergeCell ref="A6426:N6426"/>
    <mergeCell ref="A6427:N6427"/>
    <mergeCell ref="C6542:D6542"/>
    <mergeCell ref="C6543:D6543"/>
    <mergeCell ref="C6544:D6544"/>
    <mergeCell ref="C6545:D6545"/>
    <mergeCell ref="C6546:D6546"/>
    <mergeCell ref="C6547:D6547"/>
    <mergeCell ref="C6548:D6548"/>
    <mergeCell ref="C6549:D6549"/>
    <mergeCell ref="C6550:D6550"/>
    <mergeCell ref="C6551:D6551"/>
    <mergeCell ref="C6552:D6552"/>
    <mergeCell ref="C6553:D6553"/>
    <mergeCell ref="C6554:D6554"/>
    <mergeCell ref="C6555:D6555"/>
    <mergeCell ref="C6556:D6556"/>
    <mergeCell ref="C6557:D6557"/>
    <mergeCell ref="C6558:D6558"/>
    <mergeCell ref="C6559:D6559"/>
    <mergeCell ref="C6560:D6560"/>
    <mergeCell ref="C6561:D6561"/>
    <mergeCell ref="C6562:D6562"/>
    <mergeCell ref="C6563:D6563"/>
    <mergeCell ref="A6566:N6566"/>
    <mergeCell ref="A6567:N6567"/>
    <mergeCell ref="C6682:D6682"/>
    <mergeCell ref="C6683:D6683"/>
    <mergeCell ref="C6684:D6684"/>
    <mergeCell ref="C6685:D6685"/>
    <mergeCell ref="C6686:D6686"/>
    <mergeCell ref="C6687:D6687"/>
    <mergeCell ref="C6688:D6688"/>
    <mergeCell ref="C6689:D6689"/>
    <mergeCell ref="C6690:D6690"/>
    <mergeCell ref="C6691:D6691"/>
    <mergeCell ref="C6692:D6692"/>
    <mergeCell ref="C6693:D6693"/>
    <mergeCell ref="C6694:D6694"/>
    <mergeCell ref="C6695:D6695"/>
    <mergeCell ref="C6696:D6696"/>
    <mergeCell ref="C6697:D6697"/>
    <mergeCell ref="C6698:D6698"/>
    <mergeCell ref="C6699:D6699"/>
    <mergeCell ref="C6700:D6700"/>
    <mergeCell ref="C6701:D6701"/>
    <mergeCell ref="C6702:D6702"/>
    <mergeCell ref="C6703:D6703"/>
    <mergeCell ref="A6706:N6706"/>
    <mergeCell ref="A6707:N6707"/>
    <mergeCell ref="C6822:D6822"/>
    <mergeCell ref="C6823:D6823"/>
    <mergeCell ref="C6824:D6824"/>
    <mergeCell ref="C6825:D6825"/>
    <mergeCell ref="C6826:D6826"/>
    <mergeCell ref="C6827:D6827"/>
    <mergeCell ref="C6828:D6828"/>
    <mergeCell ref="C6829:D6829"/>
    <mergeCell ref="C6830:D6830"/>
    <mergeCell ref="C6831:D6831"/>
    <mergeCell ref="C6832:D6832"/>
    <mergeCell ref="C6833:D6833"/>
    <mergeCell ref="C6834:D6834"/>
    <mergeCell ref="C6835:D6835"/>
    <mergeCell ref="C6836:D6836"/>
    <mergeCell ref="C6837:D6837"/>
    <mergeCell ref="C6838:D6838"/>
    <mergeCell ref="C6839:D6839"/>
    <mergeCell ref="C6840:D6840"/>
    <mergeCell ref="C6841:D6841"/>
    <mergeCell ref="C6842:D6842"/>
    <mergeCell ref="C6843:D6843"/>
    <mergeCell ref="A6846:N6846"/>
    <mergeCell ref="A6847:N6847"/>
    <mergeCell ref="C6962:D6962"/>
    <mergeCell ref="C6963:D6963"/>
    <mergeCell ref="C6964:D6964"/>
    <mergeCell ref="C6965:D6965"/>
    <mergeCell ref="C6966:D6966"/>
    <mergeCell ref="C6967:D6967"/>
    <mergeCell ref="C6968:D6968"/>
    <mergeCell ref="C6969:D6969"/>
    <mergeCell ref="C6970:D6970"/>
    <mergeCell ref="C6971:D6971"/>
    <mergeCell ref="C6972:D6972"/>
    <mergeCell ref="C6973:D6973"/>
    <mergeCell ref="C6974:D6974"/>
    <mergeCell ref="C6975:D6975"/>
    <mergeCell ref="C6976:D6976"/>
    <mergeCell ref="C6977:D6977"/>
    <mergeCell ref="C6978:D6978"/>
    <mergeCell ref="C6979:D6979"/>
    <mergeCell ref="C6980:D6980"/>
    <mergeCell ref="C6981:D6981"/>
    <mergeCell ref="C6982:D6982"/>
    <mergeCell ref="C6983:D6983"/>
    <mergeCell ref="A6986:N6986"/>
    <mergeCell ref="A6987:N6987"/>
    <mergeCell ref="C7102:D7102"/>
    <mergeCell ref="C7103:D7103"/>
    <mergeCell ref="C7104:D7104"/>
    <mergeCell ref="C7105:D7105"/>
    <mergeCell ref="C7106:D7106"/>
    <mergeCell ref="C7107:D7107"/>
    <mergeCell ref="C7108:D7108"/>
    <mergeCell ref="C7109:D7109"/>
    <mergeCell ref="C7110:D7110"/>
    <mergeCell ref="C7111:D7111"/>
    <mergeCell ref="C7112:D7112"/>
    <mergeCell ref="C7113:D7113"/>
    <mergeCell ref="C7114:D7114"/>
    <mergeCell ref="C7115:D7115"/>
    <mergeCell ref="C7116:D7116"/>
    <mergeCell ref="C7117:D7117"/>
    <mergeCell ref="C7118:D7118"/>
    <mergeCell ref="C7119:D7119"/>
    <mergeCell ref="C7120:D7120"/>
    <mergeCell ref="C7121:D7121"/>
    <mergeCell ref="C7122:D7122"/>
    <mergeCell ref="C7123:D7123"/>
    <mergeCell ref="A7126:N7126"/>
    <mergeCell ref="A7127:N7127"/>
    <mergeCell ref="C7242:D7242"/>
    <mergeCell ref="C7243:D7243"/>
    <mergeCell ref="C7244:D7244"/>
    <mergeCell ref="C7245:D7245"/>
    <mergeCell ref="C7246:D7246"/>
    <mergeCell ref="C7247:D7247"/>
    <mergeCell ref="C7248:D7248"/>
    <mergeCell ref="C7249:D7249"/>
    <mergeCell ref="C7250:D7250"/>
    <mergeCell ref="C7251:D7251"/>
    <mergeCell ref="C7252:D7252"/>
    <mergeCell ref="C7253:D7253"/>
    <mergeCell ref="C7254:D7254"/>
    <mergeCell ref="C7255:D7255"/>
    <mergeCell ref="C7256:D7256"/>
    <mergeCell ref="C7257:D7257"/>
    <mergeCell ref="C7258:D7258"/>
    <mergeCell ref="C7259:D7259"/>
    <mergeCell ref="C7260:D7260"/>
    <mergeCell ref="C7261:D7261"/>
    <mergeCell ref="C7262:D7262"/>
    <mergeCell ref="C7263:D7263"/>
    <mergeCell ref="A7266:N7266"/>
    <mergeCell ref="A7267:N7267"/>
    <mergeCell ref="C7382:D7382"/>
    <mergeCell ref="C7383:D7383"/>
    <mergeCell ref="C7384:D7384"/>
    <mergeCell ref="C7385:D7385"/>
    <mergeCell ref="C7386:D7386"/>
    <mergeCell ref="C7387:D7387"/>
    <mergeCell ref="C7388:D7388"/>
    <mergeCell ref="C7389:D7389"/>
    <mergeCell ref="C7390:D7390"/>
    <mergeCell ref="C7391:D7391"/>
    <mergeCell ref="C7392:D7392"/>
    <mergeCell ref="C7393:D7393"/>
    <mergeCell ref="C7394:D7394"/>
    <mergeCell ref="C7395:D7395"/>
    <mergeCell ref="C7396:D7396"/>
    <mergeCell ref="C7397:D7397"/>
    <mergeCell ref="C7398:D7398"/>
    <mergeCell ref="C7399:D7399"/>
    <mergeCell ref="C7400:D7400"/>
    <mergeCell ref="C7401:D7401"/>
    <mergeCell ref="C7402:D7402"/>
    <mergeCell ref="C7403:D7403"/>
    <mergeCell ref="A7406:N7406"/>
    <mergeCell ref="A7407:N7407"/>
    <mergeCell ref="C7522:D7522"/>
    <mergeCell ref="C7523:D7523"/>
    <mergeCell ref="C7524:D7524"/>
    <mergeCell ref="C7525:D7525"/>
    <mergeCell ref="C7526:D7526"/>
    <mergeCell ref="C7527:D7527"/>
    <mergeCell ref="C7528:D7528"/>
    <mergeCell ref="C7529:D7529"/>
    <mergeCell ref="C7530:D7530"/>
    <mergeCell ref="C7531:D7531"/>
    <mergeCell ref="C7532:D7532"/>
    <mergeCell ref="C7533:D7533"/>
    <mergeCell ref="C7534:D7534"/>
    <mergeCell ref="C7535:D7535"/>
    <mergeCell ref="C7536:D7536"/>
    <mergeCell ref="C7537:D7537"/>
    <mergeCell ref="C7538:D7538"/>
    <mergeCell ref="C7539:D7539"/>
    <mergeCell ref="C7540:D7540"/>
    <mergeCell ref="C7541:D7541"/>
    <mergeCell ref="C7542:D7542"/>
    <mergeCell ref="C7543:D7543"/>
    <mergeCell ref="A7546:N7546"/>
    <mergeCell ref="A7547:N7547"/>
    <mergeCell ref="C7662:D7662"/>
    <mergeCell ref="C7663:D7663"/>
    <mergeCell ref="C7664:D7664"/>
    <mergeCell ref="C7665:D7665"/>
    <mergeCell ref="C7666:D7666"/>
    <mergeCell ref="C7667:D7667"/>
    <mergeCell ref="C7668:D7668"/>
    <mergeCell ref="C7669:D7669"/>
    <mergeCell ref="C7670:D7670"/>
    <mergeCell ref="C7671:D7671"/>
    <mergeCell ref="C7672:D7672"/>
    <mergeCell ref="C7673:D7673"/>
    <mergeCell ref="C7674:D7674"/>
    <mergeCell ref="C7675:D7675"/>
    <mergeCell ref="C7676:D7676"/>
    <mergeCell ref="C7677:D7677"/>
    <mergeCell ref="C7678:D7678"/>
    <mergeCell ref="C7679:D7679"/>
    <mergeCell ref="C7680:D7680"/>
    <mergeCell ref="C7681:D7681"/>
    <mergeCell ref="C7682:D7682"/>
    <mergeCell ref="C7683:D7683"/>
    <mergeCell ref="A7686:N7686"/>
    <mergeCell ref="A7687:N7687"/>
    <mergeCell ref="C7802:D7802"/>
    <mergeCell ref="C7803:D7803"/>
    <mergeCell ref="C7804:D7804"/>
    <mergeCell ref="C7805:D7805"/>
    <mergeCell ref="C7806:D7806"/>
    <mergeCell ref="C7807:D7807"/>
    <mergeCell ref="C7808:D7808"/>
    <mergeCell ref="C7809:D7809"/>
    <mergeCell ref="C7810:D7810"/>
    <mergeCell ref="C7811:D7811"/>
    <mergeCell ref="C7812:D7812"/>
    <mergeCell ref="C7813:D7813"/>
    <mergeCell ref="C7814:D7814"/>
    <mergeCell ref="C7815:D7815"/>
    <mergeCell ref="C7816:D7816"/>
    <mergeCell ref="C7817:D7817"/>
    <mergeCell ref="C7818:D7818"/>
    <mergeCell ref="C7819:D7819"/>
    <mergeCell ref="C7820:D7820"/>
    <mergeCell ref="C7821:D7821"/>
    <mergeCell ref="C7822:D7822"/>
    <mergeCell ref="C7823:D7823"/>
    <mergeCell ref="A7826:N7826"/>
    <mergeCell ref="A7827:N7827"/>
    <mergeCell ref="C7942:D7942"/>
    <mergeCell ref="C7943:D7943"/>
    <mergeCell ref="C7944:D7944"/>
    <mergeCell ref="C7945:D7945"/>
    <mergeCell ref="C7946:D7946"/>
    <mergeCell ref="C7947:D7947"/>
    <mergeCell ref="C7948:D7948"/>
    <mergeCell ref="C7949:D7949"/>
    <mergeCell ref="C7950:D7950"/>
    <mergeCell ref="C7951:D7951"/>
    <mergeCell ref="C7952:D7952"/>
    <mergeCell ref="C7953:D7953"/>
    <mergeCell ref="C7954:D7954"/>
    <mergeCell ref="C7955:D7955"/>
    <mergeCell ref="C7956:D7956"/>
    <mergeCell ref="C7957:D7957"/>
    <mergeCell ref="C7958:D7958"/>
    <mergeCell ref="C7959:D7959"/>
    <mergeCell ref="C7960:D7960"/>
    <mergeCell ref="C7961:D7961"/>
    <mergeCell ref="C7962:D7962"/>
    <mergeCell ref="C7963:D7963"/>
    <mergeCell ref="A7966:N7966"/>
    <mergeCell ref="A7967:N7967"/>
    <mergeCell ref="C8082:D8082"/>
    <mergeCell ref="C8083:D8083"/>
    <mergeCell ref="C8084:D8084"/>
    <mergeCell ref="C8085:D8085"/>
    <mergeCell ref="C8086:D8086"/>
    <mergeCell ref="C8087:D8087"/>
    <mergeCell ref="C8088:D8088"/>
    <mergeCell ref="C8089:D8089"/>
    <mergeCell ref="C8090:D8090"/>
    <mergeCell ref="C8091:D8091"/>
    <mergeCell ref="C8092:D8092"/>
    <mergeCell ref="C8093:D8093"/>
    <mergeCell ref="C8094:D8094"/>
    <mergeCell ref="C8095:D8095"/>
    <mergeCell ref="C8096:D8096"/>
    <mergeCell ref="C8097:D8097"/>
    <mergeCell ref="C8098:D8098"/>
    <mergeCell ref="C8099:D8099"/>
    <mergeCell ref="C8100:D8100"/>
    <mergeCell ref="C8101:D8101"/>
    <mergeCell ref="C8102:D8102"/>
    <mergeCell ref="C8103:D8103"/>
    <mergeCell ref="A8106:N8106"/>
    <mergeCell ref="A8107:N8107"/>
    <mergeCell ref="C8222:D8222"/>
    <mergeCell ref="C8223:D8223"/>
    <mergeCell ref="C8224:D8224"/>
    <mergeCell ref="C8225:D8225"/>
    <mergeCell ref="C8226:D8226"/>
    <mergeCell ref="C8227:D8227"/>
    <mergeCell ref="C8228:D8228"/>
    <mergeCell ref="C8229:D8229"/>
    <mergeCell ref="C8230:D8230"/>
    <mergeCell ref="C8231:D8231"/>
    <mergeCell ref="C8232:D8232"/>
    <mergeCell ref="C8233:D8233"/>
    <mergeCell ref="C8234:D8234"/>
    <mergeCell ref="C8235:D8235"/>
    <mergeCell ref="C8236:D8236"/>
    <mergeCell ref="C8237:D8237"/>
    <mergeCell ref="C8238:D8238"/>
    <mergeCell ref="C8239:D8239"/>
    <mergeCell ref="C8240:D8240"/>
    <mergeCell ref="C8241:D8241"/>
    <mergeCell ref="C8242:D8242"/>
    <mergeCell ref="C8243:D8243"/>
    <mergeCell ref="A8246:N8246"/>
    <mergeCell ref="A8247:N8247"/>
    <mergeCell ref="C8362:D8362"/>
    <mergeCell ref="C8363:D8363"/>
    <mergeCell ref="C8364:D8364"/>
    <mergeCell ref="C8365:D8365"/>
    <mergeCell ref="C8366:D8366"/>
    <mergeCell ref="C8367:D8367"/>
    <mergeCell ref="C8368:D8368"/>
    <mergeCell ref="C8369:D8369"/>
    <mergeCell ref="C8370:D8370"/>
    <mergeCell ref="C8371:D8371"/>
    <mergeCell ref="C8372:D8372"/>
    <mergeCell ref="C8373:D8373"/>
    <mergeCell ref="C8374:D8374"/>
    <mergeCell ref="C8375:D8375"/>
    <mergeCell ref="C8376:D8376"/>
    <mergeCell ref="C8377:D8377"/>
    <mergeCell ref="C8378:D8378"/>
    <mergeCell ref="C8379:D8379"/>
    <mergeCell ref="C8380:D8380"/>
    <mergeCell ref="C8381:D8381"/>
    <mergeCell ref="C8382:D8382"/>
    <mergeCell ref="C8383:D8383"/>
    <mergeCell ref="A8386:N8386"/>
    <mergeCell ref="A8387:N8387"/>
    <mergeCell ref="C8502:D8502"/>
    <mergeCell ref="C8503:D8503"/>
    <mergeCell ref="C8504:D8504"/>
    <mergeCell ref="C8505:D8505"/>
    <mergeCell ref="C8506:D8506"/>
    <mergeCell ref="C8507:D8507"/>
    <mergeCell ref="C8508:D8508"/>
    <mergeCell ref="C8509:D8509"/>
    <mergeCell ref="C8510:D8510"/>
    <mergeCell ref="C8511:D8511"/>
    <mergeCell ref="C8512:D8512"/>
    <mergeCell ref="C8513:D8513"/>
    <mergeCell ref="C8514:D8514"/>
    <mergeCell ref="C8515:D8515"/>
    <mergeCell ref="C8516:D8516"/>
    <mergeCell ref="C8517:D8517"/>
    <mergeCell ref="C8518:D8518"/>
    <mergeCell ref="C8519:D8519"/>
    <mergeCell ref="C8520:D8520"/>
    <mergeCell ref="C8521:D8521"/>
    <mergeCell ref="C8522:D8522"/>
    <mergeCell ref="C8523:D8523"/>
    <mergeCell ref="A8526:N8526"/>
    <mergeCell ref="A8527:N8527"/>
    <mergeCell ref="C8642:D8642"/>
    <mergeCell ref="C8643:D8643"/>
    <mergeCell ref="C8644:D8644"/>
    <mergeCell ref="C8645:D8645"/>
    <mergeCell ref="C8646:D8646"/>
    <mergeCell ref="C8647:D8647"/>
    <mergeCell ref="C8648:D8648"/>
    <mergeCell ref="C8649:D8649"/>
    <mergeCell ref="C8650:D8650"/>
    <mergeCell ref="C8651:D8651"/>
    <mergeCell ref="C8652:D8652"/>
    <mergeCell ref="C8653:D8653"/>
    <mergeCell ref="C8654:D8654"/>
    <mergeCell ref="C8655:D8655"/>
    <mergeCell ref="C8656:D8656"/>
    <mergeCell ref="C8657:D8657"/>
    <mergeCell ref="C8658:D8658"/>
    <mergeCell ref="C8659:D8659"/>
    <mergeCell ref="C8660:D8660"/>
    <mergeCell ref="C8661:D8661"/>
    <mergeCell ref="C8662:D8662"/>
    <mergeCell ref="C8663:D8663"/>
    <mergeCell ref="A8666:N8666"/>
    <mergeCell ref="A8667:N8667"/>
    <mergeCell ref="C8782:D8782"/>
    <mergeCell ref="C8783:D8783"/>
    <mergeCell ref="C8784:D8784"/>
    <mergeCell ref="C8785:D8785"/>
    <mergeCell ref="C8786:D8786"/>
    <mergeCell ref="C8787:D8787"/>
    <mergeCell ref="C8788:D8788"/>
    <mergeCell ref="C8789:D8789"/>
    <mergeCell ref="C8790:D8790"/>
    <mergeCell ref="C8791:D8791"/>
    <mergeCell ref="C8792:D8792"/>
    <mergeCell ref="C8793:D8793"/>
    <mergeCell ref="C8794:D8794"/>
    <mergeCell ref="C8795:D8795"/>
    <mergeCell ref="C8796:D8796"/>
    <mergeCell ref="C8797:D8797"/>
    <mergeCell ref="C8798:D8798"/>
    <mergeCell ref="C8799:D8799"/>
    <mergeCell ref="C8800:D8800"/>
    <mergeCell ref="C8801:D8801"/>
    <mergeCell ref="C8802:D8802"/>
    <mergeCell ref="C8803:D8803"/>
    <mergeCell ref="A8806:N8806"/>
    <mergeCell ref="A8807:N8807"/>
    <mergeCell ref="C8922:D8922"/>
    <mergeCell ref="C8923:D8923"/>
    <mergeCell ref="C8924:D8924"/>
    <mergeCell ref="C8925:D8925"/>
    <mergeCell ref="C8926:D8926"/>
    <mergeCell ref="C8927:D8927"/>
    <mergeCell ref="C8928:D8928"/>
    <mergeCell ref="C8929:D8929"/>
    <mergeCell ref="C8930:D8930"/>
    <mergeCell ref="C8931:D8931"/>
    <mergeCell ref="C8932:D8932"/>
    <mergeCell ref="C8933:D8933"/>
    <mergeCell ref="C8934:D8934"/>
    <mergeCell ref="C8935:D8935"/>
    <mergeCell ref="C8936:D8936"/>
    <mergeCell ref="C8937:D8937"/>
    <mergeCell ref="C8938:D8938"/>
    <mergeCell ref="C8939:D8939"/>
    <mergeCell ref="C8940:D8940"/>
    <mergeCell ref="C8941:D8941"/>
    <mergeCell ref="C8942:D8942"/>
    <mergeCell ref="C8943:D8943"/>
    <mergeCell ref="A8946:N8946"/>
    <mergeCell ref="A8947:N8947"/>
    <mergeCell ref="C9062:D9062"/>
    <mergeCell ref="C9063:D9063"/>
    <mergeCell ref="C9064:D9064"/>
    <mergeCell ref="C9065:D9065"/>
    <mergeCell ref="C9066:D9066"/>
    <mergeCell ref="C9067:D9067"/>
    <mergeCell ref="C9068:D9068"/>
    <mergeCell ref="C9069:D9069"/>
    <mergeCell ref="C9070:D9070"/>
    <mergeCell ref="C9071:D9071"/>
    <mergeCell ref="C9072:D9072"/>
    <mergeCell ref="C9073:D9073"/>
    <mergeCell ref="C9074:D9074"/>
    <mergeCell ref="C9075:D9075"/>
    <mergeCell ref="C9076:D9076"/>
    <mergeCell ref="C9077:D9077"/>
    <mergeCell ref="C9078:D9078"/>
    <mergeCell ref="C9079:D9079"/>
    <mergeCell ref="C9080:D9080"/>
    <mergeCell ref="C9081:D9081"/>
    <mergeCell ref="C9082:D9082"/>
    <mergeCell ref="C9083:D9083"/>
    <mergeCell ref="A9086:N9086"/>
    <mergeCell ref="A9087:N9087"/>
    <mergeCell ref="C9202:D9202"/>
    <mergeCell ref="C9203:D9203"/>
    <mergeCell ref="C9204:D9204"/>
    <mergeCell ref="C9205:D9205"/>
    <mergeCell ref="C9206:D9206"/>
    <mergeCell ref="C9207:D9207"/>
    <mergeCell ref="C9208:D9208"/>
    <mergeCell ref="C9209:D9209"/>
    <mergeCell ref="C9210:D9210"/>
    <mergeCell ref="C9211:D9211"/>
    <mergeCell ref="C9212:D9212"/>
    <mergeCell ref="C9213:D9213"/>
    <mergeCell ref="C9214:D9214"/>
    <mergeCell ref="C9215:D9215"/>
    <mergeCell ref="C9216:D9216"/>
    <mergeCell ref="C9217:D9217"/>
    <mergeCell ref="C9218:D9218"/>
    <mergeCell ref="C9219:D9219"/>
    <mergeCell ref="C9220:D9220"/>
    <mergeCell ref="C9221:D9221"/>
    <mergeCell ref="C9222:D9222"/>
    <mergeCell ref="C9223:D9223"/>
    <mergeCell ref="A9226:N9226"/>
    <mergeCell ref="A9227:N9227"/>
    <mergeCell ref="C9342:D9342"/>
    <mergeCell ref="C9343:D9343"/>
    <mergeCell ref="C9344:D9344"/>
    <mergeCell ref="C9345:D9345"/>
    <mergeCell ref="C9346:D9346"/>
    <mergeCell ref="C9347:D9347"/>
    <mergeCell ref="C9348:D9348"/>
    <mergeCell ref="C9349:D9349"/>
    <mergeCell ref="C9350:D9350"/>
    <mergeCell ref="C9351:D9351"/>
    <mergeCell ref="C9352:D9352"/>
    <mergeCell ref="C9353:D9353"/>
    <mergeCell ref="C9354:D9354"/>
    <mergeCell ref="C9355:D9355"/>
    <mergeCell ref="C9356:D9356"/>
    <mergeCell ref="C9357:D9357"/>
    <mergeCell ref="C9358:D9358"/>
    <mergeCell ref="C9359:D9359"/>
    <mergeCell ref="C9360:D9360"/>
    <mergeCell ref="C9361:D9361"/>
    <mergeCell ref="C9362:D9362"/>
    <mergeCell ref="C9363:D9363"/>
    <mergeCell ref="A9366:N9366"/>
    <mergeCell ref="A9367:N9367"/>
    <mergeCell ref="C9482:D9482"/>
    <mergeCell ref="C9483:D9483"/>
    <mergeCell ref="C9484:D9484"/>
    <mergeCell ref="C9485:D9485"/>
    <mergeCell ref="C9486:D9486"/>
    <mergeCell ref="C9487:D9487"/>
    <mergeCell ref="C9488:D9488"/>
    <mergeCell ref="C9489:D9489"/>
    <mergeCell ref="C9490:D9490"/>
    <mergeCell ref="C9491:D9491"/>
    <mergeCell ref="C9492:D9492"/>
    <mergeCell ref="C9493:D9493"/>
    <mergeCell ref="C9494:D9494"/>
    <mergeCell ref="C9495:D9495"/>
    <mergeCell ref="C9496:D9496"/>
    <mergeCell ref="C9497:D9497"/>
    <mergeCell ref="C9498:D9498"/>
    <mergeCell ref="C9499:D9499"/>
    <mergeCell ref="C9500:D9500"/>
    <mergeCell ref="C9501:D9501"/>
    <mergeCell ref="C9502:D9502"/>
    <mergeCell ref="C9503:D9503"/>
    <mergeCell ref="A9506:N9506"/>
    <mergeCell ref="A9507:N9507"/>
    <mergeCell ref="C9622:D9622"/>
    <mergeCell ref="C9623:D9623"/>
    <mergeCell ref="C9624:D9624"/>
    <mergeCell ref="C9625:D9625"/>
    <mergeCell ref="C9626:D9626"/>
    <mergeCell ref="C9627:D9627"/>
    <mergeCell ref="C9628:D9628"/>
    <mergeCell ref="C9629:D9629"/>
    <mergeCell ref="C9630:D9630"/>
    <mergeCell ref="C9631:D9631"/>
    <mergeCell ref="C9632:D9632"/>
    <mergeCell ref="C9633:D9633"/>
    <mergeCell ref="C9634:D9634"/>
    <mergeCell ref="C9635:D9635"/>
    <mergeCell ref="C9636:D9636"/>
    <mergeCell ref="C9637:D9637"/>
    <mergeCell ref="C9638:D9638"/>
    <mergeCell ref="C9639:D9639"/>
    <mergeCell ref="C9640:D9640"/>
    <mergeCell ref="C9641:D9641"/>
    <mergeCell ref="C9642:D9642"/>
    <mergeCell ref="C9643:D9643"/>
    <mergeCell ref="A9646:N9646"/>
    <mergeCell ref="A9647:N9647"/>
    <mergeCell ref="C9762:D9762"/>
    <mergeCell ref="C9763:D9763"/>
    <mergeCell ref="C9764:D9764"/>
    <mergeCell ref="C9765:D9765"/>
    <mergeCell ref="C9766:D9766"/>
    <mergeCell ref="C9767:D9767"/>
    <mergeCell ref="C9768:D9768"/>
    <mergeCell ref="C9769:D9769"/>
    <mergeCell ref="C9770:D9770"/>
    <mergeCell ref="C9771:D9771"/>
    <mergeCell ref="C9772:D9772"/>
    <mergeCell ref="C9773:D9773"/>
    <mergeCell ref="C9774:D9774"/>
    <mergeCell ref="C9775:D9775"/>
    <mergeCell ref="C9776:D9776"/>
    <mergeCell ref="C9777:D9777"/>
    <mergeCell ref="C9778:D9778"/>
    <mergeCell ref="C9779:D9779"/>
    <mergeCell ref="C9780:D9780"/>
    <mergeCell ref="C9781:D9781"/>
    <mergeCell ref="C9782:D9782"/>
    <mergeCell ref="C9783:D9783"/>
    <mergeCell ref="A9786:N9786"/>
    <mergeCell ref="A9787:N9787"/>
    <mergeCell ref="C9902:D9902"/>
    <mergeCell ref="C9903:D9903"/>
    <mergeCell ref="C9904:D9904"/>
    <mergeCell ref="C9905:D9905"/>
    <mergeCell ref="C9906:D9906"/>
    <mergeCell ref="C9907:D9907"/>
    <mergeCell ref="C9908:D9908"/>
    <mergeCell ref="C9909:D9909"/>
    <mergeCell ref="C9910:D9910"/>
    <mergeCell ref="C9911:D9911"/>
    <mergeCell ref="C9912:D9912"/>
    <mergeCell ref="C9913:D9913"/>
    <mergeCell ref="C9914:D9914"/>
    <mergeCell ref="C9915:D9915"/>
    <mergeCell ref="C9916:D9916"/>
    <mergeCell ref="C9917:D9917"/>
    <mergeCell ref="C9918:D9918"/>
    <mergeCell ref="C9919:D9919"/>
    <mergeCell ref="C9920:D9920"/>
    <mergeCell ref="C9921:D9921"/>
    <mergeCell ref="C9922:D9922"/>
    <mergeCell ref="C9923:D9923"/>
    <mergeCell ref="A9926:N9926"/>
    <mergeCell ref="A9927:N9927"/>
    <mergeCell ref="C10042:D10042"/>
    <mergeCell ref="C10043:D10043"/>
    <mergeCell ref="C10044:D10044"/>
    <mergeCell ref="C10045:D10045"/>
    <mergeCell ref="C10046:D10046"/>
    <mergeCell ref="C10047:D10047"/>
    <mergeCell ref="C10048:D10048"/>
    <mergeCell ref="C10049:D10049"/>
    <mergeCell ref="C10050:D10050"/>
    <mergeCell ref="C10051:D10051"/>
    <mergeCell ref="C10052:D10052"/>
    <mergeCell ref="C10053:D10053"/>
    <mergeCell ref="C10054:D10054"/>
    <mergeCell ref="C10055:D10055"/>
    <mergeCell ref="C10056:D10056"/>
    <mergeCell ref="C10057:D10057"/>
    <mergeCell ref="C10058:D10058"/>
    <mergeCell ref="C10059:D10059"/>
    <mergeCell ref="C10060:D10060"/>
    <mergeCell ref="C10061:D10061"/>
    <mergeCell ref="C10062:D10062"/>
    <mergeCell ref="C10063:D10063"/>
    <mergeCell ref="A10066:N10066"/>
    <mergeCell ref="A10067:N10067"/>
    <mergeCell ref="C10182:D10182"/>
    <mergeCell ref="C10183:D10183"/>
    <mergeCell ref="C10184:D10184"/>
    <mergeCell ref="C10185:D10185"/>
    <mergeCell ref="C10186:D10186"/>
    <mergeCell ref="C10187:D10187"/>
    <mergeCell ref="C10188:D10188"/>
    <mergeCell ref="C10189:D10189"/>
    <mergeCell ref="C10190:D10190"/>
    <mergeCell ref="C10191:D10191"/>
    <mergeCell ref="C10192:D10192"/>
    <mergeCell ref="C10193:D10193"/>
    <mergeCell ref="C10194:D10194"/>
    <mergeCell ref="C10195:D10195"/>
    <mergeCell ref="C10196:D10196"/>
    <mergeCell ref="C10197:D10197"/>
    <mergeCell ref="C10198:D10198"/>
    <mergeCell ref="C10199:D10199"/>
    <mergeCell ref="C10200:D10200"/>
    <mergeCell ref="C10201:D10201"/>
    <mergeCell ref="C10202:D10202"/>
    <mergeCell ref="C10203:D10203"/>
    <mergeCell ref="A10206:N10206"/>
    <mergeCell ref="A10207:N10207"/>
    <mergeCell ref="C10322:D10322"/>
    <mergeCell ref="C10323:D10323"/>
    <mergeCell ref="C10324:D10324"/>
    <mergeCell ref="C10325:D10325"/>
    <mergeCell ref="C10326:D10326"/>
    <mergeCell ref="C10327:D10327"/>
    <mergeCell ref="C10328:D10328"/>
    <mergeCell ref="C10329:D10329"/>
    <mergeCell ref="C10330:D10330"/>
    <mergeCell ref="C10331:D10331"/>
    <mergeCell ref="C10332:D10332"/>
    <mergeCell ref="C10333:D10333"/>
    <mergeCell ref="C10334:D10334"/>
    <mergeCell ref="C10335:D10335"/>
    <mergeCell ref="C10336:D10336"/>
    <mergeCell ref="C10337:D10337"/>
    <mergeCell ref="C10338:D10338"/>
    <mergeCell ref="C10339:D10339"/>
    <mergeCell ref="C10340:D10340"/>
    <mergeCell ref="C10341:D10341"/>
    <mergeCell ref="C10342:D10342"/>
    <mergeCell ref="C10343:D10343"/>
    <mergeCell ref="A10346:N10346"/>
    <mergeCell ref="A10347:N10347"/>
    <mergeCell ref="C10462:D10462"/>
    <mergeCell ref="C10463:D10463"/>
    <mergeCell ref="C10464:D10464"/>
    <mergeCell ref="C10465:D10465"/>
    <mergeCell ref="C10466:D10466"/>
    <mergeCell ref="C10467:D10467"/>
    <mergeCell ref="C10468:D10468"/>
    <mergeCell ref="C10469:D10469"/>
    <mergeCell ref="C10470:D10470"/>
    <mergeCell ref="C10471:D10471"/>
    <mergeCell ref="C10472:D10472"/>
    <mergeCell ref="C10473:D10473"/>
    <mergeCell ref="C10474:D10474"/>
    <mergeCell ref="C10475:D10475"/>
    <mergeCell ref="C10476:D10476"/>
    <mergeCell ref="C10477:D10477"/>
    <mergeCell ref="C10478:D10478"/>
    <mergeCell ref="C10479:D10479"/>
    <mergeCell ref="C10480:D10480"/>
    <mergeCell ref="C10481:D10481"/>
    <mergeCell ref="C10482:D10482"/>
    <mergeCell ref="C10483:D10483"/>
    <mergeCell ref="A10486:N10486"/>
    <mergeCell ref="A10487:N10487"/>
    <mergeCell ref="C10602:D10602"/>
    <mergeCell ref="C10603:D10603"/>
    <mergeCell ref="C10604:D10604"/>
    <mergeCell ref="C10605:D10605"/>
    <mergeCell ref="C10606:D10606"/>
    <mergeCell ref="C10607:D10607"/>
    <mergeCell ref="C10608:D10608"/>
    <mergeCell ref="C10609:D10609"/>
    <mergeCell ref="C10610:D10610"/>
    <mergeCell ref="C10611:D10611"/>
    <mergeCell ref="C10612:D10612"/>
    <mergeCell ref="C10613:D10613"/>
    <mergeCell ref="C10614:D10614"/>
    <mergeCell ref="C10615:D10615"/>
    <mergeCell ref="C10616:D10616"/>
    <mergeCell ref="C10617:D10617"/>
    <mergeCell ref="C10618:D10618"/>
    <mergeCell ref="C10619:D10619"/>
    <mergeCell ref="C10620:D10620"/>
    <mergeCell ref="C10621:D10621"/>
    <mergeCell ref="C10622:D10622"/>
    <mergeCell ref="C10623:D10623"/>
    <mergeCell ref="A10626:N10626"/>
    <mergeCell ref="A10627:N10627"/>
    <mergeCell ref="C10742:D10742"/>
    <mergeCell ref="C10743:D10743"/>
    <mergeCell ref="C10744:D10744"/>
    <mergeCell ref="C10745:D10745"/>
    <mergeCell ref="C10746:D10746"/>
    <mergeCell ref="C10747:D10747"/>
    <mergeCell ref="C10748:D10748"/>
    <mergeCell ref="C10749:D10749"/>
    <mergeCell ref="C10750:D10750"/>
    <mergeCell ref="C10751:D10751"/>
    <mergeCell ref="C10752:D10752"/>
    <mergeCell ref="C10753:D10753"/>
    <mergeCell ref="C10754:D10754"/>
    <mergeCell ref="C10755:D10755"/>
    <mergeCell ref="C10756:D10756"/>
    <mergeCell ref="C10757:D10757"/>
    <mergeCell ref="C10758:D10758"/>
    <mergeCell ref="C10759:D10759"/>
    <mergeCell ref="C10760:D10760"/>
    <mergeCell ref="C10761:D10761"/>
    <mergeCell ref="C10762:D10762"/>
    <mergeCell ref="C10763:D10763"/>
    <mergeCell ref="A10766:N10766"/>
    <mergeCell ref="A10767:N10767"/>
    <mergeCell ref="C10882:D10882"/>
    <mergeCell ref="C10883:D10883"/>
    <mergeCell ref="C10884:D10884"/>
    <mergeCell ref="C10885:D10885"/>
    <mergeCell ref="C10886:D10886"/>
    <mergeCell ref="C10887:D10887"/>
    <mergeCell ref="C10888:D10888"/>
    <mergeCell ref="C10889:D10889"/>
    <mergeCell ref="C10890:D10890"/>
    <mergeCell ref="C10891:D10891"/>
    <mergeCell ref="C10892:D10892"/>
    <mergeCell ref="C10893:D10893"/>
    <mergeCell ref="C10894:D10894"/>
    <mergeCell ref="C10895:D10895"/>
    <mergeCell ref="C10896:D10896"/>
    <mergeCell ref="C10897:D10897"/>
    <mergeCell ref="C10898:D10898"/>
    <mergeCell ref="C10899:D10899"/>
    <mergeCell ref="C10900:D10900"/>
    <mergeCell ref="C10901:D10901"/>
    <mergeCell ref="C10902:D10902"/>
    <mergeCell ref="C10903:D1090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5"/>
    <col collapsed="false" customWidth="true" hidden="false" outlineLevel="0" max="3" min="3" style="0" width="70"/>
    <col collapsed="false" customWidth="true" hidden="false" outlineLevel="0" max="4" min="4" style="0" width="48"/>
  </cols>
  <sheetData>
    <row r="1" customFormat="false" ht="17.35" hidden="false" customHeight="false" outlineLevel="0" collapsed="false">
      <c r="A1" s="1" t="s">
        <v>975</v>
      </c>
    </row>
    <row r="2" customFormat="false" ht="15" hidden="false" customHeight="false" outlineLevel="0" collapsed="false">
      <c r="A2" s="2" t="s">
        <v>976</v>
      </c>
    </row>
    <row r="4" customFormat="false" ht="30" hidden="false" customHeight="true" outlineLevel="0" collapsed="false">
      <c r="A4" s="6" t="s">
        <v>977</v>
      </c>
      <c r="B4" s="6" t="s">
        <v>978</v>
      </c>
      <c r="C4" s="6" t="s">
        <v>979</v>
      </c>
      <c r="D4" s="6" t="s">
        <v>980</v>
      </c>
    </row>
    <row r="5" customFormat="false" ht="39.75" hidden="false" customHeight="true" outlineLevel="0" collapsed="false">
      <c r="A5" s="4" t="s">
        <v>981</v>
      </c>
      <c r="B5" s="4" t="s">
        <v>982</v>
      </c>
      <c r="C5" s="4" t="s">
        <v>983</v>
      </c>
      <c r="D5" s="4" t="s">
        <v>984</v>
      </c>
    </row>
    <row r="6" customFormat="false" ht="39.75" hidden="false" customHeight="true" outlineLevel="0" collapsed="false">
      <c r="A6" s="4" t="s">
        <v>985</v>
      </c>
      <c r="B6" s="4" t="s">
        <v>986</v>
      </c>
      <c r="C6" s="4" t="s">
        <v>987</v>
      </c>
      <c r="D6" s="4" t="s">
        <v>988</v>
      </c>
    </row>
    <row r="7" customFormat="false" ht="39.75" hidden="false" customHeight="true" outlineLevel="0" collapsed="false">
      <c r="A7" s="4" t="s">
        <v>989</v>
      </c>
      <c r="B7" s="4" t="s">
        <v>990</v>
      </c>
      <c r="C7" s="4" t="s">
        <v>991</v>
      </c>
      <c r="D7" s="4" t="s">
        <v>992</v>
      </c>
    </row>
    <row r="8" customFormat="false" ht="39.75" hidden="false" customHeight="true" outlineLevel="0" collapsed="false">
      <c r="A8" s="4" t="s">
        <v>993</v>
      </c>
      <c r="B8" s="4" t="s">
        <v>994</v>
      </c>
      <c r="C8" s="4" t="s">
        <v>995</v>
      </c>
      <c r="D8" s="4" t="s">
        <v>996</v>
      </c>
    </row>
    <row r="9" customFormat="false" ht="39.75" hidden="false" customHeight="true" outlineLevel="0" collapsed="false">
      <c r="A9" s="4" t="s">
        <v>997</v>
      </c>
      <c r="B9" s="4" t="s">
        <v>998</v>
      </c>
      <c r="C9" s="4" t="s">
        <v>999</v>
      </c>
      <c r="D9" s="4" t="s">
        <v>1000</v>
      </c>
    </row>
    <row r="10" customFormat="false" ht="39.75" hidden="false" customHeight="true" outlineLevel="0" collapsed="false">
      <c r="A10" s="4" t="s">
        <v>1001</v>
      </c>
      <c r="B10" s="4" t="s">
        <v>1002</v>
      </c>
      <c r="C10" s="4" t="s">
        <v>1003</v>
      </c>
      <c r="D10" s="4"/>
    </row>
    <row r="11" customFormat="false" ht="39.75" hidden="false" customHeight="true" outlineLevel="0" collapsed="false">
      <c r="A11" s="4" t="s">
        <v>1004</v>
      </c>
      <c r="B11" s="4" t="s">
        <v>1005</v>
      </c>
      <c r="C11" s="4" t="s">
        <v>1006</v>
      </c>
      <c r="D11" s="4"/>
    </row>
    <row r="12" customFormat="false" ht="39.75" hidden="false" customHeight="true" outlineLevel="0" collapsed="false">
      <c r="A12" s="4" t="s">
        <v>1007</v>
      </c>
      <c r="B12" s="4" t="s">
        <v>1008</v>
      </c>
      <c r="C12" s="4" t="s">
        <v>1009</v>
      </c>
      <c r="D12" s="4"/>
    </row>
    <row r="13" customFormat="false" ht="39.75" hidden="false" customHeight="true" outlineLevel="0" collapsed="false">
      <c r="A13" s="4" t="s">
        <v>1010</v>
      </c>
      <c r="B13" s="4" t="s">
        <v>1011</v>
      </c>
      <c r="C13" s="4" t="s">
        <v>1012</v>
      </c>
      <c r="D13" s="4"/>
    </row>
    <row r="14" customFormat="false" ht="39.75" hidden="false" customHeight="true" outlineLevel="0" collapsed="false">
      <c r="A14" s="4" t="s">
        <v>1013</v>
      </c>
      <c r="B14" s="4" t="s">
        <v>1014</v>
      </c>
      <c r="C14" s="4" t="s">
        <v>1015</v>
      </c>
      <c r="D14" s="4" t="s">
        <v>1016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2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5" min="5" style="0" width="44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1017</v>
      </c>
    </row>
    <row r="2" customFormat="false" ht="15" hidden="false" customHeight="false" outlineLevel="0" collapsed="false">
      <c r="A2" s="2" t="s">
        <v>1018</v>
      </c>
    </row>
    <row r="4" customFormat="false" ht="30" hidden="false" customHeight="true" outlineLevel="0" collapsed="false">
      <c r="A4" s="6" t="s">
        <v>61</v>
      </c>
      <c r="B4" s="6" t="s">
        <v>1019</v>
      </c>
      <c r="C4" s="6" t="s">
        <v>1020</v>
      </c>
      <c r="D4" s="6" t="s">
        <v>1021</v>
      </c>
      <c r="E4" s="6" t="s">
        <v>1022</v>
      </c>
      <c r="F4" s="6" t="s">
        <v>1023</v>
      </c>
    </row>
    <row r="5" customFormat="false" ht="23.85" hidden="false" customHeight="false" outlineLevel="0" collapsed="false">
      <c r="A5" s="4" t="s">
        <v>197</v>
      </c>
      <c r="B5" s="4" t="s">
        <v>1024</v>
      </c>
      <c r="C5" s="4" t="s">
        <v>1025</v>
      </c>
      <c r="D5" s="4" t="s">
        <v>1026</v>
      </c>
      <c r="E5" s="4" t="s">
        <v>1027</v>
      </c>
      <c r="F5" s="4" t="s">
        <v>1028</v>
      </c>
    </row>
    <row r="6" customFormat="false" ht="15" hidden="false" customHeight="false" outlineLevel="0" collapsed="false">
      <c r="A6" s="4" t="s">
        <v>1029</v>
      </c>
      <c r="B6" s="4" t="s">
        <v>1030</v>
      </c>
      <c r="C6" s="4" t="s">
        <v>1031</v>
      </c>
      <c r="D6" s="4" t="s">
        <v>1032</v>
      </c>
      <c r="E6" s="4" t="s">
        <v>1033</v>
      </c>
      <c r="F6" s="4" t="s">
        <v>1034</v>
      </c>
    </row>
    <row r="7" customFormat="false" ht="15" hidden="false" customHeight="false" outlineLevel="0" collapsed="false">
      <c r="A7" s="4" t="s">
        <v>1035</v>
      </c>
      <c r="B7" s="4" t="s">
        <v>1036</v>
      </c>
      <c r="C7" s="4" t="s">
        <v>1037</v>
      </c>
      <c r="D7" s="4" t="s">
        <v>1038</v>
      </c>
      <c r="E7" s="4" t="s">
        <v>1039</v>
      </c>
      <c r="F7" s="4" t="s">
        <v>1040</v>
      </c>
    </row>
    <row r="8" customFormat="false" ht="15" hidden="false" customHeight="false" outlineLevel="0" collapsed="false">
      <c r="A8" s="4" t="s">
        <v>1041</v>
      </c>
      <c r="B8" s="4" t="s">
        <v>1042</v>
      </c>
      <c r="C8" s="4" t="s">
        <v>1043</v>
      </c>
      <c r="D8" s="4" t="s">
        <v>1044</v>
      </c>
      <c r="E8" s="4" t="s">
        <v>1045</v>
      </c>
      <c r="F8" s="4" t="s">
        <v>1046</v>
      </c>
    </row>
    <row r="9" customFormat="false" ht="23.85" hidden="false" customHeight="false" outlineLevel="0" collapsed="false">
      <c r="A9" s="4" t="s">
        <v>1047</v>
      </c>
      <c r="B9" s="4" t="s">
        <v>1048</v>
      </c>
      <c r="C9" s="4" t="s">
        <v>1049</v>
      </c>
      <c r="D9" s="4" t="s">
        <v>1050</v>
      </c>
      <c r="E9" s="4" t="s">
        <v>1051</v>
      </c>
      <c r="F9" s="4" t="s">
        <v>1052</v>
      </c>
    </row>
    <row r="10" customFormat="false" ht="23.85" hidden="false" customHeight="false" outlineLevel="0" collapsed="false">
      <c r="A10" s="4" t="s">
        <v>228</v>
      </c>
      <c r="B10" s="4" t="s">
        <v>1053</v>
      </c>
      <c r="C10" s="4" t="s">
        <v>1054</v>
      </c>
      <c r="D10" s="4" t="s">
        <v>1055</v>
      </c>
      <c r="E10" s="4" t="s">
        <v>1056</v>
      </c>
      <c r="F10" s="4" t="s">
        <v>1057</v>
      </c>
    </row>
    <row r="11" customFormat="false" ht="15" hidden="false" customHeight="false" outlineLevel="0" collapsed="false">
      <c r="A11" s="4" t="s">
        <v>247</v>
      </c>
      <c r="B11" s="4" t="s">
        <v>1058</v>
      </c>
      <c r="C11" s="4" t="s">
        <v>1059</v>
      </c>
      <c r="D11" s="4" t="s">
        <v>1060</v>
      </c>
      <c r="E11" s="4" t="s">
        <v>1061</v>
      </c>
      <c r="F11" s="4" t="s">
        <v>1062</v>
      </c>
    </row>
    <row r="12" customFormat="false" ht="23.85" hidden="false" customHeight="false" outlineLevel="0" collapsed="false">
      <c r="A12" s="4" t="s">
        <v>1063</v>
      </c>
      <c r="B12" s="4" t="s">
        <v>1064</v>
      </c>
      <c r="C12" s="4" t="s">
        <v>1065</v>
      </c>
      <c r="D12" s="4" t="s">
        <v>1066</v>
      </c>
      <c r="E12" s="4" t="s">
        <v>1067</v>
      </c>
      <c r="F12" s="4" t="s">
        <v>1068</v>
      </c>
    </row>
    <row r="13" customFormat="false" ht="15" hidden="false" customHeight="false" outlineLevel="0" collapsed="false">
      <c r="A13" s="4" t="s">
        <v>256</v>
      </c>
      <c r="B13" s="4" t="s">
        <v>1069</v>
      </c>
      <c r="C13" s="4" t="s">
        <v>1037</v>
      </c>
      <c r="D13" s="4" t="s">
        <v>1038</v>
      </c>
      <c r="E13" s="4" t="s">
        <v>1070</v>
      </c>
      <c r="F13" s="4" t="s">
        <v>1071</v>
      </c>
    </row>
    <row r="14" customFormat="false" ht="23.85" hidden="false" customHeight="false" outlineLevel="0" collapsed="false">
      <c r="A14" s="4" t="s">
        <v>1072</v>
      </c>
      <c r="B14" s="4" t="s">
        <v>1073</v>
      </c>
      <c r="C14" s="4" t="s">
        <v>1074</v>
      </c>
      <c r="D14" s="4" t="s">
        <v>1075</v>
      </c>
      <c r="E14" s="4" t="s">
        <v>1076</v>
      </c>
      <c r="F14" s="4" t="s">
        <v>1077</v>
      </c>
    </row>
    <row r="15" customFormat="false" ht="15" hidden="false" customHeight="false" outlineLevel="0" collapsed="false">
      <c r="A15" s="4" t="s">
        <v>1078</v>
      </c>
      <c r="B15" s="4" t="s">
        <v>1079</v>
      </c>
      <c r="C15" s="4" t="s">
        <v>1080</v>
      </c>
      <c r="D15" s="4" t="s">
        <v>1050</v>
      </c>
      <c r="E15" s="4" t="s">
        <v>1081</v>
      </c>
      <c r="F15" s="4" t="s">
        <v>1082</v>
      </c>
    </row>
    <row r="16" customFormat="false" ht="15" hidden="false" customHeight="false" outlineLevel="0" collapsed="false">
      <c r="A16" s="4" t="s">
        <v>1083</v>
      </c>
      <c r="B16" s="4" t="s">
        <v>1084</v>
      </c>
      <c r="C16" s="4" t="s">
        <v>1085</v>
      </c>
      <c r="D16" s="4" t="s">
        <v>1086</v>
      </c>
      <c r="E16" s="4" t="s">
        <v>1087</v>
      </c>
      <c r="F16" s="4" t="s">
        <v>1088</v>
      </c>
    </row>
    <row r="17" customFormat="false" ht="23.85" hidden="false" customHeight="false" outlineLevel="0" collapsed="false">
      <c r="A17" s="4" t="s">
        <v>276</v>
      </c>
      <c r="B17" s="4" t="s">
        <v>1089</v>
      </c>
      <c r="C17" s="4" t="s">
        <v>1090</v>
      </c>
      <c r="D17" s="4" t="s">
        <v>1091</v>
      </c>
      <c r="E17" s="4" t="s">
        <v>1092</v>
      </c>
      <c r="F17" s="4" t="s">
        <v>1093</v>
      </c>
    </row>
    <row r="18" customFormat="false" ht="15" hidden="false" customHeight="false" outlineLevel="0" collapsed="false">
      <c r="A18" s="4" t="s">
        <v>1094</v>
      </c>
      <c r="B18" s="4" t="s">
        <v>1095</v>
      </c>
      <c r="C18" s="4" t="s">
        <v>1096</v>
      </c>
      <c r="D18" s="4" t="s">
        <v>1050</v>
      </c>
      <c r="E18" s="4" t="s">
        <v>1097</v>
      </c>
      <c r="F18" s="4" t="s">
        <v>1098</v>
      </c>
    </row>
    <row r="19" customFormat="false" ht="23.85" hidden="false" customHeight="false" outlineLevel="0" collapsed="false">
      <c r="A19" s="4" t="s">
        <v>1099</v>
      </c>
      <c r="B19" s="4" t="s">
        <v>1100</v>
      </c>
      <c r="C19" s="4" t="s">
        <v>1101</v>
      </c>
      <c r="D19" s="4" t="s">
        <v>1102</v>
      </c>
      <c r="E19" s="4" t="s">
        <v>1103</v>
      </c>
      <c r="F19" s="4" t="s">
        <v>1104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2026-10-20T05:38:04Z</dcterms:created>
  <dc:creator>openpyxl</dc:creator>
  <dc:description/>
  <dc:language>en-US</dc:language>
  <cp:lastModifiedBy/>
  <dcterms:modified xsi:type="dcterms:W3CDTF">2026-10-20T00:38:41Z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